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S:\Apportionment\Apport\Monthly Apport Data\2223\Poverty\"/>
    </mc:Choice>
  </mc:AlternateContent>
  <xr:revisionPtr revIDLastSave="0" documentId="13_ncr:1_{42F9719F-EFFF-479B-851D-EE5082C0E41E}" xr6:coauthVersionLast="47" xr6:coauthVersionMax="47" xr10:uidLastSave="{00000000-0000-0000-0000-000000000000}"/>
  <bookViews>
    <workbookView xWindow="-27840" yWindow="1080" windowWidth="21780" windowHeight="15150" tabRatio="883" xr2:uid="{00000000-000D-0000-FFFF-FFFF00000000}"/>
  </bookViews>
  <sheets>
    <sheet name="Instructions and about the data" sheetId="2" r:id="rId1"/>
    <sheet name="Summary" sheetId="13" r:id="rId2"/>
    <sheet name="HP Schools Calculation" sheetId="6" r:id="rId3"/>
    <sheet name="District LAP Calculation" sheetId="10" r:id="rId4"/>
    <sheet name="District LAP HH Calculation" sheetId="19" r:id="rId5"/>
    <sheet name="2021-22 School Level AAFTE" sheetId="16" state="hidden" r:id="rId6"/>
    <sheet name="CEDARS School FRPL" sheetId="17" state="hidden" r:id="rId7"/>
    <sheet name="CEDARS District FRPL" sheetId="12" state="hidden" r:id="rId8"/>
    <sheet name="AAFTE" sheetId="11" state="hidden" r:id="rId9"/>
    <sheet name="2022-23 Salary &amp; Benefits" sheetId="20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_123Graph_A" localSheetId="5" hidden="1">[1]App!#REF!</definedName>
    <definedName name="__123Graph_A" hidden="1">[1]App!#REF!</definedName>
    <definedName name="__123Graph_ABBO1" localSheetId="5" hidden="1">#REF!</definedName>
    <definedName name="__123Graph_ABBO1" hidden="1">#REF!</definedName>
    <definedName name="__123Graph_ADOR1" localSheetId="5" hidden="1">#REF!</definedName>
    <definedName name="__123Graph_ADOR1" hidden="1">#REF!</definedName>
    <definedName name="__123Graph_AESTATE1" localSheetId="5" hidden="1">#REF!</definedName>
    <definedName name="__123Graph_AESTATE1" hidden="1">#REF!</definedName>
    <definedName name="__123Graph_ANONREVACT1" localSheetId="5" hidden="1">#REF!</definedName>
    <definedName name="__123Graph_ANONREVACT1" hidden="1">#REF!</definedName>
    <definedName name="__123Graph_APU1" localSheetId="5" hidden="1">#REF!</definedName>
    <definedName name="__123Graph_APU1" hidden="1">#REF!</definedName>
    <definedName name="__123Graph_AREET" localSheetId="5" hidden="1">#REF!</definedName>
    <definedName name="__123Graph_AREET" hidden="1">#REF!</definedName>
    <definedName name="__123Graph_AREET2" localSheetId="5" hidden="1">#REF!</definedName>
    <definedName name="__123Graph_AREET2" hidden="1">#REF!</definedName>
    <definedName name="__123Graph_ARST1" localSheetId="5" hidden="1">#REF!</definedName>
    <definedName name="__123Graph_ARST1" hidden="1">#REF!</definedName>
    <definedName name="__123Graph_B" localSheetId="5" hidden="1">#REF!</definedName>
    <definedName name="__123Graph_B" hidden="1">#REF!</definedName>
    <definedName name="__123Graph_C" hidden="1">[1]App!#REF!</definedName>
    <definedName name="__123Graph_E" hidden="1">[2]Apportionment!#REF!</definedName>
    <definedName name="__123Graph_F" hidden="1">[2]Apportionment!#REF!</definedName>
    <definedName name="__123Graph_LBL_A" localSheetId="5" hidden="1">#REF!</definedName>
    <definedName name="__123Graph_LBL_A" hidden="1">#REF!</definedName>
    <definedName name="__123Graph_LBL_B" localSheetId="5" hidden="1">#REF!</definedName>
    <definedName name="__123Graph_LBL_B" hidden="1">#REF!</definedName>
    <definedName name="__123Graph_LBL_C" localSheetId="5" hidden="1">#REF!</definedName>
    <definedName name="__123Graph_LBL_C" hidden="1">#REF!</definedName>
    <definedName name="__123Graph_X" localSheetId="5" hidden="1">#REF!</definedName>
    <definedName name="__123Graph_X" hidden="1">#REF!</definedName>
    <definedName name="__123Graph_XBBO1" localSheetId="5" hidden="1">#REF!</definedName>
    <definedName name="__123Graph_XBBO1" hidden="1">#REF!</definedName>
    <definedName name="__123Graph_XDOR1" localSheetId="5" hidden="1">#REF!</definedName>
    <definedName name="__123Graph_XDOR1" hidden="1">#REF!</definedName>
    <definedName name="__123Graph_XESTATE1" localSheetId="5" hidden="1">#REF!</definedName>
    <definedName name="__123Graph_XESTATE1" hidden="1">#REF!</definedName>
    <definedName name="__123Graph_XNONREVACT1" localSheetId="5" hidden="1">#REF!</definedName>
    <definedName name="__123Graph_XNONREVACT1" hidden="1">#REF!</definedName>
    <definedName name="__123Graph_XPU1" localSheetId="5" hidden="1">#REF!</definedName>
    <definedName name="__123Graph_XPU1" hidden="1">#REF!</definedName>
    <definedName name="__123Graph_XREET" localSheetId="5" hidden="1">#REF!</definedName>
    <definedName name="__123Graph_XREET" hidden="1">#REF!</definedName>
    <definedName name="__123Graph_XREET2" localSheetId="5" hidden="1">#REF!</definedName>
    <definedName name="__123Graph_XREET2" hidden="1">#REF!</definedName>
    <definedName name="__123Graph_XRST1" localSheetId="5" hidden="1">#REF!</definedName>
    <definedName name="__123Graph_XRST1" hidden="1">#REF!</definedName>
    <definedName name="_Fill" localSheetId="5" hidden="1">#REF!</definedName>
    <definedName name="_Fill" hidden="1">#REF!</definedName>
    <definedName name="_xlnm._FilterDatabase" localSheetId="5" hidden="1">'2021-22 School Level AAFTE'!$A$3:$O$2360</definedName>
    <definedName name="_xlnm._FilterDatabase" localSheetId="8" hidden="1">AAFTE!$A$2:$E$369</definedName>
    <definedName name="_xlnm._FilterDatabase" localSheetId="7" hidden="1">'CEDARS District FRPL'!$A$2:$F$2</definedName>
    <definedName name="_xlnm._FilterDatabase" localSheetId="6" hidden="1">'CEDARS School FRPL'!$A$3:$H$2368</definedName>
    <definedName name="_xlnm._FilterDatabase" localSheetId="3" hidden="1">'District LAP Calculation'!$A$4:$AA$322</definedName>
    <definedName name="_xlnm._FilterDatabase" localSheetId="4" hidden="1">'District LAP HH Calculation'!$A$4:$AA$322</definedName>
    <definedName name="_xlnm._FilterDatabase" localSheetId="2" hidden="1">'HP Schools Calculation'!$A$9:$AF$2366</definedName>
    <definedName name="_Key1" localSheetId="5" hidden="1">#REF!</definedName>
    <definedName name="_Key1" hidden="1">#REF!</definedName>
    <definedName name="_Key2" localSheetId="5" hidden="1">#REF!</definedName>
    <definedName name="_Key2" hidden="1">#REF!</definedName>
    <definedName name="_Order1" hidden="1">0</definedName>
    <definedName name="_Order2" hidden="1">255</definedName>
    <definedName name="_Sort" localSheetId="5" hidden="1">#REF!</definedName>
    <definedName name="_Sort" hidden="1">#REF!</definedName>
    <definedName name="_Table1_In1" hidden="1">'[3]&lt;65 Util_Cost'!#REF!</definedName>
    <definedName name="_Table1_Out" localSheetId="5" hidden="1">#REF!</definedName>
    <definedName name="_Table1_Out" hidden="1">#REF!</definedName>
    <definedName name="ddd" localSheetId="5" hidden="1">#REF!</definedName>
    <definedName name="ddd" hidden="1">#REF!</definedName>
    <definedName name="Districts">'District LAP Calculation'!$A$5:$AA$322</definedName>
    <definedName name="Districts_HH">'District LAP HH Calculation'!$A$5:$AA$322</definedName>
    <definedName name="fff" localSheetId="5" hidden="1">[2]Apportionment!#REF!</definedName>
    <definedName name="fff" hidden="1">[2]Apportionment!#REF!</definedName>
    <definedName name="k" localSheetId="5" hidden="1">#REF!</definedName>
    <definedName name="k" hidden="1">#REF!</definedName>
    <definedName name="nothing2" localSheetId="5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1">Summary!$A$1:$J$123</definedName>
    <definedName name="Purple" localSheetId="5" hidden="1">[2]Apportionment!#REF!</definedName>
    <definedName name="Purple" hidden="1">[2]Apportionment!#REF!</definedName>
    <definedName name="Schools">'HP Schools Calculation'!$C$10:$AE$2366</definedName>
    <definedName name="test" hidden="1">[1]App!#REF!</definedName>
    <definedName name="wrn.Adjusted._.Mod._.Managed." localSheetId="5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5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5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5" hidden="1">{#N/A,#N/A,FALSE,"Allocation"}</definedName>
    <definedName name="wrn.Allocation." hidden="1">{#N/A,#N/A,FALSE,"Allocation"}</definedName>
    <definedName name="wrn.Assumptions." localSheetId="5" hidden="1">{#N/A,#N/A,FALSE,"Assumptions"}</definedName>
    <definedName name="wrn.Assumptions." hidden="1">{#N/A,#N/A,FALSE,"Assumptions"}</definedName>
    <definedName name="wrn.Data._.Output." localSheetId="5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5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5" hidden="1">{#N/A,#N/A,FALSE,"Factors"}</definedName>
    <definedName name="wrn.Factors." hidden="1">{#N/A,#N/A,FALSE,"Factors"}</definedName>
    <definedName name="wrn.Model." localSheetId="5" hidden="1">{#N/A,#N/A,FALSE,"Model"}</definedName>
    <definedName name="wrn.Model." hidden="1">{#N/A,#N/A,FALSE,"Model"}</definedName>
    <definedName name="wrn.Print._.All." localSheetId="5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5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5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5" hidden="1">{"rates",#N/A,FALSE,"Summary"}</definedName>
    <definedName name="wrn.rates." hidden="1">{"rates",#N/A,FALSE,"Summary"}</definedName>
    <definedName name="x" hidden="1">[4]App!#REF!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3" l="1"/>
  <c r="B11" i="13"/>
  <c r="H667" i="17" l="1"/>
  <c r="F16" i="13"/>
  <c r="H2330" i="17"/>
  <c r="U6" i="19" l="1"/>
  <c r="V6" i="19"/>
  <c r="U7" i="19"/>
  <c r="V7" i="19"/>
  <c r="U8" i="19"/>
  <c r="V8" i="19"/>
  <c r="U9" i="19"/>
  <c r="V9" i="19"/>
  <c r="U10" i="19"/>
  <c r="V10" i="19"/>
  <c r="U11" i="19"/>
  <c r="V11" i="19"/>
  <c r="U12" i="19"/>
  <c r="V12" i="19"/>
  <c r="U13" i="19"/>
  <c r="V13" i="19"/>
  <c r="U14" i="19"/>
  <c r="V14" i="19"/>
  <c r="U15" i="19"/>
  <c r="V15" i="19"/>
  <c r="U16" i="19"/>
  <c r="V16" i="19"/>
  <c r="U17" i="19"/>
  <c r="V17" i="19"/>
  <c r="U18" i="19"/>
  <c r="V18" i="19"/>
  <c r="U19" i="19"/>
  <c r="V19" i="19"/>
  <c r="U20" i="19"/>
  <c r="V20" i="19"/>
  <c r="U21" i="19"/>
  <c r="V21" i="19"/>
  <c r="U22" i="19"/>
  <c r="V22" i="19"/>
  <c r="U23" i="19"/>
  <c r="V23" i="19"/>
  <c r="U24" i="19"/>
  <c r="V24" i="19"/>
  <c r="U25" i="19"/>
  <c r="V25" i="19"/>
  <c r="U26" i="19"/>
  <c r="V26" i="19"/>
  <c r="U27" i="19"/>
  <c r="V27" i="19"/>
  <c r="U28" i="19"/>
  <c r="V28" i="19"/>
  <c r="U29" i="19"/>
  <c r="V29" i="19"/>
  <c r="U30" i="19"/>
  <c r="V30" i="19"/>
  <c r="U31" i="19"/>
  <c r="V31" i="19"/>
  <c r="U32" i="19"/>
  <c r="V32" i="19"/>
  <c r="U33" i="19"/>
  <c r="V33" i="19"/>
  <c r="U34" i="19"/>
  <c r="V34" i="19"/>
  <c r="U35" i="19"/>
  <c r="V35" i="19"/>
  <c r="U36" i="19"/>
  <c r="V36" i="19"/>
  <c r="U37" i="19"/>
  <c r="V37" i="19"/>
  <c r="U38" i="19"/>
  <c r="V38" i="19"/>
  <c r="U39" i="19"/>
  <c r="V39" i="19"/>
  <c r="U40" i="19"/>
  <c r="V40" i="19"/>
  <c r="U41" i="19"/>
  <c r="V41" i="19"/>
  <c r="U42" i="19"/>
  <c r="V42" i="19"/>
  <c r="U43" i="19"/>
  <c r="V43" i="19"/>
  <c r="U44" i="19"/>
  <c r="V44" i="19"/>
  <c r="U45" i="19"/>
  <c r="V45" i="19"/>
  <c r="U46" i="19"/>
  <c r="V46" i="19"/>
  <c r="U47" i="19"/>
  <c r="V47" i="19"/>
  <c r="U48" i="19"/>
  <c r="V48" i="19"/>
  <c r="U49" i="19"/>
  <c r="V49" i="19"/>
  <c r="U50" i="19"/>
  <c r="V50" i="19"/>
  <c r="U51" i="19"/>
  <c r="V51" i="19"/>
  <c r="U52" i="19"/>
  <c r="V52" i="19"/>
  <c r="U53" i="19"/>
  <c r="V53" i="19"/>
  <c r="U54" i="19"/>
  <c r="V54" i="19"/>
  <c r="U55" i="19"/>
  <c r="V55" i="19"/>
  <c r="U56" i="19"/>
  <c r="V56" i="19"/>
  <c r="U57" i="19"/>
  <c r="V57" i="19"/>
  <c r="U58" i="19"/>
  <c r="V58" i="19"/>
  <c r="U59" i="19"/>
  <c r="V59" i="19"/>
  <c r="U60" i="19"/>
  <c r="V60" i="19"/>
  <c r="U61" i="19"/>
  <c r="V61" i="19"/>
  <c r="U62" i="19"/>
  <c r="V62" i="19"/>
  <c r="U63" i="19"/>
  <c r="V63" i="19"/>
  <c r="U64" i="19"/>
  <c r="V64" i="19"/>
  <c r="U65" i="19"/>
  <c r="V65" i="19"/>
  <c r="U66" i="19"/>
  <c r="V66" i="19"/>
  <c r="U67" i="19"/>
  <c r="V67" i="19"/>
  <c r="U68" i="19"/>
  <c r="V68" i="19"/>
  <c r="U69" i="19"/>
  <c r="V69" i="19"/>
  <c r="U70" i="19"/>
  <c r="V70" i="19"/>
  <c r="U71" i="19"/>
  <c r="V71" i="19"/>
  <c r="U72" i="19"/>
  <c r="V72" i="19"/>
  <c r="U73" i="19"/>
  <c r="V73" i="19"/>
  <c r="U74" i="19"/>
  <c r="V74" i="19"/>
  <c r="U75" i="19"/>
  <c r="V75" i="19"/>
  <c r="U76" i="19"/>
  <c r="V76" i="19"/>
  <c r="U77" i="19"/>
  <c r="V77" i="19"/>
  <c r="U78" i="19"/>
  <c r="V78" i="19"/>
  <c r="U79" i="19"/>
  <c r="V79" i="19"/>
  <c r="U80" i="19"/>
  <c r="V80" i="19"/>
  <c r="U81" i="19"/>
  <c r="V81" i="19"/>
  <c r="U82" i="19"/>
  <c r="V82" i="19"/>
  <c r="U83" i="19"/>
  <c r="V83" i="19"/>
  <c r="U84" i="19"/>
  <c r="V84" i="19"/>
  <c r="U85" i="19"/>
  <c r="V85" i="19"/>
  <c r="U86" i="19"/>
  <c r="V86" i="19"/>
  <c r="U87" i="19"/>
  <c r="V87" i="19"/>
  <c r="U88" i="19"/>
  <c r="V88" i="19"/>
  <c r="U89" i="19"/>
  <c r="V89" i="19"/>
  <c r="U90" i="19"/>
  <c r="V90" i="19"/>
  <c r="U91" i="19"/>
  <c r="V91" i="19"/>
  <c r="U92" i="19"/>
  <c r="V92" i="19"/>
  <c r="U93" i="19"/>
  <c r="V93" i="19"/>
  <c r="U94" i="19"/>
  <c r="V94" i="19"/>
  <c r="U95" i="19"/>
  <c r="V95" i="19"/>
  <c r="U96" i="19"/>
  <c r="V96" i="19"/>
  <c r="U97" i="19"/>
  <c r="V97" i="19"/>
  <c r="U98" i="19"/>
  <c r="V98" i="19"/>
  <c r="U99" i="19"/>
  <c r="V99" i="19"/>
  <c r="U100" i="19"/>
  <c r="V100" i="19"/>
  <c r="U101" i="19"/>
  <c r="V101" i="19"/>
  <c r="U102" i="19"/>
  <c r="V102" i="19"/>
  <c r="U103" i="19"/>
  <c r="V103" i="19"/>
  <c r="U104" i="19"/>
  <c r="V104" i="19"/>
  <c r="U105" i="19"/>
  <c r="V105" i="19"/>
  <c r="U106" i="19"/>
  <c r="V106" i="19"/>
  <c r="U107" i="19"/>
  <c r="V107" i="19"/>
  <c r="U108" i="19"/>
  <c r="V108" i="19"/>
  <c r="U109" i="19"/>
  <c r="V109" i="19"/>
  <c r="U110" i="19"/>
  <c r="V110" i="19"/>
  <c r="U111" i="19"/>
  <c r="V111" i="19"/>
  <c r="U112" i="19"/>
  <c r="V112" i="19"/>
  <c r="U113" i="19"/>
  <c r="V113" i="19"/>
  <c r="U114" i="19"/>
  <c r="V114" i="19"/>
  <c r="U115" i="19"/>
  <c r="V115" i="19"/>
  <c r="U116" i="19"/>
  <c r="V116" i="19"/>
  <c r="U117" i="19"/>
  <c r="V117" i="19"/>
  <c r="U118" i="19"/>
  <c r="V118" i="19"/>
  <c r="U119" i="19"/>
  <c r="V119" i="19"/>
  <c r="U120" i="19"/>
  <c r="V120" i="19"/>
  <c r="U121" i="19"/>
  <c r="V121" i="19"/>
  <c r="U122" i="19"/>
  <c r="V122" i="19"/>
  <c r="U123" i="19"/>
  <c r="V123" i="19"/>
  <c r="U124" i="19"/>
  <c r="V124" i="19"/>
  <c r="U125" i="19"/>
  <c r="V125" i="19"/>
  <c r="U126" i="19"/>
  <c r="V126" i="19"/>
  <c r="U127" i="19"/>
  <c r="V127" i="19"/>
  <c r="U128" i="19"/>
  <c r="V128" i="19"/>
  <c r="U129" i="19"/>
  <c r="V129" i="19"/>
  <c r="U130" i="19"/>
  <c r="V130" i="19"/>
  <c r="U131" i="19"/>
  <c r="V131" i="19"/>
  <c r="U132" i="19"/>
  <c r="V132" i="19"/>
  <c r="U133" i="19"/>
  <c r="V133" i="19"/>
  <c r="U134" i="19"/>
  <c r="V134" i="19"/>
  <c r="U135" i="19"/>
  <c r="V135" i="19"/>
  <c r="U136" i="19"/>
  <c r="V136" i="19"/>
  <c r="U137" i="19"/>
  <c r="V137" i="19"/>
  <c r="U138" i="19"/>
  <c r="V138" i="19"/>
  <c r="U139" i="19"/>
  <c r="V139" i="19"/>
  <c r="U140" i="19"/>
  <c r="V140" i="19"/>
  <c r="U141" i="19"/>
  <c r="V141" i="19"/>
  <c r="U142" i="19"/>
  <c r="V142" i="19"/>
  <c r="U143" i="19"/>
  <c r="V143" i="19"/>
  <c r="U144" i="19"/>
  <c r="V144" i="19"/>
  <c r="U145" i="19"/>
  <c r="V145" i="19"/>
  <c r="U146" i="19"/>
  <c r="V146" i="19"/>
  <c r="U147" i="19"/>
  <c r="V147" i="19"/>
  <c r="U148" i="19"/>
  <c r="V148" i="19"/>
  <c r="U149" i="19"/>
  <c r="V149" i="19"/>
  <c r="U150" i="19"/>
  <c r="V150" i="19"/>
  <c r="U151" i="19"/>
  <c r="V151" i="19"/>
  <c r="U152" i="19"/>
  <c r="V152" i="19"/>
  <c r="U153" i="19"/>
  <c r="V153" i="19"/>
  <c r="U154" i="19"/>
  <c r="V154" i="19"/>
  <c r="U155" i="19"/>
  <c r="V155" i="19"/>
  <c r="U156" i="19"/>
  <c r="V156" i="19"/>
  <c r="U157" i="19"/>
  <c r="V157" i="19"/>
  <c r="U158" i="19"/>
  <c r="V158" i="19"/>
  <c r="U159" i="19"/>
  <c r="V159" i="19"/>
  <c r="U160" i="19"/>
  <c r="V160" i="19"/>
  <c r="U161" i="19"/>
  <c r="V161" i="19"/>
  <c r="U162" i="19"/>
  <c r="V162" i="19"/>
  <c r="U163" i="19"/>
  <c r="V163" i="19"/>
  <c r="U164" i="19"/>
  <c r="V164" i="19"/>
  <c r="U165" i="19"/>
  <c r="V165" i="19"/>
  <c r="U166" i="19"/>
  <c r="V166" i="19"/>
  <c r="U167" i="19"/>
  <c r="V167" i="19"/>
  <c r="U168" i="19"/>
  <c r="V168" i="19"/>
  <c r="U169" i="19"/>
  <c r="V169" i="19"/>
  <c r="U170" i="19"/>
  <c r="V170" i="19"/>
  <c r="U171" i="19"/>
  <c r="V171" i="19"/>
  <c r="U172" i="19"/>
  <c r="V172" i="19"/>
  <c r="U173" i="19"/>
  <c r="V173" i="19"/>
  <c r="U174" i="19"/>
  <c r="V174" i="19"/>
  <c r="U175" i="19"/>
  <c r="V175" i="19"/>
  <c r="U176" i="19"/>
  <c r="V176" i="19"/>
  <c r="U177" i="19"/>
  <c r="V177" i="19"/>
  <c r="U178" i="19"/>
  <c r="V178" i="19"/>
  <c r="U179" i="19"/>
  <c r="V179" i="19"/>
  <c r="U180" i="19"/>
  <c r="V180" i="19"/>
  <c r="U181" i="19"/>
  <c r="V181" i="19"/>
  <c r="U182" i="19"/>
  <c r="V182" i="19"/>
  <c r="U183" i="19"/>
  <c r="V183" i="19"/>
  <c r="U184" i="19"/>
  <c r="V184" i="19"/>
  <c r="U185" i="19"/>
  <c r="V185" i="19"/>
  <c r="U186" i="19"/>
  <c r="V186" i="19"/>
  <c r="U187" i="19"/>
  <c r="V187" i="19"/>
  <c r="U188" i="19"/>
  <c r="V188" i="19"/>
  <c r="U189" i="19"/>
  <c r="V189" i="19"/>
  <c r="U190" i="19"/>
  <c r="V190" i="19"/>
  <c r="U191" i="19"/>
  <c r="V191" i="19"/>
  <c r="U192" i="19"/>
  <c r="V192" i="19"/>
  <c r="U193" i="19"/>
  <c r="V193" i="19"/>
  <c r="U194" i="19"/>
  <c r="V194" i="19"/>
  <c r="U195" i="19"/>
  <c r="V195" i="19"/>
  <c r="U196" i="19"/>
  <c r="V196" i="19"/>
  <c r="U197" i="19"/>
  <c r="V197" i="19"/>
  <c r="U198" i="19"/>
  <c r="V198" i="19"/>
  <c r="U199" i="19"/>
  <c r="V199" i="19"/>
  <c r="U200" i="19"/>
  <c r="V200" i="19"/>
  <c r="U201" i="19"/>
  <c r="V201" i="19"/>
  <c r="U202" i="19"/>
  <c r="V202" i="19"/>
  <c r="U203" i="19"/>
  <c r="V203" i="19"/>
  <c r="U204" i="19"/>
  <c r="V204" i="19"/>
  <c r="U205" i="19"/>
  <c r="V205" i="19"/>
  <c r="U206" i="19"/>
  <c r="V206" i="19"/>
  <c r="U207" i="19"/>
  <c r="V207" i="19"/>
  <c r="U208" i="19"/>
  <c r="V208" i="19"/>
  <c r="U209" i="19"/>
  <c r="V209" i="19"/>
  <c r="U210" i="19"/>
  <c r="V210" i="19"/>
  <c r="U211" i="19"/>
  <c r="V211" i="19"/>
  <c r="U212" i="19"/>
  <c r="V212" i="19"/>
  <c r="U213" i="19"/>
  <c r="V213" i="19"/>
  <c r="U214" i="19"/>
  <c r="V214" i="19"/>
  <c r="U215" i="19"/>
  <c r="V215" i="19"/>
  <c r="U216" i="19"/>
  <c r="V216" i="19"/>
  <c r="U217" i="19"/>
  <c r="V217" i="19"/>
  <c r="U218" i="19"/>
  <c r="V218" i="19"/>
  <c r="U219" i="19"/>
  <c r="V219" i="19"/>
  <c r="U220" i="19"/>
  <c r="V220" i="19"/>
  <c r="U221" i="19"/>
  <c r="V221" i="19"/>
  <c r="U222" i="19"/>
  <c r="V222" i="19"/>
  <c r="U223" i="19"/>
  <c r="V223" i="19"/>
  <c r="U224" i="19"/>
  <c r="V224" i="19"/>
  <c r="U225" i="19"/>
  <c r="V225" i="19"/>
  <c r="U226" i="19"/>
  <c r="V226" i="19"/>
  <c r="U227" i="19"/>
  <c r="V227" i="19"/>
  <c r="U228" i="19"/>
  <c r="V228" i="19"/>
  <c r="U229" i="19"/>
  <c r="V229" i="19"/>
  <c r="U230" i="19"/>
  <c r="V230" i="19"/>
  <c r="U231" i="19"/>
  <c r="V231" i="19"/>
  <c r="U232" i="19"/>
  <c r="V232" i="19"/>
  <c r="U233" i="19"/>
  <c r="V233" i="19"/>
  <c r="U234" i="19"/>
  <c r="V234" i="19"/>
  <c r="U235" i="19"/>
  <c r="V235" i="19"/>
  <c r="U236" i="19"/>
  <c r="V236" i="19"/>
  <c r="U237" i="19"/>
  <c r="V237" i="19"/>
  <c r="U238" i="19"/>
  <c r="V238" i="19"/>
  <c r="U239" i="19"/>
  <c r="V239" i="19"/>
  <c r="U240" i="19"/>
  <c r="V240" i="19"/>
  <c r="U241" i="19"/>
  <c r="V241" i="19"/>
  <c r="U242" i="19"/>
  <c r="V242" i="19"/>
  <c r="U243" i="19"/>
  <c r="V243" i="19"/>
  <c r="U244" i="19"/>
  <c r="V244" i="19"/>
  <c r="U245" i="19"/>
  <c r="V245" i="19"/>
  <c r="U246" i="19"/>
  <c r="V246" i="19"/>
  <c r="U247" i="19"/>
  <c r="V247" i="19"/>
  <c r="U248" i="19"/>
  <c r="V248" i="19"/>
  <c r="U249" i="19"/>
  <c r="V249" i="19"/>
  <c r="U250" i="19"/>
  <c r="V250" i="19"/>
  <c r="U251" i="19"/>
  <c r="V251" i="19"/>
  <c r="U252" i="19"/>
  <c r="V252" i="19"/>
  <c r="U253" i="19"/>
  <c r="V253" i="19"/>
  <c r="U254" i="19"/>
  <c r="V254" i="19"/>
  <c r="U255" i="19"/>
  <c r="V255" i="19"/>
  <c r="U256" i="19"/>
  <c r="V256" i="19"/>
  <c r="U257" i="19"/>
  <c r="V257" i="19"/>
  <c r="U258" i="19"/>
  <c r="V258" i="19"/>
  <c r="U259" i="19"/>
  <c r="V259" i="19"/>
  <c r="U260" i="19"/>
  <c r="V260" i="19"/>
  <c r="U261" i="19"/>
  <c r="V261" i="19"/>
  <c r="U262" i="19"/>
  <c r="V262" i="19"/>
  <c r="U263" i="19"/>
  <c r="V263" i="19"/>
  <c r="U264" i="19"/>
  <c r="V264" i="19"/>
  <c r="U265" i="19"/>
  <c r="V265" i="19"/>
  <c r="U266" i="19"/>
  <c r="V266" i="19"/>
  <c r="U267" i="19"/>
  <c r="V267" i="19"/>
  <c r="U268" i="19"/>
  <c r="V268" i="19"/>
  <c r="U269" i="19"/>
  <c r="V269" i="19"/>
  <c r="U270" i="19"/>
  <c r="V270" i="19"/>
  <c r="U271" i="19"/>
  <c r="V271" i="19"/>
  <c r="U272" i="19"/>
  <c r="V272" i="19"/>
  <c r="U273" i="19"/>
  <c r="V273" i="19"/>
  <c r="U274" i="19"/>
  <c r="V274" i="19"/>
  <c r="U275" i="19"/>
  <c r="V275" i="19"/>
  <c r="U276" i="19"/>
  <c r="V276" i="19"/>
  <c r="U277" i="19"/>
  <c r="V277" i="19"/>
  <c r="U278" i="19"/>
  <c r="V278" i="19"/>
  <c r="U279" i="19"/>
  <c r="V279" i="19"/>
  <c r="U280" i="19"/>
  <c r="V280" i="19"/>
  <c r="U281" i="19"/>
  <c r="V281" i="19"/>
  <c r="U282" i="19"/>
  <c r="V282" i="19"/>
  <c r="U283" i="19"/>
  <c r="V283" i="19"/>
  <c r="U284" i="19"/>
  <c r="V284" i="19"/>
  <c r="U285" i="19"/>
  <c r="V285" i="19"/>
  <c r="U286" i="19"/>
  <c r="V286" i="19"/>
  <c r="U287" i="19"/>
  <c r="V287" i="19"/>
  <c r="U288" i="19"/>
  <c r="V288" i="19"/>
  <c r="U289" i="19"/>
  <c r="V289" i="19"/>
  <c r="U290" i="19"/>
  <c r="V290" i="19"/>
  <c r="U291" i="19"/>
  <c r="V291" i="19"/>
  <c r="U292" i="19"/>
  <c r="V292" i="19"/>
  <c r="U293" i="19"/>
  <c r="V293" i="19"/>
  <c r="U294" i="19"/>
  <c r="V294" i="19"/>
  <c r="U295" i="19"/>
  <c r="V295" i="19"/>
  <c r="U296" i="19"/>
  <c r="V296" i="19"/>
  <c r="U297" i="19"/>
  <c r="V297" i="19"/>
  <c r="U298" i="19"/>
  <c r="V298" i="19"/>
  <c r="U299" i="19"/>
  <c r="V299" i="19"/>
  <c r="U300" i="19"/>
  <c r="V300" i="19"/>
  <c r="U301" i="19"/>
  <c r="V301" i="19"/>
  <c r="U302" i="19"/>
  <c r="V302" i="19"/>
  <c r="U303" i="19"/>
  <c r="V303" i="19"/>
  <c r="U304" i="19"/>
  <c r="V304" i="19"/>
  <c r="U305" i="19"/>
  <c r="V305" i="19"/>
  <c r="U306" i="19"/>
  <c r="V306" i="19"/>
  <c r="U307" i="19"/>
  <c r="V307" i="19"/>
  <c r="U308" i="19"/>
  <c r="V308" i="19"/>
  <c r="U309" i="19"/>
  <c r="V309" i="19"/>
  <c r="U310" i="19"/>
  <c r="V310" i="19"/>
  <c r="U311" i="19"/>
  <c r="V311" i="19"/>
  <c r="U312" i="19"/>
  <c r="V312" i="19"/>
  <c r="U313" i="19"/>
  <c r="V313" i="19"/>
  <c r="U314" i="19"/>
  <c r="V314" i="19"/>
  <c r="U315" i="19"/>
  <c r="V315" i="19"/>
  <c r="U316" i="19"/>
  <c r="V316" i="19"/>
  <c r="U317" i="19"/>
  <c r="V317" i="19"/>
  <c r="U318" i="19"/>
  <c r="V318" i="19"/>
  <c r="U319" i="19"/>
  <c r="V319" i="19"/>
  <c r="U320" i="19"/>
  <c r="V320" i="19"/>
  <c r="U321" i="19"/>
  <c r="V321" i="19"/>
  <c r="U322" i="19"/>
  <c r="V322" i="19"/>
  <c r="V5" i="19"/>
  <c r="U5" i="19"/>
  <c r="U6" i="10"/>
  <c r="V6" i="10"/>
  <c r="U7" i="10"/>
  <c r="V7" i="10"/>
  <c r="U8" i="10"/>
  <c r="V8" i="10"/>
  <c r="U9" i="10"/>
  <c r="V9" i="10"/>
  <c r="U10" i="10"/>
  <c r="V10" i="10"/>
  <c r="U11" i="10"/>
  <c r="V11" i="10"/>
  <c r="U12" i="10"/>
  <c r="V12" i="10"/>
  <c r="U13" i="10"/>
  <c r="V13" i="10"/>
  <c r="U14" i="10"/>
  <c r="V14" i="10"/>
  <c r="U15" i="10"/>
  <c r="V15" i="10"/>
  <c r="U16" i="10"/>
  <c r="V16" i="10"/>
  <c r="U17" i="10"/>
  <c r="V17" i="10"/>
  <c r="U18" i="10"/>
  <c r="V18" i="10"/>
  <c r="U19" i="10"/>
  <c r="V19" i="10"/>
  <c r="U20" i="10"/>
  <c r="V20" i="10"/>
  <c r="U21" i="10"/>
  <c r="V21" i="10"/>
  <c r="U22" i="10"/>
  <c r="V22" i="10"/>
  <c r="U23" i="10"/>
  <c r="V23" i="10"/>
  <c r="U24" i="10"/>
  <c r="V24" i="10"/>
  <c r="U25" i="10"/>
  <c r="V25" i="10"/>
  <c r="U26" i="10"/>
  <c r="V26" i="10"/>
  <c r="U27" i="10"/>
  <c r="V27" i="10"/>
  <c r="U28" i="10"/>
  <c r="V28" i="10"/>
  <c r="U29" i="10"/>
  <c r="V29" i="10"/>
  <c r="U30" i="10"/>
  <c r="V30" i="10"/>
  <c r="U31" i="10"/>
  <c r="V31" i="10"/>
  <c r="U32" i="10"/>
  <c r="V32" i="10"/>
  <c r="U33" i="10"/>
  <c r="V33" i="10"/>
  <c r="U34" i="10"/>
  <c r="V34" i="10"/>
  <c r="U35" i="10"/>
  <c r="V35" i="10"/>
  <c r="U36" i="10"/>
  <c r="V36" i="10"/>
  <c r="U37" i="10"/>
  <c r="V37" i="10"/>
  <c r="U38" i="10"/>
  <c r="V38" i="10"/>
  <c r="U39" i="10"/>
  <c r="V39" i="10"/>
  <c r="U40" i="10"/>
  <c r="V40" i="10"/>
  <c r="U41" i="10"/>
  <c r="V41" i="10"/>
  <c r="U42" i="10"/>
  <c r="V42" i="10"/>
  <c r="U43" i="10"/>
  <c r="V43" i="10"/>
  <c r="U44" i="10"/>
  <c r="V44" i="10"/>
  <c r="U45" i="10"/>
  <c r="V45" i="10"/>
  <c r="U46" i="10"/>
  <c r="V46" i="10"/>
  <c r="U47" i="10"/>
  <c r="V47" i="10"/>
  <c r="U48" i="10"/>
  <c r="V48" i="10"/>
  <c r="U49" i="10"/>
  <c r="V49" i="10"/>
  <c r="U50" i="10"/>
  <c r="V50" i="10"/>
  <c r="U51" i="10"/>
  <c r="V51" i="10"/>
  <c r="U52" i="10"/>
  <c r="V52" i="10"/>
  <c r="U53" i="10"/>
  <c r="V53" i="10"/>
  <c r="U54" i="10"/>
  <c r="V54" i="10"/>
  <c r="U55" i="10"/>
  <c r="V55" i="10"/>
  <c r="U56" i="10"/>
  <c r="V56" i="10"/>
  <c r="U57" i="10"/>
  <c r="V57" i="10"/>
  <c r="U58" i="10"/>
  <c r="V58" i="10"/>
  <c r="U59" i="10"/>
  <c r="V59" i="10"/>
  <c r="U60" i="10"/>
  <c r="V60" i="10"/>
  <c r="U61" i="10"/>
  <c r="V61" i="10"/>
  <c r="U62" i="10"/>
  <c r="V62" i="10"/>
  <c r="U63" i="10"/>
  <c r="V63" i="10"/>
  <c r="U64" i="10"/>
  <c r="V64" i="10"/>
  <c r="U65" i="10"/>
  <c r="V65" i="10"/>
  <c r="U66" i="10"/>
  <c r="V66" i="10"/>
  <c r="U67" i="10"/>
  <c r="V67" i="10"/>
  <c r="U68" i="10"/>
  <c r="V68" i="10"/>
  <c r="U69" i="10"/>
  <c r="V69" i="10"/>
  <c r="U70" i="10"/>
  <c r="V70" i="10"/>
  <c r="U71" i="10"/>
  <c r="V71" i="10"/>
  <c r="U72" i="10"/>
  <c r="V72" i="10"/>
  <c r="U73" i="10"/>
  <c r="V73" i="10"/>
  <c r="U74" i="10"/>
  <c r="V74" i="10"/>
  <c r="U75" i="10"/>
  <c r="V75" i="10"/>
  <c r="U76" i="10"/>
  <c r="V76" i="10"/>
  <c r="U77" i="10"/>
  <c r="V77" i="10"/>
  <c r="U78" i="10"/>
  <c r="V78" i="10"/>
  <c r="U79" i="10"/>
  <c r="V79" i="10"/>
  <c r="U80" i="10"/>
  <c r="V80" i="10"/>
  <c r="U81" i="10"/>
  <c r="V81" i="10"/>
  <c r="U82" i="10"/>
  <c r="V82" i="10"/>
  <c r="U83" i="10"/>
  <c r="V83" i="10"/>
  <c r="U84" i="10"/>
  <c r="V84" i="10"/>
  <c r="U85" i="10"/>
  <c r="V85" i="10"/>
  <c r="U86" i="10"/>
  <c r="V86" i="10"/>
  <c r="U87" i="10"/>
  <c r="V87" i="10"/>
  <c r="U88" i="10"/>
  <c r="V88" i="10"/>
  <c r="U89" i="10"/>
  <c r="V89" i="10"/>
  <c r="U90" i="10"/>
  <c r="V90" i="10"/>
  <c r="U91" i="10"/>
  <c r="V91" i="10"/>
  <c r="U92" i="10"/>
  <c r="V92" i="10"/>
  <c r="U93" i="10"/>
  <c r="V93" i="10"/>
  <c r="U94" i="10"/>
  <c r="V94" i="10"/>
  <c r="U95" i="10"/>
  <c r="V95" i="10"/>
  <c r="U96" i="10"/>
  <c r="V96" i="10"/>
  <c r="U97" i="10"/>
  <c r="V97" i="10"/>
  <c r="U98" i="10"/>
  <c r="V98" i="10"/>
  <c r="U99" i="10"/>
  <c r="V99" i="10"/>
  <c r="U100" i="10"/>
  <c r="V100" i="10"/>
  <c r="U101" i="10"/>
  <c r="V101" i="10"/>
  <c r="U102" i="10"/>
  <c r="V102" i="10"/>
  <c r="U103" i="10"/>
  <c r="V103" i="10"/>
  <c r="U104" i="10"/>
  <c r="V104" i="10"/>
  <c r="U105" i="10"/>
  <c r="V105" i="10"/>
  <c r="U106" i="10"/>
  <c r="V106" i="10"/>
  <c r="U107" i="10"/>
  <c r="V107" i="10"/>
  <c r="U108" i="10"/>
  <c r="V108" i="10"/>
  <c r="U109" i="10"/>
  <c r="V109" i="10"/>
  <c r="U110" i="10"/>
  <c r="V110" i="10"/>
  <c r="U111" i="10"/>
  <c r="V111" i="10"/>
  <c r="U112" i="10"/>
  <c r="V112" i="10"/>
  <c r="U113" i="10"/>
  <c r="V113" i="10"/>
  <c r="U114" i="10"/>
  <c r="V114" i="10"/>
  <c r="U115" i="10"/>
  <c r="V115" i="10"/>
  <c r="U116" i="10"/>
  <c r="V116" i="10"/>
  <c r="U117" i="10"/>
  <c r="V117" i="10"/>
  <c r="U118" i="10"/>
  <c r="V118" i="10"/>
  <c r="U119" i="10"/>
  <c r="V119" i="10"/>
  <c r="U120" i="10"/>
  <c r="V120" i="10"/>
  <c r="U121" i="10"/>
  <c r="V121" i="10"/>
  <c r="U122" i="10"/>
  <c r="V122" i="10"/>
  <c r="U123" i="10"/>
  <c r="V123" i="10"/>
  <c r="U124" i="10"/>
  <c r="V124" i="10"/>
  <c r="U125" i="10"/>
  <c r="V125" i="10"/>
  <c r="U126" i="10"/>
  <c r="V126" i="10"/>
  <c r="U127" i="10"/>
  <c r="V127" i="10"/>
  <c r="U128" i="10"/>
  <c r="V128" i="10"/>
  <c r="U129" i="10"/>
  <c r="V129" i="10"/>
  <c r="U130" i="10"/>
  <c r="V130" i="10"/>
  <c r="U131" i="10"/>
  <c r="V131" i="10"/>
  <c r="U132" i="10"/>
  <c r="V132" i="10"/>
  <c r="U133" i="10"/>
  <c r="V133" i="10"/>
  <c r="U134" i="10"/>
  <c r="V134" i="10"/>
  <c r="U135" i="10"/>
  <c r="V135" i="10"/>
  <c r="U136" i="10"/>
  <c r="V136" i="10"/>
  <c r="U137" i="10"/>
  <c r="V137" i="10"/>
  <c r="U138" i="10"/>
  <c r="V138" i="10"/>
  <c r="U139" i="10"/>
  <c r="V139" i="10"/>
  <c r="U140" i="10"/>
  <c r="V140" i="10"/>
  <c r="U141" i="10"/>
  <c r="V141" i="10"/>
  <c r="U142" i="10"/>
  <c r="V142" i="10"/>
  <c r="U143" i="10"/>
  <c r="V143" i="10"/>
  <c r="U144" i="10"/>
  <c r="V144" i="10"/>
  <c r="U145" i="10"/>
  <c r="V145" i="10"/>
  <c r="U146" i="10"/>
  <c r="V146" i="10"/>
  <c r="U147" i="10"/>
  <c r="V147" i="10"/>
  <c r="U148" i="10"/>
  <c r="V148" i="10"/>
  <c r="U149" i="10"/>
  <c r="V149" i="10"/>
  <c r="U150" i="10"/>
  <c r="V150" i="10"/>
  <c r="U151" i="10"/>
  <c r="V151" i="10"/>
  <c r="U152" i="10"/>
  <c r="V152" i="10"/>
  <c r="U153" i="10"/>
  <c r="V153" i="10"/>
  <c r="U154" i="10"/>
  <c r="V154" i="10"/>
  <c r="U155" i="10"/>
  <c r="V155" i="10"/>
  <c r="U156" i="10"/>
  <c r="V156" i="10"/>
  <c r="U157" i="10"/>
  <c r="V157" i="10"/>
  <c r="U158" i="10"/>
  <c r="V158" i="10"/>
  <c r="U159" i="10"/>
  <c r="V159" i="10"/>
  <c r="U160" i="10"/>
  <c r="V160" i="10"/>
  <c r="U161" i="10"/>
  <c r="V161" i="10"/>
  <c r="U162" i="10"/>
  <c r="V162" i="10"/>
  <c r="U163" i="10"/>
  <c r="V163" i="10"/>
  <c r="U164" i="10"/>
  <c r="V164" i="10"/>
  <c r="U165" i="10"/>
  <c r="V165" i="10"/>
  <c r="U166" i="10"/>
  <c r="V166" i="10"/>
  <c r="U167" i="10"/>
  <c r="V167" i="10"/>
  <c r="U168" i="10"/>
  <c r="V168" i="10"/>
  <c r="U169" i="10"/>
  <c r="V169" i="10"/>
  <c r="U170" i="10"/>
  <c r="V170" i="10"/>
  <c r="U171" i="10"/>
  <c r="V171" i="10"/>
  <c r="U172" i="10"/>
  <c r="V172" i="10"/>
  <c r="U173" i="10"/>
  <c r="V173" i="10"/>
  <c r="U174" i="10"/>
  <c r="V174" i="10"/>
  <c r="U175" i="10"/>
  <c r="V175" i="10"/>
  <c r="U176" i="10"/>
  <c r="V176" i="10"/>
  <c r="U177" i="10"/>
  <c r="V177" i="10"/>
  <c r="U178" i="10"/>
  <c r="V178" i="10"/>
  <c r="U179" i="10"/>
  <c r="V179" i="10"/>
  <c r="U180" i="10"/>
  <c r="V180" i="10"/>
  <c r="U181" i="10"/>
  <c r="V181" i="10"/>
  <c r="U182" i="10"/>
  <c r="V182" i="10"/>
  <c r="U183" i="10"/>
  <c r="V183" i="10"/>
  <c r="U184" i="10"/>
  <c r="V184" i="10"/>
  <c r="U185" i="10"/>
  <c r="V185" i="10"/>
  <c r="U186" i="10"/>
  <c r="V186" i="10"/>
  <c r="U187" i="10"/>
  <c r="V187" i="10"/>
  <c r="U188" i="10"/>
  <c r="V188" i="10"/>
  <c r="U189" i="10"/>
  <c r="V189" i="10"/>
  <c r="U190" i="10"/>
  <c r="V190" i="10"/>
  <c r="U191" i="10"/>
  <c r="V191" i="10"/>
  <c r="U192" i="10"/>
  <c r="V192" i="10"/>
  <c r="U193" i="10"/>
  <c r="V193" i="10"/>
  <c r="U194" i="10"/>
  <c r="V194" i="10"/>
  <c r="U195" i="10"/>
  <c r="V195" i="10"/>
  <c r="U196" i="10"/>
  <c r="V196" i="10"/>
  <c r="U197" i="10"/>
  <c r="V197" i="10"/>
  <c r="U198" i="10"/>
  <c r="V198" i="10"/>
  <c r="U199" i="10"/>
  <c r="V199" i="10"/>
  <c r="U200" i="10"/>
  <c r="V200" i="10"/>
  <c r="U201" i="10"/>
  <c r="V201" i="10"/>
  <c r="U202" i="10"/>
  <c r="V202" i="10"/>
  <c r="U203" i="10"/>
  <c r="V203" i="10"/>
  <c r="U204" i="10"/>
  <c r="V204" i="10"/>
  <c r="U205" i="10"/>
  <c r="V205" i="10"/>
  <c r="U206" i="10"/>
  <c r="V206" i="10"/>
  <c r="U207" i="10"/>
  <c r="V207" i="10"/>
  <c r="U208" i="10"/>
  <c r="V208" i="10"/>
  <c r="U209" i="10"/>
  <c r="V209" i="10"/>
  <c r="U210" i="10"/>
  <c r="V210" i="10"/>
  <c r="U211" i="10"/>
  <c r="V211" i="10"/>
  <c r="U212" i="10"/>
  <c r="V212" i="10"/>
  <c r="U213" i="10"/>
  <c r="V213" i="10"/>
  <c r="U214" i="10"/>
  <c r="V214" i="10"/>
  <c r="U215" i="10"/>
  <c r="V215" i="10"/>
  <c r="U216" i="10"/>
  <c r="V216" i="10"/>
  <c r="U217" i="10"/>
  <c r="V217" i="10"/>
  <c r="U218" i="10"/>
  <c r="V218" i="10"/>
  <c r="U219" i="10"/>
  <c r="V219" i="10"/>
  <c r="U220" i="10"/>
  <c r="V220" i="10"/>
  <c r="U221" i="10"/>
  <c r="V221" i="10"/>
  <c r="U222" i="10"/>
  <c r="V222" i="10"/>
  <c r="U223" i="10"/>
  <c r="V223" i="10"/>
  <c r="U224" i="10"/>
  <c r="V224" i="10"/>
  <c r="U225" i="10"/>
  <c r="V225" i="10"/>
  <c r="U226" i="10"/>
  <c r="V226" i="10"/>
  <c r="U227" i="10"/>
  <c r="V227" i="10"/>
  <c r="U228" i="10"/>
  <c r="V228" i="10"/>
  <c r="U229" i="10"/>
  <c r="V229" i="10"/>
  <c r="U230" i="10"/>
  <c r="V230" i="10"/>
  <c r="U231" i="10"/>
  <c r="V231" i="10"/>
  <c r="U232" i="10"/>
  <c r="V232" i="10"/>
  <c r="U233" i="10"/>
  <c r="V233" i="10"/>
  <c r="U234" i="10"/>
  <c r="V234" i="10"/>
  <c r="U235" i="10"/>
  <c r="V235" i="10"/>
  <c r="U236" i="10"/>
  <c r="V236" i="10"/>
  <c r="U237" i="10"/>
  <c r="V237" i="10"/>
  <c r="U238" i="10"/>
  <c r="V238" i="10"/>
  <c r="U239" i="10"/>
  <c r="V239" i="10"/>
  <c r="U240" i="10"/>
  <c r="V240" i="10"/>
  <c r="U241" i="10"/>
  <c r="V241" i="10"/>
  <c r="U242" i="10"/>
  <c r="V242" i="10"/>
  <c r="U243" i="10"/>
  <c r="V243" i="10"/>
  <c r="U244" i="10"/>
  <c r="V244" i="10"/>
  <c r="U245" i="10"/>
  <c r="V245" i="10"/>
  <c r="U246" i="10"/>
  <c r="V246" i="10"/>
  <c r="U247" i="10"/>
  <c r="V247" i="10"/>
  <c r="U248" i="10"/>
  <c r="V248" i="10"/>
  <c r="U249" i="10"/>
  <c r="V249" i="10"/>
  <c r="U250" i="10"/>
  <c r="V250" i="10"/>
  <c r="U251" i="10"/>
  <c r="V251" i="10"/>
  <c r="U252" i="10"/>
  <c r="V252" i="10"/>
  <c r="U253" i="10"/>
  <c r="V253" i="10"/>
  <c r="U254" i="10"/>
  <c r="V254" i="10"/>
  <c r="U255" i="10"/>
  <c r="V255" i="10"/>
  <c r="U256" i="10"/>
  <c r="V256" i="10"/>
  <c r="U257" i="10"/>
  <c r="V257" i="10"/>
  <c r="U258" i="10"/>
  <c r="V258" i="10"/>
  <c r="U259" i="10"/>
  <c r="V259" i="10"/>
  <c r="U260" i="10"/>
  <c r="V260" i="10"/>
  <c r="U261" i="10"/>
  <c r="V261" i="10"/>
  <c r="U262" i="10"/>
  <c r="V262" i="10"/>
  <c r="U263" i="10"/>
  <c r="V263" i="10"/>
  <c r="U264" i="10"/>
  <c r="V264" i="10"/>
  <c r="U265" i="10"/>
  <c r="V265" i="10"/>
  <c r="U266" i="10"/>
  <c r="V266" i="10"/>
  <c r="U267" i="10"/>
  <c r="V267" i="10"/>
  <c r="U268" i="10"/>
  <c r="V268" i="10"/>
  <c r="U269" i="10"/>
  <c r="V269" i="10"/>
  <c r="U270" i="10"/>
  <c r="V270" i="10"/>
  <c r="U271" i="10"/>
  <c r="V271" i="10"/>
  <c r="U272" i="10"/>
  <c r="V272" i="10"/>
  <c r="U273" i="10"/>
  <c r="V273" i="10"/>
  <c r="U274" i="10"/>
  <c r="V274" i="10"/>
  <c r="U275" i="10"/>
  <c r="V275" i="10"/>
  <c r="U276" i="10"/>
  <c r="V276" i="10"/>
  <c r="U277" i="10"/>
  <c r="V277" i="10"/>
  <c r="U278" i="10"/>
  <c r="V278" i="10"/>
  <c r="U279" i="10"/>
  <c r="V279" i="10"/>
  <c r="U280" i="10"/>
  <c r="V280" i="10"/>
  <c r="U281" i="10"/>
  <c r="V281" i="10"/>
  <c r="U282" i="10"/>
  <c r="V282" i="10"/>
  <c r="U283" i="10"/>
  <c r="V283" i="10"/>
  <c r="U284" i="10"/>
  <c r="V284" i="10"/>
  <c r="U285" i="10"/>
  <c r="V285" i="10"/>
  <c r="U286" i="10"/>
  <c r="V286" i="10"/>
  <c r="U287" i="10"/>
  <c r="V287" i="10"/>
  <c r="U288" i="10"/>
  <c r="V288" i="10"/>
  <c r="U289" i="10"/>
  <c r="V289" i="10"/>
  <c r="U290" i="10"/>
  <c r="V290" i="10"/>
  <c r="U291" i="10"/>
  <c r="V291" i="10"/>
  <c r="U292" i="10"/>
  <c r="V292" i="10"/>
  <c r="U293" i="10"/>
  <c r="V293" i="10"/>
  <c r="U294" i="10"/>
  <c r="V294" i="10"/>
  <c r="U295" i="10"/>
  <c r="V295" i="10"/>
  <c r="U296" i="10"/>
  <c r="V296" i="10"/>
  <c r="U297" i="10"/>
  <c r="V297" i="10"/>
  <c r="U298" i="10"/>
  <c r="V298" i="10"/>
  <c r="U299" i="10"/>
  <c r="V299" i="10"/>
  <c r="U300" i="10"/>
  <c r="V300" i="10"/>
  <c r="U301" i="10"/>
  <c r="V301" i="10"/>
  <c r="U302" i="10"/>
  <c r="V302" i="10"/>
  <c r="U303" i="10"/>
  <c r="V303" i="10"/>
  <c r="U304" i="10"/>
  <c r="V304" i="10"/>
  <c r="U305" i="10"/>
  <c r="V305" i="10"/>
  <c r="U306" i="10"/>
  <c r="V306" i="10"/>
  <c r="U307" i="10"/>
  <c r="V307" i="10"/>
  <c r="U308" i="10"/>
  <c r="V308" i="10"/>
  <c r="U309" i="10"/>
  <c r="V309" i="10"/>
  <c r="U310" i="10"/>
  <c r="V310" i="10"/>
  <c r="U311" i="10"/>
  <c r="V311" i="10"/>
  <c r="U312" i="10"/>
  <c r="V312" i="10"/>
  <c r="U313" i="10"/>
  <c r="V313" i="10"/>
  <c r="U314" i="10"/>
  <c r="V314" i="10"/>
  <c r="U315" i="10"/>
  <c r="V315" i="10"/>
  <c r="U316" i="10"/>
  <c r="V316" i="10"/>
  <c r="U317" i="10"/>
  <c r="V317" i="10"/>
  <c r="U318" i="10"/>
  <c r="V318" i="10"/>
  <c r="U319" i="10"/>
  <c r="V319" i="10"/>
  <c r="U320" i="10"/>
  <c r="V320" i="10"/>
  <c r="U321" i="10"/>
  <c r="V321" i="10"/>
  <c r="U322" i="10"/>
  <c r="V322" i="10"/>
  <c r="V5" i="10"/>
  <c r="U5" i="10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Z785" i="6"/>
  <c r="Z786" i="6"/>
  <c r="Z787" i="6"/>
  <c r="Z788" i="6"/>
  <c r="Z789" i="6"/>
  <c r="Z790" i="6"/>
  <c r="Z791" i="6"/>
  <c r="Z792" i="6"/>
  <c r="Z793" i="6"/>
  <c r="Z794" i="6"/>
  <c r="Z795" i="6"/>
  <c r="Z796" i="6"/>
  <c r="Z797" i="6"/>
  <c r="Z798" i="6"/>
  <c r="Z799" i="6"/>
  <c r="Z800" i="6"/>
  <c r="Z801" i="6"/>
  <c r="Z802" i="6"/>
  <c r="Z803" i="6"/>
  <c r="Z804" i="6"/>
  <c r="Z805" i="6"/>
  <c r="Z806" i="6"/>
  <c r="Z807" i="6"/>
  <c r="Z808" i="6"/>
  <c r="Z809" i="6"/>
  <c r="Z810" i="6"/>
  <c r="Z811" i="6"/>
  <c r="Z812" i="6"/>
  <c r="Z813" i="6"/>
  <c r="Z814" i="6"/>
  <c r="Z815" i="6"/>
  <c r="Z816" i="6"/>
  <c r="Z817" i="6"/>
  <c r="Z818" i="6"/>
  <c r="Z819" i="6"/>
  <c r="Z820" i="6"/>
  <c r="Z821" i="6"/>
  <c r="Z822" i="6"/>
  <c r="Z823" i="6"/>
  <c r="Z824" i="6"/>
  <c r="Z825" i="6"/>
  <c r="Z826" i="6"/>
  <c r="Z827" i="6"/>
  <c r="Z828" i="6"/>
  <c r="Z829" i="6"/>
  <c r="Z830" i="6"/>
  <c r="Z831" i="6"/>
  <c r="Z832" i="6"/>
  <c r="Z833" i="6"/>
  <c r="Z834" i="6"/>
  <c r="Z835" i="6"/>
  <c r="Z836" i="6"/>
  <c r="Z837" i="6"/>
  <c r="Z838" i="6"/>
  <c r="Z839" i="6"/>
  <c r="Z840" i="6"/>
  <c r="Z841" i="6"/>
  <c r="Z842" i="6"/>
  <c r="Z843" i="6"/>
  <c r="Z844" i="6"/>
  <c r="Z845" i="6"/>
  <c r="Z846" i="6"/>
  <c r="Z847" i="6"/>
  <c r="Z848" i="6"/>
  <c r="Z849" i="6"/>
  <c r="Z850" i="6"/>
  <c r="Z851" i="6"/>
  <c r="Z852" i="6"/>
  <c r="Z853" i="6"/>
  <c r="Z854" i="6"/>
  <c r="Z855" i="6"/>
  <c r="Z856" i="6"/>
  <c r="Z857" i="6"/>
  <c r="Z858" i="6"/>
  <c r="Z859" i="6"/>
  <c r="Z860" i="6"/>
  <c r="Z861" i="6"/>
  <c r="Z862" i="6"/>
  <c r="Z863" i="6"/>
  <c r="Z864" i="6"/>
  <c r="Z865" i="6"/>
  <c r="Z866" i="6"/>
  <c r="Z867" i="6"/>
  <c r="Z868" i="6"/>
  <c r="Z869" i="6"/>
  <c r="Z870" i="6"/>
  <c r="Z871" i="6"/>
  <c r="Z872" i="6"/>
  <c r="Z873" i="6"/>
  <c r="Z874" i="6"/>
  <c r="Z875" i="6"/>
  <c r="Z876" i="6"/>
  <c r="Z877" i="6"/>
  <c r="Z878" i="6"/>
  <c r="Z879" i="6"/>
  <c r="Z880" i="6"/>
  <c r="Z881" i="6"/>
  <c r="Z882" i="6"/>
  <c r="Z883" i="6"/>
  <c r="Z884" i="6"/>
  <c r="Z885" i="6"/>
  <c r="Z886" i="6"/>
  <c r="Z887" i="6"/>
  <c r="Z888" i="6"/>
  <c r="Z889" i="6"/>
  <c r="Z890" i="6"/>
  <c r="Z891" i="6"/>
  <c r="Z892" i="6"/>
  <c r="Z893" i="6"/>
  <c r="Z894" i="6"/>
  <c r="Z895" i="6"/>
  <c r="Z896" i="6"/>
  <c r="Z897" i="6"/>
  <c r="Z898" i="6"/>
  <c r="Z899" i="6"/>
  <c r="Z900" i="6"/>
  <c r="Z901" i="6"/>
  <c r="Z902" i="6"/>
  <c r="Z903" i="6"/>
  <c r="Z904" i="6"/>
  <c r="Z905" i="6"/>
  <c r="Z906" i="6"/>
  <c r="Z907" i="6"/>
  <c r="Z908" i="6"/>
  <c r="Z909" i="6"/>
  <c r="Z910" i="6"/>
  <c r="Z911" i="6"/>
  <c r="Z912" i="6"/>
  <c r="Z913" i="6"/>
  <c r="Z914" i="6"/>
  <c r="Z915" i="6"/>
  <c r="Z916" i="6"/>
  <c r="Z917" i="6"/>
  <c r="Z918" i="6"/>
  <c r="Z919" i="6"/>
  <c r="Z920" i="6"/>
  <c r="Z921" i="6"/>
  <c r="Z922" i="6"/>
  <c r="Z923" i="6"/>
  <c r="Z924" i="6"/>
  <c r="Z925" i="6"/>
  <c r="Z926" i="6"/>
  <c r="Z927" i="6"/>
  <c r="Z928" i="6"/>
  <c r="Z929" i="6"/>
  <c r="Z930" i="6"/>
  <c r="Z931" i="6"/>
  <c r="Z932" i="6"/>
  <c r="Z933" i="6"/>
  <c r="Z934" i="6"/>
  <c r="Z935" i="6"/>
  <c r="Z936" i="6"/>
  <c r="Z937" i="6"/>
  <c r="Z938" i="6"/>
  <c r="Z939" i="6"/>
  <c r="Z940" i="6"/>
  <c r="Z941" i="6"/>
  <c r="Z942" i="6"/>
  <c r="Z943" i="6"/>
  <c r="Z944" i="6"/>
  <c r="Z945" i="6"/>
  <c r="Z946" i="6"/>
  <c r="Z947" i="6"/>
  <c r="Z948" i="6"/>
  <c r="Z949" i="6"/>
  <c r="Z950" i="6"/>
  <c r="Z951" i="6"/>
  <c r="Z952" i="6"/>
  <c r="Z953" i="6"/>
  <c r="Z954" i="6"/>
  <c r="Z955" i="6"/>
  <c r="Z956" i="6"/>
  <c r="Z957" i="6"/>
  <c r="Z958" i="6"/>
  <c r="Z959" i="6"/>
  <c r="Z960" i="6"/>
  <c r="Z961" i="6"/>
  <c r="Z962" i="6"/>
  <c r="Z963" i="6"/>
  <c r="Z964" i="6"/>
  <c r="Z965" i="6"/>
  <c r="Z966" i="6"/>
  <c r="Z967" i="6"/>
  <c r="Z968" i="6"/>
  <c r="Z969" i="6"/>
  <c r="Z970" i="6"/>
  <c r="Z971" i="6"/>
  <c r="Z972" i="6"/>
  <c r="Z973" i="6"/>
  <c r="Z974" i="6"/>
  <c r="Z975" i="6"/>
  <c r="Z976" i="6"/>
  <c r="Z977" i="6"/>
  <c r="Z978" i="6"/>
  <c r="Z979" i="6"/>
  <c r="Z980" i="6"/>
  <c r="Z981" i="6"/>
  <c r="Z982" i="6"/>
  <c r="Z983" i="6"/>
  <c r="Z984" i="6"/>
  <c r="Z985" i="6"/>
  <c r="Z986" i="6"/>
  <c r="Z987" i="6"/>
  <c r="Z988" i="6"/>
  <c r="Z989" i="6"/>
  <c r="Z990" i="6"/>
  <c r="Z991" i="6"/>
  <c r="Z992" i="6"/>
  <c r="Z993" i="6"/>
  <c r="Z994" i="6"/>
  <c r="Z995" i="6"/>
  <c r="Z996" i="6"/>
  <c r="Z997" i="6"/>
  <c r="Z998" i="6"/>
  <c r="Z999" i="6"/>
  <c r="Z1000" i="6"/>
  <c r="Z1001" i="6"/>
  <c r="Z1002" i="6"/>
  <c r="Z1003" i="6"/>
  <c r="Z1004" i="6"/>
  <c r="Z1005" i="6"/>
  <c r="Z1006" i="6"/>
  <c r="Z1007" i="6"/>
  <c r="Z1008" i="6"/>
  <c r="Z1009" i="6"/>
  <c r="Z1010" i="6"/>
  <c r="Z1011" i="6"/>
  <c r="Z1012" i="6"/>
  <c r="Z1013" i="6"/>
  <c r="Z1014" i="6"/>
  <c r="Z1015" i="6"/>
  <c r="Z1016" i="6"/>
  <c r="Z1017" i="6"/>
  <c r="Z1018" i="6"/>
  <c r="Z1019" i="6"/>
  <c r="Z1020" i="6"/>
  <c r="Z1021" i="6"/>
  <c r="Z1022" i="6"/>
  <c r="Z1023" i="6"/>
  <c r="Z1024" i="6"/>
  <c r="Z1025" i="6"/>
  <c r="Z1026" i="6"/>
  <c r="Z1027" i="6"/>
  <c r="Z1028" i="6"/>
  <c r="Z1029" i="6"/>
  <c r="Z1030" i="6"/>
  <c r="Z1031" i="6"/>
  <c r="Z1032" i="6"/>
  <c r="Z1033" i="6"/>
  <c r="Z1034" i="6"/>
  <c r="Z1035" i="6"/>
  <c r="Z1036" i="6"/>
  <c r="Z1037" i="6"/>
  <c r="Z1038" i="6"/>
  <c r="Z1039" i="6"/>
  <c r="Z1040" i="6"/>
  <c r="Z1041" i="6"/>
  <c r="Z1042" i="6"/>
  <c r="Z1043" i="6"/>
  <c r="Z1044" i="6"/>
  <c r="Z1045" i="6"/>
  <c r="Z1046" i="6"/>
  <c r="Z1047" i="6"/>
  <c r="Z1048" i="6"/>
  <c r="Z1049" i="6"/>
  <c r="Z1050" i="6"/>
  <c r="Z1051" i="6"/>
  <c r="Z1052" i="6"/>
  <c r="Z1053" i="6"/>
  <c r="Z1054" i="6"/>
  <c r="Z1055" i="6"/>
  <c r="Z1056" i="6"/>
  <c r="Z1057" i="6"/>
  <c r="Z1058" i="6"/>
  <c r="Z1059" i="6"/>
  <c r="Z1060" i="6"/>
  <c r="Z1061" i="6"/>
  <c r="Z1062" i="6"/>
  <c r="Z1063" i="6"/>
  <c r="Z1064" i="6"/>
  <c r="Z1065" i="6"/>
  <c r="Z1066" i="6"/>
  <c r="Z1067" i="6"/>
  <c r="Z1068" i="6"/>
  <c r="Z1069" i="6"/>
  <c r="Z1070" i="6"/>
  <c r="Z1071" i="6"/>
  <c r="Z1072" i="6"/>
  <c r="Z1073" i="6"/>
  <c r="Z1074" i="6"/>
  <c r="Z1075" i="6"/>
  <c r="Z1076" i="6"/>
  <c r="Z1077" i="6"/>
  <c r="Z1078" i="6"/>
  <c r="Z1079" i="6"/>
  <c r="Z1080" i="6"/>
  <c r="Z1081" i="6"/>
  <c r="Z1082" i="6"/>
  <c r="Z1083" i="6"/>
  <c r="Z1084" i="6"/>
  <c r="Z1085" i="6"/>
  <c r="Z1086" i="6"/>
  <c r="Z1087" i="6"/>
  <c r="Z1088" i="6"/>
  <c r="Z1089" i="6"/>
  <c r="Z1090" i="6"/>
  <c r="Z1091" i="6"/>
  <c r="Z1092" i="6"/>
  <c r="Z1093" i="6"/>
  <c r="Z1094" i="6"/>
  <c r="Z1095" i="6"/>
  <c r="Z1096" i="6"/>
  <c r="Z1097" i="6"/>
  <c r="Z1098" i="6"/>
  <c r="Z1099" i="6"/>
  <c r="Z1100" i="6"/>
  <c r="Z1101" i="6"/>
  <c r="Z1102" i="6"/>
  <c r="Z1103" i="6"/>
  <c r="Z1104" i="6"/>
  <c r="Z1105" i="6"/>
  <c r="Z1106" i="6"/>
  <c r="Z1107" i="6"/>
  <c r="Z1108" i="6"/>
  <c r="Z1109" i="6"/>
  <c r="Z1110" i="6"/>
  <c r="Z1111" i="6"/>
  <c r="Z1112" i="6"/>
  <c r="Z1113" i="6"/>
  <c r="Z1114" i="6"/>
  <c r="Z1115" i="6"/>
  <c r="Z1116" i="6"/>
  <c r="Z1117" i="6"/>
  <c r="Z1118" i="6"/>
  <c r="Z1119" i="6"/>
  <c r="Z1120" i="6"/>
  <c r="Z1121" i="6"/>
  <c r="Z1122" i="6"/>
  <c r="Z1123" i="6"/>
  <c r="Z1124" i="6"/>
  <c r="Z1125" i="6"/>
  <c r="Z1126" i="6"/>
  <c r="Z1127" i="6"/>
  <c r="Z1128" i="6"/>
  <c r="Z1129" i="6"/>
  <c r="Z1130" i="6"/>
  <c r="Z1131" i="6"/>
  <c r="Z1132" i="6"/>
  <c r="Z1133" i="6"/>
  <c r="Z1134" i="6"/>
  <c r="Z1135" i="6"/>
  <c r="Z1136" i="6"/>
  <c r="Z1137" i="6"/>
  <c r="Z1138" i="6"/>
  <c r="Z1139" i="6"/>
  <c r="Z1140" i="6"/>
  <c r="Z1141" i="6"/>
  <c r="Z1142" i="6"/>
  <c r="Z1143" i="6"/>
  <c r="Z1144" i="6"/>
  <c r="Z1145" i="6"/>
  <c r="Z1146" i="6"/>
  <c r="Z1147" i="6"/>
  <c r="Z1148" i="6"/>
  <c r="Z1149" i="6"/>
  <c r="Z1150" i="6"/>
  <c r="Z1151" i="6"/>
  <c r="Z1152" i="6"/>
  <c r="Z1153" i="6"/>
  <c r="Z1154" i="6"/>
  <c r="Z1155" i="6"/>
  <c r="Z1156" i="6"/>
  <c r="Z1157" i="6"/>
  <c r="Z1158" i="6"/>
  <c r="Z1159" i="6"/>
  <c r="Z1160" i="6"/>
  <c r="Z1161" i="6"/>
  <c r="Z1162" i="6"/>
  <c r="Z1163" i="6"/>
  <c r="Z1164" i="6"/>
  <c r="Z1165" i="6"/>
  <c r="Z1166" i="6"/>
  <c r="Z1167" i="6"/>
  <c r="Z1168" i="6"/>
  <c r="Z1169" i="6"/>
  <c r="Z1170" i="6"/>
  <c r="Z1171" i="6"/>
  <c r="Z1172" i="6"/>
  <c r="Z1173" i="6"/>
  <c r="Z1174" i="6"/>
  <c r="Z1175" i="6"/>
  <c r="Z1176" i="6"/>
  <c r="Z1177" i="6"/>
  <c r="Z1178" i="6"/>
  <c r="Z1179" i="6"/>
  <c r="Z1180" i="6"/>
  <c r="Z1181" i="6"/>
  <c r="Z1182" i="6"/>
  <c r="Z1183" i="6"/>
  <c r="Z1184" i="6"/>
  <c r="Z1185" i="6"/>
  <c r="Z1186" i="6"/>
  <c r="Z1187" i="6"/>
  <c r="Z1188" i="6"/>
  <c r="Z1189" i="6"/>
  <c r="Z1190" i="6"/>
  <c r="Z1191" i="6"/>
  <c r="Z1192" i="6"/>
  <c r="Z1193" i="6"/>
  <c r="Z1194" i="6"/>
  <c r="Z1195" i="6"/>
  <c r="Z1196" i="6"/>
  <c r="Z1197" i="6"/>
  <c r="Z1198" i="6"/>
  <c r="Z1199" i="6"/>
  <c r="Z1200" i="6"/>
  <c r="Z1201" i="6"/>
  <c r="Z1202" i="6"/>
  <c r="Z1203" i="6"/>
  <c r="Z1204" i="6"/>
  <c r="Z1205" i="6"/>
  <c r="Z1206" i="6"/>
  <c r="Z1207" i="6"/>
  <c r="Z1208" i="6"/>
  <c r="Z1209" i="6"/>
  <c r="Z1210" i="6"/>
  <c r="Z1211" i="6"/>
  <c r="Z1212" i="6"/>
  <c r="Z1213" i="6"/>
  <c r="Z1214" i="6"/>
  <c r="Z1215" i="6"/>
  <c r="Z1216" i="6"/>
  <c r="Z1217" i="6"/>
  <c r="Z1218" i="6"/>
  <c r="Z1219" i="6"/>
  <c r="Z1220" i="6"/>
  <c r="Z1221" i="6"/>
  <c r="Z1222" i="6"/>
  <c r="Z1223" i="6"/>
  <c r="Z1224" i="6"/>
  <c r="Z1225" i="6"/>
  <c r="Z1226" i="6"/>
  <c r="Z1227" i="6"/>
  <c r="Z1228" i="6"/>
  <c r="Z1229" i="6"/>
  <c r="Z1230" i="6"/>
  <c r="Z1231" i="6"/>
  <c r="Z1232" i="6"/>
  <c r="Z1233" i="6"/>
  <c r="Z1234" i="6"/>
  <c r="Z1235" i="6"/>
  <c r="Z1236" i="6"/>
  <c r="Z1237" i="6"/>
  <c r="Z1238" i="6"/>
  <c r="Z1239" i="6"/>
  <c r="Z1240" i="6"/>
  <c r="Z1241" i="6"/>
  <c r="Z1242" i="6"/>
  <c r="Z1243" i="6"/>
  <c r="Z1244" i="6"/>
  <c r="Z1245" i="6"/>
  <c r="Z1246" i="6"/>
  <c r="Z1247" i="6"/>
  <c r="Z1248" i="6"/>
  <c r="Z1249" i="6"/>
  <c r="Z1250" i="6"/>
  <c r="Z1251" i="6"/>
  <c r="Z1252" i="6"/>
  <c r="Z1253" i="6"/>
  <c r="Z1254" i="6"/>
  <c r="Z1255" i="6"/>
  <c r="Z1256" i="6"/>
  <c r="Z1257" i="6"/>
  <c r="Z1258" i="6"/>
  <c r="Z1259" i="6"/>
  <c r="Z1260" i="6"/>
  <c r="Z1261" i="6"/>
  <c r="Z1262" i="6"/>
  <c r="Z1263" i="6"/>
  <c r="Z1264" i="6"/>
  <c r="Z1265" i="6"/>
  <c r="Z1266" i="6"/>
  <c r="Z1267" i="6"/>
  <c r="Z1268" i="6"/>
  <c r="Z1269" i="6"/>
  <c r="Z1270" i="6"/>
  <c r="Z1271" i="6"/>
  <c r="Z1272" i="6"/>
  <c r="Z1273" i="6"/>
  <c r="Z1274" i="6"/>
  <c r="Z1275" i="6"/>
  <c r="Z1276" i="6"/>
  <c r="Z1277" i="6"/>
  <c r="Z1278" i="6"/>
  <c r="Z1279" i="6"/>
  <c r="Z1280" i="6"/>
  <c r="Z1281" i="6"/>
  <c r="Z1282" i="6"/>
  <c r="Z1283" i="6"/>
  <c r="Z1284" i="6"/>
  <c r="Z1285" i="6"/>
  <c r="Z1286" i="6"/>
  <c r="Z1287" i="6"/>
  <c r="Z1288" i="6"/>
  <c r="Z1289" i="6"/>
  <c r="Z1290" i="6"/>
  <c r="Z1291" i="6"/>
  <c r="Z1292" i="6"/>
  <c r="Z1293" i="6"/>
  <c r="Z1294" i="6"/>
  <c r="Z1295" i="6"/>
  <c r="Z1296" i="6"/>
  <c r="Z1297" i="6"/>
  <c r="Z1298" i="6"/>
  <c r="Z1299" i="6"/>
  <c r="Z1300" i="6"/>
  <c r="Z1301" i="6"/>
  <c r="Z1302" i="6"/>
  <c r="Z1303" i="6"/>
  <c r="Z1304" i="6"/>
  <c r="Z1305" i="6"/>
  <c r="Z1306" i="6"/>
  <c r="Z1307" i="6"/>
  <c r="Z1308" i="6"/>
  <c r="Z1309" i="6"/>
  <c r="Z1310" i="6"/>
  <c r="Z1311" i="6"/>
  <c r="Z1312" i="6"/>
  <c r="Z1313" i="6"/>
  <c r="Z1314" i="6"/>
  <c r="Z1315" i="6"/>
  <c r="Z1316" i="6"/>
  <c r="Z1317" i="6"/>
  <c r="Z1318" i="6"/>
  <c r="Z1319" i="6"/>
  <c r="Z1320" i="6"/>
  <c r="Z1321" i="6"/>
  <c r="Z1322" i="6"/>
  <c r="Z1323" i="6"/>
  <c r="Z1324" i="6"/>
  <c r="Z1325" i="6"/>
  <c r="Z1326" i="6"/>
  <c r="Z1327" i="6"/>
  <c r="Z1328" i="6"/>
  <c r="Z1329" i="6"/>
  <c r="Z1330" i="6"/>
  <c r="Z1331" i="6"/>
  <c r="Z1332" i="6"/>
  <c r="Z1333" i="6"/>
  <c r="Z1334" i="6"/>
  <c r="Z1335" i="6"/>
  <c r="Z1336" i="6"/>
  <c r="Z1337" i="6"/>
  <c r="Z1338" i="6"/>
  <c r="Z1339" i="6"/>
  <c r="Z1340" i="6"/>
  <c r="Z1341" i="6"/>
  <c r="Z1342" i="6"/>
  <c r="Z1343" i="6"/>
  <c r="Z1344" i="6"/>
  <c r="Z1345" i="6"/>
  <c r="Z1346" i="6"/>
  <c r="Z1347" i="6"/>
  <c r="Z1348" i="6"/>
  <c r="Z1349" i="6"/>
  <c r="Z1350" i="6"/>
  <c r="Z1351" i="6"/>
  <c r="Z1352" i="6"/>
  <c r="Z1353" i="6"/>
  <c r="Z1354" i="6"/>
  <c r="Z1355" i="6"/>
  <c r="Z1356" i="6"/>
  <c r="Z1357" i="6"/>
  <c r="Z1358" i="6"/>
  <c r="Z1359" i="6"/>
  <c r="Z1360" i="6"/>
  <c r="Z1361" i="6"/>
  <c r="Z1362" i="6"/>
  <c r="Z1363" i="6"/>
  <c r="Z1364" i="6"/>
  <c r="Z1365" i="6"/>
  <c r="Z1366" i="6"/>
  <c r="Z1367" i="6"/>
  <c r="Z1368" i="6"/>
  <c r="Z1369" i="6"/>
  <c r="Z1370" i="6"/>
  <c r="Z1371" i="6"/>
  <c r="Z1372" i="6"/>
  <c r="Z1373" i="6"/>
  <c r="Z1374" i="6"/>
  <c r="Z1375" i="6"/>
  <c r="Z1376" i="6"/>
  <c r="Z1377" i="6"/>
  <c r="Z1378" i="6"/>
  <c r="Z1379" i="6"/>
  <c r="Z1380" i="6"/>
  <c r="Z1381" i="6"/>
  <c r="Z1382" i="6"/>
  <c r="Z1383" i="6"/>
  <c r="Z1384" i="6"/>
  <c r="Z1385" i="6"/>
  <c r="Z1386" i="6"/>
  <c r="Z1387" i="6"/>
  <c r="Z1388" i="6"/>
  <c r="Z1389" i="6"/>
  <c r="Z1390" i="6"/>
  <c r="Z1391" i="6"/>
  <c r="Z1392" i="6"/>
  <c r="Z1393" i="6"/>
  <c r="Z1394" i="6"/>
  <c r="Z1395" i="6"/>
  <c r="Z1396" i="6"/>
  <c r="Z1397" i="6"/>
  <c r="Z1398" i="6"/>
  <c r="Z1399" i="6"/>
  <c r="Z1400" i="6"/>
  <c r="Z1401" i="6"/>
  <c r="Z1402" i="6"/>
  <c r="Z1403" i="6"/>
  <c r="Z1404" i="6"/>
  <c r="Z1405" i="6"/>
  <c r="Z1406" i="6"/>
  <c r="Z1407" i="6"/>
  <c r="Z1408" i="6"/>
  <c r="Z1409" i="6"/>
  <c r="Z1410" i="6"/>
  <c r="Z1411" i="6"/>
  <c r="Z1412" i="6"/>
  <c r="Z1413" i="6"/>
  <c r="Z1414" i="6"/>
  <c r="Z1415" i="6"/>
  <c r="Z1416" i="6"/>
  <c r="Z1417" i="6"/>
  <c r="Z1418" i="6"/>
  <c r="Z1419" i="6"/>
  <c r="Z1420" i="6"/>
  <c r="Z1421" i="6"/>
  <c r="Z1422" i="6"/>
  <c r="Z1423" i="6"/>
  <c r="Z1424" i="6"/>
  <c r="Z1425" i="6"/>
  <c r="Z1426" i="6"/>
  <c r="Z1427" i="6"/>
  <c r="Z1428" i="6"/>
  <c r="Z1429" i="6"/>
  <c r="Z1430" i="6"/>
  <c r="Z1431" i="6"/>
  <c r="Z1432" i="6"/>
  <c r="Z1433" i="6"/>
  <c r="Z1434" i="6"/>
  <c r="Z1435" i="6"/>
  <c r="Z1436" i="6"/>
  <c r="Z1437" i="6"/>
  <c r="Z1438" i="6"/>
  <c r="Z1439" i="6"/>
  <c r="Z1440" i="6"/>
  <c r="Z1441" i="6"/>
  <c r="Z1442" i="6"/>
  <c r="Z1443" i="6"/>
  <c r="Z1444" i="6"/>
  <c r="Z1445" i="6"/>
  <c r="Z1446" i="6"/>
  <c r="Z1447" i="6"/>
  <c r="Z1448" i="6"/>
  <c r="Z1449" i="6"/>
  <c r="Z1450" i="6"/>
  <c r="Z1451" i="6"/>
  <c r="Z1452" i="6"/>
  <c r="Z1453" i="6"/>
  <c r="Z1454" i="6"/>
  <c r="Z1455" i="6"/>
  <c r="Z1456" i="6"/>
  <c r="Z1457" i="6"/>
  <c r="Z1458" i="6"/>
  <c r="Z1459" i="6"/>
  <c r="Z1460" i="6"/>
  <c r="Z1461" i="6"/>
  <c r="Z1462" i="6"/>
  <c r="Z1463" i="6"/>
  <c r="Z1464" i="6"/>
  <c r="Z1465" i="6"/>
  <c r="Z1466" i="6"/>
  <c r="Z1467" i="6"/>
  <c r="Z1468" i="6"/>
  <c r="Z1469" i="6"/>
  <c r="Z1470" i="6"/>
  <c r="Z1471" i="6"/>
  <c r="Z1472" i="6"/>
  <c r="Z1473" i="6"/>
  <c r="Z1474" i="6"/>
  <c r="Z1475" i="6"/>
  <c r="Z1476" i="6"/>
  <c r="Z1477" i="6"/>
  <c r="Z1478" i="6"/>
  <c r="Z1479" i="6"/>
  <c r="Z1480" i="6"/>
  <c r="Z1481" i="6"/>
  <c r="Z1482" i="6"/>
  <c r="Z1483" i="6"/>
  <c r="Z1484" i="6"/>
  <c r="Z1485" i="6"/>
  <c r="Z1486" i="6"/>
  <c r="Z1487" i="6"/>
  <c r="Z1488" i="6"/>
  <c r="Z1489" i="6"/>
  <c r="Z1490" i="6"/>
  <c r="Z1491" i="6"/>
  <c r="Z1492" i="6"/>
  <c r="Z1493" i="6"/>
  <c r="Z1494" i="6"/>
  <c r="Z1495" i="6"/>
  <c r="Z1496" i="6"/>
  <c r="Z1497" i="6"/>
  <c r="Z1498" i="6"/>
  <c r="Z1499" i="6"/>
  <c r="Z1500" i="6"/>
  <c r="Z1501" i="6"/>
  <c r="Z1502" i="6"/>
  <c r="Z1503" i="6"/>
  <c r="Z1504" i="6"/>
  <c r="Z1505" i="6"/>
  <c r="Z1506" i="6"/>
  <c r="Z1507" i="6"/>
  <c r="Z1508" i="6"/>
  <c r="Z1509" i="6"/>
  <c r="Z1510" i="6"/>
  <c r="Z1511" i="6"/>
  <c r="Z1512" i="6"/>
  <c r="Z1513" i="6"/>
  <c r="Z1514" i="6"/>
  <c r="Z1515" i="6"/>
  <c r="Z1516" i="6"/>
  <c r="Z1517" i="6"/>
  <c r="Z1518" i="6"/>
  <c r="Z1519" i="6"/>
  <c r="Z1520" i="6"/>
  <c r="Z1521" i="6"/>
  <c r="Z1522" i="6"/>
  <c r="Z1523" i="6"/>
  <c r="Z1524" i="6"/>
  <c r="Z1525" i="6"/>
  <c r="Z1526" i="6"/>
  <c r="Z1527" i="6"/>
  <c r="Z1528" i="6"/>
  <c r="Z1529" i="6"/>
  <c r="Z1530" i="6"/>
  <c r="Z1531" i="6"/>
  <c r="Z1532" i="6"/>
  <c r="Z1533" i="6"/>
  <c r="Z1534" i="6"/>
  <c r="Z1535" i="6"/>
  <c r="Z1536" i="6"/>
  <c r="Z1537" i="6"/>
  <c r="Z1538" i="6"/>
  <c r="Z1539" i="6"/>
  <c r="Z1540" i="6"/>
  <c r="Z1541" i="6"/>
  <c r="Z1542" i="6"/>
  <c r="Z1543" i="6"/>
  <c r="Z1544" i="6"/>
  <c r="Z1545" i="6"/>
  <c r="Z1546" i="6"/>
  <c r="Z1547" i="6"/>
  <c r="Z1548" i="6"/>
  <c r="Z1549" i="6"/>
  <c r="Z1550" i="6"/>
  <c r="Z1551" i="6"/>
  <c r="Z1552" i="6"/>
  <c r="Z1553" i="6"/>
  <c r="Z1554" i="6"/>
  <c r="Z1555" i="6"/>
  <c r="Z1556" i="6"/>
  <c r="Z1557" i="6"/>
  <c r="Z1558" i="6"/>
  <c r="Z1559" i="6"/>
  <c r="Z1560" i="6"/>
  <c r="Z1561" i="6"/>
  <c r="Z1562" i="6"/>
  <c r="Z1563" i="6"/>
  <c r="Z1564" i="6"/>
  <c r="Z1565" i="6"/>
  <c r="Z1566" i="6"/>
  <c r="Z1567" i="6"/>
  <c r="Z1568" i="6"/>
  <c r="Z1569" i="6"/>
  <c r="Z1570" i="6"/>
  <c r="Z1571" i="6"/>
  <c r="Z1572" i="6"/>
  <c r="Z1573" i="6"/>
  <c r="Z1574" i="6"/>
  <c r="Z1575" i="6"/>
  <c r="Z1576" i="6"/>
  <c r="Z1577" i="6"/>
  <c r="Z1578" i="6"/>
  <c r="Z1579" i="6"/>
  <c r="Z1580" i="6"/>
  <c r="Z1581" i="6"/>
  <c r="Z1582" i="6"/>
  <c r="Z1583" i="6"/>
  <c r="Z1584" i="6"/>
  <c r="Z1585" i="6"/>
  <c r="Z1586" i="6"/>
  <c r="Z1587" i="6"/>
  <c r="Z1588" i="6"/>
  <c r="Z1589" i="6"/>
  <c r="Z1590" i="6"/>
  <c r="Z1591" i="6"/>
  <c r="Z1592" i="6"/>
  <c r="Z1593" i="6"/>
  <c r="Z1594" i="6"/>
  <c r="Z1595" i="6"/>
  <c r="Z1596" i="6"/>
  <c r="Z1597" i="6"/>
  <c r="Z1598" i="6"/>
  <c r="Z1599" i="6"/>
  <c r="Z1600" i="6"/>
  <c r="Z1601" i="6"/>
  <c r="Z1602" i="6"/>
  <c r="Z1603" i="6"/>
  <c r="Z1604" i="6"/>
  <c r="Z1605" i="6"/>
  <c r="Z1606" i="6"/>
  <c r="Z1607" i="6"/>
  <c r="Z1608" i="6"/>
  <c r="Z1609" i="6"/>
  <c r="Z1610" i="6"/>
  <c r="Z1611" i="6"/>
  <c r="Z1612" i="6"/>
  <c r="Z1613" i="6"/>
  <c r="Z1614" i="6"/>
  <c r="Z1615" i="6"/>
  <c r="Z1616" i="6"/>
  <c r="Z1617" i="6"/>
  <c r="Z1618" i="6"/>
  <c r="Z1619" i="6"/>
  <c r="Z1620" i="6"/>
  <c r="Z1621" i="6"/>
  <c r="Z1622" i="6"/>
  <c r="Z1623" i="6"/>
  <c r="Z1624" i="6"/>
  <c r="Z1625" i="6"/>
  <c r="Z1626" i="6"/>
  <c r="Z1627" i="6"/>
  <c r="Z1628" i="6"/>
  <c r="Z1629" i="6"/>
  <c r="Z1630" i="6"/>
  <c r="Z1631" i="6"/>
  <c r="Z1632" i="6"/>
  <c r="Z1633" i="6"/>
  <c r="Z1634" i="6"/>
  <c r="Z1635" i="6"/>
  <c r="Z1636" i="6"/>
  <c r="Z1637" i="6"/>
  <c r="Z1638" i="6"/>
  <c r="Z1639" i="6"/>
  <c r="Z1640" i="6"/>
  <c r="Z1641" i="6"/>
  <c r="Z1642" i="6"/>
  <c r="Z1643" i="6"/>
  <c r="Z1644" i="6"/>
  <c r="Z1645" i="6"/>
  <c r="Z1646" i="6"/>
  <c r="Z1647" i="6"/>
  <c r="Z1648" i="6"/>
  <c r="Z1649" i="6"/>
  <c r="Z1650" i="6"/>
  <c r="Z1651" i="6"/>
  <c r="Z1652" i="6"/>
  <c r="Z1653" i="6"/>
  <c r="Z1654" i="6"/>
  <c r="Z1655" i="6"/>
  <c r="Z1656" i="6"/>
  <c r="Z1657" i="6"/>
  <c r="Z1658" i="6"/>
  <c r="Z1659" i="6"/>
  <c r="Z1660" i="6"/>
  <c r="Z1661" i="6"/>
  <c r="Z1662" i="6"/>
  <c r="Z1663" i="6"/>
  <c r="Z1664" i="6"/>
  <c r="Z1665" i="6"/>
  <c r="Z1666" i="6"/>
  <c r="Z1667" i="6"/>
  <c r="Z1668" i="6"/>
  <c r="Z1669" i="6"/>
  <c r="Z1670" i="6"/>
  <c r="Z1671" i="6"/>
  <c r="Z1672" i="6"/>
  <c r="Z1673" i="6"/>
  <c r="Z1674" i="6"/>
  <c r="Z1675" i="6"/>
  <c r="Z1676" i="6"/>
  <c r="Z1677" i="6"/>
  <c r="Z1678" i="6"/>
  <c r="Z1679" i="6"/>
  <c r="Z1680" i="6"/>
  <c r="Z1681" i="6"/>
  <c r="Z1682" i="6"/>
  <c r="Z1683" i="6"/>
  <c r="Z1684" i="6"/>
  <c r="Z1685" i="6"/>
  <c r="Z1686" i="6"/>
  <c r="Z1687" i="6"/>
  <c r="Z1688" i="6"/>
  <c r="Z1689" i="6"/>
  <c r="Z1690" i="6"/>
  <c r="Z1691" i="6"/>
  <c r="Z1692" i="6"/>
  <c r="Z1693" i="6"/>
  <c r="Z1694" i="6"/>
  <c r="Z1695" i="6"/>
  <c r="Z1696" i="6"/>
  <c r="Z1697" i="6"/>
  <c r="Z1698" i="6"/>
  <c r="Z1699" i="6"/>
  <c r="Z1700" i="6"/>
  <c r="Z1701" i="6"/>
  <c r="Z1702" i="6"/>
  <c r="Z1703" i="6"/>
  <c r="Z1704" i="6"/>
  <c r="Z1705" i="6"/>
  <c r="Z1706" i="6"/>
  <c r="Z1707" i="6"/>
  <c r="Z1708" i="6"/>
  <c r="Z1709" i="6"/>
  <c r="Z1710" i="6"/>
  <c r="Z1711" i="6"/>
  <c r="Z1712" i="6"/>
  <c r="Z1713" i="6"/>
  <c r="Z1714" i="6"/>
  <c r="Z1715" i="6"/>
  <c r="Z1716" i="6"/>
  <c r="Z1717" i="6"/>
  <c r="Z1718" i="6"/>
  <c r="Z1719" i="6"/>
  <c r="Z1720" i="6"/>
  <c r="Z1721" i="6"/>
  <c r="Z1722" i="6"/>
  <c r="Z1723" i="6"/>
  <c r="Z1724" i="6"/>
  <c r="Z1725" i="6"/>
  <c r="Z1726" i="6"/>
  <c r="Z1727" i="6"/>
  <c r="Z1728" i="6"/>
  <c r="Z1729" i="6"/>
  <c r="Z1730" i="6"/>
  <c r="Z1731" i="6"/>
  <c r="Z1732" i="6"/>
  <c r="Z1733" i="6"/>
  <c r="Z1734" i="6"/>
  <c r="Z1735" i="6"/>
  <c r="Z1736" i="6"/>
  <c r="Z1737" i="6"/>
  <c r="Z1738" i="6"/>
  <c r="Z1739" i="6"/>
  <c r="Z1740" i="6"/>
  <c r="Z1741" i="6"/>
  <c r="Z1742" i="6"/>
  <c r="Z1743" i="6"/>
  <c r="Z1744" i="6"/>
  <c r="Z1745" i="6"/>
  <c r="Z1746" i="6"/>
  <c r="Z1747" i="6"/>
  <c r="Z1748" i="6"/>
  <c r="Z1749" i="6"/>
  <c r="Z1750" i="6"/>
  <c r="Z1751" i="6"/>
  <c r="Z1752" i="6"/>
  <c r="Z1753" i="6"/>
  <c r="Z1754" i="6"/>
  <c r="Z1755" i="6"/>
  <c r="Z1756" i="6"/>
  <c r="Z1757" i="6"/>
  <c r="Z1758" i="6"/>
  <c r="Z1759" i="6"/>
  <c r="Z1760" i="6"/>
  <c r="Z1761" i="6"/>
  <c r="Z1762" i="6"/>
  <c r="Z1763" i="6"/>
  <c r="Z1764" i="6"/>
  <c r="Z1765" i="6"/>
  <c r="Z1766" i="6"/>
  <c r="Z1767" i="6"/>
  <c r="Z1768" i="6"/>
  <c r="Z1769" i="6"/>
  <c r="Z1770" i="6"/>
  <c r="Z1771" i="6"/>
  <c r="Z1772" i="6"/>
  <c r="Z1773" i="6"/>
  <c r="Z1774" i="6"/>
  <c r="Z1775" i="6"/>
  <c r="Z1776" i="6"/>
  <c r="Z1777" i="6"/>
  <c r="Z1778" i="6"/>
  <c r="Z1779" i="6"/>
  <c r="Z1780" i="6"/>
  <c r="Z1781" i="6"/>
  <c r="Z1782" i="6"/>
  <c r="Z1783" i="6"/>
  <c r="Z1784" i="6"/>
  <c r="Z1785" i="6"/>
  <c r="Z1786" i="6"/>
  <c r="Z1787" i="6"/>
  <c r="Z1788" i="6"/>
  <c r="Z1789" i="6"/>
  <c r="Z1790" i="6"/>
  <c r="Z1791" i="6"/>
  <c r="Z1792" i="6"/>
  <c r="Z1793" i="6"/>
  <c r="Z1794" i="6"/>
  <c r="Z1795" i="6"/>
  <c r="Z1796" i="6"/>
  <c r="Z1797" i="6"/>
  <c r="Z1798" i="6"/>
  <c r="Z1799" i="6"/>
  <c r="Z1800" i="6"/>
  <c r="Z1801" i="6"/>
  <c r="Z1802" i="6"/>
  <c r="Z1803" i="6"/>
  <c r="Z1804" i="6"/>
  <c r="Z1805" i="6"/>
  <c r="Z1806" i="6"/>
  <c r="Z1807" i="6"/>
  <c r="Z1808" i="6"/>
  <c r="Z1809" i="6"/>
  <c r="Z1810" i="6"/>
  <c r="Z1811" i="6"/>
  <c r="Z1812" i="6"/>
  <c r="Z1813" i="6"/>
  <c r="Z1814" i="6"/>
  <c r="Z1815" i="6"/>
  <c r="Z1816" i="6"/>
  <c r="Z1817" i="6"/>
  <c r="Z1818" i="6"/>
  <c r="Z1819" i="6"/>
  <c r="Z1820" i="6"/>
  <c r="Z1821" i="6"/>
  <c r="Z1822" i="6"/>
  <c r="Z1823" i="6"/>
  <c r="Z1824" i="6"/>
  <c r="Z1825" i="6"/>
  <c r="Z1826" i="6"/>
  <c r="Z1827" i="6"/>
  <c r="Z1828" i="6"/>
  <c r="Z1829" i="6"/>
  <c r="Z1830" i="6"/>
  <c r="Z1831" i="6"/>
  <c r="Z1832" i="6"/>
  <c r="Z1833" i="6"/>
  <c r="Z1834" i="6"/>
  <c r="Z1835" i="6"/>
  <c r="Z1836" i="6"/>
  <c r="Z1837" i="6"/>
  <c r="Z1838" i="6"/>
  <c r="Z1839" i="6"/>
  <c r="Z1840" i="6"/>
  <c r="Z1841" i="6"/>
  <c r="Z1842" i="6"/>
  <c r="Z1843" i="6"/>
  <c r="Z1844" i="6"/>
  <c r="Z1845" i="6"/>
  <c r="Z1846" i="6"/>
  <c r="Z1847" i="6"/>
  <c r="Z1848" i="6"/>
  <c r="Z1849" i="6"/>
  <c r="Z1850" i="6"/>
  <c r="Z1851" i="6"/>
  <c r="Z1852" i="6"/>
  <c r="Z1853" i="6"/>
  <c r="Z1854" i="6"/>
  <c r="Z1855" i="6"/>
  <c r="Z1856" i="6"/>
  <c r="Z1857" i="6"/>
  <c r="Z1858" i="6"/>
  <c r="Z1859" i="6"/>
  <c r="Z1860" i="6"/>
  <c r="Z1861" i="6"/>
  <c r="Z1862" i="6"/>
  <c r="Z1863" i="6"/>
  <c r="Z1864" i="6"/>
  <c r="Z1865" i="6"/>
  <c r="Z1866" i="6"/>
  <c r="Z1867" i="6"/>
  <c r="Z1868" i="6"/>
  <c r="Z1869" i="6"/>
  <c r="Z1870" i="6"/>
  <c r="Z1871" i="6"/>
  <c r="Z1872" i="6"/>
  <c r="Z1873" i="6"/>
  <c r="Z1874" i="6"/>
  <c r="Z1875" i="6"/>
  <c r="Z1876" i="6"/>
  <c r="Z1877" i="6"/>
  <c r="Z1878" i="6"/>
  <c r="Z1879" i="6"/>
  <c r="Z1880" i="6"/>
  <c r="Z1881" i="6"/>
  <c r="Z1882" i="6"/>
  <c r="Z1883" i="6"/>
  <c r="Z1884" i="6"/>
  <c r="Z1885" i="6"/>
  <c r="Z1886" i="6"/>
  <c r="Z1887" i="6"/>
  <c r="Z1888" i="6"/>
  <c r="Z1889" i="6"/>
  <c r="Z1890" i="6"/>
  <c r="Z1891" i="6"/>
  <c r="Z1892" i="6"/>
  <c r="Z1893" i="6"/>
  <c r="Z1894" i="6"/>
  <c r="Z1895" i="6"/>
  <c r="Z1896" i="6"/>
  <c r="Z1897" i="6"/>
  <c r="Z1898" i="6"/>
  <c r="Z1899" i="6"/>
  <c r="Z1900" i="6"/>
  <c r="Z1901" i="6"/>
  <c r="Z1902" i="6"/>
  <c r="Z1903" i="6"/>
  <c r="Z1904" i="6"/>
  <c r="Z1905" i="6"/>
  <c r="Z1906" i="6"/>
  <c r="Z1907" i="6"/>
  <c r="Z1908" i="6"/>
  <c r="Z1909" i="6"/>
  <c r="Z1910" i="6"/>
  <c r="Z1911" i="6"/>
  <c r="Z1912" i="6"/>
  <c r="Z1913" i="6"/>
  <c r="Z1914" i="6"/>
  <c r="Z1915" i="6"/>
  <c r="Z1916" i="6"/>
  <c r="Z1917" i="6"/>
  <c r="Z1918" i="6"/>
  <c r="Z1919" i="6"/>
  <c r="Z1920" i="6"/>
  <c r="Z1921" i="6"/>
  <c r="Z1922" i="6"/>
  <c r="Z1923" i="6"/>
  <c r="Z1924" i="6"/>
  <c r="Z1925" i="6"/>
  <c r="Z1926" i="6"/>
  <c r="Z1927" i="6"/>
  <c r="Z1928" i="6"/>
  <c r="Z1929" i="6"/>
  <c r="Z1930" i="6"/>
  <c r="Z1931" i="6"/>
  <c r="Z1932" i="6"/>
  <c r="Z1933" i="6"/>
  <c r="Z1934" i="6"/>
  <c r="Z1935" i="6"/>
  <c r="Z1936" i="6"/>
  <c r="Z1937" i="6"/>
  <c r="Z1938" i="6"/>
  <c r="Z1939" i="6"/>
  <c r="Z1940" i="6"/>
  <c r="Z1941" i="6"/>
  <c r="Z1942" i="6"/>
  <c r="Z1943" i="6"/>
  <c r="Z1944" i="6"/>
  <c r="Z1945" i="6"/>
  <c r="Z1946" i="6"/>
  <c r="Z1947" i="6"/>
  <c r="Z1948" i="6"/>
  <c r="Z1949" i="6"/>
  <c r="Z1950" i="6"/>
  <c r="Z1951" i="6"/>
  <c r="Z1952" i="6"/>
  <c r="Z1953" i="6"/>
  <c r="Z1954" i="6"/>
  <c r="Z1955" i="6"/>
  <c r="Z1956" i="6"/>
  <c r="Z1957" i="6"/>
  <c r="Z1958" i="6"/>
  <c r="Z1959" i="6"/>
  <c r="Z1960" i="6"/>
  <c r="Z1961" i="6"/>
  <c r="Z1962" i="6"/>
  <c r="Z1963" i="6"/>
  <c r="Z1964" i="6"/>
  <c r="Z1965" i="6"/>
  <c r="Z1966" i="6"/>
  <c r="Z1967" i="6"/>
  <c r="Z1968" i="6"/>
  <c r="Z1969" i="6"/>
  <c r="Z1970" i="6"/>
  <c r="Z1971" i="6"/>
  <c r="Z1972" i="6"/>
  <c r="Z1973" i="6"/>
  <c r="Z1974" i="6"/>
  <c r="Z1975" i="6"/>
  <c r="Z1976" i="6"/>
  <c r="Z1977" i="6"/>
  <c r="Z1978" i="6"/>
  <c r="Z1979" i="6"/>
  <c r="Z1980" i="6"/>
  <c r="Z1981" i="6"/>
  <c r="Z1982" i="6"/>
  <c r="Z1983" i="6"/>
  <c r="Z1984" i="6"/>
  <c r="Z1985" i="6"/>
  <c r="Z1986" i="6"/>
  <c r="Z1987" i="6"/>
  <c r="Z1988" i="6"/>
  <c r="Z1989" i="6"/>
  <c r="Z1990" i="6"/>
  <c r="Z1991" i="6"/>
  <c r="Z1992" i="6"/>
  <c r="Z1993" i="6"/>
  <c r="Z1994" i="6"/>
  <c r="Z1995" i="6"/>
  <c r="Z1996" i="6"/>
  <c r="Z1997" i="6"/>
  <c r="Z1998" i="6"/>
  <c r="Z1999" i="6"/>
  <c r="Z2000" i="6"/>
  <c r="Z2001" i="6"/>
  <c r="Z2002" i="6"/>
  <c r="Z2003" i="6"/>
  <c r="Z2004" i="6"/>
  <c r="Z2005" i="6"/>
  <c r="Z2006" i="6"/>
  <c r="Z2007" i="6"/>
  <c r="Z2008" i="6"/>
  <c r="Z2009" i="6"/>
  <c r="Z2010" i="6"/>
  <c r="Z2011" i="6"/>
  <c r="Z2012" i="6"/>
  <c r="Z2013" i="6"/>
  <c r="Z2014" i="6"/>
  <c r="Z2015" i="6"/>
  <c r="Z2016" i="6"/>
  <c r="Z2017" i="6"/>
  <c r="Z2018" i="6"/>
  <c r="Z2019" i="6"/>
  <c r="Z2020" i="6"/>
  <c r="Z2021" i="6"/>
  <c r="Z2022" i="6"/>
  <c r="Z2023" i="6"/>
  <c r="Z2024" i="6"/>
  <c r="Z2025" i="6"/>
  <c r="Z2026" i="6"/>
  <c r="Z2027" i="6"/>
  <c r="Z2028" i="6"/>
  <c r="Z2029" i="6"/>
  <c r="Z2030" i="6"/>
  <c r="Z2031" i="6"/>
  <c r="Z2032" i="6"/>
  <c r="Z2033" i="6"/>
  <c r="Z2034" i="6"/>
  <c r="Z2035" i="6"/>
  <c r="Z2036" i="6"/>
  <c r="Z2037" i="6"/>
  <c r="Z2038" i="6"/>
  <c r="Z2039" i="6"/>
  <c r="Z2040" i="6"/>
  <c r="Z2041" i="6"/>
  <c r="Z2042" i="6"/>
  <c r="Z2043" i="6"/>
  <c r="Z2044" i="6"/>
  <c r="Z2045" i="6"/>
  <c r="Z2046" i="6"/>
  <c r="Z2047" i="6"/>
  <c r="Z2048" i="6"/>
  <c r="Z2049" i="6"/>
  <c r="Z2050" i="6"/>
  <c r="Z2051" i="6"/>
  <c r="Z2052" i="6"/>
  <c r="Z2053" i="6"/>
  <c r="Z2054" i="6"/>
  <c r="Z2055" i="6"/>
  <c r="Z2056" i="6"/>
  <c r="Z2057" i="6"/>
  <c r="Z2058" i="6"/>
  <c r="Z2059" i="6"/>
  <c r="Z2060" i="6"/>
  <c r="Z2061" i="6"/>
  <c r="Z2062" i="6"/>
  <c r="Z2063" i="6"/>
  <c r="Z2064" i="6"/>
  <c r="Z2065" i="6"/>
  <c r="Z2066" i="6"/>
  <c r="Z2067" i="6"/>
  <c r="Z2068" i="6"/>
  <c r="Z2069" i="6"/>
  <c r="Z2070" i="6"/>
  <c r="Z2071" i="6"/>
  <c r="Z2072" i="6"/>
  <c r="Z2073" i="6"/>
  <c r="Z2074" i="6"/>
  <c r="Z2075" i="6"/>
  <c r="Z2076" i="6"/>
  <c r="Z2077" i="6"/>
  <c r="Z2078" i="6"/>
  <c r="Z2079" i="6"/>
  <c r="Z2080" i="6"/>
  <c r="Z2081" i="6"/>
  <c r="Z2082" i="6"/>
  <c r="Z2083" i="6"/>
  <c r="Z2084" i="6"/>
  <c r="Z2085" i="6"/>
  <c r="Z2086" i="6"/>
  <c r="Z2087" i="6"/>
  <c r="Z2088" i="6"/>
  <c r="Z2089" i="6"/>
  <c r="Z2090" i="6"/>
  <c r="Z2091" i="6"/>
  <c r="Z2092" i="6"/>
  <c r="Z2093" i="6"/>
  <c r="Z2094" i="6"/>
  <c r="Z2095" i="6"/>
  <c r="Z2096" i="6"/>
  <c r="Z2097" i="6"/>
  <c r="Z2098" i="6"/>
  <c r="Z2099" i="6"/>
  <c r="Z2100" i="6"/>
  <c r="Z2101" i="6"/>
  <c r="Z2102" i="6"/>
  <c r="Z2103" i="6"/>
  <c r="Z2104" i="6"/>
  <c r="Z2105" i="6"/>
  <c r="Z2106" i="6"/>
  <c r="Z2107" i="6"/>
  <c r="Z2108" i="6"/>
  <c r="Z2109" i="6"/>
  <c r="Z2110" i="6"/>
  <c r="Z2111" i="6"/>
  <c r="Z2112" i="6"/>
  <c r="Z2113" i="6"/>
  <c r="Z2114" i="6"/>
  <c r="Z2115" i="6"/>
  <c r="Z2116" i="6"/>
  <c r="Z2117" i="6"/>
  <c r="Z2118" i="6"/>
  <c r="Z2119" i="6"/>
  <c r="Z2120" i="6"/>
  <c r="Z2121" i="6"/>
  <c r="Z2122" i="6"/>
  <c r="Z2123" i="6"/>
  <c r="Z2124" i="6"/>
  <c r="Z2125" i="6"/>
  <c r="Z2126" i="6"/>
  <c r="Z2127" i="6"/>
  <c r="Z2128" i="6"/>
  <c r="Z2129" i="6"/>
  <c r="Z2130" i="6"/>
  <c r="Z2131" i="6"/>
  <c r="Z2132" i="6"/>
  <c r="Z2133" i="6"/>
  <c r="Z2134" i="6"/>
  <c r="Z2135" i="6"/>
  <c r="Z2136" i="6"/>
  <c r="Z2137" i="6"/>
  <c r="Z2138" i="6"/>
  <c r="Z2139" i="6"/>
  <c r="Z2140" i="6"/>
  <c r="Z2141" i="6"/>
  <c r="Z2142" i="6"/>
  <c r="Z2143" i="6"/>
  <c r="Z2144" i="6"/>
  <c r="Z2145" i="6"/>
  <c r="Z2146" i="6"/>
  <c r="Z2147" i="6"/>
  <c r="Z2148" i="6"/>
  <c r="Z2149" i="6"/>
  <c r="Z2150" i="6"/>
  <c r="Z2151" i="6"/>
  <c r="Z2152" i="6"/>
  <c r="Z2153" i="6"/>
  <c r="Z2154" i="6"/>
  <c r="Z2155" i="6"/>
  <c r="Z2156" i="6"/>
  <c r="Z2157" i="6"/>
  <c r="Z2158" i="6"/>
  <c r="Z2159" i="6"/>
  <c r="Z2160" i="6"/>
  <c r="Z2161" i="6"/>
  <c r="Z2162" i="6"/>
  <c r="Z2163" i="6"/>
  <c r="Z2164" i="6"/>
  <c r="Z2165" i="6"/>
  <c r="Z2166" i="6"/>
  <c r="Z2167" i="6"/>
  <c r="Z2168" i="6"/>
  <c r="Z2169" i="6"/>
  <c r="Z2170" i="6"/>
  <c r="Z2171" i="6"/>
  <c r="Z2172" i="6"/>
  <c r="Z2173" i="6"/>
  <c r="Z2174" i="6"/>
  <c r="Z2175" i="6"/>
  <c r="Z2176" i="6"/>
  <c r="Z2177" i="6"/>
  <c r="Z2178" i="6"/>
  <c r="Z2179" i="6"/>
  <c r="Z2180" i="6"/>
  <c r="Z2181" i="6"/>
  <c r="Z2182" i="6"/>
  <c r="Z2183" i="6"/>
  <c r="Z2184" i="6"/>
  <c r="Z2185" i="6"/>
  <c r="Z2186" i="6"/>
  <c r="Z2187" i="6"/>
  <c r="Z2188" i="6"/>
  <c r="Z2189" i="6"/>
  <c r="Z2190" i="6"/>
  <c r="Z2191" i="6"/>
  <c r="Z2192" i="6"/>
  <c r="Z2193" i="6"/>
  <c r="Z2194" i="6"/>
  <c r="Z2195" i="6"/>
  <c r="Z2196" i="6"/>
  <c r="Z2197" i="6"/>
  <c r="Z2198" i="6"/>
  <c r="Z2199" i="6"/>
  <c r="Z2200" i="6"/>
  <c r="Z2201" i="6"/>
  <c r="Z2202" i="6"/>
  <c r="Z2203" i="6"/>
  <c r="Z2204" i="6"/>
  <c r="Z2205" i="6"/>
  <c r="Z2206" i="6"/>
  <c r="Z2207" i="6"/>
  <c r="Z2208" i="6"/>
  <c r="Z2209" i="6"/>
  <c r="Z2210" i="6"/>
  <c r="Z2211" i="6"/>
  <c r="Z2212" i="6"/>
  <c r="Z2213" i="6"/>
  <c r="Z2214" i="6"/>
  <c r="Z2215" i="6"/>
  <c r="Z2216" i="6"/>
  <c r="Z2217" i="6"/>
  <c r="Z2218" i="6"/>
  <c r="Z2219" i="6"/>
  <c r="Z2220" i="6"/>
  <c r="Z2221" i="6"/>
  <c r="Z2222" i="6"/>
  <c r="Z2223" i="6"/>
  <c r="Z2224" i="6"/>
  <c r="Z2225" i="6"/>
  <c r="Z2226" i="6"/>
  <c r="Z2227" i="6"/>
  <c r="Z2228" i="6"/>
  <c r="Z2229" i="6"/>
  <c r="Z2230" i="6"/>
  <c r="Z2231" i="6"/>
  <c r="Z2232" i="6"/>
  <c r="Z2233" i="6"/>
  <c r="Z2234" i="6"/>
  <c r="Z2235" i="6"/>
  <c r="Z2236" i="6"/>
  <c r="Z2237" i="6"/>
  <c r="Z2238" i="6"/>
  <c r="Z2239" i="6"/>
  <c r="Z2240" i="6"/>
  <c r="Z2241" i="6"/>
  <c r="Z2242" i="6"/>
  <c r="Z2243" i="6"/>
  <c r="Z2244" i="6"/>
  <c r="Z2245" i="6"/>
  <c r="Z2246" i="6"/>
  <c r="Z2247" i="6"/>
  <c r="Z2248" i="6"/>
  <c r="Z2249" i="6"/>
  <c r="Z2250" i="6"/>
  <c r="Z2251" i="6"/>
  <c r="Z2252" i="6"/>
  <c r="Z2253" i="6"/>
  <c r="Z2254" i="6"/>
  <c r="Z2255" i="6"/>
  <c r="Z2256" i="6"/>
  <c r="Z2257" i="6"/>
  <c r="Z2258" i="6"/>
  <c r="Z2259" i="6"/>
  <c r="Z2260" i="6"/>
  <c r="Z2261" i="6"/>
  <c r="Z2262" i="6"/>
  <c r="Z2263" i="6"/>
  <c r="Z2264" i="6"/>
  <c r="Z2265" i="6"/>
  <c r="Z2266" i="6"/>
  <c r="Z2267" i="6"/>
  <c r="Z2268" i="6"/>
  <c r="Z2269" i="6"/>
  <c r="Z2270" i="6"/>
  <c r="Z2271" i="6"/>
  <c r="Z2272" i="6"/>
  <c r="Z2273" i="6"/>
  <c r="Z2274" i="6"/>
  <c r="Z2275" i="6"/>
  <c r="Z2276" i="6"/>
  <c r="Z2277" i="6"/>
  <c r="Z2278" i="6"/>
  <c r="Z2279" i="6"/>
  <c r="Z2280" i="6"/>
  <c r="Z2281" i="6"/>
  <c r="Z2282" i="6"/>
  <c r="Z2283" i="6"/>
  <c r="Z2284" i="6"/>
  <c r="Z2285" i="6"/>
  <c r="Z2286" i="6"/>
  <c r="Z2287" i="6"/>
  <c r="Z2288" i="6"/>
  <c r="Z2289" i="6"/>
  <c r="Z2290" i="6"/>
  <c r="Z2291" i="6"/>
  <c r="Z2292" i="6"/>
  <c r="Z2293" i="6"/>
  <c r="Z2294" i="6"/>
  <c r="Z2295" i="6"/>
  <c r="Z2296" i="6"/>
  <c r="Z2297" i="6"/>
  <c r="Z2298" i="6"/>
  <c r="Z2299" i="6"/>
  <c r="Z2300" i="6"/>
  <c r="Z2301" i="6"/>
  <c r="Z2302" i="6"/>
  <c r="Z2303" i="6"/>
  <c r="Z2304" i="6"/>
  <c r="Z2305" i="6"/>
  <c r="Z2306" i="6"/>
  <c r="Z2307" i="6"/>
  <c r="Z2308" i="6"/>
  <c r="Z2309" i="6"/>
  <c r="Z2310" i="6"/>
  <c r="Z2311" i="6"/>
  <c r="Z2312" i="6"/>
  <c r="Z2313" i="6"/>
  <c r="Z2314" i="6"/>
  <c r="Z2315" i="6"/>
  <c r="Z2316" i="6"/>
  <c r="Z2317" i="6"/>
  <c r="Z2318" i="6"/>
  <c r="Z2319" i="6"/>
  <c r="Z2320" i="6"/>
  <c r="Z2321" i="6"/>
  <c r="Z2322" i="6"/>
  <c r="Z2323" i="6"/>
  <c r="Z2324" i="6"/>
  <c r="Z2325" i="6"/>
  <c r="Z2326" i="6"/>
  <c r="Z2327" i="6"/>
  <c r="Z2328" i="6"/>
  <c r="Z2329" i="6"/>
  <c r="Z2330" i="6"/>
  <c r="Z2331" i="6"/>
  <c r="Z2332" i="6"/>
  <c r="Z2333" i="6"/>
  <c r="Z2334" i="6"/>
  <c r="Z2335" i="6"/>
  <c r="Z2336" i="6"/>
  <c r="Z2337" i="6"/>
  <c r="Z2338" i="6"/>
  <c r="Z2339" i="6"/>
  <c r="Z2340" i="6"/>
  <c r="Z2341" i="6"/>
  <c r="Z2342" i="6"/>
  <c r="Z2343" i="6"/>
  <c r="Z2344" i="6"/>
  <c r="Z2345" i="6"/>
  <c r="Z2346" i="6"/>
  <c r="Z2347" i="6"/>
  <c r="Z2348" i="6"/>
  <c r="Z2349" i="6"/>
  <c r="Z2350" i="6"/>
  <c r="Z2351" i="6"/>
  <c r="Z2352" i="6"/>
  <c r="Z2353" i="6"/>
  <c r="Z2354" i="6"/>
  <c r="Z2355" i="6"/>
  <c r="Z2356" i="6"/>
  <c r="Z2357" i="6"/>
  <c r="Z2358" i="6"/>
  <c r="Z2359" i="6"/>
  <c r="Z2360" i="6"/>
  <c r="Z2361" i="6"/>
  <c r="Z2362" i="6"/>
  <c r="Z2363" i="6"/>
  <c r="Z2364" i="6"/>
  <c r="Z2365" i="6"/>
  <c r="Z2366" i="6"/>
  <c r="Z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2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49" i="6"/>
  <c r="Y750" i="6"/>
  <c r="Y751" i="6"/>
  <c r="Y752" i="6"/>
  <c r="Y753" i="6"/>
  <c r="Y754" i="6"/>
  <c r="Y755" i="6"/>
  <c r="Y756" i="6"/>
  <c r="Y757" i="6"/>
  <c r="Y758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Y771" i="6"/>
  <c r="Y772" i="6"/>
  <c r="Y773" i="6"/>
  <c r="Y774" i="6"/>
  <c r="Y775" i="6"/>
  <c r="Y776" i="6"/>
  <c r="Y777" i="6"/>
  <c r="Y778" i="6"/>
  <c r="Y779" i="6"/>
  <c r="Y780" i="6"/>
  <c r="Y781" i="6"/>
  <c r="Y782" i="6"/>
  <c r="Y783" i="6"/>
  <c r="Y784" i="6"/>
  <c r="Y785" i="6"/>
  <c r="Y786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19" i="6"/>
  <c r="Y820" i="6"/>
  <c r="Y821" i="6"/>
  <c r="Y822" i="6"/>
  <c r="Y823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Y898" i="6"/>
  <c r="Y899" i="6"/>
  <c r="Y900" i="6"/>
  <c r="Y901" i="6"/>
  <c r="Y902" i="6"/>
  <c r="Y903" i="6"/>
  <c r="Y904" i="6"/>
  <c r="Y905" i="6"/>
  <c r="Y906" i="6"/>
  <c r="Y907" i="6"/>
  <c r="Y908" i="6"/>
  <c r="Y909" i="6"/>
  <c r="Y910" i="6"/>
  <c r="Y911" i="6"/>
  <c r="Y912" i="6"/>
  <c r="Y913" i="6"/>
  <c r="Y914" i="6"/>
  <c r="Y915" i="6"/>
  <c r="Y916" i="6"/>
  <c r="Y917" i="6"/>
  <c r="Y918" i="6"/>
  <c r="Y919" i="6"/>
  <c r="Y920" i="6"/>
  <c r="Y921" i="6"/>
  <c r="Y922" i="6"/>
  <c r="Y923" i="6"/>
  <c r="Y924" i="6"/>
  <c r="Y925" i="6"/>
  <c r="Y926" i="6"/>
  <c r="Y927" i="6"/>
  <c r="Y928" i="6"/>
  <c r="Y929" i="6"/>
  <c r="Y930" i="6"/>
  <c r="Y931" i="6"/>
  <c r="Y932" i="6"/>
  <c r="Y933" i="6"/>
  <c r="Y934" i="6"/>
  <c r="Y935" i="6"/>
  <c r="Y936" i="6"/>
  <c r="Y937" i="6"/>
  <c r="Y938" i="6"/>
  <c r="Y939" i="6"/>
  <c r="Y940" i="6"/>
  <c r="Y941" i="6"/>
  <c r="Y942" i="6"/>
  <c r="Y943" i="6"/>
  <c r="Y944" i="6"/>
  <c r="Y945" i="6"/>
  <c r="Y946" i="6"/>
  <c r="Y947" i="6"/>
  <c r="Y948" i="6"/>
  <c r="Y949" i="6"/>
  <c r="Y950" i="6"/>
  <c r="Y951" i="6"/>
  <c r="Y952" i="6"/>
  <c r="Y953" i="6"/>
  <c r="Y954" i="6"/>
  <c r="Y955" i="6"/>
  <c r="Y956" i="6"/>
  <c r="Y957" i="6"/>
  <c r="Y958" i="6"/>
  <c r="Y959" i="6"/>
  <c r="Y960" i="6"/>
  <c r="Y961" i="6"/>
  <c r="Y962" i="6"/>
  <c r="Y963" i="6"/>
  <c r="Y964" i="6"/>
  <c r="Y965" i="6"/>
  <c r="Y966" i="6"/>
  <c r="Y967" i="6"/>
  <c r="Y968" i="6"/>
  <c r="Y969" i="6"/>
  <c r="Y970" i="6"/>
  <c r="Y971" i="6"/>
  <c r="Y972" i="6"/>
  <c r="Y973" i="6"/>
  <c r="Y974" i="6"/>
  <c r="Y975" i="6"/>
  <c r="Y976" i="6"/>
  <c r="Y977" i="6"/>
  <c r="Y978" i="6"/>
  <c r="Y979" i="6"/>
  <c r="Y980" i="6"/>
  <c r="Y981" i="6"/>
  <c r="Y982" i="6"/>
  <c r="Y983" i="6"/>
  <c r="Y984" i="6"/>
  <c r="Y985" i="6"/>
  <c r="Y986" i="6"/>
  <c r="Y987" i="6"/>
  <c r="Y988" i="6"/>
  <c r="Y989" i="6"/>
  <c r="Y990" i="6"/>
  <c r="Y991" i="6"/>
  <c r="Y992" i="6"/>
  <c r="Y993" i="6"/>
  <c r="Y994" i="6"/>
  <c r="Y995" i="6"/>
  <c r="Y996" i="6"/>
  <c r="Y997" i="6"/>
  <c r="Y998" i="6"/>
  <c r="Y999" i="6"/>
  <c r="Y1000" i="6"/>
  <c r="Y1001" i="6"/>
  <c r="Y1002" i="6"/>
  <c r="Y1003" i="6"/>
  <c r="Y1004" i="6"/>
  <c r="Y1005" i="6"/>
  <c r="Y1006" i="6"/>
  <c r="Y1007" i="6"/>
  <c r="Y1008" i="6"/>
  <c r="Y1009" i="6"/>
  <c r="Y1010" i="6"/>
  <c r="Y1011" i="6"/>
  <c r="Y1012" i="6"/>
  <c r="Y1013" i="6"/>
  <c r="Y1014" i="6"/>
  <c r="Y1015" i="6"/>
  <c r="Y1016" i="6"/>
  <c r="Y1017" i="6"/>
  <c r="Y1018" i="6"/>
  <c r="Y1019" i="6"/>
  <c r="Y1020" i="6"/>
  <c r="Y1021" i="6"/>
  <c r="Y1022" i="6"/>
  <c r="Y1023" i="6"/>
  <c r="Y1024" i="6"/>
  <c r="Y1025" i="6"/>
  <c r="Y1026" i="6"/>
  <c r="Y1027" i="6"/>
  <c r="Y1028" i="6"/>
  <c r="Y1029" i="6"/>
  <c r="Y1030" i="6"/>
  <c r="Y1031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48" i="6"/>
  <c r="Y1049" i="6"/>
  <c r="Y1050" i="6"/>
  <c r="Y1051" i="6"/>
  <c r="Y1052" i="6"/>
  <c r="Y1053" i="6"/>
  <c r="Y1054" i="6"/>
  <c r="Y1055" i="6"/>
  <c r="Y1056" i="6"/>
  <c r="Y1057" i="6"/>
  <c r="Y1058" i="6"/>
  <c r="Y1059" i="6"/>
  <c r="Y1060" i="6"/>
  <c r="Y1061" i="6"/>
  <c r="Y1062" i="6"/>
  <c r="Y1063" i="6"/>
  <c r="Y1064" i="6"/>
  <c r="Y1065" i="6"/>
  <c r="Y1066" i="6"/>
  <c r="Y1067" i="6"/>
  <c r="Y1068" i="6"/>
  <c r="Y1069" i="6"/>
  <c r="Y1070" i="6"/>
  <c r="Y1071" i="6"/>
  <c r="Y1072" i="6"/>
  <c r="Y1073" i="6"/>
  <c r="Y1074" i="6"/>
  <c r="Y1075" i="6"/>
  <c r="Y1076" i="6"/>
  <c r="Y1077" i="6"/>
  <c r="Y1078" i="6"/>
  <c r="Y1079" i="6"/>
  <c r="Y1080" i="6"/>
  <c r="Y1081" i="6"/>
  <c r="Y1082" i="6"/>
  <c r="Y1083" i="6"/>
  <c r="Y1084" i="6"/>
  <c r="Y1085" i="6"/>
  <c r="Y1086" i="6"/>
  <c r="Y1087" i="6"/>
  <c r="Y1088" i="6"/>
  <c r="Y1089" i="6"/>
  <c r="Y1090" i="6"/>
  <c r="Y1091" i="6"/>
  <c r="Y1092" i="6"/>
  <c r="Y1093" i="6"/>
  <c r="Y1094" i="6"/>
  <c r="Y1095" i="6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Y1114" i="6"/>
  <c r="Y1115" i="6"/>
  <c r="Y1116" i="6"/>
  <c r="Y1117" i="6"/>
  <c r="Y1118" i="6"/>
  <c r="Y1119" i="6"/>
  <c r="Y1120" i="6"/>
  <c r="Y1121" i="6"/>
  <c r="Y1122" i="6"/>
  <c r="Y1123" i="6"/>
  <c r="Y1124" i="6"/>
  <c r="Y1125" i="6"/>
  <c r="Y1126" i="6"/>
  <c r="Y1127" i="6"/>
  <c r="Y1128" i="6"/>
  <c r="Y1129" i="6"/>
  <c r="Y1130" i="6"/>
  <c r="Y1131" i="6"/>
  <c r="Y1132" i="6"/>
  <c r="Y1133" i="6"/>
  <c r="Y1134" i="6"/>
  <c r="Y1135" i="6"/>
  <c r="Y1136" i="6"/>
  <c r="Y1137" i="6"/>
  <c r="Y1138" i="6"/>
  <c r="Y1139" i="6"/>
  <c r="Y1140" i="6"/>
  <c r="Y1141" i="6"/>
  <c r="Y1142" i="6"/>
  <c r="Y1143" i="6"/>
  <c r="Y1144" i="6"/>
  <c r="Y1145" i="6"/>
  <c r="Y1146" i="6"/>
  <c r="Y1147" i="6"/>
  <c r="Y1148" i="6"/>
  <c r="Y1149" i="6"/>
  <c r="Y1150" i="6"/>
  <c r="Y1151" i="6"/>
  <c r="Y1152" i="6"/>
  <c r="Y1153" i="6"/>
  <c r="Y1154" i="6"/>
  <c r="Y1155" i="6"/>
  <c r="Y1156" i="6"/>
  <c r="Y1157" i="6"/>
  <c r="Y1158" i="6"/>
  <c r="Y1159" i="6"/>
  <c r="Y1160" i="6"/>
  <c r="Y1161" i="6"/>
  <c r="Y1162" i="6"/>
  <c r="Y1163" i="6"/>
  <c r="Y1164" i="6"/>
  <c r="Y1165" i="6"/>
  <c r="Y1166" i="6"/>
  <c r="Y1167" i="6"/>
  <c r="Y1168" i="6"/>
  <c r="Y1169" i="6"/>
  <c r="Y1170" i="6"/>
  <c r="Y1171" i="6"/>
  <c r="Y1172" i="6"/>
  <c r="Y1173" i="6"/>
  <c r="Y1174" i="6"/>
  <c r="Y1175" i="6"/>
  <c r="Y1176" i="6"/>
  <c r="Y1177" i="6"/>
  <c r="Y1178" i="6"/>
  <c r="Y1179" i="6"/>
  <c r="Y1180" i="6"/>
  <c r="Y1181" i="6"/>
  <c r="Y1182" i="6"/>
  <c r="Y1183" i="6"/>
  <c r="Y1184" i="6"/>
  <c r="Y1185" i="6"/>
  <c r="Y1186" i="6"/>
  <c r="Y1187" i="6"/>
  <c r="Y1188" i="6"/>
  <c r="Y1189" i="6"/>
  <c r="Y1190" i="6"/>
  <c r="Y1191" i="6"/>
  <c r="Y1192" i="6"/>
  <c r="Y1193" i="6"/>
  <c r="Y1194" i="6"/>
  <c r="Y1195" i="6"/>
  <c r="Y1196" i="6"/>
  <c r="Y1197" i="6"/>
  <c r="Y1198" i="6"/>
  <c r="Y1199" i="6"/>
  <c r="Y1200" i="6"/>
  <c r="Y1201" i="6"/>
  <c r="Y1202" i="6"/>
  <c r="Y1203" i="6"/>
  <c r="Y1204" i="6"/>
  <c r="Y1205" i="6"/>
  <c r="Y1206" i="6"/>
  <c r="Y1207" i="6"/>
  <c r="Y1208" i="6"/>
  <c r="Y1209" i="6"/>
  <c r="Y1210" i="6"/>
  <c r="Y1211" i="6"/>
  <c r="Y1212" i="6"/>
  <c r="Y1213" i="6"/>
  <c r="Y1214" i="6"/>
  <c r="Y1215" i="6"/>
  <c r="Y1216" i="6"/>
  <c r="Y1217" i="6"/>
  <c r="Y1218" i="6"/>
  <c r="Y1219" i="6"/>
  <c r="Y1220" i="6"/>
  <c r="Y1221" i="6"/>
  <c r="Y1222" i="6"/>
  <c r="Y1223" i="6"/>
  <c r="Y1224" i="6"/>
  <c r="Y1225" i="6"/>
  <c r="Y1226" i="6"/>
  <c r="Y1227" i="6"/>
  <c r="Y1228" i="6"/>
  <c r="Y1229" i="6"/>
  <c r="Y1230" i="6"/>
  <c r="Y1231" i="6"/>
  <c r="Y1232" i="6"/>
  <c r="Y1233" i="6"/>
  <c r="Y1234" i="6"/>
  <c r="Y1235" i="6"/>
  <c r="Y1236" i="6"/>
  <c r="Y1237" i="6"/>
  <c r="Y1238" i="6"/>
  <c r="Y1239" i="6"/>
  <c r="Y1240" i="6"/>
  <c r="Y1241" i="6"/>
  <c r="Y1242" i="6"/>
  <c r="Y1243" i="6"/>
  <c r="Y1244" i="6"/>
  <c r="Y1245" i="6"/>
  <c r="Y1246" i="6"/>
  <c r="Y1247" i="6"/>
  <c r="Y1248" i="6"/>
  <c r="Y1249" i="6"/>
  <c r="Y1250" i="6"/>
  <c r="Y1251" i="6"/>
  <c r="Y1252" i="6"/>
  <c r="Y1253" i="6"/>
  <c r="Y1254" i="6"/>
  <c r="Y1255" i="6"/>
  <c r="Y1256" i="6"/>
  <c r="Y1257" i="6"/>
  <c r="Y1258" i="6"/>
  <c r="Y1259" i="6"/>
  <c r="Y1260" i="6"/>
  <c r="Y1261" i="6"/>
  <c r="Y1262" i="6"/>
  <c r="Y1263" i="6"/>
  <c r="Y1264" i="6"/>
  <c r="Y1265" i="6"/>
  <c r="Y1266" i="6"/>
  <c r="Y1267" i="6"/>
  <c r="Y1268" i="6"/>
  <c r="Y1269" i="6"/>
  <c r="Y1270" i="6"/>
  <c r="Y1271" i="6"/>
  <c r="Y1272" i="6"/>
  <c r="Y1273" i="6"/>
  <c r="Y1274" i="6"/>
  <c r="Y1275" i="6"/>
  <c r="Y1276" i="6"/>
  <c r="Y1277" i="6"/>
  <c r="Y1278" i="6"/>
  <c r="Y1279" i="6"/>
  <c r="Y1280" i="6"/>
  <c r="Y1281" i="6"/>
  <c r="Y1282" i="6"/>
  <c r="Y1283" i="6"/>
  <c r="Y1284" i="6"/>
  <c r="Y1285" i="6"/>
  <c r="Y1286" i="6"/>
  <c r="Y1287" i="6"/>
  <c r="Y1288" i="6"/>
  <c r="Y1289" i="6"/>
  <c r="Y1290" i="6"/>
  <c r="Y1291" i="6"/>
  <c r="Y1292" i="6"/>
  <c r="Y1293" i="6"/>
  <c r="Y1294" i="6"/>
  <c r="Y1295" i="6"/>
  <c r="Y1296" i="6"/>
  <c r="Y1297" i="6"/>
  <c r="Y1298" i="6"/>
  <c r="Y1299" i="6"/>
  <c r="Y1300" i="6"/>
  <c r="Y1301" i="6"/>
  <c r="Y1302" i="6"/>
  <c r="Y1303" i="6"/>
  <c r="Y1304" i="6"/>
  <c r="Y1305" i="6"/>
  <c r="Y1306" i="6"/>
  <c r="Y1307" i="6"/>
  <c r="Y1308" i="6"/>
  <c r="Y1309" i="6"/>
  <c r="Y1310" i="6"/>
  <c r="Y1311" i="6"/>
  <c r="Y1312" i="6"/>
  <c r="Y1313" i="6"/>
  <c r="Y1314" i="6"/>
  <c r="Y1315" i="6"/>
  <c r="Y1316" i="6"/>
  <c r="Y1317" i="6"/>
  <c r="Y1318" i="6"/>
  <c r="Y1319" i="6"/>
  <c r="Y1320" i="6"/>
  <c r="Y1321" i="6"/>
  <c r="Y1322" i="6"/>
  <c r="Y1323" i="6"/>
  <c r="Y1324" i="6"/>
  <c r="Y1325" i="6"/>
  <c r="Y1326" i="6"/>
  <c r="Y1327" i="6"/>
  <c r="Y1328" i="6"/>
  <c r="Y1329" i="6"/>
  <c r="Y1330" i="6"/>
  <c r="Y1331" i="6"/>
  <c r="Y1332" i="6"/>
  <c r="Y1333" i="6"/>
  <c r="Y1334" i="6"/>
  <c r="Y1335" i="6"/>
  <c r="Y1336" i="6"/>
  <c r="Y1337" i="6"/>
  <c r="Y1338" i="6"/>
  <c r="Y1339" i="6"/>
  <c r="Y1340" i="6"/>
  <c r="Y1341" i="6"/>
  <c r="Y1342" i="6"/>
  <c r="Y1343" i="6"/>
  <c r="Y1344" i="6"/>
  <c r="Y1345" i="6"/>
  <c r="Y1346" i="6"/>
  <c r="Y1347" i="6"/>
  <c r="Y1348" i="6"/>
  <c r="Y1349" i="6"/>
  <c r="Y1350" i="6"/>
  <c r="Y1351" i="6"/>
  <c r="Y1352" i="6"/>
  <c r="Y1353" i="6"/>
  <c r="Y1354" i="6"/>
  <c r="Y1355" i="6"/>
  <c r="Y1356" i="6"/>
  <c r="Y1357" i="6"/>
  <c r="Y1358" i="6"/>
  <c r="Y1359" i="6"/>
  <c r="Y1360" i="6"/>
  <c r="Y1361" i="6"/>
  <c r="Y1362" i="6"/>
  <c r="Y1363" i="6"/>
  <c r="Y1364" i="6"/>
  <c r="Y1365" i="6"/>
  <c r="Y1366" i="6"/>
  <c r="Y1367" i="6"/>
  <c r="Y1368" i="6"/>
  <c r="Y1369" i="6"/>
  <c r="Y1370" i="6"/>
  <c r="Y1371" i="6"/>
  <c r="Y1372" i="6"/>
  <c r="Y1373" i="6"/>
  <c r="Y1374" i="6"/>
  <c r="Y1375" i="6"/>
  <c r="Y1376" i="6"/>
  <c r="Y1377" i="6"/>
  <c r="Y1378" i="6"/>
  <c r="Y1379" i="6"/>
  <c r="Y1380" i="6"/>
  <c r="Y1381" i="6"/>
  <c r="Y1382" i="6"/>
  <c r="Y1383" i="6"/>
  <c r="Y1384" i="6"/>
  <c r="Y1385" i="6"/>
  <c r="Y1386" i="6"/>
  <c r="Y1387" i="6"/>
  <c r="Y1388" i="6"/>
  <c r="Y1389" i="6"/>
  <c r="Y1390" i="6"/>
  <c r="Y1391" i="6"/>
  <c r="Y1392" i="6"/>
  <c r="Y1393" i="6"/>
  <c r="Y1394" i="6"/>
  <c r="Y1395" i="6"/>
  <c r="Y1396" i="6"/>
  <c r="Y1397" i="6"/>
  <c r="Y1398" i="6"/>
  <c r="Y1399" i="6"/>
  <c r="Y1400" i="6"/>
  <c r="Y1401" i="6"/>
  <c r="Y1402" i="6"/>
  <c r="Y1403" i="6"/>
  <c r="Y1404" i="6"/>
  <c r="Y1405" i="6"/>
  <c r="Y1406" i="6"/>
  <c r="Y1407" i="6"/>
  <c r="Y1408" i="6"/>
  <c r="Y1409" i="6"/>
  <c r="Y1410" i="6"/>
  <c r="Y1411" i="6"/>
  <c r="Y1412" i="6"/>
  <c r="Y1413" i="6"/>
  <c r="Y1414" i="6"/>
  <c r="Y1415" i="6"/>
  <c r="Y1416" i="6"/>
  <c r="Y1417" i="6"/>
  <c r="Y1418" i="6"/>
  <c r="Y1419" i="6"/>
  <c r="Y1420" i="6"/>
  <c r="Y1421" i="6"/>
  <c r="Y1422" i="6"/>
  <c r="Y1423" i="6"/>
  <c r="Y1424" i="6"/>
  <c r="Y1425" i="6"/>
  <c r="Y1426" i="6"/>
  <c r="Y1427" i="6"/>
  <c r="Y1428" i="6"/>
  <c r="Y1429" i="6"/>
  <c r="Y1430" i="6"/>
  <c r="Y1431" i="6"/>
  <c r="Y1432" i="6"/>
  <c r="Y1433" i="6"/>
  <c r="Y1434" i="6"/>
  <c r="Y1435" i="6"/>
  <c r="Y1436" i="6"/>
  <c r="Y1437" i="6"/>
  <c r="Y1438" i="6"/>
  <c r="Y1439" i="6"/>
  <c r="Y1440" i="6"/>
  <c r="Y1441" i="6"/>
  <c r="Y1442" i="6"/>
  <c r="Y1443" i="6"/>
  <c r="Y1444" i="6"/>
  <c r="Y1445" i="6"/>
  <c r="Y1446" i="6"/>
  <c r="Y1447" i="6"/>
  <c r="Y1448" i="6"/>
  <c r="Y1449" i="6"/>
  <c r="Y1450" i="6"/>
  <c r="Y1451" i="6"/>
  <c r="Y1452" i="6"/>
  <c r="Y1453" i="6"/>
  <c r="Y1454" i="6"/>
  <c r="Y1455" i="6"/>
  <c r="Y1456" i="6"/>
  <c r="Y1457" i="6"/>
  <c r="Y1458" i="6"/>
  <c r="Y1459" i="6"/>
  <c r="Y1460" i="6"/>
  <c r="Y1461" i="6"/>
  <c r="Y1462" i="6"/>
  <c r="Y1463" i="6"/>
  <c r="Y1464" i="6"/>
  <c r="Y1465" i="6"/>
  <c r="Y1466" i="6"/>
  <c r="Y1467" i="6"/>
  <c r="Y1468" i="6"/>
  <c r="Y1469" i="6"/>
  <c r="Y1470" i="6"/>
  <c r="Y1471" i="6"/>
  <c r="Y1472" i="6"/>
  <c r="Y1473" i="6"/>
  <c r="Y1474" i="6"/>
  <c r="Y1475" i="6"/>
  <c r="Y1476" i="6"/>
  <c r="Y1477" i="6"/>
  <c r="Y1478" i="6"/>
  <c r="Y1479" i="6"/>
  <c r="Y1480" i="6"/>
  <c r="Y1481" i="6"/>
  <c r="Y1482" i="6"/>
  <c r="Y1483" i="6"/>
  <c r="Y1484" i="6"/>
  <c r="Y1485" i="6"/>
  <c r="Y1486" i="6"/>
  <c r="Y1487" i="6"/>
  <c r="Y1488" i="6"/>
  <c r="Y1489" i="6"/>
  <c r="Y1490" i="6"/>
  <c r="Y1491" i="6"/>
  <c r="Y1492" i="6"/>
  <c r="Y1493" i="6"/>
  <c r="Y1494" i="6"/>
  <c r="Y1495" i="6"/>
  <c r="Y1496" i="6"/>
  <c r="Y1497" i="6"/>
  <c r="Y1498" i="6"/>
  <c r="Y1499" i="6"/>
  <c r="Y1500" i="6"/>
  <c r="Y1501" i="6"/>
  <c r="Y1502" i="6"/>
  <c r="Y1503" i="6"/>
  <c r="Y1504" i="6"/>
  <c r="Y1505" i="6"/>
  <c r="Y1506" i="6"/>
  <c r="Y1507" i="6"/>
  <c r="Y1508" i="6"/>
  <c r="Y1509" i="6"/>
  <c r="Y1510" i="6"/>
  <c r="Y1511" i="6"/>
  <c r="Y1512" i="6"/>
  <c r="Y1513" i="6"/>
  <c r="Y1514" i="6"/>
  <c r="Y1515" i="6"/>
  <c r="Y1516" i="6"/>
  <c r="Y1517" i="6"/>
  <c r="Y1518" i="6"/>
  <c r="Y1519" i="6"/>
  <c r="Y1520" i="6"/>
  <c r="Y1521" i="6"/>
  <c r="Y1522" i="6"/>
  <c r="Y1523" i="6"/>
  <c r="Y1524" i="6"/>
  <c r="Y1525" i="6"/>
  <c r="Y1526" i="6"/>
  <c r="Y1527" i="6"/>
  <c r="Y1528" i="6"/>
  <c r="Y1529" i="6"/>
  <c r="Y1530" i="6"/>
  <c r="Y1531" i="6"/>
  <c r="Y1532" i="6"/>
  <c r="Y1533" i="6"/>
  <c r="Y1534" i="6"/>
  <c r="Y1535" i="6"/>
  <c r="Y1536" i="6"/>
  <c r="Y1537" i="6"/>
  <c r="Y1538" i="6"/>
  <c r="Y1539" i="6"/>
  <c r="Y1540" i="6"/>
  <c r="Y1541" i="6"/>
  <c r="Y1542" i="6"/>
  <c r="Y1543" i="6"/>
  <c r="Y1544" i="6"/>
  <c r="Y1545" i="6"/>
  <c r="Y1546" i="6"/>
  <c r="Y1547" i="6"/>
  <c r="Y1548" i="6"/>
  <c r="Y1549" i="6"/>
  <c r="Y1550" i="6"/>
  <c r="Y1551" i="6"/>
  <c r="Y1552" i="6"/>
  <c r="Y1553" i="6"/>
  <c r="Y1554" i="6"/>
  <c r="Y1555" i="6"/>
  <c r="Y1556" i="6"/>
  <c r="Y1557" i="6"/>
  <c r="Y1558" i="6"/>
  <c r="Y1559" i="6"/>
  <c r="Y1560" i="6"/>
  <c r="Y1561" i="6"/>
  <c r="Y1562" i="6"/>
  <c r="Y1563" i="6"/>
  <c r="Y1564" i="6"/>
  <c r="Y1565" i="6"/>
  <c r="Y1566" i="6"/>
  <c r="Y1567" i="6"/>
  <c r="Y1568" i="6"/>
  <c r="Y1569" i="6"/>
  <c r="Y1570" i="6"/>
  <c r="Y1571" i="6"/>
  <c r="Y1572" i="6"/>
  <c r="Y1573" i="6"/>
  <c r="Y1574" i="6"/>
  <c r="Y1575" i="6"/>
  <c r="Y1576" i="6"/>
  <c r="Y1577" i="6"/>
  <c r="Y1578" i="6"/>
  <c r="Y1579" i="6"/>
  <c r="Y1580" i="6"/>
  <c r="Y1581" i="6"/>
  <c r="Y1582" i="6"/>
  <c r="Y1583" i="6"/>
  <c r="Y1584" i="6"/>
  <c r="Y1585" i="6"/>
  <c r="Y1586" i="6"/>
  <c r="Y1587" i="6"/>
  <c r="Y1588" i="6"/>
  <c r="Y1589" i="6"/>
  <c r="Y1590" i="6"/>
  <c r="Y1591" i="6"/>
  <c r="Y1592" i="6"/>
  <c r="Y1593" i="6"/>
  <c r="Y1594" i="6"/>
  <c r="Y1595" i="6"/>
  <c r="Y1596" i="6"/>
  <c r="Y1597" i="6"/>
  <c r="Y1598" i="6"/>
  <c r="Y1599" i="6"/>
  <c r="Y1600" i="6"/>
  <c r="Y1601" i="6"/>
  <c r="Y1602" i="6"/>
  <c r="Y1603" i="6"/>
  <c r="Y1604" i="6"/>
  <c r="Y1605" i="6"/>
  <c r="Y1606" i="6"/>
  <c r="Y1607" i="6"/>
  <c r="Y1608" i="6"/>
  <c r="Y1609" i="6"/>
  <c r="Y1610" i="6"/>
  <c r="Y1611" i="6"/>
  <c r="Y1612" i="6"/>
  <c r="Y1613" i="6"/>
  <c r="Y1614" i="6"/>
  <c r="Y1615" i="6"/>
  <c r="Y1616" i="6"/>
  <c r="Y1617" i="6"/>
  <c r="Y1618" i="6"/>
  <c r="Y1619" i="6"/>
  <c r="Y1620" i="6"/>
  <c r="Y1621" i="6"/>
  <c r="Y1622" i="6"/>
  <c r="Y1623" i="6"/>
  <c r="Y1624" i="6"/>
  <c r="Y1625" i="6"/>
  <c r="Y1626" i="6"/>
  <c r="Y1627" i="6"/>
  <c r="Y1628" i="6"/>
  <c r="Y1629" i="6"/>
  <c r="Y1630" i="6"/>
  <c r="Y1631" i="6"/>
  <c r="Y1632" i="6"/>
  <c r="Y1633" i="6"/>
  <c r="Y1634" i="6"/>
  <c r="Y1635" i="6"/>
  <c r="Y1636" i="6"/>
  <c r="Y1637" i="6"/>
  <c r="Y1638" i="6"/>
  <c r="Y1639" i="6"/>
  <c r="Y1640" i="6"/>
  <c r="Y1641" i="6"/>
  <c r="Y1642" i="6"/>
  <c r="Y1643" i="6"/>
  <c r="Y1644" i="6"/>
  <c r="Y1645" i="6"/>
  <c r="Y1646" i="6"/>
  <c r="Y1647" i="6"/>
  <c r="Y1648" i="6"/>
  <c r="Y1649" i="6"/>
  <c r="Y1650" i="6"/>
  <c r="Y1651" i="6"/>
  <c r="Y1652" i="6"/>
  <c r="Y1653" i="6"/>
  <c r="Y1654" i="6"/>
  <c r="Y1655" i="6"/>
  <c r="Y1656" i="6"/>
  <c r="Y1657" i="6"/>
  <c r="Y1658" i="6"/>
  <c r="Y1659" i="6"/>
  <c r="Y1660" i="6"/>
  <c r="Y1661" i="6"/>
  <c r="Y1662" i="6"/>
  <c r="Y1663" i="6"/>
  <c r="Y1664" i="6"/>
  <c r="Y1665" i="6"/>
  <c r="Y1666" i="6"/>
  <c r="Y1667" i="6"/>
  <c r="Y1668" i="6"/>
  <c r="Y1669" i="6"/>
  <c r="Y1670" i="6"/>
  <c r="Y1671" i="6"/>
  <c r="Y1672" i="6"/>
  <c r="Y1673" i="6"/>
  <c r="Y1674" i="6"/>
  <c r="Y1675" i="6"/>
  <c r="Y1676" i="6"/>
  <c r="Y1677" i="6"/>
  <c r="Y1678" i="6"/>
  <c r="Y1679" i="6"/>
  <c r="Y1680" i="6"/>
  <c r="Y1681" i="6"/>
  <c r="Y1682" i="6"/>
  <c r="Y1683" i="6"/>
  <c r="Y1684" i="6"/>
  <c r="Y1685" i="6"/>
  <c r="Y1686" i="6"/>
  <c r="Y1687" i="6"/>
  <c r="Y1688" i="6"/>
  <c r="Y1689" i="6"/>
  <c r="Y1690" i="6"/>
  <c r="Y1691" i="6"/>
  <c r="Y1692" i="6"/>
  <c r="Y1693" i="6"/>
  <c r="Y1694" i="6"/>
  <c r="Y1695" i="6"/>
  <c r="Y1696" i="6"/>
  <c r="Y1697" i="6"/>
  <c r="Y1698" i="6"/>
  <c r="Y1699" i="6"/>
  <c r="Y1700" i="6"/>
  <c r="Y1701" i="6"/>
  <c r="Y1702" i="6"/>
  <c r="Y1703" i="6"/>
  <c r="Y1704" i="6"/>
  <c r="Y1705" i="6"/>
  <c r="Y1706" i="6"/>
  <c r="Y1707" i="6"/>
  <c r="Y1708" i="6"/>
  <c r="Y1709" i="6"/>
  <c r="Y1710" i="6"/>
  <c r="Y1711" i="6"/>
  <c r="Y1712" i="6"/>
  <c r="Y1713" i="6"/>
  <c r="Y1714" i="6"/>
  <c r="Y1715" i="6"/>
  <c r="Y1716" i="6"/>
  <c r="Y1717" i="6"/>
  <c r="Y1718" i="6"/>
  <c r="Y1719" i="6"/>
  <c r="Y1720" i="6"/>
  <c r="Y1721" i="6"/>
  <c r="Y1722" i="6"/>
  <c r="Y1723" i="6"/>
  <c r="Y1724" i="6"/>
  <c r="Y1725" i="6"/>
  <c r="Y1726" i="6"/>
  <c r="Y1727" i="6"/>
  <c r="Y1728" i="6"/>
  <c r="Y1729" i="6"/>
  <c r="Y1730" i="6"/>
  <c r="Y1731" i="6"/>
  <c r="Y1732" i="6"/>
  <c r="Y1733" i="6"/>
  <c r="Y1734" i="6"/>
  <c r="Y1735" i="6"/>
  <c r="Y1736" i="6"/>
  <c r="Y1737" i="6"/>
  <c r="Y1738" i="6"/>
  <c r="Y1739" i="6"/>
  <c r="Y1740" i="6"/>
  <c r="Y1741" i="6"/>
  <c r="Y1742" i="6"/>
  <c r="Y1743" i="6"/>
  <c r="Y1744" i="6"/>
  <c r="Y1745" i="6"/>
  <c r="Y1746" i="6"/>
  <c r="Y1747" i="6"/>
  <c r="Y1748" i="6"/>
  <c r="Y1749" i="6"/>
  <c r="Y1750" i="6"/>
  <c r="Y1751" i="6"/>
  <c r="Y1752" i="6"/>
  <c r="Y1753" i="6"/>
  <c r="Y1754" i="6"/>
  <c r="Y1755" i="6"/>
  <c r="Y1756" i="6"/>
  <c r="Y1757" i="6"/>
  <c r="Y1758" i="6"/>
  <c r="Y1759" i="6"/>
  <c r="Y1760" i="6"/>
  <c r="Y1761" i="6"/>
  <c r="Y1762" i="6"/>
  <c r="Y1763" i="6"/>
  <c r="Y1764" i="6"/>
  <c r="Y1765" i="6"/>
  <c r="Y1766" i="6"/>
  <c r="Y1767" i="6"/>
  <c r="Y1768" i="6"/>
  <c r="Y1769" i="6"/>
  <c r="Y1770" i="6"/>
  <c r="Y1771" i="6"/>
  <c r="Y1772" i="6"/>
  <c r="Y1773" i="6"/>
  <c r="Y1774" i="6"/>
  <c r="Y1775" i="6"/>
  <c r="Y1776" i="6"/>
  <c r="Y1777" i="6"/>
  <c r="Y1778" i="6"/>
  <c r="Y1779" i="6"/>
  <c r="Y1780" i="6"/>
  <c r="Y1781" i="6"/>
  <c r="Y1782" i="6"/>
  <c r="Y1783" i="6"/>
  <c r="Y1784" i="6"/>
  <c r="Y1785" i="6"/>
  <c r="Y1786" i="6"/>
  <c r="Y1787" i="6"/>
  <c r="Y1788" i="6"/>
  <c r="Y1789" i="6"/>
  <c r="Y1790" i="6"/>
  <c r="Y1791" i="6"/>
  <c r="Y1792" i="6"/>
  <c r="Y1793" i="6"/>
  <c r="Y1794" i="6"/>
  <c r="Y1795" i="6"/>
  <c r="Y1796" i="6"/>
  <c r="Y1797" i="6"/>
  <c r="Y1798" i="6"/>
  <c r="Y1799" i="6"/>
  <c r="Y1800" i="6"/>
  <c r="Y1801" i="6"/>
  <c r="Y1802" i="6"/>
  <c r="Y1803" i="6"/>
  <c r="Y1804" i="6"/>
  <c r="Y1805" i="6"/>
  <c r="Y1806" i="6"/>
  <c r="Y1807" i="6"/>
  <c r="Y1808" i="6"/>
  <c r="Y1809" i="6"/>
  <c r="Y1810" i="6"/>
  <c r="Y1811" i="6"/>
  <c r="Y1812" i="6"/>
  <c r="Y1813" i="6"/>
  <c r="Y1814" i="6"/>
  <c r="Y1815" i="6"/>
  <c r="Y1816" i="6"/>
  <c r="Y1817" i="6"/>
  <c r="Y1818" i="6"/>
  <c r="Y1819" i="6"/>
  <c r="Y1820" i="6"/>
  <c r="Y1821" i="6"/>
  <c r="Y1822" i="6"/>
  <c r="Y1823" i="6"/>
  <c r="Y1824" i="6"/>
  <c r="Y1825" i="6"/>
  <c r="Y1826" i="6"/>
  <c r="Y1827" i="6"/>
  <c r="Y1828" i="6"/>
  <c r="Y1829" i="6"/>
  <c r="Y1830" i="6"/>
  <c r="Y1831" i="6"/>
  <c r="Y1832" i="6"/>
  <c r="Y1833" i="6"/>
  <c r="Y1834" i="6"/>
  <c r="Y1835" i="6"/>
  <c r="Y1836" i="6"/>
  <c r="Y1837" i="6"/>
  <c r="Y1838" i="6"/>
  <c r="Y1839" i="6"/>
  <c r="Y1840" i="6"/>
  <c r="Y1841" i="6"/>
  <c r="Y1842" i="6"/>
  <c r="Y1843" i="6"/>
  <c r="Y1844" i="6"/>
  <c r="Y1845" i="6"/>
  <c r="Y1846" i="6"/>
  <c r="Y1847" i="6"/>
  <c r="Y1848" i="6"/>
  <c r="Y1849" i="6"/>
  <c r="Y1850" i="6"/>
  <c r="Y1851" i="6"/>
  <c r="Y1852" i="6"/>
  <c r="Y1853" i="6"/>
  <c r="Y1854" i="6"/>
  <c r="Y1855" i="6"/>
  <c r="Y1856" i="6"/>
  <c r="Y1857" i="6"/>
  <c r="Y1858" i="6"/>
  <c r="Y1859" i="6"/>
  <c r="Y1860" i="6"/>
  <c r="Y1861" i="6"/>
  <c r="Y1862" i="6"/>
  <c r="Y1863" i="6"/>
  <c r="Y1864" i="6"/>
  <c r="Y1865" i="6"/>
  <c r="Y1866" i="6"/>
  <c r="Y1867" i="6"/>
  <c r="Y1868" i="6"/>
  <c r="Y1869" i="6"/>
  <c r="Y1870" i="6"/>
  <c r="Y1871" i="6"/>
  <c r="Y1872" i="6"/>
  <c r="Y1873" i="6"/>
  <c r="Y1874" i="6"/>
  <c r="Y1875" i="6"/>
  <c r="Y1876" i="6"/>
  <c r="Y1877" i="6"/>
  <c r="Y1878" i="6"/>
  <c r="Y1879" i="6"/>
  <c r="Y1880" i="6"/>
  <c r="Y1881" i="6"/>
  <c r="Y1882" i="6"/>
  <c r="Y1883" i="6"/>
  <c r="Y1884" i="6"/>
  <c r="Y1885" i="6"/>
  <c r="Y1886" i="6"/>
  <c r="Y1887" i="6"/>
  <c r="Y1888" i="6"/>
  <c r="Y1889" i="6"/>
  <c r="Y1890" i="6"/>
  <c r="Y1891" i="6"/>
  <c r="Y1892" i="6"/>
  <c r="Y1893" i="6"/>
  <c r="Y1894" i="6"/>
  <c r="Y1895" i="6"/>
  <c r="Y1896" i="6"/>
  <c r="Y1897" i="6"/>
  <c r="Y1898" i="6"/>
  <c r="Y1899" i="6"/>
  <c r="Y1900" i="6"/>
  <c r="Y1901" i="6"/>
  <c r="Y1902" i="6"/>
  <c r="Y1903" i="6"/>
  <c r="Y1904" i="6"/>
  <c r="Y1905" i="6"/>
  <c r="Y1906" i="6"/>
  <c r="Y1907" i="6"/>
  <c r="Y1908" i="6"/>
  <c r="Y1909" i="6"/>
  <c r="Y1910" i="6"/>
  <c r="Y1911" i="6"/>
  <c r="Y1912" i="6"/>
  <c r="Y1913" i="6"/>
  <c r="Y1914" i="6"/>
  <c r="Y1915" i="6"/>
  <c r="Y1916" i="6"/>
  <c r="Y1917" i="6"/>
  <c r="Y1918" i="6"/>
  <c r="Y1919" i="6"/>
  <c r="Y1920" i="6"/>
  <c r="Y1921" i="6"/>
  <c r="Y1922" i="6"/>
  <c r="Y1923" i="6"/>
  <c r="Y1924" i="6"/>
  <c r="Y1925" i="6"/>
  <c r="Y1926" i="6"/>
  <c r="Y1927" i="6"/>
  <c r="Y1928" i="6"/>
  <c r="Y1929" i="6"/>
  <c r="Y1930" i="6"/>
  <c r="Y1931" i="6"/>
  <c r="Y1932" i="6"/>
  <c r="Y1933" i="6"/>
  <c r="Y1934" i="6"/>
  <c r="Y1935" i="6"/>
  <c r="Y1936" i="6"/>
  <c r="Y1937" i="6"/>
  <c r="Y1938" i="6"/>
  <c r="Y1939" i="6"/>
  <c r="Y1940" i="6"/>
  <c r="Y1941" i="6"/>
  <c r="Y1942" i="6"/>
  <c r="Y1943" i="6"/>
  <c r="Y1944" i="6"/>
  <c r="Y1945" i="6"/>
  <c r="Y1946" i="6"/>
  <c r="Y1947" i="6"/>
  <c r="Y1948" i="6"/>
  <c r="Y1949" i="6"/>
  <c r="Y1950" i="6"/>
  <c r="Y1951" i="6"/>
  <c r="Y1952" i="6"/>
  <c r="Y1953" i="6"/>
  <c r="Y1954" i="6"/>
  <c r="Y1955" i="6"/>
  <c r="Y1956" i="6"/>
  <c r="Y1957" i="6"/>
  <c r="Y1958" i="6"/>
  <c r="Y1959" i="6"/>
  <c r="Y1960" i="6"/>
  <c r="Y1961" i="6"/>
  <c r="Y1962" i="6"/>
  <c r="Y1963" i="6"/>
  <c r="Y1964" i="6"/>
  <c r="Y1965" i="6"/>
  <c r="Y1966" i="6"/>
  <c r="Y1967" i="6"/>
  <c r="Y1968" i="6"/>
  <c r="Y1969" i="6"/>
  <c r="Y1970" i="6"/>
  <c r="Y1971" i="6"/>
  <c r="Y1972" i="6"/>
  <c r="Y1973" i="6"/>
  <c r="Y1974" i="6"/>
  <c r="Y1975" i="6"/>
  <c r="Y1976" i="6"/>
  <c r="Y1977" i="6"/>
  <c r="Y1978" i="6"/>
  <c r="Y1979" i="6"/>
  <c r="Y1980" i="6"/>
  <c r="Y1981" i="6"/>
  <c r="Y1982" i="6"/>
  <c r="Y1983" i="6"/>
  <c r="Y1984" i="6"/>
  <c r="Y1985" i="6"/>
  <c r="Y1986" i="6"/>
  <c r="Y1987" i="6"/>
  <c r="Y1988" i="6"/>
  <c r="Y1989" i="6"/>
  <c r="Y1990" i="6"/>
  <c r="Y1991" i="6"/>
  <c r="Y1992" i="6"/>
  <c r="Y1993" i="6"/>
  <c r="Y1994" i="6"/>
  <c r="Y1995" i="6"/>
  <c r="Y1996" i="6"/>
  <c r="Y1997" i="6"/>
  <c r="Y1998" i="6"/>
  <c r="Y1999" i="6"/>
  <c r="Y2000" i="6"/>
  <c r="Y2001" i="6"/>
  <c r="Y2002" i="6"/>
  <c r="Y2003" i="6"/>
  <c r="Y2004" i="6"/>
  <c r="Y2005" i="6"/>
  <c r="Y2006" i="6"/>
  <c r="Y2007" i="6"/>
  <c r="Y2008" i="6"/>
  <c r="Y2009" i="6"/>
  <c r="Y2010" i="6"/>
  <c r="Y2011" i="6"/>
  <c r="Y2012" i="6"/>
  <c r="Y2013" i="6"/>
  <c r="Y2014" i="6"/>
  <c r="Y2015" i="6"/>
  <c r="Y2016" i="6"/>
  <c r="Y2017" i="6"/>
  <c r="Y2018" i="6"/>
  <c r="Y2019" i="6"/>
  <c r="Y2020" i="6"/>
  <c r="Y2021" i="6"/>
  <c r="Y2022" i="6"/>
  <c r="Y2023" i="6"/>
  <c r="Y2024" i="6"/>
  <c r="Y2025" i="6"/>
  <c r="Y2026" i="6"/>
  <c r="Y2027" i="6"/>
  <c r="Y2028" i="6"/>
  <c r="Y2029" i="6"/>
  <c r="Y2030" i="6"/>
  <c r="Y2031" i="6"/>
  <c r="Y2032" i="6"/>
  <c r="Y2033" i="6"/>
  <c r="Y2034" i="6"/>
  <c r="Y2035" i="6"/>
  <c r="Y2036" i="6"/>
  <c r="Y2037" i="6"/>
  <c r="Y2038" i="6"/>
  <c r="Y2039" i="6"/>
  <c r="Y2040" i="6"/>
  <c r="Y2041" i="6"/>
  <c r="Y2042" i="6"/>
  <c r="Y2043" i="6"/>
  <c r="Y2044" i="6"/>
  <c r="Y2045" i="6"/>
  <c r="Y2046" i="6"/>
  <c r="Y2047" i="6"/>
  <c r="Y2048" i="6"/>
  <c r="Y2049" i="6"/>
  <c r="Y2050" i="6"/>
  <c r="Y2051" i="6"/>
  <c r="Y2052" i="6"/>
  <c r="Y2053" i="6"/>
  <c r="Y2054" i="6"/>
  <c r="Y2055" i="6"/>
  <c r="Y2056" i="6"/>
  <c r="Y2057" i="6"/>
  <c r="Y2058" i="6"/>
  <c r="Y2059" i="6"/>
  <c r="Y2060" i="6"/>
  <c r="Y2061" i="6"/>
  <c r="Y2062" i="6"/>
  <c r="Y2063" i="6"/>
  <c r="Y2064" i="6"/>
  <c r="Y2065" i="6"/>
  <c r="Y2066" i="6"/>
  <c r="Y2067" i="6"/>
  <c r="Y2068" i="6"/>
  <c r="Y2069" i="6"/>
  <c r="Y2070" i="6"/>
  <c r="Y2071" i="6"/>
  <c r="Y2072" i="6"/>
  <c r="Y2073" i="6"/>
  <c r="Y2074" i="6"/>
  <c r="Y2075" i="6"/>
  <c r="Y2076" i="6"/>
  <c r="Y2077" i="6"/>
  <c r="Y2078" i="6"/>
  <c r="Y2079" i="6"/>
  <c r="Y2080" i="6"/>
  <c r="Y2081" i="6"/>
  <c r="Y2082" i="6"/>
  <c r="Y2083" i="6"/>
  <c r="Y2084" i="6"/>
  <c r="Y2085" i="6"/>
  <c r="Y2086" i="6"/>
  <c r="Y2087" i="6"/>
  <c r="Y2088" i="6"/>
  <c r="Y2089" i="6"/>
  <c r="Y2090" i="6"/>
  <c r="Y2091" i="6"/>
  <c r="Y2092" i="6"/>
  <c r="Y2093" i="6"/>
  <c r="Y2094" i="6"/>
  <c r="Y2095" i="6"/>
  <c r="Y2096" i="6"/>
  <c r="Y2097" i="6"/>
  <c r="Y2098" i="6"/>
  <c r="Y2099" i="6"/>
  <c r="Y2100" i="6"/>
  <c r="Y2101" i="6"/>
  <c r="Y2102" i="6"/>
  <c r="Y2103" i="6"/>
  <c r="Y2104" i="6"/>
  <c r="Y2105" i="6"/>
  <c r="Y2106" i="6"/>
  <c r="Y2107" i="6"/>
  <c r="Y2108" i="6"/>
  <c r="Y2109" i="6"/>
  <c r="Y2110" i="6"/>
  <c r="Y2111" i="6"/>
  <c r="Y2112" i="6"/>
  <c r="Y2113" i="6"/>
  <c r="Y2114" i="6"/>
  <c r="Y2115" i="6"/>
  <c r="Y2116" i="6"/>
  <c r="Y2117" i="6"/>
  <c r="Y2118" i="6"/>
  <c r="Y2119" i="6"/>
  <c r="Y2120" i="6"/>
  <c r="Y2121" i="6"/>
  <c r="Y2122" i="6"/>
  <c r="Y2123" i="6"/>
  <c r="Y2124" i="6"/>
  <c r="Y2125" i="6"/>
  <c r="Y2126" i="6"/>
  <c r="Y2127" i="6"/>
  <c r="Y2128" i="6"/>
  <c r="Y2129" i="6"/>
  <c r="Y2130" i="6"/>
  <c r="Y2131" i="6"/>
  <c r="Y2132" i="6"/>
  <c r="Y2133" i="6"/>
  <c r="Y2134" i="6"/>
  <c r="Y2135" i="6"/>
  <c r="Y2136" i="6"/>
  <c r="Y2137" i="6"/>
  <c r="Y2138" i="6"/>
  <c r="Y2139" i="6"/>
  <c r="Y2140" i="6"/>
  <c r="Y2141" i="6"/>
  <c r="Y2142" i="6"/>
  <c r="Y2143" i="6"/>
  <c r="Y2144" i="6"/>
  <c r="Y2145" i="6"/>
  <c r="Y2146" i="6"/>
  <c r="Y2147" i="6"/>
  <c r="Y2148" i="6"/>
  <c r="Y2149" i="6"/>
  <c r="Y2150" i="6"/>
  <c r="Y2151" i="6"/>
  <c r="Y2152" i="6"/>
  <c r="Y2153" i="6"/>
  <c r="Y2154" i="6"/>
  <c r="Y2155" i="6"/>
  <c r="Y2156" i="6"/>
  <c r="Y2157" i="6"/>
  <c r="Y2158" i="6"/>
  <c r="Y2159" i="6"/>
  <c r="Y2160" i="6"/>
  <c r="Y2161" i="6"/>
  <c r="Y2162" i="6"/>
  <c r="Y2163" i="6"/>
  <c r="Y2164" i="6"/>
  <c r="Y2165" i="6"/>
  <c r="Y2166" i="6"/>
  <c r="Y2167" i="6"/>
  <c r="Y2168" i="6"/>
  <c r="Y2169" i="6"/>
  <c r="Y2170" i="6"/>
  <c r="Y2171" i="6"/>
  <c r="Y2172" i="6"/>
  <c r="Y2173" i="6"/>
  <c r="Y2174" i="6"/>
  <c r="Y2175" i="6"/>
  <c r="Y2176" i="6"/>
  <c r="Y2177" i="6"/>
  <c r="Y2178" i="6"/>
  <c r="Y2179" i="6"/>
  <c r="Y2180" i="6"/>
  <c r="Y2181" i="6"/>
  <c r="Y2182" i="6"/>
  <c r="Y2183" i="6"/>
  <c r="Y2184" i="6"/>
  <c r="Y2185" i="6"/>
  <c r="Y2186" i="6"/>
  <c r="Y2187" i="6"/>
  <c r="Y2188" i="6"/>
  <c r="Y2189" i="6"/>
  <c r="Y2190" i="6"/>
  <c r="Y2191" i="6"/>
  <c r="Y2192" i="6"/>
  <c r="Y2193" i="6"/>
  <c r="Y2194" i="6"/>
  <c r="Y2195" i="6"/>
  <c r="Y2196" i="6"/>
  <c r="Y2197" i="6"/>
  <c r="Y2198" i="6"/>
  <c r="Y2199" i="6"/>
  <c r="Y2200" i="6"/>
  <c r="Y2201" i="6"/>
  <c r="Y2202" i="6"/>
  <c r="Y2203" i="6"/>
  <c r="Y2204" i="6"/>
  <c r="Y2205" i="6"/>
  <c r="Y2206" i="6"/>
  <c r="Y2207" i="6"/>
  <c r="Y2208" i="6"/>
  <c r="Y2209" i="6"/>
  <c r="Y2210" i="6"/>
  <c r="Y2211" i="6"/>
  <c r="Y2212" i="6"/>
  <c r="Y2213" i="6"/>
  <c r="Y2214" i="6"/>
  <c r="Y2215" i="6"/>
  <c r="Y2216" i="6"/>
  <c r="Y2217" i="6"/>
  <c r="Y2218" i="6"/>
  <c r="Y2219" i="6"/>
  <c r="Y2220" i="6"/>
  <c r="Y2221" i="6"/>
  <c r="Y2222" i="6"/>
  <c r="Y2223" i="6"/>
  <c r="Y2224" i="6"/>
  <c r="Y2225" i="6"/>
  <c r="Y2226" i="6"/>
  <c r="Y2227" i="6"/>
  <c r="Y2228" i="6"/>
  <c r="Y2229" i="6"/>
  <c r="Y2230" i="6"/>
  <c r="Y2231" i="6"/>
  <c r="Y2232" i="6"/>
  <c r="Y2233" i="6"/>
  <c r="Y2234" i="6"/>
  <c r="Y2235" i="6"/>
  <c r="Y2236" i="6"/>
  <c r="Y2237" i="6"/>
  <c r="Y2238" i="6"/>
  <c r="Y2239" i="6"/>
  <c r="Y2240" i="6"/>
  <c r="Y2241" i="6"/>
  <c r="Y2242" i="6"/>
  <c r="Y2243" i="6"/>
  <c r="Y2244" i="6"/>
  <c r="Y2245" i="6"/>
  <c r="Y2246" i="6"/>
  <c r="Y2247" i="6"/>
  <c r="Y2248" i="6"/>
  <c r="Y2249" i="6"/>
  <c r="Y2250" i="6"/>
  <c r="Y2251" i="6"/>
  <c r="Y2252" i="6"/>
  <c r="Y2253" i="6"/>
  <c r="Y2254" i="6"/>
  <c r="Y2255" i="6"/>
  <c r="Y2256" i="6"/>
  <c r="Y2257" i="6"/>
  <c r="Y2258" i="6"/>
  <c r="Y2259" i="6"/>
  <c r="Y2260" i="6"/>
  <c r="Y2261" i="6"/>
  <c r="Y2262" i="6"/>
  <c r="Y2263" i="6"/>
  <c r="Y2264" i="6"/>
  <c r="Y2265" i="6"/>
  <c r="Y2266" i="6"/>
  <c r="Y2267" i="6"/>
  <c r="Y2268" i="6"/>
  <c r="Y2269" i="6"/>
  <c r="Y2270" i="6"/>
  <c r="Y2271" i="6"/>
  <c r="Y2272" i="6"/>
  <c r="Y2273" i="6"/>
  <c r="Y2274" i="6"/>
  <c r="Y2275" i="6"/>
  <c r="Y2276" i="6"/>
  <c r="Y2277" i="6"/>
  <c r="Y2278" i="6"/>
  <c r="Y2279" i="6"/>
  <c r="Y2280" i="6"/>
  <c r="Y2281" i="6"/>
  <c r="Y2282" i="6"/>
  <c r="Y2283" i="6"/>
  <c r="Y2284" i="6"/>
  <c r="Y2285" i="6"/>
  <c r="Y2286" i="6"/>
  <c r="Y2287" i="6"/>
  <c r="Y2288" i="6"/>
  <c r="Y2289" i="6"/>
  <c r="Y2290" i="6"/>
  <c r="Y2291" i="6"/>
  <c r="Y2292" i="6"/>
  <c r="Y2293" i="6"/>
  <c r="Y2294" i="6"/>
  <c r="Y2295" i="6"/>
  <c r="Y2296" i="6"/>
  <c r="Y2297" i="6"/>
  <c r="Y2298" i="6"/>
  <c r="Y2299" i="6"/>
  <c r="Y2300" i="6"/>
  <c r="Y2301" i="6"/>
  <c r="Y2302" i="6"/>
  <c r="Y2303" i="6"/>
  <c r="Y2304" i="6"/>
  <c r="Y2305" i="6"/>
  <c r="Y2306" i="6"/>
  <c r="Y2307" i="6"/>
  <c r="Y2308" i="6"/>
  <c r="Y2309" i="6"/>
  <c r="Y2310" i="6"/>
  <c r="Y2311" i="6"/>
  <c r="Y2312" i="6"/>
  <c r="Y2313" i="6"/>
  <c r="Y2314" i="6"/>
  <c r="Y2315" i="6"/>
  <c r="Y2316" i="6"/>
  <c r="Y2317" i="6"/>
  <c r="Y2318" i="6"/>
  <c r="Y2319" i="6"/>
  <c r="Y2320" i="6"/>
  <c r="Y2321" i="6"/>
  <c r="Y2322" i="6"/>
  <c r="Y2323" i="6"/>
  <c r="Y2324" i="6"/>
  <c r="Y2325" i="6"/>
  <c r="Y2326" i="6"/>
  <c r="Y2327" i="6"/>
  <c r="Y2328" i="6"/>
  <c r="Y2329" i="6"/>
  <c r="Y2330" i="6"/>
  <c r="Y2331" i="6"/>
  <c r="Y2332" i="6"/>
  <c r="Y2333" i="6"/>
  <c r="Y2334" i="6"/>
  <c r="Y2335" i="6"/>
  <c r="Y2336" i="6"/>
  <c r="Y2337" i="6"/>
  <c r="Y2338" i="6"/>
  <c r="Y2339" i="6"/>
  <c r="Y2340" i="6"/>
  <c r="Y2341" i="6"/>
  <c r="Y2342" i="6"/>
  <c r="Y2343" i="6"/>
  <c r="Y2344" i="6"/>
  <c r="Y2345" i="6"/>
  <c r="Y2346" i="6"/>
  <c r="Y2347" i="6"/>
  <c r="Y2348" i="6"/>
  <c r="Y2349" i="6"/>
  <c r="Y2350" i="6"/>
  <c r="Y2351" i="6"/>
  <c r="Y2352" i="6"/>
  <c r="Y2353" i="6"/>
  <c r="Y2354" i="6"/>
  <c r="Y2355" i="6"/>
  <c r="Y2356" i="6"/>
  <c r="Y2357" i="6"/>
  <c r="Y2358" i="6"/>
  <c r="Y2359" i="6"/>
  <c r="Y2360" i="6"/>
  <c r="Y2361" i="6"/>
  <c r="Y2362" i="6"/>
  <c r="Y2363" i="6"/>
  <c r="Y2364" i="6"/>
  <c r="Y2365" i="6"/>
  <c r="Y2366" i="6"/>
  <c r="Y10" i="6"/>
  <c r="U2366" i="6"/>
  <c r="T2366" i="6"/>
  <c r="L2366" i="6"/>
  <c r="K2366" i="6"/>
  <c r="U2365" i="6"/>
  <c r="T2365" i="6"/>
  <c r="L2365" i="6"/>
  <c r="K2365" i="6"/>
  <c r="U2364" i="6"/>
  <c r="T2364" i="6"/>
  <c r="L2364" i="6"/>
  <c r="K2364" i="6"/>
  <c r="U2363" i="6"/>
  <c r="T2363" i="6"/>
  <c r="L2363" i="6"/>
  <c r="K2363" i="6"/>
  <c r="U2362" i="6"/>
  <c r="T2362" i="6"/>
  <c r="L2362" i="6"/>
  <c r="K2362" i="6"/>
  <c r="U2361" i="6"/>
  <c r="T2361" i="6"/>
  <c r="L2361" i="6"/>
  <c r="K2361" i="6"/>
  <c r="U2360" i="6"/>
  <c r="T2360" i="6"/>
  <c r="L2360" i="6"/>
  <c r="K2360" i="6"/>
  <c r="U2359" i="6"/>
  <c r="T2359" i="6"/>
  <c r="L2359" i="6"/>
  <c r="K2359" i="6"/>
  <c r="U2358" i="6"/>
  <c r="T2358" i="6"/>
  <c r="L2358" i="6"/>
  <c r="K2358" i="6"/>
  <c r="U2357" i="6"/>
  <c r="T2357" i="6"/>
  <c r="L2357" i="6"/>
  <c r="K2357" i="6"/>
  <c r="U2356" i="6"/>
  <c r="T2356" i="6"/>
  <c r="L2356" i="6"/>
  <c r="K2356" i="6"/>
  <c r="U2355" i="6"/>
  <c r="T2355" i="6"/>
  <c r="L2355" i="6"/>
  <c r="K2355" i="6"/>
  <c r="U2354" i="6"/>
  <c r="T2354" i="6"/>
  <c r="L2354" i="6"/>
  <c r="K2354" i="6"/>
  <c r="U2353" i="6"/>
  <c r="T2353" i="6"/>
  <c r="L2353" i="6"/>
  <c r="K2353" i="6"/>
  <c r="U2352" i="6"/>
  <c r="T2352" i="6"/>
  <c r="L2352" i="6"/>
  <c r="K2352" i="6"/>
  <c r="U2351" i="6"/>
  <c r="T2351" i="6"/>
  <c r="L2351" i="6"/>
  <c r="K2351" i="6"/>
  <c r="U2350" i="6"/>
  <c r="T2350" i="6"/>
  <c r="L2350" i="6"/>
  <c r="K2350" i="6"/>
  <c r="U2349" i="6"/>
  <c r="T2349" i="6"/>
  <c r="L2349" i="6"/>
  <c r="K2349" i="6"/>
  <c r="U2348" i="6"/>
  <c r="T2348" i="6"/>
  <c r="L2348" i="6"/>
  <c r="K2348" i="6"/>
  <c r="U2347" i="6"/>
  <c r="T2347" i="6"/>
  <c r="L2347" i="6"/>
  <c r="K2347" i="6"/>
  <c r="U2346" i="6"/>
  <c r="T2346" i="6"/>
  <c r="L2346" i="6"/>
  <c r="K2346" i="6"/>
  <c r="U2345" i="6"/>
  <c r="T2345" i="6"/>
  <c r="L2345" i="6"/>
  <c r="K2345" i="6"/>
  <c r="U2344" i="6"/>
  <c r="T2344" i="6"/>
  <c r="L2344" i="6"/>
  <c r="K2344" i="6"/>
  <c r="U2343" i="6"/>
  <c r="T2343" i="6"/>
  <c r="L2343" i="6"/>
  <c r="K2343" i="6"/>
  <c r="U2342" i="6"/>
  <c r="T2342" i="6"/>
  <c r="L2342" i="6"/>
  <c r="K2342" i="6"/>
  <c r="U2341" i="6"/>
  <c r="T2341" i="6"/>
  <c r="L2341" i="6"/>
  <c r="K2341" i="6"/>
  <c r="U2340" i="6"/>
  <c r="T2340" i="6"/>
  <c r="L2340" i="6"/>
  <c r="K2340" i="6"/>
  <c r="U2339" i="6"/>
  <c r="T2339" i="6"/>
  <c r="L2339" i="6"/>
  <c r="K2339" i="6"/>
  <c r="U2338" i="6"/>
  <c r="T2338" i="6"/>
  <c r="L2338" i="6"/>
  <c r="K2338" i="6"/>
  <c r="U2337" i="6"/>
  <c r="T2337" i="6"/>
  <c r="L2337" i="6"/>
  <c r="K2337" i="6"/>
  <c r="U2336" i="6"/>
  <c r="T2336" i="6"/>
  <c r="L2336" i="6"/>
  <c r="K2336" i="6"/>
  <c r="U2335" i="6"/>
  <c r="T2335" i="6"/>
  <c r="L2335" i="6"/>
  <c r="K2335" i="6"/>
  <c r="U2334" i="6"/>
  <c r="T2334" i="6"/>
  <c r="L2334" i="6"/>
  <c r="K2334" i="6"/>
  <c r="U2333" i="6"/>
  <c r="T2333" i="6"/>
  <c r="L2333" i="6"/>
  <c r="K2333" i="6"/>
  <c r="U2332" i="6"/>
  <c r="T2332" i="6"/>
  <c r="L2332" i="6"/>
  <c r="K2332" i="6"/>
  <c r="U2331" i="6"/>
  <c r="T2331" i="6"/>
  <c r="L2331" i="6"/>
  <c r="K2331" i="6"/>
  <c r="U2330" i="6"/>
  <c r="T2330" i="6"/>
  <c r="L2330" i="6"/>
  <c r="K2330" i="6"/>
  <c r="U2329" i="6"/>
  <c r="T2329" i="6"/>
  <c r="L2329" i="6"/>
  <c r="K2329" i="6"/>
  <c r="U2328" i="6"/>
  <c r="T2328" i="6"/>
  <c r="L2328" i="6"/>
  <c r="K2328" i="6"/>
  <c r="U2327" i="6"/>
  <c r="T2327" i="6"/>
  <c r="L2327" i="6"/>
  <c r="K2327" i="6"/>
  <c r="U2326" i="6"/>
  <c r="T2326" i="6"/>
  <c r="L2326" i="6"/>
  <c r="K2326" i="6"/>
  <c r="U2325" i="6"/>
  <c r="T2325" i="6"/>
  <c r="L2325" i="6"/>
  <c r="K2325" i="6"/>
  <c r="U2324" i="6"/>
  <c r="T2324" i="6"/>
  <c r="L2324" i="6"/>
  <c r="K2324" i="6"/>
  <c r="U2323" i="6"/>
  <c r="T2323" i="6"/>
  <c r="L2323" i="6"/>
  <c r="K2323" i="6"/>
  <c r="U2322" i="6"/>
  <c r="T2322" i="6"/>
  <c r="L2322" i="6"/>
  <c r="K2322" i="6"/>
  <c r="U2321" i="6"/>
  <c r="T2321" i="6"/>
  <c r="L2321" i="6"/>
  <c r="K2321" i="6"/>
  <c r="U2320" i="6"/>
  <c r="T2320" i="6"/>
  <c r="L2320" i="6"/>
  <c r="K2320" i="6"/>
  <c r="U2319" i="6"/>
  <c r="T2319" i="6"/>
  <c r="L2319" i="6"/>
  <c r="K2319" i="6"/>
  <c r="U2318" i="6"/>
  <c r="T2318" i="6"/>
  <c r="L2318" i="6"/>
  <c r="K2318" i="6"/>
  <c r="U2317" i="6"/>
  <c r="T2317" i="6"/>
  <c r="L2317" i="6"/>
  <c r="K2317" i="6"/>
  <c r="U2316" i="6"/>
  <c r="T2316" i="6"/>
  <c r="L2316" i="6"/>
  <c r="K2316" i="6"/>
  <c r="U2315" i="6"/>
  <c r="T2315" i="6"/>
  <c r="L2315" i="6"/>
  <c r="K2315" i="6"/>
  <c r="U2314" i="6"/>
  <c r="T2314" i="6"/>
  <c r="L2314" i="6"/>
  <c r="K2314" i="6"/>
  <c r="U2313" i="6"/>
  <c r="T2313" i="6"/>
  <c r="L2313" i="6"/>
  <c r="K2313" i="6"/>
  <c r="U2312" i="6"/>
  <c r="T2312" i="6"/>
  <c r="L2312" i="6"/>
  <c r="K2312" i="6"/>
  <c r="U2311" i="6"/>
  <c r="T2311" i="6"/>
  <c r="L2311" i="6"/>
  <c r="K2311" i="6"/>
  <c r="U2310" i="6"/>
  <c r="T2310" i="6"/>
  <c r="L2310" i="6"/>
  <c r="K2310" i="6"/>
  <c r="U2309" i="6"/>
  <c r="T2309" i="6"/>
  <c r="L2309" i="6"/>
  <c r="K2309" i="6"/>
  <c r="U2308" i="6"/>
  <c r="T2308" i="6"/>
  <c r="L2308" i="6"/>
  <c r="K2308" i="6"/>
  <c r="U2307" i="6"/>
  <c r="T2307" i="6"/>
  <c r="L2307" i="6"/>
  <c r="K2307" i="6"/>
  <c r="U2306" i="6"/>
  <c r="T2306" i="6"/>
  <c r="L2306" i="6"/>
  <c r="K2306" i="6"/>
  <c r="U2305" i="6"/>
  <c r="T2305" i="6"/>
  <c r="L2305" i="6"/>
  <c r="K2305" i="6"/>
  <c r="U2304" i="6"/>
  <c r="T2304" i="6"/>
  <c r="L2304" i="6"/>
  <c r="K2304" i="6"/>
  <c r="U2303" i="6"/>
  <c r="T2303" i="6"/>
  <c r="L2303" i="6"/>
  <c r="K2303" i="6"/>
  <c r="U2302" i="6"/>
  <c r="T2302" i="6"/>
  <c r="L2302" i="6"/>
  <c r="K2302" i="6"/>
  <c r="U2301" i="6"/>
  <c r="T2301" i="6"/>
  <c r="L2301" i="6"/>
  <c r="K2301" i="6"/>
  <c r="U2300" i="6"/>
  <c r="T2300" i="6"/>
  <c r="L2300" i="6"/>
  <c r="K2300" i="6"/>
  <c r="U2299" i="6"/>
  <c r="T2299" i="6"/>
  <c r="L2299" i="6"/>
  <c r="K2299" i="6"/>
  <c r="U2298" i="6"/>
  <c r="T2298" i="6"/>
  <c r="L2298" i="6"/>
  <c r="K2298" i="6"/>
  <c r="U2297" i="6"/>
  <c r="T2297" i="6"/>
  <c r="L2297" i="6"/>
  <c r="K2297" i="6"/>
  <c r="U2296" i="6"/>
  <c r="T2296" i="6"/>
  <c r="L2296" i="6"/>
  <c r="K2296" i="6"/>
  <c r="U2295" i="6"/>
  <c r="T2295" i="6"/>
  <c r="L2295" i="6"/>
  <c r="K2295" i="6"/>
  <c r="U2294" i="6"/>
  <c r="T2294" i="6"/>
  <c r="L2294" i="6"/>
  <c r="K2294" i="6"/>
  <c r="U2293" i="6"/>
  <c r="T2293" i="6"/>
  <c r="L2293" i="6"/>
  <c r="K2293" i="6"/>
  <c r="U2292" i="6"/>
  <c r="T2292" i="6"/>
  <c r="L2292" i="6"/>
  <c r="K2292" i="6"/>
  <c r="U2291" i="6"/>
  <c r="T2291" i="6"/>
  <c r="L2291" i="6"/>
  <c r="K2291" i="6"/>
  <c r="U2290" i="6"/>
  <c r="T2290" i="6"/>
  <c r="L2290" i="6"/>
  <c r="K2290" i="6"/>
  <c r="U2289" i="6"/>
  <c r="T2289" i="6"/>
  <c r="L2289" i="6"/>
  <c r="K2289" i="6"/>
  <c r="U2288" i="6"/>
  <c r="T2288" i="6"/>
  <c r="L2288" i="6"/>
  <c r="K2288" i="6"/>
  <c r="U2287" i="6"/>
  <c r="T2287" i="6"/>
  <c r="L2287" i="6"/>
  <c r="K2287" i="6"/>
  <c r="U2286" i="6"/>
  <c r="T2286" i="6"/>
  <c r="L2286" i="6"/>
  <c r="K2286" i="6"/>
  <c r="U2285" i="6"/>
  <c r="T2285" i="6"/>
  <c r="L2285" i="6"/>
  <c r="K2285" i="6"/>
  <c r="U2284" i="6"/>
  <c r="T2284" i="6"/>
  <c r="L2284" i="6"/>
  <c r="K2284" i="6"/>
  <c r="U2283" i="6"/>
  <c r="T2283" i="6"/>
  <c r="L2283" i="6"/>
  <c r="K2283" i="6"/>
  <c r="U2282" i="6"/>
  <c r="T2282" i="6"/>
  <c r="L2282" i="6"/>
  <c r="K2282" i="6"/>
  <c r="U2281" i="6"/>
  <c r="T2281" i="6"/>
  <c r="L2281" i="6"/>
  <c r="K2281" i="6"/>
  <c r="U2280" i="6"/>
  <c r="T2280" i="6"/>
  <c r="L2280" i="6"/>
  <c r="K2280" i="6"/>
  <c r="U2279" i="6"/>
  <c r="T2279" i="6"/>
  <c r="L2279" i="6"/>
  <c r="K2279" i="6"/>
  <c r="U2278" i="6"/>
  <c r="T2278" i="6"/>
  <c r="L2278" i="6"/>
  <c r="K2278" i="6"/>
  <c r="U2277" i="6"/>
  <c r="T2277" i="6"/>
  <c r="L2277" i="6"/>
  <c r="K2277" i="6"/>
  <c r="U2276" i="6"/>
  <c r="T2276" i="6"/>
  <c r="L2276" i="6"/>
  <c r="K2276" i="6"/>
  <c r="U2275" i="6"/>
  <c r="T2275" i="6"/>
  <c r="L2275" i="6"/>
  <c r="K2275" i="6"/>
  <c r="U2274" i="6"/>
  <c r="T2274" i="6"/>
  <c r="L2274" i="6"/>
  <c r="K2274" i="6"/>
  <c r="U2273" i="6"/>
  <c r="T2273" i="6"/>
  <c r="L2273" i="6"/>
  <c r="K2273" i="6"/>
  <c r="U2272" i="6"/>
  <c r="T2272" i="6"/>
  <c r="L2272" i="6"/>
  <c r="K2272" i="6"/>
  <c r="U2271" i="6"/>
  <c r="T2271" i="6"/>
  <c r="L2271" i="6"/>
  <c r="K2271" i="6"/>
  <c r="U2270" i="6"/>
  <c r="T2270" i="6"/>
  <c r="L2270" i="6"/>
  <c r="K2270" i="6"/>
  <c r="U2269" i="6"/>
  <c r="T2269" i="6"/>
  <c r="L2269" i="6"/>
  <c r="K2269" i="6"/>
  <c r="U2268" i="6"/>
  <c r="T2268" i="6"/>
  <c r="L2268" i="6"/>
  <c r="K2268" i="6"/>
  <c r="U2267" i="6"/>
  <c r="T2267" i="6"/>
  <c r="L2267" i="6"/>
  <c r="K2267" i="6"/>
  <c r="U2266" i="6"/>
  <c r="T2266" i="6"/>
  <c r="L2266" i="6"/>
  <c r="K2266" i="6"/>
  <c r="U2265" i="6"/>
  <c r="T2265" i="6"/>
  <c r="L2265" i="6"/>
  <c r="K2265" i="6"/>
  <c r="U2264" i="6"/>
  <c r="T2264" i="6"/>
  <c r="L2264" i="6"/>
  <c r="K2264" i="6"/>
  <c r="U2263" i="6"/>
  <c r="T2263" i="6"/>
  <c r="L2263" i="6"/>
  <c r="K2263" i="6"/>
  <c r="U2262" i="6"/>
  <c r="T2262" i="6"/>
  <c r="L2262" i="6"/>
  <c r="K2262" i="6"/>
  <c r="U2260" i="6"/>
  <c r="T2260" i="6"/>
  <c r="L2260" i="6"/>
  <c r="K2260" i="6"/>
  <c r="U2259" i="6"/>
  <c r="T2259" i="6"/>
  <c r="L2259" i="6"/>
  <c r="K2259" i="6"/>
  <c r="U2258" i="6"/>
  <c r="T2258" i="6"/>
  <c r="L2258" i="6"/>
  <c r="K2258" i="6"/>
  <c r="U2257" i="6"/>
  <c r="T2257" i="6"/>
  <c r="L2257" i="6"/>
  <c r="K2257" i="6"/>
  <c r="U2256" i="6"/>
  <c r="T2256" i="6"/>
  <c r="L2256" i="6"/>
  <c r="K2256" i="6"/>
  <c r="U2255" i="6"/>
  <c r="T2255" i="6"/>
  <c r="L2255" i="6"/>
  <c r="K2255" i="6"/>
  <c r="U2254" i="6"/>
  <c r="T2254" i="6"/>
  <c r="L2254" i="6"/>
  <c r="K2254" i="6"/>
  <c r="U2253" i="6"/>
  <c r="T2253" i="6"/>
  <c r="L2253" i="6"/>
  <c r="K2253" i="6"/>
  <c r="U2252" i="6"/>
  <c r="T2252" i="6"/>
  <c r="L2252" i="6"/>
  <c r="K2252" i="6"/>
  <c r="U2251" i="6"/>
  <c r="T2251" i="6"/>
  <c r="L2251" i="6"/>
  <c r="K2251" i="6"/>
  <c r="U2250" i="6"/>
  <c r="T2250" i="6"/>
  <c r="L2250" i="6"/>
  <c r="K2250" i="6"/>
  <c r="U2249" i="6"/>
  <c r="T2249" i="6"/>
  <c r="L2249" i="6"/>
  <c r="K2249" i="6"/>
  <c r="U2248" i="6"/>
  <c r="T2248" i="6"/>
  <c r="L2248" i="6"/>
  <c r="K2248" i="6"/>
  <c r="U2247" i="6"/>
  <c r="T2247" i="6"/>
  <c r="L2247" i="6"/>
  <c r="K2247" i="6"/>
  <c r="U2246" i="6"/>
  <c r="T2246" i="6"/>
  <c r="L2246" i="6"/>
  <c r="K2246" i="6"/>
  <c r="U2245" i="6"/>
  <c r="T2245" i="6"/>
  <c r="L2245" i="6"/>
  <c r="K2245" i="6"/>
  <c r="U2244" i="6"/>
  <c r="T2244" i="6"/>
  <c r="L2244" i="6"/>
  <c r="K2244" i="6"/>
  <c r="U2243" i="6"/>
  <c r="T2243" i="6"/>
  <c r="L2243" i="6"/>
  <c r="K2243" i="6"/>
  <c r="U2242" i="6"/>
  <c r="T2242" i="6"/>
  <c r="L2242" i="6"/>
  <c r="K2242" i="6"/>
  <c r="U2240" i="6"/>
  <c r="T2240" i="6"/>
  <c r="L2240" i="6"/>
  <c r="K2240" i="6"/>
  <c r="U2239" i="6"/>
  <c r="T2239" i="6"/>
  <c r="L2239" i="6"/>
  <c r="K2239" i="6"/>
  <c r="U2238" i="6"/>
  <c r="T2238" i="6"/>
  <c r="L2238" i="6"/>
  <c r="K2238" i="6"/>
  <c r="U2237" i="6"/>
  <c r="T2237" i="6"/>
  <c r="L2237" i="6"/>
  <c r="K2237" i="6"/>
  <c r="U2236" i="6"/>
  <c r="T2236" i="6"/>
  <c r="L2236" i="6"/>
  <c r="K2236" i="6"/>
  <c r="U2235" i="6"/>
  <c r="T2235" i="6"/>
  <c r="L2235" i="6"/>
  <c r="K2235" i="6"/>
  <c r="U2234" i="6"/>
  <c r="T2234" i="6"/>
  <c r="L2234" i="6"/>
  <c r="K2234" i="6"/>
  <c r="U2233" i="6"/>
  <c r="T2233" i="6"/>
  <c r="L2233" i="6"/>
  <c r="K2233" i="6"/>
  <c r="U2232" i="6"/>
  <c r="T2232" i="6"/>
  <c r="L2232" i="6"/>
  <c r="K2232" i="6"/>
  <c r="U2231" i="6"/>
  <c r="T2231" i="6"/>
  <c r="L2231" i="6"/>
  <c r="K2231" i="6"/>
  <c r="U2230" i="6"/>
  <c r="T2230" i="6"/>
  <c r="L2230" i="6"/>
  <c r="K2230" i="6"/>
  <c r="U2229" i="6"/>
  <c r="T2229" i="6"/>
  <c r="L2229" i="6"/>
  <c r="K2229" i="6"/>
  <c r="U2228" i="6"/>
  <c r="T2228" i="6"/>
  <c r="L2228" i="6"/>
  <c r="K2228" i="6"/>
  <c r="U2227" i="6"/>
  <c r="T2227" i="6"/>
  <c r="L2227" i="6"/>
  <c r="K2227" i="6"/>
  <c r="U2226" i="6"/>
  <c r="T2226" i="6"/>
  <c r="L2226" i="6"/>
  <c r="K2226" i="6"/>
  <c r="U2225" i="6"/>
  <c r="T2225" i="6"/>
  <c r="L2225" i="6"/>
  <c r="K2225" i="6"/>
  <c r="U2224" i="6"/>
  <c r="T2224" i="6"/>
  <c r="L2224" i="6"/>
  <c r="K2224" i="6"/>
  <c r="U2223" i="6"/>
  <c r="T2223" i="6"/>
  <c r="L2223" i="6"/>
  <c r="K2223" i="6"/>
  <c r="U2222" i="6"/>
  <c r="T2222" i="6"/>
  <c r="L2222" i="6"/>
  <c r="K2222" i="6"/>
  <c r="U2221" i="6"/>
  <c r="T2221" i="6"/>
  <c r="L2221" i="6"/>
  <c r="K2221" i="6"/>
  <c r="U2220" i="6"/>
  <c r="T2220" i="6"/>
  <c r="L2220" i="6"/>
  <c r="K2220" i="6"/>
  <c r="U2219" i="6"/>
  <c r="T2219" i="6"/>
  <c r="L2219" i="6"/>
  <c r="K2219" i="6"/>
  <c r="U2218" i="6"/>
  <c r="T2218" i="6"/>
  <c r="L2218" i="6"/>
  <c r="K2218" i="6"/>
  <c r="U2217" i="6"/>
  <c r="T2217" i="6"/>
  <c r="L2217" i="6"/>
  <c r="K2217" i="6"/>
  <c r="U2216" i="6"/>
  <c r="T2216" i="6"/>
  <c r="L2216" i="6"/>
  <c r="K2216" i="6"/>
  <c r="U2215" i="6"/>
  <c r="T2215" i="6"/>
  <c r="L2215" i="6"/>
  <c r="K2215" i="6"/>
  <c r="U2214" i="6"/>
  <c r="T2214" i="6"/>
  <c r="L2214" i="6"/>
  <c r="K2214" i="6"/>
  <c r="U2213" i="6"/>
  <c r="T2213" i="6"/>
  <c r="L2213" i="6"/>
  <c r="K2213" i="6"/>
  <c r="U2212" i="6"/>
  <c r="T2212" i="6"/>
  <c r="L2212" i="6"/>
  <c r="K2212" i="6"/>
  <c r="U2211" i="6"/>
  <c r="T2211" i="6"/>
  <c r="L2211" i="6"/>
  <c r="K2211" i="6"/>
  <c r="U2210" i="6"/>
  <c r="T2210" i="6"/>
  <c r="L2210" i="6"/>
  <c r="K2210" i="6"/>
  <c r="U2209" i="6"/>
  <c r="T2209" i="6"/>
  <c r="L2209" i="6"/>
  <c r="K2209" i="6"/>
  <c r="U2208" i="6"/>
  <c r="T2208" i="6"/>
  <c r="L2208" i="6"/>
  <c r="K2208" i="6"/>
  <c r="U2207" i="6"/>
  <c r="T2207" i="6"/>
  <c r="L2207" i="6"/>
  <c r="K2207" i="6"/>
  <c r="U2206" i="6"/>
  <c r="T2206" i="6"/>
  <c r="L2206" i="6"/>
  <c r="K2206" i="6"/>
  <c r="U2205" i="6"/>
  <c r="T2205" i="6"/>
  <c r="L2205" i="6"/>
  <c r="K2205" i="6"/>
  <c r="U2204" i="6"/>
  <c r="T2204" i="6"/>
  <c r="L2204" i="6"/>
  <c r="K2204" i="6"/>
  <c r="U2203" i="6"/>
  <c r="T2203" i="6"/>
  <c r="L2203" i="6"/>
  <c r="K2203" i="6"/>
  <c r="U2202" i="6"/>
  <c r="T2202" i="6"/>
  <c r="L2202" i="6"/>
  <c r="K2202" i="6"/>
  <c r="U2201" i="6"/>
  <c r="T2201" i="6"/>
  <c r="L2201" i="6"/>
  <c r="K2201" i="6"/>
  <c r="U2200" i="6"/>
  <c r="T2200" i="6"/>
  <c r="L2200" i="6"/>
  <c r="K2200" i="6"/>
  <c r="U2199" i="6"/>
  <c r="T2199" i="6"/>
  <c r="L2199" i="6"/>
  <c r="K2199" i="6"/>
  <c r="U2198" i="6"/>
  <c r="T2198" i="6"/>
  <c r="L2198" i="6"/>
  <c r="K2198" i="6"/>
  <c r="U2197" i="6"/>
  <c r="T2197" i="6"/>
  <c r="L2197" i="6"/>
  <c r="K2197" i="6"/>
  <c r="U2196" i="6"/>
  <c r="T2196" i="6"/>
  <c r="L2196" i="6"/>
  <c r="K2196" i="6"/>
  <c r="U2195" i="6"/>
  <c r="T2195" i="6"/>
  <c r="L2195" i="6"/>
  <c r="K2195" i="6"/>
  <c r="U2194" i="6"/>
  <c r="T2194" i="6"/>
  <c r="L2194" i="6"/>
  <c r="K2194" i="6"/>
  <c r="U2193" i="6"/>
  <c r="T2193" i="6"/>
  <c r="L2193" i="6"/>
  <c r="K2193" i="6"/>
  <c r="U2192" i="6"/>
  <c r="T2192" i="6"/>
  <c r="L2192" i="6"/>
  <c r="K2192" i="6"/>
  <c r="U2191" i="6"/>
  <c r="T2191" i="6"/>
  <c r="L2191" i="6"/>
  <c r="K2191" i="6"/>
  <c r="U2190" i="6"/>
  <c r="T2190" i="6"/>
  <c r="L2190" i="6"/>
  <c r="K2190" i="6"/>
  <c r="U2189" i="6"/>
  <c r="T2189" i="6"/>
  <c r="L2189" i="6"/>
  <c r="K2189" i="6"/>
  <c r="U2188" i="6"/>
  <c r="T2188" i="6"/>
  <c r="L2188" i="6"/>
  <c r="K2188" i="6"/>
  <c r="U2187" i="6"/>
  <c r="T2187" i="6"/>
  <c r="L2187" i="6"/>
  <c r="K2187" i="6"/>
  <c r="U2186" i="6"/>
  <c r="T2186" i="6"/>
  <c r="L2186" i="6"/>
  <c r="K2186" i="6"/>
  <c r="U2185" i="6"/>
  <c r="T2185" i="6"/>
  <c r="L2185" i="6"/>
  <c r="K2185" i="6"/>
  <c r="U2184" i="6"/>
  <c r="T2184" i="6"/>
  <c r="L2184" i="6"/>
  <c r="K2184" i="6"/>
  <c r="U2183" i="6"/>
  <c r="T2183" i="6"/>
  <c r="L2183" i="6"/>
  <c r="K2183" i="6"/>
  <c r="U2182" i="6"/>
  <c r="T2182" i="6"/>
  <c r="L2182" i="6"/>
  <c r="K2182" i="6"/>
  <c r="U2181" i="6"/>
  <c r="T2181" i="6"/>
  <c r="L2181" i="6"/>
  <c r="K2181" i="6"/>
  <c r="U2180" i="6"/>
  <c r="T2180" i="6"/>
  <c r="L2180" i="6"/>
  <c r="K2180" i="6"/>
  <c r="U2179" i="6"/>
  <c r="T2179" i="6"/>
  <c r="L2179" i="6"/>
  <c r="K2179" i="6"/>
  <c r="U2178" i="6"/>
  <c r="T2178" i="6"/>
  <c r="L2178" i="6"/>
  <c r="K2178" i="6"/>
  <c r="U2177" i="6"/>
  <c r="T2177" i="6"/>
  <c r="L2177" i="6"/>
  <c r="K2177" i="6"/>
  <c r="U2176" i="6"/>
  <c r="T2176" i="6"/>
  <c r="L2176" i="6"/>
  <c r="K2176" i="6"/>
  <c r="U2175" i="6"/>
  <c r="T2175" i="6"/>
  <c r="L2175" i="6"/>
  <c r="K2175" i="6"/>
  <c r="U2174" i="6"/>
  <c r="T2174" i="6"/>
  <c r="L2174" i="6"/>
  <c r="K2174" i="6"/>
  <c r="U2173" i="6"/>
  <c r="T2173" i="6"/>
  <c r="L2173" i="6"/>
  <c r="K2173" i="6"/>
  <c r="U2172" i="6"/>
  <c r="T2172" i="6"/>
  <c r="L2172" i="6"/>
  <c r="K2172" i="6"/>
  <c r="U2171" i="6"/>
  <c r="T2171" i="6"/>
  <c r="L2171" i="6"/>
  <c r="K2171" i="6"/>
  <c r="U2170" i="6"/>
  <c r="T2170" i="6"/>
  <c r="L2170" i="6"/>
  <c r="K2170" i="6"/>
  <c r="U2169" i="6"/>
  <c r="T2169" i="6"/>
  <c r="L2169" i="6"/>
  <c r="K2169" i="6"/>
  <c r="U2168" i="6"/>
  <c r="T2168" i="6"/>
  <c r="L2168" i="6"/>
  <c r="K2168" i="6"/>
  <c r="U2167" i="6"/>
  <c r="T2167" i="6"/>
  <c r="L2167" i="6"/>
  <c r="K2167" i="6"/>
  <c r="U2166" i="6"/>
  <c r="T2166" i="6"/>
  <c r="L2166" i="6"/>
  <c r="K2166" i="6"/>
  <c r="U2165" i="6"/>
  <c r="T2165" i="6"/>
  <c r="L2165" i="6"/>
  <c r="K2165" i="6"/>
  <c r="U2164" i="6"/>
  <c r="T2164" i="6"/>
  <c r="L2164" i="6"/>
  <c r="K2164" i="6"/>
  <c r="U2163" i="6"/>
  <c r="T2163" i="6"/>
  <c r="L2163" i="6"/>
  <c r="K2163" i="6"/>
  <c r="U2162" i="6"/>
  <c r="T2162" i="6"/>
  <c r="L2162" i="6"/>
  <c r="K2162" i="6"/>
  <c r="U2161" i="6"/>
  <c r="T2161" i="6"/>
  <c r="L2161" i="6"/>
  <c r="K2161" i="6"/>
  <c r="U2160" i="6"/>
  <c r="T2160" i="6"/>
  <c r="L2160" i="6"/>
  <c r="K2160" i="6"/>
  <c r="U2159" i="6"/>
  <c r="T2159" i="6"/>
  <c r="L2159" i="6"/>
  <c r="K2159" i="6"/>
  <c r="U2158" i="6"/>
  <c r="T2158" i="6"/>
  <c r="L2158" i="6"/>
  <c r="K2158" i="6"/>
  <c r="U2157" i="6"/>
  <c r="T2157" i="6"/>
  <c r="L2157" i="6"/>
  <c r="K2157" i="6"/>
  <c r="U2156" i="6"/>
  <c r="T2156" i="6"/>
  <c r="L2156" i="6"/>
  <c r="K2156" i="6"/>
  <c r="U2155" i="6"/>
  <c r="T2155" i="6"/>
  <c r="L2155" i="6"/>
  <c r="K2155" i="6"/>
  <c r="U2154" i="6"/>
  <c r="T2154" i="6"/>
  <c r="L2154" i="6"/>
  <c r="K2154" i="6"/>
  <c r="U2153" i="6"/>
  <c r="T2153" i="6"/>
  <c r="L2153" i="6"/>
  <c r="K2153" i="6"/>
  <c r="U2152" i="6"/>
  <c r="T2152" i="6"/>
  <c r="L2152" i="6"/>
  <c r="K2152" i="6"/>
  <c r="U2151" i="6"/>
  <c r="T2151" i="6"/>
  <c r="L2151" i="6"/>
  <c r="K2151" i="6"/>
  <c r="U2150" i="6"/>
  <c r="T2150" i="6"/>
  <c r="L2150" i="6"/>
  <c r="K2150" i="6"/>
  <c r="U2149" i="6"/>
  <c r="T2149" i="6"/>
  <c r="L2149" i="6"/>
  <c r="K2149" i="6"/>
  <c r="U2148" i="6"/>
  <c r="T2148" i="6"/>
  <c r="L2148" i="6"/>
  <c r="K2148" i="6"/>
  <c r="U2147" i="6"/>
  <c r="T2147" i="6"/>
  <c r="L2147" i="6"/>
  <c r="K2147" i="6"/>
  <c r="U2146" i="6"/>
  <c r="T2146" i="6"/>
  <c r="L2146" i="6"/>
  <c r="K2146" i="6"/>
  <c r="U2145" i="6"/>
  <c r="T2145" i="6"/>
  <c r="L2145" i="6"/>
  <c r="K2145" i="6"/>
  <c r="U2144" i="6"/>
  <c r="T2144" i="6"/>
  <c r="L2144" i="6"/>
  <c r="K2144" i="6"/>
  <c r="U2143" i="6"/>
  <c r="T2143" i="6"/>
  <c r="L2143" i="6"/>
  <c r="K2143" i="6"/>
  <c r="U2142" i="6"/>
  <c r="T2142" i="6"/>
  <c r="L2142" i="6"/>
  <c r="K2142" i="6"/>
  <c r="U2141" i="6"/>
  <c r="T2141" i="6"/>
  <c r="L2141" i="6"/>
  <c r="K2141" i="6"/>
  <c r="U2140" i="6"/>
  <c r="T2140" i="6"/>
  <c r="L2140" i="6"/>
  <c r="K2140" i="6"/>
  <c r="U2139" i="6"/>
  <c r="T2139" i="6"/>
  <c r="L2139" i="6"/>
  <c r="K2139" i="6"/>
  <c r="U2138" i="6"/>
  <c r="T2138" i="6"/>
  <c r="L2138" i="6"/>
  <c r="K2138" i="6"/>
  <c r="U2137" i="6"/>
  <c r="T2137" i="6"/>
  <c r="L2137" i="6"/>
  <c r="K2137" i="6"/>
  <c r="U2136" i="6"/>
  <c r="T2136" i="6"/>
  <c r="L2136" i="6"/>
  <c r="K2136" i="6"/>
  <c r="U2135" i="6"/>
  <c r="T2135" i="6"/>
  <c r="L2135" i="6"/>
  <c r="K2135" i="6"/>
  <c r="U2134" i="6"/>
  <c r="T2134" i="6"/>
  <c r="L2134" i="6"/>
  <c r="K2134" i="6"/>
  <c r="U2133" i="6"/>
  <c r="T2133" i="6"/>
  <c r="L2133" i="6"/>
  <c r="K2133" i="6"/>
  <c r="U2132" i="6"/>
  <c r="T2132" i="6"/>
  <c r="L2132" i="6"/>
  <c r="K2132" i="6"/>
  <c r="U2131" i="6"/>
  <c r="T2131" i="6"/>
  <c r="L2131" i="6"/>
  <c r="K2131" i="6"/>
  <c r="U2130" i="6"/>
  <c r="T2130" i="6"/>
  <c r="L2130" i="6"/>
  <c r="K2130" i="6"/>
  <c r="U2129" i="6"/>
  <c r="T2129" i="6"/>
  <c r="L2129" i="6"/>
  <c r="K2129" i="6"/>
  <c r="U2128" i="6"/>
  <c r="T2128" i="6"/>
  <c r="L2128" i="6"/>
  <c r="K2128" i="6"/>
  <c r="U2127" i="6"/>
  <c r="T2127" i="6"/>
  <c r="L2127" i="6"/>
  <c r="K2127" i="6"/>
  <c r="U2126" i="6"/>
  <c r="T2126" i="6"/>
  <c r="L2126" i="6"/>
  <c r="K2126" i="6"/>
  <c r="U2125" i="6"/>
  <c r="T2125" i="6"/>
  <c r="L2125" i="6"/>
  <c r="K2125" i="6"/>
  <c r="U2124" i="6"/>
  <c r="T2124" i="6"/>
  <c r="L2124" i="6"/>
  <c r="K2124" i="6"/>
  <c r="U2123" i="6"/>
  <c r="T2123" i="6"/>
  <c r="L2123" i="6"/>
  <c r="K2123" i="6"/>
  <c r="U2122" i="6"/>
  <c r="T2122" i="6"/>
  <c r="L2122" i="6"/>
  <c r="K2122" i="6"/>
  <c r="U2121" i="6"/>
  <c r="T2121" i="6"/>
  <c r="L2121" i="6"/>
  <c r="K2121" i="6"/>
  <c r="U2120" i="6"/>
  <c r="T2120" i="6"/>
  <c r="L2120" i="6"/>
  <c r="K2120" i="6"/>
  <c r="U2119" i="6"/>
  <c r="T2119" i="6"/>
  <c r="L2119" i="6"/>
  <c r="K2119" i="6"/>
  <c r="U2118" i="6"/>
  <c r="T2118" i="6"/>
  <c r="L2118" i="6"/>
  <c r="K2118" i="6"/>
  <c r="U2117" i="6"/>
  <c r="T2117" i="6"/>
  <c r="L2117" i="6"/>
  <c r="K2117" i="6"/>
  <c r="U2116" i="6"/>
  <c r="T2116" i="6"/>
  <c r="L2116" i="6"/>
  <c r="K2116" i="6"/>
  <c r="U2115" i="6"/>
  <c r="T2115" i="6"/>
  <c r="L2115" i="6"/>
  <c r="K2115" i="6"/>
  <c r="U2114" i="6"/>
  <c r="T2114" i="6"/>
  <c r="L2114" i="6"/>
  <c r="K2114" i="6"/>
  <c r="U2113" i="6"/>
  <c r="T2113" i="6"/>
  <c r="L2113" i="6"/>
  <c r="K2113" i="6"/>
  <c r="U2112" i="6"/>
  <c r="T2112" i="6"/>
  <c r="L2112" i="6"/>
  <c r="K2112" i="6"/>
  <c r="U2111" i="6"/>
  <c r="T2111" i="6"/>
  <c r="L2111" i="6"/>
  <c r="K2111" i="6"/>
  <c r="U2110" i="6"/>
  <c r="T2110" i="6"/>
  <c r="L2110" i="6"/>
  <c r="K2110" i="6"/>
  <c r="U2109" i="6"/>
  <c r="T2109" i="6"/>
  <c r="L2109" i="6"/>
  <c r="K2109" i="6"/>
  <c r="U2108" i="6"/>
  <c r="T2108" i="6"/>
  <c r="L2108" i="6"/>
  <c r="K2108" i="6"/>
  <c r="U2107" i="6"/>
  <c r="T2107" i="6"/>
  <c r="L2107" i="6"/>
  <c r="K2107" i="6"/>
  <c r="U2106" i="6"/>
  <c r="T2106" i="6"/>
  <c r="L2106" i="6"/>
  <c r="K2106" i="6"/>
  <c r="U2105" i="6"/>
  <c r="T2105" i="6"/>
  <c r="L2105" i="6"/>
  <c r="K2105" i="6"/>
  <c r="U2104" i="6"/>
  <c r="T2104" i="6"/>
  <c r="L2104" i="6"/>
  <c r="K2104" i="6"/>
  <c r="U2103" i="6"/>
  <c r="T2103" i="6"/>
  <c r="L2103" i="6"/>
  <c r="K2103" i="6"/>
  <c r="U2102" i="6"/>
  <c r="T2102" i="6"/>
  <c r="L2102" i="6"/>
  <c r="K2102" i="6"/>
  <c r="U2101" i="6"/>
  <c r="T2101" i="6"/>
  <c r="L2101" i="6"/>
  <c r="K2101" i="6"/>
  <c r="U2100" i="6"/>
  <c r="T2100" i="6"/>
  <c r="L2100" i="6"/>
  <c r="K2100" i="6"/>
  <c r="U2099" i="6"/>
  <c r="T2099" i="6"/>
  <c r="L2099" i="6"/>
  <c r="K2099" i="6"/>
  <c r="U2097" i="6"/>
  <c r="T2097" i="6"/>
  <c r="L2097" i="6"/>
  <c r="K2097" i="6"/>
  <c r="U2096" i="6"/>
  <c r="T2096" i="6"/>
  <c r="L2096" i="6"/>
  <c r="K2096" i="6"/>
  <c r="U2095" i="6"/>
  <c r="T2095" i="6"/>
  <c r="L2095" i="6"/>
  <c r="K2095" i="6"/>
  <c r="U2094" i="6"/>
  <c r="T2094" i="6"/>
  <c r="L2094" i="6"/>
  <c r="K2094" i="6"/>
  <c r="U2093" i="6"/>
  <c r="T2093" i="6"/>
  <c r="L2093" i="6"/>
  <c r="K2093" i="6"/>
  <c r="U2091" i="6"/>
  <c r="T2091" i="6"/>
  <c r="L2091" i="6"/>
  <c r="K2091" i="6"/>
  <c r="U2090" i="6"/>
  <c r="T2090" i="6"/>
  <c r="L2090" i="6"/>
  <c r="K2090" i="6"/>
  <c r="U2089" i="6"/>
  <c r="T2089" i="6"/>
  <c r="L2089" i="6"/>
  <c r="K2089" i="6"/>
  <c r="U2088" i="6"/>
  <c r="T2088" i="6"/>
  <c r="L2088" i="6"/>
  <c r="K2088" i="6"/>
  <c r="U2087" i="6"/>
  <c r="T2087" i="6"/>
  <c r="L2087" i="6"/>
  <c r="K2087" i="6"/>
  <c r="U2086" i="6"/>
  <c r="T2086" i="6"/>
  <c r="L2086" i="6"/>
  <c r="K2086" i="6"/>
  <c r="U2085" i="6"/>
  <c r="T2085" i="6"/>
  <c r="L2085" i="6"/>
  <c r="K2085" i="6"/>
  <c r="U2084" i="6"/>
  <c r="T2084" i="6"/>
  <c r="L2084" i="6"/>
  <c r="K2084" i="6"/>
  <c r="U2083" i="6"/>
  <c r="T2083" i="6"/>
  <c r="L2083" i="6"/>
  <c r="K2083" i="6"/>
  <c r="U2082" i="6"/>
  <c r="T2082" i="6"/>
  <c r="L2082" i="6"/>
  <c r="K2082" i="6"/>
  <c r="U2081" i="6"/>
  <c r="T2081" i="6"/>
  <c r="L2081" i="6"/>
  <c r="K2081" i="6"/>
  <c r="U2080" i="6"/>
  <c r="T2080" i="6"/>
  <c r="L2080" i="6"/>
  <c r="K2080" i="6"/>
  <c r="U2079" i="6"/>
  <c r="T2079" i="6"/>
  <c r="L2079" i="6"/>
  <c r="K2079" i="6"/>
  <c r="U2078" i="6"/>
  <c r="T2078" i="6"/>
  <c r="L2078" i="6"/>
  <c r="K2078" i="6"/>
  <c r="U2077" i="6"/>
  <c r="T2077" i="6"/>
  <c r="L2077" i="6"/>
  <c r="K2077" i="6"/>
  <c r="U2076" i="6"/>
  <c r="T2076" i="6"/>
  <c r="L2076" i="6"/>
  <c r="K2076" i="6"/>
  <c r="U2075" i="6"/>
  <c r="T2075" i="6"/>
  <c r="L2075" i="6"/>
  <c r="K2075" i="6"/>
  <c r="U2074" i="6"/>
  <c r="T2074" i="6"/>
  <c r="L2074" i="6"/>
  <c r="K2074" i="6"/>
  <c r="U2073" i="6"/>
  <c r="T2073" i="6"/>
  <c r="L2073" i="6"/>
  <c r="K2073" i="6"/>
  <c r="U2072" i="6"/>
  <c r="T2072" i="6"/>
  <c r="L2072" i="6"/>
  <c r="K2072" i="6"/>
  <c r="U2071" i="6"/>
  <c r="T2071" i="6"/>
  <c r="L2071" i="6"/>
  <c r="K2071" i="6"/>
  <c r="U2070" i="6"/>
  <c r="T2070" i="6"/>
  <c r="L2070" i="6"/>
  <c r="K2070" i="6"/>
  <c r="U2069" i="6"/>
  <c r="T2069" i="6"/>
  <c r="L2069" i="6"/>
  <c r="K2069" i="6"/>
  <c r="U2068" i="6"/>
  <c r="T2068" i="6"/>
  <c r="L2068" i="6"/>
  <c r="K2068" i="6"/>
  <c r="U2067" i="6"/>
  <c r="T2067" i="6"/>
  <c r="L2067" i="6"/>
  <c r="K2067" i="6"/>
  <c r="U2066" i="6"/>
  <c r="T2066" i="6"/>
  <c r="L2066" i="6"/>
  <c r="K2066" i="6"/>
  <c r="U2065" i="6"/>
  <c r="T2065" i="6"/>
  <c r="L2065" i="6"/>
  <c r="K2065" i="6"/>
  <c r="U2064" i="6"/>
  <c r="T2064" i="6"/>
  <c r="L2064" i="6"/>
  <c r="K2064" i="6"/>
  <c r="U2063" i="6"/>
  <c r="T2063" i="6"/>
  <c r="L2063" i="6"/>
  <c r="K2063" i="6"/>
  <c r="U2062" i="6"/>
  <c r="T2062" i="6"/>
  <c r="L2062" i="6"/>
  <c r="K2062" i="6"/>
  <c r="U2061" i="6"/>
  <c r="T2061" i="6"/>
  <c r="L2061" i="6"/>
  <c r="K2061" i="6"/>
  <c r="U2060" i="6"/>
  <c r="T2060" i="6"/>
  <c r="L2060" i="6"/>
  <c r="K2060" i="6"/>
  <c r="U2059" i="6"/>
  <c r="T2059" i="6"/>
  <c r="L2059" i="6"/>
  <c r="K2059" i="6"/>
  <c r="U2058" i="6"/>
  <c r="T2058" i="6"/>
  <c r="L2058" i="6"/>
  <c r="K2058" i="6"/>
  <c r="U2057" i="6"/>
  <c r="T2057" i="6"/>
  <c r="L2057" i="6"/>
  <c r="K2057" i="6"/>
  <c r="U2056" i="6"/>
  <c r="T2056" i="6"/>
  <c r="L2056" i="6"/>
  <c r="K2056" i="6"/>
  <c r="U2055" i="6"/>
  <c r="T2055" i="6"/>
  <c r="L2055" i="6"/>
  <c r="K2055" i="6"/>
  <c r="U2054" i="6"/>
  <c r="T2054" i="6"/>
  <c r="L2054" i="6"/>
  <c r="K2054" i="6"/>
  <c r="U2053" i="6"/>
  <c r="T2053" i="6"/>
  <c r="L2053" i="6"/>
  <c r="K2053" i="6"/>
  <c r="U2052" i="6"/>
  <c r="T2052" i="6"/>
  <c r="L2052" i="6"/>
  <c r="K2052" i="6"/>
  <c r="U2051" i="6"/>
  <c r="T2051" i="6"/>
  <c r="L2051" i="6"/>
  <c r="K2051" i="6"/>
  <c r="U2050" i="6"/>
  <c r="T2050" i="6"/>
  <c r="L2050" i="6"/>
  <c r="K2050" i="6"/>
  <c r="U2049" i="6"/>
  <c r="T2049" i="6"/>
  <c r="L2049" i="6"/>
  <c r="K2049" i="6"/>
  <c r="U2048" i="6"/>
  <c r="T2048" i="6"/>
  <c r="L2048" i="6"/>
  <c r="K2048" i="6"/>
  <c r="U2047" i="6"/>
  <c r="T2047" i="6"/>
  <c r="L2047" i="6"/>
  <c r="K2047" i="6"/>
  <c r="U2046" i="6"/>
  <c r="T2046" i="6"/>
  <c r="L2046" i="6"/>
  <c r="K2046" i="6"/>
  <c r="U2045" i="6"/>
  <c r="T2045" i="6"/>
  <c r="L2045" i="6"/>
  <c r="K2045" i="6"/>
  <c r="U2044" i="6"/>
  <c r="T2044" i="6"/>
  <c r="L2044" i="6"/>
  <c r="K2044" i="6"/>
  <c r="U2043" i="6"/>
  <c r="T2043" i="6"/>
  <c r="L2043" i="6"/>
  <c r="K2043" i="6"/>
  <c r="U2042" i="6"/>
  <c r="T2042" i="6"/>
  <c r="L2042" i="6"/>
  <c r="K2042" i="6"/>
  <c r="U2041" i="6"/>
  <c r="T2041" i="6"/>
  <c r="L2041" i="6"/>
  <c r="K2041" i="6"/>
  <c r="U2040" i="6"/>
  <c r="T2040" i="6"/>
  <c r="L2040" i="6"/>
  <c r="K2040" i="6"/>
  <c r="U2039" i="6"/>
  <c r="T2039" i="6"/>
  <c r="L2039" i="6"/>
  <c r="K2039" i="6"/>
  <c r="U2038" i="6"/>
  <c r="T2038" i="6"/>
  <c r="L2038" i="6"/>
  <c r="K2038" i="6"/>
  <c r="U2037" i="6"/>
  <c r="T2037" i="6"/>
  <c r="L2037" i="6"/>
  <c r="K2037" i="6"/>
  <c r="U2036" i="6"/>
  <c r="T2036" i="6"/>
  <c r="L2036" i="6"/>
  <c r="K2036" i="6"/>
  <c r="U2035" i="6"/>
  <c r="T2035" i="6"/>
  <c r="L2035" i="6"/>
  <c r="K2035" i="6"/>
  <c r="U2034" i="6"/>
  <c r="T2034" i="6"/>
  <c r="L2034" i="6"/>
  <c r="K2034" i="6"/>
  <c r="U2033" i="6"/>
  <c r="T2033" i="6"/>
  <c r="L2033" i="6"/>
  <c r="K2033" i="6"/>
  <c r="U2032" i="6"/>
  <c r="T2032" i="6"/>
  <c r="L2032" i="6"/>
  <c r="K2032" i="6"/>
  <c r="U2031" i="6"/>
  <c r="T2031" i="6"/>
  <c r="L2031" i="6"/>
  <c r="K2031" i="6"/>
  <c r="U2030" i="6"/>
  <c r="T2030" i="6"/>
  <c r="L2030" i="6"/>
  <c r="K2030" i="6"/>
  <c r="U2029" i="6"/>
  <c r="T2029" i="6"/>
  <c r="L2029" i="6"/>
  <c r="K2029" i="6"/>
  <c r="U2028" i="6"/>
  <c r="T2028" i="6"/>
  <c r="L2028" i="6"/>
  <c r="K2028" i="6"/>
  <c r="U2027" i="6"/>
  <c r="T2027" i="6"/>
  <c r="L2027" i="6"/>
  <c r="K2027" i="6"/>
  <c r="U2026" i="6"/>
  <c r="T2026" i="6"/>
  <c r="L2026" i="6"/>
  <c r="K2026" i="6"/>
  <c r="U2025" i="6"/>
  <c r="T2025" i="6"/>
  <c r="L2025" i="6"/>
  <c r="K2025" i="6"/>
  <c r="U2024" i="6"/>
  <c r="T2024" i="6"/>
  <c r="L2024" i="6"/>
  <c r="K2024" i="6"/>
  <c r="U2023" i="6"/>
  <c r="T2023" i="6"/>
  <c r="L2023" i="6"/>
  <c r="K2023" i="6"/>
  <c r="U2022" i="6"/>
  <c r="T2022" i="6"/>
  <c r="L2022" i="6"/>
  <c r="K2022" i="6"/>
  <c r="U2021" i="6"/>
  <c r="T2021" i="6"/>
  <c r="L2021" i="6"/>
  <c r="K2021" i="6"/>
  <c r="U2020" i="6"/>
  <c r="T2020" i="6"/>
  <c r="L2020" i="6"/>
  <c r="K2020" i="6"/>
  <c r="U2019" i="6"/>
  <c r="T2019" i="6"/>
  <c r="L2019" i="6"/>
  <c r="K2019" i="6"/>
  <c r="U2018" i="6"/>
  <c r="T2018" i="6"/>
  <c r="L2018" i="6"/>
  <c r="K2018" i="6"/>
  <c r="U2017" i="6"/>
  <c r="T2017" i="6"/>
  <c r="L2017" i="6"/>
  <c r="K2017" i="6"/>
  <c r="U2016" i="6"/>
  <c r="T2016" i="6"/>
  <c r="L2016" i="6"/>
  <c r="K2016" i="6"/>
  <c r="U2015" i="6"/>
  <c r="T2015" i="6"/>
  <c r="L2015" i="6"/>
  <c r="K2015" i="6"/>
  <c r="U2014" i="6"/>
  <c r="T2014" i="6"/>
  <c r="L2014" i="6"/>
  <c r="K2014" i="6"/>
  <c r="U2013" i="6"/>
  <c r="T2013" i="6"/>
  <c r="L2013" i="6"/>
  <c r="K2013" i="6"/>
  <c r="U2012" i="6"/>
  <c r="T2012" i="6"/>
  <c r="L2012" i="6"/>
  <c r="K2012" i="6"/>
  <c r="U2011" i="6"/>
  <c r="T2011" i="6"/>
  <c r="L2011" i="6"/>
  <c r="K2011" i="6"/>
  <c r="U2010" i="6"/>
  <c r="T2010" i="6"/>
  <c r="L2010" i="6"/>
  <c r="K2010" i="6"/>
  <c r="U2009" i="6"/>
  <c r="T2009" i="6"/>
  <c r="L2009" i="6"/>
  <c r="K2009" i="6"/>
  <c r="U2008" i="6"/>
  <c r="T2008" i="6"/>
  <c r="L2008" i="6"/>
  <c r="K2008" i="6"/>
  <c r="U2007" i="6"/>
  <c r="T2007" i="6"/>
  <c r="L2007" i="6"/>
  <c r="K2007" i="6"/>
  <c r="U2006" i="6"/>
  <c r="T2006" i="6"/>
  <c r="L2006" i="6"/>
  <c r="K2006" i="6"/>
  <c r="U2005" i="6"/>
  <c r="T2005" i="6"/>
  <c r="L2005" i="6"/>
  <c r="K2005" i="6"/>
  <c r="U2004" i="6"/>
  <c r="T2004" i="6"/>
  <c r="L2004" i="6"/>
  <c r="K2004" i="6"/>
  <c r="U2003" i="6"/>
  <c r="T2003" i="6"/>
  <c r="L2003" i="6"/>
  <c r="K2003" i="6"/>
  <c r="U2002" i="6"/>
  <c r="T2002" i="6"/>
  <c r="L2002" i="6"/>
  <c r="K2002" i="6"/>
  <c r="U2001" i="6"/>
  <c r="T2001" i="6"/>
  <c r="L2001" i="6"/>
  <c r="K2001" i="6"/>
  <c r="U2000" i="6"/>
  <c r="T2000" i="6"/>
  <c r="L2000" i="6"/>
  <c r="K2000" i="6"/>
  <c r="U1999" i="6"/>
  <c r="T1999" i="6"/>
  <c r="L1999" i="6"/>
  <c r="K1999" i="6"/>
  <c r="U1998" i="6"/>
  <c r="T1998" i="6"/>
  <c r="L1998" i="6"/>
  <c r="K1998" i="6"/>
  <c r="U1997" i="6"/>
  <c r="T1997" i="6"/>
  <c r="L1997" i="6"/>
  <c r="K1997" i="6"/>
  <c r="U1996" i="6"/>
  <c r="T1996" i="6"/>
  <c r="L1996" i="6"/>
  <c r="K1996" i="6"/>
  <c r="U1995" i="6"/>
  <c r="T1995" i="6"/>
  <c r="L1995" i="6"/>
  <c r="K1995" i="6"/>
  <c r="U1994" i="6"/>
  <c r="T1994" i="6"/>
  <c r="L1994" i="6"/>
  <c r="K1994" i="6"/>
  <c r="U1993" i="6"/>
  <c r="T1993" i="6"/>
  <c r="L1993" i="6"/>
  <c r="K1993" i="6"/>
  <c r="U1992" i="6"/>
  <c r="T1992" i="6"/>
  <c r="L1992" i="6"/>
  <c r="K1992" i="6"/>
  <c r="U1991" i="6"/>
  <c r="T1991" i="6"/>
  <c r="L1991" i="6"/>
  <c r="K1991" i="6"/>
  <c r="U1990" i="6"/>
  <c r="T1990" i="6"/>
  <c r="L1990" i="6"/>
  <c r="K1990" i="6"/>
  <c r="U1988" i="6"/>
  <c r="T1988" i="6"/>
  <c r="L1988" i="6"/>
  <c r="K1988" i="6"/>
  <c r="U1987" i="6"/>
  <c r="T1987" i="6"/>
  <c r="L1987" i="6"/>
  <c r="K1987" i="6"/>
  <c r="U1986" i="6"/>
  <c r="T1986" i="6"/>
  <c r="L1986" i="6"/>
  <c r="K1986" i="6"/>
  <c r="U1985" i="6"/>
  <c r="T1985" i="6"/>
  <c r="L1985" i="6"/>
  <c r="K1985" i="6"/>
  <c r="U1984" i="6"/>
  <c r="T1984" i="6"/>
  <c r="L1984" i="6"/>
  <c r="K1984" i="6"/>
  <c r="U1983" i="6"/>
  <c r="T1983" i="6"/>
  <c r="L1983" i="6"/>
  <c r="K1983" i="6"/>
  <c r="U1982" i="6"/>
  <c r="T1982" i="6"/>
  <c r="L1982" i="6"/>
  <c r="K1982" i="6"/>
  <c r="U1981" i="6"/>
  <c r="T1981" i="6"/>
  <c r="L1981" i="6"/>
  <c r="K1981" i="6"/>
  <c r="U1980" i="6"/>
  <c r="T1980" i="6"/>
  <c r="L1980" i="6"/>
  <c r="K1980" i="6"/>
  <c r="U1979" i="6"/>
  <c r="T1979" i="6"/>
  <c r="L1979" i="6"/>
  <c r="K1979" i="6"/>
  <c r="U1978" i="6"/>
  <c r="T1978" i="6"/>
  <c r="L1978" i="6"/>
  <c r="K1978" i="6"/>
  <c r="U1977" i="6"/>
  <c r="T1977" i="6"/>
  <c r="L1977" i="6"/>
  <c r="K1977" i="6"/>
  <c r="U1976" i="6"/>
  <c r="T1976" i="6"/>
  <c r="L1976" i="6"/>
  <c r="K1976" i="6"/>
  <c r="U1975" i="6"/>
  <c r="T1975" i="6"/>
  <c r="L1975" i="6"/>
  <c r="K1975" i="6"/>
  <c r="U1974" i="6"/>
  <c r="T1974" i="6"/>
  <c r="L1974" i="6"/>
  <c r="K1974" i="6"/>
  <c r="U1973" i="6"/>
  <c r="T1973" i="6"/>
  <c r="L1973" i="6"/>
  <c r="K1973" i="6"/>
  <c r="U1972" i="6"/>
  <c r="T1972" i="6"/>
  <c r="L1972" i="6"/>
  <c r="K1972" i="6"/>
  <c r="U1971" i="6"/>
  <c r="T1971" i="6"/>
  <c r="L1971" i="6"/>
  <c r="K1971" i="6"/>
  <c r="U1970" i="6"/>
  <c r="T1970" i="6"/>
  <c r="L1970" i="6"/>
  <c r="K1970" i="6"/>
  <c r="U1969" i="6"/>
  <c r="T1969" i="6"/>
  <c r="L1969" i="6"/>
  <c r="K1969" i="6"/>
  <c r="U1967" i="6"/>
  <c r="T1967" i="6"/>
  <c r="L1967" i="6"/>
  <c r="K1967" i="6"/>
  <c r="U1966" i="6"/>
  <c r="T1966" i="6"/>
  <c r="L1966" i="6"/>
  <c r="K1966" i="6"/>
  <c r="U1965" i="6"/>
  <c r="T1965" i="6"/>
  <c r="L1965" i="6"/>
  <c r="K1965" i="6"/>
  <c r="U1964" i="6"/>
  <c r="T1964" i="6"/>
  <c r="L1964" i="6"/>
  <c r="K1964" i="6"/>
  <c r="U1963" i="6"/>
  <c r="T1963" i="6"/>
  <c r="L1963" i="6"/>
  <c r="K1963" i="6"/>
  <c r="U1962" i="6"/>
  <c r="T1962" i="6"/>
  <c r="L1962" i="6"/>
  <c r="K1962" i="6"/>
  <c r="U1961" i="6"/>
  <c r="T1961" i="6"/>
  <c r="L1961" i="6"/>
  <c r="K1961" i="6"/>
  <c r="U1960" i="6"/>
  <c r="T1960" i="6"/>
  <c r="L1960" i="6"/>
  <c r="K1960" i="6"/>
  <c r="U1959" i="6"/>
  <c r="T1959" i="6"/>
  <c r="L1959" i="6"/>
  <c r="K1959" i="6"/>
  <c r="U1958" i="6"/>
  <c r="T1958" i="6"/>
  <c r="L1958" i="6"/>
  <c r="K1958" i="6"/>
  <c r="U1957" i="6"/>
  <c r="T1957" i="6"/>
  <c r="L1957" i="6"/>
  <c r="K1957" i="6"/>
  <c r="U1956" i="6"/>
  <c r="T1956" i="6"/>
  <c r="L1956" i="6"/>
  <c r="K1956" i="6"/>
  <c r="U1955" i="6"/>
  <c r="T1955" i="6"/>
  <c r="L1955" i="6"/>
  <c r="K1955" i="6"/>
  <c r="U1954" i="6"/>
  <c r="T1954" i="6"/>
  <c r="L1954" i="6"/>
  <c r="K1954" i="6"/>
  <c r="U1953" i="6"/>
  <c r="T1953" i="6"/>
  <c r="L1953" i="6"/>
  <c r="K1953" i="6"/>
  <c r="U1952" i="6"/>
  <c r="T1952" i="6"/>
  <c r="L1952" i="6"/>
  <c r="K1952" i="6"/>
  <c r="U1951" i="6"/>
  <c r="T1951" i="6"/>
  <c r="L1951" i="6"/>
  <c r="K1951" i="6"/>
  <c r="U1950" i="6"/>
  <c r="T1950" i="6"/>
  <c r="L1950" i="6"/>
  <c r="K1950" i="6"/>
  <c r="U1949" i="6"/>
  <c r="T1949" i="6"/>
  <c r="L1949" i="6"/>
  <c r="K1949" i="6"/>
  <c r="U1948" i="6"/>
  <c r="T1948" i="6"/>
  <c r="L1948" i="6"/>
  <c r="K1948" i="6"/>
  <c r="U1947" i="6"/>
  <c r="T1947" i="6"/>
  <c r="L1947" i="6"/>
  <c r="K1947" i="6"/>
  <c r="U1946" i="6"/>
  <c r="T1946" i="6"/>
  <c r="L1946" i="6"/>
  <c r="K1946" i="6"/>
  <c r="U1945" i="6"/>
  <c r="T1945" i="6"/>
  <c r="L1945" i="6"/>
  <c r="K1945" i="6"/>
  <c r="U1944" i="6"/>
  <c r="T1944" i="6"/>
  <c r="L1944" i="6"/>
  <c r="K1944" i="6"/>
  <c r="U1943" i="6"/>
  <c r="T1943" i="6"/>
  <c r="L1943" i="6"/>
  <c r="K1943" i="6"/>
  <c r="U1942" i="6"/>
  <c r="T1942" i="6"/>
  <c r="L1942" i="6"/>
  <c r="K1942" i="6"/>
  <c r="U1941" i="6"/>
  <c r="T1941" i="6"/>
  <c r="L1941" i="6"/>
  <c r="K1941" i="6"/>
  <c r="U1940" i="6"/>
  <c r="T1940" i="6"/>
  <c r="L1940" i="6"/>
  <c r="K1940" i="6"/>
  <c r="U1939" i="6"/>
  <c r="T1939" i="6"/>
  <c r="L1939" i="6"/>
  <c r="K1939" i="6"/>
  <c r="U1938" i="6"/>
  <c r="T1938" i="6"/>
  <c r="L1938" i="6"/>
  <c r="K1938" i="6"/>
  <c r="U1937" i="6"/>
  <c r="T1937" i="6"/>
  <c r="L1937" i="6"/>
  <c r="K1937" i="6"/>
  <c r="U1936" i="6"/>
  <c r="T1936" i="6"/>
  <c r="L1936" i="6"/>
  <c r="K1936" i="6"/>
  <c r="U1935" i="6"/>
  <c r="T1935" i="6"/>
  <c r="L1935" i="6"/>
  <c r="K1935" i="6"/>
  <c r="U1934" i="6"/>
  <c r="T1934" i="6"/>
  <c r="L1934" i="6"/>
  <c r="K1934" i="6"/>
  <c r="U1933" i="6"/>
  <c r="T1933" i="6"/>
  <c r="L1933" i="6"/>
  <c r="K1933" i="6"/>
  <c r="U1932" i="6"/>
  <c r="T1932" i="6"/>
  <c r="L1932" i="6"/>
  <c r="K1932" i="6"/>
  <c r="U1931" i="6"/>
  <c r="T1931" i="6"/>
  <c r="L1931" i="6"/>
  <c r="K1931" i="6"/>
  <c r="U1930" i="6"/>
  <c r="T1930" i="6"/>
  <c r="L1930" i="6"/>
  <c r="K1930" i="6"/>
  <c r="U1929" i="6"/>
  <c r="T1929" i="6"/>
  <c r="L1929" i="6"/>
  <c r="K1929" i="6"/>
  <c r="U1928" i="6"/>
  <c r="T1928" i="6"/>
  <c r="L1928" i="6"/>
  <c r="K1928" i="6"/>
  <c r="U1927" i="6"/>
  <c r="T1927" i="6"/>
  <c r="L1927" i="6"/>
  <c r="K1927" i="6"/>
  <c r="U1926" i="6"/>
  <c r="T1926" i="6"/>
  <c r="L1926" i="6"/>
  <c r="K1926" i="6"/>
  <c r="U1925" i="6"/>
  <c r="T1925" i="6"/>
  <c r="L1925" i="6"/>
  <c r="K1925" i="6"/>
  <c r="U1924" i="6"/>
  <c r="T1924" i="6"/>
  <c r="L1924" i="6"/>
  <c r="K1924" i="6"/>
  <c r="U1923" i="6"/>
  <c r="T1923" i="6"/>
  <c r="L1923" i="6"/>
  <c r="K1923" i="6"/>
  <c r="U1922" i="6"/>
  <c r="T1922" i="6"/>
  <c r="L1922" i="6"/>
  <c r="K1922" i="6"/>
  <c r="U1921" i="6"/>
  <c r="T1921" i="6"/>
  <c r="L1921" i="6"/>
  <c r="K1921" i="6"/>
  <c r="U1920" i="6"/>
  <c r="T1920" i="6"/>
  <c r="L1920" i="6"/>
  <c r="K1920" i="6"/>
  <c r="U1919" i="6"/>
  <c r="T1919" i="6"/>
  <c r="L1919" i="6"/>
  <c r="K1919" i="6"/>
  <c r="U1918" i="6"/>
  <c r="T1918" i="6"/>
  <c r="L1918" i="6"/>
  <c r="K1918" i="6"/>
  <c r="U1917" i="6"/>
  <c r="T1917" i="6"/>
  <c r="L1917" i="6"/>
  <c r="K1917" i="6"/>
  <c r="U1916" i="6"/>
  <c r="T1916" i="6"/>
  <c r="L1916" i="6"/>
  <c r="K1916" i="6"/>
  <c r="U1915" i="6"/>
  <c r="T1915" i="6"/>
  <c r="L1915" i="6"/>
  <c r="K1915" i="6"/>
  <c r="U1914" i="6"/>
  <c r="T1914" i="6"/>
  <c r="L1914" i="6"/>
  <c r="K1914" i="6"/>
  <c r="U1912" i="6"/>
  <c r="T1912" i="6"/>
  <c r="L1912" i="6"/>
  <c r="K1912" i="6"/>
  <c r="U1911" i="6"/>
  <c r="T1911" i="6"/>
  <c r="L1911" i="6"/>
  <c r="K1911" i="6"/>
  <c r="U1910" i="6"/>
  <c r="T1910" i="6"/>
  <c r="L1910" i="6"/>
  <c r="K1910" i="6"/>
  <c r="U1909" i="6"/>
  <c r="T1909" i="6"/>
  <c r="L1909" i="6"/>
  <c r="K1909" i="6"/>
  <c r="U1908" i="6"/>
  <c r="T1908" i="6"/>
  <c r="L1908" i="6"/>
  <c r="K1908" i="6"/>
  <c r="U1907" i="6"/>
  <c r="T1907" i="6"/>
  <c r="L1907" i="6"/>
  <c r="K1907" i="6"/>
  <c r="U1906" i="6"/>
  <c r="T1906" i="6"/>
  <c r="L1906" i="6"/>
  <c r="K1906" i="6"/>
  <c r="U1905" i="6"/>
  <c r="T1905" i="6"/>
  <c r="L1905" i="6"/>
  <c r="K1905" i="6"/>
  <c r="U1904" i="6"/>
  <c r="T1904" i="6"/>
  <c r="L1904" i="6"/>
  <c r="K1904" i="6"/>
  <c r="U1903" i="6"/>
  <c r="T1903" i="6"/>
  <c r="L1903" i="6"/>
  <c r="K1903" i="6"/>
  <c r="U1902" i="6"/>
  <c r="T1902" i="6"/>
  <c r="L1902" i="6"/>
  <c r="K1902" i="6"/>
  <c r="U1901" i="6"/>
  <c r="T1901" i="6"/>
  <c r="L1901" i="6"/>
  <c r="K1901" i="6"/>
  <c r="U1900" i="6"/>
  <c r="T1900" i="6"/>
  <c r="L1900" i="6"/>
  <c r="K1900" i="6"/>
  <c r="U1899" i="6"/>
  <c r="T1899" i="6"/>
  <c r="L1899" i="6"/>
  <c r="K1899" i="6"/>
  <c r="U1898" i="6"/>
  <c r="T1898" i="6"/>
  <c r="L1898" i="6"/>
  <c r="K1898" i="6"/>
  <c r="U1897" i="6"/>
  <c r="T1897" i="6"/>
  <c r="L1897" i="6"/>
  <c r="K1897" i="6"/>
  <c r="U1896" i="6"/>
  <c r="T1896" i="6"/>
  <c r="L1896" i="6"/>
  <c r="K1896" i="6"/>
  <c r="U1895" i="6"/>
  <c r="T1895" i="6"/>
  <c r="L1895" i="6"/>
  <c r="K1895" i="6"/>
  <c r="U1894" i="6"/>
  <c r="T1894" i="6"/>
  <c r="L1894" i="6"/>
  <c r="K1894" i="6"/>
  <c r="U1893" i="6"/>
  <c r="T1893" i="6"/>
  <c r="L1893" i="6"/>
  <c r="K1893" i="6"/>
  <c r="U1891" i="6"/>
  <c r="T1891" i="6"/>
  <c r="L1891" i="6"/>
  <c r="K1891" i="6"/>
  <c r="U1890" i="6"/>
  <c r="T1890" i="6"/>
  <c r="L1890" i="6"/>
  <c r="K1890" i="6"/>
  <c r="U1889" i="6"/>
  <c r="T1889" i="6"/>
  <c r="L1889" i="6"/>
  <c r="K1889" i="6"/>
  <c r="U1888" i="6"/>
  <c r="T1888" i="6"/>
  <c r="L1888" i="6"/>
  <c r="K1888" i="6"/>
  <c r="U1887" i="6"/>
  <c r="T1887" i="6"/>
  <c r="L1887" i="6"/>
  <c r="K1887" i="6"/>
  <c r="U1886" i="6"/>
  <c r="T1886" i="6"/>
  <c r="L1886" i="6"/>
  <c r="K1886" i="6"/>
  <c r="U1885" i="6"/>
  <c r="T1885" i="6"/>
  <c r="L1885" i="6"/>
  <c r="K1885" i="6"/>
  <c r="U1884" i="6"/>
  <c r="T1884" i="6"/>
  <c r="L1884" i="6"/>
  <c r="K1884" i="6"/>
  <c r="U1883" i="6"/>
  <c r="T1883" i="6"/>
  <c r="L1883" i="6"/>
  <c r="K1883" i="6"/>
  <c r="U1882" i="6"/>
  <c r="T1882" i="6"/>
  <c r="L1882" i="6"/>
  <c r="K1882" i="6"/>
  <c r="U1881" i="6"/>
  <c r="T1881" i="6"/>
  <c r="L1881" i="6"/>
  <c r="K1881" i="6"/>
  <c r="U1880" i="6"/>
  <c r="T1880" i="6"/>
  <c r="L1880" i="6"/>
  <c r="K1880" i="6"/>
  <c r="U1879" i="6"/>
  <c r="T1879" i="6"/>
  <c r="L1879" i="6"/>
  <c r="K1879" i="6"/>
  <c r="U1878" i="6"/>
  <c r="T1878" i="6"/>
  <c r="L1878" i="6"/>
  <c r="K1878" i="6"/>
  <c r="U1877" i="6"/>
  <c r="T1877" i="6"/>
  <c r="L1877" i="6"/>
  <c r="K1877" i="6"/>
  <c r="U1876" i="6"/>
  <c r="T1876" i="6"/>
  <c r="L1876" i="6"/>
  <c r="K1876" i="6"/>
  <c r="U1875" i="6"/>
  <c r="T1875" i="6"/>
  <c r="L1875" i="6"/>
  <c r="K1875" i="6"/>
  <c r="U1874" i="6"/>
  <c r="T1874" i="6"/>
  <c r="L1874" i="6"/>
  <c r="K1874" i="6"/>
  <c r="U1873" i="6"/>
  <c r="T1873" i="6"/>
  <c r="L1873" i="6"/>
  <c r="K1873" i="6"/>
  <c r="U1872" i="6"/>
  <c r="T1872" i="6"/>
  <c r="L1872" i="6"/>
  <c r="K1872" i="6"/>
  <c r="U1871" i="6"/>
  <c r="T1871" i="6"/>
  <c r="L1871" i="6"/>
  <c r="K1871" i="6"/>
  <c r="U1870" i="6"/>
  <c r="T1870" i="6"/>
  <c r="L1870" i="6"/>
  <c r="K1870" i="6"/>
  <c r="U1869" i="6"/>
  <c r="T1869" i="6"/>
  <c r="L1869" i="6"/>
  <c r="K1869" i="6"/>
  <c r="U1868" i="6"/>
  <c r="T1868" i="6"/>
  <c r="L1868" i="6"/>
  <c r="K1868" i="6"/>
  <c r="U1867" i="6"/>
  <c r="T1867" i="6"/>
  <c r="L1867" i="6"/>
  <c r="K1867" i="6"/>
  <c r="U1866" i="6"/>
  <c r="T1866" i="6"/>
  <c r="L1866" i="6"/>
  <c r="K1866" i="6"/>
  <c r="U1865" i="6"/>
  <c r="T1865" i="6"/>
  <c r="L1865" i="6"/>
  <c r="K1865" i="6"/>
  <c r="U1864" i="6"/>
  <c r="T1864" i="6"/>
  <c r="L1864" i="6"/>
  <c r="K1864" i="6"/>
  <c r="U1863" i="6"/>
  <c r="T1863" i="6"/>
  <c r="L1863" i="6"/>
  <c r="K1863" i="6"/>
  <c r="U1862" i="6"/>
  <c r="T1862" i="6"/>
  <c r="L1862" i="6"/>
  <c r="K1862" i="6"/>
  <c r="U1861" i="6"/>
  <c r="T1861" i="6"/>
  <c r="L1861" i="6"/>
  <c r="K1861" i="6"/>
  <c r="U1860" i="6"/>
  <c r="T1860" i="6"/>
  <c r="L1860" i="6"/>
  <c r="K1860" i="6"/>
  <c r="U1859" i="6"/>
  <c r="T1859" i="6"/>
  <c r="L1859" i="6"/>
  <c r="K1859" i="6"/>
  <c r="U1858" i="6"/>
  <c r="T1858" i="6"/>
  <c r="L1858" i="6"/>
  <c r="K1858" i="6"/>
  <c r="U1857" i="6"/>
  <c r="T1857" i="6"/>
  <c r="L1857" i="6"/>
  <c r="K1857" i="6"/>
  <c r="U1856" i="6"/>
  <c r="T1856" i="6"/>
  <c r="L1856" i="6"/>
  <c r="K1856" i="6"/>
  <c r="U1855" i="6"/>
  <c r="T1855" i="6"/>
  <c r="L1855" i="6"/>
  <c r="K1855" i="6"/>
  <c r="U1854" i="6"/>
  <c r="T1854" i="6"/>
  <c r="L1854" i="6"/>
  <c r="K1854" i="6"/>
  <c r="U1853" i="6"/>
  <c r="T1853" i="6"/>
  <c r="L1853" i="6"/>
  <c r="K1853" i="6"/>
  <c r="U1852" i="6"/>
  <c r="T1852" i="6"/>
  <c r="L1852" i="6"/>
  <c r="K1852" i="6"/>
  <c r="U1851" i="6"/>
  <c r="T1851" i="6"/>
  <c r="L1851" i="6"/>
  <c r="K1851" i="6"/>
  <c r="U1850" i="6"/>
  <c r="T1850" i="6"/>
  <c r="L1850" i="6"/>
  <c r="K1850" i="6"/>
  <c r="U1849" i="6"/>
  <c r="T1849" i="6"/>
  <c r="L1849" i="6"/>
  <c r="K1849" i="6"/>
  <c r="U1848" i="6"/>
  <c r="T1848" i="6"/>
  <c r="L1848" i="6"/>
  <c r="K1848" i="6"/>
  <c r="U1847" i="6"/>
  <c r="T1847" i="6"/>
  <c r="L1847" i="6"/>
  <c r="K1847" i="6"/>
  <c r="U1846" i="6"/>
  <c r="T1846" i="6"/>
  <c r="L1846" i="6"/>
  <c r="K1846" i="6"/>
  <c r="U1845" i="6"/>
  <c r="T1845" i="6"/>
  <c r="L1845" i="6"/>
  <c r="K1845" i="6"/>
  <c r="U1844" i="6"/>
  <c r="T1844" i="6"/>
  <c r="L1844" i="6"/>
  <c r="K1844" i="6"/>
  <c r="U1843" i="6"/>
  <c r="T1843" i="6"/>
  <c r="L1843" i="6"/>
  <c r="K1843" i="6"/>
  <c r="U1842" i="6"/>
  <c r="T1842" i="6"/>
  <c r="L1842" i="6"/>
  <c r="K1842" i="6"/>
  <c r="U1841" i="6"/>
  <c r="T1841" i="6"/>
  <c r="L1841" i="6"/>
  <c r="K1841" i="6"/>
  <c r="U1840" i="6"/>
  <c r="T1840" i="6"/>
  <c r="L1840" i="6"/>
  <c r="K1840" i="6"/>
  <c r="U1839" i="6"/>
  <c r="T1839" i="6"/>
  <c r="L1839" i="6"/>
  <c r="K1839" i="6"/>
  <c r="U1838" i="6"/>
  <c r="T1838" i="6"/>
  <c r="L1838" i="6"/>
  <c r="K1838" i="6"/>
  <c r="U1837" i="6"/>
  <c r="T1837" i="6"/>
  <c r="L1837" i="6"/>
  <c r="K1837" i="6"/>
  <c r="U1836" i="6"/>
  <c r="T1836" i="6"/>
  <c r="L1836" i="6"/>
  <c r="K1836" i="6"/>
  <c r="U1835" i="6"/>
  <c r="T1835" i="6"/>
  <c r="L1835" i="6"/>
  <c r="K1835" i="6"/>
  <c r="U1834" i="6"/>
  <c r="T1834" i="6"/>
  <c r="L1834" i="6"/>
  <c r="K1834" i="6"/>
  <c r="U1833" i="6"/>
  <c r="T1833" i="6"/>
  <c r="L1833" i="6"/>
  <c r="K1833" i="6"/>
  <c r="U1832" i="6"/>
  <c r="T1832" i="6"/>
  <c r="L1832" i="6"/>
  <c r="K1832" i="6"/>
  <c r="U1831" i="6"/>
  <c r="T1831" i="6"/>
  <c r="L1831" i="6"/>
  <c r="K1831" i="6"/>
  <c r="U1830" i="6"/>
  <c r="T1830" i="6"/>
  <c r="L1830" i="6"/>
  <c r="K1830" i="6"/>
  <c r="U1829" i="6"/>
  <c r="T1829" i="6"/>
  <c r="L1829" i="6"/>
  <c r="K1829" i="6"/>
  <c r="U1828" i="6"/>
  <c r="T1828" i="6"/>
  <c r="L1828" i="6"/>
  <c r="K1828" i="6"/>
  <c r="U1827" i="6"/>
  <c r="T1827" i="6"/>
  <c r="L1827" i="6"/>
  <c r="K1827" i="6"/>
  <c r="U1825" i="6"/>
  <c r="T1825" i="6"/>
  <c r="L1825" i="6"/>
  <c r="K1825" i="6"/>
  <c r="U1824" i="6"/>
  <c r="T1824" i="6"/>
  <c r="L1824" i="6"/>
  <c r="K1824" i="6"/>
  <c r="U1823" i="6"/>
  <c r="T1823" i="6"/>
  <c r="L1823" i="6"/>
  <c r="K1823" i="6"/>
  <c r="U1822" i="6"/>
  <c r="T1822" i="6"/>
  <c r="L1822" i="6"/>
  <c r="K1822" i="6"/>
  <c r="U1821" i="6"/>
  <c r="T1821" i="6"/>
  <c r="L1821" i="6"/>
  <c r="K1821" i="6"/>
  <c r="U1820" i="6"/>
  <c r="T1820" i="6"/>
  <c r="L1820" i="6"/>
  <c r="K1820" i="6"/>
  <c r="U1819" i="6"/>
  <c r="T1819" i="6"/>
  <c r="L1819" i="6"/>
  <c r="K1819" i="6"/>
  <c r="U1818" i="6"/>
  <c r="T1818" i="6"/>
  <c r="L1818" i="6"/>
  <c r="K1818" i="6"/>
  <c r="U1817" i="6"/>
  <c r="T1817" i="6"/>
  <c r="L1817" i="6"/>
  <c r="K1817" i="6"/>
  <c r="U1816" i="6"/>
  <c r="T1816" i="6"/>
  <c r="L1816" i="6"/>
  <c r="K1816" i="6"/>
  <c r="U1815" i="6"/>
  <c r="T1815" i="6"/>
  <c r="L1815" i="6"/>
  <c r="K1815" i="6"/>
  <c r="U1814" i="6"/>
  <c r="T1814" i="6"/>
  <c r="L1814" i="6"/>
  <c r="K1814" i="6"/>
  <c r="U1813" i="6"/>
  <c r="T1813" i="6"/>
  <c r="L1813" i="6"/>
  <c r="K1813" i="6"/>
  <c r="U1812" i="6"/>
  <c r="T1812" i="6"/>
  <c r="L1812" i="6"/>
  <c r="K1812" i="6"/>
  <c r="U1811" i="6"/>
  <c r="T1811" i="6"/>
  <c r="L1811" i="6"/>
  <c r="K1811" i="6"/>
  <c r="U1810" i="6"/>
  <c r="T1810" i="6"/>
  <c r="L1810" i="6"/>
  <c r="K1810" i="6"/>
  <c r="U1809" i="6"/>
  <c r="T1809" i="6"/>
  <c r="L1809" i="6"/>
  <c r="K1809" i="6"/>
  <c r="U1808" i="6"/>
  <c r="T1808" i="6"/>
  <c r="L1808" i="6"/>
  <c r="K1808" i="6"/>
  <c r="U1807" i="6"/>
  <c r="T1807" i="6"/>
  <c r="L1807" i="6"/>
  <c r="K1807" i="6"/>
  <c r="U1806" i="6"/>
  <c r="T1806" i="6"/>
  <c r="L1806" i="6"/>
  <c r="K1806" i="6"/>
  <c r="U1805" i="6"/>
  <c r="T1805" i="6"/>
  <c r="L1805" i="6"/>
  <c r="K1805" i="6"/>
  <c r="U1804" i="6"/>
  <c r="T1804" i="6"/>
  <c r="L1804" i="6"/>
  <c r="K1804" i="6"/>
  <c r="U1803" i="6"/>
  <c r="T1803" i="6"/>
  <c r="L1803" i="6"/>
  <c r="K1803" i="6"/>
  <c r="U1802" i="6"/>
  <c r="T1802" i="6"/>
  <c r="L1802" i="6"/>
  <c r="K1802" i="6"/>
  <c r="U1801" i="6"/>
  <c r="T1801" i="6"/>
  <c r="L1801" i="6"/>
  <c r="K1801" i="6"/>
  <c r="U1800" i="6"/>
  <c r="T1800" i="6"/>
  <c r="L1800" i="6"/>
  <c r="K1800" i="6"/>
  <c r="U1799" i="6"/>
  <c r="T1799" i="6"/>
  <c r="L1799" i="6"/>
  <c r="K1799" i="6"/>
  <c r="U1798" i="6"/>
  <c r="T1798" i="6"/>
  <c r="L1798" i="6"/>
  <c r="K1798" i="6"/>
  <c r="U1797" i="6"/>
  <c r="T1797" i="6"/>
  <c r="L1797" i="6"/>
  <c r="K1797" i="6"/>
  <c r="U1796" i="6"/>
  <c r="T1796" i="6"/>
  <c r="L1796" i="6"/>
  <c r="K1796" i="6"/>
  <c r="U1795" i="6"/>
  <c r="T1795" i="6"/>
  <c r="L1795" i="6"/>
  <c r="K1795" i="6"/>
  <c r="U1794" i="6"/>
  <c r="T1794" i="6"/>
  <c r="L1794" i="6"/>
  <c r="K1794" i="6"/>
  <c r="U1793" i="6"/>
  <c r="T1793" i="6"/>
  <c r="L1793" i="6"/>
  <c r="K1793" i="6"/>
  <c r="U1792" i="6"/>
  <c r="T1792" i="6"/>
  <c r="L1792" i="6"/>
  <c r="K1792" i="6"/>
  <c r="U1791" i="6"/>
  <c r="T1791" i="6"/>
  <c r="L1791" i="6"/>
  <c r="K1791" i="6"/>
  <c r="U1790" i="6"/>
  <c r="T1790" i="6"/>
  <c r="L1790" i="6"/>
  <c r="K1790" i="6"/>
  <c r="U1789" i="6"/>
  <c r="T1789" i="6"/>
  <c r="L1789" i="6"/>
  <c r="K1789" i="6"/>
  <c r="U1788" i="6"/>
  <c r="T1788" i="6"/>
  <c r="L1788" i="6"/>
  <c r="K1788" i="6"/>
  <c r="U1787" i="6"/>
  <c r="T1787" i="6"/>
  <c r="L1787" i="6"/>
  <c r="K1787" i="6"/>
  <c r="U1786" i="6"/>
  <c r="T1786" i="6"/>
  <c r="L1786" i="6"/>
  <c r="K1786" i="6"/>
  <c r="U1785" i="6"/>
  <c r="T1785" i="6"/>
  <c r="L1785" i="6"/>
  <c r="K1785" i="6"/>
  <c r="U1784" i="6"/>
  <c r="T1784" i="6"/>
  <c r="L1784" i="6"/>
  <c r="K1784" i="6"/>
  <c r="U1783" i="6"/>
  <c r="T1783" i="6"/>
  <c r="L1783" i="6"/>
  <c r="K1783" i="6"/>
  <c r="U1782" i="6"/>
  <c r="T1782" i="6"/>
  <c r="L1782" i="6"/>
  <c r="K1782" i="6"/>
  <c r="U1781" i="6"/>
  <c r="T1781" i="6"/>
  <c r="L1781" i="6"/>
  <c r="K1781" i="6"/>
  <c r="U1780" i="6"/>
  <c r="T1780" i="6"/>
  <c r="L1780" i="6"/>
  <c r="K1780" i="6"/>
  <c r="U1779" i="6"/>
  <c r="T1779" i="6"/>
  <c r="L1779" i="6"/>
  <c r="K1779" i="6"/>
  <c r="U1778" i="6"/>
  <c r="T1778" i="6"/>
  <c r="L1778" i="6"/>
  <c r="K1778" i="6"/>
  <c r="U1777" i="6"/>
  <c r="T1777" i="6"/>
  <c r="L1777" i="6"/>
  <c r="K1777" i="6"/>
  <c r="U1776" i="6"/>
  <c r="T1776" i="6"/>
  <c r="L1776" i="6"/>
  <c r="K1776" i="6"/>
  <c r="U1775" i="6"/>
  <c r="T1775" i="6"/>
  <c r="L1775" i="6"/>
  <c r="K1775" i="6"/>
  <c r="U1774" i="6"/>
  <c r="T1774" i="6"/>
  <c r="L1774" i="6"/>
  <c r="K1774" i="6"/>
  <c r="U1773" i="6"/>
  <c r="T1773" i="6"/>
  <c r="L1773" i="6"/>
  <c r="K1773" i="6"/>
  <c r="U1772" i="6"/>
  <c r="T1772" i="6"/>
  <c r="L1772" i="6"/>
  <c r="K1772" i="6"/>
  <c r="U1771" i="6"/>
  <c r="T1771" i="6"/>
  <c r="L1771" i="6"/>
  <c r="K1771" i="6"/>
  <c r="U1770" i="6"/>
  <c r="T1770" i="6"/>
  <c r="L1770" i="6"/>
  <c r="K1770" i="6"/>
  <c r="U1769" i="6"/>
  <c r="T1769" i="6"/>
  <c r="L1769" i="6"/>
  <c r="K1769" i="6"/>
  <c r="U1768" i="6"/>
  <c r="T1768" i="6"/>
  <c r="L1768" i="6"/>
  <c r="K1768" i="6"/>
  <c r="U1767" i="6"/>
  <c r="T1767" i="6"/>
  <c r="L1767" i="6"/>
  <c r="K1767" i="6"/>
  <c r="U1766" i="6"/>
  <c r="T1766" i="6"/>
  <c r="L1766" i="6"/>
  <c r="K1766" i="6"/>
  <c r="U1765" i="6"/>
  <c r="T1765" i="6"/>
  <c r="L1765" i="6"/>
  <c r="K1765" i="6"/>
  <c r="U1764" i="6"/>
  <c r="T1764" i="6"/>
  <c r="L1764" i="6"/>
  <c r="K1764" i="6"/>
  <c r="U1763" i="6"/>
  <c r="T1763" i="6"/>
  <c r="L1763" i="6"/>
  <c r="K1763" i="6"/>
  <c r="U1762" i="6"/>
  <c r="T1762" i="6"/>
  <c r="L1762" i="6"/>
  <c r="K1762" i="6"/>
  <c r="U1761" i="6"/>
  <c r="T1761" i="6"/>
  <c r="L1761" i="6"/>
  <c r="K1761" i="6"/>
  <c r="U1760" i="6"/>
  <c r="T1760" i="6"/>
  <c r="L1760" i="6"/>
  <c r="K1760" i="6"/>
  <c r="U1759" i="6"/>
  <c r="T1759" i="6"/>
  <c r="L1759" i="6"/>
  <c r="K1759" i="6"/>
  <c r="U1758" i="6"/>
  <c r="T1758" i="6"/>
  <c r="L1758" i="6"/>
  <c r="K1758" i="6"/>
  <c r="U1757" i="6"/>
  <c r="T1757" i="6"/>
  <c r="L1757" i="6"/>
  <c r="K1757" i="6"/>
  <c r="U1756" i="6"/>
  <c r="T1756" i="6"/>
  <c r="L1756" i="6"/>
  <c r="K1756" i="6"/>
  <c r="U1755" i="6"/>
  <c r="T1755" i="6"/>
  <c r="L1755" i="6"/>
  <c r="K1755" i="6"/>
  <c r="U1754" i="6"/>
  <c r="T1754" i="6"/>
  <c r="L1754" i="6"/>
  <c r="K1754" i="6"/>
  <c r="U1753" i="6"/>
  <c r="T1753" i="6"/>
  <c r="L1753" i="6"/>
  <c r="K1753" i="6"/>
  <c r="U1752" i="6"/>
  <c r="T1752" i="6"/>
  <c r="L1752" i="6"/>
  <c r="K1752" i="6"/>
  <c r="U1751" i="6"/>
  <c r="T1751" i="6"/>
  <c r="L1751" i="6"/>
  <c r="K1751" i="6"/>
  <c r="U1750" i="6"/>
  <c r="T1750" i="6"/>
  <c r="L1750" i="6"/>
  <c r="K1750" i="6"/>
  <c r="U1749" i="6"/>
  <c r="T1749" i="6"/>
  <c r="L1749" i="6"/>
  <c r="K1749" i="6"/>
  <c r="U1748" i="6"/>
  <c r="T1748" i="6"/>
  <c r="L1748" i="6"/>
  <c r="K1748" i="6"/>
  <c r="U1747" i="6"/>
  <c r="T1747" i="6"/>
  <c r="L1747" i="6"/>
  <c r="K1747" i="6"/>
  <c r="U1746" i="6"/>
  <c r="T1746" i="6"/>
  <c r="L1746" i="6"/>
  <c r="K1746" i="6"/>
  <c r="U1745" i="6"/>
  <c r="T1745" i="6"/>
  <c r="L1745" i="6"/>
  <c r="K1745" i="6"/>
  <c r="U1744" i="6"/>
  <c r="T1744" i="6"/>
  <c r="L1744" i="6"/>
  <c r="K1744" i="6"/>
  <c r="U1743" i="6"/>
  <c r="T1743" i="6"/>
  <c r="L1743" i="6"/>
  <c r="K1743" i="6"/>
  <c r="U1742" i="6"/>
  <c r="T1742" i="6"/>
  <c r="L1742" i="6"/>
  <c r="K1742" i="6"/>
  <c r="U1741" i="6"/>
  <c r="T1741" i="6"/>
  <c r="L1741" i="6"/>
  <c r="K1741" i="6"/>
  <c r="U1740" i="6"/>
  <c r="T1740" i="6"/>
  <c r="L1740" i="6"/>
  <c r="K1740" i="6"/>
  <c r="U1739" i="6"/>
  <c r="T1739" i="6"/>
  <c r="L1739" i="6"/>
  <c r="K1739" i="6"/>
  <c r="U1738" i="6"/>
  <c r="T1738" i="6"/>
  <c r="L1738" i="6"/>
  <c r="K1738" i="6"/>
  <c r="U1737" i="6"/>
  <c r="T1737" i="6"/>
  <c r="L1737" i="6"/>
  <c r="K1737" i="6"/>
  <c r="U1736" i="6"/>
  <c r="T1736" i="6"/>
  <c r="L1736" i="6"/>
  <c r="K1736" i="6"/>
  <c r="U1735" i="6"/>
  <c r="T1735" i="6"/>
  <c r="L1735" i="6"/>
  <c r="K1735" i="6"/>
  <c r="U1734" i="6"/>
  <c r="T1734" i="6"/>
  <c r="L1734" i="6"/>
  <c r="K1734" i="6"/>
  <c r="U1733" i="6"/>
  <c r="T1733" i="6"/>
  <c r="L1733" i="6"/>
  <c r="K1733" i="6"/>
  <c r="U1732" i="6"/>
  <c r="T1732" i="6"/>
  <c r="L1732" i="6"/>
  <c r="K1732" i="6"/>
  <c r="U1731" i="6"/>
  <c r="T1731" i="6"/>
  <c r="L1731" i="6"/>
  <c r="K1731" i="6"/>
  <c r="U1730" i="6"/>
  <c r="T1730" i="6"/>
  <c r="L1730" i="6"/>
  <c r="K1730" i="6"/>
  <c r="U1729" i="6"/>
  <c r="T1729" i="6"/>
  <c r="L1729" i="6"/>
  <c r="K1729" i="6"/>
  <c r="U1728" i="6"/>
  <c r="T1728" i="6"/>
  <c r="L1728" i="6"/>
  <c r="K1728" i="6"/>
  <c r="U1727" i="6"/>
  <c r="T1727" i="6"/>
  <c r="L1727" i="6"/>
  <c r="K1727" i="6"/>
  <c r="U1726" i="6"/>
  <c r="T1726" i="6"/>
  <c r="L1726" i="6"/>
  <c r="K1726" i="6"/>
  <c r="U1725" i="6"/>
  <c r="T1725" i="6"/>
  <c r="L1725" i="6"/>
  <c r="K1725" i="6"/>
  <c r="U1724" i="6"/>
  <c r="T1724" i="6"/>
  <c r="L1724" i="6"/>
  <c r="K1724" i="6"/>
  <c r="U1723" i="6"/>
  <c r="T1723" i="6"/>
  <c r="L1723" i="6"/>
  <c r="K1723" i="6"/>
  <c r="U1722" i="6"/>
  <c r="T1722" i="6"/>
  <c r="L1722" i="6"/>
  <c r="K1722" i="6"/>
  <c r="U1721" i="6"/>
  <c r="T1721" i="6"/>
  <c r="L1721" i="6"/>
  <c r="K1721" i="6"/>
  <c r="U1720" i="6"/>
  <c r="T1720" i="6"/>
  <c r="L1720" i="6"/>
  <c r="K1720" i="6"/>
  <c r="U1719" i="6"/>
  <c r="T1719" i="6"/>
  <c r="L1719" i="6"/>
  <c r="K1719" i="6"/>
  <c r="U1718" i="6"/>
  <c r="T1718" i="6"/>
  <c r="L1718" i="6"/>
  <c r="K1718" i="6"/>
  <c r="U1717" i="6"/>
  <c r="T1717" i="6"/>
  <c r="L1717" i="6"/>
  <c r="K1717" i="6"/>
  <c r="U1716" i="6"/>
  <c r="T1716" i="6"/>
  <c r="L1716" i="6"/>
  <c r="K1716" i="6"/>
  <c r="U1715" i="6"/>
  <c r="T1715" i="6"/>
  <c r="L1715" i="6"/>
  <c r="K1715" i="6"/>
  <c r="U1714" i="6"/>
  <c r="T1714" i="6"/>
  <c r="L1714" i="6"/>
  <c r="K1714" i="6"/>
  <c r="U1713" i="6"/>
  <c r="T1713" i="6"/>
  <c r="L1713" i="6"/>
  <c r="K1713" i="6"/>
  <c r="U1712" i="6"/>
  <c r="T1712" i="6"/>
  <c r="L1712" i="6"/>
  <c r="K1712" i="6"/>
  <c r="U1711" i="6"/>
  <c r="T1711" i="6"/>
  <c r="L1711" i="6"/>
  <c r="K1711" i="6"/>
  <c r="U1710" i="6"/>
  <c r="T1710" i="6"/>
  <c r="L1710" i="6"/>
  <c r="K1710" i="6"/>
  <c r="U1709" i="6"/>
  <c r="T1709" i="6"/>
  <c r="L1709" i="6"/>
  <c r="K1709" i="6"/>
  <c r="U1708" i="6"/>
  <c r="T1708" i="6"/>
  <c r="L1708" i="6"/>
  <c r="K1708" i="6"/>
  <c r="U1707" i="6"/>
  <c r="T1707" i="6"/>
  <c r="L1707" i="6"/>
  <c r="K1707" i="6"/>
  <c r="U1706" i="6"/>
  <c r="T1706" i="6"/>
  <c r="L1706" i="6"/>
  <c r="K1706" i="6"/>
  <c r="U1705" i="6"/>
  <c r="T1705" i="6"/>
  <c r="L1705" i="6"/>
  <c r="K1705" i="6"/>
  <c r="U1704" i="6"/>
  <c r="T1704" i="6"/>
  <c r="L1704" i="6"/>
  <c r="K1704" i="6"/>
  <c r="U1702" i="6"/>
  <c r="T1702" i="6"/>
  <c r="L1702" i="6"/>
  <c r="K1702" i="6"/>
  <c r="U1701" i="6"/>
  <c r="T1701" i="6"/>
  <c r="L1701" i="6"/>
  <c r="K1701" i="6"/>
  <c r="U1700" i="6"/>
  <c r="T1700" i="6"/>
  <c r="L1700" i="6"/>
  <c r="K1700" i="6"/>
  <c r="U1699" i="6"/>
  <c r="T1699" i="6"/>
  <c r="L1699" i="6"/>
  <c r="K1699" i="6"/>
  <c r="U1698" i="6"/>
  <c r="T1698" i="6"/>
  <c r="L1698" i="6"/>
  <c r="K1698" i="6"/>
  <c r="U1697" i="6"/>
  <c r="T1697" i="6"/>
  <c r="L1697" i="6"/>
  <c r="K1697" i="6"/>
  <c r="U1696" i="6"/>
  <c r="T1696" i="6"/>
  <c r="L1696" i="6"/>
  <c r="K1696" i="6"/>
  <c r="U1695" i="6"/>
  <c r="T1695" i="6"/>
  <c r="L1695" i="6"/>
  <c r="K1695" i="6"/>
  <c r="U1694" i="6"/>
  <c r="T1694" i="6"/>
  <c r="L1694" i="6"/>
  <c r="K1694" i="6"/>
  <c r="U1693" i="6"/>
  <c r="T1693" i="6"/>
  <c r="L1693" i="6"/>
  <c r="K1693" i="6"/>
  <c r="U1692" i="6"/>
  <c r="T1692" i="6"/>
  <c r="L1692" i="6"/>
  <c r="K1692" i="6"/>
  <c r="U1691" i="6"/>
  <c r="T1691" i="6"/>
  <c r="L1691" i="6"/>
  <c r="K1691" i="6"/>
  <c r="U1690" i="6"/>
  <c r="T1690" i="6"/>
  <c r="L1690" i="6"/>
  <c r="K1690" i="6"/>
  <c r="U1689" i="6"/>
  <c r="T1689" i="6"/>
  <c r="L1689" i="6"/>
  <c r="K1689" i="6"/>
  <c r="U1688" i="6"/>
  <c r="T1688" i="6"/>
  <c r="L1688" i="6"/>
  <c r="K1688" i="6"/>
  <c r="U1687" i="6"/>
  <c r="T1687" i="6"/>
  <c r="L1687" i="6"/>
  <c r="K1687" i="6"/>
  <c r="U1686" i="6"/>
  <c r="T1686" i="6"/>
  <c r="L1686" i="6"/>
  <c r="K1686" i="6"/>
  <c r="U1685" i="6"/>
  <c r="T1685" i="6"/>
  <c r="L1685" i="6"/>
  <c r="K1685" i="6"/>
  <c r="U1684" i="6"/>
  <c r="T1684" i="6"/>
  <c r="L1684" i="6"/>
  <c r="K1684" i="6"/>
  <c r="U1683" i="6"/>
  <c r="T1683" i="6"/>
  <c r="L1683" i="6"/>
  <c r="K1683" i="6"/>
  <c r="U1682" i="6"/>
  <c r="T1682" i="6"/>
  <c r="L1682" i="6"/>
  <c r="K1682" i="6"/>
  <c r="U1681" i="6"/>
  <c r="T1681" i="6"/>
  <c r="L1681" i="6"/>
  <c r="K1681" i="6"/>
  <c r="U1680" i="6"/>
  <c r="T1680" i="6"/>
  <c r="L1680" i="6"/>
  <c r="K1680" i="6"/>
  <c r="U1679" i="6"/>
  <c r="T1679" i="6"/>
  <c r="L1679" i="6"/>
  <c r="K1679" i="6"/>
  <c r="U1678" i="6"/>
  <c r="T1678" i="6"/>
  <c r="L1678" i="6"/>
  <c r="K1678" i="6"/>
  <c r="U1677" i="6"/>
  <c r="T1677" i="6"/>
  <c r="L1677" i="6"/>
  <c r="K1677" i="6"/>
  <c r="U1676" i="6"/>
  <c r="T1676" i="6"/>
  <c r="L1676" i="6"/>
  <c r="K1676" i="6"/>
  <c r="U1675" i="6"/>
  <c r="T1675" i="6"/>
  <c r="L1675" i="6"/>
  <c r="K1675" i="6"/>
  <c r="U1674" i="6"/>
  <c r="T1674" i="6"/>
  <c r="L1674" i="6"/>
  <c r="K1674" i="6"/>
  <c r="U1672" i="6"/>
  <c r="T1672" i="6"/>
  <c r="L1672" i="6"/>
  <c r="K1672" i="6"/>
  <c r="U1671" i="6"/>
  <c r="T1671" i="6"/>
  <c r="L1671" i="6"/>
  <c r="K1671" i="6"/>
  <c r="U1670" i="6"/>
  <c r="T1670" i="6"/>
  <c r="L1670" i="6"/>
  <c r="K1670" i="6"/>
  <c r="U1669" i="6"/>
  <c r="T1669" i="6"/>
  <c r="L1669" i="6"/>
  <c r="K1669" i="6"/>
  <c r="U1668" i="6"/>
  <c r="T1668" i="6"/>
  <c r="L1668" i="6"/>
  <c r="K1668" i="6"/>
  <c r="U1667" i="6"/>
  <c r="T1667" i="6"/>
  <c r="L1667" i="6"/>
  <c r="K1667" i="6"/>
  <c r="U1666" i="6"/>
  <c r="T1666" i="6"/>
  <c r="L1666" i="6"/>
  <c r="K1666" i="6"/>
  <c r="U1665" i="6"/>
  <c r="T1665" i="6"/>
  <c r="L1665" i="6"/>
  <c r="K1665" i="6"/>
  <c r="U1664" i="6"/>
  <c r="T1664" i="6"/>
  <c r="L1664" i="6"/>
  <c r="K1664" i="6"/>
  <c r="U1663" i="6"/>
  <c r="T1663" i="6"/>
  <c r="L1663" i="6"/>
  <c r="K1663" i="6"/>
  <c r="U1662" i="6"/>
  <c r="T1662" i="6"/>
  <c r="L1662" i="6"/>
  <c r="K1662" i="6"/>
  <c r="U1661" i="6"/>
  <c r="T1661" i="6"/>
  <c r="L1661" i="6"/>
  <c r="K1661" i="6"/>
  <c r="U1660" i="6"/>
  <c r="T1660" i="6"/>
  <c r="L1660" i="6"/>
  <c r="K1660" i="6"/>
  <c r="U1659" i="6"/>
  <c r="T1659" i="6"/>
  <c r="L1659" i="6"/>
  <c r="K1659" i="6"/>
  <c r="U1658" i="6"/>
  <c r="T1658" i="6"/>
  <c r="L1658" i="6"/>
  <c r="K1658" i="6"/>
  <c r="U1657" i="6"/>
  <c r="T1657" i="6"/>
  <c r="L1657" i="6"/>
  <c r="K1657" i="6"/>
  <c r="U1656" i="6"/>
  <c r="T1656" i="6"/>
  <c r="L1656" i="6"/>
  <c r="K1656" i="6"/>
  <c r="U1655" i="6"/>
  <c r="T1655" i="6"/>
  <c r="L1655" i="6"/>
  <c r="K1655" i="6"/>
  <c r="U1654" i="6"/>
  <c r="T1654" i="6"/>
  <c r="L1654" i="6"/>
  <c r="K1654" i="6"/>
  <c r="U1653" i="6"/>
  <c r="T1653" i="6"/>
  <c r="L1653" i="6"/>
  <c r="K1653" i="6"/>
  <c r="U1652" i="6"/>
  <c r="T1652" i="6"/>
  <c r="L1652" i="6"/>
  <c r="K1652" i="6"/>
  <c r="U1651" i="6"/>
  <c r="T1651" i="6"/>
  <c r="L1651" i="6"/>
  <c r="K1651" i="6"/>
  <c r="U1650" i="6"/>
  <c r="T1650" i="6"/>
  <c r="L1650" i="6"/>
  <c r="K1650" i="6"/>
  <c r="U1649" i="6"/>
  <c r="T1649" i="6"/>
  <c r="L1649" i="6"/>
  <c r="K1649" i="6"/>
  <c r="U1648" i="6"/>
  <c r="T1648" i="6"/>
  <c r="L1648" i="6"/>
  <c r="K1648" i="6"/>
  <c r="U1647" i="6"/>
  <c r="T1647" i="6"/>
  <c r="L1647" i="6"/>
  <c r="K1647" i="6"/>
  <c r="U1645" i="6"/>
  <c r="T1645" i="6"/>
  <c r="L1645" i="6"/>
  <c r="K1645" i="6"/>
  <c r="U1644" i="6"/>
  <c r="T1644" i="6"/>
  <c r="L1644" i="6"/>
  <c r="K1644" i="6"/>
  <c r="U1643" i="6"/>
  <c r="T1643" i="6"/>
  <c r="L1643" i="6"/>
  <c r="K1643" i="6"/>
  <c r="U1642" i="6"/>
  <c r="T1642" i="6"/>
  <c r="L1642" i="6"/>
  <c r="K1642" i="6"/>
  <c r="U1641" i="6"/>
  <c r="T1641" i="6"/>
  <c r="L1641" i="6"/>
  <c r="K1641" i="6"/>
  <c r="U1640" i="6"/>
  <c r="T1640" i="6"/>
  <c r="L1640" i="6"/>
  <c r="K1640" i="6"/>
  <c r="U1639" i="6"/>
  <c r="T1639" i="6"/>
  <c r="L1639" i="6"/>
  <c r="K1639" i="6"/>
  <c r="U1638" i="6"/>
  <c r="T1638" i="6"/>
  <c r="L1638" i="6"/>
  <c r="K1638" i="6"/>
  <c r="U1637" i="6"/>
  <c r="T1637" i="6"/>
  <c r="L1637" i="6"/>
  <c r="K1637" i="6"/>
  <c r="U1636" i="6"/>
  <c r="T1636" i="6"/>
  <c r="L1636" i="6"/>
  <c r="K1636" i="6"/>
  <c r="U1635" i="6"/>
  <c r="T1635" i="6"/>
  <c r="L1635" i="6"/>
  <c r="K1635" i="6"/>
  <c r="U1634" i="6"/>
  <c r="T1634" i="6"/>
  <c r="L1634" i="6"/>
  <c r="K1634" i="6"/>
  <c r="U1633" i="6"/>
  <c r="T1633" i="6"/>
  <c r="L1633" i="6"/>
  <c r="K1633" i="6"/>
  <c r="U1632" i="6"/>
  <c r="T1632" i="6"/>
  <c r="L1632" i="6"/>
  <c r="K1632" i="6"/>
  <c r="U1631" i="6"/>
  <c r="T1631" i="6"/>
  <c r="L1631" i="6"/>
  <c r="K1631" i="6"/>
  <c r="U1630" i="6"/>
  <c r="T1630" i="6"/>
  <c r="L1630" i="6"/>
  <c r="K1630" i="6"/>
  <c r="U1629" i="6"/>
  <c r="T1629" i="6"/>
  <c r="L1629" i="6"/>
  <c r="K1629" i="6"/>
  <c r="U1628" i="6"/>
  <c r="T1628" i="6"/>
  <c r="L1628" i="6"/>
  <c r="K1628" i="6"/>
  <c r="U1627" i="6"/>
  <c r="T1627" i="6"/>
  <c r="L1627" i="6"/>
  <c r="K1627" i="6"/>
  <c r="U1626" i="6"/>
  <c r="T1626" i="6"/>
  <c r="L1626" i="6"/>
  <c r="K1626" i="6"/>
  <c r="U1625" i="6"/>
  <c r="T1625" i="6"/>
  <c r="L1625" i="6"/>
  <c r="K1625" i="6"/>
  <c r="U1624" i="6"/>
  <c r="T1624" i="6"/>
  <c r="L1624" i="6"/>
  <c r="K1624" i="6"/>
  <c r="U1623" i="6"/>
  <c r="T1623" i="6"/>
  <c r="L1623" i="6"/>
  <c r="K1623" i="6"/>
  <c r="U1622" i="6"/>
  <c r="T1622" i="6"/>
  <c r="L1622" i="6"/>
  <c r="K1622" i="6"/>
  <c r="U1621" i="6"/>
  <c r="T1621" i="6"/>
  <c r="L1621" i="6"/>
  <c r="K1621" i="6"/>
  <c r="U1620" i="6"/>
  <c r="T1620" i="6"/>
  <c r="L1620" i="6"/>
  <c r="K1620" i="6"/>
  <c r="U1619" i="6"/>
  <c r="T1619" i="6"/>
  <c r="L1619" i="6"/>
  <c r="K1619" i="6"/>
  <c r="U1618" i="6"/>
  <c r="T1618" i="6"/>
  <c r="L1618" i="6"/>
  <c r="K1618" i="6"/>
  <c r="U1617" i="6"/>
  <c r="T1617" i="6"/>
  <c r="L1617" i="6"/>
  <c r="K1617" i="6"/>
  <c r="U1616" i="6"/>
  <c r="T1616" i="6"/>
  <c r="L1616" i="6"/>
  <c r="K1616" i="6"/>
  <c r="U1615" i="6"/>
  <c r="T1615" i="6"/>
  <c r="L1615" i="6"/>
  <c r="K1615" i="6"/>
  <c r="U1614" i="6"/>
  <c r="T1614" i="6"/>
  <c r="L1614" i="6"/>
  <c r="K1614" i="6"/>
  <c r="U1613" i="6"/>
  <c r="T1613" i="6"/>
  <c r="L1613" i="6"/>
  <c r="K1613" i="6"/>
  <c r="U1612" i="6"/>
  <c r="T1612" i="6"/>
  <c r="L1612" i="6"/>
  <c r="K1612" i="6"/>
  <c r="U1611" i="6"/>
  <c r="T1611" i="6"/>
  <c r="L1611" i="6"/>
  <c r="K1611" i="6"/>
  <c r="U1610" i="6"/>
  <c r="T1610" i="6"/>
  <c r="L1610" i="6"/>
  <c r="K1610" i="6"/>
  <c r="U1609" i="6"/>
  <c r="T1609" i="6"/>
  <c r="L1609" i="6"/>
  <c r="K1609" i="6"/>
  <c r="U1608" i="6"/>
  <c r="T1608" i="6"/>
  <c r="L1608" i="6"/>
  <c r="K1608" i="6"/>
  <c r="U1607" i="6"/>
  <c r="T1607" i="6"/>
  <c r="L1607" i="6"/>
  <c r="K1607" i="6"/>
  <c r="U1606" i="6"/>
  <c r="T1606" i="6"/>
  <c r="L1606" i="6"/>
  <c r="K1606" i="6"/>
  <c r="U1605" i="6"/>
  <c r="T1605" i="6"/>
  <c r="L1605" i="6"/>
  <c r="K1605" i="6"/>
  <c r="U1604" i="6"/>
  <c r="T1604" i="6"/>
  <c r="L1604" i="6"/>
  <c r="K1604" i="6"/>
  <c r="U1603" i="6"/>
  <c r="T1603" i="6"/>
  <c r="L1603" i="6"/>
  <c r="K1603" i="6"/>
  <c r="U1602" i="6"/>
  <c r="T1602" i="6"/>
  <c r="L1602" i="6"/>
  <c r="K1602" i="6"/>
  <c r="U1601" i="6"/>
  <c r="T1601" i="6"/>
  <c r="L1601" i="6"/>
  <c r="K1601" i="6"/>
  <c r="U1600" i="6"/>
  <c r="T1600" i="6"/>
  <c r="L1600" i="6"/>
  <c r="K1600" i="6"/>
  <c r="U1599" i="6"/>
  <c r="T1599" i="6"/>
  <c r="L1599" i="6"/>
  <c r="K1599" i="6"/>
  <c r="U1598" i="6"/>
  <c r="T1598" i="6"/>
  <c r="L1598" i="6"/>
  <c r="K1598" i="6"/>
  <c r="U1597" i="6"/>
  <c r="T1597" i="6"/>
  <c r="L1597" i="6"/>
  <c r="K1597" i="6"/>
  <c r="U1596" i="6"/>
  <c r="T1596" i="6"/>
  <c r="L1596" i="6"/>
  <c r="K1596" i="6"/>
  <c r="U1595" i="6"/>
  <c r="T1595" i="6"/>
  <c r="L1595" i="6"/>
  <c r="K1595" i="6"/>
  <c r="U1594" i="6"/>
  <c r="T1594" i="6"/>
  <c r="L1594" i="6"/>
  <c r="K1594" i="6"/>
  <c r="U1593" i="6"/>
  <c r="T1593" i="6"/>
  <c r="L1593" i="6"/>
  <c r="K1593" i="6"/>
  <c r="U1592" i="6"/>
  <c r="T1592" i="6"/>
  <c r="L1592" i="6"/>
  <c r="K1592" i="6"/>
  <c r="U1591" i="6"/>
  <c r="T1591" i="6"/>
  <c r="L1591" i="6"/>
  <c r="K1591" i="6"/>
  <c r="U1590" i="6"/>
  <c r="T1590" i="6"/>
  <c r="L1590" i="6"/>
  <c r="K1590" i="6"/>
  <c r="U1589" i="6"/>
  <c r="T1589" i="6"/>
  <c r="L1589" i="6"/>
  <c r="K1589" i="6"/>
  <c r="U1588" i="6"/>
  <c r="T1588" i="6"/>
  <c r="L1588" i="6"/>
  <c r="K1588" i="6"/>
  <c r="U1587" i="6"/>
  <c r="T1587" i="6"/>
  <c r="L1587" i="6"/>
  <c r="K1587" i="6"/>
  <c r="U1586" i="6"/>
  <c r="T1586" i="6"/>
  <c r="L1586" i="6"/>
  <c r="K1586" i="6"/>
  <c r="U1585" i="6"/>
  <c r="T1585" i="6"/>
  <c r="L1585" i="6"/>
  <c r="K1585" i="6"/>
  <c r="U1584" i="6"/>
  <c r="T1584" i="6"/>
  <c r="L1584" i="6"/>
  <c r="K1584" i="6"/>
  <c r="U1583" i="6"/>
  <c r="T1583" i="6"/>
  <c r="L1583" i="6"/>
  <c r="K1583" i="6"/>
  <c r="U1582" i="6"/>
  <c r="T1582" i="6"/>
  <c r="L1582" i="6"/>
  <c r="K1582" i="6"/>
  <c r="U1581" i="6"/>
  <c r="T1581" i="6"/>
  <c r="L1581" i="6"/>
  <c r="K1581" i="6"/>
  <c r="U1580" i="6"/>
  <c r="T1580" i="6"/>
  <c r="L1580" i="6"/>
  <c r="K1580" i="6"/>
  <c r="U1579" i="6"/>
  <c r="T1579" i="6"/>
  <c r="L1579" i="6"/>
  <c r="K1579" i="6"/>
  <c r="U1578" i="6"/>
  <c r="T1578" i="6"/>
  <c r="L1578" i="6"/>
  <c r="K1578" i="6"/>
  <c r="U1577" i="6"/>
  <c r="T1577" i="6"/>
  <c r="L1577" i="6"/>
  <c r="K1577" i="6"/>
  <c r="U1576" i="6"/>
  <c r="T1576" i="6"/>
  <c r="L1576" i="6"/>
  <c r="K1576" i="6"/>
  <c r="U1575" i="6"/>
  <c r="T1575" i="6"/>
  <c r="L1575" i="6"/>
  <c r="K1575" i="6"/>
  <c r="U1574" i="6"/>
  <c r="T1574" i="6"/>
  <c r="L1574" i="6"/>
  <c r="K1574" i="6"/>
  <c r="U1573" i="6"/>
  <c r="T1573" i="6"/>
  <c r="L1573" i="6"/>
  <c r="K1573" i="6"/>
  <c r="U1572" i="6"/>
  <c r="T1572" i="6"/>
  <c r="L1572" i="6"/>
  <c r="K1572" i="6"/>
  <c r="U1571" i="6"/>
  <c r="T1571" i="6"/>
  <c r="L1571" i="6"/>
  <c r="K1571" i="6"/>
  <c r="U1570" i="6"/>
  <c r="T1570" i="6"/>
  <c r="L1570" i="6"/>
  <c r="K1570" i="6"/>
  <c r="U1569" i="6"/>
  <c r="T1569" i="6"/>
  <c r="L1569" i="6"/>
  <c r="K1569" i="6"/>
  <c r="U1568" i="6"/>
  <c r="T1568" i="6"/>
  <c r="L1568" i="6"/>
  <c r="K1568" i="6"/>
  <c r="U1567" i="6"/>
  <c r="T1567" i="6"/>
  <c r="L1567" i="6"/>
  <c r="K1567" i="6"/>
  <c r="U1566" i="6"/>
  <c r="T1566" i="6"/>
  <c r="L1566" i="6"/>
  <c r="K1566" i="6"/>
  <c r="U1565" i="6"/>
  <c r="T1565" i="6"/>
  <c r="L1565" i="6"/>
  <c r="K1565" i="6"/>
  <c r="U1564" i="6"/>
  <c r="T1564" i="6"/>
  <c r="L1564" i="6"/>
  <c r="K1564" i="6"/>
  <c r="U1563" i="6"/>
  <c r="T1563" i="6"/>
  <c r="L1563" i="6"/>
  <c r="K1563" i="6"/>
  <c r="U1562" i="6"/>
  <c r="T1562" i="6"/>
  <c r="L1562" i="6"/>
  <c r="K1562" i="6"/>
  <c r="U1561" i="6"/>
  <c r="T1561" i="6"/>
  <c r="L1561" i="6"/>
  <c r="K1561" i="6"/>
  <c r="U1560" i="6"/>
  <c r="T1560" i="6"/>
  <c r="L1560" i="6"/>
  <c r="K1560" i="6"/>
  <c r="U1559" i="6"/>
  <c r="T1559" i="6"/>
  <c r="L1559" i="6"/>
  <c r="K1559" i="6"/>
  <c r="U1558" i="6"/>
  <c r="T1558" i="6"/>
  <c r="L1558" i="6"/>
  <c r="K1558" i="6"/>
  <c r="U1557" i="6"/>
  <c r="T1557" i="6"/>
  <c r="L1557" i="6"/>
  <c r="K1557" i="6"/>
  <c r="U1556" i="6"/>
  <c r="T1556" i="6"/>
  <c r="L1556" i="6"/>
  <c r="K1556" i="6"/>
  <c r="U1555" i="6"/>
  <c r="T1555" i="6"/>
  <c r="L1555" i="6"/>
  <c r="K1555" i="6"/>
  <c r="U1554" i="6"/>
  <c r="T1554" i="6"/>
  <c r="L1554" i="6"/>
  <c r="K1554" i="6"/>
  <c r="U1553" i="6"/>
  <c r="T1553" i="6"/>
  <c r="L1553" i="6"/>
  <c r="K1553" i="6"/>
  <c r="U1552" i="6"/>
  <c r="T1552" i="6"/>
  <c r="L1552" i="6"/>
  <c r="K1552" i="6"/>
  <c r="U1551" i="6"/>
  <c r="T1551" i="6"/>
  <c r="L1551" i="6"/>
  <c r="K1551" i="6"/>
  <c r="U1550" i="6"/>
  <c r="T1550" i="6"/>
  <c r="L1550" i="6"/>
  <c r="K1550" i="6"/>
  <c r="U1549" i="6"/>
  <c r="T1549" i="6"/>
  <c r="L1549" i="6"/>
  <c r="K1549" i="6"/>
  <c r="U1548" i="6"/>
  <c r="T1548" i="6"/>
  <c r="L1548" i="6"/>
  <c r="K1548" i="6"/>
  <c r="U1547" i="6"/>
  <c r="T1547" i="6"/>
  <c r="L1547" i="6"/>
  <c r="K1547" i="6"/>
  <c r="U1546" i="6"/>
  <c r="T1546" i="6"/>
  <c r="L1546" i="6"/>
  <c r="K1546" i="6"/>
  <c r="U1545" i="6"/>
  <c r="T1545" i="6"/>
  <c r="L1545" i="6"/>
  <c r="K1545" i="6"/>
  <c r="U1544" i="6"/>
  <c r="T1544" i="6"/>
  <c r="L1544" i="6"/>
  <c r="K1544" i="6"/>
  <c r="U1543" i="6"/>
  <c r="T1543" i="6"/>
  <c r="L1543" i="6"/>
  <c r="K1543" i="6"/>
  <c r="U1542" i="6"/>
  <c r="T1542" i="6"/>
  <c r="L1542" i="6"/>
  <c r="K1542" i="6"/>
  <c r="U1541" i="6"/>
  <c r="T1541" i="6"/>
  <c r="L1541" i="6"/>
  <c r="K1541" i="6"/>
  <c r="U1540" i="6"/>
  <c r="T1540" i="6"/>
  <c r="L1540" i="6"/>
  <c r="K1540" i="6"/>
  <c r="U1539" i="6"/>
  <c r="T1539" i="6"/>
  <c r="L1539" i="6"/>
  <c r="K1539" i="6"/>
  <c r="U1538" i="6"/>
  <c r="T1538" i="6"/>
  <c r="L1538" i="6"/>
  <c r="K1538" i="6"/>
  <c r="U1537" i="6"/>
  <c r="T1537" i="6"/>
  <c r="L1537" i="6"/>
  <c r="K1537" i="6"/>
  <c r="U1536" i="6"/>
  <c r="T1536" i="6"/>
  <c r="L1536" i="6"/>
  <c r="K1536" i="6"/>
  <c r="U1535" i="6"/>
  <c r="T1535" i="6"/>
  <c r="L1535" i="6"/>
  <c r="K1535" i="6"/>
  <c r="U1534" i="6"/>
  <c r="T1534" i="6"/>
  <c r="L1534" i="6"/>
  <c r="K1534" i="6"/>
  <c r="U1533" i="6"/>
  <c r="T1533" i="6"/>
  <c r="L1533" i="6"/>
  <c r="K1533" i="6"/>
  <c r="U1532" i="6"/>
  <c r="T1532" i="6"/>
  <c r="L1532" i="6"/>
  <c r="K1532" i="6"/>
  <c r="U1531" i="6"/>
  <c r="T1531" i="6"/>
  <c r="L1531" i="6"/>
  <c r="K1531" i="6"/>
  <c r="U1530" i="6"/>
  <c r="T1530" i="6"/>
  <c r="L1530" i="6"/>
  <c r="K1530" i="6"/>
  <c r="U1529" i="6"/>
  <c r="T1529" i="6"/>
  <c r="L1529" i="6"/>
  <c r="K1529" i="6"/>
  <c r="U1528" i="6"/>
  <c r="T1528" i="6"/>
  <c r="L1528" i="6"/>
  <c r="K1528" i="6"/>
  <c r="U1527" i="6"/>
  <c r="T1527" i="6"/>
  <c r="L1527" i="6"/>
  <c r="K1527" i="6"/>
  <c r="U1526" i="6"/>
  <c r="T1526" i="6"/>
  <c r="L1526" i="6"/>
  <c r="K1526" i="6"/>
  <c r="U1525" i="6"/>
  <c r="T1525" i="6"/>
  <c r="L1525" i="6"/>
  <c r="K1525" i="6"/>
  <c r="U1524" i="6"/>
  <c r="T1524" i="6"/>
  <c r="L1524" i="6"/>
  <c r="K1524" i="6"/>
  <c r="U1523" i="6"/>
  <c r="T1523" i="6"/>
  <c r="L1523" i="6"/>
  <c r="K1523" i="6"/>
  <c r="U1522" i="6"/>
  <c r="T1522" i="6"/>
  <c r="L1522" i="6"/>
  <c r="K1522" i="6"/>
  <c r="U1521" i="6"/>
  <c r="T1521" i="6"/>
  <c r="L1521" i="6"/>
  <c r="K1521" i="6"/>
  <c r="U1520" i="6"/>
  <c r="T1520" i="6"/>
  <c r="L1520" i="6"/>
  <c r="K1520" i="6"/>
  <c r="U1519" i="6"/>
  <c r="T1519" i="6"/>
  <c r="L1519" i="6"/>
  <c r="K1519" i="6"/>
  <c r="U1518" i="6"/>
  <c r="T1518" i="6"/>
  <c r="L1518" i="6"/>
  <c r="K1518" i="6"/>
  <c r="U1517" i="6"/>
  <c r="T1517" i="6"/>
  <c r="L1517" i="6"/>
  <c r="K1517" i="6"/>
  <c r="U1516" i="6"/>
  <c r="T1516" i="6"/>
  <c r="L1516" i="6"/>
  <c r="K1516" i="6"/>
  <c r="U1515" i="6"/>
  <c r="T1515" i="6"/>
  <c r="L1515" i="6"/>
  <c r="K1515" i="6"/>
  <c r="U1514" i="6"/>
  <c r="T1514" i="6"/>
  <c r="L1514" i="6"/>
  <c r="K1514" i="6"/>
  <c r="U1513" i="6"/>
  <c r="T1513" i="6"/>
  <c r="L1513" i="6"/>
  <c r="K1513" i="6"/>
  <c r="U1512" i="6"/>
  <c r="T1512" i="6"/>
  <c r="L1512" i="6"/>
  <c r="K1512" i="6"/>
  <c r="U1511" i="6"/>
  <c r="T1511" i="6"/>
  <c r="L1511" i="6"/>
  <c r="K1511" i="6"/>
  <c r="U1509" i="6"/>
  <c r="T1509" i="6"/>
  <c r="L1509" i="6"/>
  <c r="K1509" i="6"/>
  <c r="U1508" i="6"/>
  <c r="T1508" i="6"/>
  <c r="L1508" i="6"/>
  <c r="K1508" i="6"/>
  <c r="U1507" i="6"/>
  <c r="T1507" i="6"/>
  <c r="L1507" i="6"/>
  <c r="K1507" i="6"/>
  <c r="U1506" i="6"/>
  <c r="T1506" i="6"/>
  <c r="L1506" i="6"/>
  <c r="K1506" i="6"/>
  <c r="U1505" i="6"/>
  <c r="T1505" i="6"/>
  <c r="L1505" i="6"/>
  <c r="K1505" i="6"/>
  <c r="U1504" i="6"/>
  <c r="T1504" i="6"/>
  <c r="L1504" i="6"/>
  <c r="K1504" i="6"/>
  <c r="U1503" i="6"/>
  <c r="T1503" i="6"/>
  <c r="L1503" i="6"/>
  <c r="K1503" i="6"/>
  <c r="U1502" i="6"/>
  <c r="T1502" i="6"/>
  <c r="L1502" i="6"/>
  <c r="K1502" i="6"/>
  <c r="U1501" i="6"/>
  <c r="T1501" i="6"/>
  <c r="L1501" i="6"/>
  <c r="K1501" i="6"/>
  <c r="U1500" i="6"/>
  <c r="T1500" i="6"/>
  <c r="L1500" i="6"/>
  <c r="K1500" i="6"/>
  <c r="U1499" i="6"/>
  <c r="T1499" i="6"/>
  <c r="L1499" i="6"/>
  <c r="K1499" i="6"/>
  <c r="U1498" i="6"/>
  <c r="T1498" i="6"/>
  <c r="L1498" i="6"/>
  <c r="K1498" i="6"/>
  <c r="U1497" i="6"/>
  <c r="T1497" i="6"/>
  <c r="L1497" i="6"/>
  <c r="K1497" i="6"/>
  <c r="U1496" i="6"/>
  <c r="T1496" i="6"/>
  <c r="L1496" i="6"/>
  <c r="K1496" i="6"/>
  <c r="U1495" i="6"/>
  <c r="T1495" i="6"/>
  <c r="L1495" i="6"/>
  <c r="K1495" i="6"/>
  <c r="U1494" i="6"/>
  <c r="T1494" i="6"/>
  <c r="L1494" i="6"/>
  <c r="K1494" i="6"/>
  <c r="U1493" i="6"/>
  <c r="T1493" i="6"/>
  <c r="L1493" i="6"/>
  <c r="K1493" i="6"/>
  <c r="U1492" i="6"/>
  <c r="T1492" i="6"/>
  <c r="L1492" i="6"/>
  <c r="K1492" i="6"/>
  <c r="U1491" i="6"/>
  <c r="T1491" i="6"/>
  <c r="L1491" i="6"/>
  <c r="K1491" i="6"/>
  <c r="U1490" i="6"/>
  <c r="T1490" i="6"/>
  <c r="L1490" i="6"/>
  <c r="K1490" i="6"/>
  <c r="U1489" i="6"/>
  <c r="T1489" i="6"/>
  <c r="L1489" i="6"/>
  <c r="K1489" i="6"/>
  <c r="U1488" i="6"/>
  <c r="T1488" i="6"/>
  <c r="L1488" i="6"/>
  <c r="K1488" i="6"/>
  <c r="U1487" i="6"/>
  <c r="T1487" i="6"/>
  <c r="L1487" i="6"/>
  <c r="K1487" i="6"/>
  <c r="U1484" i="6"/>
  <c r="T1484" i="6"/>
  <c r="L1484" i="6"/>
  <c r="K1484" i="6"/>
  <c r="U1483" i="6"/>
  <c r="T1483" i="6"/>
  <c r="L1483" i="6"/>
  <c r="K1483" i="6"/>
  <c r="U1482" i="6"/>
  <c r="T1482" i="6"/>
  <c r="L1482" i="6"/>
  <c r="K1482" i="6"/>
  <c r="U1481" i="6"/>
  <c r="T1481" i="6"/>
  <c r="L1481" i="6"/>
  <c r="K1481" i="6"/>
  <c r="U1480" i="6"/>
  <c r="T1480" i="6"/>
  <c r="L1480" i="6"/>
  <c r="K1480" i="6"/>
  <c r="U1479" i="6"/>
  <c r="T1479" i="6"/>
  <c r="L1479" i="6"/>
  <c r="K1479" i="6"/>
  <c r="U1478" i="6"/>
  <c r="T1478" i="6"/>
  <c r="L1478" i="6"/>
  <c r="K1478" i="6"/>
  <c r="U1477" i="6"/>
  <c r="T1477" i="6"/>
  <c r="L1477" i="6"/>
  <c r="K1477" i="6"/>
  <c r="U1476" i="6"/>
  <c r="T1476" i="6"/>
  <c r="L1476" i="6"/>
  <c r="K1476" i="6"/>
  <c r="U1475" i="6"/>
  <c r="T1475" i="6"/>
  <c r="L1475" i="6"/>
  <c r="K1475" i="6"/>
  <c r="U1474" i="6"/>
  <c r="T1474" i="6"/>
  <c r="L1474" i="6"/>
  <c r="K1474" i="6"/>
  <c r="U1472" i="6"/>
  <c r="T1472" i="6"/>
  <c r="L1472" i="6"/>
  <c r="K1472" i="6"/>
  <c r="U1471" i="6"/>
  <c r="T1471" i="6"/>
  <c r="L1471" i="6"/>
  <c r="K1471" i="6"/>
  <c r="U1470" i="6"/>
  <c r="T1470" i="6"/>
  <c r="L1470" i="6"/>
  <c r="K1470" i="6"/>
  <c r="U1469" i="6"/>
  <c r="T1469" i="6"/>
  <c r="L1469" i="6"/>
  <c r="K1469" i="6"/>
  <c r="U1468" i="6"/>
  <c r="T1468" i="6"/>
  <c r="L1468" i="6"/>
  <c r="K1468" i="6"/>
  <c r="U1467" i="6"/>
  <c r="T1467" i="6"/>
  <c r="L1467" i="6"/>
  <c r="K1467" i="6"/>
  <c r="U1466" i="6"/>
  <c r="T1466" i="6"/>
  <c r="L1466" i="6"/>
  <c r="K1466" i="6"/>
  <c r="U1465" i="6"/>
  <c r="T1465" i="6"/>
  <c r="L1465" i="6"/>
  <c r="K1465" i="6"/>
  <c r="U1464" i="6"/>
  <c r="T1464" i="6"/>
  <c r="L1464" i="6"/>
  <c r="K1464" i="6"/>
  <c r="U1463" i="6"/>
  <c r="T1463" i="6"/>
  <c r="L1463" i="6"/>
  <c r="K1463" i="6"/>
  <c r="U1462" i="6"/>
  <c r="T1462" i="6"/>
  <c r="L1462" i="6"/>
  <c r="K1462" i="6"/>
  <c r="U1461" i="6"/>
  <c r="T1461" i="6"/>
  <c r="L1461" i="6"/>
  <c r="K1461" i="6"/>
  <c r="U1460" i="6"/>
  <c r="T1460" i="6"/>
  <c r="L1460" i="6"/>
  <c r="K1460" i="6"/>
  <c r="U1459" i="6"/>
  <c r="T1459" i="6"/>
  <c r="L1459" i="6"/>
  <c r="K1459" i="6"/>
  <c r="U1458" i="6"/>
  <c r="T1458" i="6"/>
  <c r="L1458" i="6"/>
  <c r="K1458" i="6"/>
  <c r="U1457" i="6"/>
  <c r="T1457" i="6"/>
  <c r="L1457" i="6"/>
  <c r="K1457" i="6"/>
  <c r="U1456" i="6"/>
  <c r="T1456" i="6"/>
  <c r="L1456" i="6"/>
  <c r="K1456" i="6"/>
  <c r="U1455" i="6"/>
  <c r="T1455" i="6"/>
  <c r="L1455" i="6"/>
  <c r="K1455" i="6"/>
  <c r="U1453" i="6"/>
  <c r="T1453" i="6"/>
  <c r="L1453" i="6"/>
  <c r="K1453" i="6"/>
  <c r="U1452" i="6"/>
  <c r="T1452" i="6"/>
  <c r="L1452" i="6"/>
  <c r="K1452" i="6"/>
  <c r="U1451" i="6"/>
  <c r="T1451" i="6"/>
  <c r="L1451" i="6"/>
  <c r="K1451" i="6"/>
  <c r="U1450" i="6"/>
  <c r="T1450" i="6"/>
  <c r="L1450" i="6"/>
  <c r="K1450" i="6"/>
  <c r="U1449" i="6"/>
  <c r="T1449" i="6"/>
  <c r="L1449" i="6"/>
  <c r="K1449" i="6"/>
  <c r="U1448" i="6"/>
  <c r="T1448" i="6"/>
  <c r="L1448" i="6"/>
  <c r="K1448" i="6"/>
  <c r="U1447" i="6"/>
  <c r="T1447" i="6"/>
  <c r="L1447" i="6"/>
  <c r="K1447" i="6"/>
  <c r="U1446" i="6"/>
  <c r="T1446" i="6"/>
  <c r="L1446" i="6"/>
  <c r="K1446" i="6"/>
  <c r="U1445" i="6"/>
  <c r="T1445" i="6"/>
  <c r="L1445" i="6"/>
  <c r="K1445" i="6"/>
  <c r="U1444" i="6"/>
  <c r="T1444" i="6"/>
  <c r="L1444" i="6"/>
  <c r="K1444" i="6"/>
  <c r="U1443" i="6"/>
  <c r="T1443" i="6"/>
  <c r="L1443" i="6"/>
  <c r="K1443" i="6"/>
  <c r="U1442" i="6"/>
  <c r="T1442" i="6"/>
  <c r="L1442" i="6"/>
  <c r="K1442" i="6"/>
  <c r="U1441" i="6"/>
  <c r="T1441" i="6"/>
  <c r="L1441" i="6"/>
  <c r="K1441" i="6"/>
  <c r="U1440" i="6"/>
  <c r="T1440" i="6"/>
  <c r="L1440" i="6"/>
  <c r="K1440" i="6"/>
  <c r="U1439" i="6"/>
  <c r="T1439" i="6"/>
  <c r="L1439" i="6"/>
  <c r="K1439" i="6"/>
  <c r="U1438" i="6"/>
  <c r="T1438" i="6"/>
  <c r="L1438" i="6"/>
  <c r="K1438" i="6"/>
  <c r="U1437" i="6"/>
  <c r="T1437" i="6"/>
  <c r="L1437" i="6"/>
  <c r="K1437" i="6"/>
  <c r="U1436" i="6"/>
  <c r="T1436" i="6"/>
  <c r="L1436" i="6"/>
  <c r="K1436" i="6"/>
  <c r="U1435" i="6"/>
  <c r="T1435" i="6"/>
  <c r="L1435" i="6"/>
  <c r="K1435" i="6"/>
  <c r="U1434" i="6"/>
  <c r="T1434" i="6"/>
  <c r="L1434" i="6"/>
  <c r="K1434" i="6"/>
  <c r="U1433" i="6"/>
  <c r="T1433" i="6"/>
  <c r="L1433" i="6"/>
  <c r="K1433" i="6"/>
  <c r="U1432" i="6"/>
  <c r="T1432" i="6"/>
  <c r="L1432" i="6"/>
  <c r="K1432" i="6"/>
  <c r="U1431" i="6"/>
  <c r="T1431" i="6"/>
  <c r="L1431" i="6"/>
  <c r="K1431" i="6"/>
  <c r="U1430" i="6"/>
  <c r="T1430" i="6"/>
  <c r="L1430" i="6"/>
  <c r="K1430" i="6"/>
  <c r="U1429" i="6"/>
  <c r="T1429" i="6"/>
  <c r="L1429" i="6"/>
  <c r="K1429" i="6"/>
  <c r="U1428" i="6"/>
  <c r="T1428" i="6"/>
  <c r="L1428" i="6"/>
  <c r="K1428" i="6"/>
  <c r="U1427" i="6"/>
  <c r="T1427" i="6"/>
  <c r="L1427" i="6"/>
  <c r="K1427" i="6"/>
  <c r="U1426" i="6"/>
  <c r="T1426" i="6"/>
  <c r="L1426" i="6"/>
  <c r="K1426" i="6"/>
  <c r="U1425" i="6"/>
  <c r="T1425" i="6"/>
  <c r="L1425" i="6"/>
  <c r="K1425" i="6"/>
  <c r="U1424" i="6"/>
  <c r="T1424" i="6"/>
  <c r="L1424" i="6"/>
  <c r="K1424" i="6"/>
  <c r="U1423" i="6"/>
  <c r="T1423" i="6"/>
  <c r="L1423" i="6"/>
  <c r="K1423" i="6"/>
  <c r="U1422" i="6"/>
  <c r="T1422" i="6"/>
  <c r="L1422" i="6"/>
  <c r="K1422" i="6"/>
  <c r="U1421" i="6"/>
  <c r="T1421" i="6"/>
  <c r="L1421" i="6"/>
  <c r="K1421" i="6"/>
  <c r="U1420" i="6"/>
  <c r="T1420" i="6"/>
  <c r="L1420" i="6"/>
  <c r="K1420" i="6"/>
  <c r="U1419" i="6"/>
  <c r="T1419" i="6"/>
  <c r="L1419" i="6"/>
  <c r="K1419" i="6"/>
  <c r="U1418" i="6"/>
  <c r="T1418" i="6"/>
  <c r="L1418" i="6"/>
  <c r="K1418" i="6"/>
  <c r="U1417" i="6"/>
  <c r="T1417" i="6"/>
  <c r="L1417" i="6"/>
  <c r="K1417" i="6"/>
  <c r="U1416" i="6"/>
  <c r="T1416" i="6"/>
  <c r="L1416" i="6"/>
  <c r="K1416" i="6"/>
  <c r="U1415" i="6"/>
  <c r="T1415" i="6"/>
  <c r="L1415" i="6"/>
  <c r="K1415" i="6"/>
  <c r="U1414" i="6"/>
  <c r="T1414" i="6"/>
  <c r="L1414" i="6"/>
  <c r="K1414" i="6"/>
  <c r="U1413" i="6"/>
  <c r="T1413" i="6"/>
  <c r="L1413" i="6"/>
  <c r="K1413" i="6"/>
  <c r="U1412" i="6"/>
  <c r="T1412" i="6"/>
  <c r="L1412" i="6"/>
  <c r="K1412" i="6"/>
  <c r="U1411" i="6"/>
  <c r="T1411" i="6"/>
  <c r="L1411" i="6"/>
  <c r="K1411" i="6"/>
  <c r="U1410" i="6"/>
  <c r="T1410" i="6"/>
  <c r="L1410" i="6"/>
  <c r="K1410" i="6"/>
  <c r="U1409" i="6"/>
  <c r="T1409" i="6"/>
  <c r="L1409" i="6"/>
  <c r="K1409" i="6"/>
  <c r="U1408" i="6"/>
  <c r="T1408" i="6"/>
  <c r="L1408" i="6"/>
  <c r="K1408" i="6"/>
  <c r="U1407" i="6"/>
  <c r="T1407" i="6"/>
  <c r="L1407" i="6"/>
  <c r="K1407" i="6"/>
  <c r="U1406" i="6"/>
  <c r="T1406" i="6"/>
  <c r="L1406" i="6"/>
  <c r="K1406" i="6"/>
  <c r="U1405" i="6"/>
  <c r="T1405" i="6"/>
  <c r="L1405" i="6"/>
  <c r="K1405" i="6"/>
  <c r="U1404" i="6"/>
  <c r="T1404" i="6"/>
  <c r="L1404" i="6"/>
  <c r="K1404" i="6"/>
  <c r="U1403" i="6"/>
  <c r="T1403" i="6"/>
  <c r="L1403" i="6"/>
  <c r="K1403" i="6"/>
  <c r="U1402" i="6"/>
  <c r="T1402" i="6"/>
  <c r="L1402" i="6"/>
  <c r="K1402" i="6"/>
  <c r="U1401" i="6"/>
  <c r="T1401" i="6"/>
  <c r="L1401" i="6"/>
  <c r="K1401" i="6"/>
  <c r="U1400" i="6"/>
  <c r="T1400" i="6"/>
  <c r="L1400" i="6"/>
  <c r="K1400" i="6"/>
  <c r="U1399" i="6"/>
  <c r="T1399" i="6"/>
  <c r="L1399" i="6"/>
  <c r="K1399" i="6"/>
  <c r="U1398" i="6"/>
  <c r="T1398" i="6"/>
  <c r="L1398" i="6"/>
  <c r="K1398" i="6"/>
  <c r="U1397" i="6"/>
  <c r="T1397" i="6"/>
  <c r="L1397" i="6"/>
  <c r="K1397" i="6"/>
  <c r="U1396" i="6"/>
  <c r="T1396" i="6"/>
  <c r="L1396" i="6"/>
  <c r="K1396" i="6"/>
  <c r="U1395" i="6"/>
  <c r="T1395" i="6"/>
  <c r="L1395" i="6"/>
  <c r="K1395" i="6"/>
  <c r="U1394" i="6"/>
  <c r="T1394" i="6"/>
  <c r="L1394" i="6"/>
  <c r="K1394" i="6"/>
  <c r="U1393" i="6"/>
  <c r="T1393" i="6"/>
  <c r="L1393" i="6"/>
  <c r="K1393" i="6"/>
  <c r="U1392" i="6"/>
  <c r="T1392" i="6"/>
  <c r="L1392" i="6"/>
  <c r="K1392" i="6"/>
  <c r="U1391" i="6"/>
  <c r="T1391" i="6"/>
  <c r="L1391" i="6"/>
  <c r="K1391" i="6"/>
  <c r="U1390" i="6"/>
  <c r="T1390" i="6"/>
  <c r="L1390" i="6"/>
  <c r="K1390" i="6"/>
  <c r="U1389" i="6"/>
  <c r="T1389" i="6"/>
  <c r="L1389" i="6"/>
  <c r="K1389" i="6"/>
  <c r="U1388" i="6"/>
  <c r="T1388" i="6"/>
  <c r="L1388" i="6"/>
  <c r="K1388" i="6"/>
  <c r="U1387" i="6"/>
  <c r="T1387" i="6"/>
  <c r="L1387" i="6"/>
  <c r="K1387" i="6"/>
  <c r="U1386" i="6"/>
  <c r="T1386" i="6"/>
  <c r="L1386" i="6"/>
  <c r="K1386" i="6"/>
  <c r="U1385" i="6"/>
  <c r="T1385" i="6"/>
  <c r="L1385" i="6"/>
  <c r="K1385" i="6"/>
  <c r="U1384" i="6"/>
  <c r="T1384" i="6"/>
  <c r="L1384" i="6"/>
  <c r="K1384" i="6"/>
  <c r="U1383" i="6"/>
  <c r="T1383" i="6"/>
  <c r="L1383" i="6"/>
  <c r="K1383" i="6"/>
  <c r="U1382" i="6"/>
  <c r="T1382" i="6"/>
  <c r="L1382" i="6"/>
  <c r="K1382" i="6"/>
  <c r="U1381" i="6"/>
  <c r="T1381" i="6"/>
  <c r="L1381" i="6"/>
  <c r="K1381" i="6"/>
  <c r="U1380" i="6"/>
  <c r="T1380" i="6"/>
  <c r="L1380" i="6"/>
  <c r="K1380" i="6"/>
  <c r="U1379" i="6"/>
  <c r="T1379" i="6"/>
  <c r="L1379" i="6"/>
  <c r="K1379" i="6"/>
  <c r="U1378" i="6"/>
  <c r="T1378" i="6"/>
  <c r="L1378" i="6"/>
  <c r="K1378" i="6"/>
  <c r="U1377" i="6"/>
  <c r="T1377" i="6"/>
  <c r="L1377" i="6"/>
  <c r="K1377" i="6"/>
  <c r="U1376" i="6"/>
  <c r="T1376" i="6"/>
  <c r="L1376" i="6"/>
  <c r="K1376" i="6"/>
  <c r="U1375" i="6"/>
  <c r="T1375" i="6"/>
  <c r="L1375" i="6"/>
  <c r="K1375" i="6"/>
  <c r="U1374" i="6"/>
  <c r="T1374" i="6"/>
  <c r="L1374" i="6"/>
  <c r="K1374" i="6"/>
  <c r="U1373" i="6"/>
  <c r="T1373" i="6"/>
  <c r="L1373" i="6"/>
  <c r="K1373" i="6"/>
  <c r="U1372" i="6"/>
  <c r="T1372" i="6"/>
  <c r="L1372" i="6"/>
  <c r="K1372" i="6"/>
  <c r="U1371" i="6"/>
  <c r="T1371" i="6"/>
  <c r="L1371" i="6"/>
  <c r="K1371" i="6"/>
  <c r="U1370" i="6"/>
  <c r="T1370" i="6"/>
  <c r="L1370" i="6"/>
  <c r="K1370" i="6"/>
  <c r="U1369" i="6"/>
  <c r="T1369" i="6"/>
  <c r="L1369" i="6"/>
  <c r="K1369" i="6"/>
  <c r="U1368" i="6"/>
  <c r="T1368" i="6"/>
  <c r="L1368" i="6"/>
  <c r="K1368" i="6"/>
  <c r="U1367" i="6"/>
  <c r="T1367" i="6"/>
  <c r="L1367" i="6"/>
  <c r="K1367" i="6"/>
  <c r="U1366" i="6"/>
  <c r="T1366" i="6"/>
  <c r="L1366" i="6"/>
  <c r="K1366" i="6"/>
  <c r="U1365" i="6"/>
  <c r="T1365" i="6"/>
  <c r="L1365" i="6"/>
  <c r="K1365" i="6"/>
  <c r="U1364" i="6"/>
  <c r="T1364" i="6"/>
  <c r="L1364" i="6"/>
  <c r="K1364" i="6"/>
  <c r="U1363" i="6"/>
  <c r="T1363" i="6"/>
  <c r="L1363" i="6"/>
  <c r="K1363" i="6"/>
  <c r="U1362" i="6"/>
  <c r="T1362" i="6"/>
  <c r="L1362" i="6"/>
  <c r="K1362" i="6"/>
  <c r="U1361" i="6"/>
  <c r="T1361" i="6"/>
  <c r="L1361" i="6"/>
  <c r="K1361" i="6"/>
  <c r="U1360" i="6"/>
  <c r="T1360" i="6"/>
  <c r="L1360" i="6"/>
  <c r="K1360" i="6"/>
  <c r="U1359" i="6"/>
  <c r="T1359" i="6"/>
  <c r="L1359" i="6"/>
  <c r="K1359" i="6"/>
  <c r="U1358" i="6"/>
  <c r="T1358" i="6"/>
  <c r="L1358" i="6"/>
  <c r="K1358" i="6"/>
  <c r="U1357" i="6"/>
  <c r="T1357" i="6"/>
  <c r="L1357" i="6"/>
  <c r="K1357" i="6"/>
  <c r="U1356" i="6"/>
  <c r="T1356" i="6"/>
  <c r="L1356" i="6"/>
  <c r="K1356" i="6"/>
  <c r="U1355" i="6"/>
  <c r="T1355" i="6"/>
  <c r="L1355" i="6"/>
  <c r="K1355" i="6"/>
  <c r="U1354" i="6"/>
  <c r="T1354" i="6"/>
  <c r="L1354" i="6"/>
  <c r="K1354" i="6"/>
  <c r="U1352" i="6"/>
  <c r="T1352" i="6"/>
  <c r="L1352" i="6"/>
  <c r="K1352" i="6"/>
  <c r="U1351" i="6"/>
  <c r="T1351" i="6"/>
  <c r="L1351" i="6"/>
  <c r="K1351" i="6"/>
  <c r="U1350" i="6"/>
  <c r="T1350" i="6"/>
  <c r="L1350" i="6"/>
  <c r="K1350" i="6"/>
  <c r="U1349" i="6"/>
  <c r="T1349" i="6"/>
  <c r="L1349" i="6"/>
  <c r="K1349" i="6"/>
  <c r="U1348" i="6"/>
  <c r="T1348" i="6"/>
  <c r="L1348" i="6"/>
  <c r="K1348" i="6"/>
  <c r="U1347" i="6"/>
  <c r="T1347" i="6"/>
  <c r="L1347" i="6"/>
  <c r="K1347" i="6"/>
  <c r="U1346" i="6"/>
  <c r="T1346" i="6"/>
  <c r="L1346" i="6"/>
  <c r="K1346" i="6"/>
  <c r="U1345" i="6"/>
  <c r="T1345" i="6"/>
  <c r="L1345" i="6"/>
  <c r="K1345" i="6"/>
  <c r="U1344" i="6"/>
  <c r="T1344" i="6"/>
  <c r="L1344" i="6"/>
  <c r="K1344" i="6"/>
  <c r="U1343" i="6"/>
  <c r="T1343" i="6"/>
  <c r="L1343" i="6"/>
  <c r="K1343" i="6"/>
  <c r="U1342" i="6"/>
  <c r="T1342" i="6"/>
  <c r="L1342" i="6"/>
  <c r="K1342" i="6"/>
  <c r="U1341" i="6"/>
  <c r="T1341" i="6"/>
  <c r="L1341" i="6"/>
  <c r="K1341" i="6"/>
  <c r="U1340" i="6"/>
  <c r="T1340" i="6"/>
  <c r="L1340" i="6"/>
  <c r="K1340" i="6"/>
  <c r="U1339" i="6"/>
  <c r="T1339" i="6"/>
  <c r="L1339" i="6"/>
  <c r="K1339" i="6"/>
  <c r="U1338" i="6"/>
  <c r="T1338" i="6"/>
  <c r="L1338" i="6"/>
  <c r="K1338" i="6"/>
  <c r="U1337" i="6"/>
  <c r="T1337" i="6"/>
  <c r="L1337" i="6"/>
  <c r="K1337" i="6"/>
  <c r="U1336" i="6"/>
  <c r="T1336" i="6"/>
  <c r="L1336" i="6"/>
  <c r="K1336" i="6"/>
  <c r="U1335" i="6"/>
  <c r="T1335" i="6"/>
  <c r="L1335" i="6"/>
  <c r="K1335" i="6"/>
  <c r="U1334" i="6"/>
  <c r="T1334" i="6"/>
  <c r="L1334" i="6"/>
  <c r="K1334" i="6"/>
  <c r="U1333" i="6"/>
  <c r="T1333" i="6"/>
  <c r="L1333" i="6"/>
  <c r="K1333" i="6"/>
  <c r="U1332" i="6"/>
  <c r="T1332" i="6"/>
  <c r="L1332" i="6"/>
  <c r="K1332" i="6"/>
  <c r="U1331" i="6"/>
  <c r="T1331" i="6"/>
  <c r="L1331" i="6"/>
  <c r="K1331" i="6"/>
  <c r="U1330" i="6"/>
  <c r="T1330" i="6"/>
  <c r="L1330" i="6"/>
  <c r="K1330" i="6"/>
  <c r="U1329" i="6"/>
  <c r="T1329" i="6"/>
  <c r="L1329" i="6"/>
  <c r="K1329" i="6"/>
  <c r="U1328" i="6"/>
  <c r="T1328" i="6"/>
  <c r="L1328" i="6"/>
  <c r="K1328" i="6"/>
  <c r="U1327" i="6"/>
  <c r="T1327" i="6"/>
  <c r="L1327" i="6"/>
  <c r="K1327" i="6"/>
  <c r="U1326" i="6"/>
  <c r="T1326" i="6"/>
  <c r="L1326" i="6"/>
  <c r="K1326" i="6"/>
  <c r="U1325" i="6"/>
  <c r="T1325" i="6"/>
  <c r="L1325" i="6"/>
  <c r="K1325" i="6"/>
  <c r="U1324" i="6"/>
  <c r="T1324" i="6"/>
  <c r="L1324" i="6"/>
  <c r="K1324" i="6"/>
  <c r="U1323" i="6"/>
  <c r="T1323" i="6"/>
  <c r="L1323" i="6"/>
  <c r="K1323" i="6"/>
  <c r="U1322" i="6"/>
  <c r="T1322" i="6"/>
  <c r="L1322" i="6"/>
  <c r="K1322" i="6"/>
  <c r="U1321" i="6"/>
  <c r="T1321" i="6"/>
  <c r="L1321" i="6"/>
  <c r="K1321" i="6"/>
  <c r="U1320" i="6"/>
  <c r="T1320" i="6"/>
  <c r="L1320" i="6"/>
  <c r="K1320" i="6"/>
  <c r="U1319" i="6"/>
  <c r="T1319" i="6"/>
  <c r="L1319" i="6"/>
  <c r="K1319" i="6"/>
  <c r="U1318" i="6"/>
  <c r="T1318" i="6"/>
  <c r="L1318" i="6"/>
  <c r="K1318" i="6"/>
  <c r="U1317" i="6"/>
  <c r="T1317" i="6"/>
  <c r="L1317" i="6"/>
  <c r="K1317" i="6"/>
  <c r="U1316" i="6"/>
  <c r="T1316" i="6"/>
  <c r="L1316" i="6"/>
  <c r="K1316" i="6"/>
  <c r="U1315" i="6"/>
  <c r="T1315" i="6"/>
  <c r="L1315" i="6"/>
  <c r="K1315" i="6"/>
  <c r="U1314" i="6"/>
  <c r="T1314" i="6"/>
  <c r="L1314" i="6"/>
  <c r="K1314" i="6"/>
  <c r="U1313" i="6"/>
  <c r="T1313" i="6"/>
  <c r="L1313" i="6"/>
  <c r="K1313" i="6"/>
  <c r="U1312" i="6"/>
  <c r="T1312" i="6"/>
  <c r="L1312" i="6"/>
  <c r="K1312" i="6"/>
  <c r="U1311" i="6"/>
  <c r="T1311" i="6"/>
  <c r="L1311" i="6"/>
  <c r="K1311" i="6"/>
  <c r="U1310" i="6"/>
  <c r="T1310" i="6"/>
  <c r="L1310" i="6"/>
  <c r="K1310" i="6"/>
  <c r="U1309" i="6"/>
  <c r="T1309" i="6"/>
  <c r="L1309" i="6"/>
  <c r="K1309" i="6"/>
  <c r="U1308" i="6"/>
  <c r="T1308" i="6"/>
  <c r="L1308" i="6"/>
  <c r="K1308" i="6"/>
  <c r="U1307" i="6"/>
  <c r="T1307" i="6"/>
  <c r="L1307" i="6"/>
  <c r="K1307" i="6"/>
  <c r="U1306" i="6"/>
  <c r="T1306" i="6"/>
  <c r="L1306" i="6"/>
  <c r="K1306" i="6"/>
  <c r="U1305" i="6"/>
  <c r="T1305" i="6"/>
  <c r="L1305" i="6"/>
  <c r="K1305" i="6"/>
  <c r="U1304" i="6"/>
  <c r="T1304" i="6"/>
  <c r="L1304" i="6"/>
  <c r="K1304" i="6"/>
  <c r="U1303" i="6"/>
  <c r="T1303" i="6"/>
  <c r="L1303" i="6"/>
  <c r="K1303" i="6"/>
  <c r="U1302" i="6"/>
  <c r="T1302" i="6"/>
  <c r="L1302" i="6"/>
  <c r="K1302" i="6"/>
  <c r="U1301" i="6"/>
  <c r="T1301" i="6"/>
  <c r="L1301" i="6"/>
  <c r="K1301" i="6"/>
  <c r="U1300" i="6"/>
  <c r="T1300" i="6"/>
  <c r="L1300" i="6"/>
  <c r="K1300" i="6"/>
  <c r="U1299" i="6"/>
  <c r="T1299" i="6"/>
  <c r="L1299" i="6"/>
  <c r="K1299" i="6"/>
  <c r="U1298" i="6"/>
  <c r="T1298" i="6"/>
  <c r="L1298" i="6"/>
  <c r="K1298" i="6"/>
  <c r="U1297" i="6"/>
  <c r="T1297" i="6"/>
  <c r="L1297" i="6"/>
  <c r="K1297" i="6"/>
  <c r="U1296" i="6"/>
  <c r="T1296" i="6"/>
  <c r="L1296" i="6"/>
  <c r="K1296" i="6"/>
  <c r="U1295" i="6"/>
  <c r="T1295" i="6"/>
  <c r="L1295" i="6"/>
  <c r="K1295" i="6"/>
  <c r="U1294" i="6"/>
  <c r="T1294" i="6"/>
  <c r="L1294" i="6"/>
  <c r="K1294" i="6"/>
  <c r="U1293" i="6"/>
  <c r="T1293" i="6"/>
  <c r="L1293" i="6"/>
  <c r="K1293" i="6"/>
  <c r="U1292" i="6"/>
  <c r="T1292" i="6"/>
  <c r="L1292" i="6"/>
  <c r="K1292" i="6"/>
  <c r="U1291" i="6"/>
  <c r="T1291" i="6"/>
  <c r="L1291" i="6"/>
  <c r="K1291" i="6"/>
  <c r="U1290" i="6"/>
  <c r="T1290" i="6"/>
  <c r="L1290" i="6"/>
  <c r="K1290" i="6"/>
  <c r="U1289" i="6"/>
  <c r="T1289" i="6"/>
  <c r="L1289" i="6"/>
  <c r="K1289" i="6"/>
  <c r="U1288" i="6"/>
  <c r="T1288" i="6"/>
  <c r="L1288" i="6"/>
  <c r="K1288" i="6"/>
  <c r="U1287" i="6"/>
  <c r="T1287" i="6"/>
  <c r="L1287" i="6"/>
  <c r="K1287" i="6"/>
  <c r="U1286" i="6"/>
  <c r="T1286" i="6"/>
  <c r="L1286" i="6"/>
  <c r="K1286" i="6"/>
  <c r="U1285" i="6"/>
  <c r="T1285" i="6"/>
  <c r="L1285" i="6"/>
  <c r="K1285" i="6"/>
  <c r="U1284" i="6"/>
  <c r="T1284" i="6"/>
  <c r="L1284" i="6"/>
  <c r="K1284" i="6"/>
  <c r="U1283" i="6"/>
  <c r="T1283" i="6"/>
  <c r="L1283" i="6"/>
  <c r="K1283" i="6"/>
  <c r="U1282" i="6"/>
  <c r="T1282" i="6"/>
  <c r="L1282" i="6"/>
  <c r="K1282" i="6"/>
  <c r="U1281" i="6"/>
  <c r="T1281" i="6"/>
  <c r="L1281" i="6"/>
  <c r="K1281" i="6"/>
  <c r="U1280" i="6"/>
  <c r="T1280" i="6"/>
  <c r="L1280" i="6"/>
  <c r="K1280" i="6"/>
  <c r="U1279" i="6"/>
  <c r="T1279" i="6"/>
  <c r="L1279" i="6"/>
  <c r="K1279" i="6"/>
  <c r="U1278" i="6"/>
  <c r="T1278" i="6"/>
  <c r="L1278" i="6"/>
  <c r="K1278" i="6"/>
  <c r="U1277" i="6"/>
  <c r="T1277" i="6"/>
  <c r="L1277" i="6"/>
  <c r="K1277" i="6"/>
  <c r="U1276" i="6"/>
  <c r="T1276" i="6"/>
  <c r="L1276" i="6"/>
  <c r="K1276" i="6"/>
  <c r="U1275" i="6"/>
  <c r="T1275" i="6"/>
  <c r="L1275" i="6"/>
  <c r="K1275" i="6"/>
  <c r="U1274" i="6"/>
  <c r="T1274" i="6"/>
  <c r="L1274" i="6"/>
  <c r="K1274" i="6"/>
  <c r="U1273" i="6"/>
  <c r="T1273" i="6"/>
  <c r="L1273" i="6"/>
  <c r="K1273" i="6"/>
  <c r="U1272" i="6"/>
  <c r="T1272" i="6"/>
  <c r="L1272" i="6"/>
  <c r="K1272" i="6"/>
  <c r="U1271" i="6"/>
  <c r="T1271" i="6"/>
  <c r="L1271" i="6"/>
  <c r="K1271" i="6"/>
  <c r="U1270" i="6"/>
  <c r="T1270" i="6"/>
  <c r="L1270" i="6"/>
  <c r="K1270" i="6"/>
  <c r="U1269" i="6"/>
  <c r="T1269" i="6"/>
  <c r="L1269" i="6"/>
  <c r="K1269" i="6"/>
  <c r="U1268" i="6"/>
  <c r="T1268" i="6"/>
  <c r="L1268" i="6"/>
  <c r="K1268" i="6"/>
  <c r="U1267" i="6"/>
  <c r="T1267" i="6"/>
  <c r="L1267" i="6"/>
  <c r="K1267" i="6"/>
  <c r="U1266" i="6"/>
  <c r="T1266" i="6"/>
  <c r="L1266" i="6"/>
  <c r="K1266" i="6"/>
  <c r="U1265" i="6"/>
  <c r="T1265" i="6"/>
  <c r="L1265" i="6"/>
  <c r="K1265" i="6"/>
  <c r="U1264" i="6"/>
  <c r="T1264" i="6"/>
  <c r="L1264" i="6"/>
  <c r="K1264" i="6"/>
  <c r="U1263" i="6"/>
  <c r="T1263" i="6"/>
  <c r="L1263" i="6"/>
  <c r="K1263" i="6"/>
  <c r="U1262" i="6"/>
  <c r="T1262" i="6"/>
  <c r="L1262" i="6"/>
  <c r="K1262" i="6"/>
  <c r="U1261" i="6"/>
  <c r="T1261" i="6"/>
  <c r="L1261" i="6"/>
  <c r="K1261" i="6"/>
  <c r="U1260" i="6"/>
  <c r="T1260" i="6"/>
  <c r="L1260" i="6"/>
  <c r="K1260" i="6"/>
  <c r="U1259" i="6"/>
  <c r="T1259" i="6"/>
  <c r="L1259" i="6"/>
  <c r="K1259" i="6"/>
  <c r="U1258" i="6"/>
  <c r="T1258" i="6"/>
  <c r="L1258" i="6"/>
  <c r="K1258" i="6"/>
  <c r="U1257" i="6"/>
  <c r="T1257" i="6"/>
  <c r="L1257" i="6"/>
  <c r="K1257" i="6"/>
  <c r="U1256" i="6"/>
  <c r="T1256" i="6"/>
  <c r="L1256" i="6"/>
  <c r="K1256" i="6"/>
  <c r="U1254" i="6"/>
  <c r="T1254" i="6"/>
  <c r="L1254" i="6"/>
  <c r="K1254" i="6"/>
  <c r="U1253" i="6"/>
  <c r="T1253" i="6"/>
  <c r="L1253" i="6"/>
  <c r="K1253" i="6"/>
  <c r="U1252" i="6"/>
  <c r="T1252" i="6"/>
  <c r="L1252" i="6"/>
  <c r="K1252" i="6"/>
  <c r="U1251" i="6"/>
  <c r="T1251" i="6"/>
  <c r="L1251" i="6"/>
  <c r="K1251" i="6"/>
  <c r="U1250" i="6"/>
  <c r="T1250" i="6"/>
  <c r="L1250" i="6"/>
  <c r="K1250" i="6"/>
  <c r="U1249" i="6"/>
  <c r="T1249" i="6"/>
  <c r="L1249" i="6"/>
  <c r="K1249" i="6"/>
  <c r="U1248" i="6"/>
  <c r="T1248" i="6"/>
  <c r="L1248" i="6"/>
  <c r="K1248" i="6"/>
  <c r="U1247" i="6"/>
  <c r="T1247" i="6"/>
  <c r="L1247" i="6"/>
  <c r="K1247" i="6"/>
  <c r="U1246" i="6"/>
  <c r="T1246" i="6"/>
  <c r="L1246" i="6"/>
  <c r="K1246" i="6"/>
  <c r="U1245" i="6"/>
  <c r="T1245" i="6"/>
  <c r="L1245" i="6"/>
  <c r="K1245" i="6"/>
  <c r="U1244" i="6"/>
  <c r="T1244" i="6"/>
  <c r="L1244" i="6"/>
  <c r="K1244" i="6"/>
  <c r="U1243" i="6"/>
  <c r="T1243" i="6"/>
  <c r="L1243" i="6"/>
  <c r="K1243" i="6"/>
  <c r="U1242" i="6"/>
  <c r="T1242" i="6"/>
  <c r="L1242" i="6"/>
  <c r="K1242" i="6"/>
  <c r="U1241" i="6"/>
  <c r="T1241" i="6"/>
  <c r="L1241" i="6"/>
  <c r="K1241" i="6"/>
  <c r="U1240" i="6"/>
  <c r="T1240" i="6"/>
  <c r="L1240" i="6"/>
  <c r="K1240" i="6"/>
  <c r="U1239" i="6"/>
  <c r="T1239" i="6"/>
  <c r="L1239" i="6"/>
  <c r="K1239" i="6"/>
  <c r="U1238" i="6"/>
  <c r="T1238" i="6"/>
  <c r="L1238" i="6"/>
  <c r="K1238" i="6"/>
  <c r="U1237" i="6"/>
  <c r="T1237" i="6"/>
  <c r="L1237" i="6"/>
  <c r="K1237" i="6"/>
  <c r="U1236" i="6"/>
  <c r="T1236" i="6"/>
  <c r="L1236" i="6"/>
  <c r="K1236" i="6"/>
  <c r="U1235" i="6"/>
  <c r="T1235" i="6"/>
  <c r="L1235" i="6"/>
  <c r="K1235" i="6"/>
  <c r="U1234" i="6"/>
  <c r="T1234" i="6"/>
  <c r="L1234" i="6"/>
  <c r="K1234" i="6"/>
  <c r="U1233" i="6"/>
  <c r="T1233" i="6"/>
  <c r="L1233" i="6"/>
  <c r="K1233" i="6"/>
  <c r="U1232" i="6"/>
  <c r="T1232" i="6"/>
  <c r="L1232" i="6"/>
  <c r="K1232" i="6"/>
  <c r="U1231" i="6"/>
  <c r="T1231" i="6"/>
  <c r="L1231" i="6"/>
  <c r="K1231" i="6"/>
  <c r="U1230" i="6"/>
  <c r="T1230" i="6"/>
  <c r="L1230" i="6"/>
  <c r="K1230" i="6"/>
  <c r="U1229" i="6"/>
  <c r="T1229" i="6"/>
  <c r="L1229" i="6"/>
  <c r="K1229" i="6"/>
  <c r="U1228" i="6"/>
  <c r="T1228" i="6"/>
  <c r="L1228" i="6"/>
  <c r="K1228" i="6"/>
  <c r="U1227" i="6"/>
  <c r="T1227" i="6"/>
  <c r="L1227" i="6"/>
  <c r="K1227" i="6"/>
  <c r="U1226" i="6"/>
  <c r="T1226" i="6"/>
  <c r="L1226" i="6"/>
  <c r="K1226" i="6"/>
  <c r="U1224" i="6"/>
  <c r="T1224" i="6"/>
  <c r="L1224" i="6"/>
  <c r="K1224" i="6"/>
  <c r="U1223" i="6"/>
  <c r="T1223" i="6"/>
  <c r="L1223" i="6"/>
  <c r="K1223" i="6"/>
  <c r="U1222" i="6"/>
  <c r="T1222" i="6"/>
  <c r="L1222" i="6"/>
  <c r="K1222" i="6"/>
  <c r="U1221" i="6"/>
  <c r="T1221" i="6"/>
  <c r="L1221" i="6"/>
  <c r="K1221" i="6"/>
  <c r="U1220" i="6"/>
  <c r="T1220" i="6"/>
  <c r="L1220" i="6"/>
  <c r="K1220" i="6"/>
  <c r="U1219" i="6"/>
  <c r="T1219" i="6"/>
  <c r="L1219" i="6"/>
  <c r="K1219" i="6"/>
  <c r="U1218" i="6"/>
  <c r="T1218" i="6"/>
  <c r="L1218" i="6"/>
  <c r="K1218" i="6"/>
  <c r="U1217" i="6"/>
  <c r="T1217" i="6"/>
  <c r="L1217" i="6"/>
  <c r="K1217" i="6"/>
  <c r="U1216" i="6"/>
  <c r="T1216" i="6"/>
  <c r="L1216" i="6"/>
  <c r="K1216" i="6"/>
  <c r="U1215" i="6"/>
  <c r="T1215" i="6"/>
  <c r="L1215" i="6"/>
  <c r="K1215" i="6"/>
  <c r="U1214" i="6"/>
  <c r="T1214" i="6"/>
  <c r="L1214" i="6"/>
  <c r="K1214" i="6"/>
  <c r="U1213" i="6"/>
  <c r="T1213" i="6"/>
  <c r="L1213" i="6"/>
  <c r="K1213" i="6"/>
  <c r="U1212" i="6"/>
  <c r="T1212" i="6"/>
  <c r="L1212" i="6"/>
  <c r="K1212" i="6"/>
  <c r="U1211" i="6"/>
  <c r="T1211" i="6"/>
  <c r="L1211" i="6"/>
  <c r="K1211" i="6"/>
  <c r="U1210" i="6"/>
  <c r="T1210" i="6"/>
  <c r="L1210" i="6"/>
  <c r="K1210" i="6"/>
  <c r="U1208" i="6"/>
  <c r="T1208" i="6"/>
  <c r="L1208" i="6"/>
  <c r="K1208" i="6"/>
  <c r="U1207" i="6"/>
  <c r="T1207" i="6"/>
  <c r="L1207" i="6"/>
  <c r="K1207" i="6"/>
  <c r="U1206" i="6"/>
  <c r="T1206" i="6"/>
  <c r="L1206" i="6"/>
  <c r="K1206" i="6"/>
  <c r="U1205" i="6"/>
  <c r="T1205" i="6"/>
  <c r="L1205" i="6"/>
  <c r="K1205" i="6"/>
  <c r="U1204" i="6"/>
  <c r="T1204" i="6"/>
  <c r="L1204" i="6"/>
  <c r="K1204" i="6"/>
  <c r="U1203" i="6"/>
  <c r="T1203" i="6"/>
  <c r="L1203" i="6"/>
  <c r="K1203" i="6"/>
  <c r="U1202" i="6"/>
  <c r="T1202" i="6"/>
  <c r="L1202" i="6"/>
  <c r="K1202" i="6"/>
  <c r="U1201" i="6"/>
  <c r="T1201" i="6"/>
  <c r="L1201" i="6"/>
  <c r="K1201" i="6"/>
  <c r="U1200" i="6"/>
  <c r="T1200" i="6"/>
  <c r="L1200" i="6"/>
  <c r="K1200" i="6"/>
  <c r="U1199" i="6"/>
  <c r="T1199" i="6"/>
  <c r="L1199" i="6"/>
  <c r="K1199" i="6"/>
  <c r="U1198" i="6"/>
  <c r="T1198" i="6"/>
  <c r="L1198" i="6"/>
  <c r="K1198" i="6"/>
  <c r="U1197" i="6"/>
  <c r="T1197" i="6"/>
  <c r="L1197" i="6"/>
  <c r="K1197" i="6"/>
  <c r="U1196" i="6"/>
  <c r="T1196" i="6"/>
  <c r="L1196" i="6"/>
  <c r="K1196" i="6"/>
  <c r="U1195" i="6"/>
  <c r="T1195" i="6"/>
  <c r="L1195" i="6"/>
  <c r="K1195" i="6"/>
  <c r="U1194" i="6"/>
  <c r="T1194" i="6"/>
  <c r="L1194" i="6"/>
  <c r="K1194" i="6"/>
  <c r="U1193" i="6"/>
  <c r="T1193" i="6"/>
  <c r="L1193" i="6"/>
  <c r="K1193" i="6"/>
  <c r="U1192" i="6"/>
  <c r="T1192" i="6"/>
  <c r="L1192" i="6"/>
  <c r="K1192" i="6"/>
  <c r="U1191" i="6"/>
  <c r="T1191" i="6"/>
  <c r="L1191" i="6"/>
  <c r="K1191" i="6"/>
  <c r="U1190" i="6"/>
  <c r="T1190" i="6"/>
  <c r="L1190" i="6"/>
  <c r="K1190" i="6"/>
  <c r="U1189" i="6"/>
  <c r="T1189" i="6"/>
  <c r="L1189" i="6"/>
  <c r="K1189" i="6"/>
  <c r="U1188" i="6"/>
  <c r="T1188" i="6"/>
  <c r="L1188" i="6"/>
  <c r="K1188" i="6"/>
  <c r="U1187" i="6"/>
  <c r="T1187" i="6"/>
  <c r="L1187" i="6"/>
  <c r="K1187" i="6"/>
  <c r="U1186" i="6"/>
  <c r="T1186" i="6"/>
  <c r="L1186" i="6"/>
  <c r="K1186" i="6"/>
  <c r="U1185" i="6"/>
  <c r="T1185" i="6"/>
  <c r="L1185" i="6"/>
  <c r="K1185" i="6"/>
  <c r="U1184" i="6"/>
  <c r="T1184" i="6"/>
  <c r="L1184" i="6"/>
  <c r="K1184" i="6"/>
  <c r="U1183" i="6"/>
  <c r="T1183" i="6"/>
  <c r="L1183" i="6"/>
  <c r="K1183" i="6"/>
  <c r="U1182" i="6"/>
  <c r="T1182" i="6"/>
  <c r="L1182" i="6"/>
  <c r="K1182" i="6"/>
  <c r="U1181" i="6"/>
  <c r="T1181" i="6"/>
  <c r="L1181" i="6"/>
  <c r="K1181" i="6"/>
  <c r="U1180" i="6"/>
  <c r="T1180" i="6"/>
  <c r="L1180" i="6"/>
  <c r="K1180" i="6"/>
  <c r="U1179" i="6"/>
  <c r="T1179" i="6"/>
  <c r="L1179" i="6"/>
  <c r="K1179" i="6"/>
  <c r="U1178" i="6"/>
  <c r="T1178" i="6"/>
  <c r="L1178" i="6"/>
  <c r="K1178" i="6"/>
  <c r="U1177" i="6"/>
  <c r="T1177" i="6"/>
  <c r="L1177" i="6"/>
  <c r="K1177" i="6"/>
  <c r="U1176" i="6"/>
  <c r="T1176" i="6"/>
  <c r="L1176" i="6"/>
  <c r="K1176" i="6"/>
  <c r="U1175" i="6"/>
  <c r="T1175" i="6"/>
  <c r="L1175" i="6"/>
  <c r="K1175" i="6"/>
  <c r="U1174" i="6"/>
  <c r="T1174" i="6"/>
  <c r="L1174" i="6"/>
  <c r="K1174" i="6"/>
  <c r="U1173" i="6"/>
  <c r="T1173" i="6"/>
  <c r="L1173" i="6"/>
  <c r="K1173" i="6"/>
  <c r="U1172" i="6"/>
  <c r="T1172" i="6"/>
  <c r="L1172" i="6"/>
  <c r="K1172" i="6"/>
  <c r="U1171" i="6"/>
  <c r="T1171" i="6"/>
  <c r="L1171" i="6"/>
  <c r="K1171" i="6"/>
  <c r="U1170" i="6"/>
  <c r="T1170" i="6"/>
  <c r="L1170" i="6"/>
  <c r="K1170" i="6"/>
  <c r="U1169" i="6"/>
  <c r="T1169" i="6"/>
  <c r="L1169" i="6"/>
  <c r="K1169" i="6"/>
  <c r="U1168" i="6"/>
  <c r="T1168" i="6"/>
  <c r="L1168" i="6"/>
  <c r="K1168" i="6"/>
  <c r="U1167" i="6"/>
  <c r="T1167" i="6"/>
  <c r="L1167" i="6"/>
  <c r="K1167" i="6"/>
  <c r="U1166" i="6"/>
  <c r="T1166" i="6"/>
  <c r="L1166" i="6"/>
  <c r="K1166" i="6"/>
  <c r="U1165" i="6"/>
  <c r="T1165" i="6"/>
  <c r="L1165" i="6"/>
  <c r="K1165" i="6"/>
  <c r="U1164" i="6"/>
  <c r="T1164" i="6"/>
  <c r="L1164" i="6"/>
  <c r="K1164" i="6"/>
  <c r="U1163" i="6"/>
  <c r="T1163" i="6"/>
  <c r="L1163" i="6"/>
  <c r="K1163" i="6"/>
  <c r="U1162" i="6"/>
  <c r="T1162" i="6"/>
  <c r="L1162" i="6"/>
  <c r="K1162" i="6"/>
  <c r="U1161" i="6"/>
  <c r="T1161" i="6"/>
  <c r="L1161" i="6"/>
  <c r="K1161" i="6"/>
  <c r="U1160" i="6"/>
  <c r="T1160" i="6"/>
  <c r="L1160" i="6"/>
  <c r="K1160" i="6"/>
  <c r="U1159" i="6"/>
  <c r="T1159" i="6"/>
  <c r="L1159" i="6"/>
  <c r="K1159" i="6"/>
  <c r="U1158" i="6"/>
  <c r="T1158" i="6"/>
  <c r="L1158" i="6"/>
  <c r="K1158" i="6"/>
  <c r="U1157" i="6"/>
  <c r="T1157" i="6"/>
  <c r="L1157" i="6"/>
  <c r="K1157" i="6"/>
  <c r="U1156" i="6"/>
  <c r="T1156" i="6"/>
  <c r="L1156" i="6"/>
  <c r="K1156" i="6"/>
  <c r="U1155" i="6"/>
  <c r="T1155" i="6"/>
  <c r="L1155" i="6"/>
  <c r="K1155" i="6"/>
  <c r="U1154" i="6"/>
  <c r="T1154" i="6"/>
  <c r="L1154" i="6"/>
  <c r="K1154" i="6"/>
  <c r="U1153" i="6"/>
  <c r="T1153" i="6"/>
  <c r="L1153" i="6"/>
  <c r="K1153" i="6"/>
  <c r="U1152" i="6"/>
  <c r="T1152" i="6"/>
  <c r="L1152" i="6"/>
  <c r="K1152" i="6"/>
  <c r="U1151" i="6"/>
  <c r="T1151" i="6"/>
  <c r="L1151" i="6"/>
  <c r="K1151" i="6"/>
  <c r="U1150" i="6"/>
  <c r="T1150" i="6"/>
  <c r="L1150" i="6"/>
  <c r="K1150" i="6"/>
  <c r="U1149" i="6"/>
  <c r="T1149" i="6"/>
  <c r="L1149" i="6"/>
  <c r="K1149" i="6"/>
  <c r="U1148" i="6"/>
  <c r="T1148" i="6"/>
  <c r="L1148" i="6"/>
  <c r="K1148" i="6"/>
  <c r="U1147" i="6"/>
  <c r="T1147" i="6"/>
  <c r="L1147" i="6"/>
  <c r="K1147" i="6"/>
  <c r="U1146" i="6"/>
  <c r="T1146" i="6"/>
  <c r="L1146" i="6"/>
  <c r="K1146" i="6"/>
  <c r="U1145" i="6"/>
  <c r="T1145" i="6"/>
  <c r="L1145" i="6"/>
  <c r="K1145" i="6"/>
  <c r="U1144" i="6"/>
  <c r="T1144" i="6"/>
  <c r="L1144" i="6"/>
  <c r="K1144" i="6"/>
  <c r="U1143" i="6"/>
  <c r="T1143" i="6"/>
  <c r="L1143" i="6"/>
  <c r="K1143" i="6"/>
  <c r="U1142" i="6"/>
  <c r="T1142" i="6"/>
  <c r="L1142" i="6"/>
  <c r="K1142" i="6"/>
  <c r="U1141" i="6"/>
  <c r="T1141" i="6"/>
  <c r="L1141" i="6"/>
  <c r="K1141" i="6"/>
  <c r="U1140" i="6"/>
  <c r="T1140" i="6"/>
  <c r="L1140" i="6"/>
  <c r="K1140" i="6"/>
  <c r="U1139" i="6"/>
  <c r="T1139" i="6"/>
  <c r="L1139" i="6"/>
  <c r="K1139" i="6"/>
  <c r="U1138" i="6"/>
  <c r="T1138" i="6"/>
  <c r="L1138" i="6"/>
  <c r="K1138" i="6"/>
  <c r="U1137" i="6"/>
  <c r="T1137" i="6"/>
  <c r="L1137" i="6"/>
  <c r="K1137" i="6"/>
  <c r="U1136" i="6"/>
  <c r="T1136" i="6"/>
  <c r="L1136" i="6"/>
  <c r="K1136" i="6"/>
  <c r="U1135" i="6"/>
  <c r="T1135" i="6"/>
  <c r="L1135" i="6"/>
  <c r="K1135" i="6"/>
  <c r="U1134" i="6"/>
  <c r="T1134" i="6"/>
  <c r="L1134" i="6"/>
  <c r="K1134" i="6"/>
  <c r="U1133" i="6"/>
  <c r="T1133" i="6"/>
  <c r="L1133" i="6"/>
  <c r="K1133" i="6"/>
  <c r="U1132" i="6"/>
  <c r="T1132" i="6"/>
  <c r="L1132" i="6"/>
  <c r="K1132" i="6"/>
  <c r="U1131" i="6"/>
  <c r="T1131" i="6"/>
  <c r="L1131" i="6"/>
  <c r="K1131" i="6"/>
  <c r="U1130" i="6"/>
  <c r="T1130" i="6"/>
  <c r="L1130" i="6"/>
  <c r="K1130" i="6"/>
  <c r="U1129" i="6"/>
  <c r="T1129" i="6"/>
  <c r="L1129" i="6"/>
  <c r="K1129" i="6"/>
  <c r="U1128" i="6"/>
  <c r="T1128" i="6"/>
  <c r="L1128" i="6"/>
  <c r="K1128" i="6"/>
  <c r="U1127" i="6"/>
  <c r="T1127" i="6"/>
  <c r="L1127" i="6"/>
  <c r="K1127" i="6"/>
  <c r="U1126" i="6"/>
  <c r="T1126" i="6"/>
  <c r="L1126" i="6"/>
  <c r="K1126" i="6"/>
  <c r="U1125" i="6"/>
  <c r="T1125" i="6"/>
  <c r="L1125" i="6"/>
  <c r="K1125" i="6"/>
  <c r="U1124" i="6"/>
  <c r="T1124" i="6"/>
  <c r="L1124" i="6"/>
  <c r="K1124" i="6"/>
  <c r="U1123" i="6"/>
  <c r="T1123" i="6"/>
  <c r="L1123" i="6"/>
  <c r="K1123" i="6"/>
  <c r="U1122" i="6"/>
  <c r="T1122" i="6"/>
  <c r="L1122" i="6"/>
  <c r="K1122" i="6"/>
  <c r="U1121" i="6"/>
  <c r="T1121" i="6"/>
  <c r="L1121" i="6"/>
  <c r="K1121" i="6"/>
  <c r="U1120" i="6"/>
  <c r="T1120" i="6"/>
  <c r="L1120" i="6"/>
  <c r="K1120" i="6"/>
  <c r="U1119" i="6"/>
  <c r="T1119" i="6"/>
  <c r="L1119" i="6"/>
  <c r="K1119" i="6"/>
  <c r="U1118" i="6"/>
  <c r="T1118" i="6"/>
  <c r="L1118" i="6"/>
  <c r="K1118" i="6"/>
  <c r="U1117" i="6"/>
  <c r="T1117" i="6"/>
  <c r="L1117" i="6"/>
  <c r="K1117" i="6"/>
  <c r="U1116" i="6"/>
  <c r="T1116" i="6"/>
  <c r="L1116" i="6"/>
  <c r="K1116" i="6"/>
  <c r="U1115" i="6"/>
  <c r="T1115" i="6"/>
  <c r="L1115" i="6"/>
  <c r="K1115" i="6"/>
  <c r="U1114" i="6"/>
  <c r="T1114" i="6"/>
  <c r="L1114" i="6"/>
  <c r="K1114" i="6"/>
  <c r="U1113" i="6"/>
  <c r="T1113" i="6"/>
  <c r="L1113" i="6"/>
  <c r="K1113" i="6"/>
  <c r="U1112" i="6"/>
  <c r="T1112" i="6"/>
  <c r="L1112" i="6"/>
  <c r="K1112" i="6"/>
  <c r="U1111" i="6"/>
  <c r="T1111" i="6"/>
  <c r="L1111" i="6"/>
  <c r="K1111" i="6"/>
  <c r="U1110" i="6"/>
  <c r="T1110" i="6"/>
  <c r="L1110" i="6"/>
  <c r="K1110" i="6"/>
  <c r="U1109" i="6"/>
  <c r="T1109" i="6"/>
  <c r="L1109" i="6"/>
  <c r="K1109" i="6"/>
  <c r="U1108" i="6"/>
  <c r="T1108" i="6"/>
  <c r="L1108" i="6"/>
  <c r="K1108" i="6"/>
  <c r="U1107" i="6"/>
  <c r="T1107" i="6"/>
  <c r="L1107" i="6"/>
  <c r="K1107" i="6"/>
  <c r="U1106" i="6"/>
  <c r="T1106" i="6"/>
  <c r="L1106" i="6"/>
  <c r="K1106" i="6"/>
  <c r="U1105" i="6"/>
  <c r="T1105" i="6"/>
  <c r="L1105" i="6"/>
  <c r="K1105" i="6"/>
  <c r="U1104" i="6"/>
  <c r="T1104" i="6"/>
  <c r="L1104" i="6"/>
  <c r="K1104" i="6"/>
  <c r="U1103" i="6"/>
  <c r="T1103" i="6"/>
  <c r="L1103" i="6"/>
  <c r="K1103" i="6"/>
  <c r="U1102" i="6"/>
  <c r="T1102" i="6"/>
  <c r="L1102" i="6"/>
  <c r="K1102" i="6"/>
  <c r="U1101" i="6"/>
  <c r="T1101" i="6"/>
  <c r="L1101" i="6"/>
  <c r="K1101" i="6"/>
  <c r="U1100" i="6"/>
  <c r="T1100" i="6"/>
  <c r="L1100" i="6"/>
  <c r="K1100" i="6"/>
  <c r="U1099" i="6"/>
  <c r="T1099" i="6"/>
  <c r="L1099" i="6"/>
  <c r="K1099" i="6"/>
  <c r="U1098" i="6"/>
  <c r="T1098" i="6"/>
  <c r="L1098" i="6"/>
  <c r="K1098" i="6"/>
  <c r="U1097" i="6"/>
  <c r="T1097" i="6"/>
  <c r="L1097" i="6"/>
  <c r="K1097" i="6"/>
  <c r="U1096" i="6"/>
  <c r="T1096" i="6"/>
  <c r="L1096" i="6"/>
  <c r="K1096" i="6"/>
  <c r="U1095" i="6"/>
  <c r="T1095" i="6"/>
  <c r="L1095" i="6"/>
  <c r="K1095" i="6"/>
  <c r="U1094" i="6"/>
  <c r="T1094" i="6"/>
  <c r="L1094" i="6"/>
  <c r="K1094" i="6"/>
  <c r="U1093" i="6"/>
  <c r="T1093" i="6"/>
  <c r="L1093" i="6"/>
  <c r="K1093" i="6"/>
  <c r="U1092" i="6"/>
  <c r="T1092" i="6"/>
  <c r="L1092" i="6"/>
  <c r="K1092" i="6"/>
  <c r="U1091" i="6"/>
  <c r="T1091" i="6"/>
  <c r="L1091" i="6"/>
  <c r="K1091" i="6"/>
  <c r="U1090" i="6"/>
  <c r="T1090" i="6"/>
  <c r="L1090" i="6"/>
  <c r="K1090" i="6"/>
  <c r="U1089" i="6"/>
  <c r="T1089" i="6"/>
  <c r="L1089" i="6"/>
  <c r="K1089" i="6"/>
  <c r="U1088" i="6"/>
  <c r="T1088" i="6"/>
  <c r="L1088" i="6"/>
  <c r="K1088" i="6"/>
  <c r="U1087" i="6"/>
  <c r="T1087" i="6"/>
  <c r="L1087" i="6"/>
  <c r="K1087" i="6"/>
  <c r="U1086" i="6"/>
  <c r="T1086" i="6"/>
  <c r="L1086" i="6"/>
  <c r="K1086" i="6"/>
  <c r="U1085" i="6"/>
  <c r="T1085" i="6"/>
  <c r="L1085" i="6"/>
  <c r="K1085" i="6"/>
  <c r="U1084" i="6"/>
  <c r="T1084" i="6"/>
  <c r="L1084" i="6"/>
  <c r="K1084" i="6"/>
  <c r="U1083" i="6"/>
  <c r="T1083" i="6"/>
  <c r="L1083" i="6"/>
  <c r="K1083" i="6"/>
  <c r="U1082" i="6"/>
  <c r="T1082" i="6"/>
  <c r="L1082" i="6"/>
  <c r="K1082" i="6"/>
  <c r="U1081" i="6"/>
  <c r="T1081" i="6"/>
  <c r="L1081" i="6"/>
  <c r="K1081" i="6"/>
  <c r="U1080" i="6"/>
  <c r="T1080" i="6"/>
  <c r="L1080" i="6"/>
  <c r="K1080" i="6"/>
  <c r="U1079" i="6"/>
  <c r="T1079" i="6"/>
  <c r="L1079" i="6"/>
  <c r="K1079" i="6"/>
  <c r="U1078" i="6"/>
  <c r="T1078" i="6"/>
  <c r="L1078" i="6"/>
  <c r="K1078" i="6"/>
  <c r="U1077" i="6"/>
  <c r="T1077" i="6"/>
  <c r="L1077" i="6"/>
  <c r="K1077" i="6"/>
  <c r="U1076" i="6"/>
  <c r="T1076" i="6"/>
  <c r="L1076" i="6"/>
  <c r="K1076" i="6"/>
  <c r="U1075" i="6"/>
  <c r="T1075" i="6"/>
  <c r="L1075" i="6"/>
  <c r="K1075" i="6"/>
  <c r="U1074" i="6"/>
  <c r="T1074" i="6"/>
  <c r="L1074" i="6"/>
  <c r="K1074" i="6"/>
  <c r="U1073" i="6"/>
  <c r="T1073" i="6"/>
  <c r="L1073" i="6"/>
  <c r="K1073" i="6"/>
  <c r="U1072" i="6"/>
  <c r="T1072" i="6"/>
  <c r="L1072" i="6"/>
  <c r="K1072" i="6"/>
  <c r="U1071" i="6"/>
  <c r="T1071" i="6"/>
  <c r="L1071" i="6"/>
  <c r="K1071" i="6"/>
  <c r="U1070" i="6"/>
  <c r="T1070" i="6"/>
  <c r="L1070" i="6"/>
  <c r="K1070" i="6"/>
  <c r="U1069" i="6"/>
  <c r="T1069" i="6"/>
  <c r="L1069" i="6"/>
  <c r="K1069" i="6"/>
  <c r="U1068" i="6"/>
  <c r="T1068" i="6"/>
  <c r="L1068" i="6"/>
  <c r="K1068" i="6"/>
  <c r="U1067" i="6"/>
  <c r="T1067" i="6"/>
  <c r="L1067" i="6"/>
  <c r="K1067" i="6"/>
  <c r="U1066" i="6"/>
  <c r="T1066" i="6"/>
  <c r="L1066" i="6"/>
  <c r="K1066" i="6"/>
  <c r="U1065" i="6"/>
  <c r="T1065" i="6"/>
  <c r="L1065" i="6"/>
  <c r="K1065" i="6"/>
  <c r="U1064" i="6"/>
  <c r="T1064" i="6"/>
  <c r="L1064" i="6"/>
  <c r="K1064" i="6"/>
  <c r="U1063" i="6"/>
  <c r="T1063" i="6"/>
  <c r="L1063" i="6"/>
  <c r="K1063" i="6"/>
  <c r="U1062" i="6"/>
  <c r="T1062" i="6"/>
  <c r="L1062" i="6"/>
  <c r="K1062" i="6"/>
  <c r="U1061" i="6"/>
  <c r="T1061" i="6"/>
  <c r="L1061" i="6"/>
  <c r="K1061" i="6"/>
  <c r="U1060" i="6"/>
  <c r="T1060" i="6"/>
  <c r="L1060" i="6"/>
  <c r="K1060" i="6"/>
  <c r="U1059" i="6"/>
  <c r="T1059" i="6"/>
  <c r="L1059" i="6"/>
  <c r="K1059" i="6"/>
  <c r="U1058" i="6"/>
  <c r="T1058" i="6"/>
  <c r="L1058" i="6"/>
  <c r="K1058" i="6"/>
  <c r="U1057" i="6"/>
  <c r="T1057" i="6"/>
  <c r="L1057" i="6"/>
  <c r="K1057" i="6"/>
  <c r="U1056" i="6"/>
  <c r="T1056" i="6"/>
  <c r="L1056" i="6"/>
  <c r="K1056" i="6"/>
  <c r="U1055" i="6"/>
  <c r="T1055" i="6"/>
  <c r="L1055" i="6"/>
  <c r="K1055" i="6"/>
  <c r="U1054" i="6"/>
  <c r="T1054" i="6"/>
  <c r="L1054" i="6"/>
  <c r="K1054" i="6"/>
  <c r="U1053" i="6"/>
  <c r="T1053" i="6"/>
  <c r="L1053" i="6"/>
  <c r="K1053" i="6"/>
  <c r="U1052" i="6"/>
  <c r="T1052" i="6"/>
  <c r="L1052" i="6"/>
  <c r="K1052" i="6"/>
  <c r="U1051" i="6"/>
  <c r="T1051" i="6"/>
  <c r="L1051" i="6"/>
  <c r="K1051" i="6"/>
  <c r="U1050" i="6"/>
  <c r="T1050" i="6"/>
  <c r="L1050" i="6"/>
  <c r="K1050" i="6"/>
  <c r="U1049" i="6"/>
  <c r="T1049" i="6"/>
  <c r="L1049" i="6"/>
  <c r="K1049" i="6"/>
  <c r="U1048" i="6"/>
  <c r="T1048" i="6"/>
  <c r="L1048" i="6"/>
  <c r="K1048" i="6"/>
  <c r="U1047" i="6"/>
  <c r="T1047" i="6"/>
  <c r="L1047" i="6"/>
  <c r="K1047" i="6"/>
  <c r="U1046" i="6"/>
  <c r="T1046" i="6"/>
  <c r="L1046" i="6"/>
  <c r="K1046" i="6"/>
  <c r="U1045" i="6"/>
  <c r="T1045" i="6"/>
  <c r="L1045" i="6"/>
  <c r="K1045" i="6"/>
  <c r="U1044" i="6"/>
  <c r="T1044" i="6"/>
  <c r="L1044" i="6"/>
  <c r="K1044" i="6"/>
  <c r="U1043" i="6"/>
  <c r="T1043" i="6"/>
  <c r="L1043" i="6"/>
  <c r="K1043" i="6"/>
  <c r="U1042" i="6"/>
  <c r="T1042" i="6"/>
  <c r="L1042" i="6"/>
  <c r="K1042" i="6"/>
  <c r="U1041" i="6"/>
  <c r="T1041" i="6"/>
  <c r="L1041" i="6"/>
  <c r="K1041" i="6"/>
  <c r="U1040" i="6"/>
  <c r="T1040" i="6"/>
  <c r="L1040" i="6"/>
  <c r="K1040" i="6"/>
  <c r="U1039" i="6"/>
  <c r="T1039" i="6"/>
  <c r="L1039" i="6"/>
  <c r="K1039" i="6"/>
  <c r="U1038" i="6"/>
  <c r="T1038" i="6"/>
  <c r="L1038" i="6"/>
  <c r="K1038" i="6"/>
  <c r="U1037" i="6"/>
  <c r="T1037" i="6"/>
  <c r="L1037" i="6"/>
  <c r="K1037" i="6"/>
  <c r="U1036" i="6"/>
  <c r="T1036" i="6"/>
  <c r="L1036" i="6"/>
  <c r="K1036" i="6"/>
  <c r="U1035" i="6"/>
  <c r="T1035" i="6"/>
  <c r="L1035" i="6"/>
  <c r="K1035" i="6"/>
  <c r="U1034" i="6"/>
  <c r="T1034" i="6"/>
  <c r="L1034" i="6"/>
  <c r="K1034" i="6"/>
  <c r="U1033" i="6"/>
  <c r="T1033" i="6"/>
  <c r="L1033" i="6"/>
  <c r="K1033" i="6"/>
  <c r="U1032" i="6"/>
  <c r="T1032" i="6"/>
  <c r="L1032" i="6"/>
  <c r="K1032" i="6"/>
  <c r="U1031" i="6"/>
  <c r="T1031" i="6"/>
  <c r="L1031" i="6"/>
  <c r="K1031" i="6"/>
  <c r="U1030" i="6"/>
  <c r="T1030" i="6"/>
  <c r="L1030" i="6"/>
  <c r="K1030" i="6"/>
  <c r="U1029" i="6"/>
  <c r="T1029" i="6"/>
  <c r="L1029" i="6"/>
  <c r="K1029" i="6"/>
  <c r="U1028" i="6"/>
  <c r="T1028" i="6"/>
  <c r="L1028" i="6"/>
  <c r="K1028" i="6"/>
  <c r="U1027" i="6"/>
  <c r="T1027" i="6"/>
  <c r="L1027" i="6"/>
  <c r="K1027" i="6"/>
  <c r="U1026" i="6"/>
  <c r="T1026" i="6"/>
  <c r="L1026" i="6"/>
  <c r="K1026" i="6"/>
  <c r="U1025" i="6"/>
  <c r="T1025" i="6"/>
  <c r="L1025" i="6"/>
  <c r="K1025" i="6"/>
  <c r="U1024" i="6"/>
  <c r="T1024" i="6"/>
  <c r="L1024" i="6"/>
  <c r="K1024" i="6"/>
  <c r="U1023" i="6"/>
  <c r="T1023" i="6"/>
  <c r="L1023" i="6"/>
  <c r="K1023" i="6"/>
  <c r="U1022" i="6"/>
  <c r="T1022" i="6"/>
  <c r="L1022" i="6"/>
  <c r="K1022" i="6"/>
  <c r="U1021" i="6"/>
  <c r="T1021" i="6"/>
  <c r="L1021" i="6"/>
  <c r="K1021" i="6"/>
  <c r="U1020" i="6"/>
  <c r="T1020" i="6"/>
  <c r="L1020" i="6"/>
  <c r="K1020" i="6"/>
  <c r="U1019" i="6"/>
  <c r="T1019" i="6"/>
  <c r="L1019" i="6"/>
  <c r="K1019" i="6"/>
  <c r="U1018" i="6"/>
  <c r="T1018" i="6"/>
  <c r="L1018" i="6"/>
  <c r="K1018" i="6"/>
  <c r="U1017" i="6"/>
  <c r="T1017" i="6"/>
  <c r="L1017" i="6"/>
  <c r="K1017" i="6"/>
  <c r="U1016" i="6"/>
  <c r="T1016" i="6"/>
  <c r="L1016" i="6"/>
  <c r="K1016" i="6"/>
  <c r="U1015" i="6"/>
  <c r="T1015" i="6"/>
  <c r="L1015" i="6"/>
  <c r="K1015" i="6"/>
  <c r="U1014" i="6"/>
  <c r="T1014" i="6"/>
  <c r="L1014" i="6"/>
  <c r="K1014" i="6"/>
  <c r="U1013" i="6"/>
  <c r="T1013" i="6"/>
  <c r="L1013" i="6"/>
  <c r="K1013" i="6"/>
  <c r="U1012" i="6"/>
  <c r="T1012" i="6"/>
  <c r="L1012" i="6"/>
  <c r="K1012" i="6"/>
  <c r="U1011" i="6"/>
  <c r="T1011" i="6"/>
  <c r="L1011" i="6"/>
  <c r="K1011" i="6"/>
  <c r="U1010" i="6"/>
  <c r="T1010" i="6"/>
  <c r="L1010" i="6"/>
  <c r="K1010" i="6"/>
  <c r="U1009" i="6"/>
  <c r="T1009" i="6"/>
  <c r="L1009" i="6"/>
  <c r="K1009" i="6"/>
  <c r="U1008" i="6"/>
  <c r="T1008" i="6"/>
  <c r="L1008" i="6"/>
  <c r="K1008" i="6"/>
  <c r="U1007" i="6"/>
  <c r="T1007" i="6"/>
  <c r="L1007" i="6"/>
  <c r="K1007" i="6"/>
  <c r="U1006" i="6"/>
  <c r="T1006" i="6"/>
  <c r="L1006" i="6"/>
  <c r="K1006" i="6"/>
  <c r="U1005" i="6"/>
  <c r="T1005" i="6"/>
  <c r="L1005" i="6"/>
  <c r="K1005" i="6"/>
  <c r="U1004" i="6"/>
  <c r="T1004" i="6"/>
  <c r="L1004" i="6"/>
  <c r="K1004" i="6"/>
  <c r="U1003" i="6"/>
  <c r="T1003" i="6"/>
  <c r="L1003" i="6"/>
  <c r="K1003" i="6"/>
  <c r="U1002" i="6"/>
  <c r="T1002" i="6"/>
  <c r="L1002" i="6"/>
  <c r="K1002" i="6"/>
  <c r="U1001" i="6"/>
  <c r="T1001" i="6"/>
  <c r="L1001" i="6"/>
  <c r="K1001" i="6"/>
  <c r="U1000" i="6"/>
  <c r="T1000" i="6"/>
  <c r="L1000" i="6"/>
  <c r="K1000" i="6"/>
  <c r="U999" i="6"/>
  <c r="T999" i="6"/>
  <c r="L999" i="6"/>
  <c r="K999" i="6"/>
  <c r="U998" i="6"/>
  <c r="T998" i="6"/>
  <c r="L998" i="6"/>
  <c r="K998" i="6"/>
  <c r="U997" i="6"/>
  <c r="T997" i="6"/>
  <c r="L997" i="6"/>
  <c r="K997" i="6"/>
  <c r="U996" i="6"/>
  <c r="T996" i="6"/>
  <c r="L996" i="6"/>
  <c r="K996" i="6"/>
  <c r="U995" i="6"/>
  <c r="T995" i="6"/>
  <c r="L995" i="6"/>
  <c r="K995" i="6"/>
  <c r="U994" i="6"/>
  <c r="T994" i="6"/>
  <c r="L994" i="6"/>
  <c r="K994" i="6"/>
  <c r="U993" i="6"/>
  <c r="T993" i="6"/>
  <c r="L993" i="6"/>
  <c r="K993" i="6"/>
  <c r="U992" i="6"/>
  <c r="T992" i="6"/>
  <c r="L992" i="6"/>
  <c r="K992" i="6"/>
  <c r="U991" i="6"/>
  <c r="T991" i="6"/>
  <c r="L991" i="6"/>
  <c r="K991" i="6"/>
  <c r="U990" i="6"/>
  <c r="T990" i="6"/>
  <c r="L990" i="6"/>
  <c r="K990" i="6"/>
  <c r="U989" i="6"/>
  <c r="T989" i="6"/>
  <c r="L989" i="6"/>
  <c r="K989" i="6"/>
  <c r="U988" i="6"/>
  <c r="T988" i="6"/>
  <c r="L988" i="6"/>
  <c r="K988" i="6"/>
  <c r="U987" i="6"/>
  <c r="T987" i="6"/>
  <c r="L987" i="6"/>
  <c r="K987" i="6"/>
  <c r="U986" i="6"/>
  <c r="T986" i="6"/>
  <c r="L986" i="6"/>
  <c r="K986" i="6"/>
  <c r="U985" i="6"/>
  <c r="T985" i="6"/>
  <c r="L985" i="6"/>
  <c r="K985" i="6"/>
  <c r="U984" i="6"/>
  <c r="T984" i="6"/>
  <c r="L984" i="6"/>
  <c r="K984" i="6"/>
  <c r="U983" i="6"/>
  <c r="T983" i="6"/>
  <c r="L983" i="6"/>
  <c r="K983" i="6"/>
  <c r="U982" i="6"/>
  <c r="T982" i="6"/>
  <c r="L982" i="6"/>
  <c r="K982" i="6"/>
  <c r="U981" i="6"/>
  <c r="T981" i="6"/>
  <c r="L981" i="6"/>
  <c r="K981" i="6"/>
  <c r="U980" i="6"/>
  <c r="T980" i="6"/>
  <c r="L980" i="6"/>
  <c r="K980" i="6"/>
  <c r="U979" i="6"/>
  <c r="T979" i="6"/>
  <c r="L979" i="6"/>
  <c r="K979" i="6"/>
  <c r="U978" i="6"/>
  <c r="T978" i="6"/>
  <c r="L978" i="6"/>
  <c r="K978" i="6"/>
  <c r="U977" i="6"/>
  <c r="T977" i="6"/>
  <c r="L977" i="6"/>
  <c r="K977" i="6"/>
  <c r="U976" i="6"/>
  <c r="T976" i="6"/>
  <c r="L976" i="6"/>
  <c r="K976" i="6"/>
  <c r="U975" i="6"/>
  <c r="T975" i="6"/>
  <c r="L975" i="6"/>
  <c r="K975" i="6"/>
  <c r="U974" i="6"/>
  <c r="T974" i="6"/>
  <c r="L974" i="6"/>
  <c r="K974" i="6"/>
  <c r="U973" i="6"/>
  <c r="T973" i="6"/>
  <c r="L973" i="6"/>
  <c r="K973" i="6"/>
  <c r="U972" i="6"/>
  <c r="T972" i="6"/>
  <c r="L972" i="6"/>
  <c r="K972" i="6"/>
  <c r="U971" i="6"/>
  <c r="T971" i="6"/>
  <c r="L971" i="6"/>
  <c r="K971" i="6"/>
  <c r="U970" i="6"/>
  <c r="T970" i="6"/>
  <c r="L970" i="6"/>
  <c r="K970" i="6"/>
  <c r="U969" i="6"/>
  <c r="T969" i="6"/>
  <c r="L969" i="6"/>
  <c r="K969" i="6"/>
  <c r="U968" i="6"/>
  <c r="T968" i="6"/>
  <c r="L968" i="6"/>
  <c r="K968" i="6"/>
  <c r="U967" i="6"/>
  <c r="T967" i="6"/>
  <c r="L967" i="6"/>
  <c r="K967" i="6"/>
  <c r="U966" i="6"/>
  <c r="T966" i="6"/>
  <c r="L966" i="6"/>
  <c r="K966" i="6"/>
  <c r="U965" i="6"/>
  <c r="T965" i="6"/>
  <c r="L965" i="6"/>
  <c r="K965" i="6"/>
  <c r="U964" i="6"/>
  <c r="T964" i="6"/>
  <c r="L964" i="6"/>
  <c r="K964" i="6"/>
  <c r="U963" i="6"/>
  <c r="T963" i="6"/>
  <c r="L963" i="6"/>
  <c r="K963" i="6"/>
  <c r="U962" i="6"/>
  <c r="T962" i="6"/>
  <c r="L962" i="6"/>
  <c r="K962" i="6"/>
  <c r="U961" i="6"/>
  <c r="T961" i="6"/>
  <c r="L961" i="6"/>
  <c r="K961" i="6"/>
  <c r="U960" i="6"/>
  <c r="T960" i="6"/>
  <c r="L960" i="6"/>
  <c r="K960" i="6"/>
  <c r="U959" i="6"/>
  <c r="T959" i="6"/>
  <c r="L959" i="6"/>
  <c r="K959" i="6"/>
  <c r="U958" i="6"/>
  <c r="T958" i="6"/>
  <c r="L958" i="6"/>
  <c r="K958" i="6"/>
  <c r="U957" i="6"/>
  <c r="T957" i="6"/>
  <c r="L957" i="6"/>
  <c r="K957" i="6"/>
  <c r="U956" i="6"/>
  <c r="T956" i="6"/>
  <c r="L956" i="6"/>
  <c r="K956" i="6"/>
  <c r="U955" i="6"/>
  <c r="T955" i="6"/>
  <c r="L955" i="6"/>
  <c r="K955" i="6"/>
  <c r="U954" i="6"/>
  <c r="T954" i="6"/>
  <c r="L954" i="6"/>
  <c r="K954" i="6"/>
  <c r="U953" i="6"/>
  <c r="T953" i="6"/>
  <c r="L953" i="6"/>
  <c r="K953" i="6"/>
  <c r="U952" i="6"/>
  <c r="T952" i="6"/>
  <c r="L952" i="6"/>
  <c r="K952" i="6"/>
  <c r="U951" i="6"/>
  <c r="T951" i="6"/>
  <c r="L951" i="6"/>
  <c r="K951" i="6"/>
  <c r="U950" i="6"/>
  <c r="T950" i="6"/>
  <c r="L950" i="6"/>
  <c r="K950" i="6"/>
  <c r="U949" i="6"/>
  <c r="T949" i="6"/>
  <c r="L949" i="6"/>
  <c r="K949" i="6"/>
  <c r="U948" i="6"/>
  <c r="T948" i="6"/>
  <c r="L948" i="6"/>
  <c r="K948" i="6"/>
  <c r="U947" i="6"/>
  <c r="T947" i="6"/>
  <c r="L947" i="6"/>
  <c r="K947" i="6"/>
  <c r="U946" i="6"/>
  <c r="T946" i="6"/>
  <c r="L946" i="6"/>
  <c r="K946" i="6"/>
  <c r="U945" i="6"/>
  <c r="T945" i="6"/>
  <c r="L945" i="6"/>
  <c r="K945" i="6"/>
  <c r="U944" i="6"/>
  <c r="T944" i="6"/>
  <c r="L944" i="6"/>
  <c r="K944" i="6"/>
  <c r="U943" i="6"/>
  <c r="T943" i="6"/>
  <c r="L943" i="6"/>
  <c r="K943" i="6"/>
  <c r="U942" i="6"/>
  <c r="T942" i="6"/>
  <c r="L942" i="6"/>
  <c r="K942" i="6"/>
  <c r="U941" i="6"/>
  <c r="T941" i="6"/>
  <c r="L941" i="6"/>
  <c r="K941" i="6"/>
  <c r="U940" i="6"/>
  <c r="T940" i="6"/>
  <c r="L940" i="6"/>
  <c r="K940" i="6"/>
  <c r="U939" i="6"/>
  <c r="T939" i="6"/>
  <c r="L939" i="6"/>
  <c r="K939" i="6"/>
  <c r="U938" i="6"/>
  <c r="T938" i="6"/>
  <c r="L938" i="6"/>
  <c r="K938" i="6"/>
  <c r="U937" i="6"/>
  <c r="T937" i="6"/>
  <c r="L937" i="6"/>
  <c r="K937" i="6"/>
  <c r="U936" i="6"/>
  <c r="T936" i="6"/>
  <c r="L936" i="6"/>
  <c r="K936" i="6"/>
  <c r="U935" i="6"/>
  <c r="T935" i="6"/>
  <c r="L935" i="6"/>
  <c r="K935" i="6"/>
  <c r="U934" i="6"/>
  <c r="T934" i="6"/>
  <c r="L934" i="6"/>
  <c r="K934" i="6"/>
  <c r="U933" i="6"/>
  <c r="T933" i="6"/>
  <c r="L933" i="6"/>
  <c r="K933" i="6"/>
  <c r="U932" i="6"/>
  <c r="T932" i="6"/>
  <c r="L932" i="6"/>
  <c r="K932" i="6"/>
  <c r="U931" i="6"/>
  <c r="T931" i="6"/>
  <c r="L931" i="6"/>
  <c r="K931" i="6"/>
  <c r="U930" i="6"/>
  <c r="T930" i="6"/>
  <c r="L930" i="6"/>
  <c r="K930" i="6"/>
  <c r="U929" i="6"/>
  <c r="T929" i="6"/>
  <c r="L929" i="6"/>
  <c r="K929" i="6"/>
  <c r="U928" i="6"/>
  <c r="T928" i="6"/>
  <c r="L928" i="6"/>
  <c r="K928" i="6"/>
  <c r="U927" i="6"/>
  <c r="T927" i="6"/>
  <c r="L927" i="6"/>
  <c r="K927" i="6"/>
  <c r="U926" i="6"/>
  <c r="T926" i="6"/>
  <c r="L926" i="6"/>
  <c r="K926" i="6"/>
  <c r="U925" i="6"/>
  <c r="T925" i="6"/>
  <c r="L925" i="6"/>
  <c r="K925" i="6"/>
  <c r="U924" i="6"/>
  <c r="T924" i="6"/>
  <c r="L924" i="6"/>
  <c r="K924" i="6"/>
  <c r="U923" i="6"/>
  <c r="T923" i="6"/>
  <c r="L923" i="6"/>
  <c r="K923" i="6"/>
  <c r="U922" i="6"/>
  <c r="T922" i="6"/>
  <c r="L922" i="6"/>
  <c r="K922" i="6"/>
  <c r="U921" i="6"/>
  <c r="T921" i="6"/>
  <c r="L921" i="6"/>
  <c r="K921" i="6"/>
  <c r="U920" i="6"/>
  <c r="T920" i="6"/>
  <c r="L920" i="6"/>
  <c r="K920" i="6"/>
  <c r="U919" i="6"/>
  <c r="T919" i="6"/>
  <c r="L919" i="6"/>
  <c r="K919" i="6"/>
  <c r="U918" i="6"/>
  <c r="T918" i="6"/>
  <c r="L918" i="6"/>
  <c r="K918" i="6"/>
  <c r="U917" i="6"/>
  <c r="T917" i="6"/>
  <c r="L917" i="6"/>
  <c r="K917" i="6"/>
  <c r="U916" i="6"/>
  <c r="T916" i="6"/>
  <c r="L916" i="6"/>
  <c r="K916" i="6"/>
  <c r="U915" i="6"/>
  <c r="T915" i="6"/>
  <c r="L915" i="6"/>
  <c r="K915" i="6"/>
  <c r="U914" i="6"/>
  <c r="T914" i="6"/>
  <c r="L914" i="6"/>
  <c r="K914" i="6"/>
  <c r="U913" i="6"/>
  <c r="T913" i="6"/>
  <c r="L913" i="6"/>
  <c r="K913" i="6"/>
  <c r="U912" i="6"/>
  <c r="T912" i="6"/>
  <c r="L912" i="6"/>
  <c r="K912" i="6"/>
  <c r="U911" i="6"/>
  <c r="T911" i="6"/>
  <c r="L911" i="6"/>
  <c r="K911" i="6"/>
  <c r="U910" i="6"/>
  <c r="T910" i="6"/>
  <c r="L910" i="6"/>
  <c r="K910" i="6"/>
  <c r="U909" i="6"/>
  <c r="T909" i="6"/>
  <c r="L909" i="6"/>
  <c r="K909" i="6"/>
  <c r="U908" i="6"/>
  <c r="T908" i="6"/>
  <c r="L908" i="6"/>
  <c r="K908" i="6"/>
  <c r="U907" i="6"/>
  <c r="T907" i="6"/>
  <c r="L907" i="6"/>
  <c r="K907" i="6"/>
  <c r="U906" i="6"/>
  <c r="T906" i="6"/>
  <c r="L906" i="6"/>
  <c r="K906" i="6"/>
  <c r="U905" i="6"/>
  <c r="T905" i="6"/>
  <c r="L905" i="6"/>
  <c r="K905" i="6"/>
  <c r="U904" i="6"/>
  <c r="T904" i="6"/>
  <c r="L904" i="6"/>
  <c r="K904" i="6"/>
  <c r="U903" i="6"/>
  <c r="T903" i="6"/>
  <c r="L903" i="6"/>
  <c r="K903" i="6"/>
  <c r="U902" i="6"/>
  <c r="T902" i="6"/>
  <c r="L902" i="6"/>
  <c r="K902" i="6"/>
  <c r="U901" i="6"/>
  <c r="T901" i="6"/>
  <c r="L901" i="6"/>
  <c r="K901" i="6"/>
  <c r="U900" i="6"/>
  <c r="T900" i="6"/>
  <c r="L900" i="6"/>
  <c r="K900" i="6"/>
  <c r="U899" i="6"/>
  <c r="T899" i="6"/>
  <c r="L899" i="6"/>
  <c r="K899" i="6"/>
  <c r="U898" i="6"/>
  <c r="T898" i="6"/>
  <c r="L898" i="6"/>
  <c r="K898" i="6"/>
  <c r="U897" i="6"/>
  <c r="T897" i="6"/>
  <c r="L897" i="6"/>
  <c r="K897" i="6"/>
  <c r="U896" i="6"/>
  <c r="T896" i="6"/>
  <c r="L896" i="6"/>
  <c r="K896" i="6"/>
  <c r="U895" i="6"/>
  <c r="T895" i="6"/>
  <c r="L895" i="6"/>
  <c r="K895" i="6"/>
  <c r="U894" i="6"/>
  <c r="T894" i="6"/>
  <c r="L894" i="6"/>
  <c r="K894" i="6"/>
  <c r="U893" i="6"/>
  <c r="T893" i="6"/>
  <c r="L893" i="6"/>
  <c r="K893" i="6"/>
  <c r="U892" i="6"/>
  <c r="T892" i="6"/>
  <c r="L892" i="6"/>
  <c r="K892" i="6"/>
  <c r="U891" i="6"/>
  <c r="T891" i="6"/>
  <c r="L891" i="6"/>
  <c r="K891" i="6"/>
  <c r="U890" i="6"/>
  <c r="T890" i="6"/>
  <c r="L890" i="6"/>
  <c r="K890" i="6"/>
  <c r="U889" i="6"/>
  <c r="T889" i="6"/>
  <c r="L889" i="6"/>
  <c r="K889" i="6"/>
  <c r="U888" i="6"/>
  <c r="T888" i="6"/>
  <c r="L888" i="6"/>
  <c r="K888" i="6"/>
  <c r="U887" i="6"/>
  <c r="T887" i="6"/>
  <c r="L887" i="6"/>
  <c r="K887" i="6"/>
  <c r="U886" i="6"/>
  <c r="T886" i="6"/>
  <c r="L886" i="6"/>
  <c r="K886" i="6"/>
  <c r="U885" i="6"/>
  <c r="T885" i="6"/>
  <c r="L885" i="6"/>
  <c r="K885" i="6"/>
  <c r="U884" i="6"/>
  <c r="T884" i="6"/>
  <c r="L884" i="6"/>
  <c r="K884" i="6"/>
  <c r="U883" i="6"/>
  <c r="T883" i="6"/>
  <c r="L883" i="6"/>
  <c r="K883" i="6"/>
  <c r="U882" i="6"/>
  <c r="T882" i="6"/>
  <c r="L882" i="6"/>
  <c r="K882" i="6"/>
  <c r="U881" i="6"/>
  <c r="T881" i="6"/>
  <c r="L881" i="6"/>
  <c r="K881" i="6"/>
  <c r="U880" i="6"/>
  <c r="T880" i="6"/>
  <c r="L880" i="6"/>
  <c r="K880" i="6"/>
  <c r="U879" i="6"/>
  <c r="T879" i="6"/>
  <c r="L879" i="6"/>
  <c r="K879" i="6"/>
  <c r="U878" i="6"/>
  <c r="T878" i="6"/>
  <c r="L878" i="6"/>
  <c r="K878" i="6"/>
  <c r="U877" i="6"/>
  <c r="T877" i="6"/>
  <c r="L877" i="6"/>
  <c r="K877" i="6"/>
  <c r="U876" i="6"/>
  <c r="T876" i="6"/>
  <c r="L876" i="6"/>
  <c r="K876" i="6"/>
  <c r="U875" i="6"/>
  <c r="T875" i="6"/>
  <c r="L875" i="6"/>
  <c r="K875" i="6"/>
  <c r="U874" i="6"/>
  <c r="T874" i="6"/>
  <c r="L874" i="6"/>
  <c r="K874" i="6"/>
  <c r="U873" i="6"/>
  <c r="T873" i="6"/>
  <c r="L873" i="6"/>
  <c r="K873" i="6"/>
  <c r="U872" i="6"/>
  <c r="T872" i="6"/>
  <c r="L872" i="6"/>
  <c r="K872" i="6"/>
  <c r="U871" i="6"/>
  <c r="T871" i="6"/>
  <c r="L871" i="6"/>
  <c r="K871" i="6"/>
  <c r="U870" i="6"/>
  <c r="T870" i="6"/>
  <c r="L870" i="6"/>
  <c r="K870" i="6"/>
  <c r="U869" i="6"/>
  <c r="T869" i="6"/>
  <c r="L869" i="6"/>
  <c r="K869" i="6"/>
  <c r="U868" i="6"/>
  <c r="T868" i="6"/>
  <c r="L868" i="6"/>
  <c r="K868" i="6"/>
  <c r="U867" i="6"/>
  <c r="T867" i="6"/>
  <c r="L867" i="6"/>
  <c r="K867" i="6"/>
  <c r="U866" i="6"/>
  <c r="T866" i="6"/>
  <c r="L866" i="6"/>
  <c r="K866" i="6"/>
  <c r="U865" i="6"/>
  <c r="T865" i="6"/>
  <c r="L865" i="6"/>
  <c r="K865" i="6"/>
  <c r="U864" i="6"/>
  <c r="T864" i="6"/>
  <c r="L864" i="6"/>
  <c r="K864" i="6"/>
  <c r="U863" i="6"/>
  <c r="T863" i="6"/>
  <c r="L863" i="6"/>
  <c r="K863" i="6"/>
  <c r="U862" i="6"/>
  <c r="T862" i="6"/>
  <c r="L862" i="6"/>
  <c r="K862" i="6"/>
  <c r="U861" i="6"/>
  <c r="T861" i="6"/>
  <c r="L861" i="6"/>
  <c r="K861" i="6"/>
  <c r="U860" i="6"/>
  <c r="T860" i="6"/>
  <c r="L860" i="6"/>
  <c r="K860" i="6"/>
  <c r="U859" i="6"/>
  <c r="T859" i="6"/>
  <c r="L859" i="6"/>
  <c r="K859" i="6"/>
  <c r="U858" i="6"/>
  <c r="T858" i="6"/>
  <c r="L858" i="6"/>
  <c r="K858" i="6"/>
  <c r="U857" i="6"/>
  <c r="T857" i="6"/>
  <c r="L857" i="6"/>
  <c r="K857" i="6"/>
  <c r="U855" i="6"/>
  <c r="T855" i="6"/>
  <c r="L855" i="6"/>
  <c r="K855" i="6"/>
  <c r="U854" i="6"/>
  <c r="T854" i="6"/>
  <c r="L854" i="6"/>
  <c r="K854" i="6"/>
  <c r="U853" i="6"/>
  <c r="T853" i="6"/>
  <c r="L853" i="6"/>
  <c r="K853" i="6"/>
  <c r="U851" i="6"/>
  <c r="T851" i="6"/>
  <c r="L851" i="6"/>
  <c r="K851" i="6"/>
  <c r="U850" i="6"/>
  <c r="T850" i="6"/>
  <c r="L850" i="6"/>
  <c r="K850" i="6"/>
  <c r="U849" i="6"/>
  <c r="T849" i="6"/>
  <c r="L849" i="6"/>
  <c r="K849" i="6"/>
  <c r="U848" i="6"/>
  <c r="T848" i="6"/>
  <c r="L848" i="6"/>
  <c r="K848" i="6"/>
  <c r="U847" i="6"/>
  <c r="T847" i="6"/>
  <c r="L847" i="6"/>
  <c r="K847" i="6"/>
  <c r="U846" i="6"/>
  <c r="T846" i="6"/>
  <c r="L846" i="6"/>
  <c r="K846" i="6"/>
  <c r="U845" i="6"/>
  <c r="T845" i="6"/>
  <c r="L845" i="6"/>
  <c r="K845" i="6"/>
  <c r="U844" i="6"/>
  <c r="T844" i="6"/>
  <c r="L844" i="6"/>
  <c r="K844" i="6"/>
  <c r="U843" i="6"/>
  <c r="T843" i="6"/>
  <c r="L843" i="6"/>
  <c r="K843" i="6"/>
  <c r="U842" i="6"/>
  <c r="T842" i="6"/>
  <c r="L842" i="6"/>
  <c r="K842" i="6"/>
  <c r="U841" i="6"/>
  <c r="T841" i="6"/>
  <c r="L841" i="6"/>
  <c r="K841" i="6"/>
  <c r="U840" i="6"/>
  <c r="T840" i="6"/>
  <c r="L840" i="6"/>
  <c r="K840" i="6"/>
  <c r="U839" i="6"/>
  <c r="T839" i="6"/>
  <c r="L839" i="6"/>
  <c r="K839" i="6"/>
  <c r="U838" i="6"/>
  <c r="T838" i="6"/>
  <c r="L838" i="6"/>
  <c r="K838" i="6"/>
  <c r="U837" i="6"/>
  <c r="T837" i="6"/>
  <c r="L837" i="6"/>
  <c r="K837" i="6"/>
  <c r="U836" i="6"/>
  <c r="T836" i="6"/>
  <c r="L836" i="6"/>
  <c r="K836" i="6"/>
  <c r="U835" i="6"/>
  <c r="T835" i="6"/>
  <c r="L835" i="6"/>
  <c r="K835" i="6"/>
  <c r="U834" i="6"/>
  <c r="T834" i="6"/>
  <c r="L834" i="6"/>
  <c r="K834" i="6"/>
  <c r="U833" i="6"/>
  <c r="T833" i="6"/>
  <c r="L833" i="6"/>
  <c r="K833" i="6"/>
  <c r="U832" i="6"/>
  <c r="T832" i="6"/>
  <c r="L832" i="6"/>
  <c r="K832" i="6"/>
  <c r="U831" i="6"/>
  <c r="T831" i="6"/>
  <c r="L831" i="6"/>
  <c r="K831" i="6"/>
  <c r="U830" i="6"/>
  <c r="T830" i="6"/>
  <c r="L830" i="6"/>
  <c r="K830" i="6"/>
  <c r="U829" i="6"/>
  <c r="T829" i="6"/>
  <c r="L829" i="6"/>
  <c r="K829" i="6"/>
  <c r="U828" i="6"/>
  <c r="T828" i="6"/>
  <c r="L828" i="6"/>
  <c r="K828" i="6"/>
  <c r="U827" i="6"/>
  <c r="T827" i="6"/>
  <c r="L827" i="6"/>
  <c r="K827" i="6"/>
  <c r="U826" i="6"/>
  <c r="T826" i="6"/>
  <c r="L826" i="6"/>
  <c r="K826" i="6"/>
  <c r="U825" i="6"/>
  <c r="T825" i="6"/>
  <c r="L825" i="6"/>
  <c r="K825" i="6"/>
  <c r="U824" i="6"/>
  <c r="T824" i="6"/>
  <c r="L824" i="6"/>
  <c r="K824" i="6"/>
  <c r="U823" i="6"/>
  <c r="T823" i="6"/>
  <c r="L823" i="6"/>
  <c r="K823" i="6"/>
  <c r="U822" i="6"/>
  <c r="T822" i="6"/>
  <c r="L822" i="6"/>
  <c r="K822" i="6"/>
  <c r="U821" i="6"/>
  <c r="T821" i="6"/>
  <c r="L821" i="6"/>
  <c r="K821" i="6"/>
  <c r="U820" i="6"/>
  <c r="T820" i="6"/>
  <c r="L820" i="6"/>
  <c r="K820" i="6"/>
  <c r="U819" i="6"/>
  <c r="T819" i="6"/>
  <c r="L819" i="6"/>
  <c r="K819" i="6"/>
  <c r="U818" i="6"/>
  <c r="T818" i="6"/>
  <c r="L818" i="6"/>
  <c r="K818" i="6"/>
  <c r="U817" i="6"/>
  <c r="T817" i="6"/>
  <c r="L817" i="6"/>
  <c r="K817" i="6"/>
  <c r="U816" i="6"/>
  <c r="T816" i="6"/>
  <c r="L816" i="6"/>
  <c r="K816" i="6"/>
  <c r="U815" i="6"/>
  <c r="T815" i="6"/>
  <c r="L815" i="6"/>
  <c r="K815" i="6"/>
  <c r="U814" i="6"/>
  <c r="T814" i="6"/>
  <c r="L814" i="6"/>
  <c r="K814" i="6"/>
  <c r="U813" i="6"/>
  <c r="T813" i="6"/>
  <c r="L813" i="6"/>
  <c r="K813" i="6"/>
  <c r="U812" i="6"/>
  <c r="T812" i="6"/>
  <c r="L812" i="6"/>
  <c r="K812" i="6"/>
  <c r="U811" i="6"/>
  <c r="T811" i="6"/>
  <c r="L811" i="6"/>
  <c r="K811" i="6"/>
  <c r="U810" i="6"/>
  <c r="T810" i="6"/>
  <c r="L810" i="6"/>
  <c r="K810" i="6"/>
  <c r="U809" i="6"/>
  <c r="T809" i="6"/>
  <c r="L809" i="6"/>
  <c r="K809" i="6"/>
  <c r="U808" i="6"/>
  <c r="T808" i="6"/>
  <c r="L808" i="6"/>
  <c r="K808" i="6"/>
  <c r="U807" i="6"/>
  <c r="T807" i="6"/>
  <c r="L807" i="6"/>
  <c r="K807" i="6"/>
  <c r="U806" i="6"/>
  <c r="T806" i="6"/>
  <c r="L806" i="6"/>
  <c r="K806" i="6"/>
  <c r="U805" i="6"/>
  <c r="T805" i="6"/>
  <c r="L805" i="6"/>
  <c r="K805" i="6"/>
  <c r="U804" i="6"/>
  <c r="T804" i="6"/>
  <c r="L804" i="6"/>
  <c r="K804" i="6"/>
  <c r="U803" i="6"/>
  <c r="T803" i="6"/>
  <c r="L803" i="6"/>
  <c r="K803" i="6"/>
  <c r="U802" i="6"/>
  <c r="T802" i="6"/>
  <c r="L802" i="6"/>
  <c r="K802" i="6"/>
  <c r="U801" i="6"/>
  <c r="T801" i="6"/>
  <c r="L801" i="6"/>
  <c r="K801" i="6"/>
  <c r="U800" i="6"/>
  <c r="T800" i="6"/>
  <c r="L800" i="6"/>
  <c r="K800" i="6"/>
  <c r="U799" i="6"/>
  <c r="T799" i="6"/>
  <c r="L799" i="6"/>
  <c r="K799" i="6"/>
  <c r="U798" i="6"/>
  <c r="T798" i="6"/>
  <c r="L798" i="6"/>
  <c r="K798" i="6"/>
  <c r="U797" i="6"/>
  <c r="T797" i="6"/>
  <c r="L797" i="6"/>
  <c r="K797" i="6"/>
  <c r="U796" i="6"/>
  <c r="T796" i="6"/>
  <c r="L796" i="6"/>
  <c r="K796" i="6"/>
  <c r="U795" i="6"/>
  <c r="T795" i="6"/>
  <c r="L795" i="6"/>
  <c r="K795" i="6"/>
  <c r="U794" i="6"/>
  <c r="T794" i="6"/>
  <c r="L794" i="6"/>
  <c r="K794" i="6"/>
  <c r="U793" i="6"/>
  <c r="T793" i="6"/>
  <c r="L793" i="6"/>
  <c r="K793" i="6"/>
  <c r="U792" i="6"/>
  <c r="T792" i="6"/>
  <c r="L792" i="6"/>
  <c r="K792" i="6"/>
  <c r="U791" i="6"/>
  <c r="T791" i="6"/>
  <c r="L791" i="6"/>
  <c r="K791" i="6"/>
  <c r="U790" i="6"/>
  <c r="T790" i="6"/>
  <c r="L790" i="6"/>
  <c r="K790" i="6"/>
  <c r="U789" i="6"/>
  <c r="T789" i="6"/>
  <c r="L789" i="6"/>
  <c r="K789" i="6"/>
  <c r="U788" i="6"/>
  <c r="T788" i="6"/>
  <c r="L788" i="6"/>
  <c r="K788" i="6"/>
  <c r="U787" i="6"/>
  <c r="T787" i="6"/>
  <c r="L787" i="6"/>
  <c r="K787" i="6"/>
  <c r="U786" i="6"/>
  <c r="T786" i="6"/>
  <c r="L786" i="6"/>
  <c r="K786" i="6"/>
  <c r="U785" i="6"/>
  <c r="T785" i="6"/>
  <c r="L785" i="6"/>
  <c r="K785" i="6"/>
  <c r="U784" i="6"/>
  <c r="T784" i="6"/>
  <c r="L784" i="6"/>
  <c r="K784" i="6"/>
  <c r="U783" i="6"/>
  <c r="T783" i="6"/>
  <c r="L783" i="6"/>
  <c r="K783" i="6"/>
  <c r="U782" i="6"/>
  <c r="T782" i="6"/>
  <c r="L782" i="6"/>
  <c r="K782" i="6"/>
  <c r="U781" i="6"/>
  <c r="T781" i="6"/>
  <c r="L781" i="6"/>
  <c r="K781" i="6"/>
  <c r="U780" i="6"/>
  <c r="T780" i="6"/>
  <c r="L780" i="6"/>
  <c r="K780" i="6"/>
  <c r="U779" i="6"/>
  <c r="T779" i="6"/>
  <c r="L779" i="6"/>
  <c r="K779" i="6"/>
  <c r="U778" i="6"/>
  <c r="T778" i="6"/>
  <c r="L778" i="6"/>
  <c r="K778" i="6"/>
  <c r="U777" i="6"/>
  <c r="T777" i="6"/>
  <c r="L777" i="6"/>
  <c r="K777" i="6"/>
  <c r="U776" i="6"/>
  <c r="T776" i="6"/>
  <c r="L776" i="6"/>
  <c r="K776" i="6"/>
  <c r="U775" i="6"/>
  <c r="T775" i="6"/>
  <c r="L775" i="6"/>
  <c r="K775" i="6"/>
  <c r="U774" i="6"/>
  <c r="T774" i="6"/>
  <c r="L774" i="6"/>
  <c r="K774" i="6"/>
  <c r="U773" i="6"/>
  <c r="T773" i="6"/>
  <c r="L773" i="6"/>
  <c r="K773" i="6"/>
  <c r="U772" i="6"/>
  <c r="T772" i="6"/>
  <c r="L772" i="6"/>
  <c r="K772" i="6"/>
  <c r="U771" i="6"/>
  <c r="T771" i="6"/>
  <c r="L771" i="6"/>
  <c r="K771" i="6"/>
  <c r="U770" i="6"/>
  <c r="T770" i="6"/>
  <c r="L770" i="6"/>
  <c r="K770" i="6"/>
  <c r="U769" i="6"/>
  <c r="T769" i="6"/>
  <c r="L769" i="6"/>
  <c r="K769" i="6"/>
  <c r="U768" i="6"/>
  <c r="T768" i="6"/>
  <c r="L768" i="6"/>
  <c r="K768" i="6"/>
  <c r="U767" i="6"/>
  <c r="T767" i="6"/>
  <c r="L767" i="6"/>
  <c r="K767" i="6"/>
  <c r="U766" i="6"/>
  <c r="T766" i="6"/>
  <c r="L766" i="6"/>
  <c r="K766" i="6"/>
  <c r="U765" i="6"/>
  <c r="T765" i="6"/>
  <c r="L765" i="6"/>
  <c r="K765" i="6"/>
  <c r="U764" i="6"/>
  <c r="T764" i="6"/>
  <c r="L764" i="6"/>
  <c r="K764" i="6"/>
  <c r="U763" i="6"/>
  <c r="T763" i="6"/>
  <c r="L763" i="6"/>
  <c r="K763" i="6"/>
  <c r="U762" i="6"/>
  <c r="T762" i="6"/>
  <c r="L762" i="6"/>
  <c r="K762" i="6"/>
  <c r="U761" i="6"/>
  <c r="T761" i="6"/>
  <c r="L761" i="6"/>
  <c r="K761" i="6"/>
  <c r="U760" i="6"/>
  <c r="T760" i="6"/>
  <c r="L760" i="6"/>
  <c r="K760" i="6"/>
  <c r="U759" i="6"/>
  <c r="T759" i="6"/>
  <c r="L759" i="6"/>
  <c r="K759" i="6"/>
  <c r="U758" i="6"/>
  <c r="T758" i="6"/>
  <c r="L758" i="6"/>
  <c r="K758" i="6"/>
  <c r="U757" i="6"/>
  <c r="T757" i="6"/>
  <c r="L757" i="6"/>
  <c r="K757" i="6"/>
  <c r="U756" i="6"/>
  <c r="T756" i="6"/>
  <c r="L756" i="6"/>
  <c r="K756" i="6"/>
  <c r="U755" i="6"/>
  <c r="T755" i="6"/>
  <c r="L755" i="6"/>
  <c r="K755" i="6"/>
  <c r="U754" i="6"/>
  <c r="T754" i="6"/>
  <c r="L754" i="6"/>
  <c r="K754" i="6"/>
  <c r="U753" i="6"/>
  <c r="T753" i="6"/>
  <c r="L753" i="6"/>
  <c r="K753" i="6"/>
  <c r="U752" i="6"/>
  <c r="T752" i="6"/>
  <c r="L752" i="6"/>
  <c r="K752" i="6"/>
  <c r="U751" i="6"/>
  <c r="T751" i="6"/>
  <c r="L751" i="6"/>
  <c r="K751" i="6"/>
  <c r="U750" i="6"/>
  <c r="T750" i="6"/>
  <c r="L750" i="6"/>
  <c r="K750" i="6"/>
  <c r="U749" i="6"/>
  <c r="T749" i="6"/>
  <c r="L749" i="6"/>
  <c r="K749" i="6"/>
  <c r="U747" i="6"/>
  <c r="T747" i="6"/>
  <c r="L747" i="6"/>
  <c r="K747" i="6"/>
  <c r="U745" i="6"/>
  <c r="T745" i="6"/>
  <c r="L745" i="6"/>
  <c r="K745" i="6"/>
  <c r="U744" i="6"/>
  <c r="T744" i="6"/>
  <c r="L744" i="6"/>
  <c r="K744" i="6"/>
  <c r="U743" i="6"/>
  <c r="T743" i="6"/>
  <c r="L743" i="6"/>
  <c r="K743" i="6"/>
  <c r="U742" i="6"/>
  <c r="T742" i="6"/>
  <c r="L742" i="6"/>
  <c r="K742" i="6"/>
  <c r="U741" i="6"/>
  <c r="T741" i="6"/>
  <c r="L741" i="6"/>
  <c r="K741" i="6"/>
  <c r="U740" i="6"/>
  <c r="T740" i="6"/>
  <c r="L740" i="6"/>
  <c r="K740" i="6"/>
  <c r="U739" i="6"/>
  <c r="T739" i="6"/>
  <c r="L739" i="6"/>
  <c r="K739" i="6"/>
  <c r="U738" i="6"/>
  <c r="T738" i="6"/>
  <c r="L738" i="6"/>
  <c r="K738" i="6"/>
  <c r="U737" i="6"/>
  <c r="T737" i="6"/>
  <c r="L737" i="6"/>
  <c r="K737" i="6"/>
  <c r="U736" i="6"/>
  <c r="T736" i="6"/>
  <c r="L736" i="6"/>
  <c r="K736" i="6"/>
  <c r="U735" i="6"/>
  <c r="T735" i="6"/>
  <c r="L735" i="6"/>
  <c r="K735" i="6"/>
  <c r="U734" i="6"/>
  <c r="T734" i="6"/>
  <c r="L734" i="6"/>
  <c r="K734" i="6"/>
  <c r="U733" i="6"/>
  <c r="T733" i="6"/>
  <c r="L733" i="6"/>
  <c r="K733" i="6"/>
  <c r="U732" i="6"/>
  <c r="T732" i="6"/>
  <c r="L732" i="6"/>
  <c r="K732" i="6"/>
  <c r="U731" i="6"/>
  <c r="T731" i="6"/>
  <c r="L731" i="6"/>
  <c r="K731" i="6"/>
  <c r="U730" i="6"/>
  <c r="T730" i="6"/>
  <c r="L730" i="6"/>
  <c r="K730" i="6"/>
  <c r="U729" i="6"/>
  <c r="T729" i="6"/>
  <c r="L729" i="6"/>
  <c r="K729" i="6"/>
  <c r="U728" i="6"/>
  <c r="T728" i="6"/>
  <c r="L728" i="6"/>
  <c r="K728" i="6"/>
  <c r="U727" i="6"/>
  <c r="T727" i="6"/>
  <c r="L727" i="6"/>
  <c r="K727" i="6"/>
  <c r="U726" i="6"/>
  <c r="T726" i="6"/>
  <c r="L726" i="6"/>
  <c r="K726" i="6"/>
  <c r="U725" i="6"/>
  <c r="T725" i="6"/>
  <c r="L725" i="6"/>
  <c r="K725" i="6"/>
  <c r="U724" i="6"/>
  <c r="T724" i="6"/>
  <c r="L724" i="6"/>
  <c r="K724" i="6"/>
  <c r="U723" i="6"/>
  <c r="T723" i="6"/>
  <c r="L723" i="6"/>
  <c r="K723" i="6"/>
  <c r="U722" i="6"/>
  <c r="T722" i="6"/>
  <c r="L722" i="6"/>
  <c r="K722" i="6"/>
  <c r="U721" i="6"/>
  <c r="T721" i="6"/>
  <c r="L721" i="6"/>
  <c r="K721" i="6"/>
  <c r="U720" i="6"/>
  <c r="T720" i="6"/>
  <c r="L720" i="6"/>
  <c r="K720" i="6"/>
  <c r="U719" i="6"/>
  <c r="T719" i="6"/>
  <c r="L719" i="6"/>
  <c r="K719" i="6"/>
  <c r="U718" i="6"/>
  <c r="T718" i="6"/>
  <c r="L718" i="6"/>
  <c r="K718" i="6"/>
  <c r="U717" i="6"/>
  <c r="T717" i="6"/>
  <c r="L717" i="6"/>
  <c r="K717" i="6"/>
  <c r="U716" i="6"/>
  <c r="T716" i="6"/>
  <c r="L716" i="6"/>
  <c r="K716" i="6"/>
  <c r="U715" i="6"/>
  <c r="T715" i="6"/>
  <c r="L715" i="6"/>
  <c r="K715" i="6"/>
  <c r="U714" i="6"/>
  <c r="T714" i="6"/>
  <c r="L714" i="6"/>
  <c r="K714" i="6"/>
  <c r="U713" i="6"/>
  <c r="T713" i="6"/>
  <c r="L713" i="6"/>
  <c r="K713" i="6"/>
  <c r="U712" i="6"/>
  <c r="T712" i="6"/>
  <c r="L712" i="6"/>
  <c r="K712" i="6"/>
  <c r="U711" i="6"/>
  <c r="T711" i="6"/>
  <c r="L711" i="6"/>
  <c r="K711" i="6"/>
  <c r="U710" i="6"/>
  <c r="T710" i="6"/>
  <c r="L710" i="6"/>
  <c r="K710" i="6"/>
  <c r="U709" i="6"/>
  <c r="T709" i="6"/>
  <c r="L709" i="6"/>
  <c r="K709" i="6"/>
  <c r="U708" i="6"/>
  <c r="T708" i="6"/>
  <c r="L708" i="6"/>
  <c r="K708" i="6"/>
  <c r="U707" i="6"/>
  <c r="T707" i="6"/>
  <c r="L707" i="6"/>
  <c r="K707" i="6"/>
  <c r="U706" i="6"/>
  <c r="T706" i="6"/>
  <c r="L706" i="6"/>
  <c r="K706" i="6"/>
  <c r="U705" i="6"/>
  <c r="T705" i="6"/>
  <c r="L705" i="6"/>
  <c r="K705" i="6"/>
  <c r="U704" i="6"/>
  <c r="T704" i="6"/>
  <c r="L704" i="6"/>
  <c r="K704" i="6"/>
  <c r="U703" i="6"/>
  <c r="T703" i="6"/>
  <c r="L703" i="6"/>
  <c r="K703" i="6"/>
  <c r="U702" i="6"/>
  <c r="T702" i="6"/>
  <c r="L702" i="6"/>
  <c r="K702" i="6"/>
  <c r="U701" i="6"/>
  <c r="T701" i="6"/>
  <c r="L701" i="6"/>
  <c r="K701" i="6"/>
  <c r="U700" i="6"/>
  <c r="T700" i="6"/>
  <c r="L700" i="6"/>
  <c r="K700" i="6"/>
  <c r="U699" i="6"/>
  <c r="T699" i="6"/>
  <c r="L699" i="6"/>
  <c r="K699" i="6"/>
  <c r="U697" i="6"/>
  <c r="T697" i="6"/>
  <c r="L697" i="6"/>
  <c r="K697" i="6"/>
  <c r="U696" i="6"/>
  <c r="T696" i="6"/>
  <c r="L696" i="6"/>
  <c r="K696" i="6"/>
  <c r="U695" i="6"/>
  <c r="T695" i="6"/>
  <c r="L695" i="6"/>
  <c r="K695" i="6"/>
  <c r="U694" i="6"/>
  <c r="T694" i="6"/>
  <c r="L694" i="6"/>
  <c r="K694" i="6"/>
  <c r="U693" i="6"/>
  <c r="T693" i="6"/>
  <c r="L693" i="6"/>
  <c r="K693" i="6"/>
  <c r="U692" i="6"/>
  <c r="T692" i="6"/>
  <c r="L692" i="6"/>
  <c r="K692" i="6"/>
  <c r="U691" i="6"/>
  <c r="T691" i="6"/>
  <c r="L691" i="6"/>
  <c r="K691" i="6"/>
  <c r="U690" i="6"/>
  <c r="T690" i="6"/>
  <c r="L690" i="6"/>
  <c r="K690" i="6"/>
  <c r="U689" i="6"/>
  <c r="T689" i="6"/>
  <c r="L689" i="6"/>
  <c r="K689" i="6"/>
  <c r="U688" i="6"/>
  <c r="T688" i="6"/>
  <c r="L688" i="6"/>
  <c r="K688" i="6"/>
  <c r="U687" i="6"/>
  <c r="T687" i="6"/>
  <c r="L687" i="6"/>
  <c r="K687" i="6"/>
  <c r="U686" i="6"/>
  <c r="T686" i="6"/>
  <c r="L686" i="6"/>
  <c r="K686" i="6"/>
  <c r="U685" i="6"/>
  <c r="T685" i="6"/>
  <c r="L685" i="6"/>
  <c r="K685" i="6"/>
  <c r="U684" i="6"/>
  <c r="T684" i="6"/>
  <c r="L684" i="6"/>
  <c r="K684" i="6"/>
  <c r="U683" i="6"/>
  <c r="T683" i="6"/>
  <c r="L683" i="6"/>
  <c r="K683" i="6"/>
  <c r="U682" i="6"/>
  <c r="T682" i="6"/>
  <c r="L682" i="6"/>
  <c r="K682" i="6"/>
  <c r="U681" i="6"/>
  <c r="T681" i="6"/>
  <c r="L681" i="6"/>
  <c r="K681" i="6"/>
  <c r="U680" i="6"/>
  <c r="T680" i="6"/>
  <c r="L680" i="6"/>
  <c r="K680" i="6"/>
  <c r="U679" i="6"/>
  <c r="T679" i="6"/>
  <c r="L679" i="6"/>
  <c r="K679" i="6"/>
  <c r="U678" i="6"/>
  <c r="T678" i="6"/>
  <c r="L678" i="6"/>
  <c r="K678" i="6"/>
  <c r="U677" i="6"/>
  <c r="T677" i="6"/>
  <c r="L677" i="6"/>
  <c r="K677" i="6"/>
  <c r="U676" i="6"/>
  <c r="T676" i="6"/>
  <c r="L676" i="6"/>
  <c r="K676" i="6"/>
  <c r="U675" i="6"/>
  <c r="T675" i="6"/>
  <c r="L675" i="6"/>
  <c r="K675" i="6"/>
  <c r="U674" i="6"/>
  <c r="T674" i="6"/>
  <c r="L674" i="6"/>
  <c r="K674" i="6"/>
  <c r="U673" i="6"/>
  <c r="T673" i="6"/>
  <c r="L673" i="6"/>
  <c r="K673" i="6"/>
  <c r="U672" i="6"/>
  <c r="T672" i="6"/>
  <c r="L672" i="6"/>
  <c r="K672" i="6"/>
  <c r="U671" i="6"/>
  <c r="T671" i="6"/>
  <c r="L671" i="6"/>
  <c r="K671" i="6"/>
  <c r="U670" i="6"/>
  <c r="T670" i="6"/>
  <c r="L670" i="6"/>
  <c r="K670" i="6"/>
  <c r="U668" i="6"/>
  <c r="T668" i="6"/>
  <c r="L668" i="6"/>
  <c r="K668" i="6"/>
  <c r="U667" i="6"/>
  <c r="T667" i="6"/>
  <c r="L667" i="6"/>
  <c r="K667" i="6"/>
  <c r="U666" i="6"/>
  <c r="T666" i="6"/>
  <c r="L666" i="6"/>
  <c r="K666" i="6"/>
  <c r="U665" i="6"/>
  <c r="T665" i="6"/>
  <c r="L665" i="6"/>
  <c r="K665" i="6"/>
  <c r="U664" i="6"/>
  <c r="T664" i="6"/>
  <c r="L664" i="6"/>
  <c r="K664" i="6"/>
  <c r="U663" i="6"/>
  <c r="T663" i="6"/>
  <c r="L663" i="6"/>
  <c r="K663" i="6"/>
  <c r="U662" i="6"/>
  <c r="T662" i="6"/>
  <c r="L662" i="6"/>
  <c r="K662" i="6"/>
  <c r="U661" i="6"/>
  <c r="T661" i="6"/>
  <c r="L661" i="6"/>
  <c r="K661" i="6"/>
  <c r="U660" i="6"/>
  <c r="T660" i="6"/>
  <c r="L660" i="6"/>
  <c r="K660" i="6"/>
  <c r="U659" i="6"/>
  <c r="T659" i="6"/>
  <c r="L659" i="6"/>
  <c r="K659" i="6"/>
  <c r="U658" i="6"/>
  <c r="T658" i="6"/>
  <c r="L658" i="6"/>
  <c r="K658" i="6"/>
  <c r="U657" i="6"/>
  <c r="T657" i="6"/>
  <c r="L657" i="6"/>
  <c r="K657" i="6"/>
  <c r="U656" i="6"/>
  <c r="T656" i="6"/>
  <c r="L656" i="6"/>
  <c r="K656" i="6"/>
  <c r="U655" i="6"/>
  <c r="T655" i="6"/>
  <c r="L655" i="6"/>
  <c r="K655" i="6"/>
  <c r="U654" i="6"/>
  <c r="T654" i="6"/>
  <c r="L654" i="6"/>
  <c r="K654" i="6"/>
  <c r="U653" i="6"/>
  <c r="T653" i="6"/>
  <c r="L653" i="6"/>
  <c r="K653" i="6"/>
  <c r="U652" i="6"/>
  <c r="T652" i="6"/>
  <c r="L652" i="6"/>
  <c r="K652" i="6"/>
  <c r="U651" i="6"/>
  <c r="T651" i="6"/>
  <c r="L651" i="6"/>
  <c r="K651" i="6"/>
  <c r="U650" i="6"/>
  <c r="T650" i="6"/>
  <c r="L650" i="6"/>
  <c r="K650" i="6"/>
  <c r="U649" i="6"/>
  <c r="T649" i="6"/>
  <c r="L649" i="6"/>
  <c r="K649" i="6"/>
  <c r="U648" i="6"/>
  <c r="T648" i="6"/>
  <c r="L648" i="6"/>
  <c r="K648" i="6"/>
  <c r="U647" i="6"/>
  <c r="T647" i="6"/>
  <c r="L647" i="6"/>
  <c r="K647" i="6"/>
  <c r="U646" i="6"/>
  <c r="T646" i="6"/>
  <c r="L646" i="6"/>
  <c r="K646" i="6"/>
  <c r="U645" i="6"/>
  <c r="T645" i="6"/>
  <c r="L645" i="6"/>
  <c r="K645" i="6"/>
  <c r="U644" i="6"/>
  <c r="T644" i="6"/>
  <c r="L644" i="6"/>
  <c r="K644" i="6"/>
  <c r="U643" i="6"/>
  <c r="T643" i="6"/>
  <c r="L643" i="6"/>
  <c r="K643" i="6"/>
  <c r="U642" i="6"/>
  <c r="T642" i="6"/>
  <c r="L642" i="6"/>
  <c r="K642" i="6"/>
  <c r="U641" i="6"/>
  <c r="T641" i="6"/>
  <c r="L641" i="6"/>
  <c r="K641" i="6"/>
  <c r="U640" i="6"/>
  <c r="T640" i="6"/>
  <c r="L640" i="6"/>
  <c r="K640" i="6"/>
  <c r="U639" i="6"/>
  <c r="T639" i="6"/>
  <c r="L639" i="6"/>
  <c r="K639" i="6"/>
  <c r="U638" i="6"/>
  <c r="T638" i="6"/>
  <c r="L638" i="6"/>
  <c r="K638" i="6"/>
  <c r="U637" i="6"/>
  <c r="T637" i="6"/>
  <c r="L637" i="6"/>
  <c r="K637" i="6"/>
  <c r="U636" i="6"/>
  <c r="T636" i="6"/>
  <c r="L636" i="6"/>
  <c r="K636" i="6"/>
  <c r="U635" i="6"/>
  <c r="T635" i="6"/>
  <c r="L635" i="6"/>
  <c r="K635" i="6"/>
  <c r="U634" i="6"/>
  <c r="T634" i="6"/>
  <c r="L634" i="6"/>
  <c r="K634" i="6"/>
  <c r="U633" i="6"/>
  <c r="T633" i="6"/>
  <c r="L633" i="6"/>
  <c r="K633" i="6"/>
  <c r="U632" i="6"/>
  <c r="T632" i="6"/>
  <c r="L632" i="6"/>
  <c r="K632" i="6"/>
  <c r="U630" i="6"/>
  <c r="T630" i="6"/>
  <c r="L630" i="6"/>
  <c r="K630" i="6"/>
  <c r="U629" i="6"/>
  <c r="T629" i="6"/>
  <c r="L629" i="6"/>
  <c r="K629" i="6"/>
  <c r="U628" i="6"/>
  <c r="T628" i="6"/>
  <c r="L628" i="6"/>
  <c r="K628" i="6"/>
  <c r="U627" i="6"/>
  <c r="T627" i="6"/>
  <c r="L627" i="6"/>
  <c r="K627" i="6"/>
  <c r="U626" i="6"/>
  <c r="T626" i="6"/>
  <c r="L626" i="6"/>
  <c r="K626" i="6"/>
  <c r="U625" i="6"/>
  <c r="T625" i="6"/>
  <c r="L625" i="6"/>
  <c r="K625" i="6"/>
  <c r="U624" i="6"/>
  <c r="T624" i="6"/>
  <c r="L624" i="6"/>
  <c r="K624" i="6"/>
  <c r="U623" i="6"/>
  <c r="T623" i="6"/>
  <c r="L623" i="6"/>
  <c r="K623" i="6"/>
  <c r="U621" i="6"/>
  <c r="T621" i="6"/>
  <c r="L621" i="6"/>
  <c r="K621" i="6"/>
  <c r="U620" i="6"/>
  <c r="T620" i="6"/>
  <c r="L620" i="6"/>
  <c r="K620" i="6"/>
  <c r="U619" i="6"/>
  <c r="T619" i="6"/>
  <c r="L619" i="6"/>
  <c r="K619" i="6"/>
  <c r="U618" i="6"/>
  <c r="T618" i="6"/>
  <c r="L618" i="6"/>
  <c r="K618" i="6"/>
  <c r="U617" i="6"/>
  <c r="T617" i="6"/>
  <c r="L617" i="6"/>
  <c r="K617" i="6"/>
  <c r="U616" i="6"/>
  <c r="T616" i="6"/>
  <c r="L616" i="6"/>
  <c r="K616" i="6"/>
  <c r="U615" i="6"/>
  <c r="T615" i="6"/>
  <c r="L615" i="6"/>
  <c r="K615" i="6"/>
  <c r="U614" i="6"/>
  <c r="T614" i="6"/>
  <c r="L614" i="6"/>
  <c r="K614" i="6"/>
  <c r="U613" i="6"/>
  <c r="T613" i="6"/>
  <c r="L613" i="6"/>
  <c r="K613" i="6"/>
  <c r="U612" i="6"/>
  <c r="T612" i="6"/>
  <c r="L612" i="6"/>
  <c r="K612" i="6"/>
  <c r="U611" i="6"/>
  <c r="T611" i="6"/>
  <c r="L611" i="6"/>
  <c r="K611" i="6"/>
  <c r="U610" i="6"/>
  <c r="T610" i="6"/>
  <c r="L610" i="6"/>
  <c r="K610" i="6"/>
  <c r="U609" i="6"/>
  <c r="T609" i="6"/>
  <c r="L609" i="6"/>
  <c r="K609" i="6"/>
  <c r="U608" i="6"/>
  <c r="T608" i="6"/>
  <c r="L608" i="6"/>
  <c r="K608" i="6"/>
  <c r="U607" i="6"/>
  <c r="T607" i="6"/>
  <c r="L607" i="6"/>
  <c r="K607" i="6"/>
  <c r="U606" i="6"/>
  <c r="T606" i="6"/>
  <c r="L606" i="6"/>
  <c r="K606" i="6"/>
  <c r="U605" i="6"/>
  <c r="T605" i="6"/>
  <c r="L605" i="6"/>
  <c r="K605" i="6"/>
  <c r="U604" i="6"/>
  <c r="T604" i="6"/>
  <c r="L604" i="6"/>
  <c r="K604" i="6"/>
  <c r="U602" i="6"/>
  <c r="T602" i="6"/>
  <c r="L602" i="6"/>
  <c r="K602" i="6"/>
  <c r="U601" i="6"/>
  <c r="T601" i="6"/>
  <c r="L601" i="6"/>
  <c r="K601" i="6"/>
  <c r="U600" i="6"/>
  <c r="T600" i="6"/>
  <c r="L600" i="6"/>
  <c r="K600" i="6"/>
  <c r="U599" i="6"/>
  <c r="T599" i="6"/>
  <c r="L599" i="6"/>
  <c r="K599" i="6"/>
  <c r="U598" i="6"/>
  <c r="T598" i="6"/>
  <c r="L598" i="6"/>
  <c r="K598" i="6"/>
  <c r="U597" i="6"/>
  <c r="T597" i="6"/>
  <c r="L597" i="6"/>
  <c r="K597" i="6"/>
  <c r="U596" i="6"/>
  <c r="T596" i="6"/>
  <c r="L596" i="6"/>
  <c r="K596" i="6"/>
  <c r="U595" i="6"/>
  <c r="T595" i="6"/>
  <c r="L595" i="6"/>
  <c r="K595" i="6"/>
  <c r="U594" i="6"/>
  <c r="T594" i="6"/>
  <c r="L594" i="6"/>
  <c r="K594" i="6"/>
  <c r="U593" i="6"/>
  <c r="T593" i="6"/>
  <c r="L593" i="6"/>
  <c r="K593" i="6"/>
  <c r="U592" i="6"/>
  <c r="T592" i="6"/>
  <c r="L592" i="6"/>
  <c r="K592" i="6"/>
  <c r="U591" i="6"/>
  <c r="T591" i="6"/>
  <c r="L591" i="6"/>
  <c r="K591" i="6"/>
  <c r="U590" i="6"/>
  <c r="T590" i="6"/>
  <c r="L590" i="6"/>
  <c r="K590" i="6"/>
  <c r="U589" i="6"/>
  <c r="T589" i="6"/>
  <c r="L589" i="6"/>
  <c r="K589" i="6"/>
  <c r="U588" i="6"/>
  <c r="T588" i="6"/>
  <c r="L588" i="6"/>
  <c r="K588" i="6"/>
  <c r="U587" i="6"/>
  <c r="T587" i="6"/>
  <c r="L587" i="6"/>
  <c r="K587" i="6"/>
  <c r="U586" i="6"/>
  <c r="T586" i="6"/>
  <c r="L586" i="6"/>
  <c r="K586" i="6"/>
  <c r="U585" i="6"/>
  <c r="T585" i="6"/>
  <c r="L585" i="6"/>
  <c r="K585" i="6"/>
  <c r="U584" i="6"/>
  <c r="T584" i="6"/>
  <c r="L584" i="6"/>
  <c r="K584" i="6"/>
  <c r="U583" i="6"/>
  <c r="T583" i="6"/>
  <c r="L583" i="6"/>
  <c r="K583" i="6"/>
  <c r="U582" i="6"/>
  <c r="T582" i="6"/>
  <c r="L582" i="6"/>
  <c r="K582" i="6"/>
  <c r="U581" i="6"/>
  <c r="T581" i="6"/>
  <c r="L581" i="6"/>
  <c r="K581" i="6"/>
  <c r="U580" i="6"/>
  <c r="T580" i="6"/>
  <c r="L580" i="6"/>
  <c r="K580" i="6"/>
  <c r="U579" i="6"/>
  <c r="T579" i="6"/>
  <c r="L579" i="6"/>
  <c r="K579" i="6"/>
  <c r="U578" i="6"/>
  <c r="T578" i="6"/>
  <c r="L578" i="6"/>
  <c r="K578" i="6"/>
  <c r="U577" i="6"/>
  <c r="T577" i="6"/>
  <c r="L577" i="6"/>
  <c r="K577" i="6"/>
  <c r="U576" i="6"/>
  <c r="T576" i="6"/>
  <c r="L576" i="6"/>
  <c r="K576" i="6"/>
  <c r="U575" i="6"/>
  <c r="T575" i="6"/>
  <c r="L575" i="6"/>
  <c r="K575" i="6"/>
  <c r="U574" i="6"/>
  <c r="T574" i="6"/>
  <c r="L574" i="6"/>
  <c r="K574" i="6"/>
  <c r="U573" i="6"/>
  <c r="T573" i="6"/>
  <c r="L573" i="6"/>
  <c r="K573" i="6"/>
  <c r="U572" i="6"/>
  <c r="T572" i="6"/>
  <c r="L572" i="6"/>
  <c r="K572" i="6"/>
  <c r="U571" i="6"/>
  <c r="T571" i="6"/>
  <c r="L571" i="6"/>
  <c r="K571" i="6"/>
  <c r="U570" i="6"/>
  <c r="T570" i="6"/>
  <c r="L570" i="6"/>
  <c r="K570" i="6"/>
  <c r="U569" i="6"/>
  <c r="T569" i="6"/>
  <c r="L569" i="6"/>
  <c r="K569" i="6"/>
  <c r="U568" i="6"/>
  <c r="T568" i="6"/>
  <c r="L568" i="6"/>
  <c r="K568" i="6"/>
  <c r="U567" i="6"/>
  <c r="T567" i="6"/>
  <c r="L567" i="6"/>
  <c r="K567" i="6"/>
  <c r="U566" i="6"/>
  <c r="T566" i="6"/>
  <c r="L566" i="6"/>
  <c r="K566" i="6"/>
  <c r="U565" i="6"/>
  <c r="T565" i="6"/>
  <c r="L565" i="6"/>
  <c r="K565" i="6"/>
  <c r="U564" i="6"/>
  <c r="T564" i="6"/>
  <c r="L564" i="6"/>
  <c r="K564" i="6"/>
  <c r="U563" i="6"/>
  <c r="T563" i="6"/>
  <c r="L563" i="6"/>
  <c r="K563" i="6"/>
  <c r="U562" i="6"/>
  <c r="T562" i="6"/>
  <c r="L562" i="6"/>
  <c r="K562" i="6"/>
  <c r="U561" i="6"/>
  <c r="T561" i="6"/>
  <c r="L561" i="6"/>
  <c r="K561" i="6"/>
  <c r="U560" i="6"/>
  <c r="T560" i="6"/>
  <c r="L560" i="6"/>
  <c r="K560" i="6"/>
  <c r="U559" i="6"/>
  <c r="T559" i="6"/>
  <c r="L559" i="6"/>
  <c r="K559" i="6"/>
  <c r="U558" i="6"/>
  <c r="T558" i="6"/>
  <c r="L558" i="6"/>
  <c r="K558" i="6"/>
  <c r="U557" i="6"/>
  <c r="T557" i="6"/>
  <c r="L557" i="6"/>
  <c r="K557" i="6"/>
  <c r="U556" i="6"/>
  <c r="T556" i="6"/>
  <c r="L556" i="6"/>
  <c r="K556" i="6"/>
  <c r="U555" i="6"/>
  <c r="T555" i="6"/>
  <c r="L555" i="6"/>
  <c r="K555" i="6"/>
  <c r="U554" i="6"/>
  <c r="T554" i="6"/>
  <c r="L554" i="6"/>
  <c r="K554" i="6"/>
  <c r="U553" i="6"/>
  <c r="T553" i="6"/>
  <c r="L553" i="6"/>
  <c r="K553" i="6"/>
  <c r="U552" i="6"/>
  <c r="T552" i="6"/>
  <c r="L552" i="6"/>
  <c r="K552" i="6"/>
  <c r="U551" i="6"/>
  <c r="T551" i="6"/>
  <c r="L551" i="6"/>
  <c r="K551" i="6"/>
  <c r="U550" i="6"/>
  <c r="T550" i="6"/>
  <c r="L550" i="6"/>
  <c r="K550" i="6"/>
  <c r="U549" i="6"/>
  <c r="T549" i="6"/>
  <c r="L549" i="6"/>
  <c r="K549" i="6"/>
  <c r="U548" i="6"/>
  <c r="T548" i="6"/>
  <c r="L548" i="6"/>
  <c r="K548" i="6"/>
  <c r="U547" i="6"/>
  <c r="T547" i="6"/>
  <c r="L547" i="6"/>
  <c r="K547" i="6"/>
  <c r="U546" i="6"/>
  <c r="T546" i="6"/>
  <c r="L546" i="6"/>
  <c r="K546" i="6"/>
  <c r="U545" i="6"/>
  <c r="T545" i="6"/>
  <c r="L545" i="6"/>
  <c r="K545" i="6"/>
  <c r="U544" i="6"/>
  <c r="T544" i="6"/>
  <c r="L544" i="6"/>
  <c r="K544" i="6"/>
  <c r="U543" i="6"/>
  <c r="T543" i="6"/>
  <c r="L543" i="6"/>
  <c r="K543" i="6"/>
  <c r="U542" i="6"/>
  <c r="T542" i="6"/>
  <c r="L542" i="6"/>
  <c r="K542" i="6"/>
  <c r="U541" i="6"/>
  <c r="T541" i="6"/>
  <c r="L541" i="6"/>
  <c r="K541" i="6"/>
  <c r="U540" i="6"/>
  <c r="T540" i="6"/>
  <c r="L540" i="6"/>
  <c r="K540" i="6"/>
  <c r="U539" i="6"/>
  <c r="T539" i="6"/>
  <c r="L539" i="6"/>
  <c r="K539" i="6"/>
  <c r="U538" i="6"/>
  <c r="T538" i="6"/>
  <c r="L538" i="6"/>
  <c r="K538" i="6"/>
  <c r="U537" i="6"/>
  <c r="T537" i="6"/>
  <c r="L537" i="6"/>
  <c r="K537" i="6"/>
  <c r="U536" i="6"/>
  <c r="T536" i="6"/>
  <c r="L536" i="6"/>
  <c r="K536" i="6"/>
  <c r="U535" i="6"/>
  <c r="T535" i="6"/>
  <c r="L535" i="6"/>
  <c r="K535" i="6"/>
  <c r="U534" i="6"/>
  <c r="T534" i="6"/>
  <c r="L534" i="6"/>
  <c r="K534" i="6"/>
  <c r="U533" i="6"/>
  <c r="T533" i="6"/>
  <c r="L533" i="6"/>
  <c r="K533" i="6"/>
  <c r="U532" i="6"/>
  <c r="T532" i="6"/>
  <c r="L532" i="6"/>
  <c r="K532" i="6"/>
  <c r="U531" i="6"/>
  <c r="T531" i="6"/>
  <c r="L531" i="6"/>
  <c r="K531" i="6"/>
  <c r="U530" i="6"/>
  <c r="T530" i="6"/>
  <c r="L530" i="6"/>
  <c r="K530" i="6"/>
  <c r="U529" i="6"/>
  <c r="T529" i="6"/>
  <c r="L529" i="6"/>
  <c r="K529" i="6"/>
  <c r="U528" i="6"/>
  <c r="T528" i="6"/>
  <c r="L528" i="6"/>
  <c r="K528" i="6"/>
  <c r="U527" i="6"/>
  <c r="T527" i="6"/>
  <c r="L527" i="6"/>
  <c r="K527" i="6"/>
  <c r="U526" i="6"/>
  <c r="T526" i="6"/>
  <c r="L526" i="6"/>
  <c r="K526" i="6"/>
  <c r="U525" i="6"/>
  <c r="T525" i="6"/>
  <c r="L525" i="6"/>
  <c r="K525" i="6"/>
  <c r="U524" i="6"/>
  <c r="T524" i="6"/>
  <c r="L524" i="6"/>
  <c r="K524" i="6"/>
  <c r="U523" i="6"/>
  <c r="T523" i="6"/>
  <c r="L523" i="6"/>
  <c r="K523" i="6"/>
  <c r="U522" i="6"/>
  <c r="T522" i="6"/>
  <c r="L522" i="6"/>
  <c r="K522" i="6"/>
  <c r="U521" i="6"/>
  <c r="T521" i="6"/>
  <c r="L521" i="6"/>
  <c r="K521" i="6"/>
  <c r="U520" i="6"/>
  <c r="T520" i="6"/>
  <c r="L520" i="6"/>
  <c r="K520" i="6"/>
  <c r="U519" i="6"/>
  <c r="T519" i="6"/>
  <c r="L519" i="6"/>
  <c r="K519" i="6"/>
  <c r="U518" i="6"/>
  <c r="T518" i="6"/>
  <c r="L518" i="6"/>
  <c r="K518" i="6"/>
  <c r="U517" i="6"/>
  <c r="T517" i="6"/>
  <c r="L517" i="6"/>
  <c r="K517" i="6"/>
  <c r="U516" i="6"/>
  <c r="T516" i="6"/>
  <c r="L516" i="6"/>
  <c r="K516" i="6"/>
  <c r="U515" i="6"/>
  <c r="T515" i="6"/>
  <c r="L515" i="6"/>
  <c r="K515" i="6"/>
  <c r="U514" i="6"/>
  <c r="T514" i="6"/>
  <c r="L514" i="6"/>
  <c r="K514" i="6"/>
  <c r="U513" i="6"/>
  <c r="T513" i="6"/>
  <c r="L513" i="6"/>
  <c r="K513" i="6"/>
  <c r="U512" i="6"/>
  <c r="T512" i="6"/>
  <c r="L512" i="6"/>
  <c r="K512" i="6"/>
  <c r="U511" i="6"/>
  <c r="T511" i="6"/>
  <c r="L511" i="6"/>
  <c r="K511" i="6"/>
  <c r="U510" i="6"/>
  <c r="T510" i="6"/>
  <c r="L510" i="6"/>
  <c r="K510" i="6"/>
  <c r="U509" i="6"/>
  <c r="T509" i="6"/>
  <c r="L509" i="6"/>
  <c r="K509" i="6"/>
  <c r="U508" i="6"/>
  <c r="T508" i="6"/>
  <c r="L508" i="6"/>
  <c r="K508" i="6"/>
  <c r="U507" i="6"/>
  <c r="T507" i="6"/>
  <c r="L507" i="6"/>
  <c r="K507" i="6"/>
  <c r="U506" i="6"/>
  <c r="T506" i="6"/>
  <c r="L506" i="6"/>
  <c r="K506" i="6"/>
  <c r="U505" i="6"/>
  <c r="T505" i="6"/>
  <c r="L505" i="6"/>
  <c r="K505" i="6"/>
  <c r="U504" i="6"/>
  <c r="T504" i="6"/>
  <c r="L504" i="6"/>
  <c r="K504" i="6"/>
  <c r="U503" i="6"/>
  <c r="T503" i="6"/>
  <c r="L503" i="6"/>
  <c r="K503" i="6"/>
  <c r="U502" i="6"/>
  <c r="T502" i="6"/>
  <c r="L502" i="6"/>
  <c r="K502" i="6"/>
  <c r="U501" i="6"/>
  <c r="T501" i="6"/>
  <c r="L501" i="6"/>
  <c r="K501" i="6"/>
  <c r="U500" i="6"/>
  <c r="T500" i="6"/>
  <c r="L500" i="6"/>
  <c r="K500" i="6"/>
  <c r="U499" i="6"/>
  <c r="T499" i="6"/>
  <c r="L499" i="6"/>
  <c r="K499" i="6"/>
  <c r="U498" i="6"/>
  <c r="T498" i="6"/>
  <c r="L498" i="6"/>
  <c r="K498" i="6"/>
  <c r="U497" i="6"/>
  <c r="T497" i="6"/>
  <c r="L497" i="6"/>
  <c r="K497" i="6"/>
  <c r="U496" i="6"/>
  <c r="T496" i="6"/>
  <c r="L496" i="6"/>
  <c r="K496" i="6"/>
  <c r="U495" i="6"/>
  <c r="T495" i="6"/>
  <c r="L495" i="6"/>
  <c r="K495" i="6"/>
  <c r="U494" i="6"/>
  <c r="T494" i="6"/>
  <c r="L494" i="6"/>
  <c r="K494" i="6"/>
  <c r="U492" i="6"/>
  <c r="T492" i="6"/>
  <c r="L492" i="6"/>
  <c r="K492" i="6"/>
  <c r="U491" i="6"/>
  <c r="T491" i="6"/>
  <c r="L491" i="6"/>
  <c r="K491" i="6"/>
  <c r="U490" i="6"/>
  <c r="T490" i="6"/>
  <c r="L490" i="6"/>
  <c r="K490" i="6"/>
  <c r="U489" i="6"/>
  <c r="T489" i="6"/>
  <c r="L489" i="6"/>
  <c r="K489" i="6"/>
  <c r="U488" i="6"/>
  <c r="T488" i="6"/>
  <c r="L488" i="6"/>
  <c r="K488" i="6"/>
  <c r="U487" i="6"/>
  <c r="T487" i="6"/>
  <c r="L487" i="6"/>
  <c r="K487" i="6"/>
  <c r="U486" i="6"/>
  <c r="T486" i="6"/>
  <c r="L486" i="6"/>
  <c r="K486" i="6"/>
  <c r="U485" i="6"/>
  <c r="T485" i="6"/>
  <c r="L485" i="6"/>
  <c r="K485" i="6"/>
  <c r="U484" i="6"/>
  <c r="T484" i="6"/>
  <c r="L484" i="6"/>
  <c r="K484" i="6"/>
  <c r="U483" i="6"/>
  <c r="T483" i="6"/>
  <c r="L483" i="6"/>
  <c r="K483" i="6"/>
  <c r="U482" i="6"/>
  <c r="T482" i="6"/>
  <c r="L482" i="6"/>
  <c r="K482" i="6"/>
  <c r="U481" i="6"/>
  <c r="T481" i="6"/>
  <c r="L481" i="6"/>
  <c r="K481" i="6"/>
  <c r="U480" i="6"/>
  <c r="T480" i="6"/>
  <c r="L480" i="6"/>
  <c r="K480" i="6"/>
  <c r="U479" i="6"/>
  <c r="T479" i="6"/>
  <c r="L479" i="6"/>
  <c r="K479" i="6"/>
  <c r="U478" i="6"/>
  <c r="T478" i="6"/>
  <c r="L478" i="6"/>
  <c r="K478" i="6"/>
  <c r="U477" i="6"/>
  <c r="T477" i="6"/>
  <c r="L477" i="6"/>
  <c r="K477" i="6"/>
  <c r="U476" i="6"/>
  <c r="T476" i="6"/>
  <c r="L476" i="6"/>
  <c r="K476" i="6"/>
  <c r="U475" i="6"/>
  <c r="T475" i="6"/>
  <c r="L475" i="6"/>
  <c r="K475" i="6"/>
  <c r="U474" i="6"/>
  <c r="T474" i="6"/>
  <c r="L474" i="6"/>
  <c r="K474" i="6"/>
  <c r="U473" i="6"/>
  <c r="T473" i="6"/>
  <c r="L473" i="6"/>
  <c r="K473" i="6"/>
  <c r="U472" i="6"/>
  <c r="T472" i="6"/>
  <c r="L472" i="6"/>
  <c r="K472" i="6"/>
  <c r="U471" i="6"/>
  <c r="T471" i="6"/>
  <c r="L471" i="6"/>
  <c r="K471" i="6"/>
  <c r="U470" i="6"/>
  <c r="T470" i="6"/>
  <c r="L470" i="6"/>
  <c r="K470" i="6"/>
  <c r="U469" i="6"/>
  <c r="T469" i="6"/>
  <c r="L469" i="6"/>
  <c r="K469" i="6"/>
  <c r="U468" i="6"/>
  <c r="T468" i="6"/>
  <c r="L468" i="6"/>
  <c r="K468" i="6"/>
  <c r="U467" i="6"/>
  <c r="T467" i="6"/>
  <c r="L467" i="6"/>
  <c r="K467" i="6"/>
  <c r="U466" i="6"/>
  <c r="T466" i="6"/>
  <c r="L466" i="6"/>
  <c r="K466" i="6"/>
  <c r="U465" i="6"/>
  <c r="T465" i="6"/>
  <c r="L465" i="6"/>
  <c r="K465" i="6"/>
  <c r="U464" i="6"/>
  <c r="T464" i="6"/>
  <c r="L464" i="6"/>
  <c r="K464" i="6"/>
  <c r="U463" i="6"/>
  <c r="T463" i="6"/>
  <c r="L463" i="6"/>
  <c r="K463" i="6"/>
  <c r="U462" i="6"/>
  <c r="T462" i="6"/>
  <c r="L462" i="6"/>
  <c r="K462" i="6"/>
  <c r="U461" i="6"/>
  <c r="T461" i="6"/>
  <c r="L461" i="6"/>
  <c r="K461" i="6"/>
  <c r="U460" i="6"/>
  <c r="T460" i="6"/>
  <c r="L460" i="6"/>
  <c r="K460" i="6"/>
  <c r="U459" i="6"/>
  <c r="T459" i="6"/>
  <c r="L459" i="6"/>
  <c r="K459" i="6"/>
  <c r="U458" i="6"/>
  <c r="T458" i="6"/>
  <c r="L458" i="6"/>
  <c r="K458" i="6"/>
  <c r="U457" i="6"/>
  <c r="T457" i="6"/>
  <c r="L457" i="6"/>
  <c r="K457" i="6"/>
  <c r="U456" i="6"/>
  <c r="T456" i="6"/>
  <c r="L456" i="6"/>
  <c r="K456" i="6"/>
  <c r="U455" i="6"/>
  <c r="T455" i="6"/>
  <c r="L455" i="6"/>
  <c r="K455" i="6"/>
  <c r="U454" i="6"/>
  <c r="T454" i="6"/>
  <c r="L454" i="6"/>
  <c r="K454" i="6"/>
  <c r="U453" i="6"/>
  <c r="T453" i="6"/>
  <c r="L453" i="6"/>
  <c r="K453" i="6"/>
  <c r="U452" i="6"/>
  <c r="T452" i="6"/>
  <c r="L452" i="6"/>
  <c r="K452" i="6"/>
  <c r="U451" i="6"/>
  <c r="T451" i="6"/>
  <c r="L451" i="6"/>
  <c r="K451" i="6"/>
  <c r="U450" i="6"/>
  <c r="T450" i="6"/>
  <c r="L450" i="6"/>
  <c r="K450" i="6"/>
  <c r="U449" i="6"/>
  <c r="T449" i="6"/>
  <c r="L449" i="6"/>
  <c r="K449" i="6"/>
  <c r="U448" i="6"/>
  <c r="T448" i="6"/>
  <c r="L448" i="6"/>
  <c r="K448" i="6"/>
  <c r="U447" i="6"/>
  <c r="T447" i="6"/>
  <c r="L447" i="6"/>
  <c r="K447" i="6"/>
  <c r="U446" i="6"/>
  <c r="T446" i="6"/>
  <c r="L446" i="6"/>
  <c r="K446" i="6"/>
  <c r="U445" i="6"/>
  <c r="T445" i="6"/>
  <c r="L445" i="6"/>
  <c r="K445" i="6"/>
  <c r="U444" i="6"/>
  <c r="T444" i="6"/>
  <c r="L444" i="6"/>
  <c r="K444" i="6"/>
  <c r="U443" i="6"/>
  <c r="T443" i="6"/>
  <c r="L443" i="6"/>
  <c r="K443" i="6"/>
  <c r="U442" i="6"/>
  <c r="T442" i="6"/>
  <c r="L442" i="6"/>
  <c r="K442" i="6"/>
  <c r="U441" i="6"/>
  <c r="T441" i="6"/>
  <c r="L441" i="6"/>
  <c r="K441" i="6"/>
  <c r="U440" i="6"/>
  <c r="T440" i="6"/>
  <c r="L440" i="6"/>
  <c r="K440" i="6"/>
  <c r="U439" i="6"/>
  <c r="T439" i="6"/>
  <c r="L439" i="6"/>
  <c r="K439" i="6"/>
  <c r="U438" i="6"/>
  <c r="T438" i="6"/>
  <c r="L438" i="6"/>
  <c r="K438" i="6"/>
  <c r="U437" i="6"/>
  <c r="T437" i="6"/>
  <c r="L437" i="6"/>
  <c r="K437" i="6"/>
  <c r="U436" i="6"/>
  <c r="T436" i="6"/>
  <c r="L436" i="6"/>
  <c r="K436" i="6"/>
  <c r="U435" i="6"/>
  <c r="T435" i="6"/>
  <c r="L435" i="6"/>
  <c r="K435" i="6"/>
  <c r="U434" i="6"/>
  <c r="T434" i="6"/>
  <c r="L434" i="6"/>
  <c r="K434" i="6"/>
  <c r="U433" i="6"/>
  <c r="T433" i="6"/>
  <c r="L433" i="6"/>
  <c r="K433" i="6"/>
  <c r="U432" i="6"/>
  <c r="T432" i="6"/>
  <c r="L432" i="6"/>
  <c r="K432" i="6"/>
  <c r="U431" i="6"/>
  <c r="T431" i="6"/>
  <c r="L431" i="6"/>
  <c r="K431" i="6"/>
  <c r="U430" i="6"/>
  <c r="T430" i="6"/>
  <c r="L430" i="6"/>
  <c r="K430" i="6"/>
  <c r="U429" i="6"/>
  <c r="T429" i="6"/>
  <c r="L429" i="6"/>
  <c r="K429" i="6"/>
  <c r="U428" i="6"/>
  <c r="T428" i="6"/>
  <c r="L428" i="6"/>
  <c r="K428" i="6"/>
  <c r="U427" i="6"/>
  <c r="T427" i="6"/>
  <c r="L427" i="6"/>
  <c r="K427" i="6"/>
  <c r="U426" i="6"/>
  <c r="T426" i="6"/>
  <c r="L426" i="6"/>
  <c r="K426" i="6"/>
  <c r="U424" i="6"/>
  <c r="T424" i="6"/>
  <c r="L424" i="6"/>
  <c r="K424" i="6"/>
  <c r="U423" i="6"/>
  <c r="T423" i="6"/>
  <c r="L423" i="6"/>
  <c r="K423" i="6"/>
  <c r="U422" i="6"/>
  <c r="T422" i="6"/>
  <c r="L422" i="6"/>
  <c r="K422" i="6"/>
  <c r="U421" i="6"/>
  <c r="T421" i="6"/>
  <c r="L421" i="6"/>
  <c r="K421" i="6"/>
  <c r="U420" i="6"/>
  <c r="T420" i="6"/>
  <c r="L420" i="6"/>
  <c r="K420" i="6"/>
  <c r="U419" i="6"/>
  <c r="T419" i="6"/>
  <c r="L419" i="6"/>
  <c r="K419" i="6"/>
  <c r="U418" i="6"/>
  <c r="T418" i="6"/>
  <c r="L418" i="6"/>
  <c r="K418" i="6"/>
  <c r="U417" i="6"/>
  <c r="T417" i="6"/>
  <c r="L417" i="6"/>
  <c r="K417" i="6"/>
  <c r="U416" i="6"/>
  <c r="T416" i="6"/>
  <c r="L416" i="6"/>
  <c r="K416" i="6"/>
  <c r="U415" i="6"/>
  <c r="T415" i="6"/>
  <c r="L415" i="6"/>
  <c r="K415" i="6"/>
  <c r="U414" i="6"/>
  <c r="T414" i="6"/>
  <c r="L414" i="6"/>
  <c r="K414" i="6"/>
  <c r="U413" i="6"/>
  <c r="T413" i="6"/>
  <c r="L413" i="6"/>
  <c r="K413" i="6"/>
  <c r="U412" i="6"/>
  <c r="T412" i="6"/>
  <c r="L412" i="6"/>
  <c r="K412" i="6"/>
  <c r="U411" i="6"/>
  <c r="T411" i="6"/>
  <c r="L411" i="6"/>
  <c r="K411" i="6"/>
  <c r="U410" i="6"/>
  <c r="T410" i="6"/>
  <c r="L410" i="6"/>
  <c r="K410" i="6"/>
  <c r="U409" i="6"/>
  <c r="T409" i="6"/>
  <c r="L409" i="6"/>
  <c r="K409" i="6"/>
  <c r="U408" i="6"/>
  <c r="T408" i="6"/>
  <c r="L408" i="6"/>
  <c r="K408" i="6"/>
  <c r="U407" i="6"/>
  <c r="T407" i="6"/>
  <c r="L407" i="6"/>
  <c r="K407" i="6"/>
  <c r="U406" i="6"/>
  <c r="T406" i="6"/>
  <c r="L406" i="6"/>
  <c r="K406" i="6"/>
  <c r="U405" i="6"/>
  <c r="T405" i="6"/>
  <c r="L405" i="6"/>
  <c r="K405" i="6"/>
  <c r="U404" i="6"/>
  <c r="T404" i="6"/>
  <c r="L404" i="6"/>
  <c r="K404" i="6"/>
  <c r="U403" i="6"/>
  <c r="T403" i="6"/>
  <c r="L403" i="6"/>
  <c r="K403" i="6"/>
  <c r="U402" i="6"/>
  <c r="T402" i="6"/>
  <c r="L402" i="6"/>
  <c r="K402" i="6"/>
  <c r="U401" i="6"/>
  <c r="T401" i="6"/>
  <c r="L401" i="6"/>
  <c r="K401" i="6"/>
  <c r="U400" i="6"/>
  <c r="T400" i="6"/>
  <c r="L400" i="6"/>
  <c r="K400" i="6"/>
  <c r="U399" i="6"/>
  <c r="T399" i="6"/>
  <c r="L399" i="6"/>
  <c r="K399" i="6"/>
  <c r="U398" i="6"/>
  <c r="T398" i="6"/>
  <c r="L398" i="6"/>
  <c r="K398" i="6"/>
  <c r="U397" i="6"/>
  <c r="T397" i="6"/>
  <c r="L397" i="6"/>
  <c r="K397" i="6"/>
  <c r="U395" i="6"/>
  <c r="T395" i="6"/>
  <c r="L395" i="6"/>
  <c r="K395" i="6"/>
  <c r="U394" i="6"/>
  <c r="T394" i="6"/>
  <c r="L394" i="6"/>
  <c r="K394" i="6"/>
  <c r="U393" i="6"/>
  <c r="T393" i="6"/>
  <c r="L393" i="6"/>
  <c r="K393" i="6"/>
  <c r="U392" i="6"/>
  <c r="T392" i="6"/>
  <c r="L392" i="6"/>
  <c r="K392" i="6"/>
  <c r="U391" i="6"/>
  <c r="T391" i="6"/>
  <c r="L391" i="6"/>
  <c r="K391" i="6"/>
  <c r="U390" i="6"/>
  <c r="T390" i="6"/>
  <c r="L390" i="6"/>
  <c r="K390" i="6"/>
  <c r="U389" i="6"/>
  <c r="T389" i="6"/>
  <c r="L389" i="6"/>
  <c r="K389" i="6"/>
  <c r="U388" i="6"/>
  <c r="T388" i="6"/>
  <c r="L388" i="6"/>
  <c r="K388" i="6"/>
  <c r="U387" i="6"/>
  <c r="T387" i="6"/>
  <c r="L387" i="6"/>
  <c r="K387" i="6"/>
  <c r="U386" i="6"/>
  <c r="T386" i="6"/>
  <c r="L386" i="6"/>
  <c r="K386" i="6"/>
  <c r="U385" i="6"/>
  <c r="T385" i="6"/>
  <c r="L385" i="6"/>
  <c r="K385" i="6"/>
  <c r="U384" i="6"/>
  <c r="T384" i="6"/>
  <c r="L384" i="6"/>
  <c r="K384" i="6"/>
  <c r="U383" i="6"/>
  <c r="T383" i="6"/>
  <c r="L383" i="6"/>
  <c r="K383" i="6"/>
  <c r="U381" i="6"/>
  <c r="T381" i="6"/>
  <c r="L381" i="6"/>
  <c r="K381" i="6"/>
  <c r="U380" i="6"/>
  <c r="T380" i="6"/>
  <c r="L380" i="6"/>
  <c r="K380" i="6"/>
  <c r="U379" i="6"/>
  <c r="T379" i="6"/>
  <c r="L379" i="6"/>
  <c r="K379" i="6"/>
  <c r="U378" i="6"/>
  <c r="T378" i="6"/>
  <c r="L378" i="6"/>
  <c r="K378" i="6"/>
  <c r="U376" i="6"/>
  <c r="T376" i="6"/>
  <c r="L376" i="6"/>
  <c r="K376" i="6"/>
  <c r="U375" i="6"/>
  <c r="T375" i="6"/>
  <c r="L375" i="6"/>
  <c r="K375" i="6"/>
  <c r="U374" i="6"/>
  <c r="T374" i="6"/>
  <c r="L374" i="6"/>
  <c r="K374" i="6"/>
  <c r="U373" i="6"/>
  <c r="T373" i="6"/>
  <c r="L373" i="6"/>
  <c r="K373" i="6"/>
  <c r="U372" i="6"/>
  <c r="T372" i="6"/>
  <c r="L372" i="6"/>
  <c r="K372" i="6"/>
  <c r="U371" i="6"/>
  <c r="T371" i="6"/>
  <c r="L371" i="6"/>
  <c r="K371" i="6"/>
  <c r="U370" i="6"/>
  <c r="T370" i="6"/>
  <c r="L370" i="6"/>
  <c r="K370" i="6"/>
  <c r="U369" i="6"/>
  <c r="T369" i="6"/>
  <c r="L369" i="6"/>
  <c r="K369" i="6"/>
  <c r="U368" i="6"/>
  <c r="T368" i="6"/>
  <c r="L368" i="6"/>
  <c r="K368" i="6"/>
  <c r="U367" i="6"/>
  <c r="T367" i="6"/>
  <c r="L367" i="6"/>
  <c r="K367" i="6"/>
  <c r="U366" i="6"/>
  <c r="T366" i="6"/>
  <c r="L366" i="6"/>
  <c r="K366" i="6"/>
  <c r="U365" i="6"/>
  <c r="T365" i="6"/>
  <c r="L365" i="6"/>
  <c r="K365" i="6"/>
  <c r="U364" i="6"/>
  <c r="T364" i="6"/>
  <c r="L364" i="6"/>
  <c r="K364" i="6"/>
  <c r="U363" i="6"/>
  <c r="T363" i="6"/>
  <c r="L363" i="6"/>
  <c r="K363" i="6"/>
  <c r="U362" i="6"/>
  <c r="T362" i="6"/>
  <c r="L362" i="6"/>
  <c r="K362" i="6"/>
  <c r="U361" i="6"/>
  <c r="T361" i="6"/>
  <c r="L361" i="6"/>
  <c r="K361" i="6"/>
  <c r="U360" i="6"/>
  <c r="T360" i="6"/>
  <c r="L360" i="6"/>
  <c r="K360" i="6"/>
  <c r="U359" i="6"/>
  <c r="T359" i="6"/>
  <c r="L359" i="6"/>
  <c r="K359" i="6"/>
  <c r="U358" i="6"/>
  <c r="T358" i="6"/>
  <c r="L358" i="6"/>
  <c r="K358" i="6"/>
  <c r="U357" i="6"/>
  <c r="T357" i="6"/>
  <c r="L357" i="6"/>
  <c r="K357" i="6"/>
  <c r="U356" i="6"/>
  <c r="T356" i="6"/>
  <c r="L356" i="6"/>
  <c r="K356" i="6"/>
  <c r="U355" i="6"/>
  <c r="T355" i="6"/>
  <c r="L355" i="6"/>
  <c r="K355" i="6"/>
  <c r="U354" i="6"/>
  <c r="T354" i="6"/>
  <c r="L354" i="6"/>
  <c r="K354" i="6"/>
  <c r="U353" i="6"/>
  <c r="T353" i="6"/>
  <c r="L353" i="6"/>
  <c r="K353" i="6"/>
  <c r="U352" i="6"/>
  <c r="T352" i="6"/>
  <c r="L352" i="6"/>
  <c r="K352" i="6"/>
  <c r="U351" i="6"/>
  <c r="T351" i="6"/>
  <c r="L351" i="6"/>
  <c r="K351" i="6"/>
  <c r="U350" i="6"/>
  <c r="T350" i="6"/>
  <c r="L350" i="6"/>
  <c r="K350" i="6"/>
  <c r="U349" i="6"/>
  <c r="T349" i="6"/>
  <c r="L349" i="6"/>
  <c r="K349" i="6"/>
  <c r="U348" i="6"/>
  <c r="T348" i="6"/>
  <c r="L348" i="6"/>
  <c r="K348" i="6"/>
  <c r="U347" i="6"/>
  <c r="T347" i="6"/>
  <c r="L347" i="6"/>
  <c r="K347" i="6"/>
  <c r="U346" i="6"/>
  <c r="T346" i="6"/>
  <c r="L346" i="6"/>
  <c r="K346" i="6"/>
  <c r="U345" i="6"/>
  <c r="T345" i="6"/>
  <c r="L345" i="6"/>
  <c r="K345" i="6"/>
  <c r="U344" i="6"/>
  <c r="T344" i="6"/>
  <c r="L344" i="6"/>
  <c r="K344" i="6"/>
  <c r="U343" i="6"/>
  <c r="T343" i="6"/>
  <c r="L343" i="6"/>
  <c r="K343" i="6"/>
  <c r="U342" i="6"/>
  <c r="T342" i="6"/>
  <c r="L342" i="6"/>
  <c r="K342" i="6"/>
  <c r="U341" i="6"/>
  <c r="T341" i="6"/>
  <c r="L341" i="6"/>
  <c r="K341" i="6"/>
  <c r="U340" i="6"/>
  <c r="T340" i="6"/>
  <c r="L340" i="6"/>
  <c r="K340" i="6"/>
  <c r="U339" i="6"/>
  <c r="T339" i="6"/>
  <c r="L339" i="6"/>
  <c r="K339" i="6"/>
  <c r="U338" i="6"/>
  <c r="T338" i="6"/>
  <c r="L338" i="6"/>
  <c r="K338" i="6"/>
  <c r="U337" i="6"/>
  <c r="T337" i="6"/>
  <c r="L337" i="6"/>
  <c r="K337" i="6"/>
  <c r="U336" i="6"/>
  <c r="T336" i="6"/>
  <c r="L336" i="6"/>
  <c r="K336" i="6"/>
  <c r="U335" i="6"/>
  <c r="T335" i="6"/>
  <c r="L335" i="6"/>
  <c r="K335" i="6"/>
  <c r="U334" i="6"/>
  <c r="T334" i="6"/>
  <c r="L334" i="6"/>
  <c r="K334" i="6"/>
  <c r="U332" i="6"/>
  <c r="T332" i="6"/>
  <c r="L332" i="6"/>
  <c r="K332" i="6"/>
  <c r="U331" i="6"/>
  <c r="T331" i="6"/>
  <c r="L331" i="6"/>
  <c r="K331" i="6"/>
  <c r="U330" i="6"/>
  <c r="T330" i="6"/>
  <c r="L330" i="6"/>
  <c r="K330" i="6"/>
  <c r="U329" i="6"/>
  <c r="T329" i="6"/>
  <c r="L329" i="6"/>
  <c r="K329" i="6"/>
  <c r="U328" i="6"/>
  <c r="T328" i="6"/>
  <c r="L328" i="6"/>
  <c r="K328" i="6"/>
  <c r="U327" i="6"/>
  <c r="T327" i="6"/>
  <c r="L327" i="6"/>
  <c r="K327" i="6"/>
  <c r="U326" i="6"/>
  <c r="T326" i="6"/>
  <c r="L326" i="6"/>
  <c r="K326" i="6"/>
  <c r="U325" i="6"/>
  <c r="T325" i="6"/>
  <c r="L325" i="6"/>
  <c r="K325" i="6"/>
  <c r="U324" i="6"/>
  <c r="T324" i="6"/>
  <c r="L324" i="6"/>
  <c r="K324" i="6"/>
  <c r="U323" i="6"/>
  <c r="T323" i="6"/>
  <c r="L323" i="6"/>
  <c r="K323" i="6"/>
  <c r="U322" i="6"/>
  <c r="T322" i="6"/>
  <c r="L322" i="6"/>
  <c r="K322" i="6"/>
  <c r="U320" i="6"/>
  <c r="T320" i="6"/>
  <c r="L320" i="6"/>
  <c r="K320" i="6"/>
  <c r="U319" i="6"/>
  <c r="T319" i="6"/>
  <c r="L319" i="6"/>
  <c r="K319" i="6"/>
  <c r="U318" i="6"/>
  <c r="T318" i="6"/>
  <c r="L318" i="6"/>
  <c r="K318" i="6"/>
  <c r="U317" i="6"/>
  <c r="T317" i="6"/>
  <c r="L317" i="6"/>
  <c r="K317" i="6"/>
  <c r="U316" i="6"/>
  <c r="T316" i="6"/>
  <c r="L316" i="6"/>
  <c r="K316" i="6"/>
  <c r="U315" i="6"/>
  <c r="T315" i="6"/>
  <c r="L315" i="6"/>
  <c r="K315" i="6"/>
  <c r="U314" i="6"/>
  <c r="T314" i="6"/>
  <c r="L314" i="6"/>
  <c r="K314" i="6"/>
  <c r="U313" i="6"/>
  <c r="T313" i="6"/>
  <c r="L313" i="6"/>
  <c r="K313" i="6"/>
  <c r="U312" i="6"/>
  <c r="T312" i="6"/>
  <c r="L312" i="6"/>
  <c r="K312" i="6"/>
  <c r="U311" i="6"/>
  <c r="T311" i="6"/>
  <c r="L311" i="6"/>
  <c r="K311" i="6"/>
  <c r="U310" i="6"/>
  <c r="T310" i="6"/>
  <c r="L310" i="6"/>
  <c r="K310" i="6"/>
  <c r="U309" i="6"/>
  <c r="T309" i="6"/>
  <c r="L309" i="6"/>
  <c r="K309" i="6"/>
  <c r="U308" i="6"/>
  <c r="T308" i="6"/>
  <c r="L308" i="6"/>
  <c r="K308" i="6"/>
  <c r="U307" i="6"/>
  <c r="T307" i="6"/>
  <c r="L307" i="6"/>
  <c r="K307" i="6"/>
  <c r="U306" i="6"/>
  <c r="T306" i="6"/>
  <c r="L306" i="6"/>
  <c r="K306" i="6"/>
  <c r="U305" i="6"/>
  <c r="T305" i="6"/>
  <c r="L305" i="6"/>
  <c r="K305" i="6"/>
  <c r="U304" i="6"/>
  <c r="T304" i="6"/>
  <c r="L304" i="6"/>
  <c r="K304" i="6"/>
  <c r="U303" i="6"/>
  <c r="T303" i="6"/>
  <c r="L303" i="6"/>
  <c r="K303" i="6"/>
  <c r="U302" i="6"/>
  <c r="T302" i="6"/>
  <c r="L302" i="6"/>
  <c r="K302" i="6"/>
  <c r="U300" i="6"/>
  <c r="T300" i="6"/>
  <c r="L300" i="6"/>
  <c r="K300" i="6"/>
  <c r="U299" i="6"/>
  <c r="T299" i="6"/>
  <c r="L299" i="6"/>
  <c r="K299" i="6"/>
  <c r="U298" i="6"/>
  <c r="T298" i="6"/>
  <c r="L298" i="6"/>
  <c r="K298" i="6"/>
  <c r="U297" i="6"/>
  <c r="T297" i="6"/>
  <c r="L297" i="6"/>
  <c r="K297" i="6"/>
  <c r="U296" i="6"/>
  <c r="T296" i="6"/>
  <c r="L296" i="6"/>
  <c r="K296" i="6"/>
  <c r="U295" i="6"/>
  <c r="T295" i="6"/>
  <c r="L295" i="6"/>
  <c r="K295" i="6"/>
  <c r="U294" i="6"/>
  <c r="T294" i="6"/>
  <c r="L294" i="6"/>
  <c r="K294" i="6"/>
  <c r="U293" i="6"/>
  <c r="T293" i="6"/>
  <c r="L293" i="6"/>
  <c r="K293" i="6"/>
  <c r="U292" i="6"/>
  <c r="T292" i="6"/>
  <c r="L292" i="6"/>
  <c r="K292" i="6"/>
  <c r="U291" i="6"/>
  <c r="T291" i="6"/>
  <c r="L291" i="6"/>
  <c r="K291" i="6"/>
  <c r="U289" i="6"/>
  <c r="T289" i="6"/>
  <c r="L289" i="6"/>
  <c r="K289" i="6"/>
  <c r="U288" i="6"/>
  <c r="T288" i="6"/>
  <c r="L288" i="6"/>
  <c r="K288" i="6"/>
  <c r="U287" i="6"/>
  <c r="T287" i="6"/>
  <c r="L287" i="6"/>
  <c r="K287" i="6"/>
  <c r="U286" i="6"/>
  <c r="T286" i="6"/>
  <c r="L286" i="6"/>
  <c r="K286" i="6"/>
  <c r="U285" i="6"/>
  <c r="T285" i="6"/>
  <c r="L285" i="6"/>
  <c r="K285" i="6"/>
  <c r="U284" i="6"/>
  <c r="T284" i="6"/>
  <c r="L284" i="6"/>
  <c r="K284" i="6"/>
  <c r="U283" i="6"/>
  <c r="T283" i="6"/>
  <c r="L283" i="6"/>
  <c r="K283" i="6"/>
  <c r="U282" i="6"/>
  <c r="T282" i="6"/>
  <c r="L282" i="6"/>
  <c r="K282" i="6"/>
  <c r="U281" i="6"/>
  <c r="T281" i="6"/>
  <c r="L281" i="6"/>
  <c r="K281" i="6"/>
  <c r="U280" i="6"/>
  <c r="T280" i="6"/>
  <c r="L280" i="6"/>
  <c r="K280" i="6"/>
  <c r="U279" i="6"/>
  <c r="T279" i="6"/>
  <c r="L279" i="6"/>
  <c r="K279" i="6"/>
  <c r="U278" i="6"/>
  <c r="T278" i="6"/>
  <c r="L278" i="6"/>
  <c r="K278" i="6"/>
  <c r="U277" i="6"/>
  <c r="T277" i="6"/>
  <c r="L277" i="6"/>
  <c r="K277" i="6"/>
  <c r="U276" i="6"/>
  <c r="T276" i="6"/>
  <c r="L276" i="6"/>
  <c r="K276" i="6"/>
  <c r="U275" i="6"/>
  <c r="T275" i="6"/>
  <c r="L275" i="6"/>
  <c r="K275" i="6"/>
  <c r="U274" i="6"/>
  <c r="T274" i="6"/>
  <c r="L274" i="6"/>
  <c r="K274" i="6"/>
  <c r="U273" i="6"/>
  <c r="T273" i="6"/>
  <c r="L273" i="6"/>
  <c r="K273" i="6"/>
  <c r="U272" i="6"/>
  <c r="T272" i="6"/>
  <c r="L272" i="6"/>
  <c r="K272" i="6"/>
  <c r="U271" i="6"/>
  <c r="T271" i="6"/>
  <c r="L271" i="6"/>
  <c r="K271" i="6"/>
  <c r="U270" i="6"/>
  <c r="T270" i="6"/>
  <c r="L270" i="6"/>
  <c r="K270" i="6"/>
  <c r="U269" i="6"/>
  <c r="T269" i="6"/>
  <c r="L269" i="6"/>
  <c r="K269" i="6"/>
  <c r="U268" i="6"/>
  <c r="T268" i="6"/>
  <c r="L268" i="6"/>
  <c r="K268" i="6"/>
  <c r="U267" i="6"/>
  <c r="T267" i="6"/>
  <c r="L267" i="6"/>
  <c r="K267" i="6"/>
  <c r="U266" i="6"/>
  <c r="T266" i="6"/>
  <c r="L266" i="6"/>
  <c r="K266" i="6"/>
  <c r="U265" i="6"/>
  <c r="T265" i="6"/>
  <c r="L265" i="6"/>
  <c r="K265" i="6"/>
  <c r="U264" i="6"/>
  <c r="T264" i="6"/>
  <c r="L264" i="6"/>
  <c r="K264" i="6"/>
  <c r="U263" i="6"/>
  <c r="T263" i="6"/>
  <c r="L263" i="6"/>
  <c r="K263" i="6"/>
  <c r="U262" i="6"/>
  <c r="T262" i="6"/>
  <c r="L262" i="6"/>
  <c r="K262" i="6"/>
  <c r="U261" i="6"/>
  <c r="T261" i="6"/>
  <c r="L261" i="6"/>
  <c r="K261" i="6"/>
  <c r="U260" i="6"/>
  <c r="T260" i="6"/>
  <c r="L260" i="6"/>
  <c r="K260" i="6"/>
  <c r="U259" i="6"/>
  <c r="T259" i="6"/>
  <c r="L259" i="6"/>
  <c r="K259" i="6"/>
  <c r="U258" i="6"/>
  <c r="T258" i="6"/>
  <c r="L258" i="6"/>
  <c r="K258" i="6"/>
  <c r="U257" i="6"/>
  <c r="T257" i="6"/>
  <c r="L257" i="6"/>
  <c r="K257" i="6"/>
  <c r="U256" i="6"/>
  <c r="T256" i="6"/>
  <c r="L256" i="6"/>
  <c r="K256" i="6"/>
  <c r="U255" i="6"/>
  <c r="T255" i="6"/>
  <c r="L255" i="6"/>
  <c r="K255" i="6"/>
  <c r="U254" i="6"/>
  <c r="T254" i="6"/>
  <c r="L254" i="6"/>
  <c r="K254" i="6"/>
  <c r="U253" i="6"/>
  <c r="T253" i="6"/>
  <c r="L253" i="6"/>
  <c r="K253" i="6"/>
  <c r="U252" i="6"/>
  <c r="T252" i="6"/>
  <c r="L252" i="6"/>
  <c r="K252" i="6"/>
  <c r="U251" i="6"/>
  <c r="T251" i="6"/>
  <c r="L251" i="6"/>
  <c r="K251" i="6"/>
  <c r="U250" i="6"/>
  <c r="T250" i="6"/>
  <c r="L250" i="6"/>
  <c r="K250" i="6"/>
  <c r="U249" i="6"/>
  <c r="T249" i="6"/>
  <c r="L249" i="6"/>
  <c r="K249" i="6"/>
  <c r="U248" i="6"/>
  <c r="T248" i="6"/>
  <c r="L248" i="6"/>
  <c r="K248" i="6"/>
  <c r="U247" i="6"/>
  <c r="T247" i="6"/>
  <c r="L247" i="6"/>
  <c r="K247" i="6"/>
  <c r="U246" i="6"/>
  <c r="T246" i="6"/>
  <c r="L246" i="6"/>
  <c r="K246" i="6"/>
  <c r="U245" i="6"/>
  <c r="T245" i="6"/>
  <c r="L245" i="6"/>
  <c r="K245" i="6"/>
  <c r="U244" i="6"/>
  <c r="T244" i="6"/>
  <c r="L244" i="6"/>
  <c r="K244" i="6"/>
  <c r="U243" i="6"/>
  <c r="T243" i="6"/>
  <c r="L243" i="6"/>
  <c r="K243" i="6"/>
  <c r="U242" i="6"/>
  <c r="T242" i="6"/>
  <c r="L242" i="6"/>
  <c r="K242" i="6"/>
  <c r="U241" i="6"/>
  <c r="T241" i="6"/>
  <c r="L241" i="6"/>
  <c r="K241" i="6"/>
  <c r="U240" i="6"/>
  <c r="T240" i="6"/>
  <c r="L240" i="6"/>
  <c r="K240" i="6"/>
  <c r="U239" i="6"/>
  <c r="T239" i="6"/>
  <c r="L239" i="6"/>
  <c r="K239" i="6"/>
  <c r="U238" i="6"/>
  <c r="T238" i="6"/>
  <c r="L238" i="6"/>
  <c r="K238" i="6"/>
  <c r="U237" i="6"/>
  <c r="T237" i="6"/>
  <c r="L237" i="6"/>
  <c r="K237" i="6"/>
  <c r="U236" i="6"/>
  <c r="T236" i="6"/>
  <c r="L236" i="6"/>
  <c r="K236" i="6"/>
  <c r="U235" i="6"/>
  <c r="T235" i="6"/>
  <c r="L235" i="6"/>
  <c r="K235" i="6"/>
  <c r="U234" i="6"/>
  <c r="T234" i="6"/>
  <c r="L234" i="6"/>
  <c r="K234" i="6"/>
  <c r="U233" i="6"/>
  <c r="T233" i="6"/>
  <c r="L233" i="6"/>
  <c r="K233" i="6"/>
  <c r="U232" i="6"/>
  <c r="T232" i="6"/>
  <c r="L232" i="6"/>
  <c r="K232" i="6"/>
  <c r="U231" i="6"/>
  <c r="T231" i="6"/>
  <c r="L231" i="6"/>
  <c r="K231" i="6"/>
  <c r="U230" i="6"/>
  <c r="T230" i="6"/>
  <c r="L230" i="6"/>
  <c r="K230" i="6"/>
  <c r="U229" i="6"/>
  <c r="T229" i="6"/>
  <c r="L229" i="6"/>
  <c r="K229" i="6"/>
  <c r="U228" i="6"/>
  <c r="T228" i="6"/>
  <c r="L228" i="6"/>
  <c r="K228" i="6"/>
  <c r="U227" i="6"/>
  <c r="T227" i="6"/>
  <c r="L227" i="6"/>
  <c r="K227" i="6"/>
  <c r="U226" i="6"/>
  <c r="T226" i="6"/>
  <c r="L226" i="6"/>
  <c r="K226" i="6"/>
  <c r="U225" i="6"/>
  <c r="T225" i="6"/>
  <c r="L225" i="6"/>
  <c r="K225" i="6"/>
  <c r="U224" i="6"/>
  <c r="T224" i="6"/>
  <c r="L224" i="6"/>
  <c r="K224" i="6"/>
  <c r="U223" i="6"/>
  <c r="T223" i="6"/>
  <c r="L223" i="6"/>
  <c r="K223" i="6"/>
  <c r="U222" i="6"/>
  <c r="T222" i="6"/>
  <c r="L222" i="6"/>
  <c r="K222" i="6"/>
  <c r="U221" i="6"/>
  <c r="T221" i="6"/>
  <c r="L221" i="6"/>
  <c r="K221" i="6"/>
  <c r="U220" i="6"/>
  <c r="T220" i="6"/>
  <c r="L220" i="6"/>
  <c r="K220" i="6"/>
  <c r="U219" i="6"/>
  <c r="T219" i="6"/>
  <c r="L219" i="6"/>
  <c r="K219" i="6"/>
  <c r="U218" i="6"/>
  <c r="T218" i="6"/>
  <c r="L218" i="6"/>
  <c r="K218" i="6"/>
  <c r="U217" i="6"/>
  <c r="T217" i="6"/>
  <c r="L217" i="6"/>
  <c r="K217" i="6"/>
  <c r="U216" i="6"/>
  <c r="T216" i="6"/>
  <c r="L216" i="6"/>
  <c r="K216" i="6"/>
  <c r="U215" i="6"/>
  <c r="T215" i="6"/>
  <c r="L215" i="6"/>
  <c r="K215" i="6"/>
  <c r="U214" i="6"/>
  <c r="T214" i="6"/>
  <c r="L214" i="6"/>
  <c r="K214" i="6"/>
  <c r="U213" i="6"/>
  <c r="T213" i="6"/>
  <c r="L213" i="6"/>
  <c r="K213" i="6"/>
  <c r="U212" i="6"/>
  <c r="T212" i="6"/>
  <c r="L212" i="6"/>
  <c r="K212" i="6"/>
  <c r="U211" i="6"/>
  <c r="T211" i="6"/>
  <c r="L211" i="6"/>
  <c r="K211" i="6"/>
  <c r="U210" i="6"/>
  <c r="T210" i="6"/>
  <c r="L210" i="6"/>
  <c r="K210" i="6"/>
  <c r="U209" i="6"/>
  <c r="T209" i="6"/>
  <c r="L209" i="6"/>
  <c r="K209" i="6"/>
  <c r="U208" i="6"/>
  <c r="T208" i="6"/>
  <c r="L208" i="6"/>
  <c r="K208" i="6"/>
  <c r="U207" i="6"/>
  <c r="T207" i="6"/>
  <c r="L207" i="6"/>
  <c r="K207" i="6"/>
  <c r="U206" i="6"/>
  <c r="T206" i="6"/>
  <c r="L206" i="6"/>
  <c r="K206" i="6"/>
  <c r="U205" i="6"/>
  <c r="T205" i="6"/>
  <c r="L205" i="6"/>
  <c r="K205" i="6"/>
  <c r="U204" i="6"/>
  <c r="T204" i="6"/>
  <c r="L204" i="6"/>
  <c r="K204" i="6"/>
  <c r="U203" i="6"/>
  <c r="T203" i="6"/>
  <c r="L203" i="6"/>
  <c r="K203" i="6"/>
  <c r="U202" i="6"/>
  <c r="T202" i="6"/>
  <c r="L202" i="6"/>
  <c r="K202" i="6"/>
  <c r="U201" i="6"/>
  <c r="T201" i="6"/>
  <c r="L201" i="6"/>
  <c r="K201" i="6"/>
  <c r="U200" i="6"/>
  <c r="T200" i="6"/>
  <c r="L200" i="6"/>
  <c r="K200" i="6"/>
  <c r="U199" i="6"/>
  <c r="T199" i="6"/>
  <c r="L199" i="6"/>
  <c r="K199" i="6"/>
  <c r="U198" i="6"/>
  <c r="T198" i="6"/>
  <c r="L198" i="6"/>
  <c r="K198" i="6"/>
  <c r="U197" i="6"/>
  <c r="T197" i="6"/>
  <c r="L197" i="6"/>
  <c r="K197" i="6"/>
  <c r="U196" i="6"/>
  <c r="T196" i="6"/>
  <c r="L196" i="6"/>
  <c r="K196" i="6"/>
  <c r="U195" i="6"/>
  <c r="T195" i="6"/>
  <c r="L195" i="6"/>
  <c r="K195" i="6"/>
  <c r="U194" i="6"/>
  <c r="T194" i="6"/>
  <c r="L194" i="6"/>
  <c r="K194" i="6"/>
  <c r="U193" i="6"/>
  <c r="T193" i="6"/>
  <c r="L193" i="6"/>
  <c r="K193" i="6"/>
  <c r="U192" i="6"/>
  <c r="T192" i="6"/>
  <c r="L192" i="6"/>
  <c r="K192" i="6"/>
  <c r="U191" i="6"/>
  <c r="T191" i="6"/>
  <c r="L191" i="6"/>
  <c r="K191" i="6"/>
  <c r="U190" i="6"/>
  <c r="T190" i="6"/>
  <c r="L190" i="6"/>
  <c r="K190" i="6"/>
  <c r="U188" i="6"/>
  <c r="T188" i="6"/>
  <c r="L188" i="6"/>
  <c r="K188" i="6"/>
  <c r="U187" i="6"/>
  <c r="T187" i="6"/>
  <c r="L187" i="6"/>
  <c r="K187" i="6"/>
  <c r="U186" i="6"/>
  <c r="T186" i="6"/>
  <c r="L186" i="6"/>
  <c r="K186" i="6"/>
  <c r="U185" i="6"/>
  <c r="T185" i="6"/>
  <c r="L185" i="6"/>
  <c r="K185" i="6"/>
  <c r="U184" i="6"/>
  <c r="T184" i="6"/>
  <c r="L184" i="6"/>
  <c r="K184" i="6"/>
  <c r="U183" i="6"/>
  <c r="T183" i="6"/>
  <c r="L183" i="6"/>
  <c r="K183" i="6"/>
  <c r="U182" i="6"/>
  <c r="T182" i="6"/>
  <c r="L182" i="6"/>
  <c r="K182" i="6"/>
  <c r="U181" i="6"/>
  <c r="T181" i="6"/>
  <c r="L181" i="6"/>
  <c r="K181" i="6"/>
  <c r="U180" i="6"/>
  <c r="T180" i="6"/>
  <c r="L180" i="6"/>
  <c r="K180" i="6"/>
  <c r="U179" i="6"/>
  <c r="T179" i="6"/>
  <c r="L179" i="6"/>
  <c r="K179" i="6"/>
  <c r="U178" i="6"/>
  <c r="T178" i="6"/>
  <c r="L178" i="6"/>
  <c r="K178" i="6"/>
  <c r="U177" i="6"/>
  <c r="T177" i="6"/>
  <c r="L177" i="6"/>
  <c r="K177" i="6"/>
  <c r="U176" i="6"/>
  <c r="T176" i="6"/>
  <c r="L176" i="6"/>
  <c r="K176" i="6"/>
  <c r="U175" i="6"/>
  <c r="T175" i="6"/>
  <c r="L175" i="6"/>
  <c r="K175" i="6"/>
  <c r="U174" i="6"/>
  <c r="T174" i="6"/>
  <c r="L174" i="6"/>
  <c r="K174" i="6"/>
  <c r="U173" i="6"/>
  <c r="T173" i="6"/>
  <c r="L173" i="6"/>
  <c r="K173" i="6"/>
  <c r="U172" i="6"/>
  <c r="T172" i="6"/>
  <c r="L172" i="6"/>
  <c r="K172" i="6"/>
  <c r="U171" i="6"/>
  <c r="T171" i="6"/>
  <c r="L171" i="6"/>
  <c r="K171" i="6"/>
  <c r="U169" i="6"/>
  <c r="T169" i="6"/>
  <c r="L169" i="6"/>
  <c r="K169" i="6"/>
  <c r="U168" i="6"/>
  <c r="T168" i="6"/>
  <c r="L168" i="6"/>
  <c r="K168" i="6"/>
  <c r="U167" i="6"/>
  <c r="T167" i="6"/>
  <c r="L167" i="6"/>
  <c r="K167" i="6"/>
  <c r="U165" i="6"/>
  <c r="T165" i="6"/>
  <c r="L165" i="6"/>
  <c r="K165" i="6"/>
  <c r="U164" i="6"/>
  <c r="T164" i="6"/>
  <c r="L164" i="6"/>
  <c r="K164" i="6"/>
  <c r="U163" i="6"/>
  <c r="T163" i="6"/>
  <c r="L163" i="6"/>
  <c r="K163" i="6"/>
  <c r="U162" i="6"/>
  <c r="T162" i="6"/>
  <c r="L162" i="6"/>
  <c r="K162" i="6"/>
  <c r="U161" i="6"/>
  <c r="T161" i="6"/>
  <c r="L161" i="6"/>
  <c r="K161" i="6"/>
  <c r="U160" i="6"/>
  <c r="T160" i="6"/>
  <c r="L160" i="6"/>
  <c r="K160" i="6"/>
  <c r="U159" i="6"/>
  <c r="T159" i="6"/>
  <c r="L159" i="6"/>
  <c r="K159" i="6"/>
  <c r="U158" i="6"/>
  <c r="T158" i="6"/>
  <c r="L158" i="6"/>
  <c r="K158" i="6"/>
  <c r="U157" i="6"/>
  <c r="T157" i="6"/>
  <c r="L157" i="6"/>
  <c r="K157" i="6"/>
  <c r="U156" i="6"/>
  <c r="T156" i="6"/>
  <c r="L156" i="6"/>
  <c r="K156" i="6"/>
  <c r="U155" i="6"/>
  <c r="T155" i="6"/>
  <c r="L155" i="6"/>
  <c r="K155" i="6"/>
  <c r="U154" i="6"/>
  <c r="T154" i="6"/>
  <c r="L154" i="6"/>
  <c r="K154" i="6"/>
  <c r="U153" i="6"/>
  <c r="T153" i="6"/>
  <c r="L153" i="6"/>
  <c r="K153" i="6"/>
  <c r="U152" i="6"/>
  <c r="T152" i="6"/>
  <c r="L152" i="6"/>
  <c r="K152" i="6"/>
  <c r="U151" i="6"/>
  <c r="T151" i="6"/>
  <c r="L151" i="6"/>
  <c r="K151" i="6"/>
  <c r="U150" i="6"/>
  <c r="T150" i="6"/>
  <c r="L150" i="6"/>
  <c r="K150" i="6"/>
  <c r="U149" i="6"/>
  <c r="T149" i="6"/>
  <c r="L149" i="6"/>
  <c r="K149" i="6"/>
  <c r="U148" i="6"/>
  <c r="T148" i="6"/>
  <c r="L148" i="6"/>
  <c r="K148" i="6"/>
  <c r="U147" i="6"/>
  <c r="T147" i="6"/>
  <c r="L147" i="6"/>
  <c r="K147" i="6"/>
  <c r="U146" i="6"/>
  <c r="T146" i="6"/>
  <c r="L146" i="6"/>
  <c r="K146" i="6"/>
  <c r="U145" i="6"/>
  <c r="T145" i="6"/>
  <c r="L145" i="6"/>
  <c r="K145" i="6"/>
  <c r="U144" i="6"/>
  <c r="T144" i="6"/>
  <c r="L144" i="6"/>
  <c r="K144" i="6"/>
  <c r="U143" i="6"/>
  <c r="T143" i="6"/>
  <c r="L143" i="6"/>
  <c r="K143" i="6"/>
  <c r="U142" i="6"/>
  <c r="T142" i="6"/>
  <c r="L142" i="6"/>
  <c r="K142" i="6"/>
  <c r="U141" i="6"/>
  <c r="T141" i="6"/>
  <c r="L141" i="6"/>
  <c r="K141" i="6"/>
  <c r="U140" i="6"/>
  <c r="T140" i="6"/>
  <c r="L140" i="6"/>
  <c r="K140" i="6"/>
  <c r="U139" i="6"/>
  <c r="T139" i="6"/>
  <c r="L139" i="6"/>
  <c r="K139" i="6"/>
  <c r="U138" i="6"/>
  <c r="T138" i="6"/>
  <c r="L138" i="6"/>
  <c r="K138" i="6"/>
  <c r="U137" i="6"/>
  <c r="T137" i="6"/>
  <c r="L137" i="6"/>
  <c r="K137" i="6"/>
  <c r="U136" i="6"/>
  <c r="T136" i="6"/>
  <c r="L136" i="6"/>
  <c r="K136" i="6"/>
  <c r="U135" i="6"/>
  <c r="T135" i="6"/>
  <c r="L135" i="6"/>
  <c r="K135" i="6"/>
  <c r="U134" i="6"/>
  <c r="T134" i="6"/>
  <c r="L134" i="6"/>
  <c r="K134" i="6"/>
  <c r="U133" i="6"/>
  <c r="T133" i="6"/>
  <c r="L133" i="6"/>
  <c r="K133" i="6"/>
  <c r="U132" i="6"/>
  <c r="T132" i="6"/>
  <c r="L132" i="6"/>
  <c r="K132" i="6"/>
  <c r="U131" i="6"/>
  <c r="T131" i="6"/>
  <c r="L131" i="6"/>
  <c r="K131" i="6"/>
  <c r="U130" i="6"/>
  <c r="T130" i="6"/>
  <c r="L130" i="6"/>
  <c r="K130" i="6"/>
  <c r="U129" i="6"/>
  <c r="T129" i="6"/>
  <c r="L129" i="6"/>
  <c r="K129" i="6"/>
  <c r="U128" i="6"/>
  <c r="T128" i="6"/>
  <c r="L128" i="6"/>
  <c r="K128" i="6"/>
  <c r="U127" i="6"/>
  <c r="T127" i="6"/>
  <c r="L127" i="6"/>
  <c r="K127" i="6"/>
  <c r="U126" i="6"/>
  <c r="T126" i="6"/>
  <c r="L126" i="6"/>
  <c r="K126" i="6"/>
  <c r="U125" i="6"/>
  <c r="T125" i="6"/>
  <c r="L125" i="6"/>
  <c r="K125" i="6"/>
  <c r="U124" i="6"/>
  <c r="T124" i="6"/>
  <c r="L124" i="6"/>
  <c r="K124" i="6"/>
  <c r="U123" i="6"/>
  <c r="T123" i="6"/>
  <c r="L123" i="6"/>
  <c r="K123" i="6"/>
  <c r="U122" i="6"/>
  <c r="T122" i="6"/>
  <c r="L122" i="6"/>
  <c r="K122" i="6"/>
  <c r="U121" i="6"/>
  <c r="T121" i="6"/>
  <c r="L121" i="6"/>
  <c r="K121" i="6"/>
  <c r="U120" i="6"/>
  <c r="T120" i="6"/>
  <c r="L120" i="6"/>
  <c r="K120" i="6"/>
  <c r="U119" i="6"/>
  <c r="T119" i="6"/>
  <c r="L119" i="6"/>
  <c r="K119" i="6"/>
  <c r="U118" i="6"/>
  <c r="T118" i="6"/>
  <c r="L118" i="6"/>
  <c r="K118" i="6"/>
  <c r="U117" i="6"/>
  <c r="T117" i="6"/>
  <c r="L117" i="6"/>
  <c r="K117" i="6"/>
  <c r="U116" i="6"/>
  <c r="T116" i="6"/>
  <c r="L116" i="6"/>
  <c r="K116" i="6"/>
  <c r="U115" i="6"/>
  <c r="T115" i="6"/>
  <c r="L115" i="6"/>
  <c r="K115" i="6"/>
  <c r="U114" i="6"/>
  <c r="T114" i="6"/>
  <c r="L114" i="6"/>
  <c r="K114" i="6"/>
  <c r="U113" i="6"/>
  <c r="T113" i="6"/>
  <c r="L113" i="6"/>
  <c r="K113" i="6"/>
  <c r="U112" i="6"/>
  <c r="T112" i="6"/>
  <c r="L112" i="6"/>
  <c r="K112" i="6"/>
  <c r="U111" i="6"/>
  <c r="T111" i="6"/>
  <c r="L111" i="6"/>
  <c r="K111" i="6"/>
  <c r="U110" i="6"/>
  <c r="T110" i="6"/>
  <c r="L110" i="6"/>
  <c r="K110" i="6"/>
  <c r="U109" i="6"/>
  <c r="T109" i="6"/>
  <c r="L109" i="6"/>
  <c r="K109" i="6"/>
  <c r="U108" i="6"/>
  <c r="T108" i="6"/>
  <c r="L108" i="6"/>
  <c r="K108" i="6"/>
  <c r="U107" i="6"/>
  <c r="T107" i="6"/>
  <c r="L107" i="6"/>
  <c r="K107" i="6"/>
  <c r="U106" i="6"/>
  <c r="T106" i="6"/>
  <c r="L106" i="6"/>
  <c r="K106" i="6"/>
  <c r="U105" i="6"/>
  <c r="T105" i="6"/>
  <c r="L105" i="6"/>
  <c r="K105" i="6"/>
  <c r="U104" i="6"/>
  <c r="T104" i="6"/>
  <c r="L104" i="6"/>
  <c r="K104" i="6"/>
  <c r="U103" i="6"/>
  <c r="T103" i="6"/>
  <c r="L103" i="6"/>
  <c r="K103" i="6"/>
  <c r="U102" i="6"/>
  <c r="T102" i="6"/>
  <c r="L102" i="6"/>
  <c r="K102" i="6"/>
  <c r="U101" i="6"/>
  <c r="T101" i="6"/>
  <c r="L101" i="6"/>
  <c r="K101" i="6"/>
  <c r="U100" i="6"/>
  <c r="T100" i="6"/>
  <c r="L100" i="6"/>
  <c r="K100" i="6"/>
  <c r="U99" i="6"/>
  <c r="T99" i="6"/>
  <c r="L99" i="6"/>
  <c r="K99" i="6"/>
  <c r="U98" i="6"/>
  <c r="T98" i="6"/>
  <c r="L98" i="6"/>
  <c r="K98" i="6"/>
  <c r="U97" i="6"/>
  <c r="T97" i="6"/>
  <c r="L97" i="6"/>
  <c r="K97" i="6"/>
  <c r="U96" i="6"/>
  <c r="T96" i="6"/>
  <c r="L96" i="6"/>
  <c r="K96" i="6"/>
  <c r="U95" i="6"/>
  <c r="T95" i="6"/>
  <c r="L95" i="6"/>
  <c r="K95" i="6"/>
  <c r="U94" i="6"/>
  <c r="T94" i="6"/>
  <c r="L94" i="6"/>
  <c r="K94" i="6"/>
  <c r="U93" i="6"/>
  <c r="T93" i="6"/>
  <c r="L93" i="6"/>
  <c r="K93" i="6"/>
  <c r="U92" i="6"/>
  <c r="T92" i="6"/>
  <c r="L92" i="6"/>
  <c r="K92" i="6"/>
  <c r="U91" i="6"/>
  <c r="T91" i="6"/>
  <c r="L91" i="6"/>
  <c r="K91" i="6"/>
  <c r="U90" i="6"/>
  <c r="T90" i="6"/>
  <c r="L90" i="6"/>
  <c r="K90" i="6"/>
  <c r="U89" i="6"/>
  <c r="T89" i="6"/>
  <c r="L89" i="6"/>
  <c r="K89" i="6"/>
  <c r="U88" i="6"/>
  <c r="T88" i="6"/>
  <c r="L88" i="6"/>
  <c r="K88" i="6"/>
  <c r="U87" i="6"/>
  <c r="T87" i="6"/>
  <c r="L87" i="6"/>
  <c r="K87" i="6"/>
  <c r="U86" i="6"/>
  <c r="T86" i="6"/>
  <c r="L86" i="6"/>
  <c r="K86" i="6"/>
  <c r="U85" i="6"/>
  <c r="T85" i="6"/>
  <c r="L85" i="6"/>
  <c r="K85" i="6"/>
  <c r="U84" i="6"/>
  <c r="T84" i="6"/>
  <c r="L84" i="6"/>
  <c r="K84" i="6"/>
  <c r="U83" i="6"/>
  <c r="T83" i="6"/>
  <c r="L83" i="6"/>
  <c r="K83" i="6"/>
  <c r="U82" i="6"/>
  <c r="T82" i="6"/>
  <c r="L82" i="6"/>
  <c r="K82" i="6"/>
  <c r="U81" i="6"/>
  <c r="T81" i="6"/>
  <c r="L81" i="6"/>
  <c r="K81" i="6"/>
  <c r="U80" i="6"/>
  <c r="T80" i="6"/>
  <c r="L80" i="6"/>
  <c r="K80" i="6"/>
  <c r="U79" i="6"/>
  <c r="T79" i="6"/>
  <c r="L79" i="6"/>
  <c r="K79" i="6"/>
  <c r="U78" i="6"/>
  <c r="T78" i="6"/>
  <c r="L78" i="6"/>
  <c r="K78" i="6"/>
  <c r="U77" i="6"/>
  <c r="T77" i="6"/>
  <c r="L77" i="6"/>
  <c r="K77" i="6"/>
  <c r="U76" i="6"/>
  <c r="T76" i="6"/>
  <c r="L76" i="6"/>
  <c r="K76" i="6"/>
  <c r="U75" i="6"/>
  <c r="T75" i="6"/>
  <c r="L75" i="6"/>
  <c r="K75" i="6"/>
  <c r="U74" i="6"/>
  <c r="T74" i="6"/>
  <c r="L74" i="6"/>
  <c r="K74" i="6"/>
  <c r="U73" i="6"/>
  <c r="T73" i="6"/>
  <c r="L73" i="6"/>
  <c r="K73" i="6"/>
  <c r="U72" i="6"/>
  <c r="T72" i="6"/>
  <c r="L72" i="6"/>
  <c r="K72" i="6"/>
  <c r="U71" i="6"/>
  <c r="T71" i="6"/>
  <c r="L71" i="6"/>
  <c r="K71" i="6"/>
  <c r="U70" i="6"/>
  <c r="T70" i="6"/>
  <c r="L70" i="6"/>
  <c r="K70" i="6"/>
  <c r="U69" i="6"/>
  <c r="T69" i="6"/>
  <c r="L69" i="6"/>
  <c r="K69" i="6"/>
  <c r="U68" i="6"/>
  <c r="T68" i="6"/>
  <c r="L68" i="6"/>
  <c r="K68" i="6"/>
  <c r="U67" i="6"/>
  <c r="T67" i="6"/>
  <c r="L67" i="6"/>
  <c r="K67" i="6"/>
  <c r="U66" i="6"/>
  <c r="T66" i="6"/>
  <c r="L66" i="6"/>
  <c r="K66" i="6"/>
  <c r="U65" i="6"/>
  <c r="T65" i="6"/>
  <c r="L65" i="6"/>
  <c r="K65" i="6"/>
  <c r="U64" i="6"/>
  <c r="T64" i="6"/>
  <c r="L64" i="6"/>
  <c r="K64" i="6"/>
  <c r="U63" i="6"/>
  <c r="T63" i="6"/>
  <c r="L63" i="6"/>
  <c r="K63" i="6"/>
  <c r="U62" i="6"/>
  <c r="T62" i="6"/>
  <c r="L62" i="6"/>
  <c r="K62" i="6"/>
  <c r="U61" i="6"/>
  <c r="T61" i="6"/>
  <c r="L61" i="6"/>
  <c r="K61" i="6"/>
  <c r="U60" i="6"/>
  <c r="T60" i="6"/>
  <c r="L60" i="6"/>
  <c r="K60" i="6"/>
  <c r="U59" i="6"/>
  <c r="T59" i="6"/>
  <c r="L59" i="6"/>
  <c r="K59" i="6"/>
  <c r="U58" i="6"/>
  <c r="T58" i="6"/>
  <c r="L58" i="6"/>
  <c r="K58" i="6"/>
  <c r="U57" i="6"/>
  <c r="T57" i="6"/>
  <c r="L57" i="6"/>
  <c r="K57" i="6"/>
  <c r="U56" i="6"/>
  <c r="T56" i="6"/>
  <c r="L56" i="6"/>
  <c r="K56" i="6"/>
  <c r="U55" i="6"/>
  <c r="T55" i="6"/>
  <c r="L55" i="6"/>
  <c r="K55" i="6"/>
  <c r="U54" i="6"/>
  <c r="T54" i="6"/>
  <c r="L54" i="6"/>
  <c r="K54" i="6"/>
  <c r="U53" i="6"/>
  <c r="T53" i="6"/>
  <c r="L53" i="6"/>
  <c r="K53" i="6"/>
  <c r="U52" i="6"/>
  <c r="T52" i="6"/>
  <c r="L52" i="6"/>
  <c r="K52" i="6"/>
  <c r="U51" i="6"/>
  <c r="T51" i="6"/>
  <c r="L51" i="6"/>
  <c r="K51" i="6"/>
  <c r="U50" i="6"/>
  <c r="T50" i="6"/>
  <c r="L50" i="6"/>
  <c r="K50" i="6"/>
  <c r="U49" i="6"/>
  <c r="T49" i="6"/>
  <c r="L49" i="6"/>
  <c r="K49" i="6"/>
  <c r="U48" i="6"/>
  <c r="T48" i="6"/>
  <c r="L48" i="6"/>
  <c r="K48" i="6"/>
  <c r="U47" i="6"/>
  <c r="T47" i="6"/>
  <c r="L47" i="6"/>
  <c r="K47" i="6"/>
  <c r="U46" i="6"/>
  <c r="T46" i="6"/>
  <c r="L46" i="6"/>
  <c r="K46" i="6"/>
  <c r="U45" i="6"/>
  <c r="T45" i="6"/>
  <c r="L45" i="6"/>
  <c r="K45" i="6"/>
  <c r="U44" i="6"/>
  <c r="T44" i="6"/>
  <c r="L44" i="6"/>
  <c r="K44" i="6"/>
  <c r="U43" i="6"/>
  <c r="T43" i="6"/>
  <c r="L43" i="6"/>
  <c r="K43" i="6"/>
  <c r="U42" i="6"/>
  <c r="T42" i="6"/>
  <c r="L42" i="6"/>
  <c r="K42" i="6"/>
  <c r="U41" i="6"/>
  <c r="T41" i="6"/>
  <c r="L41" i="6"/>
  <c r="K41" i="6"/>
  <c r="U40" i="6"/>
  <c r="T40" i="6"/>
  <c r="L40" i="6"/>
  <c r="K40" i="6"/>
  <c r="U39" i="6"/>
  <c r="T39" i="6"/>
  <c r="L39" i="6"/>
  <c r="K39" i="6"/>
  <c r="U38" i="6"/>
  <c r="T38" i="6"/>
  <c r="L38" i="6"/>
  <c r="K38" i="6"/>
  <c r="U37" i="6"/>
  <c r="T37" i="6"/>
  <c r="L37" i="6"/>
  <c r="K37" i="6"/>
  <c r="U36" i="6"/>
  <c r="T36" i="6"/>
  <c r="L36" i="6"/>
  <c r="K36" i="6"/>
  <c r="U35" i="6"/>
  <c r="T35" i="6"/>
  <c r="L35" i="6"/>
  <c r="K35" i="6"/>
  <c r="U34" i="6"/>
  <c r="T34" i="6"/>
  <c r="L34" i="6"/>
  <c r="K34" i="6"/>
  <c r="U33" i="6"/>
  <c r="T33" i="6"/>
  <c r="L33" i="6"/>
  <c r="K33" i="6"/>
  <c r="U32" i="6"/>
  <c r="T32" i="6"/>
  <c r="L32" i="6"/>
  <c r="K32" i="6"/>
  <c r="U31" i="6"/>
  <c r="T31" i="6"/>
  <c r="L31" i="6"/>
  <c r="K31" i="6"/>
  <c r="U30" i="6"/>
  <c r="T30" i="6"/>
  <c r="L30" i="6"/>
  <c r="K30" i="6"/>
  <c r="U29" i="6"/>
  <c r="T29" i="6"/>
  <c r="L29" i="6"/>
  <c r="K29" i="6"/>
  <c r="U28" i="6"/>
  <c r="T28" i="6"/>
  <c r="L28" i="6"/>
  <c r="K28" i="6"/>
  <c r="U27" i="6"/>
  <c r="T27" i="6"/>
  <c r="L27" i="6"/>
  <c r="K27" i="6"/>
  <c r="U26" i="6"/>
  <c r="T26" i="6"/>
  <c r="L26" i="6"/>
  <c r="K26" i="6"/>
  <c r="U25" i="6"/>
  <c r="T25" i="6"/>
  <c r="L25" i="6"/>
  <c r="K25" i="6"/>
  <c r="U24" i="6"/>
  <c r="T24" i="6"/>
  <c r="L24" i="6"/>
  <c r="K24" i="6"/>
  <c r="U23" i="6"/>
  <c r="T23" i="6"/>
  <c r="L23" i="6"/>
  <c r="K23" i="6"/>
  <c r="U22" i="6"/>
  <c r="T22" i="6"/>
  <c r="L22" i="6"/>
  <c r="K22" i="6"/>
  <c r="U21" i="6"/>
  <c r="T21" i="6"/>
  <c r="L21" i="6"/>
  <c r="K21" i="6"/>
  <c r="U20" i="6"/>
  <c r="T20" i="6"/>
  <c r="L20" i="6"/>
  <c r="K20" i="6"/>
  <c r="U19" i="6"/>
  <c r="T19" i="6"/>
  <c r="L19" i="6"/>
  <c r="K19" i="6"/>
  <c r="U18" i="6"/>
  <c r="T18" i="6"/>
  <c r="L18" i="6"/>
  <c r="K18" i="6"/>
  <c r="U17" i="6"/>
  <c r="T17" i="6"/>
  <c r="L17" i="6"/>
  <c r="K17" i="6"/>
  <c r="U16" i="6"/>
  <c r="T16" i="6"/>
  <c r="L16" i="6"/>
  <c r="K16" i="6"/>
  <c r="U15" i="6"/>
  <c r="T15" i="6"/>
  <c r="L15" i="6"/>
  <c r="K15" i="6"/>
  <c r="U14" i="6"/>
  <c r="T14" i="6"/>
  <c r="L14" i="6"/>
  <c r="K14" i="6"/>
  <c r="U13" i="6"/>
  <c r="T13" i="6"/>
  <c r="L13" i="6"/>
  <c r="K13" i="6"/>
  <c r="U12" i="6"/>
  <c r="T12" i="6"/>
  <c r="L12" i="6"/>
  <c r="K12" i="6"/>
  <c r="U11" i="6"/>
  <c r="T11" i="6"/>
  <c r="L11" i="6"/>
  <c r="K11" i="6"/>
  <c r="U10" i="6"/>
  <c r="T10" i="6"/>
  <c r="L10" i="6"/>
  <c r="K10" i="6"/>
  <c r="Q322" i="19"/>
  <c r="P322" i="19"/>
  <c r="F322" i="19"/>
  <c r="E322" i="19"/>
  <c r="Q321" i="19"/>
  <c r="P321" i="19"/>
  <c r="F321" i="19"/>
  <c r="E321" i="19"/>
  <c r="Q320" i="19"/>
  <c r="P320" i="19"/>
  <c r="F320" i="19"/>
  <c r="E320" i="19"/>
  <c r="Q319" i="19"/>
  <c r="P319" i="19"/>
  <c r="F319" i="19"/>
  <c r="E319" i="19"/>
  <c r="Q318" i="19"/>
  <c r="P318" i="19"/>
  <c r="F318" i="19"/>
  <c r="E318" i="19"/>
  <c r="Q317" i="19"/>
  <c r="P317" i="19"/>
  <c r="F317" i="19"/>
  <c r="E317" i="19"/>
  <c r="Q316" i="19"/>
  <c r="P316" i="19"/>
  <c r="F316" i="19"/>
  <c r="E316" i="19"/>
  <c r="Q315" i="19"/>
  <c r="P315" i="19"/>
  <c r="F315" i="19"/>
  <c r="E315" i="19"/>
  <c r="Q314" i="19"/>
  <c r="P314" i="19"/>
  <c r="F314" i="19"/>
  <c r="E314" i="19"/>
  <c r="Q313" i="19"/>
  <c r="P313" i="19"/>
  <c r="F313" i="19"/>
  <c r="E313" i="19"/>
  <c r="Q312" i="19"/>
  <c r="P312" i="19"/>
  <c r="F312" i="19"/>
  <c r="E312" i="19"/>
  <c r="Q311" i="19"/>
  <c r="P311" i="19"/>
  <c r="F311" i="19"/>
  <c r="E311" i="19"/>
  <c r="Q310" i="19"/>
  <c r="P310" i="19"/>
  <c r="F310" i="19"/>
  <c r="E310" i="19"/>
  <c r="Q309" i="19"/>
  <c r="P309" i="19"/>
  <c r="F309" i="19"/>
  <c r="E309" i="19"/>
  <c r="Q308" i="19"/>
  <c r="P308" i="19"/>
  <c r="F308" i="19"/>
  <c r="E308" i="19"/>
  <c r="Q307" i="19"/>
  <c r="P307" i="19"/>
  <c r="F307" i="19"/>
  <c r="E307" i="19"/>
  <c r="Q306" i="19"/>
  <c r="P306" i="19"/>
  <c r="F306" i="19"/>
  <c r="E306" i="19"/>
  <c r="Q305" i="19"/>
  <c r="P305" i="19"/>
  <c r="F305" i="19"/>
  <c r="E305" i="19"/>
  <c r="Q304" i="19"/>
  <c r="P304" i="19"/>
  <c r="F304" i="19"/>
  <c r="E304" i="19"/>
  <c r="Q303" i="19"/>
  <c r="P303" i="19"/>
  <c r="F303" i="19"/>
  <c r="E303" i="19"/>
  <c r="Q302" i="19"/>
  <c r="P302" i="19"/>
  <c r="F302" i="19"/>
  <c r="E302" i="19"/>
  <c r="Q301" i="19"/>
  <c r="P301" i="19"/>
  <c r="F301" i="19"/>
  <c r="E301" i="19"/>
  <c r="Q300" i="19"/>
  <c r="P300" i="19"/>
  <c r="F300" i="19"/>
  <c r="E300" i="19"/>
  <c r="Q299" i="19"/>
  <c r="P299" i="19"/>
  <c r="F299" i="19"/>
  <c r="E299" i="19"/>
  <c r="Q298" i="19"/>
  <c r="P298" i="19"/>
  <c r="F298" i="19"/>
  <c r="E298" i="19"/>
  <c r="Q297" i="19"/>
  <c r="P297" i="19"/>
  <c r="F297" i="19"/>
  <c r="E297" i="19"/>
  <c r="Q296" i="19"/>
  <c r="P296" i="19"/>
  <c r="F296" i="19"/>
  <c r="E296" i="19"/>
  <c r="Q295" i="19"/>
  <c r="P295" i="19"/>
  <c r="F295" i="19"/>
  <c r="E295" i="19"/>
  <c r="Q294" i="19"/>
  <c r="P294" i="19"/>
  <c r="F294" i="19"/>
  <c r="E294" i="19"/>
  <c r="Q293" i="19"/>
  <c r="P293" i="19"/>
  <c r="F293" i="19"/>
  <c r="E293" i="19"/>
  <c r="Q292" i="19"/>
  <c r="P292" i="19"/>
  <c r="F292" i="19"/>
  <c r="E292" i="19"/>
  <c r="Q291" i="19"/>
  <c r="P291" i="19"/>
  <c r="F291" i="19"/>
  <c r="E291" i="19"/>
  <c r="Q290" i="19"/>
  <c r="P290" i="19"/>
  <c r="F290" i="19"/>
  <c r="E290" i="19"/>
  <c r="Q289" i="19"/>
  <c r="P289" i="19"/>
  <c r="F289" i="19"/>
  <c r="E289" i="19"/>
  <c r="Q288" i="19"/>
  <c r="P288" i="19"/>
  <c r="F288" i="19"/>
  <c r="E288" i="19"/>
  <c r="Q287" i="19"/>
  <c r="P287" i="19"/>
  <c r="F287" i="19"/>
  <c r="E287" i="19"/>
  <c r="Q286" i="19"/>
  <c r="P286" i="19"/>
  <c r="F286" i="19"/>
  <c r="E286" i="19"/>
  <c r="Q285" i="19"/>
  <c r="P285" i="19"/>
  <c r="F285" i="19"/>
  <c r="E285" i="19"/>
  <c r="Q284" i="19"/>
  <c r="P284" i="19"/>
  <c r="F284" i="19"/>
  <c r="E284" i="19"/>
  <c r="Q283" i="19"/>
  <c r="P283" i="19"/>
  <c r="F283" i="19"/>
  <c r="E283" i="19"/>
  <c r="Q282" i="19"/>
  <c r="P282" i="19"/>
  <c r="F282" i="19"/>
  <c r="E282" i="19"/>
  <c r="Q281" i="19"/>
  <c r="P281" i="19"/>
  <c r="F281" i="19"/>
  <c r="E281" i="19"/>
  <c r="Q280" i="19"/>
  <c r="P280" i="19"/>
  <c r="F280" i="19"/>
  <c r="E280" i="19"/>
  <c r="Q279" i="19"/>
  <c r="P279" i="19"/>
  <c r="F279" i="19"/>
  <c r="E279" i="19"/>
  <c r="Q278" i="19"/>
  <c r="P278" i="19"/>
  <c r="F278" i="19"/>
  <c r="E278" i="19"/>
  <c r="Q277" i="19"/>
  <c r="P277" i="19"/>
  <c r="F277" i="19"/>
  <c r="E277" i="19"/>
  <c r="Q276" i="19"/>
  <c r="P276" i="19"/>
  <c r="F276" i="19"/>
  <c r="E276" i="19"/>
  <c r="Q275" i="19"/>
  <c r="P275" i="19"/>
  <c r="F275" i="19"/>
  <c r="E275" i="19"/>
  <c r="Q274" i="19"/>
  <c r="P274" i="19"/>
  <c r="F274" i="19"/>
  <c r="E274" i="19"/>
  <c r="Q273" i="19"/>
  <c r="P273" i="19"/>
  <c r="F273" i="19"/>
  <c r="E273" i="19"/>
  <c r="Q272" i="19"/>
  <c r="P272" i="19"/>
  <c r="F272" i="19"/>
  <c r="E272" i="19"/>
  <c r="Q271" i="19"/>
  <c r="P271" i="19"/>
  <c r="F271" i="19"/>
  <c r="E271" i="19"/>
  <c r="Q270" i="19"/>
  <c r="P270" i="19"/>
  <c r="F270" i="19"/>
  <c r="E270" i="19"/>
  <c r="Q269" i="19"/>
  <c r="P269" i="19"/>
  <c r="F269" i="19"/>
  <c r="E269" i="19"/>
  <c r="Q268" i="19"/>
  <c r="P268" i="19"/>
  <c r="F268" i="19"/>
  <c r="E268" i="19"/>
  <c r="Q267" i="19"/>
  <c r="P267" i="19"/>
  <c r="F267" i="19"/>
  <c r="E267" i="19"/>
  <c r="Q266" i="19"/>
  <c r="P266" i="19"/>
  <c r="F266" i="19"/>
  <c r="E266" i="19"/>
  <c r="Q265" i="19"/>
  <c r="P265" i="19"/>
  <c r="F265" i="19"/>
  <c r="E265" i="19"/>
  <c r="Q264" i="19"/>
  <c r="P264" i="19"/>
  <c r="F264" i="19"/>
  <c r="E264" i="19"/>
  <c r="Q263" i="19"/>
  <c r="P263" i="19"/>
  <c r="F263" i="19"/>
  <c r="E263" i="19"/>
  <c r="Q262" i="19"/>
  <c r="P262" i="19"/>
  <c r="F262" i="19"/>
  <c r="E262" i="19"/>
  <c r="Q261" i="19"/>
  <c r="P261" i="19"/>
  <c r="F261" i="19"/>
  <c r="E261" i="19"/>
  <c r="Q260" i="19"/>
  <c r="P260" i="19"/>
  <c r="F260" i="19"/>
  <c r="E260" i="19"/>
  <c r="Q259" i="19"/>
  <c r="P259" i="19"/>
  <c r="F259" i="19"/>
  <c r="E259" i="19"/>
  <c r="Q258" i="19"/>
  <c r="P258" i="19"/>
  <c r="F258" i="19"/>
  <c r="E258" i="19"/>
  <c r="Q257" i="19"/>
  <c r="P257" i="19"/>
  <c r="F257" i="19"/>
  <c r="E257" i="19"/>
  <c r="Q256" i="19"/>
  <c r="P256" i="19"/>
  <c r="F256" i="19"/>
  <c r="E256" i="19"/>
  <c r="Q255" i="19"/>
  <c r="P255" i="19"/>
  <c r="F255" i="19"/>
  <c r="E255" i="19"/>
  <c r="Q254" i="19"/>
  <c r="P254" i="19"/>
  <c r="F254" i="19"/>
  <c r="E254" i="19"/>
  <c r="Q253" i="19"/>
  <c r="P253" i="19"/>
  <c r="F253" i="19"/>
  <c r="E253" i="19"/>
  <c r="Q252" i="19"/>
  <c r="P252" i="19"/>
  <c r="F252" i="19"/>
  <c r="E252" i="19"/>
  <c r="Q251" i="19"/>
  <c r="P251" i="19"/>
  <c r="F251" i="19"/>
  <c r="E251" i="19"/>
  <c r="Q250" i="19"/>
  <c r="P250" i="19"/>
  <c r="F250" i="19"/>
  <c r="E250" i="19"/>
  <c r="Q249" i="19"/>
  <c r="P249" i="19"/>
  <c r="F249" i="19"/>
  <c r="E249" i="19"/>
  <c r="Q248" i="19"/>
  <c r="P248" i="19"/>
  <c r="F248" i="19"/>
  <c r="E248" i="19"/>
  <c r="Q247" i="19"/>
  <c r="P247" i="19"/>
  <c r="F247" i="19"/>
  <c r="E247" i="19"/>
  <c r="Q246" i="19"/>
  <c r="P246" i="19"/>
  <c r="F246" i="19"/>
  <c r="E246" i="19"/>
  <c r="Q245" i="19"/>
  <c r="P245" i="19"/>
  <c r="F245" i="19"/>
  <c r="E245" i="19"/>
  <c r="Q244" i="19"/>
  <c r="P244" i="19"/>
  <c r="F244" i="19"/>
  <c r="E244" i="19"/>
  <c r="Q243" i="19"/>
  <c r="P243" i="19"/>
  <c r="F243" i="19"/>
  <c r="E243" i="19"/>
  <c r="Q242" i="19"/>
  <c r="P242" i="19"/>
  <c r="F242" i="19"/>
  <c r="E242" i="19"/>
  <c r="Q241" i="19"/>
  <c r="P241" i="19"/>
  <c r="F241" i="19"/>
  <c r="E241" i="19"/>
  <c r="Q240" i="19"/>
  <c r="P240" i="19"/>
  <c r="F240" i="19"/>
  <c r="E240" i="19"/>
  <c r="Q239" i="19"/>
  <c r="P239" i="19"/>
  <c r="F239" i="19"/>
  <c r="E239" i="19"/>
  <c r="Q238" i="19"/>
  <c r="P238" i="19"/>
  <c r="F238" i="19"/>
  <c r="E238" i="19"/>
  <c r="Q237" i="19"/>
  <c r="P237" i="19"/>
  <c r="F237" i="19"/>
  <c r="E237" i="19"/>
  <c r="Q236" i="19"/>
  <c r="P236" i="19"/>
  <c r="F236" i="19"/>
  <c r="E236" i="19"/>
  <c r="Q235" i="19"/>
  <c r="P235" i="19"/>
  <c r="F235" i="19"/>
  <c r="E235" i="19"/>
  <c r="Q234" i="19"/>
  <c r="P234" i="19"/>
  <c r="F234" i="19"/>
  <c r="E234" i="19"/>
  <c r="Q233" i="19"/>
  <c r="P233" i="19"/>
  <c r="F233" i="19"/>
  <c r="E233" i="19"/>
  <c r="Q232" i="19"/>
  <c r="P232" i="19"/>
  <c r="F232" i="19"/>
  <c r="E232" i="19"/>
  <c r="Q231" i="19"/>
  <c r="P231" i="19"/>
  <c r="F231" i="19"/>
  <c r="E231" i="19"/>
  <c r="Q230" i="19"/>
  <c r="P230" i="19"/>
  <c r="F230" i="19"/>
  <c r="E230" i="19"/>
  <c r="Q229" i="19"/>
  <c r="P229" i="19"/>
  <c r="F229" i="19"/>
  <c r="E229" i="19"/>
  <c r="Q228" i="19"/>
  <c r="P228" i="19"/>
  <c r="F228" i="19"/>
  <c r="E228" i="19"/>
  <c r="Q227" i="19"/>
  <c r="P227" i="19"/>
  <c r="F227" i="19"/>
  <c r="E227" i="19"/>
  <c r="Q226" i="19"/>
  <c r="P226" i="19"/>
  <c r="F226" i="19"/>
  <c r="E226" i="19"/>
  <c r="Q225" i="19"/>
  <c r="P225" i="19"/>
  <c r="F225" i="19"/>
  <c r="E225" i="19"/>
  <c r="Q224" i="19"/>
  <c r="P224" i="19"/>
  <c r="F224" i="19"/>
  <c r="E224" i="19"/>
  <c r="Q223" i="19"/>
  <c r="P223" i="19"/>
  <c r="F223" i="19"/>
  <c r="E223" i="19"/>
  <c r="Q222" i="19"/>
  <c r="P222" i="19"/>
  <c r="F222" i="19"/>
  <c r="E222" i="19"/>
  <c r="Q221" i="19"/>
  <c r="P221" i="19"/>
  <c r="F221" i="19"/>
  <c r="E221" i="19"/>
  <c r="Q220" i="19"/>
  <c r="P220" i="19"/>
  <c r="F220" i="19"/>
  <c r="E220" i="19"/>
  <c r="Q219" i="19"/>
  <c r="P219" i="19"/>
  <c r="F219" i="19"/>
  <c r="E219" i="19"/>
  <c r="Q218" i="19"/>
  <c r="P218" i="19"/>
  <c r="F218" i="19"/>
  <c r="E218" i="19"/>
  <c r="Q217" i="19"/>
  <c r="P217" i="19"/>
  <c r="F217" i="19"/>
  <c r="E217" i="19"/>
  <c r="Q216" i="19"/>
  <c r="P216" i="19"/>
  <c r="F216" i="19"/>
  <c r="E216" i="19"/>
  <c r="Q215" i="19"/>
  <c r="P215" i="19"/>
  <c r="F215" i="19"/>
  <c r="E215" i="19"/>
  <c r="Q214" i="19"/>
  <c r="P214" i="19"/>
  <c r="F214" i="19"/>
  <c r="E214" i="19"/>
  <c r="Q213" i="19"/>
  <c r="P213" i="19"/>
  <c r="F213" i="19"/>
  <c r="E213" i="19"/>
  <c r="Q212" i="19"/>
  <c r="P212" i="19"/>
  <c r="F212" i="19"/>
  <c r="E212" i="19"/>
  <c r="Q211" i="19"/>
  <c r="P211" i="19"/>
  <c r="F211" i="19"/>
  <c r="E211" i="19"/>
  <c r="Q210" i="19"/>
  <c r="P210" i="19"/>
  <c r="F210" i="19"/>
  <c r="E210" i="19"/>
  <c r="Q209" i="19"/>
  <c r="P209" i="19"/>
  <c r="F209" i="19"/>
  <c r="E209" i="19"/>
  <c r="Q208" i="19"/>
  <c r="P208" i="19"/>
  <c r="F208" i="19"/>
  <c r="E208" i="19"/>
  <c r="Q207" i="19"/>
  <c r="P207" i="19"/>
  <c r="F207" i="19"/>
  <c r="E207" i="19"/>
  <c r="Q206" i="19"/>
  <c r="P206" i="19"/>
  <c r="F206" i="19"/>
  <c r="E206" i="19"/>
  <c r="Q205" i="19"/>
  <c r="P205" i="19"/>
  <c r="F205" i="19"/>
  <c r="E205" i="19"/>
  <c r="Q204" i="19"/>
  <c r="P204" i="19"/>
  <c r="F204" i="19"/>
  <c r="E204" i="19"/>
  <c r="Q203" i="19"/>
  <c r="P203" i="19"/>
  <c r="F203" i="19"/>
  <c r="E203" i="19"/>
  <c r="Q202" i="19"/>
  <c r="P202" i="19"/>
  <c r="F202" i="19"/>
  <c r="E202" i="19"/>
  <c r="Q201" i="19"/>
  <c r="P201" i="19"/>
  <c r="F201" i="19"/>
  <c r="E201" i="19"/>
  <c r="Q200" i="19"/>
  <c r="P200" i="19"/>
  <c r="F200" i="19"/>
  <c r="E200" i="19"/>
  <c r="Q199" i="19"/>
  <c r="P199" i="19"/>
  <c r="F199" i="19"/>
  <c r="E199" i="19"/>
  <c r="Q198" i="19"/>
  <c r="P198" i="19"/>
  <c r="F198" i="19"/>
  <c r="E198" i="19"/>
  <c r="Q197" i="19"/>
  <c r="P197" i="19"/>
  <c r="F197" i="19"/>
  <c r="E197" i="19"/>
  <c r="Q196" i="19"/>
  <c r="P196" i="19"/>
  <c r="F196" i="19"/>
  <c r="E196" i="19"/>
  <c r="Q195" i="19"/>
  <c r="P195" i="19"/>
  <c r="F195" i="19"/>
  <c r="E195" i="19"/>
  <c r="Q194" i="19"/>
  <c r="P194" i="19"/>
  <c r="F194" i="19"/>
  <c r="E194" i="19"/>
  <c r="Q193" i="19"/>
  <c r="P193" i="19"/>
  <c r="F193" i="19"/>
  <c r="E193" i="19"/>
  <c r="Q192" i="19"/>
  <c r="P192" i="19"/>
  <c r="F192" i="19"/>
  <c r="E192" i="19"/>
  <c r="Q191" i="19"/>
  <c r="P191" i="19"/>
  <c r="F191" i="19"/>
  <c r="E191" i="19"/>
  <c r="Q190" i="19"/>
  <c r="P190" i="19"/>
  <c r="F190" i="19"/>
  <c r="E190" i="19"/>
  <c r="Q189" i="19"/>
  <c r="P189" i="19"/>
  <c r="F189" i="19"/>
  <c r="E189" i="19"/>
  <c r="Q188" i="19"/>
  <c r="P188" i="19"/>
  <c r="F188" i="19"/>
  <c r="E188" i="19"/>
  <c r="Q187" i="19"/>
  <c r="P187" i="19"/>
  <c r="F187" i="19"/>
  <c r="E187" i="19"/>
  <c r="Q186" i="19"/>
  <c r="P186" i="19"/>
  <c r="F186" i="19"/>
  <c r="E186" i="19"/>
  <c r="Q185" i="19"/>
  <c r="P185" i="19"/>
  <c r="F185" i="19"/>
  <c r="E185" i="19"/>
  <c r="Q184" i="19"/>
  <c r="P184" i="19"/>
  <c r="F184" i="19"/>
  <c r="E184" i="19"/>
  <c r="Q183" i="19"/>
  <c r="P183" i="19"/>
  <c r="F183" i="19"/>
  <c r="E183" i="19"/>
  <c r="Q182" i="19"/>
  <c r="P182" i="19"/>
  <c r="F182" i="19"/>
  <c r="E182" i="19"/>
  <c r="Q181" i="19"/>
  <c r="P181" i="19"/>
  <c r="F181" i="19"/>
  <c r="E181" i="19"/>
  <c r="Q180" i="19"/>
  <c r="P180" i="19"/>
  <c r="F180" i="19"/>
  <c r="E180" i="19"/>
  <c r="Q179" i="19"/>
  <c r="P179" i="19"/>
  <c r="F179" i="19"/>
  <c r="E179" i="19"/>
  <c r="Q178" i="19"/>
  <c r="P178" i="19"/>
  <c r="F178" i="19"/>
  <c r="E178" i="19"/>
  <c r="Q177" i="19"/>
  <c r="P177" i="19"/>
  <c r="F177" i="19"/>
  <c r="E177" i="19"/>
  <c r="Q176" i="19"/>
  <c r="P176" i="19"/>
  <c r="F176" i="19"/>
  <c r="E176" i="19"/>
  <c r="Q175" i="19"/>
  <c r="P175" i="19"/>
  <c r="F175" i="19"/>
  <c r="E175" i="19"/>
  <c r="Q174" i="19"/>
  <c r="P174" i="19"/>
  <c r="F174" i="19"/>
  <c r="E174" i="19"/>
  <c r="Q173" i="19"/>
  <c r="P173" i="19"/>
  <c r="F173" i="19"/>
  <c r="E173" i="19"/>
  <c r="Q172" i="19"/>
  <c r="P172" i="19"/>
  <c r="F172" i="19"/>
  <c r="E172" i="19"/>
  <c r="Q171" i="19"/>
  <c r="P171" i="19"/>
  <c r="F171" i="19"/>
  <c r="E171" i="19"/>
  <c r="Q170" i="19"/>
  <c r="P170" i="19"/>
  <c r="F170" i="19"/>
  <c r="E170" i="19"/>
  <c r="Q169" i="19"/>
  <c r="P169" i="19"/>
  <c r="F169" i="19"/>
  <c r="E169" i="19"/>
  <c r="Q168" i="19"/>
  <c r="P168" i="19"/>
  <c r="F168" i="19"/>
  <c r="E168" i="19"/>
  <c r="Q167" i="19"/>
  <c r="P167" i="19"/>
  <c r="F167" i="19"/>
  <c r="E167" i="19"/>
  <c r="Q166" i="19"/>
  <c r="P166" i="19"/>
  <c r="F166" i="19"/>
  <c r="E166" i="19"/>
  <c r="Q165" i="19"/>
  <c r="P165" i="19"/>
  <c r="F165" i="19"/>
  <c r="E165" i="19"/>
  <c r="Q164" i="19"/>
  <c r="P164" i="19"/>
  <c r="F164" i="19"/>
  <c r="E164" i="19"/>
  <c r="Q163" i="19"/>
  <c r="P163" i="19"/>
  <c r="F163" i="19"/>
  <c r="E163" i="19"/>
  <c r="Q162" i="19"/>
  <c r="P162" i="19"/>
  <c r="F162" i="19"/>
  <c r="E162" i="19"/>
  <c r="Q161" i="19"/>
  <c r="P161" i="19"/>
  <c r="F161" i="19"/>
  <c r="E161" i="19"/>
  <c r="Q160" i="19"/>
  <c r="P160" i="19"/>
  <c r="F160" i="19"/>
  <c r="E160" i="19"/>
  <c r="Q159" i="19"/>
  <c r="P159" i="19"/>
  <c r="F159" i="19"/>
  <c r="E159" i="19"/>
  <c r="Q158" i="19"/>
  <c r="P158" i="19"/>
  <c r="F158" i="19"/>
  <c r="E158" i="19"/>
  <c r="Q157" i="19"/>
  <c r="P157" i="19"/>
  <c r="F157" i="19"/>
  <c r="E157" i="19"/>
  <c r="Q156" i="19"/>
  <c r="P156" i="19"/>
  <c r="F156" i="19"/>
  <c r="E156" i="19"/>
  <c r="Q155" i="19"/>
  <c r="P155" i="19"/>
  <c r="F155" i="19"/>
  <c r="E155" i="19"/>
  <c r="Q154" i="19"/>
  <c r="P154" i="19"/>
  <c r="F154" i="19"/>
  <c r="E154" i="19"/>
  <c r="Q153" i="19"/>
  <c r="P153" i="19"/>
  <c r="F153" i="19"/>
  <c r="E153" i="19"/>
  <c r="Q152" i="19"/>
  <c r="P152" i="19"/>
  <c r="F152" i="19"/>
  <c r="E152" i="19"/>
  <c r="Q151" i="19"/>
  <c r="P151" i="19"/>
  <c r="F151" i="19"/>
  <c r="E151" i="19"/>
  <c r="Q150" i="19"/>
  <c r="P150" i="19"/>
  <c r="F150" i="19"/>
  <c r="E150" i="19"/>
  <c r="Q149" i="19"/>
  <c r="P149" i="19"/>
  <c r="F149" i="19"/>
  <c r="E149" i="19"/>
  <c r="Q148" i="19"/>
  <c r="P148" i="19"/>
  <c r="F148" i="19"/>
  <c r="E148" i="19"/>
  <c r="Q147" i="19"/>
  <c r="P147" i="19"/>
  <c r="F147" i="19"/>
  <c r="E147" i="19"/>
  <c r="Q146" i="19"/>
  <c r="P146" i="19"/>
  <c r="F146" i="19"/>
  <c r="E146" i="19"/>
  <c r="Q145" i="19"/>
  <c r="P145" i="19"/>
  <c r="F145" i="19"/>
  <c r="E145" i="19"/>
  <c r="Q144" i="19"/>
  <c r="P144" i="19"/>
  <c r="F144" i="19"/>
  <c r="E144" i="19"/>
  <c r="Q143" i="19"/>
  <c r="P143" i="19"/>
  <c r="F143" i="19"/>
  <c r="E143" i="19"/>
  <c r="Q142" i="19"/>
  <c r="P142" i="19"/>
  <c r="F142" i="19"/>
  <c r="E142" i="19"/>
  <c r="Q141" i="19"/>
  <c r="P141" i="19"/>
  <c r="F141" i="19"/>
  <c r="E141" i="19"/>
  <c r="Q140" i="19"/>
  <c r="P140" i="19"/>
  <c r="F140" i="19"/>
  <c r="E140" i="19"/>
  <c r="Q139" i="19"/>
  <c r="P139" i="19"/>
  <c r="F139" i="19"/>
  <c r="E139" i="19"/>
  <c r="Q138" i="19"/>
  <c r="P138" i="19"/>
  <c r="F138" i="19"/>
  <c r="E138" i="19"/>
  <c r="Q137" i="19"/>
  <c r="P137" i="19"/>
  <c r="F137" i="19"/>
  <c r="E137" i="19"/>
  <c r="Q136" i="19"/>
  <c r="P136" i="19"/>
  <c r="F136" i="19"/>
  <c r="E136" i="19"/>
  <c r="Q135" i="19"/>
  <c r="P135" i="19"/>
  <c r="F135" i="19"/>
  <c r="E135" i="19"/>
  <c r="Q134" i="19"/>
  <c r="P134" i="19"/>
  <c r="F134" i="19"/>
  <c r="E134" i="19"/>
  <c r="Q133" i="19"/>
  <c r="P133" i="19"/>
  <c r="F133" i="19"/>
  <c r="E133" i="19"/>
  <c r="Q132" i="19"/>
  <c r="P132" i="19"/>
  <c r="F132" i="19"/>
  <c r="E132" i="19"/>
  <c r="Q131" i="19"/>
  <c r="P131" i="19"/>
  <c r="F131" i="19"/>
  <c r="E131" i="19"/>
  <c r="Q130" i="19"/>
  <c r="P130" i="19"/>
  <c r="F130" i="19"/>
  <c r="E130" i="19"/>
  <c r="Q129" i="19"/>
  <c r="P129" i="19"/>
  <c r="F129" i="19"/>
  <c r="E129" i="19"/>
  <c r="Q128" i="19"/>
  <c r="P128" i="19"/>
  <c r="F128" i="19"/>
  <c r="E128" i="19"/>
  <c r="Q127" i="19"/>
  <c r="P127" i="19"/>
  <c r="F127" i="19"/>
  <c r="E127" i="19"/>
  <c r="Q126" i="19"/>
  <c r="P126" i="19"/>
  <c r="F126" i="19"/>
  <c r="E126" i="19"/>
  <c r="Q125" i="19"/>
  <c r="P125" i="19"/>
  <c r="F125" i="19"/>
  <c r="E125" i="19"/>
  <c r="Q124" i="19"/>
  <c r="P124" i="19"/>
  <c r="F124" i="19"/>
  <c r="E124" i="19"/>
  <c r="Q123" i="19"/>
  <c r="P123" i="19"/>
  <c r="F123" i="19"/>
  <c r="E123" i="19"/>
  <c r="Q122" i="19"/>
  <c r="P122" i="19"/>
  <c r="F122" i="19"/>
  <c r="E122" i="19"/>
  <c r="Q121" i="19"/>
  <c r="P121" i="19"/>
  <c r="F121" i="19"/>
  <c r="E121" i="19"/>
  <c r="Q120" i="19"/>
  <c r="P120" i="19"/>
  <c r="F120" i="19"/>
  <c r="E120" i="19"/>
  <c r="Q119" i="19"/>
  <c r="P119" i="19"/>
  <c r="F119" i="19"/>
  <c r="E119" i="19"/>
  <c r="Q118" i="19"/>
  <c r="P118" i="19"/>
  <c r="F118" i="19"/>
  <c r="E118" i="19"/>
  <c r="Q117" i="19"/>
  <c r="P117" i="19"/>
  <c r="F117" i="19"/>
  <c r="E117" i="19"/>
  <c r="Q116" i="19"/>
  <c r="P116" i="19"/>
  <c r="F116" i="19"/>
  <c r="E116" i="19"/>
  <c r="Q115" i="19"/>
  <c r="P115" i="19"/>
  <c r="F115" i="19"/>
  <c r="E115" i="19"/>
  <c r="Q114" i="19"/>
  <c r="P114" i="19"/>
  <c r="F114" i="19"/>
  <c r="E114" i="19"/>
  <c r="Q113" i="19"/>
  <c r="P113" i="19"/>
  <c r="F113" i="19"/>
  <c r="E113" i="19"/>
  <c r="Q112" i="19"/>
  <c r="P112" i="19"/>
  <c r="F112" i="19"/>
  <c r="E112" i="19"/>
  <c r="Q111" i="19"/>
  <c r="P111" i="19"/>
  <c r="F111" i="19"/>
  <c r="E111" i="19"/>
  <c r="Q110" i="19"/>
  <c r="P110" i="19"/>
  <c r="F110" i="19"/>
  <c r="E110" i="19"/>
  <c r="Q109" i="19"/>
  <c r="P109" i="19"/>
  <c r="F109" i="19"/>
  <c r="E109" i="19"/>
  <c r="Q108" i="19"/>
  <c r="P108" i="19"/>
  <c r="F108" i="19"/>
  <c r="E108" i="19"/>
  <c r="Q107" i="19"/>
  <c r="P107" i="19"/>
  <c r="F107" i="19"/>
  <c r="E107" i="19"/>
  <c r="Q106" i="19"/>
  <c r="P106" i="19"/>
  <c r="F106" i="19"/>
  <c r="E106" i="19"/>
  <c r="Q105" i="19"/>
  <c r="P105" i="19"/>
  <c r="F105" i="19"/>
  <c r="E105" i="19"/>
  <c r="Q104" i="19"/>
  <c r="P104" i="19"/>
  <c r="F104" i="19"/>
  <c r="E104" i="19"/>
  <c r="Q103" i="19"/>
  <c r="P103" i="19"/>
  <c r="F103" i="19"/>
  <c r="E103" i="19"/>
  <c r="Q102" i="19"/>
  <c r="P102" i="19"/>
  <c r="F102" i="19"/>
  <c r="E102" i="19"/>
  <c r="Q101" i="19"/>
  <c r="P101" i="19"/>
  <c r="F101" i="19"/>
  <c r="E101" i="19"/>
  <c r="Q100" i="19"/>
  <c r="P100" i="19"/>
  <c r="F100" i="19"/>
  <c r="E100" i="19"/>
  <c r="Q99" i="19"/>
  <c r="P99" i="19"/>
  <c r="F99" i="19"/>
  <c r="E99" i="19"/>
  <c r="Q98" i="19"/>
  <c r="P98" i="19"/>
  <c r="F98" i="19"/>
  <c r="E98" i="19"/>
  <c r="Q97" i="19"/>
  <c r="P97" i="19"/>
  <c r="F97" i="19"/>
  <c r="E97" i="19"/>
  <c r="Q96" i="19"/>
  <c r="P96" i="19"/>
  <c r="F96" i="19"/>
  <c r="E96" i="19"/>
  <c r="Q95" i="19"/>
  <c r="P95" i="19"/>
  <c r="F95" i="19"/>
  <c r="E95" i="19"/>
  <c r="Q94" i="19"/>
  <c r="P94" i="19"/>
  <c r="F94" i="19"/>
  <c r="E94" i="19"/>
  <c r="Q93" i="19"/>
  <c r="P93" i="19"/>
  <c r="F93" i="19"/>
  <c r="E93" i="19"/>
  <c r="Q92" i="19"/>
  <c r="P92" i="19"/>
  <c r="F92" i="19"/>
  <c r="E92" i="19"/>
  <c r="Q91" i="19"/>
  <c r="P91" i="19"/>
  <c r="F91" i="19"/>
  <c r="E91" i="19"/>
  <c r="Q90" i="19"/>
  <c r="P90" i="19"/>
  <c r="F90" i="19"/>
  <c r="E90" i="19"/>
  <c r="Q89" i="19"/>
  <c r="P89" i="19"/>
  <c r="F89" i="19"/>
  <c r="E89" i="19"/>
  <c r="Q88" i="19"/>
  <c r="P88" i="19"/>
  <c r="F88" i="19"/>
  <c r="E88" i="19"/>
  <c r="Q87" i="19"/>
  <c r="P87" i="19"/>
  <c r="F87" i="19"/>
  <c r="E87" i="19"/>
  <c r="Q86" i="19"/>
  <c r="P86" i="19"/>
  <c r="F86" i="19"/>
  <c r="E86" i="19"/>
  <c r="Q85" i="19"/>
  <c r="P85" i="19"/>
  <c r="F85" i="19"/>
  <c r="E85" i="19"/>
  <c r="Q84" i="19"/>
  <c r="P84" i="19"/>
  <c r="F84" i="19"/>
  <c r="E84" i="19"/>
  <c r="Q83" i="19"/>
  <c r="P83" i="19"/>
  <c r="F83" i="19"/>
  <c r="E83" i="19"/>
  <c r="Q82" i="19"/>
  <c r="P82" i="19"/>
  <c r="F82" i="19"/>
  <c r="E82" i="19"/>
  <c r="Q81" i="19"/>
  <c r="P81" i="19"/>
  <c r="F81" i="19"/>
  <c r="E81" i="19"/>
  <c r="Q80" i="19"/>
  <c r="P80" i="19"/>
  <c r="F80" i="19"/>
  <c r="E80" i="19"/>
  <c r="Q79" i="19"/>
  <c r="P79" i="19"/>
  <c r="F79" i="19"/>
  <c r="E79" i="19"/>
  <c r="Q78" i="19"/>
  <c r="P78" i="19"/>
  <c r="F78" i="19"/>
  <c r="E78" i="19"/>
  <c r="Q77" i="19"/>
  <c r="P77" i="19"/>
  <c r="F77" i="19"/>
  <c r="E77" i="19"/>
  <c r="Q76" i="19"/>
  <c r="P76" i="19"/>
  <c r="F76" i="19"/>
  <c r="E76" i="19"/>
  <c r="Q75" i="19"/>
  <c r="P75" i="19"/>
  <c r="F75" i="19"/>
  <c r="E75" i="19"/>
  <c r="Q74" i="19"/>
  <c r="P74" i="19"/>
  <c r="F74" i="19"/>
  <c r="E74" i="19"/>
  <c r="Q73" i="19"/>
  <c r="P73" i="19"/>
  <c r="F73" i="19"/>
  <c r="E73" i="19"/>
  <c r="Q72" i="19"/>
  <c r="P72" i="19"/>
  <c r="F72" i="19"/>
  <c r="E72" i="19"/>
  <c r="Q71" i="19"/>
  <c r="P71" i="19"/>
  <c r="F71" i="19"/>
  <c r="E71" i="19"/>
  <c r="Q70" i="19"/>
  <c r="P70" i="19"/>
  <c r="F70" i="19"/>
  <c r="E70" i="19"/>
  <c r="Q69" i="19"/>
  <c r="P69" i="19"/>
  <c r="F69" i="19"/>
  <c r="E69" i="19"/>
  <c r="Q68" i="19"/>
  <c r="P68" i="19"/>
  <c r="F68" i="19"/>
  <c r="E68" i="19"/>
  <c r="Q67" i="19"/>
  <c r="P67" i="19"/>
  <c r="F67" i="19"/>
  <c r="E67" i="19"/>
  <c r="Q66" i="19"/>
  <c r="P66" i="19"/>
  <c r="F66" i="19"/>
  <c r="E66" i="19"/>
  <c r="Q65" i="19"/>
  <c r="P65" i="19"/>
  <c r="F65" i="19"/>
  <c r="E65" i="19"/>
  <c r="Q64" i="19"/>
  <c r="P64" i="19"/>
  <c r="F64" i="19"/>
  <c r="E64" i="19"/>
  <c r="Q63" i="19"/>
  <c r="P63" i="19"/>
  <c r="F63" i="19"/>
  <c r="E63" i="19"/>
  <c r="Q62" i="19"/>
  <c r="P62" i="19"/>
  <c r="F62" i="19"/>
  <c r="E62" i="19"/>
  <c r="Q61" i="19"/>
  <c r="P61" i="19"/>
  <c r="F61" i="19"/>
  <c r="E61" i="19"/>
  <c r="Q60" i="19"/>
  <c r="P60" i="19"/>
  <c r="F60" i="19"/>
  <c r="E60" i="19"/>
  <c r="Q59" i="19"/>
  <c r="P59" i="19"/>
  <c r="F59" i="19"/>
  <c r="E59" i="19"/>
  <c r="Q58" i="19"/>
  <c r="P58" i="19"/>
  <c r="F58" i="19"/>
  <c r="E58" i="19"/>
  <c r="Q57" i="19"/>
  <c r="P57" i="19"/>
  <c r="F57" i="19"/>
  <c r="E57" i="19"/>
  <c r="Q56" i="19"/>
  <c r="P56" i="19"/>
  <c r="F56" i="19"/>
  <c r="E56" i="19"/>
  <c r="Q55" i="19"/>
  <c r="P55" i="19"/>
  <c r="F55" i="19"/>
  <c r="E55" i="19"/>
  <c r="Q54" i="19"/>
  <c r="P54" i="19"/>
  <c r="F54" i="19"/>
  <c r="E54" i="19"/>
  <c r="Q53" i="19"/>
  <c r="P53" i="19"/>
  <c r="F53" i="19"/>
  <c r="E53" i="19"/>
  <c r="Q52" i="19"/>
  <c r="P52" i="19"/>
  <c r="F52" i="19"/>
  <c r="E52" i="19"/>
  <c r="Q51" i="19"/>
  <c r="P51" i="19"/>
  <c r="F51" i="19"/>
  <c r="E51" i="19"/>
  <c r="Q50" i="19"/>
  <c r="P50" i="19"/>
  <c r="F50" i="19"/>
  <c r="E50" i="19"/>
  <c r="Q49" i="19"/>
  <c r="P49" i="19"/>
  <c r="F49" i="19"/>
  <c r="E49" i="19"/>
  <c r="Q48" i="19"/>
  <c r="P48" i="19"/>
  <c r="F48" i="19"/>
  <c r="E48" i="19"/>
  <c r="Q47" i="19"/>
  <c r="P47" i="19"/>
  <c r="F47" i="19"/>
  <c r="E47" i="19"/>
  <c r="Q46" i="19"/>
  <c r="P46" i="19"/>
  <c r="F46" i="19"/>
  <c r="E46" i="19"/>
  <c r="Q45" i="19"/>
  <c r="P45" i="19"/>
  <c r="F45" i="19"/>
  <c r="E45" i="19"/>
  <c r="Q44" i="19"/>
  <c r="P44" i="19"/>
  <c r="F44" i="19"/>
  <c r="E44" i="19"/>
  <c r="Q43" i="19"/>
  <c r="P43" i="19"/>
  <c r="F43" i="19"/>
  <c r="E43" i="19"/>
  <c r="Q42" i="19"/>
  <c r="P42" i="19"/>
  <c r="F42" i="19"/>
  <c r="E42" i="19"/>
  <c r="Q41" i="19"/>
  <c r="P41" i="19"/>
  <c r="F41" i="19"/>
  <c r="E41" i="19"/>
  <c r="Q40" i="19"/>
  <c r="P40" i="19"/>
  <c r="F40" i="19"/>
  <c r="E40" i="19"/>
  <c r="Q39" i="19"/>
  <c r="P39" i="19"/>
  <c r="F39" i="19"/>
  <c r="E39" i="19"/>
  <c r="Q38" i="19"/>
  <c r="P38" i="19"/>
  <c r="F38" i="19"/>
  <c r="E38" i="19"/>
  <c r="Q37" i="19"/>
  <c r="P37" i="19"/>
  <c r="F37" i="19"/>
  <c r="E37" i="19"/>
  <c r="Q36" i="19"/>
  <c r="P36" i="19"/>
  <c r="F36" i="19"/>
  <c r="E36" i="19"/>
  <c r="Q35" i="19"/>
  <c r="P35" i="19"/>
  <c r="F35" i="19"/>
  <c r="E35" i="19"/>
  <c r="Q34" i="19"/>
  <c r="P34" i="19"/>
  <c r="F34" i="19"/>
  <c r="E34" i="19"/>
  <c r="Q33" i="19"/>
  <c r="P33" i="19"/>
  <c r="F33" i="19"/>
  <c r="E33" i="19"/>
  <c r="Q32" i="19"/>
  <c r="P32" i="19"/>
  <c r="F32" i="19"/>
  <c r="E32" i="19"/>
  <c r="Q31" i="19"/>
  <c r="P31" i="19"/>
  <c r="F31" i="19"/>
  <c r="E31" i="19"/>
  <c r="Q30" i="19"/>
  <c r="P30" i="19"/>
  <c r="F30" i="19"/>
  <c r="E30" i="19"/>
  <c r="Q29" i="19"/>
  <c r="P29" i="19"/>
  <c r="F29" i="19"/>
  <c r="E29" i="19"/>
  <c r="Q28" i="19"/>
  <c r="P28" i="19"/>
  <c r="F28" i="19"/>
  <c r="E28" i="19"/>
  <c r="Q27" i="19"/>
  <c r="P27" i="19"/>
  <c r="F27" i="19"/>
  <c r="E27" i="19"/>
  <c r="Q26" i="19"/>
  <c r="P26" i="19"/>
  <c r="F26" i="19"/>
  <c r="E26" i="19"/>
  <c r="Q25" i="19"/>
  <c r="P25" i="19"/>
  <c r="F25" i="19"/>
  <c r="E25" i="19"/>
  <c r="Q24" i="19"/>
  <c r="P24" i="19"/>
  <c r="F24" i="19"/>
  <c r="E24" i="19"/>
  <c r="Q23" i="19"/>
  <c r="P23" i="19"/>
  <c r="F23" i="19"/>
  <c r="E23" i="19"/>
  <c r="Q22" i="19"/>
  <c r="P22" i="19"/>
  <c r="F22" i="19"/>
  <c r="E22" i="19"/>
  <c r="Q21" i="19"/>
  <c r="P21" i="19"/>
  <c r="F21" i="19"/>
  <c r="E21" i="19"/>
  <c r="Q20" i="19"/>
  <c r="P20" i="19"/>
  <c r="F20" i="19"/>
  <c r="E20" i="19"/>
  <c r="Q19" i="19"/>
  <c r="P19" i="19"/>
  <c r="F19" i="19"/>
  <c r="E19" i="19"/>
  <c r="Q18" i="19"/>
  <c r="P18" i="19"/>
  <c r="F18" i="19"/>
  <c r="E18" i="19"/>
  <c r="Q17" i="19"/>
  <c r="P17" i="19"/>
  <c r="F17" i="19"/>
  <c r="E17" i="19"/>
  <c r="Q16" i="19"/>
  <c r="P16" i="19"/>
  <c r="F16" i="19"/>
  <c r="E16" i="19"/>
  <c r="Q15" i="19"/>
  <c r="P15" i="19"/>
  <c r="F15" i="19"/>
  <c r="E15" i="19"/>
  <c r="Q14" i="19"/>
  <c r="P14" i="19"/>
  <c r="F14" i="19"/>
  <c r="E14" i="19"/>
  <c r="Q13" i="19"/>
  <c r="P13" i="19"/>
  <c r="F13" i="19"/>
  <c r="E13" i="19"/>
  <c r="Q12" i="19"/>
  <c r="P12" i="19"/>
  <c r="F12" i="19"/>
  <c r="E12" i="19"/>
  <c r="Q11" i="19"/>
  <c r="P11" i="19"/>
  <c r="F11" i="19"/>
  <c r="E11" i="19"/>
  <c r="Q10" i="19"/>
  <c r="P10" i="19"/>
  <c r="F10" i="19"/>
  <c r="E10" i="19"/>
  <c r="Q9" i="19"/>
  <c r="P9" i="19"/>
  <c r="F9" i="19"/>
  <c r="E9" i="19"/>
  <c r="Q8" i="19"/>
  <c r="P8" i="19"/>
  <c r="F8" i="19"/>
  <c r="E8" i="19"/>
  <c r="Q7" i="19"/>
  <c r="P7" i="19"/>
  <c r="F7" i="19"/>
  <c r="E7" i="19"/>
  <c r="Q6" i="19"/>
  <c r="P6" i="19"/>
  <c r="F6" i="19"/>
  <c r="E6" i="19"/>
  <c r="Q5" i="19"/>
  <c r="P5" i="19"/>
  <c r="F5" i="19"/>
  <c r="E5" i="19"/>
  <c r="Q322" i="10"/>
  <c r="P322" i="10"/>
  <c r="F322" i="10"/>
  <c r="E322" i="10"/>
  <c r="Q321" i="10"/>
  <c r="P321" i="10"/>
  <c r="F321" i="10"/>
  <c r="E321" i="10"/>
  <c r="Q320" i="10"/>
  <c r="P320" i="10"/>
  <c r="F320" i="10"/>
  <c r="E320" i="10"/>
  <c r="Q319" i="10"/>
  <c r="P319" i="10"/>
  <c r="F319" i="10"/>
  <c r="E319" i="10"/>
  <c r="Q318" i="10"/>
  <c r="P318" i="10"/>
  <c r="F318" i="10"/>
  <c r="E318" i="10"/>
  <c r="Q317" i="10"/>
  <c r="P317" i="10"/>
  <c r="F317" i="10"/>
  <c r="E317" i="10"/>
  <c r="Q316" i="10"/>
  <c r="P316" i="10"/>
  <c r="F316" i="10"/>
  <c r="E316" i="10"/>
  <c r="Q315" i="10"/>
  <c r="P315" i="10"/>
  <c r="F315" i="10"/>
  <c r="E315" i="10"/>
  <c r="Q314" i="10"/>
  <c r="P314" i="10"/>
  <c r="F314" i="10"/>
  <c r="E314" i="10"/>
  <c r="Q313" i="10"/>
  <c r="P313" i="10"/>
  <c r="F313" i="10"/>
  <c r="E313" i="10"/>
  <c r="Q312" i="10"/>
  <c r="P312" i="10"/>
  <c r="F312" i="10"/>
  <c r="E312" i="10"/>
  <c r="Q311" i="10"/>
  <c r="P311" i="10"/>
  <c r="F311" i="10"/>
  <c r="E311" i="10"/>
  <c r="Q310" i="10"/>
  <c r="P310" i="10"/>
  <c r="F310" i="10"/>
  <c r="E310" i="10"/>
  <c r="Q309" i="10"/>
  <c r="P309" i="10"/>
  <c r="F309" i="10"/>
  <c r="E309" i="10"/>
  <c r="Q308" i="10"/>
  <c r="P308" i="10"/>
  <c r="F308" i="10"/>
  <c r="E308" i="10"/>
  <c r="Q307" i="10"/>
  <c r="P307" i="10"/>
  <c r="F307" i="10"/>
  <c r="E307" i="10"/>
  <c r="Q306" i="10"/>
  <c r="P306" i="10"/>
  <c r="F306" i="10"/>
  <c r="E306" i="10"/>
  <c r="Q305" i="10"/>
  <c r="P305" i="10"/>
  <c r="F305" i="10"/>
  <c r="E305" i="10"/>
  <c r="Q304" i="10"/>
  <c r="P304" i="10"/>
  <c r="F304" i="10"/>
  <c r="E304" i="10"/>
  <c r="Q303" i="10"/>
  <c r="P303" i="10"/>
  <c r="F303" i="10"/>
  <c r="E303" i="10"/>
  <c r="Q302" i="10"/>
  <c r="P302" i="10"/>
  <c r="F302" i="10"/>
  <c r="E302" i="10"/>
  <c r="Q301" i="10"/>
  <c r="P301" i="10"/>
  <c r="F301" i="10"/>
  <c r="E301" i="10"/>
  <c r="Q300" i="10"/>
  <c r="P300" i="10"/>
  <c r="F300" i="10"/>
  <c r="E300" i="10"/>
  <c r="Q299" i="10"/>
  <c r="P299" i="10"/>
  <c r="F299" i="10"/>
  <c r="E299" i="10"/>
  <c r="Q298" i="10"/>
  <c r="P298" i="10"/>
  <c r="F298" i="10"/>
  <c r="E298" i="10"/>
  <c r="Q297" i="10"/>
  <c r="P297" i="10"/>
  <c r="F297" i="10"/>
  <c r="E297" i="10"/>
  <c r="Q296" i="10"/>
  <c r="P296" i="10"/>
  <c r="F296" i="10"/>
  <c r="E296" i="10"/>
  <c r="Q295" i="10"/>
  <c r="P295" i="10"/>
  <c r="F295" i="10"/>
  <c r="E295" i="10"/>
  <c r="Q294" i="10"/>
  <c r="P294" i="10"/>
  <c r="F294" i="10"/>
  <c r="E294" i="10"/>
  <c r="Q293" i="10"/>
  <c r="P293" i="10"/>
  <c r="F293" i="10"/>
  <c r="E293" i="10"/>
  <c r="Q292" i="10"/>
  <c r="P292" i="10"/>
  <c r="F292" i="10"/>
  <c r="E292" i="10"/>
  <c r="Q291" i="10"/>
  <c r="P291" i="10"/>
  <c r="F291" i="10"/>
  <c r="E291" i="10"/>
  <c r="Q290" i="10"/>
  <c r="P290" i="10"/>
  <c r="F290" i="10"/>
  <c r="E290" i="10"/>
  <c r="Q289" i="10"/>
  <c r="P289" i="10"/>
  <c r="F289" i="10"/>
  <c r="E289" i="10"/>
  <c r="Q288" i="10"/>
  <c r="P288" i="10"/>
  <c r="F288" i="10"/>
  <c r="E288" i="10"/>
  <c r="Q287" i="10"/>
  <c r="P287" i="10"/>
  <c r="F287" i="10"/>
  <c r="E287" i="10"/>
  <c r="Q286" i="10"/>
  <c r="P286" i="10"/>
  <c r="F286" i="10"/>
  <c r="E286" i="10"/>
  <c r="Q285" i="10"/>
  <c r="P285" i="10"/>
  <c r="F285" i="10"/>
  <c r="E285" i="10"/>
  <c r="Q284" i="10"/>
  <c r="P284" i="10"/>
  <c r="F284" i="10"/>
  <c r="E284" i="10"/>
  <c r="Q283" i="10"/>
  <c r="P283" i="10"/>
  <c r="F283" i="10"/>
  <c r="E283" i="10"/>
  <c r="Q282" i="10"/>
  <c r="P282" i="10"/>
  <c r="F282" i="10"/>
  <c r="E282" i="10"/>
  <c r="Q281" i="10"/>
  <c r="P281" i="10"/>
  <c r="F281" i="10"/>
  <c r="E281" i="10"/>
  <c r="Q280" i="10"/>
  <c r="P280" i="10"/>
  <c r="F280" i="10"/>
  <c r="E280" i="10"/>
  <c r="Q279" i="10"/>
  <c r="P279" i="10"/>
  <c r="F279" i="10"/>
  <c r="E279" i="10"/>
  <c r="Q278" i="10"/>
  <c r="P278" i="10"/>
  <c r="F278" i="10"/>
  <c r="E278" i="10"/>
  <c r="Q277" i="10"/>
  <c r="P277" i="10"/>
  <c r="F277" i="10"/>
  <c r="E277" i="10"/>
  <c r="Q276" i="10"/>
  <c r="P276" i="10"/>
  <c r="F276" i="10"/>
  <c r="E276" i="10"/>
  <c r="Q275" i="10"/>
  <c r="P275" i="10"/>
  <c r="F275" i="10"/>
  <c r="E275" i="10"/>
  <c r="Q274" i="10"/>
  <c r="P274" i="10"/>
  <c r="F274" i="10"/>
  <c r="E274" i="10"/>
  <c r="Q273" i="10"/>
  <c r="P273" i="10"/>
  <c r="F273" i="10"/>
  <c r="E273" i="10"/>
  <c r="Q272" i="10"/>
  <c r="P272" i="10"/>
  <c r="F272" i="10"/>
  <c r="E272" i="10"/>
  <c r="Q271" i="10"/>
  <c r="P271" i="10"/>
  <c r="F271" i="10"/>
  <c r="E271" i="10"/>
  <c r="Q270" i="10"/>
  <c r="P270" i="10"/>
  <c r="F270" i="10"/>
  <c r="E270" i="10"/>
  <c r="Q269" i="10"/>
  <c r="P269" i="10"/>
  <c r="F269" i="10"/>
  <c r="E269" i="10"/>
  <c r="Q268" i="10"/>
  <c r="P268" i="10"/>
  <c r="F268" i="10"/>
  <c r="E268" i="10"/>
  <c r="Q267" i="10"/>
  <c r="P267" i="10"/>
  <c r="F267" i="10"/>
  <c r="E267" i="10"/>
  <c r="Q266" i="10"/>
  <c r="P266" i="10"/>
  <c r="F266" i="10"/>
  <c r="E266" i="10"/>
  <c r="Q265" i="10"/>
  <c r="P265" i="10"/>
  <c r="F265" i="10"/>
  <c r="E265" i="10"/>
  <c r="Q264" i="10"/>
  <c r="P264" i="10"/>
  <c r="F264" i="10"/>
  <c r="E264" i="10"/>
  <c r="Q263" i="10"/>
  <c r="P263" i="10"/>
  <c r="F263" i="10"/>
  <c r="E263" i="10"/>
  <c r="Q262" i="10"/>
  <c r="P262" i="10"/>
  <c r="F262" i="10"/>
  <c r="E262" i="10"/>
  <c r="Q261" i="10"/>
  <c r="P261" i="10"/>
  <c r="F261" i="10"/>
  <c r="E261" i="10"/>
  <c r="Q260" i="10"/>
  <c r="P260" i="10"/>
  <c r="F260" i="10"/>
  <c r="E260" i="10"/>
  <c r="Q259" i="10"/>
  <c r="P259" i="10"/>
  <c r="F259" i="10"/>
  <c r="E259" i="10"/>
  <c r="Q258" i="10"/>
  <c r="P258" i="10"/>
  <c r="F258" i="10"/>
  <c r="E258" i="10"/>
  <c r="Q257" i="10"/>
  <c r="P257" i="10"/>
  <c r="F257" i="10"/>
  <c r="E257" i="10"/>
  <c r="Q256" i="10"/>
  <c r="P256" i="10"/>
  <c r="F256" i="10"/>
  <c r="E256" i="10"/>
  <c r="Q255" i="10"/>
  <c r="P255" i="10"/>
  <c r="F255" i="10"/>
  <c r="E255" i="10"/>
  <c r="Q254" i="10"/>
  <c r="P254" i="10"/>
  <c r="F254" i="10"/>
  <c r="E254" i="10"/>
  <c r="Q253" i="10"/>
  <c r="P253" i="10"/>
  <c r="F253" i="10"/>
  <c r="E253" i="10"/>
  <c r="Q252" i="10"/>
  <c r="P252" i="10"/>
  <c r="F252" i="10"/>
  <c r="E252" i="10"/>
  <c r="Q251" i="10"/>
  <c r="P251" i="10"/>
  <c r="F251" i="10"/>
  <c r="E251" i="10"/>
  <c r="Q250" i="10"/>
  <c r="P250" i="10"/>
  <c r="F250" i="10"/>
  <c r="E250" i="10"/>
  <c r="Q249" i="10"/>
  <c r="P249" i="10"/>
  <c r="F249" i="10"/>
  <c r="E249" i="10"/>
  <c r="Q248" i="10"/>
  <c r="P248" i="10"/>
  <c r="F248" i="10"/>
  <c r="E248" i="10"/>
  <c r="Q247" i="10"/>
  <c r="P247" i="10"/>
  <c r="F247" i="10"/>
  <c r="E247" i="10"/>
  <c r="Q246" i="10"/>
  <c r="P246" i="10"/>
  <c r="F246" i="10"/>
  <c r="E246" i="10"/>
  <c r="Q245" i="10"/>
  <c r="P245" i="10"/>
  <c r="F245" i="10"/>
  <c r="E245" i="10"/>
  <c r="Q244" i="10"/>
  <c r="P244" i="10"/>
  <c r="F244" i="10"/>
  <c r="E244" i="10"/>
  <c r="Q243" i="10"/>
  <c r="P243" i="10"/>
  <c r="F243" i="10"/>
  <c r="E243" i="10"/>
  <c r="Q242" i="10"/>
  <c r="P242" i="10"/>
  <c r="F242" i="10"/>
  <c r="E242" i="10"/>
  <c r="Q241" i="10"/>
  <c r="P241" i="10"/>
  <c r="F241" i="10"/>
  <c r="E241" i="10"/>
  <c r="Q240" i="10"/>
  <c r="P240" i="10"/>
  <c r="F240" i="10"/>
  <c r="E240" i="10"/>
  <c r="Q239" i="10"/>
  <c r="P239" i="10"/>
  <c r="F239" i="10"/>
  <c r="E239" i="10"/>
  <c r="Q238" i="10"/>
  <c r="P238" i="10"/>
  <c r="F238" i="10"/>
  <c r="E238" i="10"/>
  <c r="Q237" i="10"/>
  <c r="P237" i="10"/>
  <c r="F237" i="10"/>
  <c r="E237" i="10"/>
  <c r="Q236" i="10"/>
  <c r="P236" i="10"/>
  <c r="F236" i="10"/>
  <c r="E236" i="10"/>
  <c r="Q235" i="10"/>
  <c r="P235" i="10"/>
  <c r="F235" i="10"/>
  <c r="E235" i="10"/>
  <c r="Q234" i="10"/>
  <c r="P234" i="10"/>
  <c r="F234" i="10"/>
  <c r="E234" i="10"/>
  <c r="Q233" i="10"/>
  <c r="P233" i="10"/>
  <c r="F233" i="10"/>
  <c r="E233" i="10"/>
  <c r="Q232" i="10"/>
  <c r="P232" i="10"/>
  <c r="F232" i="10"/>
  <c r="E232" i="10"/>
  <c r="Q231" i="10"/>
  <c r="P231" i="10"/>
  <c r="F231" i="10"/>
  <c r="E231" i="10"/>
  <c r="Q230" i="10"/>
  <c r="P230" i="10"/>
  <c r="F230" i="10"/>
  <c r="E230" i="10"/>
  <c r="Q229" i="10"/>
  <c r="P229" i="10"/>
  <c r="F229" i="10"/>
  <c r="E229" i="10"/>
  <c r="Q228" i="10"/>
  <c r="P228" i="10"/>
  <c r="F228" i="10"/>
  <c r="E228" i="10"/>
  <c r="Q227" i="10"/>
  <c r="P227" i="10"/>
  <c r="F227" i="10"/>
  <c r="E227" i="10"/>
  <c r="Q226" i="10"/>
  <c r="P226" i="10"/>
  <c r="F226" i="10"/>
  <c r="E226" i="10"/>
  <c r="Q225" i="10"/>
  <c r="P225" i="10"/>
  <c r="F225" i="10"/>
  <c r="E225" i="10"/>
  <c r="Q224" i="10"/>
  <c r="P224" i="10"/>
  <c r="F224" i="10"/>
  <c r="E224" i="10"/>
  <c r="Q223" i="10"/>
  <c r="P223" i="10"/>
  <c r="F223" i="10"/>
  <c r="E223" i="10"/>
  <c r="Q222" i="10"/>
  <c r="P222" i="10"/>
  <c r="F222" i="10"/>
  <c r="E222" i="10"/>
  <c r="Q221" i="10"/>
  <c r="P221" i="10"/>
  <c r="F221" i="10"/>
  <c r="E221" i="10"/>
  <c r="Q220" i="10"/>
  <c r="P220" i="10"/>
  <c r="F220" i="10"/>
  <c r="E220" i="10"/>
  <c r="Q219" i="10"/>
  <c r="P219" i="10"/>
  <c r="F219" i="10"/>
  <c r="E219" i="10"/>
  <c r="Q218" i="10"/>
  <c r="P218" i="10"/>
  <c r="F218" i="10"/>
  <c r="E218" i="10"/>
  <c r="Q217" i="10"/>
  <c r="P217" i="10"/>
  <c r="F217" i="10"/>
  <c r="E217" i="10"/>
  <c r="Q216" i="10"/>
  <c r="P216" i="10"/>
  <c r="F216" i="10"/>
  <c r="E216" i="10"/>
  <c r="Q215" i="10"/>
  <c r="P215" i="10"/>
  <c r="F215" i="10"/>
  <c r="E215" i="10"/>
  <c r="Q214" i="10"/>
  <c r="P214" i="10"/>
  <c r="F214" i="10"/>
  <c r="E214" i="10"/>
  <c r="Q213" i="10"/>
  <c r="P213" i="10"/>
  <c r="F213" i="10"/>
  <c r="E213" i="10"/>
  <c r="Q212" i="10"/>
  <c r="P212" i="10"/>
  <c r="F212" i="10"/>
  <c r="E212" i="10"/>
  <c r="Q211" i="10"/>
  <c r="P211" i="10"/>
  <c r="F211" i="10"/>
  <c r="E211" i="10"/>
  <c r="Q210" i="10"/>
  <c r="P210" i="10"/>
  <c r="F210" i="10"/>
  <c r="E210" i="10"/>
  <c r="Q209" i="10"/>
  <c r="P209" i="10"/>
  <c r="F209" i="10"/>
  <c r="E209" i="10"/>
  <c r="Q208" i="10"/>
  <c r="P208" i="10"/>
  <c r="F208" i="10"/>
  <c r="E208" i="10"/>
  <c r="Q207" i="10"/>
  <c r="P207" i="10"/>
  <c r="F207" i="10"/>
  <c r="E207" i="10"/>
  <c r="Q206" i="10"/>
  <c r="P206" i="10"/>
  <c r="F206" i="10"/>
  <c r="E206" i="10"/>
  <c r="Q205" i="10"/>
  <c r="P205" i="10"/>
  <c r="F205" i="10"/>
  <c r="E205" i="10"/>
  <c r="Q204" i="10"/>
  <c r="P204" i="10"/>
  <c r="F204" i="10"/>
  <c r="E204" i="10"/>
  <c r="Q203" i="10"/>
  <c r="P203" i="10"/>
  <c r="F203" i="10"/>
  <c r="E203" i="10"/>
  <c r="Q202" i="10"/>
  <c r="P202" i="10"/>
  <c r="F202" i="10"/>
  <c r="E202" i="10"/>
  <c r="Q201" i="10"/>
  <c r="P201" i="10"/>
  <c r="F201" i="10"/>
  <c r="E201" i="10"/>
  <c r="Q200" i="10"/>
  <c r="P200" i="10"/>
  <c r="F200" i="10"/>
  <c r="E200" i="10"/>
  <c r="Q199" i="10"/>
  <c r="P199" i="10"/>
  <c r="F199" i="10"/>
  <c r="E199" i="10"/>
  <c r="Q198" i="10"/>
  <c r="P198" i="10"/>
  <c r="F198" i="10"/>
  <c r="E198" i="10"/>
  <c r="Q197" i="10"/>
  <c r="P197" i="10"/>
  <c r="F197" i="10"/>
  <c r="E197" i="10"/>
  <c r="Q196" i="10"/>
  <c r="P196" i="10"/>
  <c r="F196" i="10"/>
  <c r="E196" i="10"/>
  <c r="Q195" i="10"/>
  <c r="P195" i="10"/>
  <c r="F195" i="10"/>
  <c r="E195" i="10"/>
  <c r="Q194" i="10"/>
  <c r="P194" i="10"/>
  <c r="F194" i="10"/>
  <c r="E194" i="10"/>
  <c r="Q193" i="10"/>
  <c r="P193" i="10"/>
  <c r="F193" i="10"/>
  <c r="E193" i="10"/>
  <c r="Q192" i="10"/>
  <c r="P192" i="10"/>
  <c r="F192" i="10"/>
  <c r="E192" i="10"/>
  <c r="Q191" i="10"/>
  <c r="P191" i="10"/>
  <c r="F191" i="10"/>
  <c r="E191" i="10"/>
  <c r="Q190" i="10"/>
  <c r="P190" i="10"/>
  <c r="F190" i="10"/>
  <c r="E190" i="10"/>
  <c r="Q189" i="10"/>
  <c r="P189" i="10"/>
  <c r="F189" i="10"/>
  <c r="E189" i="10"/>
  <c r="Q188" i="10"/>
  <c r="P188" i="10"/>
  <c r="F188" i="10"/>
  <c r="E188" i="10"/>
  <c r="Q187" i="10"/>
  <c r="P187" i="10"/>
  <c r="F187" i="10"/>
  <c r="E187" i="10"/>
  <c r="Q186" i="10"/>
  <c r="P186" i="10"/>
  <c r="F186" i="10"/>
  <c r="E186" i="10"/>
  <c r="Q185" i="10"/>
  <c r="P185" i="10"/>
  <c r="F185" i="10"/>
  <c r="E185" i="10"/>
  <c r="Q184" i="10"/>
  <c r="P184" i="10"/>
  <c r="F184" i="10"/>
  <c r="E184" i="10"/>
  <c r="Q183" i="10"/>
  <c r="P183" i="10"/>
  <c r="F183" i="10"/>
  <c r="E183" i="10"/>
  <c r="Q182" i="10"/>
  <c r="P182" i="10"/>
  <c r="F182" i="10"/>
  <c r="E182" i="10"/>
  <c r="Q181" i="10"/>
  <c r="P181" i="10"/>
  <c r="F181" i="10"/>
  <c r="E181" i="10"/>
  <c r="Q180" i="10"/>
  <c r="P180" i="10"/>
  <c r="F180" i="10"/>
  <c r="E180" i="10"/>
  <c r="Q179" i="10"/>
  <c r="P179" i="10"/>
  <c r="F179" i="10"/>
  <c r="E179" i="10"/>
  <c r="Q178" i="10"/>
  <c r="P178" i="10"/>
  <c r="F178" i="10"/>
  <c r="E178" i="10"/>
  <c r="Q177" i="10"/>
  <c r="P177" i="10"/>
  <c r="F177" i="10"/>
  <c r="E177" i="10"/>
  <c r="Q176" i="10"/>
  <c r="P176" i="10"/>
  <c r="F176" i="10"/>
  <c r="E176" i="10"/>
  <c r="Q175" i="10"/>
  <c r="P175" i="10"/>
  <c r="F175" i="10"/>
  <c r="E175" i="10"/>
  <c r="Q174" i="10"/>
  <c r="P174" i="10"/>
  <c r="F174" i="10"/>
  <c r="E174" i="10"/>
  <c r="Q173" i="10"/>
  <c r="P173" i="10"/>
  <c r="F173" i="10"/>
  <c r="E173" i="10"/>
  <c r="Q172" i="10"/>
  <c r="P172" i="10"/>
  <c r="F172" i="10"/>
  <c r="E172" i="10"/>
  <c r="Q171" i="10"/>
  <c r="P171" i="10"/>
  <c r="F171" i="10"/>
  <c r="E171" i="10"/>
  <c r="Q170" i="10"/>
  <c r="P170" i="10"/>
  <c r="F170" i="10"/>
  <c r="E170" i="10"/>
  <c r="Q169" i="10"/>
  <c r="P169" i="10"/>
  <c r="F169" i="10"/>
  <c r="E169" i="10"/>
  <c r="Q168" i="10"/>
  <c r="P168" i="10"/>
  <c r="F168" i="10"/>
  <c r="E168" i="10"/>
  <c r="Q167" i="10"/>
  <c r="P167" i="10"/>
  <c r="F167" i="10"/>
  <c r="E167" i="10"/>
  <c r="Q166" i="10"/>
  <c r="P166" i="10"/>
  <c r="F166" i="10"/>
  <c r="E166" i="10"/>
  <c r="Q165" i="10"/>
  <c r="P165" i="10"/>
  <c r="F165" i="10"/>
  <c r="E165" i="10"/>
  <c r="Q164" i="10"/>
  <c r="P164" i="10"/>
  <c r="F164" i="10"/>
  <c r="E164" i="10"/>
  <c r="Q163" i="10"/>
  <c r="P163" i="10"/>
  <c r="F163" i="10"/>
  <c r="E163" i="10"/>
  <c r="Q162" i="10"/>
  <c r="P162" i="10"/>
  <c r="F162" i="10"/>
  <c r="E162" i="10"/>
  <c r="Q161" i="10"/>
  <c r="P161" i="10"/>
  <c r="F161" i="10"/>
  <c r="E161" i="10"/>
  <c r="Q160" i="10"/>
  <c r="P160" i="10"/>
  <c r="F160" i="10"/>
  <c r="E160" i="10"/>
  <c r="Q159" i="10"/>
  <c r="P159" i="10"/>
  <c r="F159" i="10"/>
  <c r="E159" i="10"/>
  <c r="Q158" i="10"/>
  <c r="P158" i="10"/>
  <c r="F158" i="10"/>
  <c r="E158" i="10"/>
  <c r="Q157" i="10"/>
  <c r="P157" i="10"/>
  <c r="F157" i="10"/>
  <c r="E157" i="10"/>
  <c r="Q156" i="10"/>
  <c r="P156" i="10"/>
  <c r="F156" i="10"/>
  <c r="E156" i="10"/>
  <c r="Q155" i="10"/>
  <c r="P155" i="10"/>
  <c r="F155" i="10"/>
  <c r="E155" i="10"/>
  <c r="Q154" i="10"/>
  <c r="P154" i="10"/>
  <c r="F154" i="10"/>
  <c r="E154" i="10"/>
  <c r="Q153" i="10"/>
  <c r="P153" i="10"/>
  <c r="F153" i="10"/>
  <c r="E153" i="10"/>
  <c r="Q152" i="10"/>
  <c r="P152" i="10"/>
  <c r="F152" i="10"/>
  <c r="E152" i="10"/>
  <c r="Q151" i="10"/>
  <c r="P151" i="10"/>
  <c r="F151" i="10"/>
  <c r="E151" i="10"/>
  <c r="Q150" i="10"/>
  <c r="P150" i="10"/>
  <c r="F150" i="10"/>
  <c r="E150" i="10"/>
  <c r="Q149" i="10"/>
  <c r="P149" i="10"/>
  <c r="F149" i="10"/>
  <c r="E149" i="10"/>
  <c r="Q148" i="10"/>
  <c r="P148" i="10"/>
  <c r="F148" i="10"/>
  <c r="E148" i="10"/>
  <c r="Q147" i="10"/>
  <c r="P147" i="10"/>
  <c r="F147" i="10"/>
  <c r="E147" i="10"/>
  <c r="Q146" i="10"/>
  <c r="P146" i="10"/>
  <c r="F146" i="10"/>
  <c r="E146" i="10"/>
  <c r="Q145" i="10"/>
  <c r="P145" i="10"/>
  <c r="F145" i="10"/>
  <c r="E145" i="10"/>
  <c r="Q144" i="10"/>
  <c r="P144" i="10"/>
  <c r="F144" i="10"/>
  <c r="E144" i="10"/>
  <c r="Q143" i="10"/>
  <c r="P143" i="10"/>
  <c r="F143" i="10"/>
  <c r="E143" i="10"/>
  <c r="Q142" i="10"/>
  <c r="P142" i="10"/>
  <c r="F142" i="10"/>
  <c r="E142" i="10"/>
  <c r="Q141" i="10"/>
  <c r="P141" i="10"/>
  <c r="F141" i="10"/>
  <c r="E141" i="10"/>
  <c r="Q140" i="10"/>
  <c r="P140" i="10"/>
  <c r="F140" i="10"/>
  <c r="E140" i="10"/>
  <c r="Q139" i="10"/>
  <c r="P139" i="10"/>
  <c r="F139" i="10"/>
  <c r="E139" i="10"/>
  <c r="Q138" i="10"/>
  <c r="P138" i="10"/>
  <c r="F138" i="10"/>
  <c r="E138" i="10"/>
  <c r="Q137" i="10"/>
  <c r="P137" i="10"/>
  <c r="F137" i="10"/>
  <c r="E137" i="10"/>
  <c r="Q136" i="10"/>
  <c r="P136" i="10"/>
  <c r="F136" i="10"/>
  <c r="E136" i="10"/>
  <c r="Q135" i="10"/>
  <c r="P135" i="10"/>
  <c r="F135" i="10"/>
  <c r="E135" i="10"/>
  <c r="Q134" i="10"/>
  <c r="P134" i="10"/>
  <c r="F134" i="10"/>
  <c r="E134" i="10"/>
  <c r="Q133" i="10"/>
  <c r="P133" i="10"/>
  <c r="F133" i="10"/>
  <c r="E133" i="10"/>
  <c r="Q132" i="10"/>
  <c r="P132" i="10"/>
  <c r="F132" i="10"/>
  <c r="E132" i="10"/>
  <c r="Q131" i="10"/>
  <c r="P131" i="10"/>
  <c r="F131" i="10"/>
  <c r="E131" i="10"/>
  <c r="Q130" i="10"/>
  <c r="P130" i="10"/>
  <c r="F130" i="10"/>
  <c r="E130" i="10"/>
  <c r="Q129" i="10"/>
  <c r="P129" i="10"/>
  <c r="F129" i="10"/>
  <c r="E129" i="10"/>
  <c r="Q128" i="10"/>
  <c r="P128" i="10"/>
  <c r="F128" i="10"/>
  <c r="E128" i="10"/>
  <c r="Q127" i="10"/>
  <c r="P127" i="10"/>
  <c r="F127" i="10"/>
  <c r="E127" i="10"/>
  <c r="Q126" i="10"/>
  <c r="P126" i="10"/>
  <c r="F126" i="10"/>
  <c r="E126" i="10"/>
  <c r="Q125" i="10"/>
  <c r="P125" i="10"/>
  <c r="F125" i="10"/>
  <c r="E125" i="10"/>
  <c r="Q124" i="10"/>
  <c r="P124" i="10"/>
  <c r="F124" i="10"/>
  <c r="E124" i="10"/>
  <c r="Q123" i="10"/>
  <c r="P123" i="10"/>
  <c r="F123" i="10"/>
  <c r="E123" i="10"/>
  <c r="Q122" i="10"/>
  <c r="P122" i="10"/>
  <c r="F122" i="10"/>
  <c r="E122" i="10"/>
  <c r="Q121" i="10"/>
  <c r="P121" i="10"/>
  <c r="F121" i="10"/>
  <c r="E121" i="10"/>
  <c r="Q120" i="10"/>
  <c r="P120" i="10"/>
  <c r="F120" i="10"/>
  <c r="E120" i="10"/>
  <c r="Q119" i="10"/>
  <c r="P119" i="10"/>
  <c r="F119" i="10"/>
  <c r="E119" i="10"/>
  <c r="Q118" i="10"/>
  <c r="P118" i="10"/>
  <c r="F118" i="10"/>
  <c r="E118" i="10"/>
  <c r="Q117" i="10"/>
  <c r="P117" i="10"/>
  <c r="F117" i="10"/>
  <c r="E117" i="10"/>
  <c r="Q116" i="10"/>
  <c r="P116" i="10"/>
  <c r="F116" i="10"/>
  <c r="E116" i="10"/>
  <c r="Q115" i="10"/>
  <c r="P115" i="10"/>
  <c r="F115" i="10"/>
  <c r="E115" i="10"/>
  <c r="Q114" i="10"/>
  <c r="P114" i="10"/>
  <c r="F114" i="10"/>
  <c r="E114" i="10"/>
  <c r="Q113" i="10"/>
  <c r="P113" i="10"/>
  <c r="F113" i="10"/>
  <c r="E113" i="10"/>
  <c r="Q112" i="10"/>
  <c r="P112" i="10"/>
  <c r="F112" i="10"/>
  <c r="E112" i="10"/>
  <c r="Q111" i="10"/>
  <c r="P111" i="10"/>
  <c r="F111" i="10"/>
  <c r="E111" i="10"/>
  <c r="Q110" i="10"/>
  <c r="P110" i="10"/>
  <c r="F110" i="10"/>
  <c r="E110" i="10"/>
  <c r="Q109" i="10"/>
  <c r="P109" i="10"/>
  <c r="F109" i="10"/>
  <c r="E109" i="10"/>
  <c r="Q108" i="10"/>
  <c r="P108" i="10"/>
  <c r="F108" i="10"/>
  <c r="E108" i="10"/>
  <c r="Q107" i="10"/>
  <c r="P107" i="10"/>
  <c r="F107" i="10"/>
  <c r="E107" i="10"/>
  <c r="Q106" i="10"/>
  <c r="P106" i="10"/>
  <c r="F106" i="10"/>
  <c r="E106" i="10"/>
  <c r="Q105" i="10"/>
  <c r="P105" i="10"/>
  <c r="F105" i="10"/>
  <c r="E105" i="10"/>
  <c r="Q104" i="10"/>
  <c r="P104" i="10"/>
  <c r="F104" i="10"/>
  <c r="E104" i="10"/>
  <c r="Q103" i="10"/>
  <c r="P103" i="10"/>
  <c r="F103" i="10"/>
  <c r="E103" i="10"/>
  <c r="Q102" i="10"/>
  <c r="P102" i="10"/>
  <c r="F102" i="10"/>
  <c r="E102" i="10"/>
  <c r="Q101" i="10"/>
  <c r="P101" i="10"/>
  <c r="F101" i="10"/>
  <c r="E101" i="10"/>
  <c r="Q100" i="10"/>
  <c r="P100" i="10"/>
  <c r="F100" i="10"/>
  <c r="E100" i="10"/>
  <c r="Q99" i="10"/>
  <c r="P99" i="10"/>
  <c r="F99" i="10"/>
  <c r="E99" i="10"/>
  <c r="Q98" i="10"/>
  <c r="P98" i="10"/>
  <c r="F98" i="10"/>
  <c r="E98" i="10"/>
  <c r="Q97" i="10"/>
  <c r="P97" i="10"/>
  <c r="F97" i="10"/>
  <c r="E97" i="10"/>
  <c r="Q96" i="10"/>
  <c r="P96" i="10"/>
  <c r="F96" i="10"/>
  <c r="E96" i="10"/>
  <c r="Q95" i="10"/>
  <c r="P95" i="10"/>
  <c r="F95" i="10"/>
  <c r="E95" i="10"/>
  <c r="Q94" i="10"/>
  <c r="P94" i="10"/>
  <c r="F94" i="10"/>
  <c r="E94" i="10"/>
  <c r="Q93" i="10"/>
  <c r="P93" i="10"/>
  <c r="F93" i="10"/>
  <c r="E93" i="10"/>
  <c r="Q92" i="10"/>
  <c r="P92" i="10"/>
  <c r="F92" i="10"/>
  <c r="E92" i="10"/>
  <c r="Q91" i="10"/>
  <c r="P91" i="10"/>
  <c r="F91" i="10"/>
  <c r="E91" i="10"/>
  <c r="Q90" i="10"/>
  <c r="P90" i="10"/>
  <c r="F90" i="10"/>
  <c r="E90" i="10"/>
  <c r="Q89" i="10"/>
  <c r="P89" i="10"/>
  <c r="F89" i="10"/>
  <c r="E89" i="10"/>
  <c r="Q88" i="10"/>
  <c r="P88" i="10"/>
  <c r="F88" i="10"/>
  <c r="E88" i="10"/>
  <c r="Q87" i="10"/>
  <c r="P87" i="10"/>
  <c r="F87" i="10"/>
  <c r="E87" i="10"/>
  <c r="Q86" i="10"/>
  <c r="P86" i="10"/>
  <c r="F86" i="10"/>
  <c r="E86" i="10"/>
  <c r="Q85" i="10"/>
  <c r="P85" i="10"/>
  <c r="F85" i="10"/>
  <c r="E85" i="10"/>
  <c r="Q84" i="10"/>
  <c r="P84" i="10"/>
  <c r="F84" i="10"/>
  <c r="E84" i="10"/>
  <c r="Q83" i="10"/>
  <c r="P83" i="10"/>
  <c r="F83" i="10"/>
  <c r="E83" i="10"/>
  <c r="Q82" i="10"/>
  <c r="P82" i="10"/>
  <c r="F82" i="10"/>
  <c r="E82" i="10"/>
  <c r="Q81" i="10"/>
  <c r="P81" i="10"/>
  <c r="F81" i="10"/>
  <c r="E81" i="10"/>
  <c r="Q80" i="10"/>
  <c r="P80" i="10"/>
  <c r="F80" i="10"/>
  <c r="E80" i="10"/>
  <c r="Q79" i="10"/>
  <c r="P79" i="10"/>
  <c r="F79" i="10"/>
  <c r="E79" i="10"/>
  <c r="Q78" i="10"/>
  <c r="P78" i="10"/>
  <c r="F78" i="10"/>
  <c r="E78" i="10"/>
  <c r="Q77" i="10"/>
  <c r="P77" i="10"/>
  <c r="F77" i="10"/>
  <c r="E77" i="10"/>
  <c r="Q76" i="10"/>
  <c r="P76" i="10"/>
  <c r="F76" i="10"/>
  <c r="E76" i="10"/>
  <c r="Q75" i="10"/>
  <c r="P75" i="10"/>
  <c r="F75" i="10"/>
  <c r="E75" i="10"/>
  <c r="Q74" i="10"/>
  <c r="P74" i="10"/>
  <c r="F74" i="10"/>
  <c r="E74" i="10"/>
  <c r="Q73" i="10"/>
  <c r="P73" i="10"/>
  <c r="F73" i="10"/>
  <c r="E73" i="10"/>
  <c r="Q72" i="10"/>
  <c r="P72" i="10"/>
  <c r="F72" i="10"/>
  <c r="E72" i="10"/>
  <c r="Q71" i="10"/>
  <c r="P71" i="10"/>
  <c r="F71" i="10"/>
  <c r="E71" i="10"/>
  <c r="Q70" i="10"/>
  <c r="P70" i="10"/>
  <c r="F70" i="10"/>
  <c r="E70" i="10"/>
  <c r="Q69" i="10"/>
  <c r="P69" i="10"/>
  <c r="F69" i="10"/>
  <c r="E69" i="10"/>
  <c r="Q68" i="10"/>
  <c r="P68" i="10"/>
  <c r="F68" i="10"/>
  <c r="E68" i="10"/>
  <c r="Q67" i="10"/>
  <c r="P67" i="10"/>
  <c r="F67" i="10"/>
  <c r="E67" i="10"/>
  <c r="Q66" i="10"/>
  <c r="P66" i="10"/>
  <c r="F66" i="10"/>
  <c r="E66" i="10"/>
  <c r="Q65" i="10"/>
  <c r="P65" i="10"/>
  <c r="F65" i="10"/>
  <c r="E65" i="10"/>
  <c r="Q64" i="10"/>
  <c r="P64" i="10"/>
  <c r="F64" i="10"/>
  <c r="E64" i="10"/>
  <c r="Q63" i="10"/>
  <c r="P63" i="10"/>
  <c r="F63" i="10"/>
  <c r="E63" i="10"/>
  <c r="Q62" i="10"/>
  <c r="P62" i="10"/>
  <c r="F62" i="10"/>
  <c r="E62" i="10"/>
  <c r="Q61" i="10"/>
  <c r="P61" i="10"/>
  <c r="F61" i="10"/>
  <c r="E61" i="10"/>
  <c r="Q60" i="10"/>
  <c r="P60" i="10"/>
  <c r="F60" i="10"/>
  <c r="E60" i="10"/>
  <c r="Q59" i="10"/>
  <c r="P59" i="10"/>
  <c r="F59" i="10"/>
  <c r="E59" i="10"/>
  <c r="Q58" i="10"/>
  <c r="P58" i="10"/>
  <c r="F58" i="10"/>
  <c r="E58" i="10"/>
  <c r="Q57" i="10"/>
  <c r="P57" i="10"/>
  <c r="F57" i="10"/>
  <c r="E57" i="10"/>
  <c r="Q56" i="10"/>
  <c r="P56" i="10"/>
  <c r="F56" i="10"/>
  <c r="E56" i="10"/>
  <c r="Q55" i="10"/>
  <c r="P55" i="10"/>
  <c r="F55" i="10"/>
  <c r="E55" i="10"/>
  <c r="Q54" i="10"/>
  <c r="P54" i="10"/>
  <c r="F54" i="10"/>
  <c r="E54" i="10"/>
  <c r="Q53" i="10"/>
  <c r="P53" i="10"/>
  <c r="F53" i="10"/>
  <c r="E53" i="10"/>
  <c r="Q52" i="10"/>
  <c r="P52" i="10"/>
  <c r="F52" i="10"/>
  <c r="E52" i="10"/>
  <c r="Q51" i="10"/>
  <c r="P51" i="10"/>
  <c r="F51" i="10"/>
  <c r="E51" i="10"/>
  <c r="Q50" i="10"/>
  <c r="P50" i="10"/>
  <c r="F50" i="10"/>
  <c r="E50" i="10"/>
  <c r="Q49" i="10"/>
  <c r="P49" i="10"/>
  <c r="F49" i="10"/>
  <c r="E49" i="10"/>
  <c r="Q48" i="10"/>
  <c r="P48" i="10"/>
  <c r="F48" i="10"/>
  <c r="E48" i="10"/>
  <c r="Q47" i="10"/>
  <c r="P47" i="10"/>
  <c r="F47" i="10"/>
  <c r="E47" i="10"/>
  <c r="Q46" i="10"/>
  <c r="P46" i="10"/>
  <c r="F46" i="10"/>
  <c r="E46" i="10"/>
  <c r="Q45" i="10"/>
  <c r="P45" i="10"/>
  <c r="F45" i="10"/>
  <c r="E45" i="10"/>
  <c r="Q44" i="10"/>
  <c r="P44" i="10"/>
  <c r="F44" i="10"/>
  <c r="E44" i="10"/>
  <c r="Q43" i="10"/>
  <c r="P43" i="10"/>
  <c r="F43" i="10"/>
  <c r="E43" i="10"/>
  <c r="Q42" i="10"/>
  <c r="P42" i="10"/>
  <c r="F42" i="10"/>
  <c r="E42" i="10"/>
  <c r="Q41" i="10"/>
  <c r="P41" i="10"/>
  <c r="F41" i="10"/>
  <c r="E41" i="10"/>
  <c r="Q40" i="10"/>
  <c r="P40" i="10"/>
  <c r="F40" i="10"/>
  <c r="E40" i="10"/>
  <c r="Q39" i="10"/>
  <c r="P39" i="10"/>
  <c r="F39" i="10"/>
  <c r="E39" i="10"/>
  <c r="Q38" i="10"/>
  <c r="P38" i="10"/>
  <c r="F38" i="10"/>
  <c r="E38" i="10"/>
  <c r="Q37" i="10"/>
  <c r="P37" i="10"/>
  <c r="F37" i="10"/>
  <c r="E37" i="10"/>
  <c r="Q36" i="10"/>
  <c r="P36" i="10"/>
  <c r="F36" i="10"/>
  <c r="E36" i="10"/>
  <c r="Q35" i="10"/>
  <c r="P35" i="10"/>
  <c r="F35" i="10"/>
  <c r="E35" i="10"/>
  <c r="Q34" i="10"/>
  <c r="P34" i="10"/>
  <c r="F34" i="10"/>
  <c r="E34" i="10"/>
  <c r="Q33" i="10"/>
  <c r="P33" i="10"/>
  <c r="F33" i="10"/>
  <c r="E33" i="10"/>
  <c r="Q32" i="10"/>
  <c r="P32" i="10"/>
  <c r="F32" i="10"/>
  <c r="E32" i="10"/>
  <c r="Q31" i="10"/>
  <c r="P31" i="10"/>
  <c r="F31" i="10"/>
  <c r="E31" i="10"/>
  <c r="Q30" i="10"/>
  <c r="P30" i="10"/>
  <c r="F30" i="10"/>
  <c r="E30" i="10"/>
  <c r="Q29" i="10"/>
  <c r="P29" i="10"/>
  <c r="F29" i="10"/>
  <c r="E29" i="10"/>
  <c r="Q28" i="10"/>
  <c r="P28" i="10"/>
  <c r="F28" i="10"/>
  <c r="E28" i="10"/>
  <c r="Q27" i="10"/>
  <c r="P27" i="10"/>
  <c r="F27" i="10"/>
  <c r="E27" i="10"/>
  <c r="Q26" i="10"/>
  <c r="P26" i="10"/>
  <c r="F26" i="10"/>
  <c r="E26" i="10"/>
  <c r="Q25" i="10"/>
  <c r="P25" i="10"/>
  <c r="F25" i="10"/>
  <c r="E25" i="10"/>
  <c r="Q24" i="10"/>
  <c r="P24" i="10"/>
  <c r="F24" i="10"/>
  <c r="E24" i="10"/>
  <c r="Q23" i="10"/>
  <c r="P23" i="10"/>
  <c r="F23" i="10"/>
  <c r="E23" i="10"/>
  <c r="Q22" i="10"/>
  <c r="P22" i="10"/>
  <c r="F22" i="10"/>
  <c r="E22" i="10"/>
  <c r="Q21" i="10"/>
  <c r="P21" i="10"/>
  <c r="F21" i="10"/>
  <c r="E21" i="10"/>
  <c r="Q20" i="10"/>
  <c r="P20" i="10"/>
  <c r="F20" i="10"/>
  <c r="E20" i="10"/>
  <c r="Q19" i="10"/>
  <c r="P19" i="10"/>
  <c r="F19" i="10"/>
  <c r="E19" i="10"/>
  <c r="Q18" i="10"/>
  <c r="P18" i="10"/>
  <c r="F18" i="10"/>
  <c r="E18" i="10"/>
  <c r="Q17" i="10"/>
  <c r="P17" i="10"/>
  <c r="F17" i="10"/>
  <c r="E17" i="10"/>
  <c r="Q16" i="10"/>
  <c r="P16" i="10"/>
  <c r="F16" i="10"/>
  <c r="E16" i="10"/>
  <c r="Q15" i="10"/>
  <c r="P15" i="10"/>
  <c r="F15" i="10"/>
  <c r="E15" i="10"/>
  <c r="Q14" i="10"/>
  <c r="P14" i="10"/>
  <c r="F14" i="10"/>
  <c r="E14" i="10"/>
  <c r="Q13" i="10"/>
  <c r="P13" i="10"/>
  <c r="F13" i="10"/>
  <c r="E13" i="10"/>
  <c r="Q12" i="10"/>
  <c r="P12" i="10"/>
  <c r="F12" i="10"/>
  <c r="E12" i="10"/>
  <c r="Q11" i="10"/>
  <c r="P11" i="10"/>
  <c r="F11" i="10"/>
  <c r="E11" i="10"/>
  <c r="Q10" i="10"/>
  <c r="P10" i="10"/>
  <c r="F10" i="10"/>
  <c r="E10" i="10"/>
  <c r="Q9" i="10"/>
  <c r="P9" i="10"/>
  <c r="F9" i="10"/>
  <c r="E9" i="10"/>
  <c r="Q8" i="10"/>
  <c r="P8" i="10"/>
  <c r="F8" i="10"/>
  <c r="E8" i="10"/>
  <c r="Q7" i="10"/>
  <c r="P7" i="10"/>
  <c r="F7" i="10"/>
  <c r="E7" i="10"/>
  <c r="Q6" i="10"/>
  <c r="P6" i="10"/>
  <c r="F6" i="10"/>
  <c r="E6" i="10"/>
  <c r="Q5" i="10"/>
  <c r="P5" i="10"/>
  <c r="F5" i="10"/>
  <c r="E5" i="10"/>
  <c r="U2261" i="6"/>
  <c r="T2261" i="6"/>
  <c r="L2261" i="6"/>
  <c r="K2261" i="6"/>
  <c r="U2241" i="6"/>
  <c r="T2241" i="6"/>
  <c r="L2241" i="6"/>
  <c r="K2241" i="6"/>
  <c r="U2098" i="6"/>
  <c r="T2098" i="6"/>
  <c r="L2098" i="6"/>
  <c r="K2098" i="6"/>
  <c r="U2092" i="6"/>
  <c r="T2092" i="6"/>
  <c r="L2092" i="6"/>
  <c r="K2092" i="6"/>
  <c r="U1989" i="6"/>
  <c r="T1989" i="6"/>
  <c r="L1989" i="6"/>
  <c r="K1989" i="6"/>
  <c r="U1968" i="6"/>
  <c r="T1968" i="6"/>
  <c r="L1968" i="6"/>
  <c r="K1968" i="6"/>
  <c r="U1913" i="6"/>
  <c r="T1913" i="6"/>
  <c r="L1913" i="6"/>
  <c r="K1913" i="6"/>
  <c r="U1892" i="6"/>
  <c r="T1892" i="6"/>
  <c r="L1892" i="6"/>
  <c r="K1892" i="6"/>
  <c r="U1826" i="6"/>
  <c r="T1826" i="6"/>
  <c r="L1826" i="6"/>
  <c r="K1826" i="6"/>
  <c r="U1703" i="6"/>
  <c r="T1703" i="6"/>
  <c r="L1703" i="6"/>
  <c r="K1703" i="6"/>
  <c r="U1673" i="6"/>
  <c r="T1673" i="6"/>
  <c r="L1673" i="6"/>
  <c r="K1673" i="6"/>
  <c r="U1646" i="6"/>
  <c r="T1646" i="6"/>
  <c r="L1646" i="6"/>
  <c r="K1646" i="6"/>
  <c r="U1510" i="6"/>
  <c r="T1510" i="6"/>
  <c r="L1510" i="6"/>
  <c r="K1510" i="6"/>
  <c r="U1486" i="6"/>
  <c r="T1486" i="6"/>
  <c r="L1486" i="6"/>
  <c r="K1486" i="6"/>
  <c r="U1485" i="6"/>
  <c r="T1485" i="6"/>
  <c r="L1485" i="6"/>
  <c r="K1485" i="6"/>
  <c r="U1473" i="6"/>
  <c r="T1473" i="6"/>
  <c r="L1473" i="6"/>
  <c r="K1473" i="6"/>
  <c r="U1454" i="6"/>
  <c r="T1454" i="6"/>
  <c r="L1454" i="6"/>
  <c r="K1454" i="6"/>
  <c r="U1353" i="6"/>
  <c r="T1353" i="6"/>
  <c r="L1353" i="6"/>
  <c r="K1353" i="6"/>
  <c r="U1255" i="6"/>
  <c r="T1255" i="6"/>
  <c r="L1255" i="6"/>
  <c r="K1255" i="6"/>
  <c r="U1225" i="6"/>
  <c r="T1225" i="6"/>
  <c r="L1225" i="6"/>
  <c r="K1225" i="6"/>
  <c r="U1209" i="6"/>
  <c r="T1209" i="6"/>
  <c r="L1209" i="6"/>
  <c r="K1209" i="6"/>
  <c r="U856" i="6"/>
  <c r="T856" i="6"/>
  <c r="L856" i="6"/>
  <c r="K856" i="6"/>
  <c r="U852" i="6"/>
  <c r="T852" i="6"/>
  <c r="L852" i="6"/>
  <c r="K852" i="6"/>
  <c r="U748" i="6"/>
  <c r="T748" i="6"/>
  <c r="L748" i="6"/>
  <c r="K748" i="6"/>
  <c r="U746" i="6"/>
  <c r="T746" i="6"/>
  <c r="L746" i="6"/>
  <c r="K746" i="6"/>
  <c r="U698" i="6"/>
  <c r="T698" i="6"/>
  <c r="L698" i="6"/>
  <c r="K698" i="6"/>
  <c r="U669" i="6"/>
  <c r="T669" i="6"/>
  <c r="L669" i="6"/>
  <c r="K669" i="6"/>
  <c r="U631" i="6"/>
  <c r="T631" i="6"/>
  <c r="L631" i="6"/>
  <c r="K631" i="6"/>
  <c r="U622" i="6"/>
  <c r="T622" i="6"/>
  <c r="L622" i="6"/>
  <c r="K622" i="6"/>
  <c r="U603" i="6"/>
  <c r="T603" i="6"/>
  <c r="L603" i="6"/>
  <c r="K603" i="6"/>
  <c r="U493" i="6"/>
  <c r="T493" i="6"/>
  <c r="L493" i="6"/>
  <c r="K493" i="6"/>
  <c r="U425" i="6"/>
  <c r="T425" i="6"/>
  <c r="L425" i="6"/>
  <c r="K425" i="6"/>
  <c r="U396" i="6"/>
  <c r="T396" i="6"/>
  <c r="L396" i="6"/>
  <c r="K396" i="6"/>
  <c r="U382" i="6"/>
  <c r="T382" i="6"/>
  <c r="L382" i="6"/>
  <c r="K382" i="6"/>
  <c r="U377" i="6"/>
  <c r="T377" i="6"/>
  <c r="L377" i="6"/>
  <c r="K377" i="6"/>
  <c r="U333" i="6"/>
  <c r="T333" i="6"/>
  <c r="L333" i="6"/>
  <c r="K333" i="6"/>
  <c r="U321" i="6"/>
  <c r="T321" i="6"/>
  <c r="L321" i="6"/>
  <c r="K321" i="6"/>
  <c r="U301" i="6"/>
  <c r="T301" i="6"/>
  <c r="L301" i="6"/>
  <c r="K301" i="6"/>
  <c r="U290" i="6"/>
  <c r="T290" i="6"/>
  <c r="L290" i="6"/>
  <c r="K290" i="6"/>
  <c r="U189" i="6"/>
  <c r="T189" i="6"/>
  <c r="L189" i="6"/>
  <c r="K189" i="6"/>
  <c r="U170" i="6"/>
  <c r="T170" i="6"/>
  <c r="L170" i="6"/>
  <c r="K170" i="6"/>
  <c r="U166" i="6"/>
  <c r="T166" i="6"/>
  <c r="L166" i="6"/>
  <c r="K166" i="6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6" i="20"/>
  <c r="T156" i="19" s="1"/>
  <c r="B4" i="20"/>
  <c r="C4" i="20" s="1"/>
  <c r="D4" i="20" s="1"/>
  <c r="E4" i="20" s="1"/>
  <c r="F4" i="20" s="1"/>
  <c r="G4" i="20" s="1"/>
  <c r="H4" i="20" s="1"/>
  <c r="I4" i="20" s="1"/>
  <c r="X2363" i="6" l="1"/>
  <c r="X2347" i="6"/>
  <c r="X2331" i="6"/>
  <c r="X2315" i="6"/>
  <c r="X2299" i="6"/>
  <c r="X2283" i="6"/>
  <c r="X2267" i="6"/>
  <c r="X2251" i="6"/>
  <c r="X2235" i="6"/>
  <c r="X2219" i="6"/>
  <c r="X2203" i="6"/>
  <c r="X2187" i="6"/>
  <c r="X2171" i="6"/>
  <c r="X2155" i="6"/>
  <c r="X2139" i="6"/>
  <c r="X2123" i="6"/>
  <c r="X2107" i="6"/>
  <c r="X2091" i="6"/>
  <c r="X2075" i="6"/>
  <c r="X2059" i="6"/>
  <c r="X2043" i="6"/>
  <c r="X2027" i="6"/>
  <c r="X2011" i="6"/>
  <c r="X1995" i="6"/>
  <c r="X1979" i="6"/>
  <c r="X1963" i="6"/>
  <c r="X1947" i="6"/>
  <c r="X1931" i="6"/>
  <c r="X1915" i="6"/>
  <c r="X1899" i="6"/>
  <c r="X1883" i="6"/>
  <c r="X1867" i="6"/>
  <c r="X1851" i="6"/>
  <c r="X1819" i="6"/>
  <c r="X1755" i="6"/>
  <c r="X1691" i="6"/>
  <c r="X1627" i="6"/>
  <c r="X1563" i="6"/>
  <c r="X1499" i="6"/>
  <c r="X1435" i="6"/>
  <c r="X1371" i="6"/>
  <c r="X1307" i="6"/>
  <c r="X1243" i="6"/>
  <c r="X1179" i="6"/>
  <c r="X1115" i="6"/>
  <c r="X1051" i="6"/>
  <c r="X987" i="6"/>
  <c r="X923" i="6"/>
  <c r="X859" i="6"/>
  <c r="X795" i="6"/>
  <c r="X716" i="6"/>
  <c r="X378" i="6"/>
  <c r="X37" i="6"/>
  <c r="T5" i="19"/>
  <c r="X2362" i="6"/>
  <c r="X2346" i="6"/>
  <c r="X2330" i="6"/>
  <c r="X2314" i="6"/>
  <c r="X2298" i="6"/>
  <c r="X2282" i="6"/>
  <c r="X2266" i="6"/>
  <c r="X2250" i="6"/>
  <c r="X2234" i="6"/>
  <c r="X2218" i="6"/>
  <c r="X2202" i="6"/>
  <c r="X2186" i="6"/>
  <c r="X2170" i="6"/>
  <c r="X2154" i="6"/>
  <c r="X2138" i="6"/>
  <c r="X2122" i="6"/>
  <c r="X2106" i="6"/>
  <c r="X2090" i="6"/>
  <c r="X2074" i="6"/>
  <c r="X2058" i="6"/>
  <c r="X2042" i="6"/>
  <c r="X2026" i="6"/>
  <c r="X2010" i="6"/>
  <c r="X1994" i="6"/>
  <c r="X1978" i="6"/>
  <c r="X1962" i="6"/>
  <c r="X1946" i="6"/>
  <c r="X1930" i="6"/>
  <c r="X1914" i="6"/>
  <c r="X1898" i="6"/>
  <c r="X1882" i="6"/>
  <c r="X1866" i="6"/>
  <c r="X1850" i="6"/>
  <c r="X1814" i="6"/>
  <c r="X1750" i="6"/>
  <c r="X1686" i="6"/>
  <c r="X1622" i="6"/>
  <c r="X1558" i="6"/>
  <c r="X1494" i="6"/>
  <c r="X1430" i="6"/>
  <c r="X1366" i="6"/>
  <c r="X1302" i="6"/>
  <c r="X1238" i="6"/>
  <c r="X1174" i="6"/>
  <c r="X1110" i="6"/>
  <c r="X1046" i="6"/>
  <c r="X982" i="6"/>
  <c r="X918" i="6"/>
  <c r="X854" i="6"/>
  <c r="X790" i="6"/>
  <c r="X693" i="6"/>
  <c r="X348" i="6"/>
  <c r="T5" i="10"/>
  <c r="T300" i="19"/>
  <c r="X2361" i="6"/>
  <c r="X2345" i="6"/>
  <c r="X2329" i="6"/>
  <c r="X2313" i="6"/>
  <c r="X2297" i="6"/>
  <c r="X2281" i="6"/>
  <c r="X2265" i="6"/>
  <c r="X2249" i="6"/>
  <c r="X2233" i="6"/>
  <c r="X2217" i="6"/>
  <c r="X2201" i="6"/>
  <c r="X2185" i="6"/>
  <c r="X2169" i="6"/>
  <c r="X2153" i="6"/>
  <c r="X2137" i="6"/>
  <c r="X2121" i="6"/>
  <c r="X2105" i="6"/>
  <c r="X2089" i="6"/>
  <c r="X2073" i="6"/>
  <c r="X2057" i="6"/>
  <c r="X2041" i="6"/>
  <c r="X2025" i="6"/>
  <c r="X2009" i="6"/>
  <c r="X1993" i="6"/>
  <c r="X1977" i="6"/>
  <c r="X1961" i="6"/>
  <c r="X1945" i="6"/>
  <c r="X1929" i="6"/>
  <c r="X1913" i="6"/>
  <c r="X1897" i="6"/>
  <c r="X1881" i="6"/>
  <c r="X1865" i="6"/>
  <c r="X1849" i="6"/>
  <c r="X1805" i="6"/>
  <c r="X1741" i="6"/>
  <c r="X1677" i="6"/>
  <c r="X1613" i="6"/>
  <c r="X1549" i="6"/>
  <c r="X1485" i="6"/>
  <c r="X1421" i="6"/>
  <c r="X1357" i="6"/>
  <c r="X1293" i="6"/>
  <c r="X1229" i="6"/>
  <c r="X1165" i="6"/>
  <c r="X1101" i="6"/>
  <c r="X1037" i="6"/>
  <c r="X973" i="6"/>
  <c r="X909" i="6"/>
  <c r="X845" i="6"/>
  <c r="X781" i="6"/>
  <c r="X645" i="6"/>
  <c r="X300" i="6"/>
  <c r="T275" i="10"/>
  <c r="T252" i="19"/>
  <c r="X2360" i="6"/>
  <c r="X2344" i="6"/>
  <c r="X2328" i="6"/>
  <c r="X2312" i="6"/>
  <c r="X2296" i="6"/>
  <c r="X2280" i="6"/>
  <c r="X2264" i="6"/>
  <c r="X2248" i="6"/>
  <c r="X2232" i="6"/>
  <c r="X2216" i="6"/>
  <c r="X2200" i="6"/>
  <c r="X2184" i="6"/>
  <c r="X2168" i="6"/>
  <c r="X2152" i="6"/>
  <c r="X2136" i="6"/>
  <c r="X2120" i="6"/>
  <c r="X2104" i="6"/>
  <c r="X2088" i="6"/>
  <c r="X2072" i="6"/>
  <c r="X2056" i="6"/>
  <c r="X2040" i="6"/>
  <c r="X2024" i="6"/>
  <c r="X2008" i="6"/>
  <c r="X1992" i="6"/>
  <c r="X1976" i="6"/>
  <c r="X1960" i="6"/>
  <c r="X1944" i="6"/>
  <c r="X1928" i="6"/>
  <c r="X1912" i="6"/>
  <c r="X1896" i="6"/>
  <c r="X1880" i="6"/>
  <c r="X1864" i="6"/>
  <c r="X1848" i="6"/>
  <c r="X1804" i="6"/>
  <c r="X1740" i="6"/>
  <c r="X1676" i="6"/>
  <c r="X1612" i="6"/>
  <c r="X1548" i="6"/>
  <c r="X1484" i="6"/>
  <c r="X1420" i="6"/>
  <c r="X1356" i="6"/>
  <c r="X1292" i="6"/>
  <c r="X1228" i="6"/>
  <c r="X1164" i="6"/>
  <c r="X1100" i="6"/>
  <c r="X1036" i="6"/>
  <c r="X972" i="6"/>
  <c r="X908" i="6"/>
  <c r="X844" i="6"/>
  <c r="X780" i="6"/>
  <c r="X636" i="6"/>
  <c r="X298" i="6"/>
  <c r="T270" i="10"/>
  <c r="T243" i="19"/>
  <c r="X2359" i="6"/>
  <c r="X2343" i="6"/>
  <c r="X2327" i="6"/>
  <c r="X2311" i="6"/>
  <c r="X2295" i="6"/>
  <c r="X2279" i="6"/>
  <c r="X2263" i="6"/>
  <c r="X2247" i="6"/>
  <c r="X2231" i="6"/>
  <c r="X2215" i="6"/>
  <c r="X2199" i="6"/>
  <c r="X2183" i="6"/>
  <c r="X2167" i="6"/>
  <c r="X2151" i="6"/>
  <c r="X2135" i="6"/>
  <c r="X2119" i="6"/>
  <c r="X2103" i="6"/>
  <c r="X2087" i="6"/>
  <c r="X2071" i="6"/>
  <c r="X2055" i="6"/>
  <c r="X2039" i="6"/>
  <c r="X2023" i="6"/>
  <c r="X2007" i="6"/>
  <c r="X1991" i="6"/>
  <c r="X1975" i="6"/>
  <c r="X1959" i="6"/>
  <c r="X1943" i="6"/>
  <c r="X1927" i="6"/>
  <c r="X1911" i="6"/>
  <c r="X1895" i="6"/>
  <c r="X1879" i="6"/>
  <c r="X1863" i="6"/>
  <c r="X1847" i="6"/>
  <c r="X1803" i="6"/>
  <c r="X1739" i="6"/>
  <c r="X1675" i="6"/>
  <c r="X1611" i="6"/>
  <c r="X1547" i="6"/>
  <c r="X1483" i="6"/>
  <c r="X1419" i="6"/>
  <c r="X1355" i="6"/>
  <c r="X1291" i="6"/>
  <c r="X1227" i="6"/>
  <c r="X1163" i="6"/>
  <c r="X1099" i="6"/>
  <c r="X1035" i="6"/>
  <c r="X971" i="6"/>
  <c r="X907" i="6"/>
  <c r="X843" i="6"/>
  <c r="X779" i="6"/>
  <c r="X634" i="6"/>
  <c r="X293" i="6"/>
  <c r="T261" i="10"/>
  <c r="T241" i="19"/>
  <c r="X2358" i="6"/>
  <c r="X2342" i="6"/>
  <c r="X2326" i="6"/>
  <c r="X2310" i="6"/>
  <c r="X2294" i="6"/>
  <c r="X2278" i="6"/>
  <c r="X2262" i="6"/>
  <c r="X2246" i="6"/>
  <c r="X2230" i="6"/>
  <c r="X2214" i="6"/>
  <c r="X2198" i="6"/>
  <c r="X2182" i="6"/>
  <c r="X2166" i="6"/>
  <c r="X2150" i="6"/>
  <c r="X2134" i="6"/>
  <c r="X2118" i="6"/>
  <c r="X2102" i="6"/>
  <c r="X2086" i="6"/>
  <c r="X2070" i="6"/>
  <c r="X2054" i="6"/>
  <c r="X2038" i="6"/>
  <c r="X2022" i="6"/>
  <c r="X2006" i="6"/>
  <c r="X1990" i="6"/>
  <c r="X1974" i="6"/>
  <c r="X1958" i="6"/>
  <c r="X1942" i="6"/>
  <c r="X1926" i="6"/>
  <c r="X1910" i="6"/>
  <c r="X1894" i="6"/>
  <c r="X1878" i="6"/>
  <c r="X1862" i="6"/>
  <c r="X1846" i="6"/>
  <c r="X1798" i="6"/>
  <c r="X1734" i="6"/>
  <c r="X1670" i="6"/>
  <c r="X1606" i="6"/>
  <c r="X1542" i="6"/>
  <c r="X1478" i="6"/>
  <c r="X1414" i="6"/>
  <c r="X1350" i="6"/>
  <c r="X1286" i="6"/>
  <c r="X1222" i="6"/>
  <c r="X1158" i="6"/>
  <c r="X1094" i="6"/>
  <c r="X1030" i="6"/>
  <c r="X966" i="6"/>
  <c r="X902" i="6"/>
  <c r="X838" i="6"/>
  <c r="X774" i="6"/>
  <c r="X604" i="6"/>
  <c r="X266" i="6"/>
  <c r="T238" i="10"/>
  <c r="T211" i="19"/>
  <c r="X2357" i="6"/>
  <c r="X2341" i="6"/>
  <c r="X2325" i="6"/>
  <c r="X2309" i="6"/>
  <c r="X2293" i="6"/>
  <c r="X2277" i="6"/>
  <c r="X2261" i="6"/>
  <c r="X2245" i="6"/>
  <c r="X2229" i="6"/>
  <c r="X2213" i="6"/>
  <c r="X2197" i="6"/>
  <c r="X2181" i="6"/>
  <c r="X2165" i="6"/>
  <c r="X2149" i="6"/>
  <c r="X2133" i="6"/>
  <c r="X2117" i="6"/>
  <c r="X2101" i="6"/>
  <c r="X2085" i="6"/>
  <c r="X2069" i="6"/>
  <c r="X2053" i="6"/>
  <c r="X2037" i="6"/>
  <c r="X2021" i="6"/>
  <c r="X2005" i="6"/>
  <c r="X1989" i="6"/>
  <c r="X1973" i="6"/>
  <c r="X1957" i="6"/>
  <c r="X1941" i="6"/>
  <c r="X1925" i="6"/>
  <c r="X1909" i="6"/>
  <c r="X1893" i="6"/>
  <c r="X1877" i="6"/>
  <c r="X1861" i="6"/>
  <c r="X1845" i="6"/>
  <c r="X1789" i="6"/>
  <c r="X1725" i="6"/>
  <c r="X1661" i="6"/>
  <c r="X1597" i="6"/>
  <c r="X1533" i="6"/>
  <c r="X1469" i="6"/>
  <c r="X1405" i="6"/>
  <c r="X1341" i="6"/>
  <c r="X1277" i="6"/>
  <c r="X1213" i="6"/>
  <c r="X1149" i="6"/>
  <c r="X1085" i="6"/>
  <c r="X1021" i="6"/>
  <c r="X957" i="6"/>
  <c r="X893" i="6"/>
  <c r="X829" i="6"/>
  <c r="X765" i="6"/>
  <c r="X556" i="6"/>
  <c r="X218" i="6"/>
  <c r="T190" i="10"/>
  <c r="T163" i="19"/>
  <c r="X2356" i="6"/>
  <c r="X2340" i="6"/>
  <c r="X2324" i="6"/>
  <c r="X2308" i="6"/>
  <c r="X2292" i="6"/>
  <c r="X2276" i="6"/>
  <c r="X2260" i="6"/>
  <c r="X2244" i="6"/>
  <c r="X2228" i="6"/>
  <c r="X2212" i="6"/>
  <c r="X2196" i="6"/>
  <c r="X2180" i="6"/>
  <c r="X2164" i="6"/>
  <c r="X2148" i="6"/>
  <c r="X2132" i="6"/>
  <c r="X2116" i="6"/>
  <c r="X2100" i="6"/>
  <c r="X2084" i="6"/>
  <c r="X2068" i="6"/>
  <c r="X2052" i="6"/>
  <c r="X2036" i="6"/>
  <c r="X2020" i="6"/>
  <c r="X2004" i="6"/>
  <c r="X1988" i="6"/>
  <c r="X1972" i="6"/>
  <c r="X1956" i="6"/>
  <c r="X1940" i="6"/>
  <c r="X1924" i="6"/>
  <c r="X1908" i="6"/>
  <c r="X1892" i="6"/>
  <c r="X1876" i="6"/>
  <c r="X1860" i="6"/>
  <c r="X1844" i="6"/>
  <c r="X1788" i="6"/>
  <c r="X1724" i="6"/>
  <c r="X1660" i="6"/>
  <c r="X1596" i="6"/>
  <c r="X1532" i="6"/>
  <c r="X1468" i="6"/>
  <c r="X1404" i="6"/>
  <c r="X1340" i="6"/>
  <c r="X1276" i="6"/>
  <c r="X1212" i="6"/>
  <c r="X1148" i="6"/>
  <c r="X1084" i="6"/>
  <c r="X1020" i="6"/>
  <c r="X956" i="6"/>
  <c r="X892" i="6"/>
  <c r="X828" i="6"/>
  <c r="X764" i="6"/>
  <c r="X554" i="6"/>
  <c r="X213" i="6"/>
  <c r="T181" i="10"/>
  <c r="T161" i="19"/>
  <c r="X2355" i="6"/>
  <c r="X2339" i="6"/>
  <c r="X2323" i="6"/>
  <c r="X2307" i="6"/>
  <c r="X2291" i="6"/>
  <c r="X2275" i="6"/>
  <c r="X2259" i="6"/>
  <c r="X2243" i="6"/>
  <c r="X2227" i="6"/>
  <c r="X2211" i="6"/>
  <c r="X2195" i="6"/>
  <c r="X2179" i="6"/>
  <c r="X2163" i="6"/>
  <c r="X2147" i="6"/>
  <c r="X2131" i="6"/>
  <c r="X2115" i="6"/>
  <c r="X2099" i="6"/>
  <c r="X2083" i="6"/>
  <c r="X2067" i="6"/>
  <c r="X2051" i="6"/>
  <c r="X2035" i="6"/>
  <c r="X2019" i="6"/>
  <c r="X2003" i="6"/>
  <c r="X1987" i="6"/>
  <c r="X1971" i="6"/>
  <c r="X1955" i="6"/>
  <c r="X1939" i="6"/>
  <c r="X1923" i="6"/>
  <c r="X1907" i="6"/>
  <c r="X1891" i="6"/>
  <c r="X1875" i="6"/>
  <c r="X1859" i="6"/>
  <c r="X1843" i="6"/>
  <c r="X1787" i="6"/>
  <c r="X1723" i="6"/>
  <c r="X1659" i="6"/>
  <c r="X1595" i="6"/>
  <c r="X1531" i="6"/>
  <c r="X1467" i="6"/>
  <c r="X1403" i="6"/>
  <c r="X1339" i="6"/>
  <c r="X1275" i="6"/>
  <c r="X1211" i="6"/>
  <c r="X1147" i="6"/>
  <c r="X1083" i="6"/>
  <c r="X1019" i="6"/>
  <c r="X955" i="6"/>
  <c r="X891" i="6"/>
  <c r="X827" i="6"/>
  <c r="X763" i="6"/>
  <c r="X549" i="6"/>
  <c r="X204" i="6"/>
  <c r="T179" i="10"/>
  <c r="T20" i="19"/>
  <c r="T36" i="19"/>
  <c r="T52" i="19"/>
  <c r="T68" i="19"/>
  <c r="T84" i="19"/>
  <c r="T100" i="19"/>
  <c r="T116" i="19"/>
  <c r="T132" i="19"/>
  <c r="T148" i="19"/>
  <c r="T164" i="19"/>
  <c r="T180" i="19"/>
  <c r="T196" i="19"/>
  <c r="T212" i="19"/>
  <c r="T228" i="19"/>
  <c r="T244" i="19"/>
  <c r="T260" i="19"/>
  <c r="T276" i="19"/>
  <c r="T292" i="19"/>
  <c r="T308" i="19"/>
  <c r="T6" i="10"/>
  <c r="T22" i="10"/>
  <c r="T38" i="10"/>
  <c r="T54" i="10"/>
  <c r="T70" i="10"/>
  <c r="T86" i="10"/>
  <c r="T102" i="10"/>
  <c r="T118" i="10"/>
  <c r="T134" i="10"/>
  <c r="T150" i="10"/>
  <c r="T166" i="10"/>
  <c r="T182" i="10"/>
  <c r="T198" i="10"/>
  <c r="T214" i="10"/>
  <c r="T230" i="10"/>
  <c r="T246" i="10"/>
  <c r="T262" i="10"/>
  <c r="T278" i="10"/>
  <c r="T294" i="10"/>
  <c r="T310" i="10"/>
  <c r="X13" i="6"/>
  <c r="X29" i="6"/>
  <c r="X45" i="6"/>
  <c r="X61" i="6"/>
  <c r="X77" i="6"/>
  <c r="X93" i="6"/>
  <c r="X109" i="6"/>
  <c r="X125" i="6"/>
  <c r="X141" i="6"/>
  <c r="X157" i="6"/>
  <c r="X173" i="6"/>
  <c r="X189" i="6"/>
  <c r="X205" i="6"/>
  <c r="X221" i="6"/>
  <c r="X237" i="6"/>
  <c r="X253" i="6"/>
  <c r="X269" i="6"/>
  <c r="X285" i="6"/>
  <c r="X301" i="6"/>
  <c r="X317" i="6"/>
  <c r="X333" i="6"/>
  <c r="X349" i="6"/>
  <c r="X365" i="6"/>
  <c r="X381" i="6"/>
  <c r="X397" i="6"/>
  <c r="X413" i="6"/>
  <c r="X429" i="6"/>
  <c r="X445" i="6"/>
  <c r="X461" i="6"/>
  <c r="X477" i="6"/>
  <c r="X493" i="6"/>
  <c r="X509" i="6"/>
  <c r="X525" i="6"/>
  <c r="X541" i="6"/>
  <c r="X557" i="6"/>
  <c r="X573" i="6"/>
  <c r="X589" i="6"/>
  <c r="X605" i="6"/>
  <c r="X621" i="6"/>
  <c r="X637" i="6"/>
  <c r="X653" i="6"/>
  <c r="X669" i="6"/>
  <c r="X685" i="6"/>
  <c r="X701" i="6"/>
  <c r="X717" i="6"/>
  <c r="X733" i="6"/>
  <c r="T21" i="19"/>
  <c r="T37" i="19"/>
  <c r="T53" i="19"/>
  <c r="T69" i="19"/>
  <c r="T85" i="19"/>
  <c r="T101" i="19"/>
  <c r="T117" i="19"/>
  <c r="T133" i="19"/>
  <c r="T149" i="19"/>
  <c r="T165" i="19"/>
  <c r="T181" i="19"/>
  <c r="T197" i="19"/>
  <c r="T213" i="19"/>
  <c r="T229" i="19"/>
  <c r="T245" i="19"/>
  <c r="T261" i="19"/>
  <c r="T277" i="19"/>
  <c r="T293" i="19"/>
  <c r="T309" i="19"/>
  <c r="T7" i="10"/>
  <c r="T23" i="10"/>
  <c r="T39" i="10"/>
  <c r="T55" i="10"/>
  <c r="T71" i="10"/>
  <c r="T87" i="10"/>
  <c r="T103" i="10"/>
  <c r="T119" i="10"/>
  <c r="T135" i="10"/>
  <c r="T151" i="10"/>
  <c r="T167" i="10"/>
  <c r="T183" i="10"/>
  <c r="T199" i="10"/>
  <c r="T215" i="10"/>
  <c r="T231" i="10"/>
  <c r="T247" i="10"/>
  <c r="T263" i="10"/>
  <c r="T279" i="10"/>
  <c r="T295" i="10"/>
  <c r="T311" i="10"/>
  <c r="X14" i="6"/>
  <c r="X30" i="6"/>
  <c r="X46" i="6"/>
  <c r="X62" i="6"/>
  <c r="X78" i="6"/>
  <c r="X94" i="6"/>
  <c r="X110" i="6"/>
  <c r="X126" i="6"/>
  <c r="X142" i="6"/>
  <c r="X158" i="6"/>
  <c r="X174" i="6"/>
  <c r="X190" i="6"/>
  <c r="X206" i="6"/>
  <c r="X222" i="6"/>
  <c r="X238" i="6"/>
  <c r="X254" i="6"/>
  <c r="X270" i="6"/>
  <c r="X286" i="6"/>
  <c r="X302" i="6"/>
  <c r="X318" i="6"/>
  <c r="X334" i="6"/>
  <c r="X350" i="6"/>
  <c r="X366" i="6"/>
  <c r="X382" i="6"/>
  <c r="X398" i="6"/>
  <c r="X414" i="6"/>
  <c r="X430" i="6"/>
  <c r="X446" i="6"/>
  <c r="X462" i="6"/>
  <c r="X478" i="6"/>
  <c r="X494" i="6"/>
  <c r="X510" i="6"/>
  <c r="X526" i="6"/>
  <c r="X542" i="6"/>
  <c r="X558" i="6"/>
  <c r="X574" i="6"/>
  <c r="X590" i="6"/>
  <c r="X606" i="6"/>
  <c r="X622" i="6"/>
  <c r="X638" i="6"/>
  <c r="X654" i="6"/>
  <c r="X670" i="6"/>
  <c r="X686" i="6"/>
  <c r="X702" i="6"/>
  <c r="X718" i="6"/>
  <c r="X734" i="6"/>
  <c r="T6" i="19"/>
  <c r="T22" i="19"/>
  <c r="T38" i="19"/>
  <c r="T54" i="19"/>
  <c r="T70" i="19"/>
  <c r="T86" i="19"/>
  <c r="T102" i="19"/>
  <c r="T118" i="19"/>
  <c r="T134" i="19"/>
  <c r="T150" i="19"/>
  <c r="T166" i="19"/>
  <c r="T182" i="19"/>
  <c r="T198" i="19"/>
  <c r="T214" i="19"/>
  <c r="T230" i="19"/>
  <c r="T246" i="19"/>
  <c r="T262" i="19"/>
  <c r="T278" i="19"/>
  <c r="T294" i="19"/>
  <c r="T310" i="19"/>
  <c r="T8" i="10"/>
  <c r="T24" i="10"/>
  <c r="T40" i="10"/>
  <c r="T56" i="10"/>
  <c r="T72" i="10"/>
  <c r="T88" i="10"/>
  <c r="T104" i="10"/>
  <c r="T120" i="10"/>
  <c r="T136" i="10"/>
  <c r="T152" i="10"/>
  <c r="T168" i="10"/>
  <c r="T184" i="10"/>
  <c r="T200" i="10"/>
  <c r="T216" i="10"/>
  <c r="T232" i="10"/>
  <c r="T248" i="10"/>
  <c r="T264" i="10"/>
  <c r="T280" i="10"/>
  <c r="T296" i="10"/>
  <c r="T312" i="10"/>
  <c r="X15" i="6"/>
  <c r="X31" i="6"/>
  <c r="X47" i="6"/>
  <c r="X63" i="6"/>
  <c r="X79" i="6"/>
  <c r="X95" i="6"/>
  <c r="X111" i="6"/>
  <c r="X127" i="6"/>
  <c r="X143" i="6"/>
  <c r="X159" i="6"/>
  <c r="X175" i="6"/>
  <c r="X191" i="6"/>
  <c r="X207" i="6"/>
  <c r="X223" i="6"/>
  <c r="X239" i="6"/>
  <c r="X255" i="6"/>
  <c r="X271" i="6"/>
  <c r="X287" i="6"/>
  <c r="X303" i="6"/>
  <c r="X319" i="6"/>
  <c r="X335" i="6"/>
  <c r="X351" i="6"/>
  <c r="X367" i="6"/>
  <c r="X383" i="6"/>
  <c r="X399" i="6"/>
  <c r="X415" i="6"/>
  <c r="X431" i="6"/>
  <c r="X447" i="6"/>
  <c r="X463" i="6"/>
  <c r="X479" i="6"/>
  <c r="X495" i="6"/>
  <c r="X511" i="6"/>
  <c r="X527" i="6"/>
  <c r="X543" i="6"/>
  <c r="X559" i="6"/>
  <c r="X575" i="6"/>
  <c r="X591" i="6"/>
  <c r="X607" i="6"/>
  <c r="X623" i="6"/>
  <c r="X639" i="6"/>
  <c r="X655" i="6"/>
  <c r="X671" i="6"/>
  <c r="X687" i="6"/>
  <c r="X703" i="6"/>
  <c r="X719" i="6"/>
  <c r="T7" i="19"/>
  <c r="T23" i="19"/>
  <c r="T39" i="19"/>
  <c r="T55" i="19"/>
  <c r="T71" i="19"/>
  <c r="T87" i="19"/>
  <c r="T103" i="19"/>
  <c r="T119" i="19"/>
  <c r="T135" i="19"/>
  <c r="T151" i="19"/>
  <c r="T167" i="19"/>
  <c r="T183" i="19"/>
  <c r="T199" i="19"/>
  <c r="T215" i="19"/>
  <c r="T231" i="19"/>
  <c r="T247" i="19"/>
  <c r="T263" i="19"/>
  <c r="T279" i="19"/>
  <c r="T295" i="19"/>
  <c r="T311" i="19"/>
  <c r="T9" i="10"/>
  <c r="T25" i="10"/>
  <c r="T41" i="10"/>
  <c r="T57" i="10"/>
  <c r="T73" i="10"/>
  <c r="T89" i="10"/>
  <c r="T105" i="10"/>
  <c r="T121" i="10"/>
  <c r="T137" i="10"/>
  <c r="T153" i="10"/>
  <c r="T169" i="10"/>
  <c r="T185" i="10"/>
  <c r="T201" i="10"/>
  <c r="T217" i="10"/>
  <c r="T233" i="10"/>
  <c r="T249" i="10"/>
  <c r="T265" i="10"/>
  <c r="T281" i="10"/>
  <c r="T297" i="10"/>
  <c r="T313" i="10"/>
  <c r="X16" i="6"/>
  <c r="X32" i="6"/>
  <c r="X48" i="6"/>
  <c r="X64" i="6"/>
  <c r="X80" i="6"/>
  <c r="X96" i="6"/>
  <c r="X112" i="6"/>
  <c r="X128" i="6"/>
  <c r="X144" i="6"/>
  <c r="X160" i="6"/>
  <c r="X176" i="6"/>
  <c r="X192" i="6"/>
  <c r="X208" i="6"/>
  <c r="X224" i="6"/>
  <c r="X240" i="6"/>
  <c r="X256" i="6"/>
  <c r="X272" i="6"/>
  <c r="X288" i="6"/>
  <c r="X304" i="6"/>
  <c r="X320" i="6"/>
  <c r="X336" i="6"/>
  <c r="X352" i="6"/>
  <c r="X368" i="6"/>
  <c r="X384" i="6"/>
  <c r="X400" i="6"/>
  <c r="X416" i="6"/>
  <c r="X432" i="6"/>
  <c r="X448" i="6"/>
  <c r="X464" i="6"/>
  <c r="X480" i="6"/>
  <c r="X496" i="6"/>
  <c r="X512" i="6"/>
  <c r="X528" i="6"/>
  <c r="X544" i="6"/>
  <c r="X560" i="6"/>
  <c r="X576" i="6"/>
  <c r="X592" i="6"/>
  <c r="X608" i="6"/>
  <c r="X624" i="6"/>
  <c r="X640" i="6"/>
  <c r="X656" i="6"/>
  <c r="X672" i="6"/>
  <c r="X688" i="6"/>
  <c r="X704" i="6"/>
  <c r="X720" i="6"/>
  <c r="T8" i="19"/>
  <c r="T24" i="19"/>
  <c r="T40" i="19"/>
  <c r="T56" i="19"/>
  <c r="T72" i="19"/>
  <c r="T88" i="19"/>
  <c r="T104" i="19"/>
  <c r="T120" i="19"/>
  <c r="T136" i="19"/>
  <c r="T152" i="19"/>
  <c r="T168" i="19"/>
  <c r="T184" i="19"/>
  <c r="T200" i="19"/>
  <c r="T216" i="19"/>
  <c r="T232" i="19"/>
  <c r="T248" i="19"/>
  <c r="T264" i="19"/>
  <c r="T280" i="19"/>
  <c r="T296" i="19"/>
  <c r="T312" i="19"/>
  <c r="T10" i="10"/>
  <c r="T26" i="10"/>
  <c r="T42" i="10"/>
  <c r="T58" i="10"/>
  <c r="T74" i="10"/>
  <c r="T90" i="10"/>
  <c r="T106" i="10"/>
  <c r="T122" i="10"/>
  <c r="T138" i="10"/>
  <c r="T154" i="10"/>
  <c r="T170" i="10"/>
  <c r="T186" i="10"/>
  <c r="T202" i="10"/>
  <c r="T218" i="10"/>
  <c r="T234" i="10"/>
  <c r="T250" i="10"/>
  <c r="T266" i="10"/>
  <c r="T282" i="10"/>
  <c r="T298" i="10"/>
  <c r="T314" i="10"/>
  <c r="X17" i="6"/>
  <c r="X33" i="6"/>
  <c r="X49" i="6"/>
  <c r="X65" i="6"/>
  <c r="X81" i="6"/>
  <c r="X97" i="6"/>
  <c r="X113" i="6"/>
  <c r="X129" i="6"/>
  <c r="X145" i="6"/>
  <c r="X161" i="6"/>
  <c r="X177" i="6"/>
  <c r="X193" i="6"/>
  <c r="X209" i="6"/>
  <c r="X225" i="6"/>
  <c r="X241" i="6"/>
  <c r="X257" i="6"/>
  <c r="X273" i="6"/>
  <c r="X289" i="6"/>
  <c r="X305" i="6"/>
  <c r="X321" i="6"/>
  <c r="X337" i="6"/>
  <c r="X353" i="6"/>
  <c r="X369" i="6"/>
  <c r="X385" i="6"/>
  <c r="X401" i="6"/>
  <c r="X417" i="6"/>
  <c r="X433" i="6"/>
  <c r="X449" i="6"/>
  <c r="X465" i="6"/>
  <c r="X481" i="6"/>
  <c r="X497" i="6"/>
  <c r="X513" i="6"/>
  <c r="X529" i="6"/>
  <c r="X545" i="6"/>
  <c r="X561" i="6"/>
  <c r="X577" i="6"/>
  <c r="X593" i="6"/>
  <c r="X609" i="6"/>
  <c r="X625" i="6"/>
  <c r="X641" i="6"/>
  <c r="X657" i="6"/>
  <c r="X673" i="6"/>
  <c r="X689" i="6"/>
  <c r="X705" i="6"/>
  <c r="X721" i="6"/>
  <c r="T9" i="19"/>
  <c r="T25" i="19"/>
  <c r="T41" i="19"/>
  <c r="T57" i="19"/>
  <c r="T73" i="19"/>
  <c r="T89" i="19"/>
  <c r="T105" i="19"/>
  <c r="T121" i="19"/>
  <c r="T137" i="19"/>
  <c r="T153" i="19"/>
  <c r="T169" i="19"/>
  <c r="T185" i="19"/>
  <c r="T201" i="19"/>
  <c r="T217" i="19"/>
  <c r="T233" i="19"/>
  <c r="T249" i="19"/>
  <c r="T265" i="19"/>
  <c r="T281" i="19"/>
  <c r="T297" i="19"/>
  <c r="T313" i="19"/>
  <c r="T11" i="10"/>
  <c r="T27" i="10"/>
  <c r="T43" i="10"/>
  <c r="T59" i="10"/>
  <c r="T75" i="10"/>
  <c r="T91" i="10"/>
  <c r="T107" i="10"/>
  <c r="T123" i="10"/>
  <c r="T139" i="10"/>
  <c r="T155" i="10"/>
  <c r="T171" i="10"/>
  <c r="T187" i="10"/>
  <c r="T203" i="10"/>
  <c r="T219" i="10"/>
  <c r="T235" i="10"/>
  <c r="T251" i="10"/>
  <c r="T267" i="10"/>
  <c r="T283" i="10"/>
  <c r="T299" i="10"/>
  <c r="T315" i="10"/>
  <c r="X18" i="6"/>
  <c r="X34" i="6"/>
  <c r="X50" i="6"/>
  <c r="X66" i="6"/>
  <c r="X82" i="6"/>
  <c r="X98" i="6"/>
  <c r="X114" i="6"/>
  <c r="X130" i="6"/>
  <c r="X146" i="6"/>
  <c r="X162" i="6"/>
  <c r="X178" i="6"/>
  <c r="X194" i="6"/>
  <c r="X210" i="6"/>
  <c r="X226" i="6"/>
  <c r="X242" i="6"/>
  <c r="X258" i="6"/>
  <c r="X274" i="6"/>
  <c r="X290" i="6"/>
  <c r="X306" i="6"/>
  <c r="X322" i="6"/>
  <c r="X338" i="6"/>
  <c r="X354" i="6"/>
  <c r="X370" i="6"/>
  <c r="X386" i="6"/>
  <c r="X402" i="6"/>
  <c r="X418" i="6"/>
  <c r="X434" i="6"/>
  <c r="X450" i="6"/>
  <c r="X466" i="6"/>
  <c r="X482" i="6"/>
  <c r="X498" i="6"/>
  <c r="X514" i="6"/>
  <c r="X530" i="6"/>
  <c r="X546" i="6"/>
  <c r="X562" i="6"/>
  <c r="X578" i="6"/>
  <c r="X594" i="6"/>
  <c r="X610" i="6"/>
  <c r="X626" i="6"/>
  <c r="X642" i="6"/>
  <c r="X658" i="6"/>
  <c r="X674" i="6"/>
  <c r="X690" i="6"/>
  <c r="X706" i="6"/>
  <c r="X722" i="6"/>
  <c r="T10" i="19"/>
  <c r="T26" i="19"/>
  <c r="T42" i="19"/>
  <c r="T58" i="19"/>
  <c r="T74" i="19"/>
  <c r="T90" i="19"/>
  <c r="T106" i="19"/>
  <c r="T122" i="19"/>
  <c r="T138" i="19"/>
  <c r="T154" i="19"/>
  <c r="T170" i="19"/>
  <c r="T186" i="19"/>
  <c r="T202" i="19"/>
  <c r="T218" i="19"/>
  <c r="T234" i="19"/>
  <c r="T250" i="19"/>
  <c r="T266" i="19"/>
  <c r="T282" i="19"/>
  <c r="T298" i="19"/>
  <c r="T314" i="19"/>
  <c r="T12" i="10"/>
  <c r="T28" i="10"/>
  <c r="T44" i="10"/>
  <c r="T60" i="10"/>
  <c r="T76" i="10"/>
  <c r="T92" i="10"/>
  <c r="T108" i="10"/>
  <c r="T124" i="10"/>
  <c r="T140" i="10"/>
  <c r="T156" i="10"/>
  <c r="T172" i="10"/>
  <c r="T188" i="10"/>
  <c r="T204" i="10"/>
  <c r="T220" i="10"/>
  <c r="T236" i="10"/>
  <c r="T252" i="10"/>
  <c r="T268" i="10"/>
  <c r="T284" i="10"/>
  <c r="T300" i="10"/>
  <c r="T316" i="10"/>
  <c r="X19" i="6"/>
  <c r="X35" i="6"/>
  <c r="X51" i="6"/>
  <c r="X67" i="6"/>
  <c r="X83" i="6"/>
  <c r="X99" i="6"/>
  <c r="X115" i="6"/>
  <c r="X131" i="6"/>
  <c r="X147" i="6"/>
  <c r="X163" i="6"/>
  <c r="X179" i="6"/>
  <c r="X195" i="6"/>
  <c r="X211" i="6"/>
  <c r="X227" i="6"/>
  <c r="X243" i="6"/>
  <c r="X259" i="6"/>
  <c r="X275" i="6"/>
  <c r="X291" i="6"/>
  <c r="X307" i="6"/>
  <c r="X323" i="6"/>
  <c r="X339" i="6"/>
  <c r="X355" i="6"/>
  <c r="X371" i="6"/>
  <c r="X387" i="6"/>
  <c r="X403" i="6"/>
  <c r="X419" i="6"/>
  <c r="X435" i="6"/>
  <c r="X451" i="6"/>
  <c r="X467" i="6"/>
  <c r="X483" i="6"/>
  <c r="X499" i="6"/>
  <c r="X515" i="6"/>
  <c r="X531" i="6"/>
  <c r="X547" i="6"/>
  <c r="X563" i="6"/>
  <c r="X579" i="6"/>
  <c r="X595" i="6"/>
  <c r="X611" i="6"/>
  <c r="X627" i="6"/>
  <c r="X643" i="6"/>
  <c r="X659" i="6"/>
  <c r="X675" i="6"/>
  <c r="X691" i="6"/>
  <c r="X707" i="6"/>
  <c r="X723" i="6"/>
  <c r="T11" i="19"/>
  <c r="T27" i="19"/>
  <c r="T43" i="19"/>
  <c r="T59" i="19"/>
  <c r="T75" i="19"/>
  <c r="T91" i="19"/>
  <c r="T107" i="19"/>
  <c r="T123" i="19"/>
  <c r="T139" i="19"/>
  <c r="T155" i="19"/>
  <c r="T171" i="19"/>
  <c r="T187" i="19"/>
  <c r="T203" i="19"/>
  <c r="T219" i="19"/>
  <c r="T235" i="19"/>
  <c r="T251" i="19"/>
  <c r="T267" i="19"/>
  <c r="T283" i="19"/>
  <c r="T299" i="19"/>
  <c r="T315" i="19"/>
  <c r="T13" i="10"/>
  <c r="T29" i="10"/>
  <c r="T45" i="10"/>
  <c r="T61" i="10"/>
  <c r="T77" i="10"/>
  <c r="T93" i="10"/>
  <c r="T109" i="10"/>
  <c r="T125" i="10"/>
  <c r="T141" i="10"/>
  <c r="T157" i="10"/>
  <c r="T173" i="10"/>
  <c r="T189" i="10"/>
  <c r="T205" i="10"/>
  <c r="T221" i="10"/>
  <c r="T237" i="10"/>
  <c r="T253" i="10"/>
  <c r="T269" i="10"/>
  <c r="T285" i="10"/>
  <c r="T301" i="10"/>
  <c r="T317" i="10"/>
  <c r="X20" i="6"/>
  <c r="X36" i="6"/>
  <c r="X52" i="6"/>
  <c r="X68" i="6"/>
  <c r="X84" i="6"/>
  <c r="X100" i="6"/>
  <c r="X116" i="6"/>
  <c r="X132" i="6"/>
  <c r="X148" i="6"/>
  <c r="X164" i="6"/>
  <c r="X180" i="6"/>
  <c r="X196" i="6"/>
  <c r="X212" i="6"/>
  <c r="X228" i="6"/>
  <c r="X244" i="6"/>
  <c r="X260" i="6"/>
  <c r="X276" i="6"/>
  <c r="X292" i="6"/>
  <c r="X308" i="6"/>
  <c r="X324" i="6"/>
  <c r="X340" i="6"/>
  <c r="X356" i="6"/>
  <c r="X372" i="6"/>
  <c r="X388" i="6"/>
  <c r="X404" i="6"/>
  <c r="X420" i="6"/>
  <c r="X436" i="6"/>
  <c r="X452" i="6"/>
  <c r="X468" i="6"/>
  <c r="X484" i="6"/>
  <c r="X500" i="6"/>
  <c r="X516" i="6"/>
  <c r="X532" i="6"/>
  <c r="X548" i="6"/>
  <c r="X564" i="6"/>
  <c r="X580" i="6"/>
  <c r="X596" i="6"/>
  <c r="X612" i="6"/>
  <c r="X628" i="6"/>
  <c r="X644" i="6"/>
  <c r="X660" i="6"/>
  <c r="X676" i="6"/>
  <c r="X692" i="6"/>
  <c r="X708" i="6"/>
  <c r="X724" i="6"/>
  <c r="T13" i="19"/>
  <c r="T29" i="19"/>
  <c r="T45" i="19"/>
  <c r="T61" i="19"/>
  <c r="T77" i="19"/>
  <c r="T93" i="19"/>
  <c r="T109" i="19"/>
  <c r="T125" i="19"/>
  <c r="T141" i="19"/>
  <c r="T157" i="19"/>
  <c r="T173" i="19"/>
  <c r="T189" i="19"/>
  <c r="T205" i="19"/>
  <c r="T221" i="19"/>
  <c r="T237" i="19"/>
  <c r="T253" i="19"/>
  <c r="T269" i="19"/>
  <c r="T285" i="19"/>
  <c r="T301" i="19"/>
  <c r="T317" i="19"/>
  <c r="T15" i="10"/>
  <c r="T31" i="10"/>
  <c r="T47" i="10"/>
  <c r="T63" i="10"/>
  <c r="T79" i="10"/>
  <c r="T95" i="10"/>
  <c r="T111" i="10"/>
  <c r="T127" i="10"/>
  <c r="T143" i="10"/>
  <c r="T159" i="10"/>
  <c r="T175" i="10"/>
  <c r="T191" i="10"/>
  <c r="T207" i="10"/>
  <c r="T223" i="10"/>
  <c r="T239" i="10"/>
  <c r="T255" i="10"/>
  <c r="T271" i="10"/>
  <c r="T287" i="10"/>
  <c r="T303" i="10"/>
  <c r="T319" i="10"/>
  <c r="X22" i="6"/>
  <c r="X38" i="6"/>
  <c r="X54" i="6"/>
  <c r="X70" i="6"/>
  <c r="X86" i="6"/>
  <c r="X102" i="6"/>
  <c r="X118" i="6"/>
  <c r="X134" i="6"/>
  <c r="X150" i="6"/>
  <c r="X166" i="6"/>
  <c r="X182" i="6"/>
  <c r="X198" i="6"/>
  <c r="X214" i="6"/>
  <c r="X230" i="6"/>
  <c r="X246" i="6"/>
  <c r="X262" i="6"/>
  <c r="X278" i="6"/>
  <c r="X294" i="6"/>
  <c r="X310" i="6"/>
  <c r="X326" i="6"/>
  <c r="X342" i="6"/>
  <c r="X358" i="6"/>
  <c r="X374" i="6"/>
  <c r="X390" i="6"/>
  <c r="X406" i="6"/>
  <c r="X422" i="6"/>
  <c r="X438" i="6"/>
  <c r="X454" i="6"/>
  <c r="X470" i="6"/>
  <c r="X486" i="6"/>
  <c r="X502" i="6"/>
  <c r="X518" i="6"/>
  <c r="X534" i="6"/>
  <c r="X550" i="6"/>
  <c r="X566" i="6"/>
  <c r="X582" i="6"/>
  <c r="X598" i="6"/>
  <c r="X614" i="6"/>
  <c r="X630" i="6"/>
  <c r="X646" i="6"/>
  <c r="X662" i="6"/>
  <c r="X678" i="6"/>
  <c r="X694" i="6"/>
  <c r="X710" i="6"/>
  <c r="X726" i="6"/>
  <c r="T14" i="19"/>
  <c r="T30" i="19"/>
  <c r="T46" i="19"/>
  <c r="T62" i="19"/>
  <c r="T78" i="19"/>
  <c r="T94" i="19"/>
  <c r="T110" i="19"/>
  <c r="T126" i="19"/>
  <c r="T142" i="19"/>
  <c r="T158" i="19"/>
  <c r="T174" i="19"/>
  <c r="T190" i="19"/>
  <c r="T206" i="19"/>
  <c r="T222" i="19"/>
  <c r="T238" i="19"/>
  <c r="T254" i="19"/>
  <c r="T270" i="19"/>
  <c r="T286" i="19"/>
  <c r="T302" i="19"/>
  <c r="T318" i="19"/>
  <c r="T16" i="10"/>
  <c r="T32" i="10"/>
  <c r="T48" i="10"/>
  <c r="T64" i="10"/>
  <c r="T80" i="10"/>
  <c r="T96" i="10"/>
  <c r="T112" i="10"/>
  <c r="T128" i="10"/>
  <c r="T144" i="10"/>
  <c r="T160" i="10"/>
  <c r="T176" i="10"/>
  <c r="T192" i="10"/>
  <c r="T208" i="10"/>
  <c r="T224" i="10"/>
  <c r="T240" i="10"/>
  <c r="T256" i="10"/>
  <c r="T272" i="10"/>
  <c r="T288" i="10"/>
  <c r="T304" i="10"/>
  <c r="T320" i="10"/>
  <c r="X23" i="6"/>
  <c r="X39" i="6"/>
  <c r="X55" i="6"/>
  <c r="X71" i="6"/>
  <c r="X87" i="6"/>
  <c r="X103" i="6"/>
  <c r="X119" i="6"/>
  <c r="X135" i="6"/>
  <c r="X151" i="6"/>
  <c r="X167" i="6"/>
  <c r="X183" i="6"/>
  <c r="X199" i="6"/>
  <c r="X215" i="6"/>
  <c r="X231" i="6"/>
  <c r="X247" i="6"/>
  <c r="X263" i="6"/>
  <c r="X279" i="6"/>
  <c r="X295" i="6"/>
  <c r="X311" i="6"/>
  <c r="X327" i="6"/>
  <c r="X343" i="6"/>
  <c r="X359" i="6"/>
  <c r="X375" i="6"/>
  <c r="X391" i="6"/>
  <c r="X407" i="6"/>
  <c r="X423" i="6"/>
  <c r="X439" i="6"/>
  <c r="X455" i="6"/>
  <c r="X471" i="6"/>
  <c r="X487" i="6"/>
  <c r="X503" i="6"/>
  <c r="X519" i="6"/>
  <c r="X535" i="6"/>
  <c r="X551" i="6"/>
  <c r="X567" i="6"/>
  <c r="X583" i="6"/>
  <c r="X599" i="6"/>
  <c r="X615" i="6"/>
  <c r="X631" i="6"/>
  <c r="X647" i="6"/>
  <c r="X663" i="6"/>
  <c r="X679" i="6"/>
  <c r="X695" i="6"/>
  <c r="X711" i="6"/>
  <c r="X727" i="6"/>
  <c r="T15" i="19"/>
  <c r="T31" i="19"/>
  <c r="T47" i="19"/>
  <c r="T63" i="19"/>
  <c r="T79" i="19"/>
  <c r="T95" i="19"/>
  <c r="T111" i="19"/>
  <c r="T127" i="19"/>
  <c r="T143" i="19"/>
  <c r="T159" i="19"/>
  <c r="T175" i="19"/>
  <c r="T191" i="19"/>
  <c r="T207" i="19"/>
  <c r="T223" i="19"/>
  <c r="T239" i="19"/>
  <c r="T255" i="19"/>
  <c r="T271" i="19"/>
  <c r="T287" i="19"/>
  <c r="T303" i="19"/>
  <c r="T319" i="19"/>
  <c r="T17" i="10"/>
  <c r="T33" i="10"/>
  <c r="T49" i="10"/>
  <c r="T65" i="10"/>
  <c r="T81" i="10"/>
  <c r="T97" i="10"/>
  <c r="T113" i="10"/>
  <c r="T129" i="10"/>
  <c r="T145" i="10"/>
  <c r="T161" i="10"/>
  <c r="T177" i="10"/>
  <c r="T193" i="10"/>
  <c r="T209" i="10"/>
  <c r="T225" i="10"/>
  <c r="T241" i="10"/>
  <c r="T257" i="10"/>
  <c r="T273" i="10"/>
  <c r="T289" i="10"/>
  <c r="T305" i="10"/>
  <c r="T321" i="10"/>
  <c r="X24" i="6"/>
  <c r="X40" i="6"/>
  <c r="X56" i="6"/>
  <c r="X72" i="6"/>
  <c r="X88" i="6"/>
  <c r="X104" i="6"/>
  <c r="X120" i="6"/>
  <c r="X136" i="6"/>
  <c r="X152" i="6"/>
  <c r="X168" i="6"/>
  <c r="X184" i="6"/>
  <c r="X200" i="6"/>
  <c r="X216" i="6"/>
  <c r="X232" i="6"/>
  <c r="X248" i="6"/>
  <c r="X264" i="6"/>
  <c r="X280" i="6"/>
  <c r="X296" i="6"/>
  <c r="X312" i="6"/>
  <c r="X328" i="6"/>
  <c r="X344" i="6"/>
  <c r="X360" i="6"/>
  <c r="X376" i="6"/>
  <c r="X392" i="6"/>
  <c r="X408" i="6"/>
  <c r="X424" i="6"/>
  <c r="X440" i="6"/>
  <c r="X456" i="6"/>
  <c r="X472" i="6"/>
  <c r="X488" i="6"/>
  <c r="X504" i="6"/>
  <c r="X520" i="6"/>
  <c r="X536" i="6"/>
  <c r="X552" i="6"/>
  <c r="X568" i="6"/>
  <c r="X584" i="6"/>
  <c r="X600" i="6"/>
  <c r="X616" i="6"/>
  <c r="X632" i="6"/>
  <c r="X648" i="6"/>
  <c r="X664" i="6"/>
  <c r="X680" i="6"/>
  <c r="X696" i="6"/>
  <c r="X712" i="6"/>
  <c r="X728" i="6"/>
  <c r="T16" i="19"/>
  <c r="T32" i="19"/>
  <c r="T48" i="19"/>
  <c r="T64" i="19"/>
  <c r="T80" i="19"/>
  <c r="T96" i="19"/>
  <c r="T112" i="19"/>
  <c r="T128" i="19"/>
  <c r="T144" i="19"/>
  <c r="T160" i="19"/>
  <c r="T176" i="19"/>
  <c r="T192" i="19"/>
  <c r="T208" i="19"/>
  <c r="T224" i="19"/>
  <c r="T240" i="19"/>
  <c r="T256" i="19"/>
  <c r="T272" i="19"/>
  <c r="T288" i="19"/>
  <c r="T304" i="19"/>
  <c r="T320" i="19"/>
  <c r="T18" i="10"/>
  <c r="T34" i="10"/>
  <c r="T50" i="10"/>
  <c r="T66" i="10"/>
  <c r="T82" i="10"/>
  <c r="T98" i="10"/>
  <c r="T114" i="10"/>
  <c r="T130" i="10"/>
  <c r="T146" i="10"/>
  <c r="T162" i="10"/>
  <c r="T178" i="10"/>
  <c r="T194" i="10"/>
  <c r="T210" i="10"/>
  <c r="T226" i="10"/>
  <c r="T242" i="10"/>
  <c r="T258" i="10"/>
  <c r="T274" i="10"/>
  <c r="T290" i="10"/>
  <c r="T306" i="10"/>
  <c r="T322" i="10"/>
  <c r="X25" i="6"/>
  <c r="X41" i="6"/>
  <c r="X57" i="6"/>
  <c r="X73" i="6"/>
  <c r="X89" i="6"/>
  <c r="X105" i="6"/>
  <c r="X121" i="6"/>
  <c r="X137" i="6"/>
  <c r="X153" i="6"/>
  <c r="X169" i="6"/>
  <c r="X185" i="6"/>
  <c r="X201" i="6"/>
  <c r="X217" i="6"/>
  <c r="X233" i="6"/>
  <c r="X249" i="6"/>
  <c r="X265" i="6"/>
  <c r="X281" i="6"/>
  <c r="X297" i="6"/>
  <c r="X313" i="6"/>
  <c r="X329" i="6"/>
  <c r="X345" i="6"/>
  <c r="X361" i="6"/>
  <c r="X377" i="6"/>
  <c r="X393" i="6"/>
  <c r="X409" i="6"/>
  <c r="X425" i="6"/>
  <c r="X441" i="6"/>
  <c r="X457" i="6"/>
  <c r="X473" i="6"/>
  <c r="X489" i="6"/>
  <c r="X505" i="6"/>
  <c r="X521" i="6"/>
  <c r="X537" i="6"/>
  <c r="X553" i="6"/>
  <c r="X569" i="6"/>
  <c r="X585" i="6"/>
  <c r="X601" i="6"/>
  <c r="X617" i="6"/>
  <c r="X633" i="6"/>
  <c r="X649" i="6"/>
  <c r="X665" i="6"/>
  <c r="X681" i="6"/>
  <c r="X697" i="6"/>
  <c r="X713" i="6"/>
  <c r="X729" i="6"/>
  <c r="T18" i="19"/>
  <c r="T34" i="19"/>
  <c r="T50" i="19"/>
  <c r="T66" i="19"/>
  <c r="T82" i="19"/>
  <c r="T98" i="19"/>
  <c r="T114" i="19"/>
  <c r="T130" i="19"/>
  <c r="T146" i="19"/>
  <c r="T162" i="19"/>
  <c r="T178" i="19"/>
  <c r="T194" i="19"/>
  <c r="T210" i="19"/>
  <c r="T226" i="19"/>
  <c r="T242" i="19"/>
  <c r="T258" i="19"/>
  <c r="T274" i="19"/>
  <c r="T290" i="19"/>
  <c r="T306" i="19"/>
  <c r="T322" i="19"/>
  <c r="T20" i="10"/>
  <c r="T36" i="10"/>
  <c r="T52" i="10"/>
  <c r="T68" i="10"/>
  <c r="T84" i="10"/>
  <c r="T100" i="10"/>
  <c r="T116" i="10"/>
  <c r="T132" i="10"/>
  <c r="T148" i="10"/>
  <c r="T164" i="10"/>
  <c r="T180" i="10"/>
  <c r="T196" i="10"/>
  <c r="T212" i="10"/>
  <c r="T228" i="10"/>
  <c r="T244" i="10"/>
  <c r="T260" i="10"/>
  <c r="T276" i="10"/>
  <c r="T292" i="10"/>
  <c r="T308" i="10"/>
  <c r="X11" i="6"/>
  <c r="X27" i="6"/>
  <c r="X43" i="6"/>
  <c r="X59" i="6"/>
  <c r="X75" i="6"/>
  <c r="X91" i="6"/>
  <c r="X107" i="6"/>
  <c r="X123" i="6"/>
  <c r="X139" i="6"/>
  <c r="X155" i="6"/>
  <c r="X171" i="6"/>
  <c r="X187" i="6"/>
  <c r="X203" i="6"/>
  <c r="X219" i="6"/>
  <c r="X235" i="6"/>
  <c r="X251" i="6"/>
  <c r="X267" i="6"/>
  <c r="X283" i="6"/>
  <c r="X299" i="6"/>
  <c r="X315" i="6"/>
  <c r="X331" i="6"/>
  <c r="X347" i="6"/>
  <c r="X363" i="6"/>
  <c r="X379" i="6"/>
  <c r="X395" i="6"/>
  <c r="X411" i="6"/>
  <c r="X427" i="6"/>
  <c r="X443" i="6"/>
  <c r="X459" i="6"/>
  <c r="X475" i="6"/>
  <c r="X491" i="6"/>
  <c r="X507" i="6"/>
  <c r="X523" i="6"/>
  <c r="X539" i="6"/>
  <c r="X555" i="6"/>
  <c r="X571" i="6"/>
  <c r="X587" i="6"/>
  <c r="X603" i="6"/>
  <c r="X619" i="6"/>
  <c r="X635" i="6"/>
  <c r="X651" i="6"/>
  <c r="X667" i="6"/>
  <c r="X683" i="6"/>
  <c r="X699" i="6"/>
  <c r="X715" i="6"/>
  <c r="X731" i="6"/>
  <c r="T83" i="19"/>
  <c r="T172" i="19"/>
  <c r="T257" i="19"/>
  <c r="T21" i="10"/>
  <c r="T110" i="10"/>
  <c r="T195" i="10"/>
  <c r="T277" i="10"/>
  <c r="X53" i="6"/>
  <c r="X138" i="6"/>
  <c r="X220" i="6"/>
  <c r="X309" i="6"/>
  <c r="X394" i="6"/>
  <c r="X476" i="6"/>
  <c r="X565" i="6"/>
  <c r="X650" i="6"/>
  <c r="X732" i="6"/>
  <c r="X750" i="6"/>
  <c r="X766" i="6"/>
  <c r="X782" i="6"/>
  <c r="X798" i="6"/>
  <c r="X814" i="6"/>
  <c r="X830" i="6"/>
  <c r="X846" i="6"/>
  <c r="X862" i="6"/>
  <c r="X878" i="6"/>
  <c r="X894" i="6"/>
  <c r="X910" i="6"/>
  <c r="X926" i="6"/>
  <c r="X942" i="6"/>
  <c r="X958" i="6"/>
  <c r="X974" i="6"/>
  <c r="X990" i="6"/>
  <c r="X1006" i="6"/>
  <c r="X1022" i="6"/>
  <c r="X1038" i="6"/>
  <c r="X1054" i="6"/>
  <c r="X1070" i="6"/>
  <c r="X1086" i="6"/>
  <c r="X1102" i="6"/>
  <c r="X1118" i="6"/>
  <c r="X1134" i="6"/>
  <c r="X1150" i="6"/>
  <c r="X1166" i="6"/>
  <c r="X1182" i="6"/>
  <c r="X1198" i="6"/>
  <c r="X1214" i="6"/>
  <c r="X1230" i="6"/>
  <c r="X1246" i="6"/>
  <c r="X1262" i="6"/>
  <c r="X1278" i="6"/>
  <c r="X1294" i="6"/>
  <c r="X1310" i="6"/>
  <c r="X1326" i="6"/>
  <c r="X1342" i="6"/>
  <c r="X1358" i="6"/>
  <c r="X1374" i="6"/>
  <c r="X1390" i="6"/>
  <c r="X1406" i="6"/>
  <c r="X1422" i="6"/>
  <c r="X1438" i="6"/>
  <c r="X1454" i="6"/>
  <c r="X1470" i="6"/>
  <c r="X1486" i="6"/>
  <c r="X1502" i="6"/>
  <c r="X1518" i="6"/>
  <c r="X1534" i="6"/>
  <c r="X1550" i="6"/>
  <c r="X1566" i="6"/>
  <c r="X1582" i="6"/>
  <c r="X1598" i="6"/>
  <c r="X1614" i="6"/>
  <c r="X1630" i="6"/>
  <c r="X1646" i="6"/>
  <c r="X1662" i="6"/>
  <c r="X1678" i="6"/>
  <c r="X1694" i="6"/>
  <c r="X1710" i="6"/>
  <c r="X1726" i="6"/>
  <c r="X1742" i="6"/>
  <c r="X1758" i="6"/>
  <c r="X1774" i="6"/>
  <c r="X1790" i="6"/>
  <c r="X1806" i="6"/>
  <c r="X1822" i="6"/>
  <c r="X1838" i="6"/>
  <c r="T92" i="19"/>
  <c r="T177" i="19"/>
  <c r="T259" i="19"/>
  <c r="T30" i="10"/>
  <c r="T115" i="10"/>
  <c r="T197" i="10"/>
  <c r="T286" i="10"/>
  <c r="X58" i="6"/>
  <c r="X140" i="6"/>
  <c r="X229" i="6"/>
  <c r="X314" i="6"/>
  <c r="X396" i="6"/>
  <c r="X485" i="6"/>
  <c r="X570" i="6"/>
  <c r="X652" i="6"/>
  <c r="X735" i="6"/>
  <c r="X751" i="6"/>
  <c r="X767" i="6"/>
  <c r="X783" i="6"/>
  <c r="X799" i="6"/>
  <c r="X815" i="6"/>
  <c r="X831" i="6"/>
  <c r="X847" i="6"/>
  <c r="X863" i="6"/>
  <c r="X879" i="6"/>
  <c r="X895" i="6"/>
  <c r="X911" i="6"/>
  <c r="X927" i="6"/>
  <c r="X943" i="6"/>
  <c r="X959" i="6"/>
  <c r="X975" i="6"/>
  <c r="X991" i="6"/>
  <c r="X1007" i="6"/>
  <c r="X1023" i="6"/>
  <c r="X1039" i="6"/>
  <c r="X1055" i="6"/>
  <c r="X1071" i="6"/>
  <c r="X1087" i="6"/>
  <c r="X1103" i="6"/>
  <c r="X1119" i="6"/>
  <c r="X1135" i="6"/>
  <c r="X1151" i="6"/>
  <c r="X1167" i="6"/>
  <c r="X1183" i="6"/>
  <c r="X1199" i="6"/>
  <c r="X1215" i="6"/>
  <c r="X1231" i="6"/>
  <c r="X1247" i="6"/>
  <c r="X1263" i="6"/>
  <c r="X1279" i="6"/>
  <c r="X1295" i="6"/>
  <c r="X1311" i="6"/>
  <c r="X1327" i="6"/>
  <c r="X1343" i="6"/>
  <c r="X1359" i="6"/>
  <c r="X1375" i="6"/>
  <c r="X1391" i="6"/>
  <c r="X1407" i="6"/>
  <c r="X1423" i="6"/>
  <c r="X1439" i="6"/>
  <c r="X1455" i="6"/>
  <c r="X1471" i="6"/>
  <c r="X1487" i="6"/>
  <c r="X1503" i="6"/>
  <c r="X1519" i="6"/>
  <c r="X1535" i="6"/>
  <c r="X1551" i="6"/>
  <c r="X1567" i="6"/>
  <c r="X1583" i="6"/>
  <c r="X1599" i="6"/>
  <c r="X1615" i="6"/>
  <c r="X1631" i="6"/>
  <c r="X1647" i="6"/>
  <c r="X1663" i="6"/>
  <c r="X1679" i="6"/>
  <c r="X1695" i="6"/>
  <c r="X1711" i="6"/>
  <c r="X1727" i="6"/>
  <c r="X1743" i="6"/>
  <c r="X1759" i="6"/>
  <c r="X1775" i="6"/>
  <c r="X1791" i="6"/>
  <c r="X1807" i="6"/>
  <c r="X1823" i="6"/>
  <c r="X1839" i="6"/>
  <c r="T12" i="19"/>
  <c r="T97" i="19"/>
  <c r="T179" i="19"/>
  <c r="T268" i="19"/>
  <c r="T35" i="10"/>
  <c r="T117" i="10"/>
  <c r="T206" i="10"/>
  <c r="T291" i="10"/>
  <c r="X60" i="6"/>
  <c r="X149" i="6"/>
  <c r="X234" i="6"/>
  <c r="X316" i="6"/>
  <c r="X405" i="6"/>
  <c r="X490" i="6"/>
  <c r="X572" i="6"/>
  <c r="X661" i="6"/>
  <c r="X736" i="6"/>
  <c r="X752" i="6"/>
  <c r="X768" i="6"/>
  <c r="X784" i="6"/>
  <c r="X800" i="6"/>
  <c r="X816" i="6"/>
  <c r="X832" i="6"/>
  <c r="X848" i="6"/>
  <c r="X864" i="6"/>
  <c r="X880" i="6"/>
  <c r="X896" i="6"/>
  <c r="X912" i="6"/>
  <c r="X928" i="6"/>
  <c r="X944" i="6"/>
  <c r="X960" i="6"/>
  <c r="X976" i="6"/>
  <c r="X992" i="6"/>
  <c r="X1008" i="6"/>
  <c r="X1024" i="6"/>
  <c r="X1040" i="6"/>
  <c r="X1056" i="6"/>
  <c r="X1072" i="6"/>
  <c r="X1088" i="6"/>
  <c r="X1104" i="6"/>
  <c r="X1120" i="6"/>
  <c r="X1136" i="6"/>
  <c r="X1152" i="6"/>
  <c r="X1168" i="6"/>
  <c r="X1184" i="6"/>
  <c r="X1200" i="6"/>
  <c r="X1216" i="6"/>
  <c r="X1232" i="6"/>
  <c r="X1248" i="6"/>
  <c r="X1264" i="6"/>
  <c r="X1280" i="6"/>
  <c r="X1296" i="6"/>
  <c r="X1312" i="6"/>
  <c r="X1328" i="6"/>
  <c r="X1344" i="6"/>
  <c r="X1360" i="6"/>
  <c r="X1376" i="6"/>
  <c r="X1392" i="6"/>
  <c r="X1408" i="6"/>
  <c r="X1424" i="6"/>
  <c r="X1440" i="6"/>
  <c r="X1456" i="6"/>
  <c r="X1472" i="6"/>
  <c r="X1488" i="6"/>
  <c r="X1504" i="6"/>
  <c r="X1520" i="6"/>
  <c r="X1536" i="6"/>
  <c r="X1552" i="6"/>
  <c r="X1568" i="6"/>
  <c r="X1584" i="6"/>
  <c r="X1600" i="6"/>
  <c r="X1616" i="6"/>
  <c r="X1632" i="6"/>
  <c r="X1648" i="6"/>
  <c r="X1664" i="6"/>
  <c r="X1680" i="6"/>
  <c r="X1696" i="6"/>
  <c r="X1712" i="6"/>
  <c r="X1728" i="6"/>
  <c r="X1744" i="6"/>
  <c r="X1760" i="6"/>
  <c r="X1776" i="6"/>
  <c r="X1792" i="6"/>
  <c r="X1808" i="6"/>
  <c r="X1824" i="6"/>
  <c r="X1840" i="6"/>
  <c r="T17" i="19"/>
  <c r="T99" i="19"/>
  <c r="T188" i="19"/>
  <c r="T273" i="19"/>
  <c r="T37" i="10"/>
  <c r="T126" i="10"/>
  <c r="T211" i="10"/>
  <c r="T293" i="10"/>
  <c r="X69" i="6"/>
  <c r="X154" i="6"/>
  <c r="X236" i="6"/>
  <c r="X325" i="6"/>
  <c r="X410" i="6"/>
  <c r="X492" i="6"/>
  <c r="X581" i="6"/>
  <c r="X666" i="6"/>
  <c r="X737" i="6"/>
  <c r="X753" i="6"/>
  <c r="X769" i="6"/>
  <c r="X785" i="6"/>
  <c r="X801" i="6"/>
  <c r="X817" i="6"/>
  <c r="X833" i="6"/>
  <c r="X849" i="6"/>
  <c r="X865" i="6"/>
  <c r="X881" i="6"/>
  <c r="X897" i="6"/>
  <c r="X913" i="6"/>
  <c r="X929" i="6"/>
  <c r="X945" i="6"/>
  <c r="X961" i="6"/>
  <c r="X977" i="6"/>
  <c r="X993" i="6"/>
  <c r="X1009" i="6"/>
  <c r="X1025" i="6"/>
  <c r="X1041" i="6"/>
  <c r="X1057" i="6"/>
  <c r="X1073" i="6"/>
  <c r="X1089" i="6"/>
  <c r="X1105" i="6"/>
  <c r="X1121" i="6"/>
  <c r="X1137" i="6"/>
  <c r="X1153" i="6"/>
  <c r="X1169" i="6"/>
  <c r="X1185" i="6"/>
  <c r="X1201" i="6"/>
  <c r="X1217" i="6"/>
  <c r="X1233" i="6"/>
  <c r="X1249" i="6"/>
  <c r="X1265" i="6"/>
  <c r="X1281" i="6"/>
  <c r="X1297" i="6"/>
  <c r="X1313" i="6"/>
  <c r="X1329" i="6"/>
  <c r="X1345" i="6"/>
  <c r="X1361" i="6"/>
  <c r="X1377" i="6"/>
  <c r="X1393" i="6"/>
  <c r="X1409" i="6"/>
  <c r="X1425" i="6"/>
  <c r="X1441" i="6"/>
  <c r="X1457" i="6"/>
  <c r="X1473" i="6"/>
  <c r="X1489" i="6"/>
  <c r="X1505" i="6"/>
  <c r="X1521" i="6"/>
  <c r="X1537" i="6"/>
  <c r="X1553" i="6"/>
  <c r="X1569" i="6"/>
  <c r="X1585" i="6"/>
  <c r="X1601" i="6"/>
  <c r="X1617" i="6"/>
  <c r="X1633" i="6"/>
  <c r="X1649" i="6"/>
  <c r="X1665" i="6"/>
  <c r="X1681" i="6"/>
  <c r="X1697" i="6"/>
  <c r="X1713" i="6"/>
  <c r="X1729" i="6"/>
  <c r="X1745" i="6"/>
  <c r="X1761" i="6"/>
  <c r="X1777" i="6"/>
  <c r="X1793" i="6"/>
  <c r="X1809" i="6"/>
  <c r="X1825" i="6"/>
  <c r="X1841" i="6"/>
  <c r="T19" i="19"/>
  <c r="T108" i="19"/>
  <c r="T193" i="19"/>
  <c r="T275" i="19"/>
  <c r="T46" i="10"/>
  <c r="T131" i="10"/>
  <c r="T213" i="10"/>
  <c r="T302" i="10"/>
  <c r="X74" i="6"/>
  <c r="X156" i="6"/>
  <c r="X245" i="6"/>
  <c r="X330" i="6"/>
  <c r="X412" i="6"/>
  <c r="X501" i="6"/>
  <c r="X586" i="6"/>
  <c r="X668" i="6"/>
  <c r="X738" i="6"/>
  <c r="X754" i="6"/>
  <c r="X770" i="6"/>
  <c r="X786" i="6"/>
  <c r="X802" i="6"/>
  <c r="X818" i="6"/>
  <c r="X834" i="6"/>
  <c r="X850" i="6"/>
  <c r="X866" i="6"/>
  <c r="X882" i="6"/>
  <c r="X898" i="6"/>
  <c r="X914" i="6"/>
  <c r="X930" i="6"/>
  <c r="X946" i="6"/>
  <c r="X962" i="6"/>
  <c r="X978" i="6"/>
  <c r="X994" i="6"/>
  <c r="X1010" i="6"/>
  <c r="X1026" i="6"/>
  <c r="X1042" i="6"/>
  <c r="X1058" i="6"/>
  <c r="X1074" i="6"/>
  <c r="X1090" i="6"/>
  <c r="X1106" i="6"/>
  <c r="X1122" i="6"/>
  <c r="X1138" i="6"/>
  <c r="X1154" i="6"/>
  <c r="X1170" i="6"/>
  <c r="X1186" i="6"/>
  <c r="X1202" i="6"/>
  <c r="X1218" i="6"/>
  <c r="X1234" i="6"/>
  <c r="X1250" i="6"/>
  <c r="X1266" i="6"/>
  <c r="X1282" i="6"/>
  <c r="X1298" i="6"/>
  <c r="X1314" i="6"/>
  <c r="X1330" i="6"/>
  <c r="X1346" i="6"/>
  <c r="X1362" i="6"/>
  <c r="X1378" i="6"/>
  <c r="X1394" i="6"/>
  <c r="X1410" i="6"/>
  <c r="X1426" i="6"/>
  <c r="X1442" i="6"/>
  <c r="X1458" i="6"/>
  <c r="X1474" i="6"/>
  <c r="X1490" i="6"/>
  <c r="X1506" i="6"/>
  <c r="X1522" i="6"/>
  <c r="X1538" i="6"/>
  <c r="X1554" i="6"/>
  <c r="X1570" i="6"/>
  <c r="X1586" i="6"/>
  <c r="X1602" i="6"/>
  <c r="X1618" i="6"/>
  <c r="X1634" i="6"/>
  <c r="X1650" i="6"/>
  <c r="X1666" i="6"/>
  <c r="X1682" i="6"/>
  <c r="X1698" i="6"/>
  <c r="X1714" i="6"/>
  <c r="X1730" i="6"/>
  <c r="X1746" i="6"/>
  <c r="X1762" i="6"/>
  <c r="X1778" i="6"/>
  <c r="X1794" i="6"/>
  <c r="X1810" i="6"/>
  <c r="X1826" i="6"/>
  <c r="T28" i="19"/>
  <c r="T113" i="19"/>
  <c r="T195" i="19"/>
  <c r="T284" i="19"/>
  <c r="T51" i="10"/>
  <c r="T133" i="10"/>
  <c r="T222" i="10"/>
  <c r="T307" i="10"/>
  <c r="X76" i="6"/>
  <c r="X165" i="6"/>
  <c r="X250" i="6"/>
  <c r="X332" i="6"/>
  <c r="X421" i="6"/>
  <c r="X506" i="6"/>
  <c r="X588" i="6"/>
  <c r="X677" i="6"/>
  <c r="X739" i="6"/>
  <c r="X755" i="6"/>
  <c r="X771" i="6"/>
  <c r="X787" i="6"/>
  <c r="X803" i="6"/>
  <c r="X819" i="6"/>
  <c r="X835" i="6"/>
  <c r="X851" i="6"/>
  <c r="X867" i="6"/>
  <c r="X883" i="6"/>
  <c r="X899" i="6"/>
  <c r="X915" i="6"/>
  <c r="X931" i="6"/>
  <c r="X947" i="6"/>
  <c r="X963" i="6"/>
  <c r="X979" i="6"/>
  <c r="X995" i="6"/>
  <c r="X1011" i="6"/>
  <c r="X1027" i="6"/>
  <c r="X1043" i="6"/>
  <c r="X1059" i="6"/>
  <c r="X1075" i="6"/>
  <c r="X1091" i="6"/>
  <c r="X1107" i="6"/>
  <c r="X1123" i="6"/>
  <c r="X1139" i="6"/>
  <c r="X1155" i="6"/>
  <c r="X1171" i="6"/>
  <c r="X1187" i="6"/>
  <c r="X1203" i="6"/>
  <c r="X1219" i="6"/>
  <c r="X1235" i="6"/>
  <c r="X1251" i="6"/>
  <c r="X1267" i="6"/>
  <c r="X1283" i="6"/>
  <c r="X1299" i="6"/>
  <c r="X1315" i="6"/>
  <c r="X1331" i="6"/>
  <c r="X1347" i="6"/>
  <c r="X1363" i="6"/>
  <c r="X1379" i="6"/>
  <c r="X1395" i="6"/>
  <c r="X1411" i="6"/>
  <c r="X1427" i="6"/>
  <c r="X1443" i="6"/>
  <c r="X1459" i="6"/>
  <c r="X1475" i="6"/>
  <c r="X1491" i="6"/>
  <c r="X1507" i="6"/>
  <c r="X1523" i="6"/>
  <c r="X1539" i="6"/>
  <c r="X1555" i="6"/>
  <c r="X1571" i="6"/>
  <c r="X1587" i="6"/>
  <c r="X1603" i="6"/>
  <c r="X1619" i="6"/>
  <c r="X1635" i="6"/>
  <c r="X1651" i="6"/>
  <c r="X1667" i="6"/>
  <c r="X1683" i="6"/>
  <c r="X1699" i="6"/>
  <c r="X1715" i="6"/>
  <c r="X1731" i="6"/>
  <c r="X1747" i="6"/>
  <c r="X1763" i="6"/>
  <c r="X1779" i="6"/>
  <c r="X1795" i="6"/>
  <c r="X1811" i="6"/>
  <c r="X1827" i="6"/>
  <c r="T33" i="19"/>
  <c r="T115" i="19"/>
  <c r="T204" i="19"/>
  <c r="T289" i="19"/>
  <c r="T53" i="10"/>
  <c r="T142" i="10"/>
  <c r="T227" i="10"/>
  <c r="T309" i="10"/>
  <c r="X85" i="6"/>
  <c r="X170" i="6"/>
  <c r="X252" i="6"/>
  <c r="X341" i="6"/>
  <c r="X426" i="6"/>
  <c r="X508" i="6"/>
  <c r="X597" i="6"/>
  <c r="X682" i="6"/>
  <c r="X740" i="6"/>
  <c r="X756" i="6"/>
  <c r="X772" i="6"/>
  <c r="X788" i="6"/>
  <c r="X804" i="6"/>
  <c r="X820" i="6"/>
  <c r="X836" i="6"/>
  <c r="X852" i="6"/>
  <c r="X868" i="6"/>
  <c r="X884" i="6"/>
  <c r="X900" i="6"/>
  <c r="X916" i="6"/>
  <c r="X932" i="6"/>
  <c r="X948" i="6"/>
  <c r="X964" i="6"/>
  <c r="X980" i="6"/>
  <c r="X996" i="6"/>
  <c r="X1012" i="6"/>
  <c r="X1028" i="6"/>
  <c r="X1044" i="6"/>
  <c r="X1060" i="6"/>
  <c r="X1076" i="6"/>
  <c r="X1092" i="6"/>
  <c r="X1108" i="6"/>
  <c r="X1124" i="6"/>
  <c r="X1140" i="6"/>
  <c r="X1156" i="6"/>
  <c r="X1172" i="6"/>
  <c r="X1188" i="6"/>
  <c r="X1204" i="6"/>
  <c r="X1220" i="6"/>
  <c r="X1236" i="6"/>
  <c r="X1252" i="6"/>
  <c r="X1268" i="6"/>
  <c r="X1284" i="6"/>
  <c r="X1300" i="6"/>
  <c r="X1316" i="6"/>
  <c r="X1332" i="6"/>
  <c r="X1348" i="6"/>
  <c r="X1364" i="6"/>
  <c r="X1380" i="6"/>
  <c r="X1396" i="6"/>
  <c r="X1412" i="6"/>
  <c r="X1428" i="6"/>
  <c r="X1444" i="6"/>
  <c r="X1460" i="6"/>
  <c r="X1476" i="6"/>
  <c r="X1492" i="6"/>
  <c r="X1508" i="6"/>
  <c r="X1524" i="6"/>
  <c r="X1540" i="6"/>
  <c r="X1556" i="6"/>
  <c r="X1572" i="6"/>
  <c r="X1588" i="6"/>
  <c r="X1604" i="6"/>
  <c r="X1620" i="6"/>
  <c r="X1636" i="6"/>
  <c r="X1652" i="6"/>
  <c r="X1668" i="6"/>
  <c r="X1684" i="6"/>
  <c r="X1700" i="6"/>
  <c r="X1716" i="6"/>
  <c r="X1732" i="6"/>
  <c r="X1748" i="6"/>
  <c r="X1764" i="6"/>
  <c r="X1780" i="6"/>
  <c r="X1796" i="6"/>
  <c r="X1812" i="6"/>
  <c r="X1828" i="6"/>
  <c r="T35" i="19"/>
  <c r="T124" i="19"/>
  <c r="T209" i="19"/>
  <c r="T291" i="19"/>
  <c r="T62" i="10"/>
  <c r="T147" i="10"/>
  <c r="T229" i="10"/>
  <c r="T318" i="10"/>
  <c r="X90" i="6"/>
  <c r="X172" i="6"/>
  <c r="X261" i="6"/>
  <c r="X346" i="6"/>
  <c r="X428" i="6"/>
  <c r="X517" i="6"/>
  <c r="X602" i="6"/>
  <c r="X684" i="6"/>
  <c r="X741" i="6"/>
  <c r="X757" i="6"/>
  <c r="X773" i="6"/>
  <c r="X789" i="6"/>
  <c r="X805" i="6"/>
  <c r="X821" i="6"/>
  <c r="X837" i="6"/>
  <c r="X853" i="6"/>
  <c r="X869" i="6"/>
  <c r="X885" i="6"/>
  <c r="X901" i="6"/>
  <c r="X917" i="6"/>
  <c r="X933" i="6"/>
  <c r="X949" i="6"/>
  <c r="X965" i="6"/>
  <c r="X981" i="6"/>
  <c r="X997" i="6"/>
  <c r="X1013" i="6"/>
  <c r="X1029" i="6"/>
  <c r="X1045" i="6"/>
  <c r="X1061" i="6"/>
  <c r="X1077" i="6"/>
  <c r="X1093" i="6"/>
  <c r="X1109" i="6"/>
  <c r="X1125" i="6"/>
  <c r="X1141" i="6"/>
  <c r="X1157" i="6"/>
  <c r="X1173" i="6"/>
  <c r="X1189" i="6"/>
  <c r="X1205" i="6"/>
  <c r="X1221" i="6"/>
  <c r="X1237" i="6"/>
  <c r="X1253" i="6"/>
  <c r="X1269" i="6"/>
  <c r="X1285" i="6"/>
  <c r="X1301" i="6"/>
  <c r="X1317" i="6"/>
  <c r="X1333" i="6"/>
  <c r="X1349" i="6"/>
  <c r="X1365" i="6"/>
  <c r="X1381" i="6"/>
  <c r="X1397" i="6"/>
  <c r="X1413" i="6"/>
  <c r="X1429" i="6"/>
  <c r="X1445" i="6"/>
  <c r="X1461" i="6"/>
  <c r="X1477" i="6"/>
  <c r="X1493" i="6"/>
  <c r="X1509" i="6"/>
  <c r="X1525" i="6"/>
  <c r="X1541" i="6"/>
  <c r="X1557" i="6"/>
  <c r="X1573" i="6"/>
  <c r="X1589" i="6"/>
  <c r="X1605" i="6"/>
  <c r="X1621" i="6"/>
  <c r="X1637" i="6"/>
  <c r="X1653" i="6"/>
  <c r="X1669" i="6"/>
  <c r="X1685" i="6"/>
  <c r="X1701" i="6"/>
  <c r="X1717" i="6"/>
  <c r="X1733" i="6"/>
  <c r="X1749" i="6"/>
  <c r="X1765" i="6"/>
  <c r="X1781" i="6"/>
  <c r="X1797" i="6"/>
  <c r="X1813" i="6"/>
  <c r="X1829" i="6"/>
  <c r="T49" i="19"/>
  <c r="T131" i="19"/>
  <c r="T220" i="19"/>
  <c r="T305" i="19"/>
  <c r="T69" i="10"/>
  <c r="T158" i="10"/>
  <c r="T243" i="10"/>
  <c r="X12" i="6"/>
  <c r="X101" i="6"/>
  <c r="X186" i="6"/>
  <c r="X268" i="6"/>
  <c r="X357" i="6"/>
  <c r="X442" i="6"/>
  <c r="X524" i="6"/>
  <c r="X613" i="6"/>
  <c r="X698" i="6"/>
  <c r="X743" i="6"/>
  <c r="X759" i="6"/>
  <c r="X775" i="6"/>
  <c r="X791" i="6"/>
  <c r="X807" i="6"/>
  <c r="X823" i="6"/>
  <c r="X839" i="6"/>
  <c r="X855" i="6"/>
  <c r="X871" i="6"/>
  <c r="X887" i="6"/>
  <c r="X903" i="6"/>
  <c r="X919" i="6"/>
  <c r="X935" i="6"/>
  <c r="X951" i="6"/>
  <c r="X967" i="6"/>
  <c r="X983" i="6"/>
  <c r="X999" i="6"/>
  <c r="X1015" i="6"/>
  <c r="X1031" i="6"/>
  <c r="X1047" i="6"/>
  <c r="X1063" i="6"/>
  <c r="X1079" i="6"/>
  <c r="X1095" i="6"/>
  <c r="X1111" i="6"/>
  <c r="X1127" i="6"/>
  <c r="X1143" i="6"/>
  <c r="X1159" i="6"/>
  <c r="X1175" i="6"/>
  <c r="X1191" i="6"/>
  <c r="X1207" i="6"/>
  <c r="X1223" i="6"/>
  <c r="X1239" i="6"/>
  <c r="X1255" i="6"/>
  <c r="X1271" i="6"/>
  <c r="X1287" i="6"/>
  <c r="X1303" i="6"/>
  <c r="X1319" i="6"/>
  <c r="X1335" i="6"/>
  <c r="X1351" i="6"/>
  <c r="X1367" i="6"/>
  <c r="X1383" i="6"/>
  <c r="X1399" i="6"/>
  <c r="X1415" i="6"/>
  <c r="X1431" i="6"/>
  <c r="X1447" i="6"/>
  <c r="X1463" i="6"/>
  <c r="X1479" i="6"/>
  <c r="X1495" i="6"/>
  <c r="X1511" i="6"/>
  <c r="X1527" i="6"/>
  <c r="X1543" i="6"/>
  <c r="X1559" i="6"/>
  <c r="X1575" i="6"/>
  <c r="X1591" i="6"/>
  <c r="X1607" i="6"/>
  <c r="X1623" i="6"/>
  <c r="X1639" i="6"/>
  <c r="X1655" i="6"/>
  <c r="X1671" i="6"/>
  <c r="X1687" i="6"/>
  <c r="X1703" i="6"/>
  <c r="X1719" i="6"/>
  <c r="X1735" i="6"/>
  <c r="X1751" i="6"/>
  <c r="X1767" i="6"/>
  <c r="X1783" i="6"/>
  <c r="X1799" i="6"/>
  <c r="X1815" i="6"/>
  <c r="X1831" i="6"/>
  <c r="T51" i="19"/>
  <c r="T140" i="19"/>
  <c r="T225" i="19"/>
  <c r="T307" i="19"/>
  <c r="T78" i="10"/>
  <c r="T163" i="10"/>
  <c r="T245" i="10"/>
  <c r="X21" i="6"/>
  <c r="X106" i="6"/>
  <c r="X188" i="6"/>
  <c r="X277" i="6"/>
  <c r="X362" i="6"/>
  <c r="X444" i="6"/>
  <c r="X533" i="6"/>
  <c r="X618" i="6"/>
  <c r="X700" i="6"/>
  <c r="X744" i="6"/>
  <c r="X760" i="6"/>
  <c r="X776" i="6"/>
  <c r="X792" i="6"/>
  <c r="X808" i="6"/>
  <c r="X824" i="6"/>
  <c r="X840" i="6"/>
  <c r="X856" i="6"/>
  <c r="X872" i="6"/>
  <c r="X888" i="6"/>
  <c r="X904" i="6"/>
  <c r="X920" i="6"/>
  <c r="X936" i="6"/>
  <c r="X952" i="6"/>
  <c r="X968" i="6"/>
  <c r="X984" i="6"/>
  <c r="X1000" i="6"/>
  <c r="X1016" i="6"/>
  <c r="X1032" i="6"/>
  <c r="X1048" i="6"/>
  <c r="X1064" i="6"/>
  <c r="X1080" i="6"/>
  <c r="X1096" i="6"/>
  <c r="X1112" i="6"/>
  <c r="X1128" i="6"/>
  <c r="X1144" i="6"/>
  <c r="X1160" i="6"/>
  <c r="X1176" i="6"/>
  <c r="X1192" i="6"/>
  <c r="X1208" i="6"/>
  <c r="X1224" i="6"/>
  <c r="X1240" i="6"/>
  <c r="X1256" i="6"/>
  <c r="X1272" i="6"/>
  <c r="X1288" i="6"/>
  <c r="X1304" i="6"/>
  <c r="X1320" i="6"/>
  <c r="X1336" i="6"/>
  <c r="X1352" i="6"/>
  <c r="X1368" i="6"/>
  <c r="X1384" i="6"/>
  <c r="X1400" i="6"/>
  <c r="X1416" i="6"/>
  <c r="X1432" i="6"/>
  <c r="X1448" i="6"/>
  <c r="X1464" i="6"/>
  <c r="X1480" i="6"/>
  <c r="X1496" i="6"/>
  <c r="X1512" i="6"/>
  <c r="X1528" i="6"/>
  <c r="X1544" i="6"/>
  <c r="X1560" i="6"/>
  <c r="X1576" i="6"/>
  <c r="X1592" i="6"/>
  <c r="X1608" i="6"/>
  <c r="X1624" i="6"/>
  <c r="X1640" i="6"/>
  <c r="X1656" i="6"/>
  <c r="X1672" i="6"/>
  <c r="X1688" i="6"/>
  <c r="X1704" i="6"/>
  <c r="X1720" i="6"/>
  <c r="X1736" i="6"/>
  <c r="X1752" i="6"/>
  <c r="X1768" i="6"/>
  <c r="X1784" i="6"/>
  <c r="X1800" i="6"/>
  <c r="X1816" i="6"/>
  <c r="X1832" i="6"/>
  <c r="T60" i="19"/>
  <c r="T145" i="19"/>
  <c r="T227" i="19"/>
  <c r="T316" i="19"/>
  <c r="T83" i="10"/>
  <c r="T165" i="10"/>
  <c r="T254" i="10"/>
  <c r="X26" i="6"/>
  <c r="X108" i="6"/>
  <c r="X197" i="6"/>
  <c r="X282" i="6"/>
  <c r="X364" i="6"/>
  <c r="X453" i="6"/>
  <c r="X538" i="6"/>
  <c r="X620" i="6"/>
  <c r="X709" i="6"/>
  <c r="X745" i="6"/>
  <c r="X761" i="6"/>
  <c r="X777" i="6"/>
  <c r="X793" i="6"/>
  <c r="X809" i="6"/>
  <c r="X825" i="6"/>
  <c r="X841" i="6"/>
  <c r="X857" i="6"/>
  <c r="X873" i="6"/>
  <c r="X889" i="6"/>
  <c r="X905" i="6"/>
  <c r="X921" i="6"/>
  <c r="X937" i="6"/>
  <c r="X953" i="6"/>
  <c r="X969" i="6"/>
  <c r="X985" i="6"/>
  <c r="X1001" i="6"/>
  <c r="X1017" i="6"/>
  <c r="X1033" i="6"/>
  <c r="X1049" i="6"/>
  <c r="X1065" i="6"/>
  <c r="X1081" i="6"/>
  <c r="X1097" i="6"/>
  <c r="X1113" i="6"/>
  <c r="X1129" i="6"/>
  <c r="X1145" i="6"/>
  <c r="X1161" i="6"/>
  <c r="X1177" i="6"/>
  <c r="X1193" i="6"/>
  <c r="X1209" i="6"/>
  <c r="X1225" i="6"/>
  <c r="X1241" i="6"/>
  <c r="X1257" i="6"/>
  <c r="X1273" i="6"/>
  <c r="X1289" i="6"/>
  <c r="X1305" i="6"/>
  <c r="X1321" i="6"/>
  <c r="X1337" i="6"/>
  <c r="X1353" i="6"/>
  <c r="X1369" i="6"/>
  <c r="X1385" i="6"/>
  <c r="X1401" i="6"/>
  <c r="X1417" i="6"/>
  <c r="X1433" i="6"/>
  <c r="X1449" i="6"/>
  <c r="X1465" i="6"/>
  <c r="X1481" i="6"/>
  <c r="X1497" i="6"/>
  <c r="X1513" i="6"/>
  <c r="X1529" i="6"/>
  <c r="X1545" i="6"/>
  <c r="X1561" i="6"/>
  <c r="X1577" i="6"/>
  <c r="X1593" i="6"/>
  <c r="X1609" i="6"/>
  <c r="X1625" i="6"/>
  <c r="X1641" i="6"/>
  <c r="X1657" i="6"/>
  <c r="X1673" i="6"/>
  <c r="X1689" i="6"/>
  <c r="X1705" i="6"/>
  <c r="X1721" i="6"/>
  <c r="X1737" i="6"/>
  <c r="X1753" i="6"/>
  <c r="X1769" i="6"/>
  <c r="X1785" i="6"/>
  <c r="X1801" i="6"/>
  <c r="X1817" i="6"/>
  <c r="X1833" i="6"/>
  <c r="T65" i="19"/>
  <c r="T147" i="19"/>
  <c r="T236" i="19"/>
  <c r="T321" i="19"/>
  <c r="T85" i="10"/>
  <c r="T174" i="10"/>
  <c r="T259" i="10"/>
  <c r="X28" i="6"/>
  <c r="X117" i="6"/>
  <c r="X202" i="6"/>
  <c r="X284" i="6"/>
  <c r="X373" i="6"/>
  <c r="X458" i="6"/>
  <c r="X540" i="6"/>
  <c r="X629" i="6"/>
  <c r="X714" i="6"/>
  <c r="X746" i="6"/>
  <c r="X762" i="6"/>
  <c r="X778" i="6"/>
  <c r="X794" i="6"/>
  <c r="X810" i="6"/>
  <c r="X826" i="6"/>
  <c r="X842" i="6"/>
  <c r="X858" i="6"/>
  <c r="X874" i="6"/>
  <c r="X890" i="6"/>
  <c r="X906" i="6"/>
  <c r="X922" i="6"/>
  <c r="X938" i="6"/>
  <c r="X954" i="6"/>
  <c r="X970" i="6"/>
  <c r="X986" i="6"/>
  <c r="X1002" i="6"/>
  <c r="X1018" i="6"/>
  <c r="X1034" i="6"/>
  <c r="X1050" i="6"/>
  <c r="X1066" i="6"/>
  <c r="X1082" i="6"/>
  <c r="X1098" i="6"/>
  <c r="X1114" i="6"/>
  <c r="X1130" i="6"/>
  <c r="X1146" i="6"/>
  <c r="X1162" i="6"/>
  <c r="X1178" i="6"/>
  <c r="X1194" i="6"/>
  <c r="X1210" i="6"/>
  <c r="X1226" i="6"/>
  <c r="X1242" i="6"/>
  <c r="X1258" i="6"/>
  <c r="X1274" i="6"/>
  <c r="X1290" i="6"/>
  <c r="X1306" i="6"/>
  <c r="X1322" i="6"/>
  <c r="X1338" i="6"/>
  <c r="X1354" i="6"/>
  <c r="X1370" i="6"/>
  <c r="X1386" i="6"/>
  <c r="X1402" i="6"/>
  <c r="X1418" i="6"/>
  <c r="X1434" i="6"/>
  <c r="X1450" i="6"/>
  <c r="X1466" i="6"/>
  <c r="X1482" i="6"/>
  <c r="X1498" i="6"/>
  <c r="X1514" i="6"/>
  <c r="X1530" i="6"/>
  <c r="X1546" i="6"/>
  <c r="X1562" i="6"/>
  <c r="X1578" i="6"/>
  <c r="X1594" i="6"/>
  <c r="X1610" i="6"/>
  <c r="X1626" i="6"/>
  <c r="X1642" i="6"/>
  <c r="X1658" i="6"/>
  <c r="X1674" i="6"/>
  <c r="X1690" i="6"/>
  <c r="X1706" i="6"/>
  <c r="X1722" i="6"/>
  <c r="X1738" i="6"/>
  <c r="X1754" i="6"/>
  <c r="X1770" i="6"/>
  <c r="X1786" i="6"/>
  <c r="X1802" i="6"/>
  <c r="X1818" i="6"/>
  <c r="X1834" i="6"/>
  <c r="X2354" i="6"/>
  <c r="X2338" i="6"/>
  <c r="X2322" i="6"/>
  <c r="X2306" i="6"/>
  <c r="X2290" i="6"/>
  <c r="X2274" i="6"/>
  <c r="X2258" i="6"/>
  <c r="X2242" i="6"/>
  <c r="X2226" i="6"/>
  <c r="X2210" i="6"/>
  <c r="X2194" i="6"/>
  <c r="X2178" i="6"/>
  <c r="X2162" i="6"/>
  <c r="X2146" i="6"/>
  <c r="X2130" i="6"/>
  <c r="X2114" i="6"/>
  <c r="X2098" i="6"/>
  <c r="X2082" i="6"/>
  <c r="X2066" i="6"/>
  <c r="X2050" i="6"/>
  <c r="X2034" i="6"/>
  <c r="X2018" i="6"/>
  <c r="X2002" i="6"/>
  <c r="X1986" i="6"/>
  <c r="X1970" i="6"/>
  <c r="X1954" i="6"/>
  <c r="X1938" i="6"/>
  <c r="X1922" i="6"/>
  <c r="X1906" i="6"/>
  <c r="X1890" i="6"/>
  <c r="X1874" i="6"/>
  <c r="X1858" i="6"/>
  <c r="X1842" i="6"/>
  <c r="X1782" i="6"/>
  <c r="X1718" i="6"/>
  <c r="X1654" i="6"/>
  <c r="X1590" i="6"/>
  <c r="X1526" i="6"/>
  <c r="X1462" i="6"/>
  <c r="X1398" i="6"/>
  <c r="X1334" i="6"/>
  <c r="X1270" i="6"/>
  <c r="X1206" i="6"/>
  <c r="X1142" i="6"/>
  <c r="X1078" i="6"/>
  <c r="X1014" i="6"/>
  <c r="X950" i="6"/>
  <c r="X886" i="6"/>
  <c r="X822" i="6"/>
  <c r="X758" i="6"/>
  <c r="X522" i="6"/>
  <c r="X181" i="6"/>
  <c r="T149" i="10"/>
  <c r="T129" i="19"/>
  <c r="X2353" i="6"/>
  <c r="X2337" i="6"/>
  <c r="X2321" i="6"/>
  <c r="X2305" i="6"/>
  <c r="X2289" i="6"/>
  <c r="X2273" i="6"/>
  <c r="X2257" i="6"/>
  <c r="X2241" i="6"/>
  <c r="X2225" i="6"/>
  <c r="X2209" i="6"/>
  <c r="X2193" i="6"/>
  <c r="X2177" i="6"/>
  <c r="X2161" i="6"/>
  <c r="X2145" i="6"/>
  <c r="X2129" i="6"/>
  <c r="X2113" i="6"/>
  <c r="X2097" i="6"/>
  <c r="X2081" i="6"/>
  <c r="X2065" i="6"/>
  <c r="X2049" i="6"/>
  <c r="X2033" i="6"/>
  <c r="X2017" i="6"/>
  <c r="X2001" i="6"/>
  <c r="X1985" i="6"/>
  <c r="X1969" i="6"/>
  <c r="X1953" i="6"/>
  <c r="X1937" i="6"/>
  <c r="X1921" i="6"/>
  <c r="X1905" i="6"/>
  <c r="X1889" i="6"/>
  <c r="X1873" i="6"/>
  <c r="X1857" i="6"/>
  <c r="X1837" i="6"/>
  <c r="X1773" i="6"/>
  <c r="X1709" i="6"/>
  <c r="X1645" i="6"/>
  <c r="X1581" i="6"/>
  <c r="X1517" i="6"/>
  <c r="X1453" i="6"/>
  <c r="X1389" i="6"/>
  <c r="X1325" i="6"/>
  <c r="X1261" i="6"/>
  <c r="X1197" i="6"/>
  <c r="X1133" i="6"/>
  <c r="X1069" i="6"/>
  <c r="X1005" i="6"/>
  <c r="X941" i="6"/>
  <c r="X877" i="6"/>
  <c r="X813" i="6"/>
  <c r="X749" i="6"/>
  <c r="X474" i="6"/>
  <c r="X133" i="6"/>
  <c r="T101" i="10"/>
  <c r="T81" i="19"/>
  <c r="X2352" i="6"/>
  <c r="X2336" i="6"/>
  <c r="X2320" i="6"/>
  <c r="X2304" i="6"/>
  <c r="X2288" i="6"/>
  <c r="X2272" i="6"/>
  <c r="X2256" i="6"/>
  <c r="X2240" i="6"/>
  <c r="X2224" i="6"/>
  <c r="X2208" i="6"/>
  <c r="X2192" i="6"/>
  <c r="X2176" i="6"/>
  <c r="X2160" i="6"/>
  <c r="X2144" i="6"/>
  <c r="X2128" i="6"/>
  <c r="X2112" i="6"/>
  <c r="X2096" i="6"/>
  <c r="X2080" i="6"/>
  <c r="X2064" i="6"/>
  <c r="X2048" i="6"/>
  <c r="X2032" i="6"/>
  <c r="X2016" i="6"/>
  <c r="X2000" i="6"/>
  <c r="X1984" i="6"/>
  <c r="X1968" i="6"/>
  <c r="X1952" i="6"/>
  <c r="X1936" i="6"/>
  <c r="X1920" i="6"/>
  <c r="X1904" i="6"/>
  <c r="X1888" i="6"/>
  <c r="X1872" i="6"/>
  <c r="X1856" i="6"/>
  <c r="X1836" i="6"/>
  <c r="X1772" i="6"/>
  <c r="X1708" i="6"/>
  <c r="X1644" i="6"/>
  <c r="X1580" i="6"/>
  <c r="X1516" i="6"/>
  <c r="X1452" i="6"/>
  <c r="X1388" i="6"/>
  <c r="X1324" i="6"/>
  <c r="X1260" i="6"/>
  <c r="X1196" i="6"/>
  <c r="X1132" i="6"/>
  <c r="X1068" i="6"/>
  <c r="X1004" i="6"/>
  <c r="X940" i="6"/>
  <c r="X876" i="6"/>
  <c r="X812" i="6"/>
  <c r="X748" i="6"/>
  <c r="X469" i="6"/>
  <c r="X124" i="6"/>
  <c r="T99" i="10"/>
  <c r="T76" i="19"/>
  <c r="X10" i="6"/>
  <c r="X2351" i="6"/>
  <c r="X2335" i="6"/>
  <c r="X2319" i="6"/>
  <c r="X2303" i="6"/>
  <c r="X2287" i="6"/>
  <c r="X2271" i="6"/>
  <c r="X2255" i="6"/>
  <c r="X2239" i="6"/>
  <c r="X2223" i="6"/>
  <c r="X2207" i="6"/>
  <c r="X2191" i="6"/>
  <c r="X2175" i="6"/>
  <c r="X2159" i="6"/>
  <c r="X2143" i="6"/>
  <c r="X2127" i="6"/>
  <c r="X2111" i="6"/>
  <c r="X2095" i="6"/>
  <c r="X2079" i="6"/>
  <c r="X2063" i="6"/>
  <c r="X2047" i="6"/>
  <c r="X2031" i="6"/>
  <c r="X2015" i="6"/>
  <c r="X1999" i="6"/>
  <c r="X1983" i="6"/>
  <c r="X1967" i="6"/>
  <c r="X1951" i="6"/>
  <c r="X1935" i="6"/>
  <c r="X1919" i="6"/>
  <c r="X1903" i="6"/>
  <c r="X1887" i="6"/>
  <c r="X1871" i="6"/>
  <c r="X1855" i="6"/>
  <c r="X1835" i="6"/>
  <c r="X1771" i="6"/>
  <c r="X1707" i="6"/>
  <c r="X1643" i="6"/>
  <c r="X1579" i="6"/>
  <c r="X1515" i="6"/>
  <c r="X1451" i="6"/>
  <c r="X1387" i="6"/>
  <c r="X1323" i="6"/>
  <c r="X1259" i="6"/>
  <c r="X1195" i="6"/>
  <c r="X1131" i="6"/>
  <c r="X1067" i="6"/>
  <c r="X1003" i="6"/>
  <c r="X939" i="6"/>
  <c r="X875" i="6"/>
  <c r="X811" i="6"/>
  <c r="X747" i="6"/>
  <c r="X460" i="6"/>
  <c r="X122" i="6"/>
  <c r="T94" i="10"/>
  <c r="T67" i="19"/>
  <c r="X2366" i="6"/>
  <c r="X2350" i="6"/>
  <c r="X2334" i="6"/>
  <c r="X2318" i="6"/>
  <c r="X2302" i="6"/>
  <c r="X2286" i="6"/>
  <c r="X2270" i="6"/>
  <c r="X2254" i="6"/>
  <c r="X2238" i="6"/>
  <c r="X2222" i="6"/>
  <c r="X2206" i="6"/>
  <c r="X2190" i="6"/>
  <c r="X2174" i="6"/>
  <c r="X2158" i="6"/>
  <c r="X2142" i="6"/>
  <c r="X2126" i="6"/>
  <c r="X2110" i="6"/>
  <c r="X2094" i="6"/>
  <c r="X2078" i="6"/>
  <c r="X2062" i="6"/>
  <c r="X2046" i="6"/>
  <c r="X2030" i="6"/>
  <c r="X2014" i="6"/>
  <c r="X1998" i="6"/>
  <c r="X1982" i="6"/>
  <c r="X1966" i="6"/>
  <c r="X1950" i="6"/>
  <c r="X1934" i="6"/>
  <c r="X1918" i="6"/>
  <c r="X1902" i="6"/>
  <c r="X1886" i="6"/>
  <c r="X1870" i="6"/>
  <c r="X1854" i="6"/>
  <c r="X1830" i="6"/>
  <c r="X1766" i="6"/>
  <c r="X1702" i="6"/>
  <c r="X1638" i="6"/>
  <c r="X1574" i="6"/>
  <c r="X1510" i="6"/>
  <c r="X1446" i="6"/>
  <c r="X1382" i="6"/>
  <c r="X1318" i="6"/>
  <c r="X1254" i="6"/>
  <c r="X1190" i="6"/>
  <c r="X1126" i="6"/>
  <c r="X1062" i="6"/>
  <c r="X998" i="6"/>
  <c r="X934" i="6"/>
  <c r="X870" i="6"/>
  <c r="X806" i="6"/>
  <c r="X742" i="6"/>
  <c r="X437" i="6"/>
  <c r="X92" i="6"/>
  <c r="T67" i="10"/>
  <c r="T44" i="19"/>
  <c r="X2365" i="6"/>
  <c r="X2349" i="6"/>
  <c r="X2333" i="6"/>
  <c r="X2317" i="6"/>
  <c r="X2301" i="6"/>
  <c r="X2285" i="6"/>
  <c r="X2269" i="6"/>
  <c r="X2253" i="6"/>
  <c r="X2237" i="6"/>
  <c r="X2221" i="6"/>
  <c r="X2205" i="6"/>
  <c r="X2189" i="6"/>
  <c r="X2173" i="6"/>
  <c r="X2157" i="6"/>
  <c r="X2141" i="6"/>
  <c r="X2125" i="6"/>
  <c r="X2109" i="6"/>
  <c r="X2093" i="6"/>
  <c r="X2077" i="6"/>
  <c r="X2061" i="6"/>
  <c r="X2045" i="6"/>
  <c r="X2029" i="6"/>
  <c r="X2013" i="6"/>
  <c r="X1997" i="6"/>
  <c r="X1981" i="6"/>
  <c r="X1965" i="6"/>
  <c r="X1949" i="6"/>
  <c r="X1933" i="6"/>
  <c r="X1917" i="6"/>
  <c r="X1901" i="6"/>
  <c r="X1885" i="6"/>
  <c r="X1869" i="6"/>
  <c r="X1853" i="6"/>
  <c r="X1821" i="6"/>
  <c r="X1757" i="6"/>
  <c r="X1693" i="6"/>
  <c r="X1629" i="6"/>
  <c r="X1565" i="6"/>
  <c r="X1501" i="6"/>
  <c r="X1437" i="6"/>
  <c r="X1373" i="6"/>
  <c r="X1309" i="6"/>
  <c r="X1245" i="6"/>
  <c r="X1181" i="6"/>
  <c r="X1117" i="6"/>
  <c r="X1053" i="6"/>
  <c r="X989" i="6"/>
  <c r="X925" i="6"/>
  <c r="X861" i="6"/>
  <c r="X797" i="6"/>
  <c r="X730" i="6"/>
  <c r="X389" i="6"/>
  <c r="X44" i="6"/>
  <c r="T19" i="10"/>
  <c r="X2364" i="6"/>
  <c r="X2348" i="6"/>
  <c r="X2332" i="6"/>
  <c r="X2316" i="6"/>
  <c r="X2300" i="6"/>
  <c r="X2284" i="6"/>
  <c r="X2268" i="6"/>
  <c r="X2252" i="6"/>
  <c r="X2236" i="6"/>
  <c r="X2220" i="6"/>
  <c r="X2204" i="6"/>
  <c r="X2188" i="6"/>
  <c r="X2172" i="6"/>
  <c r="X2156" i="6"/>
  <c r="X2140" i="6"/>
  <c r="X2124" i="6"/>
  <c r="X2108" i="6"/>
  <c r="X2092" i="6"/>
  <c r="X2076" i="6"/>
  <c r="X2060" i="6"/>
  <c r="X2044" i="6"/>
  <c r="X2028" i="6"/>
  <c r="X2012" i="6"/>
  <c r="X1996" i="6"/>
  <c r="X1980" i="6"/>
  <c r="X1964" i="6"/>
  <c r="X1948" i="6"/>
  <c r="X1932" i="6"/>
  <c r="X1916" i="6"/>
  <c r="X1900" i="6"/>
  <c r="X1884" i="6"/>
  <c r="X1868" i="6"/>
  <c r="X1852" i="6"/>
  <c r="X1820" i="6"/>
  <c r="X1756" i="6"/>
  <c r="X1692" i="6"/>
  <c r="X1628" i="6"/>
  <c r="X1564" i="6"/>
  <c r="X1500" i="6"/>
  <c r="X1436" i="6"/>
  <c r="X1372" i="6"/>
  <c r="X1308" i="6"/>
  <c r="X1244" i="6"/>
  <c r="X1180" i="6"/>
  <c r="X1116" i="6"/>
  <c r="X1052" i="6"/>
  <c r="X988" i="6"/>
  <c r="X924" i="6"/>
  <c r="X860" i="6"/>
  <c r="X796" i="6"/>
  <c r="X725" i="6"/>
  <c r="X380" i="6"/>
  <c r="X42" i="6"/>
  <c r="T14" i="10"/>
  <c r="AF1" i="6"/>
  <c r="N353" i="16"/>
  <c r="N394" i="16"/>
  <c r="N411" i="16"/>
  <c r="N421" i="16"/>
  <c r="N422" i="16"/>
  <c r="N461" i="16"/>
  <c r="N593" i="16"/>
  <c r="N730" i="16"/>
  <c r="N790" i="16"/>
  <c r="N857" i="16"/>
  <c r="N1337" i="16"/>
  <c r="N1441" i="16"/>
  <c r="N1751" i="16"/>
  <c r="N1774" i="16"/>
  <c r="N1960" i="16"/>
  <c r="N2011" i="16"/>
  <c r="N2118" i="16"/>
  <c r="N2222" i="16"/>
  <c r="N2241" i="16"/>
  <c r="N2294" i="16"/>
  <c r="N2341" i="16"/>
  <c r="N2345" i="16"/>
  <c r="M353" i="16" l="1"/>
  <c r="M394" i="16"/>
  <c r="M411" i="16"/>
  <c r="M421" i="16"/>
  <c r="M422" i="16"/>
  <c r="M461" i="16"/>
  <c r="M593" i="16"/>
  <c r="M730" i="16"/>
  <c r="M790" i="16"/>
  <c r="M857" i="16"/>
  <c r="M1337" i="16"/>
  <c r="M1441" i="16"/>
  <c r="M1751" i="16"/>
  <c r="M1774" i="16"/>
  <c r="M1960" i="16"/>
  <c r="M2011" i="16"/>
  <c r="M2118" i="16"/>
  <c r="M2222" i="16"/>
  <c r="M2241" i="16"/>
  <c r="M2294" i="16"/>
  <c r="M2320" i="16"/>
  <c r="M2341" i="16"/>
  <c r="M2345" i="16"/>
  <c r="AF359" i="6"/>
  <c r="AF400" i="6"/>
  <c r="AF417" i="6"/>
  <c r="AF427" i="6"/>
  <c r="AF428" i="6"/>
  <c r="AF467" i="6"/>
  <c r="AF599" i="6"/>
  <c r="AF736" i="6"/>
  <c r="AF796" i="6"/>
  <c r="AF863" i="6"/>
  <c r="AF1343" i="6"/>
  <c r="AF1447" i="6"/>
  <c r="AF1757" i="6"/>
  <c r="AF1780" i="6"/>
  <c r="AF1966" i="6"/>
  <c r="AF2017" i="6"/>
  <c r="AF2124" i="6"/>
  <c r="AF2228" i="6"/>
  <c r="AF2247" i="6"/>
  <c r="AF2300" i="6"/>
  <c r="AF2347" i="6"/>
  <c r="AF2351" i="6"/>
  <c r="J353" i="16"/>
  <c r="J394" i="16"/>
  <c r="J411" i="16"/>
  <c r="J421" i="16"/>
  <c r="J422" i="16"/>
  <c r="J424" i="16"/>
  <c r="J461" i="16"/>
  <c r="J593" i="16"/>
  <c r="J722" i="16"/>
  <c r="J723" i="16"/>
  <c r="J730" i="16"/>
  <c r="J790" i="16"/>
  <c r="J811" i="16"/>
  <c r="J828" i="16"/>
  <c r="J832" i="16"/>
  <c r="J833" i="16"/>
  <c r="J834" i="16"/>
  <c r="J837" i="16"/>
  <c r="J841" i="16"/>
  <c r="J842" i="16"/>
  <c r="J844" i="16"/>
  <c r="J845" i="16"/>
  <c r="J848" i="16"/>
  <c r="J851" i="16"/>
  <c r="J854" i="16"/>
  <c r="J856" i="16"/>
  <c r="J857" i="16"/>
  <c r="J1071" i="16"/>
  <c r="J1109" i="16"/>
  <c r="J1337" i="16"/>
  <c r="J1441" i="16"/>
  <c r="J1597" i="16"/>
  <c r="J1598" i="16"/>
  <c r="J1599" i="16"/>
  <c r="J1602" i="16"/>
  <c r="J1609" i="16"/>
  <c r="J1751" i="16"/>
  <c r="J1774" i="16"/>
  <c r="J1960" i="16"/>
  <c r="J2011" i="16"/>
  <c r="J2024" i="16"/>
  <c r="J2048" i="16"/>
  <c r="J2053" i="16"/>
  <c r="J2057" i="16"/>
  <c r="J2118" i="16"/>
  <c r="J2201" i="16"/>
  <c r="J2222" i="16"/>
  <c r="J2241" i="16"/>
  <c r="J2294" i="16"/>
  <c r="J2341" i="16"/>
  <c r="J2345" i="16"/>
  <c r="H2" i="16"/>
  <c r="E2" i="16"/>
  <c r="F2" i="16"/>
  <c r="I2360" i="16"/>
  <c r="I2359" i="16"/>
  <c r="I2358" i="16"/>
  <c r="I2357" i="16"/>
  <c r="I2356" i="16"/>
  <c r="I2355" i="16"/>
  <c r="I2354" i="16"/>
  <c r="I2353" i="16"/>
  <c r="I2352" i="16"/>
  <c r="I2351" i="16"/>
  <c r="I2350" i="16"/>
  <c r="I2349" i="16"/>
  <c r="I2348" i="16"/>
  <c r="I2347" i="16"/>
  <c r="I2346" i="16"/>
  <c r="I2345" i="16"/>
  <c r="I2344" i="16"/>
  <c r="I2343" i="16"/>
  <c r="I2342" i="16"/>
  <c r="I2341" i="16"/>
  <c r="I2340" i="16"/>
  <c r="I2339" i="16"/>
  <c r="I2338" i="16"/>
  <c r="I2337" i="16"/>
  <c r="I2336" i="16"/>
  <c r="I2335" i="16"/>
  <c r="I2334" i="16"/>
  <c r="I2333" i="16"/>
  <c r="I2332" i="16"/>
  <c r="I2331" i="16"/>
  <c r="I2330" i="16"/>
  <c r="I2329" i="16"/>
  <c r="I2328" i="16"/>
  <c r="I2327" i="16"/>
  <c r="I2326" i="16"/>
  <c r="I2325" i="16"/>
  <c r="I2324" i="16"/>
  <c r="I2323" i="16"/>
  <c r="I2322" i="16"/>
  <c r="I2321" i="16"/>
  <c r="I2320" i="16"/>
  <c r="I2319" i="16"/>
  <c r="I2318" i="16"/>
  <c r="I2317" i="16"/>
  <c r="I2316" i="16"/>
  <c r="I2315" i="16"/>
  <c r="I2314" i="16"/>
  <c r="I2313" i="16"/>
  <c r="I2312" i="16"/>
  <c r="I2311" i="16"/>
  <c r="I2310" i="16"/>
  <c r="I2309" i="16"/>
  <c r="I2308" i="16"/>
  <c r="I2307" i="16"/>
  <c r="I2306" i="16"/>
  <c r="I2305" i="16"/>
  <c r="I2304" i="16"/>
  <c r="I2303" i="16"/>
  <c r="I2302" i="16"/>
  <c r="I2301" i="16"/>
  <c r="I2300" i="16"/>
  <c r="I2299" i="16"/>
  <c r="I2298" i="16"/>
  <c r="I2297" i="16"/>
  <c r="I2296" i="16"/>
  <c r="I2295" i="16"/>
  <c r="I2294" i="16"/>
  <c r="I2293" i="16"/>
  <c r="I2292" i="16"/>
  <c r="I2291" i="16"/>
  <c r="I2290" i="16"/>
  <c r="I2289" i="16"/>
  <c r="I2288" i="16"/>
  <c r="I2287" i="16"/>
  <c r="I2286" i="16"/>
  <c r="I2285" i="16"/>
  <c r="I2284" i="16"/>
  <c r="I2283" i="16"/>
  <c r="I2282" i="16"/>
  <c r="I2281" i="16"/>
  <c r="I2280" i="16"/>
  <c r="I2279" i="16"/>
  <c r="I2278" i="16"/>
  <c r="I2277" i="16"/>
  <c r="I2276" i="16"/>
  <c r="I2275" i="16"/>
  <c r="I2274" i="16"/>
  <c r="I2273" i="16"/>
  <c r="I2272" i="16"/>
  <c r="I2271" i="16"/>
  <c r="I2270" i="16"/>
  <c r="I2269" i="16"/>
  <c r="I2268" i="16"/>
  <c r="I2267" i="16"/>
  <c r="I2266" i="16"/>
  <c r="I2265" i="16"/>
  <c r="I2264" i="16"/>
  <c r="I2263" i="16"/>
  <c r="I2262" i="16"/>
  <c r="I2261" i="16"/>
  <c r="I2260" i="16"/>
  <c r="I2259" i="16"/>
  <c r="I2258" i="16"/>
  <c r="I2257" i="16"/>
  <c r="I2256" i="16"/>
  <c r="I2255" i="16"/>
  <c r="I2254" i="16"/>
  <c r="I2253" i="16"/>
  <c r="I2252" i="16"/>
  <c r="I2251" i="16"/>
  <c r="I2250" i="16"/>
  <c r="I2249" i="16"/>
  <c r="I2248" i="16"/>
  <c r="I2247" i="16"/>
  <c r="I2246" i="16"/>
  <c r="I2245" i="16"/>
  <c r="I2244" i="16"/>
  <c r="I2243" i="16"/>
  <c r="I2242" i="16"/>
  <c r="I2241" i="16"/>
  <c r="I2240" i="16"/>
  <c r="I2239" i="16"/>
  <c r="I2238" i="16"/>
  <c r="I2237" i="16"/>
  <c r="I2236" i="16"/>
  <c r="I2235" i="16"/>
  <c r="I2234" i="16"/>
  <c r="I2233" i="16"/>
  <c r="I2232" i="16"/>
  <c r="I2231" i="16"/>
  <c r="I2230" i="16"/>
  <c r="I2229" i="16"/>
  <c r="I2228" i="16"/>
  <c r="I2227" i="16"/>
  <c r="I2226" i="16"/>
  <c r="I2225" i="16"/>
  <c r="I2224" i="16"/>
  <c r="I2223" i="16"/>
  <c r="I2222" i="16"/>
  <c r="I2221" i="16"/>
  <c r="I2220" i="16"/>
  <c r="I2219" i="16"/>
  <c r="I2218" i="16"/>
  <c r="I2217" i="16"/>
  <c r="I2216" i="16"/>
  <c r="I2215" i="16"/>
  <c r="I2214" i="16"/>
  <c r="I2213" i="16"/>
  <c r="I2212" i="16"/>
  <c r="I2211" i="16"/>
  <c r="I2210" i="16"/>
  <c r="I2209" i="16"/>
  <c r="I2208" i="16"/>
  <c r="I2207" i="16"/>
  <c r="I2206" i="16"/>
  <c r="I2205" i="16"/>
  <c r="I2204" i="16"/>
  <c r="I2203" i="16"/>
  <c r="I2202" i="16"/>
  <c r="I2201" i="16"/>
  <c r="I2200" i="16"/>
  <c r="I2199" i="16"/>
  <c r="I2198" i="16"/>
  <c r="I2197" i="16"/>
  <c r="I2196" i="16"/>
  <c r="I2195" i="16"/>
  <c r="I2194" i="16"/>
  <c r="I2193" i="16"/>
  <c r="I2192" i="16"/>
  <c r="I2191" i="16"/>
  <c r="I2190" i="16"/>
  <c r="I2189" i="16"/>
  <c r="I2188" i="16"/>
  <c r="I2187" i="16"/>
  <c r="I2186" i="16"/>
  <c r="I2185" i="16"/>
  <c r="I2184" i="16"/>
  <c r="I2183" i="16"/>
  <c r="I2182" i="16"/>
  <c r="I2181" i="16"/>
  <c r="I2180" i="16"/>
  <c r="I2179" i="16"/>
  <c r="I2178" i="16"/>
  <c r="I2177" i="16"/>
  <c r="I2176" i="16"/>
  <c r="I2175" i="16"/>
  <c r="I2174" i="16"/>
  <c r="I2173" i="16"/>
  <c r="I2172" i="16"/>
  <c r="I2171" i="16"/>
  <c r="I2170" i="16"/>
  <c r="I2169" i="16"/>
  <c r="I2168" i="16"/>
  <c r="I2167" i="16"/>
  <c r="I2166" i="16"/>
  <c r="I2165" i="16"/>
  <c r="I2164" i="16"/>
  <c r="I2163" i="16"/>
  <c r="I2162" i="16"/>
  <c r="I2161" i="16"/>
  <c r="I2160" i="16"/>
  <c r="I2159" i="16"/>
  <c r="I2158" i="16"/>
  <c r="I2157" i="16"/>
  <c r="I2156" i="16"/>
  <c r="I2155" i="16"/>
  <c r="I2154" i="16"/>
  <c r="I2153" i="16"/>
  <c r="I2152" i="16"/>
  <c r="I2151" i="16"/>
  <c r="I2150" i="16"/>
  <c r="I2149" i="16"/>
  <c r="I2148" i="16"/>
  <c r="I2147" i="16"/>
  <c r="I2146" i="16"/>
  <c r="I2145" i="16"/>
  <c r="I2144" i="16"/>
  <c r="I2143" i="16"/>
  <c r="I2142" i="16"/>
  <c r="I2141" i="16"/>
  <c r="I2140" i="16"/>
  <c r="I2139" i="16"/>
  <c r="I2138" i="16"/>
  <c r="I2137" i="16"/>
  <c r="I2136" i="16"/>
  <c r="I2135" i="16"/>
  <c r="I2134" i="16"/>
  <c r="I2133" i="16"/>
  <c r="I2132" i="16"/>
  <c r="I2131" i="16"/>
  <c r="I2130" i="16"/>
  <c r="I2129" i="16"/>
  <c r="I2128" i="16"/>
  <c r="I2127" i="16"/>
  <c r="I2126" i="16"/>
  <c r="I2125" i="16"/>
  <c r="I2124" i="16"/>
  <c r="I2123" i="16"/>
  <c r="I2122" i="16"/>
  <c r="I2121" i="16"/>
  <c r="I2120" i="16"/>
  <c r="I2119" i="16"/>
  <c r="I2118" i="16"/>
  <c r="I2117" i="16"/>
  <c r="I2116" i="16"/>
  <c r="I2115" i="16"/>
  <c r="I2114" i="16"/>
  <c r="I2113" i="16"/>
  <c r="I2112" i="16"/>
  <c r="I2111" i="16"/>
  <c r="I2110" i="16"/>
  <c r="I2109" i="16"/>
  <c r="I2108" i="16"/>
  <c r="I2107" i="16"/>
  <c r="I2106" i="16"/>
  <c r="I2105" i="16"/>
  <c r="I2104" i="16"/>
  <c r="I2103" i="16"/>
  <c r="I2102" i="16"/>
  <c r="I2101" i="16"/>
  <c r="I2100" i="16"/>
  <c r="I2099" i="16"/>
  <c r="I2098" i="16"/>
  <c r="I2097" i="16"/>
  <c r="I2096" i="16"/>
  <c r="I2095" i="16"/>
  <c r="I2094" i="16"/>
  <c r="I2093" i="16"/>
  <c r="I2092" i="16"/>
  <c r="I2091" i="16"/>
  <c r="I2090" i="16"/>
  <c r="I2089" i="16"/>
  <c r="I2088" i="16"/>
  <c r="I2087" i="16"/>
  <c r="I2086" i="16"/>
  <c r="I2085" i="16"/>
  <c r="I2084" i="16"/>
  <c r="I2083" i="16"/>
  <c r="I2082" i="16"/>
  <c r="I2081" i="16"/>
  <c r="I2080" i="16"/>
  <c r="I2079" i="16"/>
  <c r="I2078" i="16"/>
  <c r="I2077" i="16"/>
  <c r="I2076" i="16"/>
  <c r="I2075" i="16"/>
  <c r="I2074" i="16"/>
  <c r="I2073" i="16"/>
  <c r="I2072" i="16"/>
  <c r="I2071" i="16"/>
  <c r="I2070" i="16"/>
  <c r="I2069" i="16"/>
  <c r="I2068" i="16"/>
  <c r="I2067" i="16"/>
  <c r="I2066" i="16"/>
  <c r="I2065" i="16"/>
  <c r="I2064" i="16"/>
  <c r="I2063" i="16"/>
  <c r="I2062" i="16"/>
  <c r="I2061" i="16"/>
  <c r="I2060" i="16"/>
  <c r="I2059" i="16"/>
  <c r="I2058" i="16"/>
  <c r="I2057" i="16"/>
  <c r="I2056" i="16"/>
  <c r="I2055" i="16"/>
  <c r="I2054" i="16"/>
  <c r="I2053" i="16"/>
  <c r="I2052" i="16"/>
  <c r="I2051" i="16"/>
  <c r="I2050" i="16"/>
  <c r="I2049" i="16"/>
  <c r="I2048" i="16"/>
  <c r="I2047" i="16"/>
  <c r="I2046" i="16"/>
  <c r="I2045" i="16"/>
  <c r="I2044" i="16"/>
  <c r="I2043" i="16"/>
  <c r="I2042" i="16"/>
  <c r="I2041" i="16"/>
  <c r="I2040" i="16"/>
  <c r="I2039" i="16"/>
  <c r="I2038" i="16"/>
  <c r="I2037" i="16"/>
  <c r="I2036" i="16"/>
  <c r="I2035" i="16"/>
  <c r="I2034" i="16"/>
  <c r="I2033" i="16"/>
  <c r="I2032" i="16"/>
  <c r="I2031" i="16"/>
  <c r="I2030" i="16"/>
  <c r="I2029" i="16"/>
  <c r="I2028" i="16"/>
  <c r="I2027" i="16"/>
  <c r="I2026" i="16"/>
  <c r="I2025" i="16"/>
  <c r="I2024" i="16"/>
  <c r="I2023" i="16"/>
  <c r="I2022" i="16"/>
  <c r="I2021" i="16"/>
  <c r="I2020" i="16"/>
  <c r="I2019" i="16"/>
  <c r="I2018" i="16"/>
  <c r="I2017" i="16"/>
  <c r="I2016" i="16"/>
  <c r="I2015" i="16"/>
  <c r="I2014" i="16"/>
  <c r="I2013" i="16"/>
  <c r="I2012" i="16"/>
  <c r="I2011" i="16"/>
  <c r="I2010" i="16"/>
  <c r="I2009" i="16"/>
  <c r="I2008" i="16"/>
  <c r="I2007" i="16"/>
  <c r="I2006" i="16"/>
  <c r="I2005" i="16"/>
  <c r="I2004" i="16"/>
  <c r="I2003" i="16"/>
  <c r="I2002" i="16"/>
  <c r="I2001" i="16"/>
  <c r="I2000" i="16"/>
  <c r="I1999" i="16"/>
  <c r="I1998" i="16"/>
  <c r="I1997" i="16"/>
  <c r="I1996" i="16"/>
  <c r="I1995" i="16"/>
  <c r="I1994" i="16"/>
  <c r="I1993" i="16"/>
  <c r="I1992" i="16"/>
  <c r="I1991" i="16"/>
  <c r="I1990" i="16"/>
  <c r="I1989" i="16"/>
  <c r="I1988" i="16"/>
  <c r="I1987" i="16"/>
  <c r="I1986" i="16"/>
  <c r="I1985" i="16"/>
  <c r="I1984" i="16"/>
  <c r="I1983" i="16"/>
  <c r="I1982" i="16"/>
  <c r="I1981" i="16"/>
  <c r="I1980" i="16"/>
  <c r="I1979" i="16"/>
  <c r="I1978" i="16"/>
  <c r="I1977" i="16"/>
  <c r="I1976" i="16"/>
  <c r="I1975" i="16"/>
  <c r="I1974" i="16"/>
  <c r="I1973" i="16"/>
  <c r="I1972" i="16"/>
  <c r="I1971" i="16"/>
  <c r="I1970" i="16"/>
  <c r="I1969" i="16"/>
  <c r="I1968" i="16"/>
  <c r="I1967" i="16"/>
  <c r="I1966" i="16"/>
  <c r="I1965" i="16"/>
  <c r="I1964" i="16"/>
  <c r="I1963" i="16"/>
  <c r="I1962" i="16"/>
  <c r="I1961" i="16"/>
  <c r="I1960" i="16"/>
  <c r="I1959" i="16"/>
  <c r="I1958" i="16"/>
  <c r="I1957" i="16"/>
  <c r="I1956" i="16"/>
  <c r="I1955" i="16"/>
  <c r="I1954" i="16"/>
  <c r="I1953" i="16"/>
  <c r="I1952" i="16"/>
  <c r="I1951" i="16"/>
  <c r="I1950" i="16"/>
  <c r="I1949" i="16"/>
  <c r="I1948" i="16"/>
  <c r="I1947" i="16"/>
  <c r="I1946" i="16"/>
  <c r="I1945" i="16"/>
  <c r="I1944" i="16"/>
  <c r="I1943" i="16"/>
  <c r="I1942" i="16"/>
  <c r="I1941" i="16"/>
  <c r="I1940" i="16"/>
  <c r="I1939" i="16"/>
  <c r="I1938" i="16"/>
  <c r="I1937" i="16"/>
  <c r="I1936" i="16"/>
  <c r="I1935" i="16"/>
  <c r="I1934" i="16"/>
  <c r="I1933" i="16"/>
  <c r="I1932" i="16"/>
  <c r="I1931" i="16"/>
  <c r="I1930" i="16"/>
  <c r="I1929" i="16"/>
  <c r="I1928" i="16"/>
  <c r="I1927" i="16"/>
  <c r="I1926" i="16"/>
  <c r="I1925" i="16"/>
  <c r="I1924" i="16"/>
  <c r="I1923" i="16"/>
  <c r="I1922" i="16"/>
  <c r="I1921" i="16"/>
  <c r="I1920" i="16"/>
  <c r="I1919" i="16"/>
  <c r="I1918" i="16"/>
  <c r="I1917" i="16"/>
  <c r="I1916" i="16"/>
  <c r="I1915" i="16"/>
  <c r="I1914" i="16"/>
  <c r="I1913" i="16"/>
  <c r="I1912" i="16"/>
  <c r="I1911" i="16"/>
  <c r="I1910" i="16"/>
  <c r="I1909" i="16"/>
  <c r="I1908" i="16"/>
  <c r="I1907" i="16"/>
  <c r="I1906" i="16"/>
  <c r="I1905" i="16"/>
  <c r="I1904" i="16"/>
  <c r="I1903" i="16"/>
  <c r="I1902" i="16"/>
  <c r="I1901" i="16"/>
  <c r="I1900" i="16"/>
  <c r="I1899" i="16"/>
  <c r="I1898" i="16"/>
  <c r="I1897" i="16"/>
  <c r="I1896" i="16"/>
  <c r="I1895" i="16"/>
  <c r="I1894" i="16"/>
  <c r="I1893" i="16"/>
  <c r="I1892" i="16"/>
  <c r="I1891" i="16"/>
  <c r="I1890" i="16"/>
  <c r="I1889" i="16"/>
  <c r="I1888" i="16"/>
  <c r="I1887" i="16"/>
  <c r="I1886" i="16"/>
  <c r="I1885" i="16"/>
  <c r="I1884" i="16"/>
  <c r="I1883" i="16"/>
  <c r="I1882" i="16"/>
  <c r="I1881" i="16"/>
  <c r="I1880" i="16"/>
  <c r="I1879" i="16"/>
  <c r="I1878" i="16"/>
  <c r="I1877" i="16"/>
  <c r="I1876" i="16"/>
  <c r="I1875" i="16"/>
  <c r="I1874" i="16"/>
  <c r="I1873" i="16"/>
  <c r="I1872" i="16"/>
  <c r="I1871" i="16"/>
  <c r="I1870" i="16"/>
  <c r="I1869" i="16"/>
  <c r="I1868" i="16"/>
  <c r="I1867" i="16"/>
  <c r="I1866" i="16"/>
  <c r="I1865" i="16"/>
  <c r="I1864" i="16"/>
  <c r="I1863" i="16"/>
  <c r="I1862" i="16"/>
  <c r="I1861" i="16"/>
  <c r="I1860" i="16"/>
  <c r="I1859" i="16"/>
  <c r="I1858" i="16"/>
  <c r="I1857" i="16"/>
  <c r="I1856" i="16"/>
  <c r="I1855" i="16"/>
  <c r="I1854" i="16"/>
  <c r="I1853" i="16"/>
  <c r="I1852" i="16"/>
  <c r="I1851" i="16"/>
  <c r="I1850" i="16"/>
  <c r="I1849" i="16"/>
  <c r="I1848" i="16"/>
  <c r="I1847" i="16"/>
  <c r="I1846" i="16"/>
  <c r="I1845" i="16"/>
  <c r="I1844" i="16"/>
  <c r="I1843" i="16"/>
  <c r="I1842" i="16"/>
  <c r="I1841" i="16"/>
  <c r="I1840" i="16"/>
  <c r="I1839" i="16"/>
  <c r="I1838" i="16"/>
  <c r="I1837" i="16"/>
  <c r="I1836" i="16"/>
  <c r="I1835" i="16"/>
  <c r="I1834" i="16"/>
  <c r="I1833" i="16"/>
  <c r="I1832" i="16"/>
  <c r="I1831" i="16"/>
  <c r="I1830" i="16"/>
  <c r="I1829" i="16"/>
  <c r="I1828" i="16"/>
  <c r="I1827" i="16"/>
  <c r="I1826" i="16"/>
  <c r="I1825" i="16"/>
  <c r="I1824" i="16"/>
  <c r="I1823" i="16"/>
  <c r="I1822" i="16"/>
  <c r="I1821" i="16"/>
  <c r="I1820" i="16"/>
  <c r="I1819" i="16"/>
  <c r="I1818" i="16"/>
  <c r="I1817" i="16"/>
  <c r="I1816" i="16"/>
  <c r="I1815" i="16"/>
  <c r="I1814" i="16"/>
  <c r="I1813" i="16"/>
  <c r="I1812" i="16"/>
  <c r="I1811" i="16"/>
  <c r="I1810" i="16"/>
  <c r="I1809" i="16"/>
  <c r="I1808" i="16"/>
  <c r="I1807" i="16"/>
  <c r="I1806" i="16"/>
  <c r="I1805" i="16"/>
  <c r="I1804" i="16"/>
  <c r="I1803" i="16"/>
  <c r="I1802" i="16"/>
  <c r="I1801" i="16"/>
  <c r="I1800" i="16"/>
  <c r="I1799" i="16"/>
  <c r="I1798" i="16"/>
  <c r="I1797" i="16"/>
  <c r="I1796" i="16"/>
  <c r="I1795" i="16"/>
  <c r="I1794" i="16"/>
  <c r="I1793" i="16"/>
  <c r="I1792" i="16"/>
  <c r="I1791" i="16"/>
  <c r="I1790" i="16"/>
  <c r="I1789" i="16"/>
  <c r="I1788" i="16"/>
  <c r="I1787" i="16"/>
  <c r="I1786" i="16"/>
  <c r="I1785" i="16"/>
  <c r="I1784" i="16"/>
  <c r="I1783" i="16"/>
  <c r="I1782" i="16"/>
  <c r="I1781" i="16"/>
  <c r="I1780" i="16"/>
  <c r="I1779" i="16"/>
  <c r="I1778" i="16"/>
  <c r="I1777" i="16"/>
  <c r="I1776" i="16"/>
  <c r="I1775" i="16"/>
  <c r="I1774" i="16"/>
  <c r="I1773" i="16"/>
  <c r="I1772" i="16"/>
  <c r="I1771" i="16"/>
  <c r="I1770" i="16"/>
  <c r="I1769" i="16"/>
  <c r="I1768" i="16"/>
  <c r="I1767" i="16"/>
  <c r="I1766" i="16"/>
  <c r="I1765" i="16"/>
  <c r="I1764" i="16"/>
  <c r="I1763" i="16"/>
  <c r="I1762" i="16"/>
  <c r="I1761" i="16"/>
  <c r="I1760" i="16"/>
  <c r="I1759" i="16"/>
  <c r="I1758" i="16"/>
  <c r="I1757" i="16"/>
  <c r="I1756" i="16"/>
  <c r="I1755" i="16"/>
  <c r="I1754" i="16"/>
  <c r="I1753" i="16"/>
  <c r="I1752" i="16"/>
  <c r="I1751" i="16"/>
  <c r="I1750" i="16"/>
  <c r="I1749" i="16"/>
  <c r="I1748" i="16"/>
  <c r="I1747" i="16"/>
  <c r="I1746" i="16"/>
  <c r="I1745" i="16"/>
  <c r="I1744" i="16"/>
  <c r="I1743" i="16"/>
  <c r="I1742" i="16"/>
  <c r="I1741" i="16"/>
  <c r="I1740" i="16"/>
  <c r="I1739" i="16"/>
  <c r="I1738" i="16"/>
  <c r="I1737" i="16"/>
  <c r="I1736" i="16"/>
  <c r="I1735" i="16"/>
  <c r="I1734" i="16"/>
  <c r="I1733" i="16"/>
  <c r="I1732" i="16"/>
  <c r="I1731" i="16"/>
  <c r="I1730" i="16"/>
  <c r="I1729" i="16"/>
  <c r="I1728" i="16"/>
  <c r="I1727" i="16"/>
  <c r="I1726" i="16"/>
  <c r="I1725" i="16"/>
  <c r="I1724" i="16"/>
  <c r="I1723" i="16"/>
  <c r="I1722" i="16"/>
  <c r="I1721" i="16"/>
  <c r="I1720" i="16"/>
  <c r="I1719" i="16"/>
  <c r="I1718" i="16"/>
  <c r="I1717" i="16"/>
  <c r="I1716" i="16"/>
  <c r="I1715" i="16"/>
  <c r="I1714" i="16"/>
  <c r="I1713" i="16"/>
  <c r="I1712" i="16"/>
  <c r="I1711" i="16"/>
  <c r="I1710" i="16"/>
  <c r="I1709" i="16"/>
  <c r="I1708" i="16"/>
  <c r="I1707" i="16"/>
  <c r="I1706" i="16"/>
  <c r="I1705" i="16"/>
  <c r="I1704" i="16"/>
  <c r="I1703" i="16"/>
  <c r="I1702" i="16"/>
  <c r="I1701" i="16"/>
  <c r="I1700" i="16"/>
  <c r="I1699" i="16"/>
  <c r="I1698" i="16"/>
  <c r="I1697" i="16"/>
  <c r="I1696" i="16"/>
  <c r="I1695" i="16"/>
  <c r="I1694" i="16"/>
  <c r="I1693" i="16"/>
  <c r="I1692" i="16"/>
  <c r="I1691" i="16"/>
  <c r="I1690" i="16"/>
  <c r="I1689" i="16"/>
  <c r="I1688" i="16"/>
  <c r="I1687" i="16"/>
  <c r="I1686" i="16"/>
  <c r="I1685" i="16"/>
  <c r="I1684" i="16"/>
  <c r="I1683" i="16"/>
  <c r="I1682" i="16"/>
  <c r="I1681" i="16"/>
  <c r="I1680" i="16"/>
  <c r="I1679" i="16"/>
  <c r="I1678" i="16"/>
  <c r="I1677" i="16"/>
  <c r="I1676" i="16"/>
  <c r="I1675" i="16"/>
  <c r="I1674" i="16"/>
  <c r="I1673" i="16"/>
  <c r="I1672" i="16"/>
  <c r="I1671" i="16"/>
  <c r="I1670" i="16"/>
  <c r="I1669" i="16"/>
  <c r="I1668" i="16"/>
  <c r="I1667" i="16"/>
  <c r="I1666" i="16"/>
  <c r="I1665" i="16"/>
  <c r="I1664" i="16"/>
  <c r="I1663" i="16"/>
  <c r="I1662" i="16"/>
  <c r="I1661" i="16"/>
  <c r="I1660" i="16"/>
  <c r="I1659" i="16"/>
  <c r="I1658" i="16"/>
  <c r="I1657" i="16"/>
  <c r="I1656" i="16"/>
  <c r="I1655" i="16"/>
  <c r="I1654" i="16"/>
  <c r="I1653" i="16"/>
  <c r="I1652" i="16"/>
  <c r="I1651" i="16"/>
  <c r="I1650" i="16"/>
  <c r="I1649" i="16"/>
  <c r="I1648" i="16"/>
  <c r="I1647" i="16"/>
  <c r="I1646" i="16"/>
  <c r="I1645" i="16"/>
  <c r="I1644" i="16"/>
  <c r="I1643" i="16"/>
  <c r="I1642" i="16"/>
  <c r="I1641" i="16"/>
  <c r="I1640" i="16"/>
  <c r="I1639" i="16"/>
  <c r="I1638" i="16"/>
  <c r="I1637" i="16"/>
  <c r="I1636" i="16"/>
  <c r="I1635" i="16"/>
  <c r="I1634" i="16"/>
  <c r="I1633" i="16"/>
  <c r="I1632" i="16"/>
  <c r="I1631" i="16"/>
  <c r="I1630" i="16"/>
  <c r="I1629" i="16"/>
  <c r="I1628" i="16"/>
  <c r="I1627" i="16"/>
  <c r="I1626" i="16"/>
  <c r="I1625" i="16"/>
  <c r="I1624" i="16"/>
  <c r="I1623" i="16"/>
  <c r="I1622" i="16"/>
  <c r="I1621" i="16"/>
  <c r="I1620" i="16"/>
  <c r="I1619" i="16"/>
  <c r="I1618" i="16"/>
  <c r="I1617" i="16"/>
  <c r="I1616" i="16"/>
  <c r="I1615" i="16"/>
  <c r="I1614" i="16"/>
  <c r="I1613" i="16"/>
  <c r="I1612" i="16"/>
  <c r="I1611" i="16"/>
  <c r="I1610" i="16"/>
  <c r="I1609" i="16"/>
  <c r="I1608" i="16"/>
  <c r="I1607" i="16"/>
  <c r="I1606" i="16"/>
  <c r="I1605" i="16"/>
  <c r="I1604" i="16"/>
  <c r="I1603" i="16"/>
  <c r="I1602" i="16"/>
  <c r="I1601" i="16"/>
  <c r="I1600" i="16"/>
  <c r="I1599" i="16"/>
  <c r="I1598" i="16"/>
  <c r="I1597" i="16"/>
  <c r="I1596" i="16"/>
  <c r="I1595" i="16"/>
  <c r="I1594" i="16"/>
  <c r="I1593" i="16"/>
  <c r="I1592" i="16"/>
  <c r="I1591" i="16"/>
  <c r="I1590" i="16"/>
  <c r="I1589" i="16"/>
  <c r="I1588" i="16"/>
  <c r="I1587" i="16"/>
  <c r="I1586" i="16"/>
  <c r="I1585" i="16"/>
  <c r="I1584" i="16"/>
  <c r="I1583" i="16"/>
  <c r="I1582" i="16"/>
  <c r="I1581" i="16"/>
  <c r="I1580" i="16"/>
  <c r="I1579" i="16"/>
  <c r="I1578" i="16"/>
  <c r="I1577" i="16"/>
  <c r="I1576" i="16"/>
  <c r="I1575" i="16"/>
  <c r="I1574" i="16"/>
  <c r="I1573" i="16"/>
  <c r="I1572" i="16"/>
  <c r="I1571" i="16"/>
  <c r="I1570" i="16"/>
  <c r="I1569" i="16"/>
  <c r="I1568" i="16"/>
  <c r="I1567" i="16"/>
  <c r="I1566" i="16"/>
  <c r="I1565" i="16"/>
  <c r="I1564" i="16"/>
  <c r="I1563" i="16"/>
  <c r="I1562" i="16"/>
  <c r="I1561" i="16"/>
  <c r="I1560" i="16"/>
  <c r="I1559" i="16"/>
  <c r="I1558" i="16"/>
  <c r="I1557" i="16"/>
  <c r="I1556" i="16"/>
  <c r="I1555" i="16"/>
  <c r="I1554" i="16"/>
  <c r="I1553" i="16"/>
  <c r="I1552" i="16"/>
  <c r="I1551" i="16"/>
  <c r="I1550" i="16"/>
  <c r="I1549" i="16"/>
  <c r="I1548" i="16"/>
  <c r="I1547" i="16"/>
  <c r="I1546" i="16"/>
  <c r="I1545" i="16"/>
  <c r="I1544" i="16"/>
  <c r="I1543" i="16"/>
  <c r="I1542" i="16"/>
  <c r="I1541" i="16"/>
  <c r="I1540" i="16"/>
  <c r="I1539" i="16"/>
  <c r="I1538" i="16"/>
  <c r="I1537" i="16"/>
  <c r="I1536" i="16"/>
  <c r="I1535" i="16"/>
  <c r="I1534" i="16"/>
  <c r="I1533" i="16"/>
  <c r="I1532" i="16"/>
  <c r="I1531" i="16"/>
  <c r="I1530" i="16"/>
  <c r="I1529" i="16"/>
  <c r="I1528" i="16"/>
  <c r="I1527" i="16"/>
  <c r="I1526" i="16"/>
  <c r="I1525" i="16"/>
  <c r="I1524" i="16"/>
  <c r="I1523" i="16"/>
  <c r="I1522" i="16"/>
  <c r="I1521" i="16"/>
  <c r="I1520" i="16"/>
  <c r="I1519" i="16"/>
  <c r="I1518" i="16"/>
  <c r="I1517" i="16"/>
  <c r="I1516" i="16"/>
  <c r="I1515" i="16"/>
  <c r="I1514" i="16"/>
  <c r="I1513" i="16"/>
  <c r="I1512" i="16"/>
  <c r="I1511" i="16"/>
  <c r="I1510" i="16"/>
  <c r="I1509" i="16"/>
  <c r="I1508" i="16"/>
  <c r="I1507" i="16"/>
  <c r="I1506" i="16"/>
  <c r="I1505" i="16"/>
  <c r="I1504" i="16"/>
  <c r="I1503" i="16"/>
  <c r="I1502" i="16"/>
  <c r="I1501" i="16"/>
  <c r="I1500" i="16"/>
  <c r="I1499" i="16"/>
  <c r="I1498" i="16"/>
  <c r="I1497" i="16"/>
  <c r="I1496" i="16"/>
  <c r="I1495" i="16"/>
  <c r="I1494" i="16"/>
  <c r="I1493" i="16"/>
  <c r="I1492" i="16"/>
  <c r="I1491" i="16"/>
  <c r="I1490" i="16"/>
  <c r="I1489" i="16"/>
  <c r="I1488" i="16"/>
  <c r="I1487" i="16"/>
  <c r="I1486" i="16"/>
  <c r="I1485" i="16"/>
  <c r="I1484" i="16"/>
  <c r="I1483" i="16"/>
  <c r="I1482" i="16"/>
  <c r="I1481" i="16"/>
  <c r="I1480" i="16"/>
  <c r="I1479" i="16"/>
  <c r="I1478" i="16"/>
  <c r="I1477" i="16"/>
  <c r="I1476" i="16"/>
  <c r="I1475" i="16"/>
  <c r="I1474" i="16"/>
  <c r="I1473" i="16"/>
  <c r="I1472" i="16"/>
  <c r="I1471" i="16"/>
  <c r="I1470" i="16"/>
  <c r="I1469" i="16"/>
  <c r="I1468" i="16"/>
  <c r="I1467" i="16"/>
  <c r="I1466" i="16"/>
  <c r="I1465" i="16"/>
  <c r="I1464" i="16"/>
  <c r="I1463" i="16"/>
  <c r="I1462" i="16"/>
  <c r="I1461" i="16"/>
  <c r="I1460" i="16"/>
  <c r="I1459" i="16"/>
  <c r="I1458" i="16"/>
  <c r="I1457" i="16"/>
  <c r="I1456" i="16"/>
  <c r="I1455" i="16"/>
  <c r="I1454" i="16"/>
  <c r="I1453" i="16"/>
  <c r="I1452" i="16"/>
  <c r="I1451" i="16"/>
  <c r="I1450" i="16"/>
  <c r="I1449" i="16"/>
  <c r="I1448" i="16"/>
  <c r="I1447" i="16"/>
  <c r="I1446" i="16"/>
  <c r="I1445" i="16"/>
  <c r="I1444" i="16"/>
  <c r="I1443" i="16"/>
  <c r="I1442" i="16"/>
  <c r="I1441" i="16"/>
  <c r="I1440" i="16"/>
  <c r="I1439" i="16"/>
  <c r="I1438" i="16"/>
  <c r="I1437" i="16"/>
  <c r="I1436" i="16"/>
  <c r="I1435" i="16"/>
  <c r="I1434" i="16"/>
  <c r="I1433" i="16"/>
  <c r="I1432" i="16"/>
  <c r="I1431" i="16"/>
  <c r="I1430" i="16"/>
  <c r="I1429" i="16"/>
  <c r="I1428" i="16"/>
  <c r="I1427" i="16"/>
  <c r="I1426" i="16"/>
  <c r="I1425" i="16"/>
  <c r="I1424" i="16"/>
  <c r="I1423" i="16"/>
  <c r="I1422" i="16"/>
  <c r="I1421" i="16"/>
  <c r="I1420" i="16"/>
  <c r="I1419" i="16"/>
  <c r="I1418" i="16"/>
  <c r="I1417" i="16"/>
  <c r="I1416" i="16"/>
  <c r="I1415" i="16"/>
  <c r="I1414" i="16"/>
  <c r="I1413" i="16"/>
  <c r="I1412" i="16"/>
  <c r="I1411" i="16"/>
  <c r="I1410" i="16"/>
  <c r="I1409" i="16"/>
  <c r="I1408" i="16"/>
  <c r="I1407" i="16"/>
  <c r="I1406" i="16"/>
  <c r="I1405" i="16"/>
  <c r="I1404" i="16"/>
  <c r="I1403" i="16"/>
  <c r="I1402" i="16"/>
  <c r="I1401" i="16"/>
  <c r="I1400" i="16"/>
  <c r="I1399" i="16"/>
  <c r="I1398" i="16"/>
  <c r="I1397" i="16"/>
  <c r="I1396" i="16"/>
  <c r="I1395" i="16"/>
  <c r="I1394" i="16"/>
  <c r="I1393" i="16"/>
  <c r="I1392" i="16"/>
  <c r="I1391" i="16"/>
  <c r="I1390" i="16"/>
  <c r="I1389" i="16"/>
  <c r="I1388" i="16"/>
  <c r="I1387" i="16"/>
  <c r="I1386" i="16"/>
  <c r="I1385" i="16"/>
  <c r="I1384" i="16"/>
  <c r="I1383" i="16"/>
  <c r="I1382" i="16"/>
  <c r="I1381" i="16"/>
  <c r="I1380" i="16"/>
  <c r="I1379" i="16"/>
  <c r="I1378" i="16"/>
  <c r="I1377" i="16"/>
  <c r="I1376" i="16"/>
  <c r="I1375" i="16"/>
  <c r="I1374" i="16"/>
  <c r="I1373" i="16"/>
  <c r="I1372" i="16"/>
  <c r="I1371" i="16"/>
  <c r="I1370" i="16"/>
  <c r="I1369" i="16"/>
  <c r="I1368" i="16"/>
  <c r="I1367" i="16"/>
  <c r="I1366" i="16"/>
  <c r="I1365" i="16"/>
  <c r="I1364" i="16"/>
  <c r="I1363" i="16"/>
  <c r="I1362" i="16"/>
  <c r="I1361" i="16"/>
  <c r="I1360" i="16"/>
  <c r="I1359" i="16"/>
  <c r="I1358" i="16"/>
  <c r="I1357" i="16"/>
  <c r="I1356" i="16"/>
  <c r="I1355" i="16"/>
  <c r="I1354" i="16"/>
  <c r="I1353" i="16"/>
  <c r="I1352" i="16"/>
  <c r="I1351" i="16"/>
  <c r="I1350" i="16"/>
  <c r="I1349" i="16"/>
  <c r="I1348" i="16"/>
  <c r="I1347" i="16"/>
  <c r="I1346" i="16"/>
  <c r="I1345" i="16"/>
  <c r="I1344" i="16"/>
  <c r="I1343" i="16"/>
  <c r="I1342" i="16"/>
  <c r="I1341" i="16"/>
  <c r="I1340" i="16"/>
  <c r="I1339" i="16"/>
  <c r="I1338" i="16"/>
  <c r="I1337" i="16"/>
  <c r="I1336" i="16"/>
  <c r="I1335" i="16"/>
  <c r="I1334" i="16"/>
  <c r="I1333" i="16"/>
  <c r="I1332" i="16"/>
  <c r="I1331" i="16"/>
  <c r="I1330" i="16"/>
  <c r="I1329" i="16"/>
  <c r="I1328" i="16"/>
  <c r="I1327" i="16"/>
  <c r="I1326" i="16"/>
  <c r="I1325" i="16"/>
  <c r="I1324" i="16"/>
  <c r="I1323" i="16"/>
  <c r="I1322" i="16"/>
  <c r="I1321" i="16"/>
  <c r="I1320" i="16"/>
  <c r="I1319" i="16"/>
  <c r="I1318" i="16"/>
  <c r="I1317" i="16"/>
  <c r="I1316" i="16"/>
  <c r="I1315" i="16"/>
  <c r="I1314" i="16"/>
  <c r="I1313" i="16"/>
  <c r="I1312" i="16"/>
  <c r="I1311" i="16"/>
  <c r="I1310" i="16"/>
  <c r="I1309" i="16"/>
  <c r="I1308" i="16"/>
  <c r="I1307" i="16"/>
  <c r="I1306" i="16"/>
  <c r="I1305" i="16"/>
  <c r="I1304" i="16"/>
  <c r="I1303" i="16"/>
  <c r="I1302" i="16"/>
  <c r="I1301" i="16"/>
  <c r="I1300" i="16"/>
  <c r="I1299" i="16"/>
  <c r="I1298" i="16"/>
  <c r="I1297" i="16"/>
  <c r="I1296" i="16"/>
  <c r="I1295" i="16"/>
  <c r="I1294" i="16"/>
  <c r="I1293" i="16"/>
  <c r="I1292" i="16"/>
  <c r="I1291" i="16"/>
  <c r="I1290" i="16"/>
  <c r="I1289" i="16"/>
  <c r="I1288" i="16"/>
  <c r="I1287" i="16"/>
  <c r="I1286" i="16"/>
  <c r="I1285" i="16"/>
  <c r="I1284" i="16"/>
  <c r="I1283" i="16"/>
  <c r="I1282" i="16"/>
  <c r="I1281" i="16"/>
  <c r="I1280" i="16"/>
  <c r="I1279" i="16"/>
  <c r="I1278" i="16"/>
  <c r="I1277" i="16"/>
  <c r="I1276" i="16"/>
  <c r="I1275" i="16"/>
  <c r="I1274" i="16"/>
  <c r="I1273" i="16"/>
  <c r="I1272" i="16"/>
  <c r="I1271" i="16"/>
  <c r="I1270" i="16"/>
  <c r="I1269" i="16"/>
  <c r="I1268" i="16"/>
  <c r="I1267" i="16"/>
  <c r="I1266" i="16"/>
  <c r="I1265" i="16"/>
  <c r="I1264" i="16"/>
  <c r="I1263" i="16"/>
  <c r="I1262" i="16"/>
  <c r="I1261" i="16"/>
  <c r="I1260" i="16"/>
  <c r="I1259" i="16"/>
  <c r="I1258" i="16"/>
  <c r="I1257" i="16"/>
  <c r="I1256" i="16"/>
  <c r="I1255" i="16"/>
  <c r="I1254" i="16"/>
  <c r="I1253" i="16"/>
  <c r="I1252" i="16"/>
  <c r="I1251" i="16"/>
  <c r="I1250" i="16"/>
  <c r="I1249" i="16"/>
  <c r="I1248" i="16"/>
  <c r="I1247" i="16"/>
  <c r="I1246" i="16"/>
  <c r="I1245" i="16"/>
  <c r="I1244" i="16"/>
  <c r="I1243" i="16"/>
  <c r="I1242" i="16"/>
  <c r="I1241" i="16"/>
  <c r="I1240" i="16"/>
  <c r="I1239" i="16"/>
  <c r="I1238" i="16"/>
  <c r="I1237" i="16"/>
  <c r="I1236" i="16"/>
  <c r="I1235" i="16"/>
  <c r="I1234" i="16"/>
  <c r="I1233" i="16"/>
  <c r="I1232" i="16"/>
  <c r="I1231" i="16"/>
  <c r="I1230" i="16"/>
  <c r="I1229" i="16"/>
  <c r="I1228" i="16"/>
  <c r="I1227" i="16"/>
  <c r="I1226" i="16"/>
  <c r="I1225" i="16"/>
  <c r="I1224" i="16"/>
  <c r="I1223" i="16"/>
  <c r="I1222" i="16"/>
  <c r="I1221" i="16"/>
  <c r="I1220" i="16"/>
  <c r="I1219" i="16"/>
  <c r="I1218" i="16"/>
  <c r="I1217" i="16"/>
  <c r="I1216" i="16"/>
  <c r="I1215" i="16"/>
  <c r="I1214" i="16"/>
  <c r="I1213" i="16"/>
  <c r="I1212" i="16"/>
  <c r="I1211" i="16"/>
  <c r="I1210" i="16"/>
  <c r="I1209" i="16"/>
  <c r="I1208" i="16"/>
  <c r="I1207" i="16"/>
  <c r="I1206" i="16"/>
  <c r="I1205" i="16"/>
  <c r="I1204" i="16"/>
  <c r="I1203" i="16"/>
  <c r="I1202" i="16"/>
  <c r="I1201" i="16"/>
  <c r="I1200" i="16"/>
  <c r="I1199" i="16"/>
  <c r="I1198" i="16"/>
  <c r="I1197" i="16"/>
  <c r="I1196" i="16"/>
  <c r="I1195" i="16"/>
  <c r="I1194" i="16"/>
  <c r="I1193" i="16"/>
  <c r="I1192" i="16"/>
  <c r="I1191" i="16"/>
  <c r="I1190" i="16"/>
  <c r="I1189" i="16"/>
  <c r="I1188" i="16"/>
  <c r="I1187" i="16"/>
  <c r="I1186" i="16"/>
  <c r="I1185" i="16"/>
  <c r="I1184" i="16"/>
  <c r="I1183" i="16"/>
  <c r="I1182" i="16"/>
  <c r="I1181" i="16"/>
  <c r="I1180" i="16"/>
  <c r="I1179" i="16"/>
  <c r="I1178" i="16"/>
  <c r="I1177" i="16"/>
  <c r="I1176" i="16"/>
  <c r="I1175" i="16"/>
  <c r="I1174" i="16"/>
  <c r="I1173" i="16"/>
  <c r="I1172" i="16"/>
  <c r="I1171" i="16"/>
  <c r="I1170" i="16"/>
  <c r="I1169" i="16"/>
  <c r="I1168" i="16"/>
  <c r="I1167" i="16"/>
  <c r="I1166" i="16"/>
  <c r="I1165" i="16"/>
  <c r="I1164" i="16"/>
  <c r="I1163" i="16"/>
  <c r="I1162" i="16"/>
  <c r="I1161" i="16"/>
  <c r="I1160" i="16"/>
  <c r="I1159" i="16"/>
  <c r="I1158" i="16"/>
  <c r="I1157" i="16"/>
  <c r="I1156" i="16"/>
  <c r="I1155" i="16"/>
  <c r="I1154" i="16"/>
  <c r="I1153" i="16"/>
  <c r="I1152" i="16"/>
  <c r="I1151" i="16"/>
  <c r="I1150" i="16"/>
  <c r="I1149" i="16"/>
  <c r="I1148" i="16"/>
  <c r="I1147" i="16"/>
  <c r="I1146" i="16"/>
  <c r="I1145" i="16"/>
  <c r="I1144" i="16"/>
  <c r="I1143" i="16"/>
  <c r="I1142" i="16"/>
  <c r="I1141" i="16"/>
  <c r="I1140" i="16"/>
  <c r="I1139" i="16"/>
  <c r="I1138" i="16"/>
  <c r="I1137" i="16"/>
  <c r="I1136" i="16"/>
  <c r="I1135" i="16"/>
  <c r="I1134" i="16"/>
  <c r="I1133" i="16"/>
  <c r="I1132" i="16"/>
  <c r="I1131" i="16"/>
  <c r="I1130" i="16"/>
  <c r="I1129" i="16"/>
  <c r="I1128" i="16"/>
  <c r="I1127" i="16"/>
  <c r="I1126" i="16"/>
  <c r="I1125" i="16"/>
  <c r="I1124" i="16"/>
  <c r="I1123" i="16"/>
  <c r="I1122" i="16"/>
  <c r="I1121" i="16"/>
  <c r="I1120" i="16"/>
  <c r="I1119" i="16"/>
  <c r="I1118" i="16"/>
  <c r="I1117" i="16"/>
  <c r="I1116" i="16"/>
  <c r="I1115" i="16"/>
  <c r="I1114" i="16"/>
  <c r="I1113" i="16"/>
  <c r="I1112" i="16"/>
  <c r="I1111" i="16"/>
  <c r="I1110" i="16"/>
  <c r="I1109" i="16"/>
  <c r="I1108" i="16"/>
  <c r="I1107" i="16"/>
  <c r="I1106" i="16"/>
  <c r="I1105" i="16"/>
  <c r="I1104" i="16"/>
  <c r="I1103" i="16"/>
  <c r="I1102" i="16"/>
  <c r="I1101" i="16"/>
  <c r="I1100" i="16"/>
  <c r="I1099" i="16"/>
  <c r="I1098" i="16"/>
  <c r="I1097" i="16"/>
  <c r="I1096" i="16"/>
  <c r="I1095" i="16"/>
  <c r="I1094" i="16"/>
  <c r="I1093" i="16"/>
  <c r="I1092" i="16"/>
  <c r="I1091" i="16"/>
  <c r="I1090" i="16"/>
  <c r="I1089" i="16"/>
  <c r="I1088" i="16"/>
  <c r="I1087" i="16"/>
  <c r="I1086" i="16"/>
  <c r="I1085" i="16"/>
  <c r="I1084" i="16"/>
  <c r="I1083" i="16"/>
  <c r="I1082" i="16"/>
  <c r="I1081" i="16"/>
  <c r="I1080" i="16"/>
  <c r="I1079" i="16"/>
  <c r="I1078" i="16"/>
  <c r="I1077" i="16"/>
  <c r="I1076" i="16"/>
  <c r="I1075" i="16"/>
  <c r="I1074" i="16"/>
  <c r="I1073" i="16"/>
  <c r="I1072" i="16"/>
  <c r="I1071" i="16"/>
  <c r="I1070" i="16"/>
  <c r="I1069" i="16"/>
  <c r="I1068" i="16"/>
  <c r="I1067" i="16"/>
  <c r="I1066" i="16"/>
  <c r="I1065" i="16"/>
  <c r="I1064" i="16"/>
  <c r="I1063" i="16"/>
  <c r="I1062" i="16"/>
  <c r="I1061" i="16"/>
  <c r="I1060" i="16"/>
  <c r="I1059" i="16"/>
  <c r="I1058" i="16"/>
  <c r="I1057" i="16"/>
  <c r="I1056" i="16"/>
  <c r="I1055" i="16"/>
  <c r="I1054" i="16"/>
  <c r="I1053" i="16"/>
  <c r="I1052" i="16"/>
  <c r="I1051" i="16"/>
  <c r="I1050" i="16"/>
  <c r="I1049" i="16"/>
  <c r="I1048" i="16"/>
  <c r="I1047" i="16"/>
  <c r="I1046" i="16"/>
  <c r="I1045" i="16"/>
  <c r="I1044" i="16"/>
  <c r="I1043" i="16"/>
  <c r="I1042" i="16"/>
  <c r="I1041" i="16"/>
  <c r="I1040" i="16"/>
  <c r="I1039" i="16"/>
  <c r="I1038" i="16"/>
  <c r="I1037" i="16"/>
  <c r="I1036" i="16"/>
  <c r="I1035" i="16"/>
  <c r="I1034" i="16"/>
  <c r="I1033" i="16"/>
  <c r="I1032" i="16"/>
  <c r="I1031" i="16"/>
  <c r="I1030" i="16"/>
  <c r="I1029" i="16"/>
  <c r="I1028" i="16"/>
  <c r="I1027" i="16"/>
  <c r="I1026" i="16"/>
  <c r="I1025" i="16"/>
  <c r="I1024" i="16"/>
  <c r="I1023" i="16"/>
  <c r="I1022" i="16"/>
  <c r="I1021" i="16"/>
  <c r="I1020" i="16"/>
  <c r="I1019" i="16"/>
  <c r="I1018" i="16"/>
  <c r="I1017" i="16"/>
  <c r="I1016" i="16"/>
  <c r="I1015" i="16"/>
  <c r="I1014" i="16"/>
  <c r="I1013" i="16"/>
  <c r="I1012" i="16"/>
  <c r="I1011" i="16"/>
  <c r="I1010" i="16"/>
  <c r="I1009" i="16"/>
  <c r="I1008" i="16"/>
  <c r="I1007" i="16"/>
  <c r="I1006" i="16"/>
  <c r="I1005" i="16"/>
  <c r="I1004" i="16"/>
  <c r="I1003" i="16"/>
  <c r="I1002" i="16"/>
  <c r="I1001" i="16"/>
  <c r="I1000" i="16"/>
  <c r="I999" i="16"/>
  <c r="I998" i="16"/>
  <c r="I997" i="16"/>
  <c r="I996" i="16"/>
  <c r="I995" i="16"/>
  <c r="I994" i="16"/>
  <c r="I993" i="16"/>
  <c r="I992" i="16"/>
  <c r="I991" i="16"/>
  <c r="I990" i="16"/>
  <c r="I989" i="16"/>
  <c r="I988" i="16"/>
  <c r="I987" i="16"/>
  <c r="I986" i="16"/>
  <c r="I985" i="16"/>
  <c r="I984" i="16"/>
  <c r="I983" i="16"/>
  <c r="I982" i="16"/>
  <c r="I981" i="16"/>
  <c r="I980" i="16"/>
  <c r="I979" i="16"/>
  <c r="I978" i="16"/>
  <c r="I977" i="16"/>
  <c r="I976" i="16"/>
  <c r="I975" i="16"/>
  <c r="I974" i="16"/>
  <c r="I973" i="16"/>
  <c r="I972" i="16"/>
  <c r="I971" i="16"/>
  <c r="I970" i="16"/>
  <c r="I969" i="16"/>
  <c r="I968" i="16"/>
  <c r="I967" i="16"/>
  <c r="I966" i="16"/>
  <c r="I965" i="16"/>
  <c r="I964" i="16"/>
  <c r="I963" i="16"/>
  <c r="I962" i="16"/>
  <c r="I961" i="16"/>
  <c r="I960" i="16"/>
  <c r="I959" i="16"/>
  <c r="I958" i="16"/>
  <c r="I957" i="16"/>
  <c r="I956" i="16"/>
  <c r="I955" i="16"/>
  <c r="I954" i="16"/>
  <c r="I953" i="16"/>
  <c r="I952" i="16"/>
  <c r="I951" i="16"/>
  <c r="I950" i="16"/>
  <c r="I949" i="16"/>
  <c r="I948" i="16"/>
  <c r="I947" i="16"/>
  <c r="I946" i="16"/>
  <c r="I945" i="16"/>
  <c r="I944" i="16"/>
  <c r="I943" i="16"/>
  <c r="I942" i="16"/>
  <c r="I941" i="16"/>
  <c r="I940" i="16"/>
  <c r="I939" i="16"/>
  <c r="I938" i="16"/>
  <c r="I937" i="16"/>
  <c r="I936" i="16"/>
  <c r="I935" i="16"/>
  <c r="I934" i="16"/>
  <c r="I933" i="16"/>
  <c r="I932" i="16"/>
  <c r="I931" i="16"/>
  <c r="I930" i="16"/>
  <c r="I929" i="16"/>
  <c r="I928" i="16"/>
  <c r="I927" i="16"/>
  <c r="I926" i="16"/>
  <c r="I925" i="16"/>
  <c r="I924" i="16"/>
  <c r="I923" i="16"/>
  <c r="I922" i="16"/>
  <c r="I921" i="16"/>
  <c r="I920" i="16"/>
  <c r="I919" i="16"/>
  <c r="I918" i="16"/>
  <c r="I917" i="16"/>
  <c r="I916" i="16"/>
  <c r="I915" i="16"/>
  <c r="I914" i="16"/>
  <c r="I913" i="16"/>
  <c r="I912" i="16"/>
  <c r="I911" i="16"/>
  <c r="I910" i="16"/>
  <c r="I909" i="16"/>
  <c r="I908" i="16"/>
  <c r="I907" i="16"/>
  <c r="I906" i="16"/>
  <c r="I905" i="16"/>
  <c r="I904" i="16"/>
  <c r="I903" i="16"/>
  <c r="I902" i="16"/>
  <c r="I901" i="16"/>
  <c r="I900" i="16"/>
  <c r="I899" i="16"/>
  <c r="I898" i="16"/>
  <c r="I897" i="16"/>
  <c r="I896" i="16"/>
  <c r="I895" i="16"/>
  <c r="I894" i="16"/>
  <c r="I893" i="16"/>
  <c r="I892" i="16"/>
  <c r="I891" i="16"/>
  <c r="I890" i="16"/>
  <c r="I889" i="16"/>
  <c r="I888" i="16"/>
  <c r="I887" i="16"/>
  <c r="I886" i="16"/>
  <c r="I885" i="16"/>
  <c r="I884" i="16"/>
  <c r="I883" i="16"/>
  <c r="I882" i="16"/>
  <c r="I881" i="16"/>
  <c r="I880" i="16"/>
  <c r="I879" i="16"/>
  <c r="I878" i="16"/>
  <c r="I877" i="16"/>
  <c r="I876" i="16"/>
  <c r="I875" i="16"/>
  <c r="I874" i="16"/>
  <c r="I873" i="16"/>
  <c r="I872" i="16"/>
  <c r="I871" i="16"/>
  <c r="I870" i="16"/>
  <c r="I869" i="16"/>
  <c r="I868" i="16"/>
  <c r="I867" i="16"/>
  <c r="I866" i="16"/>
  <c r="I865" i="16"/>
  <c r="I864" i="16"/>
  <c r="I863" i="16"/>
  <c r="I862" i="16"/>
  <c r="I861" i="16"/>
  <c r="I860" i="16"/>
  <c r="I859" i="16"/>
  <c r="I858" i="16"/>
  <c r="I857" i="16"/>
  <c r="I856" i="16"/>
  <c r="I855" i="16"/>
  <c r="I854" i="16"/>
  <c r="I853" i="16"/>
  <c r="I852" i="16"/>
  <c r="I851" i="16"/>
  <c r="I850" i="16"/>
  <c r="I849" i="16"/>
  <c r="I848" i="16"/>
  <c r="I847" i="16"/>
  <c r="I846" i="16"/>
  <c r="I845" i="16"/>
  <c r="I844" i="16"/>
  <c r="I843" i="16"/>
  <c r="I842" i="16"/>
  <c r="I841" i="16"/>
  <c r="I840" i="16"/>
  <c r="I839" i="16"/>
  <c r="I838" i="16"/>
  <c r="I837" i="16"/>
  <c r="I836" i="16"/>
  <c r="I835" i="16"/>
  <c r="I834" i="16"/>
  <c r="I833" i="16"/>
  <c r="I832" i="16"/>
  <c r="I831" i="16"/>
  <c r="I830" i="16"/>
  <c r="I829" i="16"/>
  <c r="I828" i="16"/>
  <c r="I827" i="16"/>
  <c r="I826" i="16"/>
  <c r="I825" i="16"/>
  <c r="I824" i="16"/>
  <c r="I823" i="16"/>
  <c r="I822" i="16"/>
  <c r="I821" i="16"/>
  <c r="I820" i="16"/>
  <c r="I819" i="16"/>
  <c r="I818" i="16"/>
  <c r="I817" i="16"/>
  <c r="I816" i="16"/>
  <c r="I815" i="16"/>
  <c r="I814" i="16"/>
  <c r="I813" i="16"/>
  <c r="I812" i="16"/>
  <c r="I811" i="16"/>
  <c r="I810" i="16"/>
  <c r="I809" i="16"/>
  <c r="I808" i="16"/>
  <c r="I807" i="16"/>
  <c r="I806" i="16"/>
  <c r="I805" i="16"/>
  <c r="I804" i="16"/>
  <c r="I803" i="16"/>
  <c r="I802" i="16"/>
  <c r="I801" i="16"/>
  <c r="I800" i="16"/>
  <c r="I799" i="16"/>
  <c r="I798" i="16"/>
  <c r="I797" i="16"/>
  <c r="I796" i="16"/>
  <c r="I795" i="16"/>
  <c r="I794" i="16"/>
  <c r="I793" i="16"/>
  <c r="I792" i="16"/>
  <c r="I791" i="16"/>
  <c r="I790" i="16"/>
  <c r="I789" i="16"/>
  <c r="I788" i="16"/>
  <c r="I787" i="16"/>
  <c r="I786" i="16"/>
  <c r="I785" i="16"/>
  <c r="I784" i="16"/>
  <c r="I783" i="16"/>
  <c r="I782" i="16"/>
  <c r="I781" i="16"/>
  <c r="I780" i="16"/>
  <c r="I779" i="16"/>
  <c r="I778" i="16"/>
  <c r="I777" i="16"/>
  <c r="I776" i="16"/>
  <c r="I775" i="16"/>
  <c r="I774" i="16"/>
  <c r="I773" i="16"/>
  <c r="I772" i="16"/>
  <c r="I771" i="16"/>
  <c r="I770" i="16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I757" i="16"/>
  <c r="I756" i="16"/>
  <c r="I755" i="16"/>
  <c r="I754" i="16"/>
  <c r="I753" i="16"/>
  <c r="I752" i="16"/>
  <c r="I751" i="16"/>
  <c r="I750" i="16"/>
  <c r="I749" i="16"/>
  <c r="I748" i="16"/>
  <c r="I747" i="16"/>
  <c r="I746" i="16"/>
  <c r="I745" i="16"/>
  <c r="I744" i="16"/>
  <c r="I743" i="16"/>
  <c r="I742" i="16"/>
  <c r="I741" i="16"/>
  <c r="I740" i="16"/>
  <c r="I739" i="16"/>
  <c r="I738" i="16"/>
  <c r="I737" i="16"/>
  <c r="I736" i="16"/>
  <c r="I735" i="16"/>
  <c r="I734" i="16"/>
  <c r="I733" i="16"/>
  <c r="I732" i="16"/>
  <c r="I731" i="16"/>
  <c r="I730" i="16"/>
  <c r="I729" i="16"/>
  <c r="I728" i="16"/>
  <c r="I727" i="16"/>
  <c r="I726" i="16"/>
  <c r="I725" i="16"/>
  <c r="I724" i="16"/>
  <c r="I723" i="16"/>
  <c r="I722" i="16"/>
  <c r="I721" i="16"/>
  <c r="I720" i="16"/>
  <c r="I719" i="16"/>
  <c r="I718" i="16"/>
  <c r="I717" i="16"/>
  <c r="I716" i="16"/>
  <c r="I715" i="16"/>
  <c r="I714" i="16"/>
  <c r="I713" i="16"/>
  <c r="I712" i="16"/>
  <c r="I711" i="16"/>
  <c r="I710" i="16"/>
  <c r="I709" i="16"/>
  <c r="I708" i="16"/>
  <c r="I707" i="16"/>
  <c r="I706" i="16"/>
  <c r="I705" i="16"/>
  <c r="I704" i="16"/>
  <c r="I703" i="16"/>
  <c r="I702" i="16"/>
  <c r="I701" i="16"/>
  <c r="I700" i="16"/>
  <c r="I699" i="16"/>
  <c r="I698" i="16"/>
  <c r="I697" i="16"/>
  <c r="I696" i="16"/>
  <c r="I695" i="16"/>
  <c r="I694" i="16"/>
  <c r="I693" i="16"/>
  <c r="I692" i="16"/>
  <c r="I691" i="16"/>
  <c r="I690" i="16"/>
  <c r="I689" i="16"/>
  <c r="I688" i="16"/>
  <c r="I687" i="16"/>
  <c r="I686" i="16"/>
  <c r="I685" i="16"/>
  <c r="I684" i="16"/>
  <c r="I683" i="16"/>
  <c r="I682" i="16"/>
  <c r="I681" i="16"/>
  <c r="I680" i="16"/>
  <c r="I679" i="16"/>
  <c r="I678" i="16"/>
  <c r="I677" i="16"/>
  <c r="I676" i="16"/>
  <c r="I675" i="16"/>
  <c r="I674" i="16"/>
  <c r="I673" i="16"/>
  <c r="I672" i="16"/>
  <c r="I671" i="16"/>
  <c r="I670" i="16"/>
  <c r="I669" i="16"/>
  <c r="I668" i="16"/>
  <c r="I667" i="16"/>
  <c r="I666" i="16"/>
  <c r="I665" i="16"/>
  <c r="I664" i="16"/>
  <c r="I663" i="16"/>
  <c r="I662" i="16"/>
  <c r="I661" i="16"/>
  <c r="I660" i="16"/>
  <c r="I659" i="16"/>
  <c r="I658" i="16"/>
  <c r="I657" i="16"/>
  <c r="I656" i="16"/>
  <c r="I655" i="16"/>
  <c r="I654" i="16"/>
  <c r="I653" i="16"/>
  <c r="I652" i="16"/>
  <c r="I651" i="16"/>
  <c r="I650" i="16"/>
  <c r="I649" i="16"/>
  <c r="I648" i="16"/>
  <c r="I647" i="16"/>
  <c r="I646" i="16"/>
  <c r="I645" i="16"/>
  <c r="I644" i="16"/>
  <c r="I643" i="16"/>
  <c r="I642" i="16"/>
  <c r="I641" i="16"/>
  <c r="I640" i="16"/>
  <c r="I639" i="16"/>
  <c r="I638" i="16"/>
  <c r="I637" i="16"/>
  <c r="I636" i="16"/>
  <c r="I635" i="16"/>
  <c r="I634" i="16"/>
  <c r="I633" i="16"/>
  <c r="I632" i="16"/>
  <c r="I631" i="16"/>
  <c r="I630" i="16"/>
  <c r="I629" i="16"/>
  <c r="I628" i="16"/>
  <c r="I627" i="16"/>
  <c r="I626" i="16"/>
  <c r="I625" i="16"/>
  <c r="I624" i="16"/>
  <c r="I623" i="16"/>
  <c r="I622" i="16"/>
  <c r="I621" i="16"/>
  <c r="I620" i="16"/>
  <c r="I619" i="16"/>
  <c r="I618" i="16"/>
  <c r="I617" i="16"/>
  <c r="I616" i="16"/>
  <c r="I615" i="16"/>
  <c r="I614" i="16"/>
  <c r="I613" i="16"/>
  <c r="I612" i="16"/>
  <c r="I611" i="16"/>
  <c r="I610" i="16"/>
  <c r="I609" i="16"/>
  <c r="I608" i="16"/>
  <c r="I607" i="16"/>
  <c r="I606" i="16"/>
  <c r="I605" i="16"/>
  <c r="I604" i="16"/>
  <c r="I603" i="16"/>
  <c r="I602" i="16"/>
  <c r="I601" i="16"/>
  <c r="I600" i="16"/>
  <c r="I599" i="16"/>
  <c r="I598" i="16"/>
  <c r="I597" i="16"/>
  <c r="I596" i="16"/>
  <c r="I595" i="16"/>
  <c r="I594" i="16"/>
  <c r="I593" i="16"/>
  <c r="I592" i="16"/>
  <c r="I591" i="16"/>
  <c r="I590" i="16"/>
  <c r="I589" i="16"/>
  <c r="I588" i="16"/>
  <c r="I587" i="16"/>
  <c r="I586" i="16"/>
  <c r="I585" i="16"/>
  <c r="I584" i="16"/>
  <c r="I583" i="16"/>
  <c r="I582" i="16"/>
  <c r="I581" i="16"/>
  <c r="I580" i="16"/>
  <c r="I579" i="16"/>
  <c r="I578" i="16"/>
  <c r="I577" i="16"/>
  <c r="I576" i="16"/>
  <c r="I575" i="16"/>
  <c r="I574" i="16"/>
  <c r="I573" i="16"/>
  <c r="I572" i="16"/>
  <c r="I571" i="16"/>
  <c r="I570" i="16"/>
  <c r="I569" i="16"/>
  <c r="I568" i="16"/>
  <c r="I567" i="16"/>
  <c r="I566" i="16"/>
  <c r="I565" i="16"/>
  <c r="I564" i="16"/>
  <c r="I563" i="16"/>
  <c r="I562" i="16"/>
  <c r="I561" i="16"/>
  <c r="I560" i="16"/>
  <c r="I559" i="16"/>
  <c r="I558" i="16"/>
  <c r="I557" i="16"/>
  <c r="I55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7" i="16"/>
  <c r="I526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62" i="16"/>
  <c r="I461" i="16"/>
  <c r="I460" i="16"/>
  <c r="I459" i="16"/>
  <c r="I458" i="16"/>
  <c r="I457" i="16"/>
  <c r="I456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5" i="16"/>
  <c r="I284" i="16"/>
  <c r="I283" i="16"/>
  <c r="I282" i="16"/>
  <c r="I281" i="16"/>
  <c r="I280" i="16"/>
  <c r="I279" i="16"/>
  <c r="I278" i="16"/>
  <c r="I277" i="16"/>
  <c r="I276" i="16"/>
  <c r="I275" i="16"/>
  <c r="I274" i="16"/>
  <c r="I273" i="16"/>
  <c r="I272" i="16"/>
  <c r="I271" i="16"/>
  <c r="I270" i="16"/>
  <c r="I269" i="16"/>
  <c r="I268" i="16"/>
  <c r="I267" i="16"/>
  <c r="I266" i="16"/>
  <c r="I265" i="16"/>
  <c r="I264" i="16"/>
  <c r="I263" i="16"/>
  <c r="I262" i="16"/>
  <c r="I261" i="16"/>
  <c r="I260" i="16"/>
  <c r="I259" i="16"/>
  <c r="I258" i="16"/>
  <c r="I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10" i="13"/>
  <c r="H423" i="17"/>
  <c r="H723" i="17"/>
  <c r="H724" i="17"/>
  <c r="H810" i="17"/>
  <c r="H830" i="17"/>
  <c r="H832" i="17"/>
  <c r="H837" i="17"/>
  <c r="H838" i="17"/>
  <c r="H840" i="17"/>
  <c r="H842" i="17"/>
  <c r="H843" i="17"/>
  <c r="H844" i="17"/>
  <c r="H847" i="17"/>
  <c r="H850" i="17"/>
  <c r="H852" i="17"/>
  <c r="H854" i="17"/>
  <c r="H855" i="17"/>
  <c r="H1073" i="17"/>
  <c r="H1111" i="17"/>
  <c r="H1437" i="17"/>
  <c r="H1612" i="17"/>
  <c r="H1613" i="17"/>
  <c r="H1615" i="17"/>
  <c r="H1616" i="17"/>
  <c r="H1620" i="17"/>
  <c r="H2060" i="17"/>
  <c r="H2069" i="17"/>
  <c r="H2077" i="17"/>
  <c r="H2078" i="17"/>
  <c r="H2211" i="17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H1" i="6"/>
  <c r="E16" i="13"/>
  <c r="N832" i="16" l="1"/>
  <c r="AF838" i="6" s="1"/>
  <c r="N1598" i="16"/>
  <c r="AF1604" i="6" s="1"/>
  <c r="N833" i="16"/>
  <c r="AF839" i="6" s="1"/>
  <c r="N1599" i="16"/>
  <c r="AF1605" i="6" s="1"/>
  <c r="N856" i="16"/>
  <c r="AF862" i="6" s="1"/>
  <c r="N1597" i="16"/>
  <c r="AF1603" i="6" s="1"/>
  <c r="N1109" i="16"/>
  <c r="AF1115" i="6" s="1"/>
  <c r="N723" i="16"/>
  <c r="AF729" i="6" s="1"/>
  <c r="N841" i="16"/>
  <c r="AF847" i="6" s="1"/>
  <c r="N811" i="16"/>
  <c r="AF817" i="6" s="1"/>
  <c r="N722" i="16"/>
  <c r="AF728" i="6" s="1"/>
  <c r="N834" i="16"/>
  <c r="AF840" i="6" s="1"/>
  <c r="N424" i="16"/>
  <c r="AF430" i="6" s="1"/>
  <c r="N1071" i="16"/>
  <c r="AF1077" i="6" s="1"/>
  <c r="N837" i="16"/>
  <c r="AF843" i="6" s="1"/>
  <c r="N842" i="16"/>
  <c r="AF848" i="6" s="1"/>
  <c r="N2048" i="16"/>
  <c r="AF2054" i="6" s="1"/>
  <c r="N851" i="16"/>
  <c r="AF857" i="6" s="1"/>
  <c r="N844" i="16"/>
  <c r="AF850" i="6" s="1"/>
  <c r="N2053" i="16"/>
  <c r="AF2059" i="6" s="1"/>
  <c r="N845" i="16"/>
  <c r="AF851" i="6" s="1"/>
  <c r="N854" i="16"/>
  <c r="AF860" i="6" s="1"/>
  <c r="N2201" i="16"/>
  <c r="AF2207" i="6" s="1"/>
  <c r="N2057" i="16"/>
  <c r="AF2063" i="6" s="1"/>
  <c r="N828" i="16"/>
  <c r="AF834" i="6" s="1"/>
  <c r="N1602" i="16"/>
  <c r="AF1608" i="6" s="1"/>
  <c r="N2024" i="16"/>
  <c r="AF2030" i="6" s="1"/>
  <c r="N1609" i="16"/>
  <c r="AF1615" i="6" s="1"/>
  <c r="N848" i="16"/>
  <c r="AF854" i="6" s="1"/>
  <c r="I2" i="16"/>
  <c r="D1" i="17"/>
  <c r="E1" i="17" s="1"/>
  <c r="F1" i="17" s="1"/>
  <c r="G1" i="17" s="1"/>
  <c r="H1" i="17" s="1"/>
  <c r="G847" i="6" l="1"/>
  <c r="G9" i="6"/>
  <c r="G1" i="6"/>
  <c r="D16" i="13"/>
  <c r="B1" i="12"/>
  <c r="C1" i="12" s="1"/>
  <c r="D1" i="12" s="1"/>
  <c r="E1" i="12" s="1"/>
  <c r="F1" i="12" s="1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AA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B1" i="19"/>
  <c r="A1" i="19"/>
  <c r="H9" i="6" l="1"/>
  <c r="F9" i="6"/>
  <c r="E9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J2320" i="16"/>
  <c r="M2324" i="16" l="1"/>
  <c r="M2337" i="16"/>
  <c r="M2338" i="16"/>
  <c r="M2343" i="16"/>
  <c r="M2346" i="16"/>
  <c r="M2344" i="16"/>
  <c r="M2353" i="16"/>
  <c r="M2355" i="16"/>
  <c r="M2348" i="16"/>
  <c r="M2354" i="16"/>
  <c r="M2356" i="16"/>
  <c r="M2351" i="16"/>
  <c r="M2347" i="16"/>
  <c r="M2350" i="16"/>
  <c r="M2349" i="16"/>
  <c r="M2352" i="16"/>
  <c r="M2358" i="16"/>
  <c r="M2357" i="16"/>
  <c r="M2359" i="16"/>
  <c r="M2360" i="16"/>
  <c r="M9" i="16"/>
  <c r="M13" i="16"/>
  <c r="M11" i="16"/>
  <c r="M10" i="16"/>
  <c r="M5" i="16"/>
  <c r="M4" i="16"/>
  <c r="M6" i="16"/>
  <c r="M8" i="16"/>
  <c r="M12" i="16"/>
  <c r="M15" i="16"/>
  <c r="M16" i="16"/>
  <c r="M17" i="16"/>
  <c r="M18" i="16"/>
  <c r="M19" i="16"/>
  <c r="M24" i="16"/>
  <c r="M21" i="16"/>
  <c r="M22" i="16"/>
  <c r="M20" i="16"/>
  <c r="M25" i="16"/>
  <c r="M23" i="16"/>
  <c r="M27" i="16"/>
  <c r="M35" i="16"/>
  <c r="M31" i="16"/>
  <c r="M34" i="16"/>
  <c r="M32" i="16"/>
  <c r="M33" i="16"/>
  <c r="M28" i="16"/>
  <c r="M29" i="16"/>
  <c r="M26" i="16"/>
  <c r="M30" i="16"/>
  <c r="M37" i="16"/>
  <c r="M36" i="16"/>
  <c r="M50" i="16"/>
  <c r="M59" i="16"/>
  <c r="M57" i="16"/>
  <c r="M56" i="16"/>
  <c r="M42" i="16"/>
  <c r="M60" i="16"/>
  <c r="M39" i="16"/>
  <c r="M46" i="16"/>
  <c r="M43" i="16"/>
  <c r="M49" i="16"/>
  <c r="M48" i="16"/>
  <c r="M52" i="16"/>
  <c r="M54" i="16"/>
  <c r="M51" i="16"/>
  <c r="M58" i="16"/>
  <c r="M47" i="16"/>
  <c r="M55" i="16"/>
  <c r="M44" i="16"/>
  <c r="M45" i="16"/>
  <c r="M53" i="16"/>
  <c r="M40" i="16"/>
  <c r="M38" i="16"/>
  <c r="M41" i="16"/>
  <c r="M66" i="16"/>
  <c r="M65" i="16"/>
  <c r="M68" i="16"/>
  <c r="M67" i="16"/>
  <c r="M64" i="16"/>
  <c r="M63" i="16"/>
  <c r="M62" i="16"/>
  <c r="M69" i="16"/>
  <c r="M71" i="16"/>
  <c r="M70" i="16"/>
  <c r="M75" i="16"/>
  <c r="M74" i="16"/>
  <c r="M72" i="16"/>
  <c r="M83" i="16"/>
  <c r="M89" i="16"/>
  <c r="M85" i="16"/>
  <c r="M86" i="16"/>
  <c r="M91" i="16"/>
  <c r="M77" i="16"/>
  <c r="M73" i="16"/>
  <c r="M78" i="16"/>
  <c r="M82" i="16"/>
  <c r="M90" i="16"/>
  <c r="M80" i="16"/>
  <c r="M79" i="16"/>
  <c r="M81" i="16"/>
  <c r="M84" i="16"/>
  <c r="M87" i="16"/>
  <c r="M88" i="16"/>
  <c r="M76" i="16"/>
  <c r="M113" i="16"/>
  <c r="M118" i="16"/>
  <c r="M92" i="16"/>
  <c r="M115" i="16"/>
  <c r="M116" i="16"/>
  <c r="M104" i="16"/>
  <c r="M94" i="16"/>
  <c r="M95" i="16"/>
  <c r="M93" i="16"/>
  <c r="M120" i="16"/>
  <c r="M97" i="16"/>
  <c r="M111" i="16"/>
  <c r="M110" i="16"/>
  <c r="M119" i="16"/>
  <c r="M101" i="16"/>
  <c r="M107" i="16"/>
  <c r="M108" i="16"/>
  <c r="M109" i="16"/>
  <c r="M112" i="16"/>
  <c r="M99" i="16"/>
  <c r="M100" i="16"/>
  <c r="M102" i="16"/>
  <c r="M105" i="16"/>
  <c r="M117" i="16"/>
  <c r="M114" i="16"/>
  <c r="M96" i="16"/>
  <c r="M106" i="16"/>
  <c r="M103" i="16"/>
  <c r="M121" i="16"/>
  <c r="M98" i="16"/>
  <c r="M136" i="16"/>
  <c r="M146" i="16"/>
  <c r="M133" i="16"/>
  <c r="M145" i="16"/>
  <c r="M132" i="16"/>
  <c r="M134" i="16"/>
  <c r="M130" i="16"/>
  <c r="M144" i="16"/>
  <c r="M124" i="16"/>
  <c r="M129" i="16"/>
  <c r="M135" i="16"/>
  <c r="M140" i="16"/>
  <c r="M128" i="16"/>
  <c r="M142" i="16"/>
  <c r="M122" i="16"/>
  <c r="M138" i="16"/>
  <c r="M125" i="16"/>
  <c r="M139" i="16"/>
  <c r="M137" i="16"/>
  <c r="M127" i="16"/>
  <c r="M141" i="16"/>
  <c r="M131" i="16"/>
  <c r="M123" i="16"/>
  <c r="M143" i="16"/>
  <c r="M126" i="16"/>
  <c r="M147" i="16"/>
  <c r="M176" i="16"/>
  <c r="M177" i="16"/>
  <c r="M154" i="16"/>
  <c r="M156" i="16"/>
  <c r="M178" i="16"/>
  <c r="M165" i="16"/>
  <c r="M163" i="16"/>
  <c r="M167" i="16"/>
  <c r="M148" i="16"/>
  <c r="M157" i="16"/>
  <c r="M152" i="16"/>
  <c r="M171" i="16"/>
  <c r="M155" i="16"/>
  <c r="M159" i="16"/>
  <c r="M173" i="16"/>
  <c r="M169" i="16"/>
  <c r="M166" i="16"/>
  <c r="M172" i="16"/>
  <c r="M153" i="16"/>
  <c r="M175" i="16"/>
  <c r="M160" i="16"/>
  <c r="M174" i="16"/>
  <c r="M170" i="16"/>
  <c r="M181" i="16"/>
  <c r="M168" i="16"/>
  <c r="M164" i="16"/>
  <c r="M151" i="16"/>
  <c r="M161" i="16"/>
  <c r="M150" i="16"/>
  <c r="M162" i="16"/>
  <c r="M158" i="16"/>
  <c r="M182" i="16"/>
  <c r="M183" i="16"/>
  <c r="M184" i="16"/>
  <c r="M188" i="16"/>
  <c r="M185" i="16"/>
  <c r="M187" i="16"/>
  <c r="M189" i="16"/>
  <c r="M186" i="16"/>
  <c r="M190" i="16"/>
  <c r="M198" i="16"/>
  <c r="M196" i="16"/>
  <c r="M192" i="16"/>
  <c r="M202" i="16"/>
  <c r="M195" i="16"/>
  <c r="M200" i="16"/>
  <c r="M201" i="16"/>
  <c r="M197" i="16"/>
  <c r="M191" i="16"/>
  <c r="M194" i="16"/>
  <c r="M193" i="16"/>
  <c r="M199" i="16"/>
  <c r="M206" i="16"/>
  <c r="M204" i="16"/>
  <c r="M203" i="16"/>
  <c r="M205" i="16"/>
  <c r="M207" i="16"/>
  <c r="M208" i="16"/>
  <c r="M209" i="16"/>
  <c r="M210" i="16"/>
  <c r="M211" i="16"/>
  <c r="M217" i="16"/>
  <c r="M218" i="16"/>
  <c r="M213" i="16"/>
  <c r="M212" i="16"/>
  <c r="M214" i="16"/>
  <c r="M216" i="16"/>
  <c r="M219" i="16"/>
  <c r="M215" i="16"/>
  <c r="M225" i="16"/>
  <c r="M230" i="16"/>
  <c r="M231" i="16"/>
  <c r="M222" i="16"/>
  <c r="M228" i="16"/>
  <c r="M227" i="16"/>
  <c r="M220" i="16"/>
  <c r="M221" i="16"/>
  <c r="M226" i="16"/>
  <c r="M232" i="16"/>
  <c r="M224" i="16"/>
  <c r="M223" i="16"/>
  <c r="M229" i="16"/>
  <c r="M236" i="16"/>
  <c r="M234" i="16"/>
  <c r="M235" i="16"/>
  <c r="M237" i="16"/>
  <c r="M239" i="16"/>
  <c r="M242" i="16"/>
  <c r="M240" i="16"/>
  <c r="M243" i="16"/>
  <c r="M241" i="16"/>
  <c r="M244" i="16"/>
  <c r="M238" i="16"/>
  <c r="M247" i="16"/>
  <c r="M245" i="16"/>
  <c r="M246" i="16"/>
  <c r="M249" i="16"/>
  <c r="M248" i="16"/>
  <c r="M250" i="16"/>
  <c r="M252" i="16"/>
  <c r="M253" i="16"/>
  <c r="M272" i="16"/>
  <c r="M255" i="16"/>
  <c r="M254" i="16"/>
  <c r="M256" i="16"/>
  <c r="M261" i="16"/>
  <c r="M259" i="16"/>
  <c r="M266" i="16"/>
  <c r="M269" i="16"/>
  <c r="M260" i="16"/>
  <c r="M258" i="16"/>
  <c r="M268" i="16"/>
  <c r="M257" i="16"/>
  <c r="M270" i="16"/>
  <c r="M262" i="16"/>
  <c r="M271" i="16"/>
  <c r="M265" i="16"/>
  <c r="M267" i="16"/>
  <c r="M263" i="16"/>
  <c r="M264" i="16"/>
  <c r="M282" i="16"/>
  <c r="M283" i="16"/>
  <c r="M277" i="16"/>
  <c r="M280" i="16"/>
  <c r="M290" i="16"/>
  <c r="M297" i="16"/>
  <c r="M288" i="16"/>
  <c r="M275" i="16"/>
  <c r="M287" i="16"/>
  <c r="M293" i="16"/>
  <c r="M298" i="16"/>
  <c r="M294" i="16"/>
  <c r="M281" i="16"/>
  <c r="M289" i="16"/>
  <c r="M276" i="16"/>
  <c r="M274" i="16"/>
  <c r="M291" i="16"/>
  <c r="M278" i="16"/>
  <c r="M299" i="16"/>
  <c r="M295" i="16"/>
  <c r="M301" i="16"/>
  <c r="M284" i="16"/>
  <c r="M273" i="16"/>
  <c r="M296" i="16"/>
  <c r="M300" i="16"/>
  <c r="M286" i="16"/>
  <c r="M292" i="16"/>
  <c r="M279" i="16"/>
  <c r="M285" i="16"/>
  <c r="M304" i="16"/>
  <c r="M310" i="16"/>
  <c r="M305" i="16"/>
  <c r="M307" i="16"/>
  <c r="M311" i="16"/>
  <c r="M309" i="16"/>
  <c r="M306" i="16"/>
  <c r="M308" i="16"/>
  <c r="M313" i="16"/>
  <c r="M315" i="16"/>
  <c r="M314" i="16"/>
  <c r="M316" i="16"/>
  <c r="M312" i="16"/>
  <c r="M320" i="16"/>
  <c r="M322" i="16"/>
  <c r="M318" i="16"/>
  <c r="M327" i="16"/>
  <c r="M324" i="16"/>
  <c r="M326" i="16"/>
  <c r="M323" i="16"/>
  <c r="M319" i="16"/>
  <c r="M317" i="16"/>
  <c r="M325" i="16"/>
  <c r="M321" i="16"/>
  <c r="M331" i="16"/>
  <c r="M330" i="16"/>
  <c r="M329" i="16"/>
  <c r="M328" i="16"/>
  <c r="M332" i="16"/>
  <c r="M336" i="16"/>
  <c r="M334" i="16"/>
  <c r="M335" i="16"/>
  <c r="M333" i="16"/>
  <c r="M338" i="16"/>
  <c r="M346" i="16"/>
  <c r="M337" i="16"/>
  <c r="M345" i="16"/>
  <c r="M341" i="16"/>
  <c r="M344" i="16"/>
  <c r="M342" i="16"/>
  <c r="M339" i="16"/>
  <c r="M340" i="16"/>
  <c r="M343" i="16"/>
  <c r="M348" i="16"/>
  <c r="M349" i="16"/>
  <c r="M347" i="16"/>
  <c r="M350" i="16"/>
  <c r="M351" i="16"/>
  <c r="M365" i="16"/>
  <c r="M368" i="16"/>
  <c r="M356" i="16"/>
  <c r="M378" i="16"/>
  <c r="M359" i="16"/>
  <c r="M366" i="16"/>
  <c r="M372" i="16"/>
  <c r="M377" i="16"/>
  <c r="M373" i="16"/>
  <c r="M363" i="16"/>
  <c r="M361" i="16"/>
  <c r="M360" i="16"/>
  <c r="M364" i="16"/>
  <c r="M367" i="16"/>
  <c r="M358" i="16"/>
  <c r="M370" i="16"/>
  <c r="M375" i="16"/>
  <c r="M371" i="16"/>
  <c r="M355" i="16"/>
  <c r="M376" i="16"/>
  <c r="M352" i="16"/>
  <c r="M354" i="16"/>
  <c r="M369" i="16"/>
  <c r="M357" i="16"/>
  <c r="M374" i="16"/>
  <c r="M362" i="16"/>
  <c r="M380" i="16"/>
  <c r="M379" i="16"/>
  <c r="M383" i="16"/>
  <c r="M381" i="16"/>
  <c r="M382" i="16"/>
  <c r="M384" i="16"/>
  <c r="M385" i="16"/>
  <c r="M387" i="16"/>
  <c r="M388" i="16"/>
  <c r="M386" i="16"/>
  <c r="M392" i="16"/>
  <c r="M391" i="16"/>
  <c r="M393" i="16"/>
  <c r="M390" i="16"/>
  <c r="M389" i="16"/>
  <c r="M396" i="16"/>
  <c r="M397" i="16"/>
  <c r="M395" i="16"/>
  <c r="M398" i="16"/>
  <c r="M399" i="16"/>
  <c r="M401" i="16"/>
  <c r="M400" i="16"/>
  <c r="M403" i="16"/>
  <c r="M402" i="16"/>
  <c r="M404" i="16"/>
  <c r="M405" i="16"/>
  <c r="M406" i="16"/>
  <c r="M407" i="16"/>
  <c r="M408" i="16"/>
  <c r="M409" i="16"/>
  <c r="M410" i="16"/>
  <c r="M413" i="16"/>
  <c r="M412" i="16"/>
  <c r="M414" i="16"/>
  <c r="M415" i="16"/>
  <c r="M416" i="16"/>
  <c r="M418" i="16"/>
  <c r="M417" i="16"/>
  <c r="M419" i="16"/>
  <c r="M420" i="16"/>
  <c r="M424" i="16"/>
  <c r="M423" i="16"/>
  <c r="M425" i="16"/>
  <c r="M426" i="16"/>
  <c r="M428" i="16"/>
  <c r="M429" i="16"/>
  <c r="M431" i="16"/>
  <c r="M427" i="16"/>
  <c r="M430" i="16"/>
  <c r="M434" i="16"/>
  <c r="M432" i="16"/>
  <c r="M433" i="16"/>
  <c r="M435" i="16"/>
  <c r="M436" i="16"/>
  <c r="M441" i="16"/>
  <c r="M440" i="16"/>
  <c r="M442" i="16"/>
  <c r="M443" i="16"/>
  <c r="M444" i="16"/>
  <c r="M438" i="16"/>
  <c r="M437" i="16"/>
  <c r="M439" i="16"/>
  <c r="M448" i="16"/>
  <c r="M449" i="16"/>
  <c r="M445" i="16"/>
  <c r="M446" i="16"/>
  <c r="M447" i="16"/>
  <c r="M456" i="16"/>
  <c r="M455" i="16"/>
  <c r="M451" i="16"/>
  <c r="M452" i="16"/>
  <c r="M454" i="16"/>
  <c r="M453" i="16"/>
  <c r="M450" i="16"/>
  <c r="M460" i="16"/>
  <c r="M465" i="16"/>
  <c r="M462" i="16"/>
  <c r="M463" i="16"/>
  <c r="M466" i="16"/>
  <c r="M469" i="16"/>
  <c r="M467" i="16"/>
  <c r="M468" i="16"/>
  <c r="M464" i="16"/>
  <c r="M495" i="16"/>
  <c r="M482" i="16"/>
  <c r="M494" i="16"/>
  <c r="M500" i="16"/>
  <c r="M486" i="16"/>
  <c r="M484" i="16"/>
  <c r="M471" i="16"/>
  <c r="M493" i="16"/>
  <c r="M502" i="16"/>
  <c r="M503" i="16"/>
  <c r="M474" i="16"/>
  <c r="M506" i="16"/>
  <c r="M470" i="16"/>
  <c r="M497" i="16"/>
  <c r="M475" i="16"/>
  <c r="M479" i="16"/>
  <c r="M498" i="16"/>
  <c r="M501" i="16"/>
  <c r="M478" i="16"/>
  <c r="M491" i="16"/>
  <c r="M504" i="16"/>
  <c r="M489" i="16"/>
  <c r="M473" i="16"/>
  <c r="M476" i="16"/>
  <c r="M492" i="16"/>
  <c r="M490" i="16"/>
  <c r="M485" i="16"/>
  <c r="M481" i="16"/>
  <c r="M483" i="16"/>
  <c r="M499" i="16"/>
  <c r="M505" i="16"/>
  <c r="M488" i="16"/>
  <c r="M496" i="16"/>
  <c r="M487" i="16"/>
  <c r="M477" i="16"/>
  <c r="M472" i="16"/>
  <c r="M480" i="16"/>
  <c r="M511" i="16"/>
  <c r="M514" i="16"/>
  <c r="M510" i="16"/>
  <c r="M509" i="16"/>
  <c r="M512" i="16"/>
  <c r="M513" i="16"/>
  <c r="M515" i="16"/>
  <c r="M519" i="16"/>
  <c r="M517" i="16"/>
  <c r="M516" i="16"/>
  <c r="M518" i="16"/>
  <c r="M520" i="16"/>
  <c r="M522" i="16"/>
  <c r="M521" i="16"/>
  <c r="M526" i="16"/>
  <c r="M524" i="16"/>
  <c r="M529" i="16"/>
  <c r="M525" i="16"/>
  <c r="M528" i="16"/>
  <c r="M523" i="16"/>
  <c r="M530" i="16"/>
  <c r="M531" i="16"/>
  <c r="M527" i="16"/>
  <c r="M534" i="16"/>
  <c r="M535" i="16"/>
  <c r="M537" i="16"/>
  <c r="M536" i="16"/>
  <c r="M533" i="16"/>
  <c r="M538" i="16"/>
  <c r="M539" i="16"/>
  <c r="M554" i="16"/>
  <c r="M564" i="16"/>
  <c r="M557" i="16"/>
  <c r="M552" i="16"/>
  <c r="M543" i="16"/>
  <c r="M569" i="16"/>
  <c r="M553" i="16"/>
  <c r="M568" i="16"/>
  <c r="M542" i="16"/>
  <c r="M565" i="16"/>
  <c r="M550" i="16"/>
  <c r="M563" i="16"/>
  <c r="M566" i="16"/>
  <c r="M547" i="16"/>
  <c r="M555" i="16"/>
  <c r="M549" i="16"/>
  <c r="M546" i="16"/>
  <c r="M562" i="16"/>
  <c r="M556" i="16"/>
  <c r="M544" i="16"/>
  <c r="M540" i="16"/>
  <c r="M567" i="16"/>
  <c r="M541" i="16"/>
  <c r="M560" i="16"/>
  <c r="M561" i="16"/>
  <c r="M545" i="16"/>
  <c r="M558" i="16"/>
  <c r="M570" i="16"/>
  <c r="M551" i="16"/>
  <c r="M548" i="16"/>
  <c r="M559" i="16"/>
  <c r="M572" i="16"/>
  <c r="M595" i="16"/>
  <c r="M581" i="16"/>
  <c r="M582" i="16"/>
  <c r="M604" i="16"/>
  <c r="M579" i="16"/>
  <c r="M583" i="16"/>
  <c r="M577" i="16"/>
  <c r="M609" i="16"/>
  <c r="M606" i="16"/>
  <c r="M574" i="16"/>
  <c r="M586" i="16"/>
  <c r="M599" i="16"/>
  <c r="M598" i="16"/>
  <c r="M596" i="16"/>
  <c r="M592" i="16"/>
  <c r="M607" i="16"/>
  <c r="M600" i="16"/>
  <c r="M573" i="16"/>
  <c r="M601" i="16"/>
  <c r="M587" i="16"/>
  <c r="M589" i="16"/>
  <c r="M580" i="16"/>
  <c r="M575" i="16"/>
  <c r="M591" i="16"/>
  <c r="M608" i="16"/>
  <c r="M576" i="16"/>
  <c r="M594" i="16"/>
  <c r="M597" i="16"/>
  <c r="M588" i="16"/>
  <c r="M602" i="16"/>
  <c r="M578" i="16"/>
  <c r="M584" i="16"/>
  <c r="M585" i="16"/>
  <c r="M605" i="16"/>
  <c r="M590" i="16"/>
  <c r="M603" i="16"/>
  <c r="M610" i="16"/>
  <c r="M624" i="16"/>
  <c r="M635" i="16"/>
  <c r="M625" i="16"/>
  <c r="M649" i="16"/>
  <c r="M638" i="16"/>
  <c r="M613" i="16"/>
  <c r="M644" i="16"/>
  <c r="M615" i="16"/>
  <c r="M612" i="16"/>
  <c r="M648" i="16"/>
  <c r="M650" i="16"/>
  <c r="M643" i="16"/>
  <c r="M639" i="16"/>
  <c r="M611" i="16"/>
  <c r="M636" i="16"/>
  <c r="M637" i="16"/>
  <c r="M627" i="16"/>
  <c r="M616" i="16"/>
  <c r="M621" i="16"/>
  <c r="M633" i="16"/>
  <c r="M645" i="16"/>
  <c r="M617" i="16"/>
  <c r="M631" i="16"/>
  <c r="M623" i="16"/>
  <c r="M651" i="16"/>
  <c r="M620" i="16"/>
  <c r="M642" i="16"/>
  <c r="M632" i="16"/>
  <c r="M647" i="16"/>
  <c r="M641" i="16"/>
  <c r="M640" i="16"/>
  <c r="M618" i="16"/>
  <c r="M626" i="16"/>
  <c r="M614" i="16"/>
  <c r="M652" i="16"/>
  <c r="M630" i="16"/>
  <c r="M646" i="16"/>
  <c r="M622" i="16"/>
  <c r="M634" i="16"/>
  <c r="M628" i="16"/>
  <c r="M629" i="16"/>
  <c r="M619" i="16"/>
  <c r="M653" i="16"/>
  <c r="M661" i="16"/>
  <c r="M654" i="16"/>
  <c r="M656" i="16"/>
  <c r="M659" i="16"/>
  <c r="M655" i="16"/>
  <c r="M662" i="16"/>
  <c r="H659" i="17"/>
  <c r="M663" i="16"/>
  <c r="M660" i="16"/>
  <c r="M664" i="16"/>
  <c r="M658" i="16"/>
  <c r="M657" i="16"/>
  <c r="M669" i="16"/>
  <c r="M666" i="16"/>
  <c r="M665" i="16"/>
  <c r="M668" i="16"/>
  <c r="M667" i="16"/>
  <c r="M672" i="16"/>
  <c r="M673" i="16"/>
  <c r="M671" i="16"/>
  <c r="M680" i="16"/>
  <c r="M676" i="16"/>
  <c r="M682" i="16"/>
  <c r="M674" i="16"/>
  <c r="M684" i="16"/>
  <c r="M677" i="16"/>
  <c r="M686" i="16"/>
  <c r="M679" i="16"/>
  <c r="M678" i="16"/>
  <c r="M675" i="16"/>
  <c r="M681" i="16"/>
  <c r="M683" i="16"/>
  <c r="M685" i="16"/>
  <c r="M688" i="16"/>
  <c r="M687" i="16"/>
  <c r="M689" i="16"/>
  <c r="M690" i="16"/>
  <c r="M691" i="16"/>
  <c r="M692" i="16"/>
  <c r="M693" i="16"/>
  <c r="M694" i="16"/>
  <c r="M696" i="16"/>
  <c r="M697" i="16"/>
  <c r="M695" i="16"/>
  <c r="M698" i="16"/>
  <c r="M701" i="16"/>
  <c r="M700" i="16"/>
  <c r="M699" i="16"/>
  <c r="M702" i="16"/>
  <c r="M704" i="16"/>
  <c r="M707" i="16"/>
  <c r="M703" i="16"/>
  <c r="M706" i="16"/>
  <c r="M708" i="16"/>
  <c r="M705" i="16"/>
  <c r="M710" i="16"/>
  <c r="M709" i="16"/>
  <c r="M711" i="16"/>
  <c r="M716" i="16"/>
  <c r="M712" i="16"/>
  <c r="M713" i="16"/>
  <c r="M717" i="16"/>
  <c r="M715" i="16"/>
  <c r="M714" i="16"/>
  <c r="M718" i="16"/>
  <c r="M719" i="16"/>
  <c r="M720" i="16"/>
  <c r="M721" i="16"/>
  <c r="M722" i="16"/>
  <c r="M723" i="16"/>
  <c r="M727" i="16"/>
  <c r="M724" i="16"/>
  <c r="M725" i="16"/>
  <c r="M726" i="16"/>
  <c r="M738" i="16"/>
  <c r="M759" i="16"/>
  <c r="M743" i="16"/>
  <c r="M750" i="16"/>
  <c r="M741" i="16"/>
  <c r="M748" i="16"/>
  <c r="M728" i="16"/>
  <c r="M734" i="16"/>
  <c r="M749" i="16"/>
  <c r="M763" i="16"/>
  <c r="M740" i="16"/>
  <c r="M736" i="16"/>
  <c r="M733" i="16"/>
  <c r="M762" i="16"/>
  <c r="M761" i="16"/>
  <c r="M751" i="16"/>
  <c r="M752" i="16"/>
  <c r="M747" i="16"/>
  <c r="M737" i="16"/>
  <c r="M745" i="16"/>
  <c r="M753" i="16"/>
  <c r="M731" i="16"/>
  <c r="M729" i="16"/>
  <c r="M744" i="16"/>
  <c r="M754" i="16"/>
  <c r="M755" i="16"/>
  <c r="M760" i="16"/>
  <c r="M732" i="16"/>
  <c r="M758" i="16"/>
  <c r="M756" i="16"/>
  <c r="M739" i="16"/>
  <c r="M746" i="16"/>
  <c r="M742" i="16"/>
  <c r="M757" i="16"/>
  <c r="M735" i="16"/>
  <c r="M768" i="16"/>
  <c r="M767" i="16"/>
  <c r="M766" i="16"/>
  <c r="M769" i="16"/>
  <c r="M772" i="16"/>
  <c r="M770" i="16"/>
  <c r="M774" i="16"/>
  <c r="M775" i="16"/>
  <c r="M771" i="16"/>
  <c r="M773" i="16"/>
  <c r="M776" i="16"/>
  <c r="M777" i="16"/>
  <c r="M781" i="16"/>
  <c r="M779" i="16"/>
  <c r="M780" i="16"/>
  <c r="M782" i="16"/>
  <c r="M794" i="16"/>
  <c r="M800" i="16"/>
  <c r="M789" i="16"/>
  <c r="M803" i="16"/>
  <c r="M797" i="16"/>
  <c r="M784" i="16"/>
  <c r="M798" i="16"/>
  <c r="M807" i="16"/>
  <c r="M799" i="16"/>
  <c r="M801" i="16"/>
  <c r="M808" i="16"/>
  <c r="M805" i="16"/>
  <c r="M787" i="16"/>
  <c r="M785" i="16"/>
  <c r="M783" i="16"/>
  <c r="M793" i="16"/>
  <c r="M796" i="16"/>
  <c r="M792" i="16"/>
  <c r="M791" i="16"/>
  <c r="M804" i="16"/>
  <c r="M806" i="16"/>
  <c r="M795" i="16"/>
  <c r="M802" i="16"/>
  <c r="M788" i="16"/>
  <c r="M786" i="16"/>
  <c r="M811" i="16"/>
  <c r="M813" i="16"/>
  <c r="M814" i="16"/>
  <c r="M812" i="16"/>
  <c r="M815" i="16"/>
  <c r="M824" i="16"/>
  <c r="M822" i="16"/>
  <c r="M820" i="16"/>
  <c r="M823" i="16"/>
  <c r="M821" i="16"/>
  <c r="M826" i="16"/>
  <c r="M817" i="16"/>
  <c r="M825" i="16"/>
  <c r="M816" i="16"/>
  <c r="M818" i="16"/>
  <c r="H826" i="17"/>
  <c r="M819" i="16"/>
  <c r="M847" i="16"/>
  <c r="M855" i="16"/>
  <c r="M841" i="16"/>
  <c r="M846" i="16"/>
  <c r="M854" i="16"/>
  <c r="M852" i="16"/>
  <c r="M840" i="16"/>
  <c r="M830" i="16"/>
  <c r="M836" i="16"/>
  <c r="M856" i="16"/>
  <c r="M833" i="16"/>
  <c r="M835" i="16"/>
  <c r="M848" i="16"/>
  <c r="M839" i="16"/>
  <c r="M832" i="16"/>
  <c r="M828" i="16"/>
  <c r="M845" i="16"/>
  <c r="M829" i="16"/>
  <c r="M838" i="16"/>
  <c r="M851" i="16"/>
  <c r="M849" i="16"/>
  <c r="M853" i="16"/>
  <c r="M842" i="16"/>
  <c r="M850" i="16"/>
  <c r="M844" i="16"/>
  <c r="M843" i="16"/>
  <c r="M837" i="16"/>
  <c r="M834" i="16"/>
  <c r="M831" i="16"/>
  <c r="M881" i="16"/>
  <c r="M885" i="16"/>
  <c r="M868" i="16"/>
  <c r="M862" i="16"/>
  <c r="M874" i="16"/>
  <c r="M860" i="16"/>
  <c r="M892" i="16"/>
  <c r="M870" i="16"/>
  <c r="M883" i="16"/>
  <c r="M889" i="16"/>
  <c r="M872" i="16"/>
  <c r="M880" i="16"/>
  <c r="M896" i="16"/>
  <c r="M879" i="16"/>
  <c r="M891" i="16"/>
  <c r="M890" i="16"/>
  <c r="M859" i="16"/>
  <c r="M867" i="16"/>
  <c r="M876" i="16"/>
  <c r="M865" i="16"/>
  <c r="M878" i="16"/>
  <c r="M875" i="16"/>
  <c r="M886" i="16"/>
  <c r="M873" i="16"/>
  <c r="M858" i="16"/>
  <c r="M861" i="16"/>
  <c r="M894" i="16"/>
  <c r="M893" i="16"/>
  <c r="M882" i="16"/>
  <c r="M888" i="16"/>
  <c r="M895" i="16"/>
  <c r="M864" i="16"/>
  <c r="M866" i="16"/>
  <c r="M877" i="16"/>
  <c r="M887" i="16"/>
  <c r="M863" i="16"/>
  <c r="M871" i="16"/>
  <c r="M869" i="16"/>
  <c r="M884" i="16"/>
  <c r="M897" i="16"/>
  <c r="M903" i="16"/>
  <c r="M900" i="16"/>
  <c r="M902" i="16"/>
  <c r="M901" i="16"/>
  <c r="M905" i="16"/>
  <c r="M906" i="16"/>
  <c r="M904" i="16"/>
  <c r="M907" i="16"/>
  <c r="M908" i="16"/>
  <c r="M909" i="16"/>
  <c r="M910" i="16"/>
  <c r="M912" i="16"/>
  <c r="M911" i="16"/>
  <c r="M913" i="16"/>
  <c r="M914" i="16"/>
  <c r="M916" i="16"/>
  <c r="M917" i="16"/>
  <c r="M915" i="16"/>
  <c r="M918" i="16"/>
  <c r="M919" i="16"/>
  <c r="M924" i="16"/>
  <c r="M921" i="16"/>
  <c r="M920" i="16"/>
  <c r="M923" i="16"/>
  <c r="M922" i="16"/>
  <c r="M935" i="16"/>
  <c r="M932" i="16"/>
  <c r="M934" i="16"/>
  <c r="M928" i="16"/>
  <c r="M925" i="16"/>
  <c r="M929" i="16"/>
  <c r="M926" i="16"/>
  <c r="M927" i="16"/>
  <c r="M931" i="16"/>
  <c r="M933" i="16"/>
  <c r="M936" i="16"/>
  <c r="M930" i="16"/>
  <c r="M976" i="16"/>
  <c r="M956" i="16"/>
  <c r="M959" i="16"/>
  <c r="M983" i="16"/>
  <c r="M986" i="16"/>
  <c r="M988" i="16"/>
  <c r="M968" i="16"/>
  <c r="M937" i="16"/>
  <c r="M971" i="16"/>
  <c r="M938" i="16"/>
  <c r="M982" i="16"/>
  <c r="M981" i="16"/>
  <c r="M989" i="16"/>
  <c r="M967" i="16"/>
  <c r="M940" i="16"/>
  <c r="M942" i="16"/>
  <c r="M974" i="16"/>
  <c r="M939" i="16"/>
  <c r="M957" i="16"/>
  <c r="M958" i="16"/>
  <c r="M960" i="16"/>
  <c r="M943" i="16"/>
  <c r="M980" i="16"/>
  <c r="M941" i="16"/>
  <c r="M948" i="16"/>
  <c r="M966" i="16"/>
  <c r="M969" i="16"/>
  <c r="M962" i="16"/>
  <c r="M970" i="16"/>
  <c r="M946" i="16"/>
  <c r="M947" i="16"/>
  <c r="M950" i="16"/>
  <c r="M955" i="16"/>
  <c r="M979" i="16"/>
  <c r="M972" i="16"/>
  <c r="M965" i="16"/>
  <c r="M975" i="16"/>
  <c r="M945" i="16"/>
  <c r="M954" i="16"/>
  <c r="M951" i="16"/>
  <c r="M985" i="16"/>
  <c r="M973" i="16"/>
  <c r="M984" i="16"/>
  <c r="M949" i="16"/>
  <c r="M963" i="16"/>
  <c r="M961" i="16"/>
  <c r="M964" i="16"/>
  <c r="M977" i="16"/>
  <c r="M944" i="16"/>
  <c r="M987" i="16"/>
  <c r="M953" i="16"/>
  <c r="M990" i="16"/>
  <c r="M952" i="16"/>
  <c r="M992" i="16"/>
  <c r="M978" i="16"/>
  <c r="M997" i="16"/>
  <c r="M996" i="16"/>
  <c r="M993" i="16"/>
  <c r="M995" i="16"/>
  <c r="M994" i="16"/>
  <c r="M998" i="16"/>
  <c r="M999" i="16"/>
  <c r="M1000" i="16"/>
  <c r="M1002" i="16"/>
  <c r="M1001" i="16"/>
  <c r="M1003" i="16"/>
  <c r="M1014" i="16"/>
  <c r="M1013" i="16"/>
  <c r="M1005" i="16"/>
  <c r="M1017" i="16"/>
  <c r="M1018" i="16"/>
  <c r="M1004" i="16"/>
  <c r="M1019" i="16"/>
  <c r="M1012" i="16"/>
  <c r="M1015" i="16"/>
  <c r="M1009" i="16"/>
  <c r="M1016" i="16"/>
  <c r="M1010" i="16"/>
  <c r="M1008" i="16"/>
  <c r="M1007" i="16"/>
  <c r="M1011" i="16"/>
  <c r="M1006" i="16"/>
  <c r="M1021" i="16"/>
  <c r="M1020" i="16"/>
  <c r="M1024" i="16"/>
  <c r="M1023" i="16"/>
  <c r="M1022" i="16"/>
  <c r="M1025" i="16"/>
  <c r="M1026" i="16"/>
  <c r="M1027" i="16"/>
  <c r="M1028" i="16"/>
  <c r="M1029" i="16"/>
  <c r="M1032" i="16"/>
  <c r="M1034" i="16"/>
  <c r="M1030" i="16"/>
  <c r="M1033" i="16"/>
  <c r="M1031" i="16"/>
  <c r="M1035" i="16"/>
  <c r="M1036" i="16"/>
  <c r="M1037" i="16"/>
  <c r="M1038" i="16"/>
  <c r="M1039" i="16"/>
  <c r="M1040" i="16"/>
  <c r="M1041" i="16"/>
  <c r="M1042" i="16"/>
  <c r="M1043" i="16"/>
  <c r="M1044" i="16"/>
  <c r="M1048" i="16"/>
  <c r="M1046" i="16"/>
  <c r="M1045" i="16"/>
  <c r="M1047" i="16"/>
  <c r="M1049" i="16"/>
  <c r="M1065" i="16"/>
  <c r="M1056" i="16"/>
  <c r="M1064" i="16"/>
  <c r="H1054" i="17"/>
  <c r="M1066" i="16"/>
  <c r="M1050" i="16"/>
  <c r="M1063" i="16"/>
  <c r="M1054" i="16"/>
  <c r="M1061" i="16"/>
  <c r="M1062" i="16"/>
  <c r="M1052" i="16"/>
  <c r="M1070" i="16"/>
  <c r="M1058" i="16"/>
  <c r="M1069" i="16"/>
  <c r="M1067" i="16"/>
  <c r="M1053" i="16"/>
  <c r="M1060" i="16"/>
  <c r="M1068" i="16"/>
  <c r="M1051" i="16"/>
  <c r="M1057" i="16"/>
  <c r="M1059" i="16"/>
  <c r="M1055" i="16"/>
  <c r="M1071" i="16"/>
  <c r="M1077" i="16"/>
  <c r="M1076" i="16"/>
  <c r="M1087" i="16"/>
  <c r="M1075" i="16"/>
  <c r="M1078" i="16"/>
  <c r="M1086" i="16"/>
  <c r="M1072" i="16"/>
  <c r="M1085" i="16"/>
  <c r="M1073" i="16"/>
  <c r="M1082" i="16"/>
  <c r="M1080" i="16"/>
  <c r="M1074" i="16"/>
  <c r="M1083" i="16"/>
  <c r="M1079" i="16"/>
  <c r="M1084" i="16"/>
  <c r="M1081" i="16"/>
  <c r="M1091" i="16"/>
  <c r="M1093" i="16"/>
  <c r="M1089" i="16"/>
  <c r="M1090" i="16"/>
  <c r="M1092" i="16"/>
  <c r="M1096" i="16"/>
  <c r="M1097" i="16"/>
  <c r="M1094" i="16"/>
  <c r="M1095" i="16"/>
  <c r="M1099" i="16"/>
  <c r="M1098" i="16"/>
  <c r="M1101" i="16"/>
  <c r="M1100" i="16"/>
  <c r="M1104" i="16"/>
  <c r="M1102" i="16"/>
  <c r="M1103" i="16"/>
  <c r="M1106" i="16"/>
  <c r="M1105" i="16"/>
  <c r="M1107" i="16"/>
  <c r="M1108" i="16"/>
  <c r="M1109" i="16"/>
  <c r="M1110" i="16"/>
  <c r="M1119" i="16"/>
  <c r="M1117" i="16"/>
  <c r="M1122" i="16"/>
  <c r="M1121" i="16"/>
  <c r="M1114" i="16"/>
  <c r="M1116" i="16"/>
  <c r="M1120" i="16"/>
  <c r="M1111" i="16"/>
  <c r="M1112" i="16"/>
  <c r="M1123" i="16"/>
  <c r="M1118" i="16"/>
  <c r="M1124" i="16"/>
  <c r="M1113" i="16"/>
  <c r="M1115" i="16"/>
  <c r="M1127" i="16"/>
  <c r="M1125" i="16"/>
  <c r="M1126" i="16"/>
  <c r="M1128" i="16"/>
  <c r="M1129" i="16"/>
  <c r="M1136" i="16"/>
  <c r="M1143" i="16"/>
  <c r="M1145" i="16"/>
  <c r="M1130" i="16"/>
  <c r="M1137" i="16"/>
  <c r="M1132" i="16"/>
  <c r="M1133" i="16"/>
  <c r="M1135" i="16"/>
  <c r="M1138" i="16"/>
  <c r="M1134" i="16"/>
  <c r="M1146" i="16"/>
  <c r="M1139" i="16"/>
  <c r="M1140" i="16"/>
  <c r="M1142" i="16"/>
  <c r="M1131" i="16"/>
  <c r="M1141" i="16"/>
  <c r="M1144" i="16"/>
  <c r="M1151" i="16"/>
  <c r="M1149" i="16"/>
  <c r="M1150" i="16"/>
  <c r="M1153" i="16"/>
  <c r="M1152" i="16"/>
  <c r="M1154" i="16"/>
  <c r="M1156" i="16"/>
  <c r="M1158" i="16"/>
  <c r="M1159" i="16"/>
  <c r="M1160" i="16"/>
  <c r="M1157" i="16"/>
  <c r="M1155" i="16"/>
  <c r="M1161" i="16"/>
  <c r="M1173" i="16"/>
  <c r="M1170" i="16"/>
  <c r="M1172" i="16"/>
  <c r="M1166" i="16"/>
  <c r="M1167" i="16"/>
  <c r="M1169" i="16"/>
  <c r="M1165" i="16"/>
  <c r="M1171" i="16"/>
  <c r="M1163" i="16"/>
  <c r="M1168" i="16"/>
  <c r="M1174" i="16"/>
  <c r="M1162" i="16"/>
  <c r="M1164" i="16"/>
  <c r="M1175" i="16"/>
  <c r="M1186" i="16"/>
  <c r="M1187" i="16"/>
  <c r="M1189" i="16"/>
  <c r="M1188" i="16"/>
  <c r="M1194" i="16"/>
  <c r="M1185" i="16"/>
  <c r="M1177" i="16"/>
  <c r="M1192" i="16"/>
  <c r="M1190" i="16"/>
  <c r="M1193" i="16"/>
  <c r="M1196" i="16"/>
  <c r="M1181" i="16"/>
  <c r="M1183" i="16"/>
  <c r="M1198" i="16"/>
  <c r="M1195" i="16"/>
  <c r="M1179" i="16"/>
  <c r="M1178" i="16"/>
  <c r="M1197" i="16"/>
  <c r="M1184" i="16"/>
  <c r="M1180" i="16"/>
  <c r="M1182" i="16"/>
  <c r="M1176" i="16"/>
  <c r="M1191" i="16"/>
  <c r="M1202" i="16"/>
  <c r="M1203" i="16"/>
  <c r="M1200" i="16"/>
  <c r="M1201" i="16"/>
  <c r="M1205" i="16"/>
  <c r="M1204" i="16"/>
  <c r="M1206" i="16"/>
  <c r="M1207" i="16"/>
  <c r="M1208" i="16"/>
  <c r="M1209" i="16"/>
  <c r="M1212" i="16"/>
  <c r="M1210" i="16"/>
  <c r="M1211" i="16"/>
  <c r="M1215" i="16"/>
  <c r="M1216" i="16"/>
  <c r="M1217" i="16"/>
  <c r="M1214" i="16"/>
  <c r="M1218" i="16"/>
  <c r="M1222" i="16"/>
  <c r="M1223" i="16"/>
  <c r="M1224" i="16"/>
  <c r="M1219" i="16"/>
  <c r="M1221" i="16"/>
  <c r="M1220" i="16"/>
  <c r="M1228" i="16"/>
  <c r="M1225" i="16"/>
  <c r="M1227" i="16"/>
  <c r="M1226" i="16"/>
  <c r="M1234" i="16"/>
  <c r="M1231" i="16"/>
  <c r="M1233" i="16"/>
  <c r="M1235" i="16"/>
  <c r="M1232" i="16"/>
  <c r="M1236" i="16"/>
  <c r="M1229" i="16"/>
  <c r="M1230" i="16"/>
  <c r="M1249" i="16"/>
  <c r="M1241" i="16"/>
  <c r="M1242" i="16"/>
  <c r="M1248" i="16"/>
  <c r="M1245" i="16"/>
  <c r="M1243" i="16"/>
  <c r="M1250" i="16"/>
  <c r="M1238" i="16"/>
  <c r="M1239" i="16"/>
  <c r="M1240" i="16"/>
  <c r="M1247" i="16"/>
  <c r="M1237" i="16"/>
  <c r="M1244" i="16"/>
  <c r="M1246" i="16"/>
  <c r="M1253" i="16"/>
  <c r="M1254" i="16"/>
  <c r="M1251" i="16"/>
  <c r="H1257" i="17"/>
  <c r="M1252" i="16"/>
  <c r="M1255" i="16"/>
  <c r="M1256" i="16"/>
  <c r="M1257" i="16"/>
  <c r="M1277" i="16"/>
  <c r="M1276" i="16"/>
  <c r="M1262" i="16"/>
  <c r="M1279" i="16"/>
  <c r="M1268" i="16"/>
  <c r="M1273" i="16"/>
  <c r="M1274" i="16"/>
  <c r="M1265" i="16"/>
  <c r="M1263" i="16"/>
  <c r="M1261" i="16"/>
  <c r="M1270" i="16"/>
  <c r="M1260" i="16"/>
  <c r="M1264" i="16"/>
  <c r="M1259" i="16"/>
  <c r="M1266" i="16"/>
  <c r="M1271" i="16"/>
  <c r="M1275" i="16"/>
  <c r="M1278" i="16"/>
  <c r="M1272" i="16"/>
  <c r="M1258" i="16"/>
  <c r="M1267" i="16"/>
  <c r="M1269" i="16"/>
  <c r="M1282" i="16"/>
  <c r="M1283" i="16"/>
  <c r="M1284" i="16"/>
  <c r="M1290" i="16"/>
  <c r="M1289" i="16"/>
  <c r="M1303" i="16"/>
  <c r="M1298" i="16"/>
  <c r="M1291" i="16"/>
  <c r="M1288" i="16"/>
  <c r="M1313" i="16"/>
  <c r="M1309" i="16"/>
  <c r="M1310" i="16"/>
  <c r="M1306" i="16"/>
  <c r="M1297" i="16"/>
  <c r="M1320" i="16"/>
  <c r="M1287" i="16"/>
  <c r="M1294" i="16"/>
  <c r="M1314" i="16"/>
  <c r="M1301" i="16"/>
  <c r="M1295" i="16"/>
  <c r="M1293" i="16"/>
  <c r="M1296" i="16"/>
  <c r="M1317" i="16"/>
  <c r="M1318" i="16"/>
  <c r="M1304" i="16"/>
  <c r="M1285" i="16"/>
  <c r="M1316" i="16"/>
  <c r="M1286" i="16"/>
  <c r="M1319" i="16"/>
  <c r="M1302" i="16"/>
  <c r="M1299" i="16"/>
  <c r="M1311" i="16"/>
  <c r="M1307" i="16"/>
  <c r="M1315" i="16"/>
  <c r="M1305" i="16"/>
  <c r="M1292" i="16"/>
  <c r="M1300" i="16"/>
  <c r="M1308" i="16"/>
  <c r="M1312" i="16"/>
  <c r="M1326" i="16"/>
  <c r="M1325" i="16"/>
  <c r="M1329" i="16"/>
  <c r="M1321" i="16"/>
  <c r="M1330" i="16"/>
  <c r="M1328" i="16"/>
  <c r="M1322" i="16"/>
  <c r="M1323" i="16"/>
  <c r="M1324" i="16"/>
  <c r="M1331" i="16"/>
  <c r="M1327" i="16"/>
  <c r="M1333" i="16"/>
  <c r="M1332" i="16"/>
  <c r="M1335" i="16"/>
  <c r="M1334" i="16"/>
  <c r="M1336" i="16"/>
  <c r="M1338" i="16"/>
  <c r="M1341" i="16"/>
  <c r="M1339" i="16"/>
  <c r="M1342" i="16"/>
  <c r="M1340" i="16"/>
  <c r="M1344" i="16"/>
  <c r="M1343" i="16"/>
  <c r="M1346" i="16"/>
  <c r="M1347" i="16"/>
  <c r="M1351" i="16"/>
  <c r="M1348" i="16"/>
  <c r="M1350" i="16"/>
  <c r="M1349" i="16"/>
  <c r="M1352" i="16"/>
  <c r="M1353" i="16"/>
  <c r="M1356" i="16"/>
  <c r="M1366" i="16"/>
  <c r="M1367" i="16"/>
  <c r="M1355" i="16"/>
  <c r="M1361" i="16"/>
  <c r="M1369" i="16"/>
  <c r="M1362" i="16"/>
  <c r="M1354" i="16"/>
  <c r="M1359" i="16"/>
  <c r="M1368" i="16"/>
  <c r="M1357" i="16"/>
  <c r="M1360" i="16"/>
  <c r="M1371" i="16"/>
  <c r="M1364" i="16"/>
  <c r="M1363" i="16"/>
  <c r="M1358" i="16"/>
  <c r="M1370" i="16"/>
  <c r="M1365" i="16"/>
  <c r="M1374" i="16"/>
  <c r="M1377" i="16"/>
  <c r="M1373" i="16"/>
  <c r="M1372" i="16"/>
  <c r="M1375" i="16"/>
  <c r="M1376" i="16"/>
  <c r="M1378" i="16"/>
  <c r="M1380" i="16"/>
  <c r="M1379" i="16"/>
  <c r="M1382" i="16"/>
  <c r="M1381" i="16"/>
  <c r="M1383" i="16"/>
  <c r="M1384" i="16"/>
  <c r="M1385" i="16"/>
  <c r="M1386" i="16"/>
  <c r="M1387" i="16"/>
  <c r="M1389" i="16"/>
  <c r="M1390" i="16"/>
  <c r="M1388" i="16"/>
  <c r="M1391" i="16"/>
  <c r="M1392" i="16"/>
  <c r="M1393" i="16"/>
  <c r="M1394" i="16"/>
  <c r="M1395" i="16"/>
  <c r="M1397" i="16"/>
  <c r="M1398" i="16"/>
  <c r="M1396" i="16"/>
  <c r="M1399" i="16"/>
  <c r="M1406" i="16"/>
  <c r="M1401" i="16"/>
  <c r="M1400" i="16"/>
  <c r="M1403" i="16"/>
  <c r="M1408" i="16"/>
  <c r="M1402" i="16"/>
  <c r="M1404" i="16"/>
  <c r="M1405" i="16"/>
  <c r="M1409" i="16"/>
  <c r="M1410" i="16"/>
  <c r="M1411" i="16"/>
  <c r="M1412" i="16"/>
  <c r="M1431" i="16"/>
  <c r="M1432" i="16"/>
  <c r="M1429" i="16"/>
  <c r="M1436" i="16"/>
  <c r="M1419" i="16"/>
  <c r="M1426" i="16"/>
  <c r="M1416" i="16"/>
  <c r="M1433" i="16"/>
  <c r="M1423" i="16"/>
  <c r="M1414" i="16"/>
  <c r="M1434" i="16"/>
  <c r="M1417" i="16"/>
  <c r="M1427" i="16"/>
  <c r="M1413" i="16"/>
  <c r="M1421" i="16"/>
  <c r="M1415" i="16"/>
  <c r="M1437" i="16"/>
  <c r="M1420" i="16"/>
  <c r="M1430" i="16"/>
  <c r="M1425" i="16"/>
  <c r="M1422" i="16"/>
  <c r="M1418" i="16"/>
  <c r="M1435" i="16"/>
  <c r="M1428" i="16"/>
  <c r="M1424" i="16"/>
  <c r="M1439" i="16"/>
  <c r="M1440" i="16"/>
  <c r="M1442" i="16"/>
  <c r="M1443" i="16"/>
  <c r="M1450" i="16"/>
  <c r="M1452" i="16"/>
  <c r="M1448" i="16"/>
  <c r="M1453" i="16"/>
  <c r="M1445" i="16"/>
  <c r="M1447" i="16"/>
  <c r="M1458" i="16"/>
  <c r="M1444" i="16"/>
  <c r="M1454" i="16"/>
  <c r="M1456" i="16"/>
  <c r="M1455" i="16"/>
  <c r="M1446" i="16"/>
  <c r="M1459" i="16"/>
  <c r="M1451" i="16"/>
  <c r="M1449" i="16"/>
  <c r="M1457" i="16"/>
  <c r="M1464" i="16"/>
  <c r="M1463" i="16"/>
  <c r="M1467" i="16"/>
  <c r="M1466" i="16"/>
  <c r="M1474" i="16"/>
  <c r="M1470" i="16"/>
  <c r="M1471" i="16"/>
  <c r="M1468" i="16"/>
  <c r="M1473" i="16"/>
  <c r="M1469" i="16"/>
  <c r="M1475" i="16"/>
  <c r="M1476" i="16"/>
  <c r="M1472" i="16"/>
  <c r="M1480" i="16"/>
  <c r="M1477" i="16"/>
  <c r="M1478" i="16"/>
  <c r="M1479" i="16"/>
  <c r="M1481" i="16"/>
  <c r="M1482" i="16"/>
  <c r="M1484" i="16"/>
  <c r="M1488" i="16"/>
  <c r="M1485" i="16"/>
  <c r="M1489" i="16"/>
  <c r="M1486" i="16"/>
  <c r="M1490" i="16"/>
  <c r="M1487" i="16"/>
  <c r="M1492" i="16"/>
  <c r="M1493" i="16"/>
  <c r="M1496" i="16"/>
  <c r="M1494" i="16"/>
  <c r="M1491" i="16"/>
  <c r="M1495" i="16"/>
  <c r="M1510" i="16"/>
  <c r="M1515" i="16"/>
  <c r="M1523" i="16"/>
  <c r="M1528" i="16"/>
  <c r="M1533" i="16"/>
  <c r="M1507" i="16"/>
  <c r="M1529" i="16"/>
  <c r="M1527" i="16"/>
  <c r="M1521" i="16"/>
  <c r="M1503" i="16"/>
  <c r="M1511" i="16"/>
  <c r="M1530" i="16"/>
  <c r="M1522" i="16"/>
  <c r="M1509" i="16"/>
  <c r="M1508" i="16"/>
  <c r="M1505" i="16"/>
  <c r="M1501" i="16"/>
  <c r="M1513" i="16"/>
  <c r="M1517" i="16"/>
  <c r="M1520" i="16"/>
  <c r="H1528" i="17"/>
  <c r="M1499" i="16"/>
  <c r="M1498" i="16"/>
  <c r="M1531" i="16"/>
  <c r="M1532" i="16"/>
  <c r="M1519" i="16"/>
  <c r="M1514" i="16"/>
  <c r="M1524" i="16"/>
  <c r="M1504" i="16"/>
  <c r="M1525" i="16"/>
  <c r="M1500" i="16"/>
  <c r="M1516" i="16"/>
  <c r="M1518" i="16"/>
  <c r="M1502" i="16"/>
  <c r="M1512" i="16"/>
  <c r="M1506" i="16"/>
  <c r="M1526" i="16"/>
  <c r="M1534" i="16"/>
  <c r="M1536" i="16"/>
  <c r="M1535" i="16"/>
  <c r="M1537" i="16"/>
  <c r="M1538" i="16"/>
  <c r="M1541" i="16"/>
  <c r="M1539" i="16"/>
  <c r="M1540" i="16"/>
  <c r="M1542" i="16"/>
  <c r="M1543" i="16"/>
  <c r="M1550" i="16"/>
  <c r="M1548" i="16"/>
  <c r="M1549" i="16"/>
  <c r="M1546" i="16"/>
  <c r="M1545" i="16"/>
  <c r="M1547" i="16"/>
  <c r="M1551" i="16"/>
  <c r="M1552" i="16"/>
  <c r="M1544" i="16"/>
  <c r="M1555" i="16"/>
  <c r="M1553" i="16"/>
  <c r="M1554" i="16"/>
  <c r="M1556" i="16"/>
  <c r="M1557" i="16"/>
  <c r="M1559" i="16"/>
  <c r="M1558" i="16"/>
  <c r="M1561" i="16"/>
  <c r="M1560" i="16"/>
  <c r="M1579" i="16"/>
  <c r="M1566" i="16"/>
  <c r="M1571" i="16"/>
  <c r="M1574" i="16"/>
  <c r="M1573" i="16"/>
  <c r="M1563" i="16"/>
  <c r="M1565" i="16"/>
  <c r="M1576" i="16"/>
  <c r="M1580" i="16"/>
  <c r="M1569" i="16"/>
  <c r="M1586" i="16"/>
  <c r="M1568" i="16"/>
  <c r="M1570" i="16"/>
  <c r="M1584" i="16"/>
  <c r="M1578" i="16"/>
  <c r="M1572" i="16"/>
  <c r="M1575" i="16"/>
  <c r="M1588" i="16"/>
  <c r="M1564" i="16"/>
  <c r="M1585" i="16"/>
  <c r="M1577" i="16"/>
  <c r="M1567" i="16"/>
  <c r="M1589" i="16"/>
  <c r="M1590" i="16"/>
  <c r="M1581" i="16"/>
  <c r="M1583" i="16"/>
  <c r="M1587" i="16"/>
  <c r="M1582" i="16"/>
  <c r="M1593" i="16"/>
  <c r="M1594" i="16"/>
  <c r="M1592" i="16"/>
  <c r="M1595" i="16"/>
  <c r="M1608" i="16"/>
  <c r="M1600" i="16"/>
  <c r="M1601" i="16"/>
  <c r="M1606" i="16"/>
  <c r="M1605" i="16"/>
  <c r="M1602" i="16"/>
  <c r="M1597" i="16"/>
  <c r="M1614" i="16"/>
  <c r="M1599" i="16"/>
  <c r="M1598" i="16"/>
  <c r="M1613" i="16"/>
  <c r="M1603" i="16"/>
  <c r="M1609" i="16"/>
  <c r="M1604" i="16"/>
  <c r="M1596" i="16"/>
  <c r="M1607" i="16"/>
  <c r="M1612" i="16"/>
  <c r="M1611" i="16"/>
  <c r="M1610" i="16"/>
  <c r="M1616" i="16"/>
  <c r="M1617" i="16"/>
  <c r="M1620" i="16"/>
  <c r="M1618" i="16"/>
  <c r="M1619" i="16"/>
  <c r="M1624" i="16"/>
  <c r="M1623" i="16"/>
  <c r="M1622" i="16"/>
  <c r="M1626" i="16"/>
  <c r="M1625" i="16"/>
  <c r="M1628" i="16"/>
  <c r="M1629" i="16"/>
  <c r="M1627" i="16"/>
  <c r="M1632" i="16"/>
  <c r="M1635" i="16"/>
  <c r="M1634" i="16"/>
  <c r="M1638" i="16"/>
  <c r="M1630" i="16"/>
  <c r="M1633" i="16"/>
  <c r="M1631" i="16"/>
  <c r="M1637" i="16"/>
  <c r="M1636" i="16"/>
  <c r="M1642" i="16"/>
  <c r="M1639" i="16"/>
  <c r="M1643" i="16"/>
  <c r="M1641" i="16"/>
  <c r="M1640" i="16"/>
  <c r="M1645" i="16"/>
  <c r="M1646" i="16"/>
  <c r="M1647" i="16"/>
  <c r="M1648" i="16"/>
  <c r="M1650" i="16"/>
  <c r="M1649" i="16"/>
  <c r="M1652" i="16"/>
  <c r="M1653" i="16"/>
  <c r="M1654" i="16"/>
  <c r="M1651" i="16"/>
  <c r="M1655" i="16"/>
  <c r="M1656" i="16"/>
  <c r="M1677" i="16"/>
  <c r="M1736" i="16"/>
  <c r="M1682" i="16"/>
  <c r="M1708" i="16"/>
  <c r="M1735" i="16"/>
  <c r="M1694" i="16"/>
  <c r="M1688" i="16"/>
  <c r="M1667" i="16"/>
  <c r="M1756" i="16"/>
  <c r="M1687" i="16"/>
  <c r="M1699" i="16"/>
  <c r="M1763" i="16"/>
  <c r="M1753" i="16"/>
  <c r="M1710" i="16"/>
  <c r="M1759" i="16"/>
  <c r="M1719" i="16"/>
  <c r="M1700" i="16"/>
  <c r="M1685" i="16"/>
  <c r="M1703" i="16"/>
  <c r="M1711" i="16"/>
  <c r="M1738" i="16"/>
  <c r="M1760" i="16"/>
  <c r="M1695" i="16"/>
  <c r="M1707" i="16"/>
  <c r="M1673" i="16"/>
  <c r="M1731" i="16"/>
  <c r="M1683" i="16"/>
  <c r="M1671" i="16"/>
  <c r="M1693" i="16"/>
  <c r="M1678" i="16"/>
  <c r="M1727" i="16"/>
  <c r="M1725" i="16"/>
  <c r="M1664" i="16"/>
  <c r="M1676" i="16"/>
  <c r="M1698" i="16"/>
  <c r="M1745" i="16"/>
  <c r="M1747" i="16"/>
  <c r="M1691" i="16"/>
  <c r="M1722" i="16"/>
  <c r="M1755" i="16"/>
  <c r="M1661" i="16"/>
  <c r="M1754" i="16"/>
  <c r="M1665" i="16"/>
  <c r="M1681" i="16"/>
  <c r="M1712" i="16"/>
  <c r="M1669" i="16"/>
  <c r="M1728" i="16"/>
  <c r="M1709" i="16"/>
  <c r="M1702" i="16"/>
  <c r="M1684" i="16"/>
  <c r="M1675" i="16"/>
  <c r="M1740" i="16"/>
  <c r="M1762" i="16"/>
  <c r="M1752" i="16"/>
  <c r="M1734" i="16"/>
  <c r="M1704" i="16"/>
  <c r="M1701" i="16"/>
  <c r="M1666" i="16"/>
  <c r="M1761" i="16"/>
  <c r="M1697" i="16"/>
  <c r="M1670" i="16"/>
  <c r="M1730" i="16"/>
  <c r="M1748" i="16"/>
  <c r="M1686" i="16"/>
  <c r="M1757" i="16"/>
  <c r="M1718" i="16"/>
  <c r="M1657" i="16"/>
  <c r="M1696" i="16"/>
  <c r="M1729" i="16"/>
  <c r="M1721" i="16"/>
  <c r="M1716" i="16"/>
  <c r="M1739" i="16"/>
  <c r="M1713" i="16"/>
  <c r="M1690" i="16"/>
  <c r="M1743" i="16"/>
  <c r="M1660" i="16"/>
  <c r="M1746" i="16"/>
  <c r="M1749" i="16"/>
  <c r="M1724" i="16"/>
  <c r="M1726" i="16"/>
  <c r="M1674" i="16"/>
  <c r="M1758" i="16"/>
  <c r="M1692" i="16"/>
  <c r="M1720" i="16"/>
  <c r="M1717" i="16"/>
  <c r="M1662" i="16"/>
  <c r="M1750" i="16"/>
  <c r="M1733" i="16"/>
  <c r="M1659" i="16"/>
  <c r="M1737" i="16"/>
  <c r="M1744" i="16"/>
  <c r="M1668" i="16"/>
  <c r="M1663" i="16"/>
  <c r="M1741" i="16"/>
  <c r="M1679" i="16"/>
  <c r="M1658" i="16"/>
  <c r="M1706" i="16"/>
  <c r="M1714" i="16"/>
  <c r="M1742" i="16"/>
  <c r="M1715" i="16"/>
  <c r="M1705" i="16"/>
  <c r="M1689" i="16"/>
  <c r="M1680" i="16"/>
  <c r="M1723" i="16"/>
  <c r="M1672" i="16"/>
  <c r="M1732" i="16"/>
  <c r="M1767" i="16"/>
  <c r="M1770" i="16"/>
  <c r="M1766" i="16"/>
  <c r="M1772" i="16"/>
  <c r="M1773" i="16"/>
  <c r="H1779" i="17"/>
  <c r="M1768" i="16"/>
  <c r="M1769" i="16"/>
  <c r="M1771" i="16"/>
  <c r="M1765" i="16"/>
  <c r="M1764" i="16"/>
  <c r="M1780" i="16"/>
  <c r="M1779" i="16"/>
  <c r="M1783" i="16"/>
  <c r="M1784" i="16"/>
  <c r="M1777" i="16"/>
  <c r="M1776" i="16"/>
  <c r="M1778" i="16"/>
  <c r="M1781" i="16"/>
  <c r="M1782" i="16"/>
  <c r="M1785" i="16"/>
  <c r="M1787" i="16"/>
  <c r="M1786" i="16"/>
  <c r="M1793" i="16"/>
  <c r="M1791" i="16"/>
  <c r="M1790" i="16"/>
  <c r="M1788" i="16"/>
  <c r="M1792" i="16"/>
  <c r="M1789" i="16"/>
  <c r="M1794" i="16"/>
  <c r="M1797" i="16"/>
  <c r="M1803" i="16"/>
  <c r="M1799" i="16"/>
  <c r="M1795" i="16"/>
  <c r="M1798" i="16"/>
  <c r="M1800" i="16"/>
  <c r="M1801" i="16"/>
  <c r="M1796" i="16"/>
  <c r="M1802" i="16"/>
  <c r="M1817" i="16"/>
  <c r="M1809" i="16"/>
  <c r="M1811" i="16"/>
  <c r="M1806" i="16"/>
  <c r="M1810" i="16"/>
  <c r="M1804" i="16"/>
  <c r="M1812" i="16"/>
  <c r="M1805" i="16"/>
  <c r="M1814" i="16"/>
  <c r="M1807" i="16"/>
  <c r="M1816" i="16"/>
  <c r="M1819" i="16"/>
  <c r="M1815" i="16"/>
  <c r="M1808" i="16"/>
  <c r="M1813" i="16"/>
  <c r="M1818" i="16"/>
  <c r="M1820" i="16"/>
  <c r="M1821" i="16"/>
  <c r="M1822" i="16"/>
  <c r="M1835" i="16"/>
  <c r="M1836" i="16"/>
  <c r="M1829" i="16"/>
  <c r="M1838" i="16"/>
  <c r="M1827" i="16"/>
  <c r="M1834" i="16"/>
  <c r="M1828" i="16"/>
  <c r="M1840" i="16"/>
  <c r="M1831" i="16"/>
  <c r="M1839" i="16"/>
  <c r="M1825" i="16"/>
  <c r="M1824" i="16"/>
  <c r="M1830" i="16"/>
  <c r="M1833" i="16"/>
  <c r="M1823" i="16"/>
  <c r="M1826" i="16"/>
  <c r="M1837" i="16"/>
  <c r="M1832" i="16"/>
  <c r="M1849" i="16"/>
  <c r="M1848" i="16"/>
  <c r="M1847" i="16"/>
  <c r="M1843" i="16"/>
  <c r="M1846" i="16"/>
  <c r="M1844" i="16"/>
  <c r="M1851" i="16"/>
  <c r="M1845" i="16"/>
  <c r="M1842" i="16"/>
  <c r="M1852" i="16"/>
  <c r="M1853" i="16"/>
  <c r="M1854" i="16"/>
  <c r="M1850" i="16"/>
  <c r="M1841" i="16"/>
  <c r="M1855" i="16"/>
  <c r="M1856" i="16"/>
  <c r="M1857" i="16"/>
  <c r="M1859" i="16"/>
  <c r="M1860" i="16"/>
  <c r="M1858" i="16"/>
  <c r="M1870" i="16"/>
  <c r="M1868" i="16"/>
  <c r="M1869" i="16"/>
  <c r="M1863" i="16"/>
  <c r="M1861" i="16"/>
  <c r="M1874" i="16"/>
  <c r="M1873" i="16"/>
  <c r="M1871" i="16"/>
  <c r="M1866" i="16"/>
  <c r="M1876" i="16"/>
  <c r="M1865" i="16"/>
  <c r="M1864" i="16"/>
  <c r="M1877" i="16"/>
  <c r="M1875" i="16"/>
  <c r="M1867" i="16"/>
  <c r="M1862" i="16"/>
  <c r="M1872" i="16"/>
  <c r="M1878" i="16"/>
  <c r="M1881" i="16"/>
  <c r="M1880" i="16"/>
  <c r="M1879" i="16"/>
  <c r="H1892" i="17"/>
  <c r="M1882" i="16"/>
  <c r="M1883" i="16"/>
  <c r="M1901" i="16"/>
  <c r="M1886" i="16"/>
  <c r="M1908" i="16"/>
  <c r="M1898" i="16"/>
  <c r="M1923" i="16"/>
  <c r="M1900" i="16"/>
  <c r="M1904" i="16"/>
  <c r="M1916" i="16"/>
  <c r="M1936" i="16"/>
  <c r="M1899" i="16"/>
  <c r="M1885" i="16"/>
  <c r="M1924" i="16"/>
  <c r="M1907" i="16"/>
  <c r="M1897" i="16"/>
  <c r="M1929" i="16"/>
  <c r="M1931" i="16"/>
  <c r="M1921" i="16"/>
  <c r="M1930" i="16"/>
  <c r="M1915" i="16"/>
  <c r="M1889" i="16"/>
  <c r="M1905" i="16"/>
  <c r="M1926" i="16"/>
  <c r="M1896" i="16"/>
  <c r="M1902" i="16"/>
  <c r="M1909" i="16"/>
  <c r="M1914" i="16"/>
  <c r="M1913" i="16"/>
  <c r="M1919" i="16"/>
  <c r="M1928" i="16"/>
  <c r="M1927" i="16"/>
  <c r="M1911" i="16"/>
  <c r="M1935" i="16"/>
  <c r="M1932" i="16"/>
  <c r="M1892" i="16"/>
  <c r="M1937" i="16"/>
  <c r="M1939" i="16"/>
  <c r="M1884" i="16"/>
  <c r="M1891" i="16"/>
  <c r="M1912" i="16"/>
  <c r="M1910" i="16"/>
  <c r="M1890" i="16"/>
  <c r="M1922" i="16"/>
  <c r="M1925" i="16"/>
  <c r="M1887" i="16"/>
  <c r="M1918" i="16"/>
  <c r="M1920" i="16"/>
  <c r="M1895" i="16"/>
  <c r="M1933" i="16"/>
  <c r="M1940" i="16"/>
  <c r="M1893" i="16"/>
  <c r="M1938" i="16"/>
  <c r="M1888" i="16"/>
  <c r="M1917" i="16"/>
  <c r="M1903" i="16"/>
  <c r="M1894" i="16"/>
  <c r="M1906" i="16"/>
  <c r="M1934" i="16"/>
  <c r="M1942" i="16"/>
  <c r="M1944" i="16"/>
  <c r="M1943" i="16"/>
  <c r="M1946" i="16"/>
  <c r="M1945" i="16"/>
  <c r="M1953" i="16"/>
  <c r="M1955" i="16"/>
  <c r="M1957" i="16"/>
  <c r="M1947" i="16"/>
  <c r="M1952" i="16"/>
  <c r="M1956" i="16"/>
  <c r="M1950" i="16"/>
  <c r="M1949" i="16"/>
  <c r="M1948" i="16"/>
  <c r="M1951" i="16"/>
  <c r="M1954" i="16"/>
  <c r="M1958" i="16"/>
  <c r="M1959" i="16"/>
  <c r="M1961" i="16"/>
  <c r="M1962" i="16"/>
  <c r="M1964" i="16"/>
  <c r="M1967" i="16"/>
  <c r="M1963" i="16"/>
  <c r="M1965" i="16"/>
  <c r="M1966" i="16"/>
  <c r="M1968" i="16"/>
  <c r="M1970" i="16"/>
  <c r="M1972" i="16"/>
  <c r="M1971" i="16"/>
  <c r="M1973" i="16"/>
  <c r="M1974" i="16"/>
  <c r="M1978" i="16"/>
  <c r="M1980" i="16"/>
  <c r="M1979" i="16"/>
  <c r="M1976" i="16"/>
  <c r="M1975" i="16"/>
  <c r="M1981" i="16"/>
  <c r="M1977" i="16"/>
  <c r="M1982" i="16"/>
  <c r="M1983" i="16"/>
  <c r="M1984" i="16"/>
  <c r="M1985" i="16"/>
  <c r="M1986" i="16"/>
  <c r="M1989" i="16"/>
  <c r="M1999" i="16"/>
  <c r="M1996" i="16"/>
  <c r="M1998" i="16"/>
  <c r="M1990" i="16"/>
  <c r="M1994" i="16"/>
  <c r="M1992" i="16"/>
  <c r="M1995" i="16"/>
  <c r="M1987" i="16"/>
  <c r="M1997" i="16"/>
  <c r="M1988" i="16"/>
  <c r="M1991" i="16"/>
  <c r="M2000" i="16"/>
  <c r="M1993" i="16"/>
  <c r="M2005" i="16"/>
  <c r="M2004" i="16"/>
  <c r="M2001" i="16"/>
  <c r="M2006" i="16"/>
  <c r="M2009" i="16"/>
  <c r="M2007" i="16"/>
  <c r="M2008" i="16"/>
  <c r="M2003" i="16"/>
  <c r="M2002" i="16"/>
  <c r="M2010" i="16"/>
  <c r="M2063" i="16"/>
  <c r="M2044" i="16"/>
  <c r="M2047" i="16"/>
  <c r="M2054" i="16"/>
  <c r="M2017" i="16"/>
  <c r="M2058" i="16"/>
  <c r="M2040" i="16"/>
  <c r="M2051" i="16"/>
  <c r="M2069" i="16"/>
  <c r="M2012" i="16"/>
  <c r="M2062" i="16"/>
  <c r="M2043" i="16"/>
  <c r="M2034" i="16"/>
  <c r="M2039" i="16"/>
  <c r="M2036" i="16"/>
  <c r="M2020" i="16"/>
  <c r="M2066" i="16"/>
  <c r="M2059" i="16"/>
  <c r="M2019" i="16"/>
  <c r="M2033" i="16"/>
  <c r="M2046" i="16"/>
  <c r="M2032" i="16"/>
  <c r="M2064" i="16"/>
  <c r="M2068" i="16"/>
  <c r="M2028" i="16"/>
  <c r="M2018" i="16"/>
  <c r="M2014" i="16"/>
  <c r="M2023" i="16"/>
  <c r="M2035" i="16"/>
  <c r="M2037" i="16"/>
  <c r="M2027" i="16"/>
  <c r="M2025" i="16"/>
  <c r="M2045" i="16"/>
  <c r="M2031" i="16"/>
  <c r="M2056" i="16"/>
  <c r="M2049" i="16"/>
  <c r="M2052" i="16"/>
  <c r="M2024" i="16"/>
  <c r="M2060" i="16"/>
  <c r="M2061" i="16"/>
  <c r="M2022" i="16"/>
  <c r="M2038" i="16"/>
  <c r="M2026" i="16"/>
  <c r="M2065" i="16"/>
  <c r="M2021" i="16"/>
  <c r="M2042" i="16"/>
  <c r="M2057" i="16"/>
  <c r="M2016" i="16"/>
  <c r="M2029" i="16"/>
  <c r="M2030" i="16"/>
  <c r="M2067" i="16"/>
  <c r="M2013" i="16"/>
  <c r="M2053" i="16"/>
  <c r="M2048" i="16"/>
  <c r="M2015" i="16"/>
  <c r="M2041" i="16"/>
  <c r="M2055" i="16"/>
  <c r="M2050" i="16"/>
  <c r="M2073" i="16"/>
  <c r="M2072" i="16"/>
  <c r="M2081" i="16"/>
  <c r="M2080" i="16"/>
  <c r="M2075" i="16"/>
  <c r="M2078" i="16"/>
  <c r="M2079" i="16"/>
  <c r="M2077" i="16"/>
  <c r="M2076" i="16"/>
  <c r="M2082" i="16"/>
  <c r="M2083" i="16"/>
  <c r="M2074" i="16"/>
  <c r="M2084" i="16"/>
  <c r="M2085" i="16"/>
  <c r="M2086" i="16"/>
  <c r="M2089" i="16"/>
  <c r="M2087" i="16"/>
  <c r="M2088" i="16"/>
  <c r="M2090" i="16"/>
  <c r="M2094" i="16"/>
  <c r="M2092" i="16"/>
  <c r="M2091" i="16"/>
  <c r="M2093" i="16"/>
  <c r="M2098" i="16"/>
  <c r="M2096" i="16"/>
  <c r="M2095" i="16"/>
  <c r="M2097" i="16"/>
  <c r="M2099" i="16"/>
  <c r="M2100" i="16"/>
  <c r="M2102" i="16"/>
  <c r="M2105" i="16"/>
  <c r="M2103" i="16"/>
  <c r="M2107" i="16"/>
  <c r="M2104" i="16"/>
  <c r="M2101" i="16"/>
  <c r="M2106" i="16"/>
  <c r="M2108" i="16"/>
  <c r="M2110" i="16"/>
  <c r="M2109" i="16"/>
  <c r="M2112" i="16"/>
  <c r="M2111" i="16"/>
  <c r="M2115" i="16"/>
  <c r="M2114" i="16"/>
  <c r="M2113" i="16"/>
  <c r="M2117" i="16"/>
  <c r="M2116" i="16"/>
  <c r="M2119" i="16"/>
  <c r="M2131" i="16"/>
  <c r="M2126" i="16"/>
  <c r="M2120" i="16"/>
  <c r="M2128" i="16"/>
  <c r="M2130" i="16"/>
  <c r="M2122" i="16"/>
  <c r="M2121" i="16"/>
  <c r="M2132" i="16"/>
  <c r="M2127" i="16"/>
  <c r="M2123" i="16"/>
  <c r="M2124" i="16"/>
  <c r="M2129" i="16"/>
  <c r="M2125" i="16"/>
  <c r="M2133" i="16"/>
  <c r="M2134" i="16"/>
  <c r="M2140" i="16"/>
  <c r="M2136" i="16"/>
  <c r="M2138" i="16"/>
  <c r="M2141" i="16"/>
  <c r="M2142" i="16"/>
  <c r="M2137" i="16"/>
  <c r="M2139" i="16"/>
  <c r="M2135" i="16"/>
  <c r="M2143" i="16"/>
  <c r="M2145" i="16"/>
  <c r="M2144" i="16"/>
  <c r="M2177" i="16"/>
  <c r="M2161" i="16"/>
  <c r="M2176" i="16"/>
  <c r="M2164" i="16"/>
  <c r="M2179" i="16"/>
  <c r="M2169" i="16"/>
  <c r="M2175" i="16"/>
  <c r="M2146" i="16"/>
  <c r="M2149" i="16"/>
  <c r="M2152" i="16"/>
  <c r="M2172" i="16"/>
  <c r="M2148" i="16"/>
  <c r="M2165" i="16"/>
  <c r="M2153" i="16"/>
  <c r="M2171" i="16"/>
  <c r="M2155" i="16"/>
  <c r="M2151" i="16"/>
  <c r="M2162" i="16"/>
  <c r="M2166" i="16"/>
  <c r="M2181" i="16"/>
  <c r="M2160" i="16"/>
  <c r="M2173" i="16"/>
  <c r="M2150" i="16"/>
  <c r="M2170" i="16"/>
  <c r="M2163" i="16"/>
  <c r="M2156" i="16"/>
  <c r="M2184" i="16"/>
  <c r="M2154" i="16"/>
  <c r="M2178" i="16"/>
  <c r="M2174" i="16"/>
  <c r="M2158" i="16"/>
  <c r="M2159" i="16"/>
  <c r="M2180" i="16"/>
  <c r="M2167" i="16"/>
  <c r="M2183" i="16"/>
  <c r="M2147" i="16"/>
  <c r="M2182" i="16"/>
  <c r="M2157" i="16"/>
  <c r="M2168" i="16"/>
  <c r="M2189" i="16"/>
  <c r="M2185" i="16"/>
  <c r="M2188" i="16"/>
  <c r="M2186" i="16"/>
  <c r="M2187" i="16"/>
  <c r="M2190" i="16"/>
  <c r="M2191" i="16"/>
  <c r="M2192" i="16"/>
  <c r="M2194" i="16"/>
  <c r="M2195" i="16"/>
  <c r="M2197" i="16"/>
  <c r="M2193" i="16"/>
  <c r="M2196" i="16"/>
  <c r="M2198" i="16"/>
  <c r="M2199" i="16"/>
  <c r="M2201" i="16"/>
  <c r="M2200" i="16"/>
  <c r="M2202" i="16"/>
  <c r="M2205" i="16"/>
  <c r="M2208" i="16"/>
  <c r="M2203" i="16"/>
  <c r="M2210" i="16"/>
  <c r="M2206" i="16"/>
  <c r="M2204" i="16"/>
  <c r="M2211" i="16"/>
  <c r="M2209" i="16"/>
  <c r="M2213" i="16"/>
  <c r="M2207" i="16"/>
  <c r="M2214" i="16"/>
  <c r="M2212" i="16"/>
  <c r="M2219" i="16"/>
  <c r="M2221" i="16"/>
  <c r="M2218" i="16"/>
  <c r="M2216" i="16"/>
  <c r="M2220" i="16"/>
  <c r="M2217" i="16"/>
  <c r="M2215" i="16"/>
  <c r="M2223" i="16"/>
  <c r="M2224" i="16"/>
  <c r="M2225" i="16"/>
  <c r="M2231" i="16"/>
  <c r="M2229" i="16"/>
  <c r="M2232" i="16"/>
  <c r="M2227" i="16"/>
  <c r="M2226" i="16"/>
  <c r="M2230" i="16"/>
  <c r="M2228" i="16"/>
  <c r="M2233" i="16"/>
  <c r="M2234" i="16"/>
  <c r="M2235" i="16"/>
  <c r="M2236" i="16"/>
  <c r="M2237" i="16"/>
  <c r="M2240" i="16"/>
  <c r="M2238" i="16"/>
  <c r="M2239" i="16"/>
  <c r="M2249" i="16"/>
  <c r="M2251" i="16"/>
  <c r="M2245" i="16"/>
  <c r="M2255" i="16"/>
  <c r="M2254" i="16"/>
  <c r="M2244" i="16"/>
  <c r="M2246" i="16"/>
  <c r="M2256" i="16"/>
  <c r="M2252" i="16"/>
  <c r="M2250" i="16"/>
  <c r="M2248" i="16"/>
  <c r="M2257" i="16"/>
  <c r="M2247" i="16"/>
  <c r="M2243" i="16"/>
  <c r="M2258" i="16"/>
  <c r="M2253" i="16"/>
  <c r="M2242" i="16"/>
  <c r="M2267" i="16"/>
  <c r="M2259" i="16"/>
  <c r="M2261" i="16"/>
  <c r="M2266" i="16"/>
  <c r="M2263" i="16"/>
  <c r="M2264" i="16"/>
  <c r="M2268" i="16"/>
  <c r="M2262" i="16"/>
  <c r="M2269" i="16"/>
  <c r="M2260" i="16"/>
  <c r="M2265" i="16"/>
  <c r="M2273" i="16"/>
  <c r="M2276" i="16"/>
  <c r="M2278" i="16"/>
  <c r="M2272" i="16"/>
  <c r="M2275" i="16"/>
  <c r="M2274" i="16"/>
  <c r="M2277" i="16"/>
  <c r="M2282" i="16"/>
  <c r="M2280" i="16"/>
  <c r="M2281" i="16"/>
  <c r="M2279" i="16"/>
  <c r="M2283" i="16"/>
  <c r="M2271" i="16"/>
  <c r="M2287" i="16"/>
  <c r="M2286" i="16"/>
  <c r="M2288" i="16"/>
  <c r="M2291" i="16"/>
  <c r="M2289" i="16"/>
  <c r="M2292" i="16"/>
  <c r="M2295" i="16"/>
  <c r="M2293" i="16"/>
  <c r="M2290" i="16"/>
  <c r="M2296" i="16"/>
  <c r="M2297" i="16"/>
  <c r="M2300" i="16"/>
  <c r="M2298" i="16"/>
  <c r="M2299" i="16"/>
  <c r="M2303" i="16"/>
  <c r="M2302" i="16"/>
  <c r="M2305" i="16"/>
  <c r="M2304" i="16"/>
  <c r="M2306" i="16"/>
  <c r="M2307" i="16"/>
  <c r="M2310" i="16"/>
  <c r="M2308" i="16"/>
  <c r="M2309" i="16"/>
  <c r="M2311" i="16"/>
  <c r="M2312" i="16"/>
  <c r="M2318" i="16"/>
  <c r="M2316" i="16"/>
  <c r="M2319" i="16"/>
  <c r="M2313" i="16"/>
  <c r="M2315" i="16"/>
  <c r="M2317" i="16"/>
  <c r="M2314" i="16"/>
  <c r="M2328" i="16"/>
  <c r="M2334" i="16"/>
  <c r="M2321" i="16"/>
  <c r="M2333" i="16"/>
  <c r="M2335" i="16"/>
  <c r="M2325" i="16"/>
  <c r="M2322" i="16"/>
  <c r="M2330" i="16"/>
  <c r="M2329" i="16"/>
  <c r="M2339" i="16"/>
  <c r="M2340" i="16"/>
  <c r="M2332" i="16"/>
  <c r="M2323" i="16"/>
  <c r="M2331" i="16"/>
  <c r="M2326" i="16"/>
  <c r="M2336" i="16"/>
  <c r="M2327" i="16"/>
  <c r="M2342" i="16"/>
  <c r="M7" i="16"/>
  <c r="E5" i="12"/>
  <c r="E6" i="12"/>
  <c r="F6" i="12" s="1"/>
  <c r="G132" i="19" s="1"/>
  <c r="E7" i="12"/>
  <c r="F7" i="12" s="1"/>
  <c r="G229" i="19" s="1"/>
  <c r="E8" i="12"/>
  <c r="F8" i="12" s="1"/>
  <c r="G42" i="19" s="1"/>
  <c r="E9" i="12"/>
  <c r="F9" i="12" s="1"/>
  <c r="G10" i="19" s="1"/>
  <c r="E10" i="12"/>
  <c r="F10" i="12" s="1"/>
  <c r="G116" i="19" s="1"/>
  <c r="E11" i="12"/>
  <c r="F11" i="12" s="1"/>
  <c r="G201" i="19" s="1"/>
  <c r="E14" i="12"/>
  <c r="F14" i="12" s="1"/>
  <c r="G211" i="19" s="1"/>
  <c r="E15" i="12"/>
  <c r="E17" i="12"/>
  <c r="F17" i="12" s="1"/>
  <c r="G262" i="19" s="1"/>
  <c r="E18" i="12"/>
  <c r="F18" i="12" s="1"/>
  <c r="G76" i="19" s="1"/>
  <c r="E21" i="12"/>
  <c r="E22" i="12"/>
  <c r="F22" i="12" s="1"/>
  <c r="G304" i="19" s="1"/>
  <c r="E23" i="12"/>
  <c r="F23" i="12" s="1"/>
  <c r="G207" i="19" s="1"/>
  <c r="E24" i="12"/>
  <c r="F24" i="12" s="1"/>
  <c r="G56" i="19" s="1"/>
  <c r="E25" i="12"/>
  <c r="F25" i="12" s="1"/>
  <c r="G242" i="19" s="1"/>
  <c r="E26" i="12"/>
  <c r="F26" i="12" s="1"/>
  <c r="G27" i="19" s="1"/>
  <c r="E27" i="12"/>
  <c r="F27" i="12" s="1"/>
  <c r="G218" i="19" s="1"/>
  <c r="E30" i="12"/>
  <c r="F30" i="12" s="1"/>
  <c r="G103" i="19" s="1"/>
  <c r="E31" i="12"/>
  <c r="E33" i="12"/>
  <c r="F33" i="12" s="1"/>
  <c r="G300" i="19" s="1"/>
  <c r="E34" i="12"/>
  <c r="F34" i="12" s="1"/>
  <c r="G81" i="19" s="1"/>
  <c r="E35" i="12"/>
  <c r="F35" i="12" s="1"/>
  <c r="G26" i="19" s="1"/>
  <c r="E36" i="12"/>
  <c r="F36" i="12" s="1"/>
  <c r="G13" i="19" s="1"/>
  <c r="E37" i="12"/>
  <c r="E38" i="12"/>
  <c r="F38" i="12" s="1"/>
  <c r="G63" i="19" s="1"/>
  <c r="E39" i="12"/>
  <c r="F39" i="12" s="1"/>
  <c r="G261" i="19" s="1"/>
  <c r="E40" i="12"/>
  <c r="F40" i="12" s="1"/>
  <c r="G133" i="19" s="1"/>
  <c r="E41" i="12"/>
  <c r="F41" i="12" s="1"/>
  <c r="G284" i="19" s="1"/>
  <c r="E42" i="12"/>
  <c r="F42" i="12" s="1"/>
  <c r="G31" i="19" s="1"/>
  <c r="E43" i="12"/>
  <c r="F43" i="12" s="1"/>
  <c r="G113" i="19" s="1"/>
  <c r="E47" i="12"/>
  <c r="E49" i="12"/>
  <c r="F49" i="12" s="1"/>
  <c r="G69" i="19" s="1"/>
  <c r="E50" i="12"/>
  <c r="F50" i="12" s="1"/>
  <c r="G141" i="19" s="1"/>
  <c r="E53" i="12"/>
  <c r="E54" i="12"/>
  <c r="F54" i="12" s="1"/>
  <c r="G192" i="19" s="1"/>
  <c r="E55" i="12"/>
  <c r="F55" i="12" s="1"/>
  <c r="G109" i="19" s="1"/>
  <c r="E56" i="12"/>
  <c r="F56" i="12" s="1"/>
  <c r="G226" i="19" s="1"/>
  <c r="E57" i="12"/>
  <c r="F57" i="12" s="1"/>
  <c r="G199" i="19" s="1"/>
  <c r="E58" i="12"/>
  <c r="F58" i="12" s="1"/>
  <c r="G172" i="19" s="1"/>
  <c r="E59" i="12"/>
  <c r="F59" i="12" s="1"/>
  <c r="G260" i="19" s="1"/>
  <c r="E62" i="12"/>
  <c r="F62" i="12" s="1"/>
  <c r="G295" i="19" s="1"/>
  <c r="E63" i="12"/>
  <c r="E65" i="12"/>
  <c r="F65" i="12" s="1"/>
  <c r="G54" i="19" s="1"/>
  <c r="E66" i="12"/>
  <c r="F66" i="12" s="1"/>
  <c r="G250" i="19" s="1"/>
  <c r="E70" i="12"/>
  <c r="F70" i="12" s="1"/>
  <c r="G314" i="19" s="1"/>
  <c r="E71" i="12"/>
  <c r="F71" i="12" s="1"/>
  <c r="G92" i="19" s="1"/>
  <c r="E72" i="12"/>
  <c r="F72" i="12" s="1"/>
  <c r="G5" i="19" s="1"/>
  <c r="E73" i="12"/>
  <c r="F73" i="12" s="1"/>
  <c r="G105" i="19" s="1"/>
  <c r="E75" i="12"/>
  <c r="F75" i="12" s="1"/>
  <c r="G146" i="19" s="1"/>
  <c r="E78" i="12"/>
  <c r="F78" i="12" s="1"/>
  <c r="G275" i="19" s="1"/>
  <c r="E79" i="12"/>
  <c r="E80" i="12"/>
  <c r="F80" i="12" s="1"/>
  <c r="G53" i="19" s="1"/>
  <c r="E81" i="12"/>
  <c r="F81" i="12" s="1"/>
  <c r="G237" i="19" s="1"/>
  <c r="E82" i="12"/>
  <c r="F82" i="12" s="1"/>
  <c r="G316" i="19" s="1"/>
  <c r="E86" i="12"/>
  <c r="F86" i="12" s="1"/>
  <c r="G55" i="19" s="1"/>
  <c r="E87" i="12"/>
  <c r="F87" i="12" s="1"/>
  <c r="G253" i="19" s="1"/>
  <c r="E88" i="12"/>
  <c r="F88" i="12" s="1"/>
  <c r="G215" i="19" s="1"/>
  <c r="E89" i="12"/>
  <c r="F89" i="12" s="1"/>
  <c r="G24" i="19" s="1"/>
  <c r="E90" i="12"/>
  <c r="F90" i="12" s="1"/>
  <c r="G216" i="19" s="1"/>
  <c r="E91" i="12"/>
  <c r="F91" i="12" s="1"/>
  <c r="G41" i="19" s="1"/>
  <c r="E94" i="12"/>
  <c r="F94" i="12" s="1"/>
  <c r="G83" i="19" s="1"/>
  <c r="E95" i="12"/>
  <c r="E97" i="12"/>
  <c r="F97" i="12" s="1"/>
  <c r="G102" i="19" s="1"/>
  <c r="E101" i="12"/>
  <c r="E102" i="12"/>
  <c r="F102" i="12" s="1"/>
  <c r="G286" i="19" s="1"/>
  <c r="E103" i="12"/>
  <c r="F103" i="12" s="1"/>
  <c r="G231" i="19" s="1"/>
  <c r="E104" i="12"/>
  <c r="F104" i="12" s="1"/>
  <c r="G11" i="19" s="1"/>
  <c r="E105" i="12"/>
  <c r="F105" i="12" s="1"/>
  <c r="G276" i="19" s="1"/>
  <c r="E106" i="12"/>
  <c r="F106" i="12" s="1"/>
  <c r="G249" i="19" s="1"/>
  <c r="E110" i="12"/>
  <c r="F110" i="12" s="1"/>
  <c r="G117" i="19" s="1"/>
  <c r="E111" i="12"/>
  <c r="E113" i="12"/>
  <c r="F113" i="12" s="1"/>
  <c r="G21" i="19" s="1"/>
  <c r="E117" i="12"/>
  <c r="E118" i="12"/>
  <c r="F118" i="12" s="1"/>
  <c r="G273" i="19" s="1"/>
  <c r="E119" i="12"/>
  <c r="F119" i="12" s="1"/>
  <c r="G60" i="19" s="1"/>
  <c r="E120" i="12"/>
  <c r="F120" i="12" s="1"/>
  <c r="G70" i="19" s="1"/>
  <c r="E122" i="12"/>
  <c r="F122" i="12" s="1"/>
  <c r="G73" i="19" s="1"/>
  <c r="E125" i="12"/>
  <c r="F125" i="12" s="1"/>
  <c r="G317" i="19" s="1"/>
  <c r="E127" i="12"/>
  <c r="E128" i="12"/>
  <c r="F128" i="12" s="1"/>
  <c r="G285" i="19" s="1"/>
  <c r="E129" i="12"/>
  <c r="F129" i="12" s="1"/>
  <c r="G90" i="19" s="1"/>
  <c r="E130" i="12"/>
  <c r="F130" i="12" s="1"/>
  <c r="G121" i="19" s="1"/>
  <c r="E132" i="12"/>
  <c r="F132" i="12" s="1"/>
  <c r="G91" i="19" s="1"/>
  <c r="E134" i="12"/>
  <c r="F134" i="12" s="1"/>
  <c r="G138" i="19" s="1"/>
  <c r="E135" i="12"/>
  <c r="F135" i="12" s="1"/>
  <c r="G165" i="19" s="1"/>
  <c r="E140" i="12"/>
  <c r="F140" i="12" s="1"/>
  <c r="G315" i="19" s="1"/>
  <c r="E142" i="12"/>
  <c r="F142" i="12" s="1"/>
  <c r="G280" i="19" s="1"/>
  <c r="E143" i="12"/>
  <c r="E144" i="12"/>
  <c r="F144" i="12" s="1"/>
  <c r="G202" i="19" s="1"/>
  <c r="E145" i="12"/>
  <c r="F145" i="12" s="1"/>
  <c r="G37" i="19" s="1"/>
  <c r="E146" i="12"/>
  <c r="F146" i="12" s="1"/>
  <c r="G308" i="19" s="1"/>
  <c r="E148" i="12"/>
  <c r="F148" i="12" s="1"/>
  <c r="G257" i="19" s="1"/>
  <c r="E149" i="12"/>
  <c r="E150" i="12"/>
  <c r="F150" i="12" s="1"/>
  <c r="G7" i="19" s="1"/>
  <c r="E151" i="12"/>
  <c r="F151" i="12" s="1"/>
  <c r="G57" i="19" s="1"/>
  <c r="E155" i="12"/>
  <c r="F155" i="12" s="1"/>
  <c r="G62" i="19" s="1"/>
  <c r="E159" i="12"/>
  <c r="E160" i="12"/>
  <c r="F160" i="12" s="1"/>
  <c r="G205" i="19" s="1"/>
  <c r="E161" i="12"/>
  <c r="F161" i="12" s="1"/>
  <c r="G174" i="19" s="1"/>
  <c r="E162" i="12"/>
  <c r="F162" i="12" s="1"/>
  <c r="G104" i="19" s="1"/>
  <c r="E164" i="12"/>
  <c r="F164" i="12" s="1"/>
  <c r="G187" i="19" s="1"/>
  <c r="E165" i="12"/>
  <c r="E166" i="12"/>
  <c r="F166" i="12" s="1"/>
  <c r="G22" i="19" s="1"/>
  <c r="E167" i="12"/>
  <c r="F167" i="12" s="1"/>
  <c r="G200" i="19" s="1"/>
  <c r="E170" i="12"/>
  <c r="F170" i="12" s="1"/>
  <c r="G194" i="19" s="1"/>
  <c r="E175" i="12"/>
  <c r="E176" i="12"/>
  <c r="F176" i="12" s="1"/>
  <c r="G175" i="19" s="1"/>
  <c r="E177" i="12"/>
  <c r="F177" i="12" s="1"/>
  <c r="G168" i="19" s="1"/>
  <c r="E178" i="12"/>
  <c r="F178" i="12" s="1"/>
  <c r="G59" i="19" s="1"/>
  <c r="E180" i="12"/>
  <c r="F180" i="12" s="1"/>
  <c r="G263" i="19" s="1"/>
  <c r="E181" i="12"/>
  <c r="E182" i="12"/>
  <c r="F182" i="12" s="1"/>
  <c r="G274" i="19" s="1"/>
  <c r="E184" i="12"/>
  <c r="F184" i="12" s="1"/>
  <c r="G289" i="19" s="1"/>
  <c r="E188" i="12"/>
  <c r="F188" i="12" s="1"/>
  <c r="G44" i="19" s="1"/>
  <c r="E189" i="12"/>
  <c r="F189" i="12" s="1"/>
  <c r="G203" i="19" s="1"/>
  <c r="E190" i="12"/>
  <c r="F190" i="12" s="1"/>
  <c r="G87" i="19" s="1"/>
  <c r="E191" i="12"/>
  <c r="F191" i="12" s="1"/>
  <c r="G17" i="19" s="1"/>
  <c r="E192" i="12"/>
  <c r="F192" i="12" s="1"/>
  <c r="G71" i="19" s="1"/>
  <c r="E193" i="12"/>
  <c r="F193" i="12" s="1"/>
  <c r="G309" i="19" s="1"/>
  <c r="E194" i="12"/>
  <c r="F194" i="12" s="1"/>
  <c r="G85" i="19" s="1"/>
  <c r="E197" i="12"/>
  <c r="F197" i="12" s="1"/>
  <c r="G135" i="19" s="1"/>
  <c r="E198" i="12"/>
  <c r="F198" i="12" s="1"/>
  <c r="G236" i="19" s="1"/>
  <c r="E200" i="12"/>
  <c r="F200" i="12" s="1"/>
  <c r="G25" i="19" s="1"/>
  <c r="E202" i="12"/>
  <c r="F202" i="12" s="1"/>
  <c r="G8" i="19" s="1"/>
  <c r="E205" i="12"/>
  <c r="F205" i="12" s="1"/>
  <c r="G161" i="19" s="1"/>
  <c r="E206" i="12"/>
  <c r="F206" i="12" s="1"/>
  <c r="G246" i="19" s="1"/>
  <c r="E207" i="12"/>
  <c r="F207" i="12" s="1"/>
  <c r="G160" i="19" s="1"/>
  <c r="E208" i="12"/>
  <c r="F208" i="12" s="1"/>
  <c r="G152" i="19" s="1"/>
  <c r="E209" i="12"/>
  <c r="F209" i="12" s="1"/>
  <c r="G265" i="19" s="1"/>
  <c r="E210" i="12"/>
  <c r="F210" i="12" s="1"/>
  <c r="G80" i="19" s="1"/>
  <c r="E213" i="12"/>
  <c r="F213" i="12" s="1"/>
  <c r="G72" i="19" s="1"/>
  <c r="E216" i="12"/>
  <c r="F216" i="12" s="1"/>
  <c r="G110" i="19" s="1"/>
  <c r="E220" i="12"/>
  <c r="F220" i="12" s="1"/>
  <c r="G266" i="19" s="1"/>
  <c r="E221" i="12"/>
  <c r="F221" i="12" s="1"/>
  <c r="G61" i="19" s="1"/>
  <c r="E223" i="12"/>
  <c r="F223" i="12" s="1"/>
  <c r="G259" i="19" s="1"/>
  <c r="E224" i="12"/>
  <c r="F224" i="12" s="1"/>
  <c r="G256" i="19" s="1"/>
  <c r="E225" i="12"/>
  <c r="F225" i="12" s="1"/>
  <c r="G191" i="19" s="1"/>
  <c r="E226" i="12"/>
  <c r="F226" i="12" s="1"/>
  <c r="G97" i="19" s="1"/>
  <c r="E228" i="12"/>
  <c r="F228" i="12" s="1"/>
  <c r="G148" i="19" s="1"/>
  <c r="E229" i="12"/>
  <c r="F229" i="12" s="1"/>
  <c r="G147" i="19" s="1"/>
  <c r="E232" i="12"/>
  <c r="F232" i="12" s="1"/>
  <c r="G38" i="19" s="1"/>
  <c r="E234" i="12"/>
  <c r="F234" i="12" s="1"/>
  <c r="G131" i="19" s="1"/>
  <c r="E235" i="12"/>
  <c r="F235" i="12" s="1"/>
  <c r="G305" i="19" s="1"/>
  <c r="E236" i="12"/>
  <c r="F236" i="12" s="1"/>
  <c r="G64" i="19" s="1"/>
  <c r="E237" i="12"/>
  <c r="F237" i="12" s="1"/>
  <c r="G230" i="19" s="1"/>
  <c r="E238" i="12"/>
  <c r="F238" i="12" s="1"/>
  <c r="G189" i="19" s="1"/>
  <c r="E239" i="12"/>
  <c r="F239" i="12" s="1"/>
  <c r="G39" i="19" s="1"/>
  <c r="E240" i="12"/>
  <c r="F240" i="12" s="1"/>
  <c r="G303" i="19" s="1"/>
  <c r="E241" i="12"/>
  <c r="F241" i="12" s="1"/>
  <c r="G290" i="19" s="1"/>
  <c r="E242" i="12"/>
  <c r="F242" i="12" s="1"/>
  <c r="G50" i="19" s="1"/>
  <c r="E245" i="12"/>
  <c r="F245" i="12" s="1"/>
  <c r="G82" i="19" s="1"/>
  <c r="E248" i="12"/>
  <c r="F248" i="12" s="1"/>
  <c r="G177" i="19" s="1"/>
  <c r="E251" i="12"/>
  <c r="F251" i="12" s="1"/>
  <c r="G176" i="19" s="1"/>
  <c r="E252" i="12"/>
  <c r="F252" i="12" s="1"/>
  <c r="G287" i="19" s="1"/>
  <c r="E253" i="12"/>
  <c r="F253" i="12" s="1"/>
  <c r="G186" i="19" s="1"/>
  <c r="E254" i="12"/>
  <c r="F254" i="12" s="1"/>
  <c r="G221" i="19" s="1"/>
  <c r="E255" i="12"/>
  <c r="F255" i="12" s="1"/>
  <c r="G99" i="19" s="1"/>
  <c r="E256" i="12"/>
  <c r="F256" i="12" s="1"/>
  <c r="G232" i="19" s="1"/>
  <c r="E257" i="12"/>
  <c r="F257" i="12" s="1"/>
  <c r="G278" i="19" s="1"/>
  <c r="E258" i="12"/>
  <c r="F258" i="12" s="1"/>
  <c r="G293" i="19" s="1"/>
  <c r="E259" i="12"/>
  <c r="F259" i="12" s="1"/>
  <c r="G294" i="19" s="1"/>
  <c r="E263" i="12"/>
  <c r="F263" i="12" s="1"/>
  <c r="G283" i="19" s="1"/>
  <c r="E264" i="12"/>
  <c r="F264" i="12" s="1"/>
  <c r="G49" i="19" s="1"/>
  <c r="E267" i="12"/>
  <c r="F267" i="12" s="1"/>
  <c r="G15" i="19" s="1"/>
  <c r="E268" i="12"/>
  <c r="F268" i="12" s="1"/>
  <c r="G84" i="19" s="1"/>
  <c r="E269" i="12"/>
  <c r="F269" i="12" s="1"/>
  <c r="G19" i="19" s="1"/>
  <c r="E270" i="12"/>
  <c r="F270" i="12" s="1"/>
  <c r="G139" i="19" s="1"/>
  <c r="E271" i="12"/>
  <c r="F271" i="12" s="1"/>
  <c r="G150" i="19" s="1"/>
  <c r="E272" i="12"/>
  <c r="F272" i="12" s="1"/>
  <c r="G170" i="19" s="1"/>
  <c r="E273" i="12"/>
  <c r="F273" i="12" s="1"/>
  <c r="G159" i="19" s="1"/>
  <c r="E274" i="12"/>
  <c r="F274" i="12" s="1"/>
  <c r="G137" i="19" s="1"/>
  <c r="E277" i="12"/>
  <c r="F277" i="12" s="1"/>
  <c r="G277" i="19" s="1"/>
  <c r="E278" i="12"/>
  <c r="F278" i="12" s="1"/>
  <c r="G213" i="19" s="1"/>
  <c r="E279" i="12"/>
  <c r="F279" i="12" s="1"/>
  <c r="G45" i="19" s="1"/>
  <c r="E284" i="12"/>
  <c r="F284" i="12" s="1"/>
  <c r="G75" i="19" s="1"/>
  <c r="E285" i="12"/>
  <c r="F285" i="12" s="1"/>
  <c r="G234" i="19" s="1"/>
  <c r="E286" i="12"/>
  <c r="F286" i="12" s="1"/>
  <c r="G258" i="19" s="1"/>
  <c r="E287" i="12"/>
  <c r="F287" i="12" s="1"/>
  <c r="G180" i="19" s="1"/>
  <c r="E288" i="12"/>
  <c r="F288" i="12" s="1"/>
  <c r="G288" i="19" s="1"/>
  <c r="E289" i="12"/>
  <c r="F289" i="12" s="1"/>
  <c r="G164" i="19" s="1"/>
  <c r="E290" i="12"/>
  <c r="F290" i="12" s="1"/>
  <c r="G320" i="19" s="1"/>
  <c r="E293" i="12"/>
  <c r="F293" i="12" s="1"/>
  <c r="G140" i="19" s="1"/>
  <c r="E294" i="12"/>
  <c r="F294" i="12" s="1"/>
  <c r="G93" i="19" s="1"/>
  <c r="E295" i="12"/>
  <c r="F295" i="12" s="1"/>
  <c r="G272" i="19" s="1"/>
  <c r="E298" i="12"/>
  <c r="F298" i="12" s="1"/>
  <c r="G94" i="19" s="1"/>
  <c r="E299" i="12"/>
  <c r="F299" i="12" s="1"/>
  <c r="G322" i="19" s="1"/>
  <c r="E300" i="12"/>
  <c r="F300" i="12" s="1"/>
  <c r="G298" i="19" s="1"/>
  <c r="E301" i="12"/>
  <c r="F301" i="12" s="1"/>
  <c r="G306" i="19" s="1"/>
  <c r="E302" i="12"/>
  <c r="F302" i="12" s="1"/>
  <c r="G158" i="19" s="1"/>
  <c r="E303" i="12"/>
  <c r="F303" i="12" s="1"/>
  <c r="G204" i="19" s="1"/>
  <c r="E304" i="12"/>
  <c r="F304" i="12" s="1"/>
  <c r="G270" i="19" s="1"/>
  <c r="E305" i="12"/>
  <c r="F305" i="12" s="1"/>
  <c r="G267" i="19" s="1"/>
  <c r="E306" i="12"/>
  <c r="F306" i="12" s="1"/>
  <c r="G220" i="19" s="1"/>
  <c r="E309" i="12"/>
  <c r="F309" i="12" s="1"/>
  <c r="G107" i="19" s="1"/>
  <c r="E310" i="12"/>
  <c r="F310" i="12" s="1"/>
  <c r="G311" i="19" s="1"/>
  <c r="E314" i="12"/>
  <c r="F314" i="12" s="1"/>
  <c r="G269" i="19" s="1"/>
  <c r="E315" i="12"/>
  <c r="F315" i="12" s="1"/>
  <c r="G255" i="19" s="1"/>
  <c r="E316" i="12"/>
  <c r="F316" i="12" s="1"/>
  <c r="G136" i="19" s="1"/>
  <c r="E317" i="12"/>
  <c r="F317" i="12" s="1"/>
  <c r="G210" i="19" s="1"/>
  <c r="E318" i="12"/>
  <c r="F318" i="12" s="1"/>
  <c r="G307" i="19" s="1"/>
  <c r="E319" i="12"/>
  <c r="F319" i="12" s="1"/>
  <c r="G212" i="19" s="1"/>
  <c r="E320" i="12"/>
  <c r="F320" i="12" s="1"/>
  <c r="G319" i="19" s="1"/>
  <c r="E3" i="12"/>
  <c r="E12" i="12"/>
  <c r="F12" i="12" s="1"/>
  <c r="G119" i="19" s="1"/>
  <c r="E13" i="12"/>
  <c r="F13" i="12" s="1"/>
  <c r="G86" i="19" s="1"/>
  <c r="E16" i="12"/>
  <c r="F16" i="12" s="1"/>
  <c r="G142" i="19" s="1"/>
  <c r="E19" i="12"/>
  <c r="F19" i="12" s="1"/>
  <c r="G125" i="19" s="1"/>
  <c r="E28" i="12"/>
  <c r="F28" i="12" s="1"/>
  <c r="G217" i="19" s="1"/>
  <c r="E29" i="12"/>
  <c r="F29" i="12" s="1"/>
  <c r="G291" i="19" s="1"/>
  <c r="E32" i="12"/>
  <c r="F32" i="12" s="1"/>
  <c r="G98" i="19" s="1"/>
  <c r="E44" i="12"/>
  <c r="F44" i="12" s="1"/>
  <c r="G318" i="19" s="1"/>
  <c r="E45" i="12"/>
  <c r="F45" i="12" s="1"/>
  <c r="G115" i="19" s="1"/>
  <c r="E46" i="12"/>
  <c r="F46" i="12" s="1"/>
  <c r="G193" i="19" s="1"/>
  <c r="E48" i="12"/>
  <c r="F48" i="12" s="1"/>
  <c r="G197" i="19" s="1"/>
  <c r="E60" i="12"/>
  <c r="F60" i="12" s="1"/>
  <c r="G112" i="19" s="1"/>
  <c r="E61" i="12"/>
  <c r="F61" i="12" s="1"/>
  <c r="G206" i="19" s="1"/>
  <c r="E64" i="12"/>
  <c r="F64" i="12" s="1"/>
  <c r="G299" i="19" s="1"/>
  <c r="E69" i="12"/>
  <c r="E74" i="12"/>
  <c r="F74" i="12" s="1"/>
  <c r="G171" i="19" s="1"/>
  <c r="E76" i="12"/>
  <c r="F76" i="12" s="1"/>
  <c r="G154" i="19" s="1"/>
  <c r="E77" i="12"/>
  <c r="F77" i="12" s="1"/>
  <c r="G74" i="19" s="1"/>
  <c r="E84" i="12"/>
  <c r="F84" i="12" s="1"/>
  <c r="G181" i="19" s="1"/>
  <c r="E85" i="12"/>
  <c r="E92" i="12"/>
  <c r="F92" i="12" s="1"/>
  <c r="G208" i="19" s="1"/>
  <c r="E93" i="12"/>
  <c r="F93" i="12" s="1"/>
  <c r="G238" i="19" s="1"/>
  <c r="E96" i="12"/>
  <c r="F96" i="12" s="1"/>
  <c r="G149" i="19" s="1"/>
  <c r="E107" i="12"/>
  <c r="F107" i="12" s="1"/>
  <c r="G111" i="19" s="1"/>
  <c r="E108" i="12"/>
  <c r="F108" i="12" s="1"/>
  <c r="G245" i="19" s="1"/>
  <c r="E109" i="12"/>
  <c r="F109" i="12" s="1"/>
  <c r="G128" i="19" s="1"/>
  <c r="E112" i="12"/>
  <c r="F112" i="12" s="1"/>
  <c r="G162" i="19" s="1"/>
  <c r="E123" i="12"/>
  <c r="F123" i="12" s="1"/>
  <c r="G120" i="19" s="1"/>
  <c r="E124" i="12"/>
  <c r="F124" i="12" s="1"/>
  <c r="G43" i="19" s="1"/>
  <c r="E126" i="12"/>
  <c r="F126" i="12" s="1"/>
  <c r="G18" i="19" s="1"/>
  <c r="E133" i="12"/>
  <c r="E138" i="12"/>
  <c r="F138" i="12" s="1"/>
  <c r="G155" i="19" s="1"/>
  <c r="E139" i="12"/>
  <c r="F139" i="12" s="1"/>
  <c r="G6" i="19" s="1"/>
  <c r="E141" i="12"/>
  <c r="F141" i="12" s="1"/>
  <c r="G20" i="19" s="1"/>
  <c r="E154" i="12"/>
  <c r="F154" i="12" s="1"/>
  <c r="G100" i="19" s="1"/>
  <c r="E156" i="12"/>
  <c r="F156" i="12" s="1"/>
  <c r="G254" i="19" s="1"/>
  <c r="E157" i="12"/>
  <c r="F157" i="12" s="1"/>
  <c r="G96" i="19" s="1"/>
  <c r="E158" i="12"/>
  <c r="F158" i="12" s="1"/>
  <c r="G244" i="19" s="1"/>
  <c r="E171" i="12"/>
  <c r="F171" i="12" s="1"/>
  <c r="G182" i="19" s="1"/>
  <c r="E172" i="12"/>
  <c r="F172" i="12" s="1"/>
  <c r="G223" i="19" s="1"/>
  <c r="E173" i="12"/>
  <c r="F173" i="12" s="1"/>
  <c r="G251" i="19" s="1"/>
  <c r="E174" i="12"/>
  <c r="F174" i="12" s="1"/>
  <c r="G166" i="19" s="1"/>
  <c r="E186" i="12"/>
  <c r="F186" i="12" s="1"/>
  <c r="G65" i="19" s="1"/>
  <c r="E187" i="12"/>
  <c r="F187" i="12" s="1"/>
  <c r="G195" i="19" s="1"/>
  <c r="E203" i="12"/>
  <c r="F203" i="12" s="1"/>
  <c r="G123" i="19" s="1"/>
  <c r="E204" i="12"/>
  <c r="F204" i="12" s="1"/>
  <c r="G52" i="19" s="1"/>
  <c r="E218" i="12"/>
  <c r="F218" i="12" s="1"/>
  <c r="G248" i="19" s="1"/>
  <c r="E219" i="12"/>
  <c r="F219" i="12" s="1"/>
  <c r="G129" i="19" s="1"/>
  <c r="E222" i="12"/>
  <c r="F222" i="12" s="1"/>
  <c r="G95" i="19" s="1"/>
  <c r="E250" i="12"/>
  <c r="F250" i="12" s="1"/>
  <c r="G321" i="19" s="1"/>
  <c r="E266" i="12"/>
  <c r="F266" i="12" s="1"/>
  <c r="G209" i="19" s="1"/>
  <c r="E280" i="12"/>
  <c r="F280" i="12" s="1"/>
  <c r="G198" i="19" s="1"/>
  <c r="E282" i="12"/>
  <c r="F282" i="12" s="1"/>
  <c r="G264" i="19" s="1"/>
  <c r="E283" i="12"/>
  <c r="F283" i="12" s="1"/>
  <c r="G47" i="19" s="1"/>
  <c r="AF2326" i="6" l="1"/>
  <c r="N2320" i="16"/>
  <c r="F3" i="12"/>
  <c r="G301" i="19" s="1"/>
  <c r="F181" i="12"/>
  <c r="G214" i="19" s="1"/>
  <c r="F165" i="12"/>
  <c r="G185" i="19" s="1"/>
  <c r="F149" i="12"/>
  <c r="G224" i="19" s="1"/>
  <c r="E116" i="12"/>
  <c r="F116" i="12" s="1"/>
  <c r="G34" i="19" s="1"/>
  <c r="M2071" i="16"/>
  <c r="M1438" i="16"/>
  <c r="M1148" i="16"/>
  <c r="M1147" i="16"/>
  <c r="M532" i="16"/>
  <c r="F117" i="12"/>
  <c r="G252" i="19" s="1"/>
  <c r="F101" i="12"/>
  <c r="G14" i="19" s="1"/>
  <c r="F53" i="12"/>
  <c r="G58" i="19" s="1"/>
  <c r="F37" i="12"/>
  <c r="G228" i="19" s="1"/>
  <c r="F21" i="12"/>
  <c r="G29" i="19" s="1"/>
  <c r="F5" i="12"/>
  <c r="G196" i="19" s="1"/>
  <c r="M1213" i="16"/>
  <c r="M899" i="16"/>
  <c r="M251" i="16"/>
  <c r="M1460" i="16"/>
  <c r="M765" i="16"/>
  <c r="M670" i="16"/>
  <c r="M507" i="16"/>
  <c r="M459" i="16"/>
  <c r="M2070" i="16"/>
  <c r="M1591" i="16"/>
  <c r="M1462" i="16"/>
  <c r="M1969" i="16"/>
  <c r="M1941" i="16"/>
  <c r="M179" i="16"/>
  <c r="M2284" i="16"/>
  <c r="M1775" i="16"/>
  <c r="M1199" i="16"/>
  <c r="M991" i="16"/>
  <c r="M898" i="16"/>
  <c r="M778" i="16"/>
  <c r="M764" i="16"/>
  <c r="M303" i="16"/>
  <c r="M61" i="16"/>
  <c r="F175" i="12"/>
  <c r="G313" i="19" s="1"/>
  <c r="F159" i="12"/>
  <c r="G143" i="19" s="1"/>
  <c r="F143" i="12"/>
  <c r="G188" i="19" s="1"/>
  <c r="F127" i="12"/>
  <c r="G33" i="19" s="1"/>
  <c r="M2270" i="16"/>
  <c r="M1644" i="16"/>
  <c r="M1461" i="16"/>
  <c r="M827" i="16"/>
  <c r="M302" i="16"/>
  <c r="M149" i="16"/>
  <c r="M14" i="16"/>
  <c r="F111" i="12"/>
  <c r="G178" i="19" s="1"/>
  <c r="F95" i="12"/>
  <c r="G77" i="19" s="1"/>
  <c r="F79" i="12"/>
  <c r="G126" i="19" s="1"/>
  <c r="F63" i="12"/>
  <c r="G219" i="19" s="1"/>
  <c r="F47" i="12"/>
  <c r="G23" i="19" s="1"/>
  <c r="F31" i="12"/>
  <c r="G122" i="19" s="1"/>
  <c r="F15" i="12"/>
  <c r="G227" i="19" s="1"/>
  <c r="M2301" i="16"/>
  <c r="M2285" i="16"/>
  <c r="M810" i="16"/>
  <c r="M1562" i="16"/>
  <c r="M1483" i="16"/>
  <c r="M1345" i="16"/>
  <c r="M1280" i="16"/>
  <c r="M508" i="16"/>
  <c r="M1281" i="16"/>
  <c r="M809" i="16"/>
  <c r="M457" i="16"/>
  <c r="M1615" i="16"/>
  <c r="M1497" i="16"/>
  <c r="M571" i="16"/>
  <c r="M458" i="16"/>
  <c r="F133" i="12"/>
  <c r="G310" i="19" s="1"/>
  <c r="F69" i="12"/>
  <c r="G78" i="19" s="1"/>
  <c r="M1465" i="16"/>
  <c r="M1407" i="16"/>
  <c r="M1088" i="16"/>
  <c r="M1621" i="16"/>
  <c r="M180" i="16"/>
  <c r="F85" i="12"/>
  <c r="G179" i="19" s="1"/>
  <c r="M233" i="16"/>
  <c r="J2316" i="16"/>
  <c r="J2104" i="16"/>
  <c r="J1927" i="16"/>
  <c r="J2150" i="16"/>
  <c r="J1959" i="16"/>
  <c r="J1785" i="16"/>
  <c r="J2173" i="16"/>
  <c r="J2008" i="16"/>
  <c r="J1815" i="16"/>
  <c r="J1728" i="16"/>
  <c r="J1516" i="16"/>
  <c r="J1026" i="16"/>
  <c r="J1847" i="16"/>
  <c r="J1827" i="16"/>
  <c r="J1797" i="16"/>
  <c r="J1732" i="16"/>
  <c r="J1666" i="16"/>
  <c r="J1731" i="16"/>
  <c r="J1649" i="16"/>
  <c r="J1576" i="16"/>
  <c r="J1541" i="16"/>
  <c r="J1493" i="16"/>
  <c r="J1363" i="16"/>
  <c r="J1336" i="16"/>
  <c r="J1318" i="16"/>
  <c r="J1266" i="16"/>
  <c r="J1250" i="16"/>
  <c r="J1212" i="16"/>
  <c r="J1188" i="16"/>
  <c r="J1101" i="16"/>
  <c r="J1083" i="16"/>
  <c r="J1057" i="16"/>
  <c r="J1037" i="16"/>
  <c r="J1013" i="16"/>
  <c r="J965" i="16"/>
  <c r="J986" i="16"/>
  <c r="J909" i="16"/>
  <c r="J865" i="16"/>
  <c r="J829" i="16"/>
  <c r="J855" i="16"/>
  <c r="J812" i="16"/>
  <c r="J787" i="16"/>
  <c r="J780" i="16"/>
  <c r="J735" i="16"/>
  <c r="J741" i="16"/>
  <c r="J715" i="16"/>
  <c r="J700" i="16"/>
  <c r="J681" i="16"/>
  <c r="J661" i="16"/>
  <c r="J632" i="16"/>
  <c r="J643" i="16"/>
  <c r="J585" i="16"/>
  <c r="J600" i="16"/>
  <c r="J595" i="16"/>
  <c r="J546" i="16"/>
  <c r="J564" i="16"/>
  <c r="J525" i="16"/>
  <c r="J514" i="16"/>
  <c r="J476" i="16"/>
  <c r="J502" i="16"/>
  <c r="J465" i="16"/>
  <c r="J449" i="16"/>
  <c r="J427" i="16"/>
  <c r="J413" i="16"/>
  <c r="J396" i="16"/>
  <c r="J380" i="16"/>
  <c r="J361" i="16"/>
  <c r="J343" i="16"/>
  <c r="J329" i="16"/>
  <c r="J314" i="16"/>
  <c r="J296" i="16"/>
  <c r="J287" i="16"/>
  <c r="J270" i="16"/>
  <c r="J250" i="16"/>
  <c r="J236" i="16"/>
  <c r="J219" i="16"/>
  <c r="J199" i="16"/>
  <c r="J187" i="16"/>
  <c r="J170" i="16"/>
  <c r="J167" i="16"/>
  <c r="J139" i="16"/>
  <c r="J146" i="16"/>
  <c r="J107" i="16"/>
  <c r="J113" i="16"/>
  <c r="J89" i="16"/>
  <c r="J38" i="16"/>
  <c r="J39" i="16"/>
  <c r="J32" i="16"/>
  <c r="J12" i="16"/>
  <c r="J2350" i="16"/>
  <c r="J2051" i="16"/>
  <c r="J2004" i="16"/>
  <c r="J1986" i="16"/>
  <c r="J1970" i="16"/>
  <c r="J1950" i="16"/>
  <c r="J1917" i="16"/>
  <c r="J1912" i="16"/>
  <c r="J1896" i="16"/>
  <c r="J1904" i="16"/>
  <c r="J1867" i="16"/>
  <c r="J1860" i="16"/>
  <c r="J1805" i="16"/>
  <c r="J1784" i="16"/>
  <c r="J1737" i="16"/>
  <c r="J1690" i="16"/>
  <c r="J1754" i="16"/>
  <c r="J1687" i="16"/>
  <c r="J1630" i="16"/>
  <c r="J1620" i="16"/>
  <c r="J1589" i="16"/>
  <c r="J1553" i="16"/>
  <c r="J1514" i="16"/>
  <c r="J1511" i="16"/>
  <c r="J1472" i="16"/>
  <c r="J1457" i="16"/>
  <c r="J1452" i="16"/>
  <c r="J1431" i="16"/>
  <c r="J1384" i="16"/>
  <c r="J1352" i="16"/>
  <c r="J1326" i="16"/>
  <c r="J1291" i="16"/>
  <c r="J1257" i="16"/>
  <c r="J1227" i="16"/>
  <c r="J1184" i="16"/>
  <c r="J1172" i="16"/>
  <c r="J1116" i="16"/>
  <c r="J1020" i="16"/>
  <c r="J990" i="16"/>
  <c r="J960" i="16"/>
  <c r="J935" i="16"/>
  <c r="J887" i="16"/>
  <c r="J874" i="16"/>
  <c r="J737" i="16"/>
  <c r="J2321" i="16"/>
  <c r="J2307" i="16"/>
  <c r="J2292" i="16"/>
  <c r="J2275" i="16"/>
  <c r="J2267" i="16"/>
  <c r="J2251" i="16"/>
  <c r="J2231" i="16"/>
  <c r="J2211" i="16"/>
  <c r="J2194" i="16"/>
  <c r="J2159" i="16"/>
  <c r="J2155" i="16"/>
  <c r="J2144" i="16"/>
  <c r="J2123" i="16"/>
  <c r="J2115" i="16"/>
  <c r="J2095" i="16"/>
  <c r="J2082" i="16"/>
  <c r="J2013" i="16"/>
  <c r="J2064" i="16"/>
  <c r="J2040" i="16"/>
  <c r="J2005" i="16"/>
  <c r="J1985" i="16"/>
  <c r="J1968" i="16"/>
  <c r="J1956" i="16"/>
  <c r="J1888" i="16"/>
  <c r="J1891" i="16"/>
  <c r="J1926" i="16"/>
  <c r="J1900" i="16"/>
  <c r="J1875" i="16"/>
  <c r="J1859" i="16"/>
  <c r="J1848" i="16"/>
  <c r="J1838" i="16"/>
  <c r="J1812" i="16"/>
  <c r="J1794" i="16"/>
  <c r="J1783" i="16"/>
  <c r="J1672" i="16"/>
  <c r="J1659" i="16"/>
  <c r="J1713" i="16"/>
  <c r="J1701" i="16"/>
  <c r="J1661" i="16"/>
  <c r="J1673" i="16"/>
  <c r="J1756" i="16"/>
  <c r="J1650" i="16"/>
  <c r="J1638" i="16"/>
  <c r="J1617" i="16"/>
  <c r="J1567" i="16"/>
  <c r="J1565" i="16"/>
  <c r="J1555" i="16"/>
  <c r="J1538" i="16"/>
  <c r="J1519" i="16"/>
  <c r="J1503" i="16"/>
  <c r="J1492" i="16"/>
  <c r="J1449" i="16"/>
  <c r="J1450" i="16"/>
  <c r="J1412" i="16"/>
  <c r="J1396" i="16"/>
  <c r="J1383" i="16"/>
  <c r="J1364" i="16"/>
  <c r="J1349" i="16"/>
  <c r="J1334" i="16"/>
  <c r="J1312" i="16"/>
  <c r="J1317" i="16"/>
  <c r="J1298" i="16"/>
  <c r="J1259" i="16"/>
  <c r="J1256" i="16"/>
  <c r="J1243" i="16"/>
  <c r="J1225" i="16"/>
  <c r="J1197" i="16"/>
  <c r="J1189" i="16"/>
  <c r="J1170" i="16"/>
  <c r="J1144" i="16"/>
  <c r="J1143" i="16"/>
  <c r="J1114" i="16"/>
  <c r="J1098" i="16"/>
  <c r="J1074" i="16"/>
  <c r="J1051" i="16"/>
  <c r="J1064" i="16"/>
  <c r="J1036" i="16"/>
  <c r="J1021" i="16"/>
  <c r="J1014" i="16"/>
  <c r="J953" i="16"/>
  <c r="J972" i="16"/>
  <c r="J958" i="16"/>
  <c r="J983" i="16"/>
  <c r="J922" i="16"/>
  <c r="J908" i="16"/>
  <c r="J876" i="16"/>
  <c r="J862" i="16"/>
  <c r="J847" i="16"/>
  <c r="J814" i="16"/>
  <c r="J805" i="16"/>
  <c r="J779" i="16"/>
  <c r="J757" i="16"/>
  <c r="J747" i="16"/>
  <c r="J750" i="16"/>
  <c r="J717" i="16"/>
  <c r="J701" i="16"/>
  <c r="J675" i="16"/>
  <c r="J665" i="16"/>
  <c r="J653" i="16"/>
  <c r="J642" i="16"/>
  <c r="J650" i="16"/>
  <c r="J584" i="16"/>
  <c r="J607" i="16"/>
  <c r="J572" i="16"/>
  <c r="J549" i="16"/>
  <c r="J554" i="16"/>
  <c r="J529" i="16"/>
  <c r="J511" i="16"/>
  <c r="J473" i="16"/>
  <c r="J493" i="16"/>
  <c r="J460" i="16"/>
  <c r="J448" i="16"/>
  <c r="J431" i="16"/>
  <c r="J410" i="16"/>
  <c r="J389" i="16"/>
  <c r="J362" i="16"/>
  <c r="J363" i="16"/>
  <c r="J340" i="16"/>
  <c r="J330" i="16"/>
  <c r="J315" i="16"/>
  <c r="J273" i="16"/>
  <c r="J275" i="16"/>
  <c r="J257" i="16"/>
  <c r="J248" i="16"/>
  <c r="J229" i="16"/>
  <c r="J216" i="16"/>
  <c r="J193" i="16"/>
  <c r="J185" i="16"/>
  <c r="J174" i="16"/>
  <c r="J163" i="16"/>
  <c r="J125" i="16"/>
  <c r="J136" i="16"/>
  <c r="J101" i="16"/>
  <c r="J76" i="16"/>
  <c r="J83" i="16"/>
  <c r="J40" i="16"/>
  <c r="J60" i="16"/>
  <c r="J34" i="16"/>
  <c r="J8" i="16"/>
  <c r="J2347" i="16"/>
  <c r="J2126" i="16"/>
  <c r="J1813" i="16"/>
  <c r="J2168" i="16"/>
  <c r="J1980" i="16"/>
  <c r="J1726" i="16"/>
  <c r="J2281" i="16"/>
  <c r="J2103" i="16"/>
  <c r="J1919" i="16"/>
  <c r="J1724" i="16"/>
  <c r="J1558" i="16"/>
  <c r="J1390" i="16"/>
  <c r="J1202" i="16"/>
  <c r="J1019" i="16"/>
  <c r="J671" i="16"/>
  <c r="J2330" i="16"/>
  <c r="J2182" i="16"/>
  <c r="J2007" i="16"/>
  <c r="J1869" i="16"/>
  <c r="J1669" i="16"/>
  <c r="J1500" i="16"/>
  <c r="J2322" i="16"/>
  <c r="J2196" i="16"/>
  <c r="J2038" i="16"/>
  <c r="J1922" i="16"/>
  <c r="J1795" i="16"/>
  <c r="J1670" i="16"/>
  <c r="J1583" i="16"/>
  <c r="J1478" i="16"/>
  <c r="J1365" i="16"/>
  <c r="J1240" i="16"/>
  <c r="J1102" i="16"/>
  <c r="J1018" i="16"/>
  <c r="J800" i="16"/>
  <c r="J2295" i="16"/>
  <c r="J2242" i="16"/>
  <c r="J2249" i="16"/>
  <c r="J2145" i="16"/>
  <c r="J2127" i="16"/>
  <c r="J2111" i="16"/>
  <c r="J2096" i="16"/>
  <c r="J2076" i="16"/>
  <c r="J2067" i="16"/>
  <c r="J2052" i="16"/>
  <c r="J2032" i="16"/>
  <c r="J2058" i="16"/>
  <c r="J1993" i="16"/>
  <c r="J1984" i="16"/>
  <c r="J1966" i="16"/>
  <c r="J1952" i="16"/>
  <c r="J1938" i="16"/>
  <c r="J1884" i="16"/>
  <c r="J1905" i="16"/>
  <c r="J1923" i="16"/>
  <c r="J1877" i="16"/>
  <c r="J1857" i="16"/>
  <c r="J1849" i="16"/>
  <c r="J1829" i="16"/>
  <c r="J1804" i="16"/>
  <c r="J1789" i="16"/>
  <c r="J1779" i="16"/>
  <c r="J1723" i="16"/>
  <c r="J1733" i="16"/>
  <c r="J1739" i="16"/>
  <c r="J1704" i="16"/>
  <c r="J1755" i="16"/>
  <c r="J1707" i="16"/>
  <c r="J1667" i="16"/>
  <c r="J1648" i="16"/>
  <c r="J1634" i="16"/>
  <c r="J1616" i="16"/>
  <c r="J1605" i="16"/>
  <c r="J1577" i="16"/>
  <c r="J1563" i="16"/>
  <c r="J1544" i="16"/>
  <c r="J1537" i="16"/>
  <c r="J1532" i="16"/>
  <c r="J1521" i="16"/>
  <c r="J1487" i="16"/>
  <c r="J1476" i="16"/>
  <c r="J1443" i="16"/>
  <c r="J1421" i="16"/>
  <c r="J1411" i="16"/>
  <c r="J1398" i="16"/>
  <c r="J1381" i="16"/>
  <c r="J1371" i="16"/>
  <c r="J1350" i="16"/>
  <c r="J1335" i="16"/>
  <c r="J1308" i="16"/>
  <c r="J1296" i="16"/>
  <c r="J1303" i="16"/>
  <c r="J1264" i="16"/>
  <c r="J1255" i="16"/>
  <c r="J1245" i="16"/>
  <c r="J1228" i="16"/>
  <c r="J1209" i="16"/>
  <c r="J1178" i="16"/>
  <c r="J1187" i="16"/>
  <c r="J1173" i="16"/>
  <c r="J1141" i="16"/>
  <c r="J1136" i="16"/>
  <c r="J1121" i="16"/>
  <c r="J1099" i="16"/>
  <c r="J1080" i="16"/>
  <c r="J1068" i="16"/>
  <c r="J1056" i="16"/>
  <c r="J1035" i="16"/>
  <c r="J1006" i="16"/>
  <c r="J1003" i="16"/>
  <c r="J987" i="16"/>
  <c r="J979" i="16"/>
  <c r="J957" i="16"/>
  <c r="J959" i="16"/>
  <c r="J923" i="16"/>
  <c r="J877" i="16"/>
  <c r="J867" i="16"/>
  <c r="J868" i="16"/>
  <c r="J819" i="16"/>
  <c r="J813" i="16"/>
  <c r="J808" i="16"/>
  <c r="J781" i="16"/>
  <c r="J742" i="16"/>
  <c r="J743" i="16"/>
  <c r="J713" i="16"/>
  <c r="J698" i="16"/>
  <c r="J678" i="16"/>
  <c r="J619" i="16"/>
  <c r="J620" i="16"/>
  <c r="J648" i="16"/>
  <c r="J578" i="16"/>
  <c r="J592" i="16"/>
  <c r="J559" i="16"/>
  <c r="J555" i="16"/>
  <c r="J539" i="16"/>
  <c r="J524" i="16"/>
  <c r="J489" i="16"/>
  <c r="J471" i="16"/>
  <c r="J439" i="16"/>
  <c r="J429" i="16"/>
  <c r="J409" i="16"/>
  <c r="J390" i="16"/>
  <c r="J374" i="16"/>
  <c r="J373" i="16"/>
  <c r="J339" i="16"/>
  <c r="J331" i="16"/>
  <c r="J313" i="16"/>
  <c r="J284" i="16"/>
  <c r="J288" i="16"/>
  <c r="J268" i="16"/>
  <c r="J249" i="16"/>
  <c r="J223" i="16"/>
  <c r="J214" i="16"/>
  <c r="J194" i="16"/>
  <c r="J188" i="16"/>
  <c r="J160" i="16"/>
  <c r="J165" i="16"/>
  <c r="J138" i="16"/>
  <c r="J98" i="16"/>
  <c r="J119" i="16"/>
  <c r="J88" i="16"/>
  <c r="J72" i="16"/>
  <c r="J42" i="16"/>
  <c r="J31" i="16"/>
  <c r="J6" i="16"/>
  <c r="J2351" i="16"/>
  <c r="J2189" i="16"/>
  <c r="J1992" i="16"/>
  <c r="J2279" i="16"/>
  <c r="J2073" i="16"/>
  <c r="J1842" i="16"/>
  <c r="J2297" i="16"/>
  <c r="J2140" i="16"/>
  <c r="J1978" i="16"/>
  <c r="J1800" i="16"/>
  <c r="J1759" i="16"/>
  <c r="J1481" i="16"/>
  <c r="J1306" i="16"/>
  <c r="J1091" i="16"/>
  <c r="J889" i="16"/>
  <c r="J580" i="16"/>
  <c r="J2212" i="16"/>
  <c r="J1974" i="16"/>
  <c r="J1819" i="16"/>
  <c r="J1710" i="16"/>
  <c r="J1479" i="16"/>
  <c r="J2263" i="16"/>
  <c r="J2164" i="16"/>
  <c r="J2018" i="16"/>
  <c r="J1951" i="16"/>
  <c r="J1840" i="16"/>
  <c r="J1746" i="16"/>
  <c r="J1654" i="16"/>
  <c r="J1525" i="16"/>
  <c r="J1406" i="16"/>
  <c r="J1309" i="16"/>
  <c r="J1169" i="16"/>
  <c r="J1022" i="16"/>
  <c r="J731" i="16"/>
  <c r="J2310" i="16"/>
  <c r="J2209" i="16"/>
  <c r="J2097" i="16"/>
  <c r="J2334" i="16"/>
  <c r="J2192" i="16"/>
  <c r="J2304" i="16"/>
  <c r="J2206" i="16"/>
  <c r="J2132" i="16"/>
  <c r="J2049" i="16"/>
  <c r="J1965" i="16"/>
  <c r="J1856" i="16"/>
  <c r="J1680" i="16"/>
  <c r="J1688" i="16"/>
  <c r="J1573" i="16"/>
  <c r="J1490" i="16"/>
  <c r="J1475" i="16"/>
  <c r="J1451" i="16"/>
  <c r="J1442" i="16"/>
  <c r="J1413" i="16"/>
  <c r="J1410" i="16"/>
  <c r="J1397" i="16"/>
  <c r="J1382" i="16"/>
  <c r="J1360" i="16"/>
  <c r="J1348" i="16"/>
  <c r="J1332" i="16"/>
  <c r="J1300" i="16"/>
  <c r="J1293" i="16"/>
  <c r="J1289" i="16"/>
  <c r="J1260" i="16"/>
  <c r="J1248" i="16"/>
  <c r="J1220" i="16"/>
  <c r="J1208" i="16"/>
  <c r="J1179" i="16"/>
  <c r="J1186" i="16"/>
  <c r="J1161" i="16"/>
  <c r="J1131" i="16"/>
  <c r="J1129" i="16"/>
  <c r="J1122" i="16"/>
  <c r="J1095" i="16"/>
  <c r="J1082" i="16"/>
  <c r="J1060" i="16"/>
  <c r="J1065" i="16"/>
  <c r="J1031" i="16"/>
  <c r="J1011" i="16"/>
  <c r="J1001" i="16"/>
  <c r="J944" i="16"/>
  <c r="J955" i="16"/>
  <c r="J939" i="16"/>
  <c r="J956" i="16"/>
  <c r="J920" i="16"/>
  <c r="J907" i="16"/>
  <c r="J866" i="16"/>
  <c r="J859" i="16"/>
  <c r="J885" i="16"/>
  <c r="J801" i="16"/>
  <c r="J777" i="16"/>
  <c r="J746" i="16"/>
  <c r="J752" i="16"/>
  <c r="J759" i="16"/>
  <c r="J712" i="16"/>
  <c r="J695" i="16"/>
  <c r="J679" i="16"/>
  <c r="J666" i="16"/>
  <c r="J629" i="16"/>
  <c r="J651" i="16"/>
  <c r="J612" i="16"/>
  <c r="J602" i="16"/>
  <c r="J596" i="16"/>
  <c r="J548" i="16"/>
  <c r="J547" i="16"/>
  <c r="J538" i="16"/>
  <c r="J526" i="16"/>
  <c r="J480" i="16"/>
  <c r="J504" i="16"/>
  <c r="J484" i="16"/>
  <c r="J450" i="16"/>
  <c r="J437" i="16"/>
  <c r="J428" i="16"/>
  <c r="J408" i="16"/>
  <c r="J393" i="16"/>
  <c r="J357" i="16"/>
  <c r="J377" i="16"/>
  <c r="J342" i="16"/>
  <c r="J321" i="16"/>
  <c r="J308" i="16"/>
  <c r="J301" i="16"/>
  <c r="J297" i="16"/>
  <c r="J258" i="16"/>
  <c r="J246" i="16"/>
  <c r="J224" i="16"/>
  <c r="J212" i="16"/>
  <c r="J184" i="16"/>
  <c r="J175" i="16"/>
  <c r="J178" i="16"/>
  <c r="J122" i="16"/>
  <c r="J121" i="16"/>
  <c r="J110" i="16"/>
  <c r="J87" i="16"/>
  <c r="J74" i="16"/>
  <c r="J53" i="16"/>
  <c r="J56" i="16"/>
  <c r="J35" i="16"/>
  <c r="J4" i="16"/>
  <c r="J2356" i="16"/>
  <c r="J2283" i="16"/>
  <c r="J2072" i="16"/>
  <c r="J1824" i="16"/>
  <c r="J2233" i="16"/>
  <c r="J1994" i="16"/>
  <c r="J1686" i="16"/>
  <c r="J2169" i="16"/>
  <c r="J1958" i="16"/>
  <c r="J1773" i="16"/>
  <c r="J1582" i="16"/>
  <c r="J1401" i="16"/>
  <c r="J1217" i="16"/>
  <c r="J1106" i="16"/>
  <c r="J938" i="16"/>
  <c r="J803" i="16"/>
  <c r="J483" i="16"/>
  <c r="J2198" i="16"/>
  <c r="J2026" i="16"/>
  <c r="J1781" i="16"/>
  <c r="J1636" i="16"/>
  <c r="J1419" i="16"/>
  <c r="J2214" i="16"/>
  <c r="J2041" i="16"/>
  <c r="J1906" i="16"/>
  <c r="J1816" i="16"/>
  <c r="J1712" i="16"/>
  <c r="J1586" i="16"/>
  <c r="J1445" i="16"/>
  <c r="J1321" i="16"/>
  <c r="J1215" i="16"/>
  <c r="J1112" i="16"/>
  <c r="J954" i="16"/>
  <c r="J719" i="16"/>
  <c r="J2274" i="16"/>
  <c r="J2195" i="16"/>
  <c r="J2114" i="16"/>
  <c r="J2342" i="16"/>
  <c r="J2204" i="16"/>
  <c r="J2328" i="16"/>
  <c r="J2253" i="16"/>
  <c r="J2174" i="16"/>
  <c r="J2112" i="16"/>
  <c r="J2046" i="16"/>
  <c r="J1947" i="16"/>
  <c r="J1864" i="16"/>
  <c r="J1810" i="16"/>
  <c r="J1734" i="16"/>
  <c r="J1635" i="16"/>
  <c r="J1531" i="16"/>
  <c r="J2288" i="16"/>
  <c r="J2258" i="16"/>
  <c r="J2190" i="16"/>
  <c r="J2165" i="16"/>
  <c r="J2121" i="16"/>
  <c r="J2093" i="16"/>
  <c r="J2079" i="16"/>
  <c r="J2056" i="16"/>
  <c r="J2054" i="16"/>
  <c r="J1982" i="16"/>
  <c r="J1915" i="16"/>
  <c r="J1865" i="16"/>
  <c r="J1837" i="16"/>
  <c r="J1806" i="16"/>
  <c r="J1764" i="16"/>
  <c r="J1662" i="16"/>
  <c r="J1752" i="16"/>
  <c r="J1760" i="16"/>
  <c r="J1646" i="16"/>
  <c r="J1611" i="16"/>
  <c r="J1585" i="16"/>
  <c r="J1551" i="16"/>
  <c r="J1498" i="16"/>
  <c r="J1486" i="16"/>
  <c r="J1459" i="16"/>
  <c r="J1427" i="16"/>
  <c r="J1357" i="16"/>
  <c r="J1333" i="16"/>
  <c r="J1295" i="16"/>
  <c r="J1270" i="16"/>
  <c r="J1242" i="16"/>
  <c r="J1207" i="16"/>
  <c r="J1175" i="16"/>
  <c r="J1142" i="16"/>
  <c r="J1117" i="16"/>
  <c r="J1053" i="16"/>
  <c r="J1033" i="16"/>
  <c r="J1002" i="16"/>
  <c r="J950" i="16"/>
  <c r="J976" i="16"/>
  <c r="J904" i="16"/>
  <c r="J890" i="16"/>
  <c r="J839" i="16"/>
  <c r="J818" i="16"/>
  <c r="J786" i="16"/>
  <c r="J799" i="16"/>
  <c r="J776" i="16"/>
  <c r="J751" i="16"/>
  <c r="J738" i="16"/>
  <c r="J716" i="16"/>
  <c r="J697" i="16"/>
  <c r="J686" i="16"/>
  <c r="J669" i="16"/>
  <c r="J628" i="16"/>
  <c r="J623" i="16"/>
  <c r="J615" i="16"/>
  <c r="J588" i="16"/>
  <c r="J598" i="16"/>
  <c r="J551" i="16"/>
  <c r="J566" i="16"/>
  <c r="J533" i="16"/>
  <c r="J521" i="16"/>
  <c r="J472" i="16"/>
  <c r="J491" i="16"/>
  <c r="J486" i="16"/>
  <c r="J453" i="16"/>
  <c r="J438" i="16"/>
  <c r="J426" i="16"/>
  <c r="J407" i="16"/>
  <c r="J391" i="16"/>
  <c r="J369" i="16"/>
  <c r="J372" i="16"/>
  <c r="J344" i="16"/>
  <c r="J325" i="16"/>
  <c r="J306" i="16"/>
  <c r="J295" i="16"/>
  <c r="J290" i="16"/>
  <c r="J260" i="16"/>
  <c r="J245" i="16"/>
  <c r="J232" i="16"/>
  <c r="J213" i="16"/>
  <c r="J191" i="16"/>
  <c r="J183" i="16"/>
  <c r="J156" i="16"/>
  <c r="J142" i="16"/>
  <c r="J103" i="16"/>
  <c r="J111" i="16"/>
  <c r="J84" i="16"/>
  <c r="J75" i="16"/>
  <c r="J45" i="16"/>
  <c r="J27" i="16"/>
  <c r="J5" i="16"/>
  <c r="J2354" i="16"/>
  <c r="J2218" i="16"/>
  <c r="J1961" i="16"/>
  <c r="J2252" i="16"/>
  <c r="J2021" i="16"/>
  <c r="J1861" i="16"/>
  <c r="J2256" i="16"/>
  <c r="J2023" i="16"/>
  <c r="J1863" i="16"/>
  <c r="J1748" i="16"/>
  <c r="J1543" i="16"/>
  <c r="J1377" i="16"/>
  <c r="J1171" i="16"/>
  <c r="J624" i="16"/>
  <c r="J2296" i="16"/>
  <c r="J2179" i="16"/>
  <c r="J2043" i="16"/>
  <c r="J1885" i="16"/>
  <c r="J1749" i="16"/>
  <c r="J1613" i="16"/>
  <c r="J1430" i="16"/>
  <c r="J2226" i="16"/>
  <c r="J2116" i="16"/>
  <c r="J1996" i="16"/>
  <c r="J1878" i="16"/>
  <c r="J1778" i="16"/>
  <c r="J1693" i="16"/>
  <c r="J1557" i="16"/>
  <c r="J1420" i="16"/>
  <c r="J1316" i="16"/>
  <c r="J1177" i="16"/>
  <c r="J1081" i="16"/>
  <c r="J941" i="16"/>
  <c r="J734" i="16"/>
  <c r="J2333" i="16"/>
  <c r="J2229" i="16"/>
  <c r="J2177" i="16"/>
  <c r="J2060" i="16"/>
  <c r="J2272" i="16"/>
  <c r="J2225" i="16"/>
  <c r="J2327" i="16"/>
  <c r="J2278" i="16"/>
  <c r="J2191" i="16"/>
  <c r="J2143" i="16"/>
  <c r="J2077" i="16"/>
  <c r="J2000" i="16"/>
  <c r="J1893" i="16"/>
  <c r="J1898" i="16"/>
  <c r="J1792" i="16"/>
  <c r="J1722" i="16"/>
  <c r="J1606" i="16"/>
  <c r="J1535" i="16"/>
  <c r="J2305" i="16"/>
  <c r="J2276" i="16"/>
  <c r="J2210" i="16"/>
  <c r="J2178" i="16"/>
  <c r="J2135" i="16"/>
  <c r="J2109" i="16"/>
  <c r="J2030" i="16"/>
  <c r="J2033" i="16"/>
  <c r="J1991" i="16"/>
  <c r="J1957" i="16"/>
  <c r="J1937" i="16"/>
  <c r="J1908" i="16"/>
  <c r="J1855" i="16"/>
  <c r="J1835" i="16"/>
  <c r="J1788" i="16"/>
  <c r="J1689" i="16"/>
  <c r="J1721" i="16"/>
  <c r="J1691" i="16"/>
  <c r="J1694" i="16"/>
  <c r="J1632" i="16"/>
  <c r="J1601" i="16"/>
  <c r="J1574" i="16"/>
  <c r="J1536" i="16"/>
  <c r="J1529" i="16"/>
  <c r="J1469" i="16"/>
  <c r="J1440" i="16"/>
  <c r="J1409" i="16"/>
  <c r="J1379" i="16"/>
  <c r="J1351" i="16"/>
  <c r="J1292" i="16"/>
  <c r="J1290" i="16"/>
  <c r="J1252" i="16"/>
  <c r="J1221" i="16"/>
  <c r="J1195" i="16"/>
  <c r="J1155" i="16"/>
  <c r="J1128" i="16"/>
  <c r="J1094" i="16"/>
  <c r="J1073" i="16"/>
  <c r="J1049" i="16"/>
  <c r="J1007" i="16"/>
  <c r="J977" i="16"/>
  <c r="J974" i="16"/>
  <c r="J921" i="16"/>
  <c r="J864" i="16"/>
  <c r="J881" i="16"/>
  <c r="J739" i="16"/>
  <c r="J2326" i="16"/>
  <c r="J2317" i="16"/>
  <c r="J2302" i="16"/>
  <c r="J2286" i="16"/>
  <c r="J2273" i="16"/>
  <c r="J2243" i="16"/>
  <c r="J2240" i="16"/>
  <c r="J2215" i="16"/>
  <c r="J2203" i="16"/>
  <c r="J2187" i="16"/>
  <c r="J2154" i="16"/>
  <c r="J2148" i="16"/>
  <c r="J2139" i="16"/>
  <c r="J2122" i="16"/>
  <c r="J2110" i="16"/>
  <c r="J2091" i="16"/>
  <c r="J2078" i="16"/>
  <c r="J2029" i="16"/>
  <c r="J2031" i="16"/>
  <c r="J2019" i="16"/>
  <c r="J2047" i="16"/>
  <c r="J1988" i="16"/>
  <c r="J1977" i="16"/>
  <c r="J1963" i="16"/>
  <c r="J1955" i="16"/>
  <c r="J1940" i="16"/>
  <c r="J1892" i="16"/>
  <c r="J1930" i="16"/>
  <c r="J1886" i="16"/>
  <c r="J1876" i="16"/>
  <c r="J1841" i="16"/>
  <c r="J1826" i="16"/>
  <c r="J1822" i="16"/>
  <c r="J1811" i="16"/>
  <c r="J1790" i="16"/>
  <c r="J1705" i="16"/>
  <c r="J1717" i="16"/>
  <c r="J1729" i="16"/>
  <c r="J1762" i="16"/>
  <c r="J1747" i="16"/>
  <c r="J1738" i="16"/>
  <c r="J1735" i="16"/>
  <c r="J1645" i="16"/>
  <c r="J1627" i="16"/>
  <c r="J1612" i="16"/>
  <c r="J1600" i="16"/>
  <c r="J1564" i="16"/>
  <c r="J1571" i="16"/>
  <c r="J1547" i="16"/>
  <c r="J1534" i="16"/>
  <c r="J1499" i="16"/>
  <c r="J1507" i="16"/>
  <c r="J1489" i="16"/>
  <c r="J1473" i="16"/>
  <c r="J1446" i="16"/>
  <c r="J1439" i="16"/>
  <c r="J1417" i="16"/>
  <c r="J1405" i="16"/>
  <c r="J1395" i="16"/>
  <c r="J1380" i="16"/>
  <c r="J1368" i="16"/>
  <c r="J1347" i="16"/>
  <c r="J1305" i="16"/>
  <c r="J1301" i="16"/>
  <c r="J1284" i="16"/>
  <c r="J1261" i="16"/>
  <c r="J1241" i="16"/>
  <c r="J1219" i="16"/>
  <c r="J1206" i="16"/>
  <c r="J1164" i="16"/>
  <c r="J1157" i="16"/>
  <c r="J1140" i="16"/>
  <c r="J1126" i="16"/>
  <c r="J1119" i="16"/>
  <c r="J1097" i="16"/>
  <c r="J1085" i="16"/>
  <c r="J1067" i="16"/>
  <c r="J1047" i="16"/>
  <c r="J1030" i="16"/>
  <c r="J1008" i="16"/>
  <c r="J1000" i="16"/>
  <c r="J964" i="16"/>
  <c r="J942" i="16"/>
  <c r="J930" i="16"/>
  <c r="J924" i="16"/>
  <c r="J906" i="16"/>
  <c r="J895" i="16"/>
  <c r="J831" i="16"/>
  <c r="J816" i="16"/>
  <c r="J788" i="16"/>
  <c r="J807" i="16"/>
  <c r="J756" i="16"/>
  <c r="J726" i="16"/>
  <c r="J711" i="16"/>
  <c r="J696" i="16"/>
  <c r="J677" i="16"/>
  <c r="J657" i="16"/>
  <c r="J634" i="16"/>
  <c r="J631" i="16"/>
  <c r="J644" i="16"/>
  <c r="J597" i="16"/>
  <c r="J599" i="16"/>
  <c r="J570" i="16"/>
  <c r="J563" i="16"/>
  <c r="J536" i="16"/>
  <c r="J522" i="16"/>
  <c r="J477" i="16"/>
  <c r="J478" i="16"/>
  <c r="J500" i="16"/>
  <c r="J454" i="16"/>
  <c r="J444" i="16"/>
  <c r="J425" i="16"/>
  <c r="J406" i="16"/>
  <c r="J392" i="16"/>
  <c r="J354" i="16"/>
  <c r="J366" i="16"/>
  <c r="E359" i="6"/>
  <c r="J341" i="16"/>
  <c r="J317" i="16"/>
  <c r="J309" i="16"/>
  <c r="J299" i="16"/>
  <c r="J269" i="16"/>
  <c r="J247" i="16"/>
  <c r="J226" i="16"/>
  <c r="J218" i="16"/>
  <c r="J197" i="16"/>
  <c r="J182" i="16"/>
  <c r="J153" i="16"/>
  <c r="J154" i="16"/>
  <c r="J128" i="16"/>
  <c r="J106" i="16"/>
  <c r="J97" i="16"/>
  <c r="J81" i="16"/>
  <c r="J70" i="16"/>
  <c r="J44" i="16"/>
  <c r="J23" i="16"/>
  <c r="J10" i="16"/>
  <c r="J2348" i="16"/>
  <c r="J2269" i="16"/>
  <c r="J2036" i="16"/>
  <c r="J1879" i="16"/>
  <c r="J2268" i="16"/>
  <c r="J2034" i="16"/>
  <c r="J1839" i="16"/>
  <c r="J1642" i="16"/>
  <c r="J1467" i="16"/>
  <c r="J1268" i="16"/>
  <c r="J1061" i="16"/>
  <c r="J858" i="16"/>
  <c r="J626" i="16"/>
  <c r="J2280" i="16"/>
  <c r="J2014" i="16"/>
  <c r="J1831" i="16"/>
  <c r="J2244" i="16"/>
  <c r="J2085" i="16"/>
  <c r="J1914" i="16"/>
  <c r="J1491" i="16"/>
  <c r="J1387" i="16"/>
  <c r="J1278" i="16"/>
  <c r="J1150" i="16"/>
  <c r="J978" i="16"/>
  <c r="J704" i="16"/>
  <c r="J2259" i="16"/>
  <c r="J2180" i="16"/>
  <c r="J2124" i="16"/>
  <c r="J2306" i="16"/>
  <c r="J2171" i="16"/>
  <c r="J2239" i="16"/>
  <c r="J1983" i="16"/>
  <c r="J1889" i="16"/>
  <c r="J1836" i="16"/>
  <c r="J1750" i="16"/>
  <c r="J1695" i="16"/>
  <c r="J1610" i="16"/>
  <c r="J1527" i="16"/>
  <c r="J2314" i="16"/>
  <c r="J2238" i="16"/>
  <c r="J2237" i="16"/>
  <c r="J2208" i="16"/>
  <c r="J2184" i="16"/>
  <c r="J2137" i="16"/>
  <c r="J2108" i="16"/>
  <c r="J2075" i="16"/>
  <c r="J2045" i="16"/>
  <c r="J2044" i="16"/>
  <c r="J1981" i="16"/>
  <c r="J1953" i="16"/>
  <c r="J1932" i="16"/>
  <c r="J1901" i="16"/>
  <c r="J1850" i="16"/>
  <c r="J1821" i="16"/>
  <c r="J1791" i="16"/>
  <c r="J1715" i="16"/>
  <c r="J1740" i="16"/>
  <c r="J1608" i="16"/>
  <c r="J1566" i="16"/>
  <c r="J1545" i="16"/>
  <c r="J1526" i="16"/>
  <c r="J1533" i="16"/>
  <c r="J1485" i="16"/>
  <c r="J1468" i="16"/>
  <c r="J1424" i="16"/>
  <c r="J1404" i="16"/>
  <c r="J1359" i="16"/>
  <c r="J1327" i="16"/>
  <c r="J1314" i="16"/>
  <c r="J1283" i="16"/>
  <c r="J1251" i="16"/>
  <c r="J1224" i="16"/>
  <c r="J1198" i="16"/>
  <c r="J1160" i="16"/>
  <c r="J1125" i="16"/>
  <c r="J1110" i="16"/>
  <c r="J1096" i="16"/>
  <c r="J1072" i="16"/>
  <c r="J1069" i="16"/>
  <c r="J1045" i="16"/>
  <c r="J1010" i="16"/>
  <c r="J999" i="16"/>
  <c r="J961" i="16"/>
  <c r="J947" i="16"/>
  <c r="J940" i="16"/>
  <c r="J936" i="16"/>
  <c r="J919" i="16"/>
  <c r="J905" i="16"/>
  <c r="J888" i="16"/>
  <c r="J891" i="16"/>
  <c r="J835" i="16"/>
  <c r="J802" i="16"/>
  <c r="J798" i="16"/>
  <c r="J773" i="16"/>
  <c r="J758" i="16"/>
  <c r="J761" i="16"/>
  <c r="J725" i="16"/>
  <c r="J709" i="16"/>
  <c r="J694" i="16"/>
  <c r="J684" i="16"/>
  <c r="J658" i="16"/>
  <c r="J622" i="16"/>
  <c r="J617" i="16"/>
  <c r="J613" i="16"/>
  <c r="J594" i="16"/>
  <c r="J586" i="16"/>
  <c r="J558" i="16"/>
  <c r="J550" i="16"/>
  <c r="J537" i="16"/>
  <c r="J520" i="16"/>
  <c r="J487" i="16"/>
  <c r="J501" i="16"/>
  <c r="J494" i="16"/>
  <c r="J452" i="16"/>
  <c r="J443" i="16"/>
  <c r="J423" i="16"/>
  <c r="J405" i="16"/>
  <c r="J386" i="16"/>
  <c r="J352" i="16"/>
  <c r="J359" i="16"/>
  <c r="J345" i="16"/>
  <c r="J319" i="16"/>
  <c r="J311" i="16"/>
  <c r="J280" i="16"/>
  <c r="J266" i="16"/>
  <c r="J238" i="16"/>
  <c r="J221" i="16"/>
  <c r="J217" i="16"/>
  <c r="J201" i="16"/>
  <c r="J172" i="16"/>
  <c r="J177" i="16"/>
  <c r="J140" i="16"/>
  <c r="J96" i="16"/>
  <c r="J120" i="16"/>
  <c r="J79" i="16"/>
  <c r="J71" i="16"/>
  <c r="J55" i="16"/>
  <c r="J57" i="16"/>
  <c r="J25" i="16"/>
  <c r="J2355" i="16"/>
  <c r="J2138" i="16"/>
  <c r="J1874" i="16"/>
  <c r="J2262" i="16"/>
  <c r="J2087" i="16"/>
  <c r="J1944" i="16"/>
  <c r="J1808" i="16"/>
  <c r="J2219" i="16"/>
  <c r="J1925" i="16"/>
  <c r="J1328" i="16"/>
  <c r="J1152" i="16"/>
  <c r="J985" i="16"/>
  <c r="J792" i="16"/>
  <c r="J567" i="16"/>
  <c r="J2264" i="16"/>
  <c r="J2055" i="16"/>
  <c r="J1913" i="16"/>
  <c r="J1741" i="16"/>
  <c r="J1542" i="16"/>
  <c r="J2181" i="16"/>
  <c r="J2009" i="16"/>
  <c r="J1844" i="16"/>
  <c r="J1463" i="16"/>
  <c r="J1339" i="16"/>
  <c r="J1176" i="16"/>
  <c r="J1063" i="16"/>
  <c r="J688" i="16"/>
  <c r="J2245" i="16"/>
  <c r="J2151" i="16"/>
  <c r="J2083" i="16"/>
  <c r="J2289" i="16"/>
  <c r="J2158" i="16"/>
  <c r="J2291" i="16"/>
  <c r="J2224" i="16"/>
  <c r="J2153" i="16"/>
  <c r="J2098" i="16"/>
  <c r="J2017" i="16"/>
  <c r="J1939" i="16"/>
  <c r="J1832" i="16"/>
  <c r="J1780" i="16"/>
  <c r="J1716" i="16"/>
  <c r="J1647" i="16"/>
  <c r="J1552" i="16"/>
  <c r="J2336" i="16"/>
  <c r="J2223" i="16"/>
  <c r="J2331" i="16"/>
  <c r="J2315" i="16"/>
  <c r="J2303" i="16"/>
  <c r="J2287" i="16"/>
  <c r="J2247" i="16"/>
  <c r="J2217" i="16"/>
  <c r="J2186" i="16"/>
  <c r="J2172" i="16"/>
  <c r="J2130" i="16"/>
  <c r="J2092" i="16"/>
  <c r="J2016" i="16"/>
  <c r="J2059" i="16"/>
  <c r="J1997" i="16"/>
  <c r="J1967" i="16"/>
  <c r="J1933" i="16"/>
  <c r="J1921" i="16"/>
  <c r="J1866" i="16"/>
  <c r="J1823" i="16"/>
  <c r="J1809" i="16"/>
  <c r="J1765" i="16"/>
  <c r="J1720" i="16"/>
  <c r="J1696" i="16"/>
  <c r="J1745" i="16"/>
  <c r="J1711" i="16"/>
  <c r="J1708" i="16"/>
  <c r="J1629" i="16"/>
  <c r="J1607" i="16"/>
  <c r="J1588" i="16"/>
  <c r="J1434" i="16"/>
  <c r="J1394" i="16"/>
  <c r="J1378" i="16"/>
  <c r="J1346" i="16"/>
  <c r="J1315" i="16"/>
  <c r="J1263" i="16"/>
  <c r="J1249" i="16"/>
  <c r="J1204" i="16"/>
  <c r="J1162" i="16"/>
  <c r="J1139" i="16"/>
  <c r="J1034" i="16"/>
  <c r="J2323" i="16"/>
  <c r="J2313" i="16"/>
  <c r="J2265" i="16"/>
  <c r="J2257" i="16"/>
  <c r="J2236" i="16"/>
  <c r="J2220" i="16"/>
  <c r="J2205" i="16"/>
  <c r="J2188" i="16"/>
  <c r="J2156" i="16"/>
  <c r="J2152" i="16"/>
  <c r="J2142" i="16"/>
  <c r="J2128" i="16"/>
  <c r="J2106" i="16"/>
  <c r="J2094" i="16"/>
  <c r="J2080" i="16"/>
  <c r="J2025" i="16"/>
  <c r="J2066" i="16"/>
  <c r="J2063" i="16"/>
  <c r="J1987" i="16"/>
  <c r="J1975" i="16"/>
  <c r="J1964" i="16"/>
  <c r="J1945" i="16"/>
  <c r="J1895" i="16"/>
  <c r="J1935" i="16"/>
  <c r="J1931" i="16"/>
  <c r="J1883" i="16"/>
  <c r="J1871" i="16"/>
  <c r="J1854" i="16"/>
  <c r="J1833" i="16"/>
  <c r="J1820" i="16"/>
  <c r="J1817" i="16"/>
  <c r="J1793" i="16"/>
  <c r="J1771" i="16"/>
  <c r="J1742" i="16"/>
  <c r="J1692" i="16"/>
  <c r="J1657" i="16"/>
  <c r="J1675" i="16"/>
  <c r="J1698" i="16"/>
  <c r="J1703" i="16"/>
  <c r="J1682" i="16"/>
  <c r="J1640" i="16"/>
  <c r="J1628" i="16"/>
  <c r="J1596" i="16"/>
  <c r="J1595" i="16"/>
  <c r="J1575" i="16"/>
  <c r="J1579" i="16"/>
  <c r="J1546" i="16"/>
  <c r="J1506" i="16"/>
  <c r="J1520" i="16"/>
  <c r="J1528" i="16"/>
  <c r="J1488" i="16"/>
  <c r="J1471" i="16"/>
  <c r="J1455" i="16"/>
  <c r="J1428" i="16"/>
  <c r="J1414" i="16"/>
  <c r="J1402" i="16"/>
  <c r="J1393" i="16"/>
  <c r="J1376" i="16"/>
  <c r="J1354" i="16"/>
  <c r="J1343" i="16"/>
  <c r="J1331" i="16"/>
  <c r="J1307" i="16"/>
  <c r="J1294" i="16"/>
  <c r="J1282" i="16"/>
  <c r="J1265" i="16"/>
  <c r="J1254" i="16"/>
  <c r="J1230" i="16"/>
  <c r="J1223" i="16"/>
  <c r="J1205" i="16"/>
  <c r="J1183" i="16"/>
  <c r="J1174" i="16"/>
  <c r="J1159" i="16"/>
  <c r="J1146" i="16"/>
  <c r="J1127" i="16"/>
  <c r="J1092" i="16"/>
  <c r="J1086" i="16"/>
  <c r="J1058" i="16"/>
  <c r="J1046" i="16"/>
  <c r="J1032" i="16"/>
  <c r="J1016" i="16"/>
  <c r="J998" i="16"/>
  <c r="J963" i="16"/>
  <c r="J946" i="16"/>
  <c r="J967" i="16"/>
  <c r="J933" i="16"/>
  <c r="J918" i="16"/>
  <c r="J901" i="16"/>
  <c r="J882" i="16"/>
  <c r="J879" i="16"/>
  <c r="J825" i="16"/>
  <c r="J795" i="16"/>
  <c r="J771" i="16"/>
  <c r="J732" i="16"/>
  <c r="J762" i="16"/>
  <c r="J724" i="16"/>
  <c r="J710" i="16"/>
  <c r="J693" i="16"/>
  <c r="J674" i="16"/>
  <c r="J664" i="16"/>
  <c r="J646" i="16"/>
  <c r="J645" i="16"/>
  <c r="J638" i="16"/>
  <c r="J576" i="16"/>
  <c r="J574" i="16"/>
  <c r="J545" i="16"/>
  <c r="J565" i="16"/>
  <c r="J535" i="16"/>
  <c r="J518" i="16"/>
  <c r="J496" i="16"/>
  <c r="J498" i="16"/>
  <c r="J482" i="16"/>
  <c r="J451" i="16"/>
  <c r="J442" i="16"/>
  <c r="J404" i="16"/>
  <c r="J388" i="16"/>
  <c r="J376" i="16"/>
  <c r="J378" i="16"/>
  <c r="J337" i="16"/>
  <c r="J323" i="16"/>
  <c r="J307" i="16"/>
  <c r="J278" i="16"/>
  <c r="J277" i="16"/>
  <c r="J259" i="16"/>
  <c r="J244" i="16"/>
  <c r="J220" i="16"/>
  <c r="J211" i="16"/>
  <c r="J200" i="16"/>
  <c r="J158" i="16"/>
  <c r="J166" i="16"/>
  <c r="J176" i="16"/>
  <c r="J135" i="16"/>
  <c r="J114" i="16"/>
  <c r="J93" i="16"/>
  <c r="J80" i="16"/>
  <c r="J69" i="16"/>
  <c r="J47" i="16"/>
  <c r="J59" i="16"/>
  <c r="J20" i="16"/>
  <c r="J11" i="16"/>
  <c r="J2353" i="16"/>
  <c r="J2340" i="16"/>
  <c r="J2088" i="16"/>
  <c r="J1897" i="16"/>
  <c r="J2228" i="16"/>
  <c r="J2065" i="16"/>
  <c r="J1880" i="16"/>
  <c r="J1727" i="16"/>
  <c r="J1505" i="16"/>
  <c r="J1319" i="16"/>
  <c r="J1076" i="16"/>
  <c r="J897" i="16"/>
  <c r="J744" i="16"/>
  <c r="J531" i="16"/>
  <c r="J2230" i="16"/>
  <c r="J2105" i="16"/>
  <c r="J1934" i="16"/>
  <c r="J1772" i="16"/>
  <c r="J1568" i="16"/>
  <c r="J2332" i="16"/>
  <c r="J2319" i="16"/>
  <c r="J2299" i="16"/>
  <c r="J2271" i="16"/>
  <c r="J2260" i="16"/>
  <c r="J2248" i="16"/>
  <c r="J2235" i="16"/>
  <c r="J2216" i="16"/>
  <c r="J2202" i="16"/>
  <c r="J2185" i="16"/>
  <c r="J2163" i="16"/>
  <c r="J2149" i="16"/>
  <c r="J2141" i="16"/>
  <c r="J2120" i="16"/>
  <c r="J2101" i="16"/>
  <c r="J2090" i="16"/>
  <c r="J2081" i="16"/>
  <c r="J2027" i="16"/>
  <c r="J2020" i="16"/>
  <c r="J2010" i="16"/>
  <c r="J1995" i="16"/>
  <c r="J1976" i="16"/>
  <c r="J1962" i="16"/>
  <c r="J1946" i="16"/>
  <c r="J1920" i="16"/>
  <c r="J1911" i="16"/>
  <c r="J1929" i="16"/>
  <c r="J1882" i="16"/>
  <c r="J1873" i="16"/>
  <c r="J1853" i="16"/>
  <c r="J1830" i="16"/>
  <c r="J1818" i="16"/>
  <c r="J1802" i="16"/>
  <c r="J1786" i="16"/>
  <c r="J1769" i="16"/>
  <c r="J1714" i="16"/>
  <c r="J1758" i="16"/>
  <c r="J1718" i="16"/>
  <c r="J1684" i="16"/>
  <c r="J1676" i="16"/>
  <c r="J1685" i="16"/>
  <c r="J1736" i="16"/>
  <c r="J1641" i="16"/>
  <c r="J1625" i="16"/>
  <c r="J1604" i="16"/>
  <c r="J1592" i="16"/>
  <c r="J1572" i="16"/>
  <c r="J1549" i="16"/>
  <c r="J1512" i="16"/>
  <c r="J1517" i="16"/>
  <c r="J1523" i="16"/>
  <c r="J1484" i="16"/>
  <c r="J1470" i="16"/>
  <c r="J1456" i="16"/>
  <c r="J1435" i="16"/>
  <c r="J1423" i="16"/>
  <c r="J1408" i="16"/>
  <c r="J1392" i="16"/>
  <c r="J1375" i="16"/>
  <c r="J1362" i="16"/>
  <c r="J1344" i="16"/>
  <c r="J1324" i="16"/>
  <c r="J1311" i="16"/>
  <c r="J1287" i="16"/>
  <c r="J1269" i="16"/>
  <c r="J1274" i="16"/>
  <c r="J1253" i="16"/>
  <c r="J1229" i="16"/>
  <c r="J1222" i="16"/>
  <c r="J1201" i="16"/>
  <c r="J1181" i="16"/>
  <c r="J1168" i="16"/>
  <c r="J1158" i="16"/>
  <c r="J1134" i="16"/>
  <c r="J1115" i="16"/>
  <c r="J1108" i="16"/>
  <c r="J1090" i="16"/>
  <c r="J1078" i="16"/>
  <c r="J1070" i="16"/>
  <c r="J1048" i="16"/>
  <c r="J1029" i="16"/>
  <c r="J1009" i="16"/>
  <c r="J994" i="16"/>
  <c r="J949" i="16"/>
  <c r="J970" i="16"/>
  <c r="J989" i="16"/>
  <c r="J931" i="16"/>
  <c r="J915" i="16"/>
  <c r="J902" i="16"/>
  <c r="J893" i="16"/>
  <c r="J896" i="16"/>
  <c r="J843" i="16"/>
  <c r="J817" i="16"/>
  <c r="J806" i="16"/>
  <c r="J784" i="16"/>
  <c r="J775" i="16"/>
  <c r="J760" i="16"/>
  <c r="J733" i="16"/>
  <c r="J727" i="16"/>
  <c r="J705" i="16"/>
  <c r="J692" i="16"/>
  <c r="J682" i="16"/>
  <c r="J660" i="16"/>
  <c r="J630" i="16"/>
  <c r="J633" i="16"/>
  <c r="J649" i="16"/>
  <c r="J608" i="16"/>
  <c r="J606" i="16"/>
  <c r="J561" i="16"/>
  <c r="J542" i="16"/>
  <c r="J534" i="16"/>
  <c r="J516" i="16"/>
  <c r="J488" i="16"/>
  <c r="J479" i="16"/>
  <c r="J495" i="16"/>
  <c r="J440" i="16"/>
  <c r="J420" i="16"/>
  <c r="J402" i="16"/>
  <c r="J387" i="16"/>
  <c r="J355" i="16"/>
  <c r="J356" i="16"/>
  <c r="J346" i="16"/>
  <c r="J326" i="16"/>
  <c r="J305" i="16"/>
  <c r="J291" i="16"/>
  <c r="J283" i="16"/>
  <c r="J261" i="16"/>
  <c r="J241" i="16"/>
  <c r="J227" i="16"/>
  <c r="J210" i="16"/>
  <c r="J195" i="16"/>
  <c r="J162" i="16"/>
  <c r="J169" i="16"/>
  <c r="J147" i="16"/>
  <c r="J129" i="16"/>
  <c r="J117" i="16"/>
  <c r="J95" i="16"/>
  <c r="J90" i="16"/>
  <c r="J62" i="16"/>
  <c r="J58" i="16"/>
  <c r="J50" i="16"/>
  <c r="J22" i="16"/>
  <c r="J13" i="16"/>
  <c r="J2234" i="16"/>
  <c r="J2037" i="16"/>
  <c r="J2002" i="16"/>
  <c r="J1787" i="16"/>
  <c r="J1768" i="16"/>
  <c r="J1706" i="16"/>
  <c r="J1674" i="16"/>
  <c r="J1757" i="16"/>
  <c r="J1702" i="16"/>
  <c r="J1664" i="16"/>
  <c r="J1700" i="16"/>
  <c r="J1677" i="16"/>
  <c r="J1643" i="16"/>
  <c r="J1626" i="16"/>
  <c r="J1594" i="16"/>
  <c r="J1578" i="16"/>
  <c r="J1560" i="16"/>
  <c r="J1548" i="16"/>
  <c r="J1502" i="16"/>
  <c r="J1513" i="16"/>
  <c r="J1515" i="16"/>
  <c r="J1474" i="16"/>
  <c r="J1454" i="16"/>
  <c r="J1418" i="16"/>
  <c r="J1433" i="16"/>
  <c r="J1403" i="16"/>
  <c r="J1391" i="16"/>
  <c r="J1372" i="16"/>
  <c r="J1369" i="16"/>
  <c r="J1323" i="16"/>
  <c r="J1299" i="16"/>
  <c r="J1320" i="16"/>
  <c r="J1267" i="16"/>
  <c r="J1246" i="16"/>
  <c r="J1236" i="16"/>
  <c r="J1218" i="16"/>
  <c r="J1200" i="16"/>
  <c r="J1196" i="16"/>
  <c r="J1156" i="16"/>
  <c r="J1138" i="16"/>
  <c r="J1113" i="16"/>
  <c r="J1107" i="16"/>
  <c r="J1089" i="16"/>
  <c r="J1075" i="16"/>
  <c r="J1052" i="16"/>
  <c r="J1044" i="16"/>
  <c r="J1028" i="16"/>
  <c r="J1015" i="16"/>
  <c r="J995" i="16"/>
  <c r="J984" i="16"/>
  <c r="J962" i="16"/>
  <c r="J981" i="16"/>
  <c r="J927" i="16"/>
  <c r="J917" i="16"/>
  <c r="J900" i="16"/>
  <c r="J894" i="16"/>
  <c r="J880" i="16"/>
  <c r="J836" i="16"/>
  <c r="J826" i="16"/>
  <c r="J804" i="16"/>
  <c r="J797" i="16"/>
  <c r="J774" i="16"/>
  <c r="J755" i="16"/>
  <c r="J736" i="16"/>
  <c r="J708" i="16"/>
  <c r="J691" i="16"/>
  <c r="J676" i="16"/>
  <c r="J663" i="16"/>
  <c r="J652" i="16"/>
  <c r="J621" i="16"/>
  <c r="J625" i="16"/>
  <c r="J591" i="16"/>
  <c r="J609" i="16"/>
  <c r="J560" i="16"/>
  <c r="J568" i="16"/>
  <c r="J517" i="16"/>
  <c r="J505" i="16"/>
  <c r="J464" i="16"/>
  <c r="J455" i="16"/>
  <c r="J441" i="16"/>
  <c r="J419" i="16"/>
  <c r="J403" i="16"/>
  <c r="J385" i="16"/>
  <c r="J371" i="16"/>
  <c r="J368" i="16"/>
  <c r="J338" i="16"/>
  <c r="J324" i="16"/>
  <c r="J310" i="16"/>
  <c r="J274" i="16"/>
  <c r="J282" i="16"/>
  <c r="J256" i="16"/>
  <c r="J243" i="16"/>
  <c r="J228" i="16"/>
  <c r="J209" i="16"/>
  <c r="J202" i="16"/>
  <c r="J150" i="16"/>
  <c r="J173" i="16"/>
  <c r="J126" i="16"/>
  <c r="J124" i="16"/>
  <c r="J105" i="16"/>
  <c r="J94" i="16"/>
  <c r="J82" i="16"/>
  <c r="J63" i="16"/>
  <c r="J51" i="16"/>
  <c r="J36" i="16"/>
  <c r="J21" i="16"/>
  <c r="J9" i="16"/>
  <c r="J2346" i="16"/>
  <c r="J2200" i="16"/>
  <c r="J1979" i="16"/>
  <c r="J2339" i="16"/>
  <c r="J2175" i="16"/>
  <c r="J2035" i="16"/>
  <c r="J1928" i="16"/>
  <c r="J1801" i="16"/>
  <c r="J1725" i="16"/>
  <c r="J1719" i="16"/>
  <c r="J1656" i="16"/>
  <c r="J1639" i="16"/>
  <c r="J1622" i="16"/>
  <c r="J1603" i="16"/>
  <c r="J1593" i="16"/>
  <c r="J1584" i="16"/>
  <c r="J1561" i="16"/>
  <c r="J1550" i="16"/>
  <c r="J1518" i="16"/>
  <c r="J1501" i="16"/>
  <c r="J1510" i="16"/>
  <c r="J1482" i="16"/>
  <c r="J1466" i="16"/>
  <c r="J1444" i="16"/>
  <c r="J1422" i="16"/>
  <c r="J1416" i="16"/>
  <c r="J1400" i="16"/>
  <c r="J1388" i="16"/>
  <c r="J1373" i="16"/>
  <c r="J1361" i="16"/>
  <c r="J1340" i="16"/>
  <c r="J1322" i="16"/>
  <c r="J1302" i="16"/>
  <c r="J1297" i="16"/>
  <c r="J1273" i="16"/>
  <c r="J1244" i="16"/>
  <c r="J1232" i="16"/>
  <c r="J1214" i="16"/>
  <c r="J1203" i="16"/>
  <c r="J1193" i="16"/>
  <c r="J1163" i="16"/>
  <c r="J1154" i="16"/>
  <c r="J1135" i="16"/>
  <c r="J1124" i="16"/>
  <c r="J1105" i="16"/>
  <c r="J1093" i="16"/>
  <c r="J1087" i="16"/>
  <c r="J1062" i="16"/>
  <c r="J1043" i="16"/>
  <c r="J1027" i="16"/>
  <c r="J1012" i="16"/>
  <c r="J993" i="16"/>
  <c r="J973" i="16"/>
  <c r="J969" i="16"/>
  <c r="J982" i="16"/>
  <c r="J926" i="16"/>
  <c r="J916" i="16"/>
  <c r="J903" i="16"/>
  <c r="J861" i="16"/>
  <c r="J872" i="16"/>
  <c r="J850" i="16"/>
  <c r="J830" i="16"/>
  <c r="J821" i="16"/>
  <c r="J791" i="16"/>
  <c r="J770" i="16"/>
  <c r="J754" i="16"/>
  <c r="J740" i="16"/>
  <c r="J706" i="16"/>
  <c r="J690" i="16"/>
  <c r="J680" i="16"/>
  <c r="J614" i="16"/>
  <c r="J616" i="16"/>
  <c r="J635" i="16"/>
  <c r="J575" i="16"/>
  <c r="J577" i="16"/>
  <c r="J541" i="16"/>
  <c r="J553" i="16"/>
  <c r="J527" i="16"/>
  <c r="J519" i="16"/>
  <c r="J499" i="16"/>
  <c r="J475" i="16"/>
  <c r="J468" i="16"/>
  <c r="J436" i="16"/>
  <c r="J417" i="16"/>
  <c r="J400" i="16"/>
  <c r="J384" i="16"/>
  <c r="J375" i="16"/>
  <c r="J365" i="16"/>
  <c r="J333" i="16"/>
  <c r="J327" i="16"/>
  <c r="J304" i="16"/>
  <c r="J276" i="16"/>
  <c r="J264" i="16"/>
  <c r="J254" i="16"/>
  <c r="J240" i="16"/>
  <c r="J222" i="16"/>
  <c r="J208" i="16"/>
  <c r="J192" i="16"/>
  <c r="J161" i="16"/>
  <c r="J159" i="16"/>
  <c r="J143" i="16"/>
  <c r="J144" i="16"/>
  <c r="J102" i="16"/>
  <c r="J104" i="16"/>
  <c r="J78" i="16"/>
  <c r="J64" i="16"/>
  <c r="J54" i="16"/>
  <c r="J37" i="16"/>
  <c r="J24" i="16"/>
  <c r="J2360" i="16"/>
  <c r="J2343" i="16"/>
  <c r="J2146" i="16"/>
  <c r="J1943" i="16"/>
  <c r="J2318" i="16"/>
  <c r="J2136" i="16"/>
  <c r="J1887" i="16"/>
  <c r="J1658" i="16"/>
  <c r="J2157" i="16"/>
  <c r="J2050" i="16"/>
  <c r="J1924" i="16"/>
  <c r="J1679" i="16"/>
  <c r="J1623" i="16"/>
  <c r="J1426" i="16"/>
  <c r="J1237" i="16"/>
  <c r="J1133" i="16"/>
  <c r="J996" i="16"/>
  <c r="J840" i="16"/>
  <c r="J763" i="16"/>
  <c r="J721" i="16"/>
  <c r="J703" i="16"/>
  <c r="J689" i="16"/>
  <c r="J627" i="16"/>
  <c r="J497" i="16"/>
  <c r="J467" i="16"/>
  <c r="J435" i="16"/>
  <c r="J418" i="16"/>
  <c r="J401" i="16"/>
  <c r="J382" i="16"/>
  <c r="J370" i="16"/>
  <c r="J351" i="16"/>
  <c r="J335" i="16"/>
  <c r="J318" i="16"/>
  <c r="J285" i="16"/>
  <c r="J289" i="16"/>
  <c r="J263" i="16"/>
  <c r="J255" i="16"/>
  <c r="J242" i="16"/>
  <c r="J231" i="16"/>
  <c r="J207" i="16"/>
  <c r="J196" i="16"/>
  <c r="J151" i="16"/>
  <c r="J155" i="16"/>
  <c r="J123" i="16"/>
  <c r="J130" i="16"/>
  <c r="J100" i="16"/>
  <c r="J116" i="16"/>
  <c r="J73" i="16"/>
  <c r="J67" i="16"/>
  <c r="J52" i="16"/>
  <c r="J30" i="16"/>
  <c r="J19" i="16"/>
  <c r="J2359" i="16"/>
  <c r="J2338" i="16"/>
  <c r="J2298" i="16"/>
  <c r="J2042" i="16"/>
  <c r="J1852" i="16"/>
  <c r="J2221" i="16"/>
  <c r="J2003" i="16"/>
  <c r="J1709" i="16"/>
  <c r="J2199" i="16"/>
  <c r="J1990" i="16"/>
  <c r="J1425" i="16"/>
  <c r="J1258" i="16"/>
  <c r="J1118" i="16"/>
  <c r="J929" i="16"/>
  <c r="J772" i="16"/>
  <c r="J515" i="16"/>
  <c r="J2246" i="16"/>
  <c r="J2086" i="16"/>
  <c r="J1954" i="16"/>
  <c r="J1881" i="16"/>
  <c r="J1730" i="16"/>
  <c r="J1624" i="16"/>
  <c r="J1587" i="16"/>
  <c r="J1559" i="16"/>
  <c r="J1447" i="16"/>
  <c r="J1389" i="16"/>
  <c r="J1374" i="16"/>
  <c r="J1367" i="16"/>
  <c r="J1342" i="16"/>
  <c r="J1330" i="16"/>
  <c r="J1286" i="16"/>
  <c r="J1310" i="16"/>
  <c r="J1272" i="16"/>
  <c r="J1279" i="16"/>
  <c r="J1247" i="16"/>
  <c r="J1233" i="16"/>
  <c r="J1216" i="16"/>
  <c r="J1191" i="16"/>
  <c r="J1192" i="16"/>
  <c r="J1165" i="16"/>
  <c r="J1153" i="16"/>
  <c r="J1132" i="16"/>
  <c r="J1123" i="16"/>
  <c r="J1103" i="16"/>
  <c r="J1077" i="16"/>
  <c r="J1054" i="16"/>
  <c r="J1041" i="16"/>
  <c r="J1025" i="16"/>
  <c r="J1004" i="16"/>
  <c r="J997" i="16"/>
  <c r="J951" i="16"/>
  <c r="J948" i="16"/>
  <c r="J971" i="16"/>
  <c r="J925" i="16"/>
  <c r="J913" i="16"/>
  <c r="J884" i="16"/>
  <c r="J873" i="16"/>
  <c r="J883" i="16"/>
  <c r="J853" i="16"/>
  <c r="J852" i="16"/>
  <c r="J820" i="16"/>
  <c r="J796" i="16"/>
  <c r="J789" i="16"/>
  <c r="J769" i="16"/>
  <c r="J729" i="16"/>
  <c r="J749" i="16"/>
  <c r="J720" i="16"/>
  <c r="J707" i="16"/>
  <c r="J687" i="16"/>
  <c r="J673" i="16"/>
  <c r="J655" i="16"/>
  <c r="J618" i="16"/>
  <c r="J637" i="16"/>
  <c r="J610" i="16"/>
  <c r="J589" i="16"/>
  <c r="J579" i="16"/>
  <c r="J540" i="16"/>
  <c r="J569" i="16"/>
  <c r="J530" i="16"/>
  <c r="J513" i="16"/>
  <c r="J481" i="16"/>
  <c r="J470" i="16"/>
  <c r="J469" i="16"/>
  <c r="J456" i="16"/>
  <c r="J433" i="16"/>
  <c r="J416" i="16"/>
  <c r="J399" i="16"/>
  <c r="J381" i="16"/>
  <c r="J358" i="16"/>
  <c r="J350" i="16"/>
  <c r="J334" i="16"/>
  <c r="J322" i="16"/>
  <c r="J279" i="16"/>
  <c r="J281" i="16"/>
  <c r="J267" i="16"/>
  <c r="J272" i="16"/>
  <c r="J239" i="16"/>
  <c r="J230" i="16"/>
  <c r="J205" i="16"/>
  <c r="J198" i="16"/>
  <c r="J164" i="16"/>
  <c r="J171" i="16"/>
  <c r="J131" i="16"/>
  <c r="J134" i="16"/>
  <c r="J99" i="16"/>
  <c r="J77" i="16"/>
  <c r="J68" i="16"/>
  <c r="J48" i="16"/>
  <c r="J26" i="16"/>
  <c r="J18" i="16"/>
  <c r="J2357" i="16"/>
  <c r="J2337" i="16"/>
  <c r="J2250" i="16"/>
  <c r="J1796" i="16"/>
  <c r="J225" i="16"/>
  <c r="J203" i="16"/>
  <c r="J190" i="16"/>
  <c r="J152" i="16"/>
  <c r="J141" i="16"/>
  <c r="J132" i="16"/>
  <c r="J112" i="16"/>
  <c r="J115" i="16"/>
  <c r="J91" i="16"/>
  <c r="J65" i="16"/>
  <c r="J49" i="16"/>
  <c r="J29" i="16"/>
  <c r="J17" i="16"/>
  <c r="J2358" i="16"/>
  <c r="J2324" i="16"/>
  <c r="J2170" i="16"/>
  <c r="J1918" i="16"/>
  <c r="J2131" i="16"/>
  <c r="J1907" i="16"/>
  <c r="J2329" i="16"/>
  <c r="J2119" i="16"/>
  <c r="J1942" i="16"/>
  <c r="J1782" i="16"/>
  <c r="J1570" i="16"/>
  <c r="J1355" i="16"/>
  <c r="J1190" i="16"/>
  <c r="J966" i="16"/>
  <c r="J662" i="16"/>
  <c r="J2311" i="16"/>
  <c r="J2134" i="16"/>
  <c r="J1998" i="16"/>
  <c r="J1851" i="16"/>
  <c r="J1678" i="16"/>
  <c r="J1508" i="16"/>
  <c r="J2282" i="16"/>
  <c r="J2133" i="16"/>
  <c r="J2062" i="16"/>
  <c r="J1899" i="16"/>
  <c r="J1766" i="16"/>
  <c r="J1753" i="16"/>
  <c r="J1436" i="16"/>
  <c r="J1262" i="16"/>
  <c r="J937" i="16"/>
  <c r="J911" i="16"/>
  <c r="J886" i="16"/>
  <c r="J793" i="16"/>
  <c r="J672" i="16"/>
  <c r="J640" i="16"/>
  <c r="J603" i="16"/>
  <c r="J604" i="16"/>
  <c r="J543" i="16"/>
  <c r="J512" i="16"/>
  <c r="J506" i="16"/>
  <c r="J447" i="16"/>
  <c r="J415" i="16"/>
  <c r="J367" i="16"/>
  <c r="J336" i="16"/>
  <c r="J292" i="16"/>
  <c r="J265" i="16"/>
  <c r="J237" i="16"/>
  <c r="J2309" i="16"/>
  <c r="J2277" i="16"/>
  <c r="J2254" i="16"/>
  <c r="J2207" i="16"/>
  <c r="J2183" i="16"/>
  <c r="J2176" i="16"/>
  <c r="J2117" i="16"/>
  <c r="J2084" i="16"/>
  <c r="J2022" i="16"/>
  <c r="J2012" i="16"/>
  <c r="J1999" i="16"/>
  <c r="J1948" i="16"/>
  <c r="J1894" i="16"/>
  <c r="J1909" i="16"/>
  <c r="J1936" i="16"/>
  <c r="J1872" i="16"/>
  <c r="J1846" i="16"/>
  <c r="J1799" i="16"/>
  <c r="J1770" i="16"/>
  <c r="J1660" i="16"/>
  <c r="J1681" i="16"/>
  <c r="J1763" i="16"/>
  <c r="J1631" i="16"/>
  <c r="J1619" i="16"/>
  <c r="J1581" i="16"/>
  <c r="J1556" i="16"/>
  <c r="J1504" i="16"/>
  <c r="J1494" i="16"/>
  <c r="J1464" i="16"/>
  <c r="J1437" i="16"/>
  <c r="J1399" i="16"/>
  <c r="J1370" i="16"/>
  <c r="J1341" i="16"/>
  <c r="J1285" i="16"/>
  <c r="J1275" i="16"/>
  <c r="J1234" i="16"/>
  <c r="J1182" i="16"/>
  <c r="J1167" i="16"/>
  <c r="J1149" i="16"/>
  <c r="J1111" i="16"/>
  <c r="J1084" i="16"/>
  <c r="J1050" i="16"/>
  <c r="J1017" i="16"/>
  <c r="J945" i="16"/>
  <c r="J980" i="16"/>
  <c r="J934" i="16"/>
  <c r="J875" i="16"/>
  <c r="J892" i="16"/>
  <c r="J846" i="16"/>
  <c r="J783" i="16"/>
  <c r="J767" i="16"/>
  <c r="J728" i="16"/>
  <c r="J718" i="16"/>
  <c r="J702" i="16"/>
  <c r="J685" i="16"/>
  <c r="J667" i="16"/>
  <c r="J656" i="16"/>
  <c r="J641" i="16"/>
  <c r="J590" i="16"/>
  <c r="J601" i="16"/>
  <c r="J582" i="16"/>
  <c r="J556" i="16"/>
  <c r="J552" i="16"/>
  <c r="J528" i="16"/>
  <c r="J509" i="16"/>
  <c r="J490" i="16"/>
  <c r="J474" i="16"/>
  <c r="J463" i="16"/>
  <c r="J446" i="16"/>
  <c r="J434" i="16"/>
  <c r="J414" i="16"/>
  <c r="J395" i="16"/>
  <c r="J383" i="16"/>
  <c r="J364" i="16"/>
  <c r="J349" i="16"/>
  <c r="J332" i="16"/>
  <c r="J312" i="16"/>
  <c r="J286" i="16"/>
  <c r="J298" i="16"/>
  <c r="J271" i="16"/>
  <c r="J252" i="16"/>
  <c r="J235" i="16"/>
  <c r="J204" i="16"/>
  <c r="J186" i="16"/>
  <c r="J168" i="16"/>
  <c r="J157" i="16"/>
  <c r="J127" i="16"/>
  <c r="J145" i="16"/>
  <c r="J109" i="16"/>
  <c r="J92" i="16"/>
  <c r="J86" i="16"/>
  <c r="J66" i="16"/>
  <c r="J43" i="16"/>
  <c r="J28" i="16"/>
  <c r="J16" i="16"/>
  <c r="J2352" i="16"/>
  <c r="J2300" i="16"/>
  <c r="J2107" i="16"/>
  <c r="J2039" i="16"/>
  <c r="J1825" i="16"/>
  <c r="J2312" i="16"/>
  <c r="J2089" i="16"/>
  <c r="J1845" i="16"/>
  <c r="J1655" i="16"/>
  <c r="J1458" i="16"/>
  <c r="J1235" i="16"/>
  <c r="J1042" i="16"/>
  <c r="J914" i="16"/>
  <c r="J823" i="16"/>
  <c r="J583" i="16"/>
  <c r="J2160" i="16"/>
  <c r="J1798" i="16"/>
  <c r="J1651" i="16"/>
  <c r="J1495" i="16"/>
  <c r="J2290" i="16"/>
  <c r="J2147" i="16"/>
  <c r="J2102" i="16"/>
  <c r="J1973" i="16"/>
  <c r="J1868" i="16"/>
  <c r="J1663" i="16"/>
  <c r="J1637" i="16"/>
  <c r="J1509" i="16"/>
  <c r="J1366" i="16"/>
  <c r="J1231" i="16"/>
  <c r="J1137" i="16"/>
  <c r="J1040" i="16"/>
  <c r="J928" i="16"/>
  <c r="J869" i="16"/>
  <c r="J870" i="16"/>
  <c r="J849" i="16"/>
  <c r="J822" i="16"/>
  <c r="J766" i="16"/>
  <c r="J659" i="16"/>
  <c r="J636" i="16"/>
  <c r="J587" i="16"/>
  <c r="J544" i="16"/>
  <c r="J523" i="16"/>
  <c r="J485" i="16"/>
  <c r="J466" i="16"/>
  <c r="J432" i="16"/>
  <c r="J398" i="16"/>
  <c r="J347" i="16"/>
  <c r="J320" i="16"/>
  <c r="J294" i="16"/>
  <c r="J253" i="16"/>
  <c r="J2325" i="16"/>
  <c r="J2266" i="16"/>
  <c r="J2227" i="16"/>
  <c r="J2193" i="16"/>
  <c r="J2166" i="16"/>
  <c r="J2125" i="16"/>
  <c r="J2100" i="16"/>
  <c r="J2015" i="16"/>
  <c r="J2028" i="16"/>
  <c r="J2006" i="16"/>
  <c r="J1971" i="16"/>
  <c r="J1890" i="16"/>
  <c r="J1870" i="16"/>
  <c r="J1828" i="16"/>
  <c r="J1807" i="16"/>
  <c r="J1776" i="16"/>
  <c r="J1668" i="16"/>
  <c r="J1697" i="16"/>
  <c r="J1671" i="16"/>
  <c r="J1653" i="16"/>
  <c r="J1569" i="16"/>
  <c r="J1540" i="16"/>
  <c r="J1522" i="16"/>
  <c r="J1477" i="16"/>
  <c r="J1453" i="16"/>
  <c r="J1429" i="16"/>
  <c r="J1386" i="16"/>
  <c r="J1356" i="16"/>
  <c r="J1329" i="16"/>
  <c r="J1313" i="16"/>
  <c r="J1276" i="16"/>
  <c r="J1239" i="16"/>
  <c r="J1211" i="16"/>
  <c r="J1185" i="16"/>
  <c r="J1130" i="16"/>
  <c r="J1104" i="16"/>
  <c r="J1055" i="16"/>
  <c r="J1039" i="16"/>
  <c r="J1023" i="16"/>
  <c r="J992" i="16"/>
  <c r="J968" i="16"/>
  <c r="J912" i="16"/>
  <c r="J871" i="16"/>
  <c r="J824" i="16"/>
  <c r="J794" i="16"/>
  <c r="J753" i="16"/>
  <c r="J611" i="16"/>
  <c r="J2335" i="16"/>
  <c r="J2308" i="16"/>
  <c r="J2293" i="16"/>
  <c r="J2261" i="16"/>
  <c r="J2255" i="16"/>
  <c r="J2232" i="16"/>
  <c r="J2213" i="16"/>
  <c r="J2197" i="16"/>
  <c r="J2167" i="16"/>
  <c r="J2162" i="16"/>
  <c r="J2161" i="16"/>
  <c r="J2129" i="16"/>
  <c r="J2113" i="16"/>
  <c r="J2099" i="16"/>
  <c r="J2074" i="16"/>
  <c r="J2061" i="16"/>
  <c r="J2068" i="16"/>
  <c r="J2069" i="16"/>
  <c r="J2001" i="16"/>
  <c r="J1989" i="16"/>
  <c r="J1972" i="16"/>
  <c r="J1949" i="16"/>
  <c r="J1903" i="16"/>
  <c r="J1910" i="16"/>
  <c r="J1902" i="16"/>
  <c r="J1916" i="16"/>
  <c r="J1862" i="16"/>
  <c r="J1858" i="16"/>
  <c r="J1843" i="16"/>
  <c r="J1834" i="16"/>
  <c r="J1814" i="16"/>
  <c r="J1803" i="16"/>
  <c r="J1777" i="16"/>
  <c r="J1767" i="16"/>
  <c r="J1744" i="16"/>
  <c r="J1743" i="16"/>
  <c r="J1761" i="16"/>
  <c r="J1665" i="16"/>
  <c r="J1683" i="16"/>
  <c r="J1699" i="16"/>
  <c r="J1652" i="16"/>
  <c r="J1633" i="16"/>
  <c r="J1618" i="16"/>
  <c r="J1614" i="16"/>
  <c r="J1590" i="16"/>
  <c r="J1580" i="16"/>
  <c r="J1554" i="16"/>
  <c r="J1539" i="16"/>
  <c r="J1524" i="16"/>
  <c r="J1530" i="16"/>
  <c r="J1496" i="16"/>
  <c r="J1480" i="16"/>
  <c r="J1448" i="16"/>
  <c r="J1415" i="16"/>
  <c r="J1432" i="16"/>
  <c r="J1385" i="16"/>
  <c r="J1358" i="16"/>
  <c r="J1353" i="16"/>
  <c r="J1338" i="16"/>
  <c r="J1325" i="16"/>
  <c r="J1304" i="16"/>
  <c r="J1288" i="16"/>
  <c r="J1271" i="16"/>
  <c r="J1277" i="16"/>
  <c r="J1238" i="16"/>
  <c r="J1226" i="16"/>
  <c r="J1210" i="16"/>
  <c r="J1180" i="16"/>
  <c r="J1194" i="16"/>
  <c r="J1166" i="16"/>
  <c r="J1151" i="16"/>
  <c r="J1145" i="16"/>
  <c r="J1120" i="16"/>
  <c r="J1100" i="16"/>
  <c r="J1079" i="16"/>
  <c r="J1059" i="16"/>
  <c r="J1066" i="16"/>
  <c r="J1038" i="16"/>
  <c r="J1024" i="16"/>
  <c r="J1005" i="16"/>
  <c r="J952" i="16"/>
  <c r="J975" i="16"/>
  <c r="J943" i="16"/>
  <c r="J988" i="16"/>
  <c r="J932" i="16"/>
  <c r="J910" i="16"/>
  <c r="J863" i="16"/>
  <c r="J878" i="16"/>
  <c r="J860" i="16"/>
  <c r="J838" i="16"/>
  <c r="J815" i="16"/>
  <c r="J785" i="16"/>
  <c r="J782" i="16"/>
  <c r="J768" i="16"/>
  <c r="J745" i="16"/>
  <c r="J748" i="16"/>
  <c r="J714" i="16"/>
  <c r="J699" i="16"/>
  <c r="J683" i="16"/>
  <c r="J668" i="16"/>
  <c r="J654" i="16"/>
  <c r="J647" i="16"/>
  <c r="J639" i="16"/>
  <c r="J605" i="16"/>
  <c r="J573" i="16"/>
  <c r="J581" i="16"/>
  <c r="J562" i="16"/>
  <c r="J557" i="16"/>
  <c r="J510" i="16"/>
  <c r="J492" i="16"/>
  <c r="J503" i="16"/>
  <c r="J462" i="16"/>
  <c r="J445" i="16"/>
  <c r="J430" i="16"/>
  <c r="J412" i="16"/>
  <c r="J397" i="16"/>
  <c r="J379" i="16"/>
  <c r="J360" i="16"/>
  <c r="J348" i="16"/>
  <c r="J328" i="16"/>
  <c r="J316" i="16"/>
  <c r="J300" i="16"/>
  <c r="J293" i="16"/>
  <c r="J262" i="16"/>
  <c r="J234" i="16"/>
  <c r="J215" i="16"/>
  <c r="J206" i="16"/>
  <c r="J189" i="16"/>
  <c r="J181" i="16"/>
  <c r="J148" i="16"/>
  <c r="J137" i="16"/>
  <c r="J133" i="16"/>
  <c r="J108" i="16"/>
  <c r="J118" i="16"/>
  <c r="J85" i="16"/>
  <c r="J41" i="16"/>
  <c r="J46" i="16"/>
  <c r="J33" i="16"/>
  <c r="J15" i="16"/>
  <c r="J2349" i="16"/>
  <c r="E262" i="12"/>
  <c r="F262" i="12" s="1"/>
  <c r="G46" i="19" s="1"/>
  <c r="E230" i="12"/>
  <c r="F230" i="12" s="1"/>
  <c r="G35" i="19" s="1"/>
  <c r="E260" i="12"/>
  <c r="F260" i="12" s="1"/>
  <c r="G66" i="19" s="1"/>
  <c r="E244" i="12"/>
  <c r="F244" i="12" s="1"/>
  <c r="G268" i="19" s="1"/>
  <c r="E212" i="12"/>
  <c r="F212" i="12" s="1"/>
  <c r="G163" i="19" s="1"/>
  <c r="E196" i="12"/>
  <c r="F196" i="12" s="1"/>
  <c r="G190" i="19" s="1"/>
  <c r="E100" i="12"/>
  <c r="F100" i="12" s="1"/>
  <c r="G247" i="19" s="1"/>
  <c r="E68" i="12"/>
  <c r="F68" i="12" s="1"/>
  <c r="G156" i="19" s="1"/>
  <c r="E52" i="12"/>
  <c r="F52" i="12" s="1"/>
  <c r="G114" i="19" s="1"/>
  <c r="E20" i="12"/>
  <c r="F20" i="12" s="1"/>
  <c r="G30" i="19" s="1"/>
  <c r="E307" i="12"/>
  <c r="F307" i="12" s="1"/>
  <c r="G222" i="19" s="1"/>
  <c r="E4" i="12"/>
  <c r="F4" i="12" s="1"/>
  <c r="G16" i="19" s="1"/>
  <c r="E98" i="12"/>
  <c r="F98" i="12" s="1"/>
  <c r="G292" i="19" s="1"/>
  <c r="E114" i="12"/>
  <c r="F114" i="12" s="1"/>
  <c r="G12" i="19" s="1"/>
  <c r="E312" i="12"/>
  <c r="F312" i="12" s="1"/>
  <c r="G40" i="19" s="1"/>
  <c r="E311" i="12"/>
  <c r="F311" i="12" s="1"/>
  <c r="G32" i="19" s="1"/>
  <c r="E296" i="12"/>
  <c r="F296" i="12" s="1"/>
  <c r="G282" i="19" s="1"/>
  <c r="E275" i="12"/>
  <c r="F275" i="12" s="1"/>
  <c r="G124" i="19" s="1"/>
  <c r="E243" i="12"/>
  <c r="F243" i="12" s="1"/>
  <c r="G134" i="19" s="1"/>
  <c r="E227" i="12"/>
  <c r="F227" i="12" s="1"/>
  <c r="G169" i="19" s="1"/>
  <c r="E211" i="12"/>
  <c r="F211" i="12" s="1"/>
  <c r="G127" i="19" s="1"/>
  <c r="E179" i="12"/>
  <c r="F179" i="12" s="1"/>
  <c r="G241" i="19" s="1"/>
  <c r="E163" i="12"/>
  <c r="F163" i="12" s="1"/>
  <c r="G167" i="19" s="1"/>
  <c r="E147" i="12"/>
  <c r="F147" i="12" s="1"/>
  <c r="G36" i="19" s="1"/>
  <c r="E115" i="12"/>
  <c r="F115" i="12" s="1"/>
  <c r="G173" i="19" s="1"/>
  <c r="E99" i="12"/>
  <c r="F99" i="12" s="1"/>
  <c r="G225" i="19" s="1"/>
  <c r="E83" i="12"/>
  <c r="F83" i="12" s="1"/>
  <c r="G183" i="19" s="1"/>
  <c r="E67" i="12"/>
  <c r="F67" i="12" s="1"/>
  <c r="G235" i="19" s="1"/>
  <c r="E51" i="12"/>
  <c r="F51" i="12" s="1"/>
  <c r="G302" i="19" s="1"/>
  <c r="E297" i="12"/>
  <c r="F297" i="12" s="1"/>
  <c r="G101" i="19" s="1"/>
  <c r="E265" i="12"/>
  <c r="F265" i="12" s="1"/>
  <c r="G296" i="19" s="1"/>
  <c r="E313" i="12"/>
  <c r="F313" i="12" s="1"/>
  <c r="G108" i="19" s="1"/>
  <c r="E249" i="12"/>
  <c r="F249" i="12" s="1"/>
  <c r="G118" i="19" s="1"/>
  <c r="E201" i="12"/>
  <c r="F201" i="12" s="1"/>
  <c r="G239" i="19" s="1"/>
  <c r="E217" i="12"/>
  <c r="F217" i="12" s="1"/>
  <c r="G153" i="19" s="1"/>
  <c r="E231" i="12"/>
  <c r="F231" i="12" s="1"/>
  <c r="G88" i="19" s="1"/>
  <c r="E247" i="12"/>
  <c r="F247" i="12" s="1"/>
  <c r="G144" i="19" s="1"/>
  <c r="E292" i="12"/>
  <c r="F292" i="12" s="1"/>
  <c r="G240" i="19" s="1"/>
  <c r="E246" i="12"/>
  <c r="F246" i="12" s="1"/>
  <c r="G48" i="19" s="1"/>
  <c r="E215" i="12"/>
  <c r="F215" i="12" s="1"/>
  <c r="G145" i="19" s="1"/>
  <c r="E199" i="12"/>
  <c r="F199" i="12" s="1"/>
  <c r="G51" i="19" s="1"/>
  <c r="E169" i="12"/>
  <c r="F169" i="12" s="1"/>
  <c r="G281" i="19" s="1"/>
  <c r="E137" i="12"/>
  <c r="F137" i="12" s="1"/>
  <c r="G157" i="19" s="1"/>
  <c r="E281" i="12"/>
  <c r="F281" i="12" s="1"/>
  <c r="G89" i="19" s="1"/>
  <c r="E233" i="12"/>
  <c r="F233" i="12" s="1"/>
  <c r="G67" i="19" s="1"/>
  <c r="E185" i="12"/>
  <c r="F185" i="12" s="1"/>
  <c r="G271" i="19" s="1"/>
  <c r="E308" i="12"/>
  <c r="F308" i="12" s="1"/>
  <c r="G106" i="19" s="1"/>
  <c r="E153" i="12"/>
  <c r="F153" i="12" s="1"/>
  <c r="G312" i="19" s="1"/>
  <c r="E291" i="12"/>
  <c r="F291" i="12" s="1"/>
  <c r="G68" i="19" s="1"/>
  <c r="E276" i="12"/>
  <c r="F276" i="12" s="1"/>
  <c r="G130" i="19" s="1"/>
  <c r="E261" i="12"/>
  <c r="F261" i="12" s="1"/>
  <c r="G297" i="19" s="1"/>
  <c r="E214" i="12"/>
  <c r="F214" i="12" s="1"/>
  <c r="G9" i="19" s="1"/>
  <c r="E183" i="12"/>
  <c r="F183" i="12" s="1"/>
  <c r="G28" i="19" s="1"/>
  <c r="E168" i="12"/>
  <c r="F168" i="12" s="1"/>
  <c r="G151" i="19" s="1"/>
  <c r="E152" i="12"/>
  <c r="F152" i="12" s="1"/>
  <c r="G184" i="19" s="1"/>
  <c r="E136" i="12"/>
  <c r="F136" i="12" s="1"/>
  <c r="G79" i="19" s="1"/>
  <c r="E121" i="12"/>
  <c r="F121" i="12" s="1"/>
  <c r="G279" i="19" s="1"/>
  <c r="E195" i="12"/>
  <c r="F195" i="12" s="1"/>
  <c r="G243" i="19" s="1"/>
  <c r="E131" i="12"/>
  <c r="F131" i="12" s="1"/>
  <c r="G233" i="19" s="1"/>
  <c r="J2344" i="16" l="1"/>
  <c r="H2354" i="17"/>
  <c r="N2344" i="16" s="1"/>
  <c r="H1090" i="17"/>
  <c r="J1088" i="16"/>
  <c r="H452" i="17"/>
  <c r="J457" i="16"/>
  <c r="H790" i="17"/>
  <c r="J810" i="16"/>
  <c r="H296" i="17"/>
  <c r="J302" i="16"/>
  <c r="H281" i="17"/>
  <c r="J303" i="16"/>
  <c r="H170" i="17"/>
  <c r="J179" i="16"/>
  <c r="J670" i="16"/>
  <c r="H1410" i="17"/>
  <c r="J1407" i="16"/>
  <c r="H787" i="17"/>
  <c r="J809" i="16"/>
  <c r="H2294" i="17"/>
  <c r="J2285" i="16"/>
  <c r="H823" i="17"/>
  <c r="N827" i="16" s="1"/>
  <c r="J827" i="16"/>
  <c r="H744" i="17"/>
  <c r="J764" i="16"/>
  <c r="H1946" i="17"/>
  <c r="J1941" i="16"/>
  <c r="H747" i="17"/>
  <c r="J765" i="16"/>
  <c r="H527" i="17"/>
  <c r="J532" i="16"/>
  <c r="H1474" i="17"/>
  <c r="J1465" i="16"/>
  <c r="H1284" i="17"/>
  <c r="J1281" i="16"/>
  <c r="H2310" i="17"/>
  <c r="J2301" i="16"/>
  <c r="H1464" i="17"/>
  <c r="J1461" i="16"/>
  <c r="H776" i="17"/>
  <c r="J778" i="16"/>
  <c r="H1977" i="17"/>
  <c r="J1969" i="16"/>
  <c r="H1468" i="17"/>
  <c r="J1460" i="16"/>
  <c r="H1134" i="17"/>
  <c r="J1147" i="16"/>
  <c r="H485" i="17"/>
  <c r="J508" i="16"/>
  <c r="H1655" i="17"/>
  <c r="J1644" i="16"/>
  <c r="H872" i="17"/>
  <c r="J898" i="16"/>
  <c r="H1471" i="17"/>
  <c r="J1462" i="16"/>
  <c r="H255" i="17"/>
  <c r="J251" i="16"/>
  <c r="H1150" i="17"/>
  <c r="J1148" i="16"/>
  <c r="H451" i="17"/>
  <c r="J458" i="16"/>
  <c r="H1269" i="17"/>
  <c r="J1280" i="16"/>
  <c r="H224" i="17"/>
  <c r="J233" i="16"/>
  <c r="H2279" i="17"/>
  <c r="J2270" i="16"/>
  <c r="H969" i="17"/>
  <c r="J991" i="16"/>
  <c r="H1594" i="17"/>
  <c r="J1591" i="16"/>
  <c r="H892" i="17"/>
  <c r="J899" i="16"/>
  <c r="H1438" i="17"/>
  <c r="J1438" i="16"/>
  <c r="H547" i="17"/>
  <c r="J571" i="16"/>
  <c r="H1349" i="17"/>
  <c r="J1345" i="16"/>
  <c r="H1193" i="17"/>
  <c r="J1199" i="16"/>
  <c r="H2074" i="17"/>
  <c r="J2070" i="16"/>
  <c r="H1213" i="17"/>
  <c r="J1213" i="16"/>
  <c r="H2045" i="17"/>
  <c r="J2071" i="16"/>
  <c r="H177" i="17"/>
  <c r="J180" i="16"/>
  <c r="H1501" i="17"/>
  <c r="J1497" i="16"/>
  <c r="H1493" i="17"/>
  <c r="J1483" i="16"/>
  <c r="H8" i="17"/>
  <c r="J14" i="16"/>
  <c r="H1784" i="17"/>
  <c r="J1775" i="16"/>
  <c r="H460" i="17"/>
  <c r="J459" i="16"/>
  <c r="H1632" i="17"/>
  <c r="J1621" i="16"/>
  <c r="H1618" i="17"/>
  <c r="J1615" i="16"/>
  <c r="H1573" i="17"/>
  <c r="J1562" i="16"/>
  <c r="H184" i="17"/>
  <c r="J149" i="16"/>
  <c r="H41" i="17"/>
  <c r="J61" i="16"/>
  <c r="H2286" i="17"/>
  <c r="J2284" i="16"/>
  <c r="H508" i="17"/>
  <c r="J507" i="16"/>
  <c r="H111" i="17"/>
  <c r="H239" i="17"/>
  <c r="H383" i="17"/>
  <c r="H511" i="17"/>
  <c r="H654" i="17"/>
  <c r="H782" i="17"/>
  <c r="H927" i="17"/>
  <c r="H1055" i="17"/>
  <c r="H1183" i="17"/>
  <c r="H1311" i="17"/>
  <c r="H1439" i="17"/>
  <c r="H1582" i="17"/>
  <c r="H1710" i="17"/>
  <c r="H1838" i="17"/>
  <c r="H1966" i="17"/>
  <c r="H2110" i="17"/>
  <c r="H2238" i="17"/>
  <c r="H2363" i="17"/>
  <c r="H127" i="17"/>
  <c r="H271" i="17"/>
  <c r="H399" i="17"/>
  <c r="H543" i="17"/>
  <c r="H670" i="17"/>
  <c r="H798" i="17"/>
  <c r="H943" i="17"/>
  <c r="H1071" i="17"/>
  <c r="H1199" i="17"/>
  <c r="H1327" i="17"/>
  <c r="H1455" i="17"/>
  <c r="H1598" i="17"/>
  <c r="H1726" i="17"/>
  <c r="H1854" i="17"/>
  <c r="H1982" i="17"/>
  <c r="H2126" i="17"/>
  <c r="H2254" i="17"/>
  <c r="H15" i="17"/>
  <c r="H143" i="17"/>
  <c r="H287" i="17"/>
  <c r="H415" i="17"/>
  <c r="H559" i="17"/>
  <c r="H686" i="17"/>
  <c r="H814" i="17"/>
  <c r="H959" i="17"/>
  <c r="H1087" i="17"/>
  <c r="H1215" i="17"/>
  <c r="H1343" i="17"/>
  <c r="H1487" i="17"/>
  <c r="H1614" i="17"/>
  <c r="N1614" i="16" s="1"/>
  <c r="H1742" i="17"/>
  <c r="H1870" i="17"/>
  <c r="H1998" i="17"/>
  <c r="H2142" i="17"/>
  <c r="H2270" i="17"/>
  <c r="H895" i="17"/>
  <c r="H1136" i="17"/>
  <c r="H1392" i="17"/>
  <c r="H1695" i="17"/>
  <c r="H1983" i="17"/>
  <c r="H2239" i="17"/>
  <c r="H401" i="17"/>
  <c r="H656" i="17"/>
  <c r="H1137" i="17"/>
  <c r="H2112" i="17"/>
  <c r="H818" i="17"/>
  <c r="H2322" i="17"/>
  <c r="H31" i="17"/>
  <c r="H159" i="17"/>
  <c r="H303" i="17"/>
  <c r="H431" i="17"/>
  <c r="H575" i="17"/>
  <c r="H702" i="17"/>
  <c r="H846" i="17"/>
  <c r="H975" i="17"/>
  <c r="H1103" i="17"/>
  <c r="H1231" i="17"/>
  <c r="H1359" i="17"/>
  <c r="H1504" i="17"/>
  <c r="H1630" i="17"/>
  <c r="H1758" i="17"/>
  <c r="H1886" i="17"/>
  <c r="H2014" i="17"/>
  <c r="H2158" i="17"/>
  <c r="H2302" i="17"/>
  <c r="H47" i="17"/>
  <c r="H175" i="17"/>
  <c r="H319" i="17"/>
  <c r="H447" i="17"/>
  <c r="H591" i="17"/>
  <c r="H718" i="17"/>
  <c r="H862" i="17"/>
  <c r="H991" i="17"/>
  <c r="H1119" i="17"/>
  <c r="H1247" i="17"/>
  <c r="H1375" i="17"/>
  <c r="H1519" i="17"/>
  <c r="H1646" i="17"/>
  <c r="H1774" i="17"/>
  <c r="H1903" i="17"/>
  <c r="H2030" i="17"/>
  <c r="H2174" i="17"/>
  <c r="H2318" i="17"/>
  <c r="H63" i="17"/>
  <c r="H191" i="17"/>
  <c r="H335" i="17"/>
  <c r="H463" i="17"/>
  <c r="H607" i="17"/>
  <c r="H734" i="17"/>
  <c r="H878" i="17"/>
  <c r="H1007" i="17"/>
  <c r="H1135" i="17"/>
  <c r="H1263" i="17"/>
  <c r="H1391" i="17"/>
  <c r="H1535" i="17"/>
  <c r="H1662" i="17"/>
  <c r="H1790" i="17"/>
  <c r="H1919" i="17"/>
  <c r="H2046" i="17"/>
  <c r="H2190" i="17"/>
  <c r="H2335" i="17"/>
  <c r="H79" i="17"/>
  <c r="H207" i="17"/>
  <c r="H351" i="17"/>
  <c r="H479" i="17"/>
  <c r="H622" i="17"/>
  <c r="H750" i="17"/>
  <c r="H894" i="17"/>
  <c r="H1023" i="17"/>
  <c r="H1151" i="17"/>
  <c r="H95" i="17"/>
  <c r="H223" i="17"/>
  <c r="H367" i="17"/>
  <c r="H495" i="17"/>
  <c r="H638" i="17"/>
  <c r="H766" i="17"/>
  <c r="H910" i="17"/>
  <c r="H1039" i="17"/>
  <c r="H1167" i="17"/>
  <c r="H1295" i="17"/>
  <c r="H1423" i="17"/>
  <c r="H1567" i="17"/>
  <c r="H1694" i="17"/>
  <c r="H1822" i="17"/>
  <c r="H1951" i="17"/>
  <c r="H2094" i="17"/>
  <c r="H2222" i="17"/>
  <c r="H751" i="17"/>
  <c r="H1040" i="17"/>
  <c r="H1296" i="17"/>
  <c r="H1552" i="17"/>
  <c r="H1839" i="17"/>
  <c r="H2143" i="17"/>
  <c r="H289" i="17"/>
  <c r="H561" i="17"/>
  <c r="H896" i="17"/>
  <c r="H1760" i="17"/>
  <c r="H1809" i="17"/>
  <c r="H1666" i="17"/>
  <c r="H2364" i="17"/>
  <c r="H128" i="17"/>
  <c r="H272" i="17"/>
  <c r="H400" i="17"/>
  <c r="H528" i="17"/>
  <c r="H671" i="17"/>
  <c r="H863" i="17"/>
  <c r="H1120" i="17"/>
  <c r="H1376" i="17"/>
  <c r="H1631" i="17"/>
  <c r="H1887" i="17"/>
  <c r="H2095" i="17"/>
  <c r="H241" i="17"/>
  <c r="H481" i="17"/>
  <c r="H880" i="17"/>
  <c r="H1905" i="17"/>
  <c r="H2145" i="17"/>
  <c r="H1894" i="17"/>
  <c r="H2365" i="17"/>
  <c r="H129" i="17"/>
  <c r="H2350" i="17"/>
  <c r="H114" i="17"/>
  <c r="H242" i="17"/>
  <c r="H370" i="17"/>
  <c r="H498" i="17"/>
  <c r="H625" i="17"/>
  <c r="H753" i="17"/>
  <c r="H881" i="17"/>
  <c r="H1010" i="17"/>
  <c r="H1154" i="17"/>
  <c r="H1282" i="17"/>
  <c r="H1458" i="17"/>
  <c r="H2257" i="17"/>
  <c r="H2210" i="17"/>
  <c r="H2367" i="17"/>
  <c r="H131" i="17"/>
  <c r="H259" i="17"/>
  <c r="H387" i="17"/>
  <c r="H706" i="17"/>
  <c r="H1634" i="17"/>
  <c r="H2323" i="17"/>
  <c r="H68" i="17"/>
  <c r="H196" i="17"/>
  <c r="H324" i="17"/>
  <c r="H468" i="17"/>
  <c r="H596" i="17"/>
  <c r="H755" i="17"/>
  <c r="H899" i="17"/>
  <c r="H1028" i="17"/>
  <c r="H1156" i="17"/>
  <c r="H1300" i="17"/>
  <c r="H1428" i="17"/>
  <c r="H1555" i="17"/>
  <c r="H1683" i="17"/>
  <c r="H2212" i="17"/>
  <c r="H101" i="17"/>
  <c r="H229" i="17"/>
  <c r="H357" i="17"/>
  <c r="H501" i="17"/>
  <c r="H628" i="17"/>
  <c r="H772" i="17"/>
  <c r="H913" i="17"/>
  <c r="H1045" i="17"/>
  <c r="H1173" i="17"/>
  <c r="H1317" i="17"/>
  <c r="H1461" i="17"/>
  <c r="H1604" i="17"/>
  <c r="H1748" i="17"/>
  <c r="H6" i="17"/>
  <c r="H134" i="17"/>
  <c r="H262" i="17"/>
  <c r="H390" i="17"/>
  <c r="H518" i="17"/>
  <c r="H645" i="17"/>
  <c r="H773" i="17"/>
  <c r="H914" i="17"/>
  <c r="H1046" i="17"/>
  <c r="H1174" i="17"/>
  <c r="H1302" i="17"/>
  <c r="H1430" i="17"/>
  <c r="H1557" i="17"/>
  <c r="H1701" i="17"/>
  <c r="H1829" i="17"/>
  <c r="H1957" i="17"/>
  <c r="H2101" i="17"/>
  <c r="H2229" i="17"/>
  <c r="H1585" i="17"/>
  <c r="H1075" i="17"/>
  <c r="H2100" i="17"/>
  <c r="H87" i="17"/>
  <c r="H215" i="17"/>
  <c r="H343" i="17"/>
  <c r="H487" i="17"/>
  <c r="H615" i="17"/>
  <c r="H742" i="17"/>
  <c r="H918" i="17"/>
  <c r="H1047" i="17"/>
  <c r="H1191" i="17"/>
  <c r="H1319" i="17"/>
  <c r="H1447" i="17"/>
  <c r="H1574" i="17"/>
  <c r="H1702" i="17"/>
  <c r="H1830" i="17"/>
  <c r="H1958" i="17"/>
  <c r="H2086" i="17"/>
  <c r="H2214" i="17"/>
  <c r="H1144" i="17"/>
  <c r="H1400" i="17"/>
  <c r="H1735" i="17"/>
  <c r="H1975" i="17"/>
  <c r="H2231" i="17"/>
  <c r="H1562" i="17"/>
  <c r="H2170" i="17"/>
  <c r="H688" i="17"/>
  <c r="H2320" i="17"/>
  <c r="H979" i="17"/>
  <c r="H2275" i="17"/>
  <c r="H88" i="17"/>
  <c r="H232" i="17"/>
  <c r="H376" i="17"/>
  <c r="H504" i="17"/>
  <c r="H631" i="17"/>
  <c r="H759" i="17"/>
  <c r="H919" i="17"/>
  <c r="H1064" i="17"/>
  <c r="H1256" i="17"/>
  <c r="H1496" i="17"/>
  <c r="H1799" i="17"/>
  <c r="H2055" i="17"/>
  <c r="H2329" i="17"/>
  <c r="H2250" i="17"/>
  <c r="H1153" i="17"/>
  <c r="H2049" i="17"/>
  <c r="H1842" i="17"/>
  <c r="H25" i="17"/>
  <c r="H169" i="17"/>
  <c r="H313" i="17"/>
  <c r="H441" i="17"/>
  <c r="H569" i="17"/>
  <c r="H696" i="17"/>
  <c r="H888" i="17"/>
  <c r="H1033" i="17"/>
  <c r="H1161" i="17"/>
  <c r="H1321" i="17"/>
  <c r="H783" i="17"/>
  <c r="H1072" i="17"/>
  <c r="H1328" i="17"/>
  <c r="H1583" i="17"/>
  <c r="H1871" i="17"/>
  <c r="H2175" i="17"/>
  <c r="H321" i="17"/>
  <c r="H593" i="17"/>
  <c r="H929" i="17"/>
  <c r="H1872" i="17"/>
  <c r="H2177" i="17"/>
  <c r="H1858" i="17"/>
  <c r="H16" i="17"/>
  <c r="H144" i="17"/>
  <c r="H288" i="17"/>
  <c r="H416" i="17"/>
  <c r="H544" i="17"/>
  <c r="H687" i="17"/>
  <c r="H879" i="17"/>
  <c r="H1152" i="17"/>
  <c r="H1408" i="17"/>
  <c r="H1647" i="17"/>
  <c r="H1904" i="17"/>
  <c r="H2127" i="17"/>
  <c r="H273" i="17"/>
  <c r="H513" i="17"/>
  <c r="H916" i="17"/>
  <c r="H2032" i="17"/>
  <c r="H2321" i="17"/>
  <c r="H2130" i="17"/>
  <c r="H17" i="17"/>
  <c r="H145" i="17"/>
  <c r="H2366" i="17"/>
  <c r="H130" i="17"/>
  <c r="H258" i="17"/>
  <c r="H386" i="17"/>
  <c r="H514" i="17"/>
  <c r="H641" i="17"/>
  <c r="H769" i="17"/>
  <c r="H897" i="17"/>
  <c r="H1026" i="17"/>
  <c r="H1170" i="17"/>
  <c r="H1298" i="17"/>
  <c r="H1569" i="17"/>
  <c r="H515" i="17"/>
  <c r="H1715" i="17"/>
  <c r="H19" i="17"/>
  <c r="H147" i="17"/>
  <c r="H275" i="17"/>
  <c r="H403" i="17"/>
  <c r="H722" i="17"/>
  <c r="H1762" i="17"/>
  <c r="H1956" i="17"/>
  <c r="H84" i="17"/>
  <c r="H212" i="17"/>
  <c r="H340" i="17"/>
  <c r="H484" i="17"/>
  <c r="H612" i="17"/>
  <c r="H771" i="17"/>
  <c r="H912" i="17"/>
  <c r="H1044" i="17"/>
  <c r="H1172" i="17"/>
  <c r="H1316" i="17"/>
  <c r="H1444" i="17"/>
  <c r="H1571" i="17"/>
  <c r="H1699" i="17"/>
  <c r="H2353" i="17"/>
  <c r="H117" i="17"/>
  <c r="H245" i="17"/>
  <c r="H373" i="17"/>
  <c r="H517" i="17"/>
  <c r="H644" i="17"/>
  <c r="H788" i="17"/>
  <c r="H933" i="17"/>
  <c r="H1061" i="17"/>
  <c r="H1189" i="17"/>
  <c r="H1333" i="17"/>
  <c r="H1477" i="17"/>
  <c r="H1636" i="17"/>
  <c r="H1764" i="17"/>
  <c r="H22" i="17"/>
  <c r="H150" i="17"/>
  <c r="H278" i="17"/>
  <c r="H406" i="17"/>
  <c r="H534" i="17"/>
  <c r="H661" i="17"/>
  <c r="N660" i="16" s="1"/>
  <c r="H789" i="17"/>
  <c r="H934" i="17"/>
  <c r="H1062" i="17"/>
  <c r="H1190" i="17"/>
  <c r="H1318" i="17"/>
  <c r="H1446" i="17"/>
  <c r="H1589" i="17"/>
  <c r="H1717" i="17"/>
  <c r="H1845" i="17"/>
  <c r="H1973" i="17"/>
  <c r="H2117" i="17"/>
  <c r="H2245" i="17"/>
  <c r="H1777" i="17"/>
  <c r="H1315" i="17"/>
  <c r="H2341" i="17"/>
  <c r="H103" i="17"/>
  <c r="H231" i="17"/>
  <c r="H359" i="17"/>
  <c r="H503" i="17"/>
  <c r="H630" i="17"/>
  <c r="H758" i="17"/>
  <c r="H935" i="17"/>
  <c r="H1063" i="17"/>
  <c r="H1207" i="17"/>
  <c r="H1335" i="17"/>
  <c r="H1463" i="17"/>
  <c r="H1590" i="17"/>
  <c r="H1718" i="17"/>
  <c r="H1846" i="17"/>
  <c r="H1974" i="17"/>
  <c r="H2102" i="17"/>
  <c r="H2230" i="17"/>
  <c r="H1176" i="17"/>
  <c r="H1432" i="17"/>
  <c r="H1751" i="17"/>
  <c r="H2007" i="17"/>
  <c r="H2263" i="17"/>
  <c r="H1658" i="17"/>
  <c r="H2234" i="17"/>
  <c r="H1057" i="17"/>
  <c r="H1554" i="17"/>
  <c r="H1155" i="17"/>
  <c r="H1876" i="17"/>
  <c r="H104" i="17"/>
  <c r="H248" i="17"/>
  <c r="H392" i="17"/>
  <c r="H520" i="17"/>
  <c r="H647" i="17"/>
  <c r="H775" i="17"/>
  <c r="H936" i="17"/>
  <c r="H1080" i="17"/>
  <c r="H1288" i="17"/>
  <c r="H1512" i="17"/>
  <c r="H1831" i="17"/>
  <c r="H2087" i="17"/>
  <c r="H1515" i="17"/>
  <c r="H2171" i="17"/>
  <c r="H1281" i="17"/>
  <c r="H2289" i="17"/>
  <c r="H2034" i="17"/>
  <c r="H57" i="17"/>
  <c r="H185" i="17"/>
  <c r="H329" i="17"/>
  <c r="H457" i="17"/>
  <c r="H585" i="17"/>
  <c r="H712" i="17"/>
  <c r="H904" i="17"/>
  <c r="H1049" i="17"/>
  <c r="H1177" i="17"/>
  <c r="H1337" i="17"/>
  <c r="H1465" i="17"/>
  <c r="H1592" i="17"/>
  <c r="H1720" i="17"/>
  <c r="H1864" i="17"/>
  <c r="H1992" i="17"/>
  <c r="H2120" i="17"/>
  <c r="H2248" i="17"/>
  <c r="H857" i="17"/>
  <c r="H1098" i="17"/>
  <c r="H1354" i="17"/>
  <c r="H1609" i="17"/>
  <c r="H1865" i="17"/>
  <c r="H2153" i="17"/>
  <c r="H1802" i="17"/>
  <c r="H2347" i="17"/>
  <c r="H961" i="17"/>
  <c r="H1888" i="17"/>
  <c r="H2033" i="17"/>
  <c r="H1874" i="17"/>
  <c r="H2358" i="17"/>
  <c r="H122" i="17"/>
  <c r="H266" i="17"/>
  <c r="H394" i="17"/>
  <c r="H522" i="17"/>
  <c r="H649" i="17"/>
  <c r="H793" i="17"/>
  <c r="H1002" i="17"/>
  <c r="H1274" i="17"/>
  <c r="H1530" i="17"/>
  <c r="H1785" i="17"/>
  <c r="H2089" i="17"/>
  <c r="H1642" i="17"/>
  <c r="H2266" i="17"/>
  <c r="H977" i="17"/>
  <c r="H1953" i="17"/>
  <c r="H2209" i="17"/>
  <c r="H1778" i="17"/>
  <c r="H2292" i="17"/>
  <c r="H107" i="17"/>
  <c r="H235" i="17"/>
  <c r="H363" i="17"/>
  <c r="H491" i="17"/>
  <c r="H619" i="17"/>
  <c r="H746" i="17"/>
  <c r="H922" i="17"/>
  <c r="H1051" i="17"/>
  <c r="H1179" i="17"/>
  <c r="H1307" i="17"/>
  <c r="H1435" i="17"/>
  <c r="H1866" i="17"/>
  <c r="H2109" i="17"/>
  <c r="H1537" i="17"/>
  <c r="H1490" i="17"/>
  <c r="H1091" i="17"/>
  <c r="H1859" i="17"/>
  <c r="H44" i="17"/>
  <c r="H172" i="17"/>
  <c r="H300" i="17"/>
  <c r="H428" i="17"/>
  <c r="H588" i="17"/>
  <c r="H731" i="17"/>
  <c r="H891" i="17"/>
  <c r="H1020" i="17"/>
  <c r="H1148" i="17"/>
  <c r="H1276" i="17"/>
  <c r="H1404" i="17"/>
  <c r="H1548" i="17"/>
  <c r="H1675" i="17"/>
  <c r="H1803" i="17"/>
  <c r="H1932" i="17"/>
  <c r="H2059" i="17"/>
  <c r="H2267" i="17"/>
  <c r="H1600" i="17"/>
  <c r="H1713" i="17"/>
  <c r="H1395" i="17"/>
  <c r="H2195" i="17"/>
  <c r="H77" i="17"/>
  <c r="H205" i="17"/>
  <c r="H333" i="17"/>
  <c r="H461" i="17"/>
  <c r="H589" i="17"/>
  <c r="H716" i="17"/>
  <c r="H860" i="17"/>
  <c r="H1005" i="17"/>
  <c r="H1133" i="17"/>
  <c r="H1277" i="17"/>
  <c r="H1405" i="17"/>
  <c r="H1549" i="17"/>
  <c r="H1692" i="17"/>
  <c r="H1820" i="17"/>
  <c r="H1949" i="17"/>
  <c r="H2092" i="17"/>
  <c r="H2220" i="17"/>
  <c r="H749" i="17"/>
  <c r="H1166" i="17"/>
  <c r="H1422" i="17"/>
  <c r="H1629" i="17"/>
  <c r="H1869" i="17"/>
  <c r="H1997" i="17"/>
  <c r="H78" i="17"/>
  <c r="H206" i="17"/>
  <c r="H334" i="17"/>
  <c r="H462" i="17"/>
  <c r="H590" i="17"/>
  <c r="H717" i="17"/>
  <c r="H877" i="17"/>
  <c r="H1102" i="17"/>
  <c r="H1406" i="17"/>
  <c r="H1805" i="17"/>
  <c r="H2018" i="17"/>
  <c r="H815" i="17"/>
  <c r="H1104" i="17"/>
  <c r="H1360" i="17"/>
  <c r="H1663" i="17"/>
  <c r="H1936" i="17"/>
  <c r="H2207" i="17"/>
  <c r="H353" i="17"/>
  <c r="H624" i="17"/>
  <c r="H1041" i="17"/>
  <c r="H1984" i="17"/>
  <c r="H579" i="17"/>
  <c r="H2098" i="17"/>
  <c r="H32" i="17"/>
  <c r="H160" i="17"/>
  <c r="H304" i="17"/>
  <c r="H432" i="17"/>
  <c r="H560" i="17"/>
  <c r="H703" i="17"/>
  <c r="H928" i="17"/>
  <c r="H1168" i="17"/>
  <c r="H1440" i="17"/>
  <c r="N1437" i="16" s="1"/>
  <c r="H1679" i="17"/>
  <c r="H1920" i="17"/>
  <c r="H2159" i="17"/>
  <c r="H305" i="17"/>
  <c r="H545" i="17"/>
  <c r="H945" i="17"/>
  <c r="H2144" i="17"/>
  <c r="H658" i="17"/>
  <c r="H2339" i="17"/>
  <c r="H33" i="17"/>
  <c r="H161" i="17"/>
  <c r="H18" i="17"/>
  <c r="H146" i="17"/>
  <c r="H274" i="17"/>
  <c r="H402" i="17"/>
  <c r="H530" i="17"/>
  <c r="H657" i="17"/>
  <c r="H785" i="17"/>
  <c r="H917" i="17"/>
  <c r="H1042" i="17"/>
  <c r="H1186" i="17"/>
  <c r="H1314" i="17"/>
  <c r="H1601" i="17"/>
  <c r="H770" i="17"/>
  <c r="H2019" i="17"/>
  <c r="H35" i="17"/>
  <c r="H163" i="17"/>
  <c r="H291" i="17"/>
  <c r="H419" i="17"/>
  <c r="H738" i="17"/>
  <c r="H1907" i="17"/>
  <c r="H2164" i="17"/>
  <c r="H100" i="17"/>
  <c r="H228" i="17"/>
  <c r="H356" i="17"/>
  <c r="H500" i="17"/>
  <c r="H627" i="17"/>
  <c r="H803" i="17"/>
  <c r="H932" i="17"/>
  <c r="H1060" i="17"/>
  <c r="H1188" i="17"/>
  <c r="H1332" i="17"/>
  <c r="H1460" i="17"/>
  <c r="H1587" i="17"/>
  <c r="H1811" i="17"/>
  <c r="H5" i="17"/>
  <c r="H133" i="17"/>
  <c r="H261" i="17"/>
  <c r="H389" i="17"/>
  <c r="H533" i="17"/>
  <c r="H660" i="17"/>
  <c r="H804" i="17"/>
  <c r="H949" i="17"/>
  <c r="H1077" i="17"/>
  <c r="H1205" i="17"/>
  <c r="H1365" i="17"/>
  <c r="H1509" i="17"/>
  <c r="H1652" i="17"/>
  <c r="H1780" i="17"/>
  <c r="H38" i="17"/>
  <c r="H166" i="17"/>
  <c r="H294" i="17"/>
  <c r="H422" i="17"/>
  <c r="H550" i="17"/>
  <c r="H677" i="17"/>
  <c r="H805" i="17"/>
  <c r="H950" i="17"/>
  <c r="H1078" i="17"/>
  <c r="H1206" i="17"/>
  <c r="H1334" i="17"/>
  <c r="H1462" i="17"/>
  <c r="H1605" i="17"/>
  <c r="H1733" i="17"/>
  <c r="H1861" i="17"/>
  <c r="H1989" i="17"/>
  <c r="H2133" i="17"/>
  <c r="H2261" i="17"/>
  <c r="H1954" i="17"/>
  <c r="H1523" i="17"/>
  <c r="H2355" i="17"/>
  <c r="H119" i="17"/>
  <c r="H247" i="17"/>
  <c r="H375" i="17"/>
  <c r="H519" i="17"/>
  <c r="H646" i="17"/>
  <c r="H774" i="17"/>
  <c r="H951" i="17"/>
  <c r="H1079" i="17"/>
  <c r="H1223" i="17"/>
  <c r="H1351" i="17"/>
  <c r="H1479" i="17"/>
  <c r="H1606" i="17"/>
  <c r="H1734" i="17"/>
  <c r="H1862" i="17"/>
  <c r="H1990" i="17"/>
  <c r="H2118" i="17"/>
  <c r="H2246" i="17"/>
  <c r="H1208" i="17"/>
  <c r="H1591" i="17"/>
  <c r="H1783" i="17"/>
  <c r="H2039" i="17"/>
  <c r="H2295" i="17"/>
  <c r="H1738" i="17"/>
  <c r="H2298" i="17"/>
  <c r="H1201" i="17"/>
  <c r="H1761" i="17"/>
  <c r="H1331" i="17"/>
  <c r="H2148" i="17"/>
  <c r="H120" i="17"/>
  <c r="H264" i="17"/>
  <c r="H408" i="17"/>
  <c r="H536" i="17"/>
  <c r="H663" i="17"/>
  <c r="H791" i="17"/>
  <c r="H952" i="17"/>
  <c r="H1096" i="17"/>
  <c r="H1304" i="17"/>
  <c r="H1544" i="17"/>
  <c r="H1863" i="17"/>
  <c r="H2119" i="17"/>
  <c r="H1626" i="17"/>
  <c r="H2315" i="17"/>
  <c r="H1393" i="17"/>
  <c r="H642" i="17"/>
  <c r="H2274" i="17"/>
  <c r="H73" i="17"/>
  <c r="H201" i="17"/>
  <c r="H345" i="17"/>
  <c r="H473" i="17"/>
  <c r="H601" i="17"/>
  <c r="H728" i="17"/>
  <c r="H920" i="17"/>
  <c r="H1065" i="17"/>
  <c r="H1209" i="17"/>
  <c r="H1353" i="17"/>
  <c r="H1481" i="17"/>
  <c r="H1608" i="17"/>
  <c r="H1736" i="17"/>
  <c r="H1880" i="17"/>
  <c r="H2008" i="17"/>
  <c r="H2136" i="17"/>
  <c r="H2264" i="17"/>
  <c r="H889" i="17"/>
  <c r="H1130" i="17"/>
  <c r="H1386" i="17"/>
  <c r="H1641" i="17"/>
  <c r="H1898" i="17"/>
  <c r="H2185" i="17"/>
  <c r="H1899" i="17"/>
  <c r="H2235" i="17"/>
  <c r="H1089" i="17"/>
  <c r="H2000" i="17"/>
  <c r="H2161" i="17"/>
  <c r="H2050" i="17"/>
  <c r="H10" i="17"/>
  <c r="H138" i="17"/>
  <c r="H282" i="17"/>
  <c r="H410" i="17"/>
  <c r="H538" i="17"/>
  <c r="H665" i="17"/>
  <c r="H809" i="17"/>
  <c r="H1034" i="17"/>
  <c r="H1306" i="17"/>
  <c r="H1561" i="17"/>
  <c r="H1817" i="17"/>
  <c r="H2105" i="17"/>
  <c r="H1722" i="17"/>
  <c r="H2331" i="17"/>
  <c r="H1121" i="17"/>
  <c r="H2080" i="17"/>
  <c r="H499" i="17"/>
  <c r="H1970" i="17"/>
  <c r="H2359" i="17"/>
  <c r="H123" i="17"/>
  <c r="H251" i="17"/>
  <c r="H379" i="17"/>
  <c r="H507" i="17"/>
  <c r="H634" i="17"/>
  <c r="H762" i="17"/>
  <c r="H939" i="17"/>
  <c r="H1067" i="17"/>
  <c r="H1195" i="17"/>
  <c r="H1323" i="17"/>
  <c r="H1451" i="17"/>
  <c r="H1978" i="17"/>
  <c r="H2221" i="17"/>
  <c r="H1664" i="17"/>
  <c r="H1681" i="17"/>
  <c r="H1299" i="17"/>
  <c r="H2083" i="17"/>
  <c r="H60" i="17"/>
  <c r="H188" i="17"/>
  <c r="H316" i="17"/>
  <c r="H444" i="17"/>
  <c r="H604" i="17"/>
  <c r="H763" i="17"/>
  <c r="H907" i="17"/>
  <c r="H1036" i="17"/>
  <c r="H1164" i="17"/>
  <c r="H1292" i="17"/>
  <c r="H1420" i="17"/>
  <c r="H1563" i="17"/>
  <c r="H1691" i="17"/>
  <c r="H1819" i="17"/>
  <c r="H1948" i="17"/>
  <c r="H2075" i="17"/>
  <c r="H2301" i="17"/>
  <c r="H1728" i="17"/>
  <c r="H1873" i="17"/>
  <c r="H1570" i="17"/>
  <c r="H1828" i="17"/>
  <c r="H93" i="17"/>
  <c r="H221" i="17"/>
  <c r="H349" i="17"/>
  <c r="H477" i="17"/>
  <c r="H605" i="17"/>
  <c r="H732" i="17"/>
  <c r="H876" i="17"/>
  <c r="H1021" i="17"/>
  <c r="H1149" i="17"/>
  <c r="H1293" i="17"/>
  <c r="H1421" i="17"/>
  <c r="H1565" i="17"/>
  <c r="H1708" i="17"/>
  <c r="H1836" i="17"/>
  <c r="H1964" i="17"/>
  <c r="H2108" i="17"/>
  <c r="H2236" i="17"/>
  <c r="H861" i="17"/>
  <c r="H1198" i="17"/>
  <c r="H1454" i="17"/>
  <c r="H1645" i="17"/>
  <c r="H1885" i="17"/>
  <c r="H2013" i="17"/>
  <c r="H94" i="17"/>
  <c r="H222" i="17"/>
  <c r="H350" i="17"/>
  <c r="H478" i="17"/>
  <c r="H606" i="17"/>
  <c r="H733" i="17"/>
  <c r="H909" i="17"/>
  <c r="H1182" i="17"/>
  <c r="H1503" i="17"/>
  <c r="H1837" i="17"/>
  <c r="H2178" i="17"/>
  <c r="H48" i="17"/>
  <c r="H176" i="17"/>
  <c r="H320" i="17"/>
  <c r="H448" i="17"/>
  <c r="H576" i="17"/>
  <c r="H719" i="17"/>
  <c r="H960" i="17"/>
  <c r="H1200" i="17"/>
  <c r="H1472" i="17"/>
  <c r="H1711" i="17"/>
  <c r="H1952" i="17"/>
  <c r="H2191" i="17"/>
  <c r="H337" i="17"/>
  <c r="H577" i="17"/>
  <c r="H1265" i="17"/>
  <c r="H2288" i="17"/>
  <c r="H963" i="17"/>
  <c r="H1908" i="17"/>
  <c r="H49" i="17"/>
  <c r="H193" i="17"/>
  <c r="H34" i="17"/>
  <c r="H162" i="17"/>
  <c r="H290" i="17"/>
  <c r="H418" i="17"/>
  <c r="H546" i="17"/>
  <c r="H673" i="17"/>
  <c r="H801" i="17"/>
  <c r="H930" i="17"/>
  <c r="H1058" i="17"/>
  <c r="N1054" i="16" s="1"/>
  <c r="H1202" i="17"/>
  <c r="H1330" i="17"/>
  <c r="H1633" i="17"/>
  <c r="H931" i="17"/>
  <c r="H2227" i="17"/>
  <c r="H51" i="17"/>
  <c r="H179" i="17"/>
  <c r="H307" i="17"/>
  <c r="H435" i="17"/>
  <c r="H834" i="17"/>
  <c r="H2082" i="17"/>
  <c r="H2352" i="17"/>
  <c r="H116" i="17"/>
  <c r="H244" i="17"/>
  <c r="H372" i="17"/>
  <c r="H516" i="17"/>
  <c r="H643" i="17"/>
  <c r="H819" i="17"/>
  <c r="H948" i="17"/>
  <c r="H1076" i="17"/>
  <c r="H1204" i="17"/>
  <c r="H1348" i="17"/>
  <c r="H1476" i="17"/>
  <c r="H1603" i="17"/>
  <c r="H1924" i="17"/>
  <c r="H21" i="17"/>
  <c r="H149" i="17"/>
  <c r="H277" i="17"/>
  <c r="H405" i="17"/>
  <c r="H549" i="17"/>
  <c r="H676" i="17"/>
  <c r="H820" i="17"/>
  <c r="H965" i="17"/>
  <c r="H1093" i="17"/>
  <c r="H1221" i="17"/>
  <c r="H1381" i="17"/>
  <c r="H1525" i="17"/>
  <c r="H1668" i="17"/>
  <c r="H1796" i="17"/>
  <c r="H54" i="17"/>
  <c r="H182" i="17"/>
  <c r="H310" i="17"/>
  <c r="H438" i="17"/>
  <c r="H566" i="17"/>
  <c r="H693" i="17"/>
  <c r="H821" i="17"/>
  <c r="H966" i="17"/>
  <c r="H1094" i="17"/>
  <c r="H1222" i="17"/>
  <c r="H1350" i="17"/>
  <c r="H1478" i="17"/>
  <c r="H1621" i="17"/>
  <c r="H1749" i="17"/>
  <c r="H1877" i="17"/>
  <c r="H2005" i="17"/>
  <c r="H2149" i="17"/>
  <c r="H2277" i="17"/>
  <c r="H2113" i="17"/>
  <c r="H1698" i="17"/>
  <c r="H7" i="17"/>
  <c r="H135" i="17"/>
  <c r="H263" i="17"/>
  <c r="H391" i="17"/>
  <c r="H535" i="17"/>
  <c r="H662" i="17"/>
  <c r="H806" i="17"/>
  <c r="H967" i="17"/>
  <c r="H1095" i="17"/>
  <c r="H1239" i="17"/>
  <c r="H1367" i="17"/>
  <c r="H1495" i="17"/>
  <c r="H1622" i="17"/>
  <c r="H1750" i="17"/>
  <c r="H1878" i="17"/>
  <c r="H2006" i="17"/>
  <c r="H2134" i="17"/>
  <c r="H2262" i="17"/>
  <c r="H1240" i="17"/>
  <c r="H1623" i="17"/>
  <c r="H1815" i="17"/>
  <c r="H2071" i="17"/>
  <c r="H2311" i="17"/>
  <c r="H1786" i="17"/>
  <c r="N1780" i="16" s="1"/>
  <c r="H2187" i="17"/>
  <c r="H1345" i="17"/>
  <c r="H1922" i="17"/>
  <c r="H1939" i="17"/>
  <c r="H2356" i="17"/>
  <c r="H136" i="17"/>
  <c r="H280" i="17"/>
  <c r="H424" i="17"/>
  <c r="H552" i="17"/>
  <c r="H679" i="17"/>
  <c r="H807" i="17"/>
  <c r="H968" i="17"/>
  <c r="H1112" i="17"/>
  <c r="H1336" i="17"/>
  <c r="H1559" i="17"/>
  <c r="H1896" i="17"/>
  <c r="H2151" i="17"/>
  <c r="H1690" i="17"/>
  <c r="H2141" i="17"/>
  <c r="H1506" i="17"/>
  <c r="H882" i="17"/>
  <c r="H1891" i="17"/>
  <c r="H89" i="17"/>
  <c r="H217" i="17"/>
  <c r="H361" i="17"/>
  <c r="H489" i="17"/>
  <c r="H617" i="17"/>
  <c r="H760" i="17"/>
  <c r="H937" i="17"/>
  <c r="H1081" i="17"/>
  <c r="H1225" i="17"/>
  <c r="H1369" i="17"/>
  <c r="H1497" i="17"/>
  <c r="H1624" i="17"/>
  <c r="H1752" i="17"/>
  <c r="H1897" i="17"/>
  <c r="H2024" i="17"/>
  <c r="H2152" i="17"/>
  <c r="H2280" i="17"/>
  <c r="H921" i="17"/>
  <c r="H1162" i="17"/>
  <c r="H1418" i="17"/>
  <c r="H1673" i="17"/>
  <c r="H1930" i="17"/>
  <c r="H2217" i="17"/>
  <c r="H1947" i="17"/>
  <c r="N1893" i="16" s="1"/>
  <c r="H2283" i="17"/>
  <c r="H1185" i="17"/>
  <c r="H2128" i="17"/>
  <c r="H2305" i="17"/>
  <c r="H2258" i="17"/>
  <c r="H26" i="17"/>
  <c r="H154" i="17"/>
  <c r="H298" i="17"/>
  <c r="H426" i="17"/>
  <c r="H554" i="17"/>
  <c r="H681" i="17"/>
  <c r="H825" i="17"/>
  <c r="H1066" i="17"/>
  <c r="H1338" i="17"/>
  <c r="H1593" i="17"/>
  <c r="H1849" i="17"/>
  <c r="H2137" i="17"/>
  <c r="H1818" i="17"/>
  <c r="H2219" i="17"/>
  <c r="H1217" i="17"/>
  <c r="H2224" i="17"/>
  <c r="H786" i="17"/>
  <c r="H2162" i="17"/>
  <c r="H11" i="17"/>
  <c r="H139" i="17"/>
  <c r="H267" i="17"/>
  <c r="H395" i="17"/>
  <c r="H523" i="17"/>
  <c r="H650" i="17"/>
  <c r="H778" i="17"/>
  <c r="H955" i="17"/>
  <c r="H1083" i="17"/>
  <c r="H1211" i="17"/>
  <c r="H1339" i="17"/>
  <c r="H1467" i="17"/>
  <c r="H2058" i="17"/>
  <c r="H2317" i="17"/>
  <c r="H1744" i="17"/>
  <c r="H1825" i="17"/>
  <c r="H1491" i="17"/>
  <c r="H2291" i="17"/>
  <c r="H76" i="17"/>
  <c r="H204" i="17"/>
  <c r="H332" i="17"/>
  <c r="H476" i="17"/>
  <c r="H620" i="17"/>
  <c r="H779" i="17"/>
  <c r="H923" i="17"/>
  <c r="H1052" i="17"/>
  <c r="H1180" i="17"/>
  <c r="H1308" i="17"/>
  <c r="H1436" i="17"/>
  <c r="H1579" i="17"/>
  <c r="H1707" i="17"/>
  <c r="H1835" i="17"/>
  <c r="H1963" i="17"/>
  <c r="H2091" i="17"/>
  <c r="H784" i="17"/>
  <c r="H1808" i="17"/>
  <c r="H2017" i="17"/>
  <c r="H1746" i="17"/>
  <c r="H2132" i="17"/>
  <c r="H109" i="17"/>
  <c r="H237" i="17"/>
  <c r="H365" i="17"/>
  <c r="H493" i="17"/>
  <c r="H748" i="17"/>
  <c r="H908" i="17"/>
  <c r="H1037" i="17"/>
  <c r="H1165" i="17"/>
  <c r="H1309" i="17"/>
  <c r="H1453" i="17"/>
  <c r="H1580" i="17"/>
  <c r="H1724" i="17"/>
  <c r="H1852" i="17"/>
  <c r="H1980" i="17"/>
  <c r="H2124" i="17"/>
  <c r="H2252" i="17"/>
  <c r="H893" i="17"/>
  <c r="H1230" i="17"/>
  <c r="H1470" i="17"/>
  <c r="H1677" i="17"/>
  <c r="H1902" i="17"/>
  <c r="H2029" i="17"/>
  <c r="H110" i="17"/>
  <c r="H238" i="17"/>
  <c r="H366" i="17"/>
  <c r="H494" i="17"/>
  <c r="H621" i="17"/>
  <c r="H765" i="17"/>
  <c r="H942" i="17"/>
  <c r="H1214" i="17"/>
  <c r="H1550" i="17"/>
  <c r="H1853" i="17"/>
  <c r="H1795" i="17"/>
  <c r="H915" i="17"/>
  <c r="H1184" i="17"/>
  <c r="H1424" i="17"/>
  <c r="H1727" i="17"/>
  <c r="H2015" i="17"/>
  <c r="H2271" i="17"/>
  <c r="H433" i="17"/>
  <c r="H768" i="17"/>
  <c r="H1233" i="17"/>
  <c r="H2192" i="17"/>
  <c r="H911" i="17"/>
  <c r="H1843" i="17"/>
  <c r="H64" i="17"/>
  <c r="H192" i="17"/>
  <c r="H336" i="17"/>
  <c r="H464" i="17"/>
  <c r="H592" i="17"/>
  <c r="H735" i="17"/>
  <c r="H976" i="17"/>
  <c r="H1232" i="17"/>
  <c r="H1505" i="17"/>
  <c r="H1743" i="17"/>
  <c r="H1967" i="17"/>
  <c r="H2223" i="17"/>
  <c r="H369" i="17"/>
  <c r="H609" i="17"/>
  <c r="H1425" i="17"/>
  <c r="H1522" i="17"/>
  <c r="H1187" i="17"/>
  <c r="H2131" i="17"/>
  <c r="H65" i="17"/>
  <c r="H209" i="17"/>
  <c r="H50" i="17"/>
  <c r="H178" i="17"/>
  <c r="H306" i="17"/>
  <c r="H434" i="17"/>
  <c r="H562" i="17"/>
  <c r="H689" i="17"/>
  <c r="H817" i="17"/>
  <c r="H946" i="17"/>
  <c r="H1074" i="17"/>
  <c r="H1218" i="17"/>
  <c r="H1346" i="17"/>
  <c r="H1729" i="17"/>
  <c r="H1123" i="17"/>
  <c r="H1860" i="17"/>
  <c r="H67" i="17"/>
  <c r="H195" i="17"/>
  <c r="H323" i="17"/>
  <c r="H467" i="17"/>
  <c r="H995" i="17"/>
  <c r="H2194" i="17"/>
  <c r="H2368" i="17"/>
  <c r="H132" i="17"/>
  <c r="H260" i="17"/>
  <c r="H388" i="17"/>
  <c r="H532" i="17"/>
  <c r="H675" i="17"/>
  <c r="H835" i="17"/>
  <c r="H964" i="17"/>
  <c r="H1092" i="17"/>
  <c r="H1220" i="17"/>
  <c r="H1364" i="17"/>
  <c r="H1492" i="17"/>
  <c r="H1619" i="17"/>
  <c r="H2051" i="17"/>
  <c r="H37" i="17"/>
  <c r="H165" i="17"/>
  <c r="H293" i="17"/>
  <c r="H421" i="17"/>
  <c r="H565" i="17"/>
  <c r="H692" i="17"/>
  <c r="H836" i="17"/>
  <c r="H981" i="17"/>
  <c r="H1109" i="17"/>
  <c r="H1237" i="17"/>
  <c r="H1397" i="17"/>
  <c r="H1541" i="17"/>
  <c r="H1684" i="17"/>
  <c r="H2020" i="17"/>
  <c r="H70" i="17"/>
  <c r="H198" i="17"/>
  <c r="H326" i="17"/>
  <c r="H454" i="17"/>
  <c r="H582" i="17"/>
  <c r="H709" i="17"/>
  <c r="H853" i="17"/>
  <c r="H982" i="17"/>
  <c r="H1110" i="17"/>
  <c r="H1238" i="17"/>
  <c r="H1366" i="17"/>
  <c r="H1494" i="17"/>
  <c r="H1637" i="17"/>
  <c r="H1765" i="17"/>
  <c r="H1893" i="17"/>
  <c r="H2021" i="17"/>
  <c r="H2165" i="17"/>
  <c r="H2293" i="17"/>
  <c r="H2241" i="17"/>
  <c r="H1890" i="17"/>
  <c r="H23" i="17"/>
  <c r="H151" i="17"/>
  <c r="H279" i="17"/>
  <c r="H407" i="17"/>
  <c r="H551" i="17"/>
  <c r="H678" i="17"/>
  <c r="H822" i="17"/>
  <c r="H983" i="17"/>
  <c r="H1127" i="17"/>
  <c r="H1255" i="17"/>
  <c r="H1383" i="17"/>
  <c r="H1511" i="17"/>
  <c r="N1528" i="16" s="1"/>
  <c r="H1638" i="17"/>
  <c r="H1766" i="17"/>
  <c r="H1895" i="17"/>
  <c r="H2022" i="17"/>
  <c r="H2150" i="17"/>
  <c r="H2278" i="17"/>
  <c r="H1272" i="17"/>
  <c r="H1639" i="17"/>
  <c r="H1847" i="17"/>
  <c r="H2103" i="17"/>
  <c r="H2327" i="17"/>
  <c r="H1850" i="17"/>
  <c r="H2299" i="17"/>
  <c r="H1473" i="17"/>
  <c r="H2081" i="17"/>
  <c r="H2226" i="17"/>
  <c r="H24" i="17"/>
  <c r="H152" i="17"/>
  <c r="H312" i="17"/>
  <c r="H440" i="17"/>
  <c r="H568" i="17"/>
  <c r="H695" i="17"/>
  <c r="H839" i="17"/>
  <c r="H984" i="17"/>
  <c r="H1128" i="17"/>
  <c r="H1368" i="17"/>
  <c r="H1575" i="17"/>
  <c r="H1928" i="17"/>
  <c r="H2183" i="17"/>
  <c r="H1754" i="17"/>
  <c r="H2189" i="17"/>
  <c r="H1921" i="17"/>
  <c r="H1059" i="17"/>
  <c r="H2036" i="17"/>
  <c r="H105" i="17"/>
  <c r="H233" i="17"/>
  <c r="H377" i="17"/>
  <c r="H505" i="17"/>
  <c r="H632" i="17"/>
  <c r="H792" i="17"/>
  <c r="H953" i="17"/>
  <c r="H1097" i="17"/>
  <c r="H1241" i="17"/>
  <c r="H1385" i="17"/>
  <c r="H1513" i="17"/>
  <c r="H1640" i="17"/>
  <c r="H1768" i="17"/>
  <c r="H1913" i="17"/>
  <c r="H2040" i="17"/>
  <c r="H2168" i="17"/>
  <c r="H2296" i="17"/>
  <c r="H954" i="17"/>
  <c r="H1194" i="17"/>
  <c r="H1450" i="17"/>
  <c r="H1705" i="17"/>
  <c r="H1961" i="17"/>
  <c r="H2281" i="17"/>
  <c r="H2010" i="17"/>
  <c r="H2061" i="17"/>
  <c r="H1313" i="17"/>
  <c r="H2240" i="17"/>
  <c r="H611" i="17"/>
  <c r="H1875" i="17"/>
  <c r="H42" i="17"/>
  <c r="H186" i="17"/>
  <c r="H314" i="17"/>
  <c r="H442" i="17"/>
  <c r="H570" i="17"/>
  <c r="H697" i="17"/>
  <c r="H841" i="17"/>
  <c r="N839" i="16" s="1"/>
  <c r="H1114" i="17"/>
  <c r="H1370" i="17"/>
  <c r="H1625" i="17"/>
  <c r="H1881" i="17"/>
  <c r="H2169" i="17"/>
  <c r="H1882" i="17"/>
  <c r="H2348" i="17"/>
  <c r="H1329" i="17"/>
  <c r="H1426" i="17"/>
  <c r="H947" i="17"/>
  <c r="H1731" i="17"/>
  <c r="H27" i="17"/>
  <c r="H155" i="17"/>
  <c r="H283" i="17"/>
  <c r="H411" i="17"/>
  <c r="H539" i="17"/>
  <c r="H666" i="17"/>
  <c r="H794" i="17"/>
  <c r="H971" i="17"/>
  <c r="H1099" i="17"/>
  <c r="H1227" i="17"/>
  <c r="H1355" i="17"/>
  <c r="H1483" i="17"/>
  <c r="H2138" i="17"/>
  <c r="H752" i="17"/>
  <c r="H1840" i="17"/>
  <c r="H1985" i="17"/>
  <c r="H1682" i="17"/>
  <c r="H2004" i="17"/>
  <c r="H92" i="17"/>
  <c r="H220" i="17"/>
  <c r="H348" i="17"/>
  <c r="H492" i="17"/>
  <c r="H635" i="17"/>
  <c r="H795" i="17"/>
  <c r="H940" i="17"/>
  <c r="H1068" i="17"/>
  <c r="H1196" i="17"/>
  <c r="H1324" i="17"/>
  <c r="H1452" i="17"/>
  <c r="H1595" i="17"/>
  <c r="H1723" i="17"/>
  <c r="H1851" i="17"/>
  <c r="H1979" i="17"/>
  <c r="H2107" i="17"/>
  <c r="H1009" i="17"/>
  <c r="H1937" i="17"/>
  <c r="H2193" i="17"/>
  <c r="H1923" i="17"/>
  <c r="H2361" i="17"/>
  <c r="H125" i="17"/>
  <c r="H253" i="17"/>
  <c r="H381" i="17"/>
  <c r="H509" i="17"/>
  <c r="H636" i="17"/>
  <c r="H764" i="17"/>
  <c r="H924" i="17"/>
  <c r="H1053" i="17"/>
  <c r="H1181" i="17"/>
  <c r="H1325" i="17"/>
  <c r="H1469" i="17"/>
  <c r="H1596" i="17"/>
  <c r="H1740" i="17"/>
  <c r="H1868" i="17"/>
  <c r="H1996" i="17"/>
  <c r="H2140" i="17"/>
  <c r="H2268" i="17"/>
  <c r="H926" i="17"/>
  <c r="H1262" i="17"/>
  <c r="N1257" i="16" s="1"/>
  <c r="H1486" i="17"/>
  <c r="H1709" i="17"/>
  <c r="H1918" i="17"/>
  <c r="H2362" i="17"/>
  <c r="H126" i="17"/>
  <c r="H254" i="17"/>
  <c r="H382" i="17"/>
  <c r="H510" i="17"/>
  <c r="H637" i="17"/>
  <c r="H781" i="17"/>
  <c r="H974" i="17"/>
  <c r="H1246" i="17"/>
  <c r="H1581" i="17"/>
  <c r="H1027" i="17"/>
  <c r="H1971" i="17"/>
  <c r="H944" i="17"/>
  <c r="H1216" i="17"/>
  <c r="H1456" i="17"/>
  <c r="H1759" i="17"/>
  <c r="H2047" i="17"/>
  <c r="H2303" i="17"/>
  <c r="H465" i="17"/>
  <c r="H816" i="17"/>
  <c r="H1361" i="17"/>
  <c r="H2304" i="17"/>
  <c r="H1043" i="17"/>
  <c r="H2035" i="17"/>
  <c r="H80" i="17"/>
  <c r="H208" i="17"/>
  <c r="H352" i="17"/>
  <c r="H480" i="17"/>
  <c r="H608" i="17"/>
  <c r="H767" i="17"/>
  <c r="H1008" i="17"/>
  <c r="H1280" i="17"/>
  <c r="H1536" i="17"/>
  <c r="H1775" i="17"/>
  <c r="H1999" i="17"/>
  <c r="H2255" i="17"/>
  <c r="H385" i="17"/>
  <c r="H640" i="17"/>
  <c r="H1553" i="17"/>
  <c r="H1697" i="17"/>
  <c r="H1363" i="17"/>
  <c r="H1941" i="17"/>
  <c r="H81" i="17"/>
  <c r="H225" i="17"/>
  <c r="H66" i="17"/>
  <c r="H194" i="17"/>
  <c r="H322" i="17"/>
  <c r="H450" i="17"/>
  <c r="H578" i="17"/>
  <c r="H705" i="17"/>
  <c r="H833" i="17"/>
  <c r="H962" i="17"/>
  <c r="H1106" i="17"/>
  <c r="H1234" i="17"/>
  <c r="H1362" i="17"/>
  <c r="H1889" i="17"/>
  <c r="H1283" i="17"/>
  <c r="H2068" i="17"/>
  <c r="H83" i="17"/>
  <c r="H211" i="17"/>
  <c r="H339" i="17"/>
  <c r="H483" i="17"/>
  <c r="H1139" i="17"/>
  <c r="H1763" i="17"/>
  <c r="H20" i="17"/>
  <c r="H148" i="17"/>
  <c r="H276" i="17"/>
  <c r="H404" i="17"/>
  <c r="H548" i="17"/>
  <c r="H691" i="17"/>
  <c r="H851" i="17"/>
  <c r="H980" i="17"/>
  <c r="H1108" i="17"/>
  <c r="H1236" i="17"/>
  <c r="H1380" i="17"/>
  <c r="H1508" i="17"/>
  <c r="H1635" i="17"/>
  <c r="H2163" i="17"/>
  <c r="H53" i="17"/>
  <c r="H181" i="17"/>
  <c r="H309" i="17"/>
  <c r="H437" i="17"/>
  <c r="H581" i="17"/>
  <c r="H708" i="17"/>
  <c r="H868" i="17"/>
  <c r="H997" i="17"/>
  <c r="H1125" i="17"/>
  <c r="H1253" i="17"/>
  <c r="H1413" i="17"/>
  <c r="H1556" i="17"/>
  <c r="H1700" i="17"/>
  <c r="H2052" i="17"/>
  <c r="H86" i="17"/>
  <c r="H214" i="17"/>
  <c r="H342" i="17"/>
  <c r="H470" i="17"/>
  <c r="H598" i="17"/>
  <c r="H725" i="17"/>
  <c r="H869" i="17"/>
  <c r="H998" i="17"/>
  <c r="H1126" i="17"/>
  <c r="H1254" i="17"/>
  <c r="H1382" i="17"/>
  <c r="H1510" i="17"/>
  <c r="H1653" i="17"/>
  <c r="H1781" i="17"/>
  <c r="H1910" i="17"/>
  <c r="H2037" i="17"/>
  <c r="H2181" i="17"/>
  <c r="H2309" i="17"/>
  <c r="H531" i="17"/>
  <c r="H2066" i="17"/>
  <c r="H39" i="17"/>
  <c r="H167" i="17"/>
  <c r="H295" i="17"/>
  <c r="H439" i="17"/>
  <c r="H567" i="17"/>
  <c r="H694" i="17"/>
  <c r="H870" i="17"/>
  <c r="H999" i="17"/>
  <c r="H1143" i="17"/>
  <c r="H1271" i="17"/>
  <c r="H1399" i="17"/>
  <c r="H1527" i="17"/>
  <c r="H1654" i="17"/>
  <c r="H1782" i="17"/>
  <c r="H1911" i="17"/>
  <c r="H2038" i="17"/>
  <c r="H2166" i="17"/>
  <c r="H2326" i="17"/>
  <c r="H1320" i="17"/>
  <c r="H1671" i="17"/>
  <c r="H1879" i="17"/>
  <c r="H2135" i="17"/>
  <c r="H2344" i="17"/>
  <c r="H1931" i="17"/>
  <c r="H2093" i="17"/>
  <c r="H1856" i="17"/>
  <c r="H2273" i="17"/>
  <c r="H1827" i="17"/>
  <c r="H40" i="17"/>
  <c r="H168" i="17"/>
  <c r="H328" i="17"/>
  <c r="H456" i="17"/>
  <c r="N452" i="16" s="1"/>
  <c r="H584" i="17"/>
  <c r="H711" i="17"/>
  <c r="H871" i="17"/>
  <c r="H1000" i="17"/>
  <c r="H1160" i="17"/>
  <c r="H1416" i="17"/>
  <c r="H1607" i="17"/>
  <c r="H1959" i="17"/>
  <c r="H2215" i="17"/>
  <c r="H1834" i="17"/>
  <c r="H2269" i="17"/>
  <c r="H2096" i="17"/>
  <c r="H1267" i="17"/>
  <c r="H2276" i="17"/>
  <c r="H121" i="17"/>
  <c r="H249" i="17"/>
  <c r="H393" i="17"/>
  <c r="H521" i="17"/>
  <c r="H648" i="17"/>
  <c r="H808" i="17"/>
  <c r="N788" i="16" s="1"/>
  <c r="H985" i="17"/>
  <c r="H1113" i="17"/>
  <c r="H1273" i="17"/>
  <c r="H1401" i="17"/>
  <c r="H1529" i="17"/>
  <c r="H1656" i="17"/>
  <c r="H1800" i="17"/>
  <c r="H1929" i="17"/>
  <c r="H2056" i="17"/>
  <c r="H2184" i="17"/>
  <c r="H2312" i="17"/>
  <c r="H986" i="17"/>
  <c r="H1226" i="17"/>
  <c r="H1482" i="17"/>
  <c r="H1737" i="17"/>
  <c r="H2009" i="17"/>
  <c r="H2313" i="17"/>
  <c r="H2090" i="17"/>
  <c r="H2157" i="17"/>
  <c r="H1441" i="17"/>
  <c r="H1442" i="17"/>
  <c r="H1171" i="17"/>
  <c r="H2067" i="17"/>
  <c r="H58" i="17"/>
  <c r="H202" i="17"/>
  <c r="H330" i="17"/>
  <c r="H458" i="17"/>
  <c r="H586" i="17"/>
  <c r="H713" i="17"/>
  <c r="H873" i="17"/>
  <c r="H1146" i="17"/>
  <c r="H1402" i="17"/>
  <c r="H1657" i="17"/>
  <c r="H1914" i="17"/>
  <c r="H2201" i="17"/>
  <c r="H1962" i="17"/>
  <c r="H2125" i="17"/>
  <c r="H1457" i="17"/>
  <c r="H1649" i="17"/>
  <c r="H1107" i="17"/>
  <c r="H2003" i="17"/>
  <c r="H43" i="17"/>
  <c r="H171" i="17"/>
  <c r="H299" i="17"/>
  <c r="H427" i="17"/>
  <c r="H555" i="17"/>
  <c r="H682" i="17"/>
  <c r="H858" i="17"/>
  <c r="H987" i="17"/>
  <c r="H1115" i="17"/>
  <c r="H1243" i="17"/>
  <c r="H1371" i="17"/>
  <c r="H1499" i="17"/>
  <c r="H2218" i="17"/>
  <c r="H1025" i="17"/>
  <c r="H1968" i="17"/>
  <c r="H2129" i="17"/>
  <c r="H1810" i="17"/>
  <c r="H2196" i="17"/>
  <c r="H108" i="17"/>
  <c r="H236" i="17"/>
  <c r="H364" i="17"/>
  <c r="H524" i="17"/>
  <c r="H651" i="17"/>
  <c r="H811" i="17"/>
  <c r="H956" i="17"/>
  <c r="H1084" i="17"/>
  <c r="H1212" i="17"/>
  <c r="H1340" i="17"/>
  <c r="H1484" i="17"/>
  <c r="H1611" i="17"/>
  <c r="H1739" i="17"/>
  <c r="H1867" i="17"/>
  <c r="H1995" i="17"/>
  <c r="H2123" i="17"/>
  <c r="H1105" i="17"/>
  <c r="H2064" i="17"/>
  <c r="H2338" i="17"/>
  <c r="H2114" i="17"/>
  <c r="H13" i="17"/>
  <c r="H141" i="17"/>
  <c r="H269" i="17"/>
  <c r="H397" i="17"/>
  <c r="H525" i="17"/>
  <c r="H652" i="17"/>
  <c r="H780" i="17"/>
  <c r="H941" i="17"/>
  <c r="H1069" i="17"/>
  <c r="H1197" i="17"/>
  <c r="H1341" i="17"/>
  <c r="H1485" i="17"/>
  <c r="H1628" i="17"/>
  <c r="H1756" i="17"/>
  <c r="H1884" i="17"/>
  <c r="H2012" i="17"/>
  <c r="H2156" i="17"/>
  <c r="H2284" i="17"/>
  <c r="H958" i="17"/>
  <c r="H1294" i="17"/>
  <c r="H1518" i="17"/>
  <c r="H1741" i="17"/>
  <c r="H1934" i="17"/>
  <c r="H14" i="17"/>
  <c r="H142" i="17"/>
  <c r="H270" i="17"/>
  <c r="H398" i="17"/>
  <c r="H526" i="17"/>
  <c r="H653" i="17"/>
  <c r="H797" i="17"/>
  <c r="H1006" i="17"/>
  <c r="H1278" i="17"/>
  <c r="H1661" i="17"/>
  <c r="H1347" i="17"/>
  <c r="H2179" i="17"/>
  <c r="H992" i="17"/>
  <c r="H1248" i="17"/>
  <c r="H1488" i="17"/>
  <c r="H1791" i="17"/>
  <c r="H2079" i="17"/>
  <c r="H2336" i="17"/>
  <c r="H497" i="17"/>
  <c r="H848" i="17"/>
  <c r="H1521" i="17"/>
  <c r="H1507" i="17"/>
  <c r="H1235" i="17"/>
  <c r="H2115" i="17"/>
  <c r="H96" i="17"/>
  <c r="H240" i="17"/>
  <c r="H368" i="17"/>
  <c r="H496" i="17"/>
  <c r="H639" i="17"/>
  <c r="H799" i="17"/>
  <c r="H1056" i="17"/>
  <c r="H1312" i="17"/>
  <c r="H1564" i="17"/>
  <c r="H1807" i="17"/>
  <c r="H2031" i="17"/>
  <c r="H2287" i="17"/>
  <c r="H417" i="17"/>
  <c r="H672" i="17"/>
  <c r="H1680" i="17"/>
  <c r="H1857" i="17"/>
  <c r="H1586" i="17"/>
  <c r="H2180" i="17"/>
  <c r="H97" i="17"/>
  <c r="H1812" i="17"/>
  <c r="H82" i="17"/>
  <c r="H210" i="17"/>
  <c r="H338" i="17"/>
  <c r="H466" i="17"/>
  <c r="H594" i="17"/>
  <c r="H721" i="17"/>
  <c r="H849" i="17"/>
  <c r="N853" i="16" s="1"/>
  <c r="H978" i="17"/>
  <c r="H1122" i="17"/>
  <c r="H1250" i="17"/>
  <c r="H1378" i="17"/>
  <c r="H1969" i="17"/>
  <c r="H1443" i="17"/>
  <c r="H2308" i="17"/>
  <c r="H99" i="17"/>
  <c r="H227" i="17"/>
  <c r="H355" i="17"/>
  <c r="H626" i="17"/>
  <c r="H1251" i="17"/>
  <c r="H1940" i="17"/>
  <c r="H36" i="17"/>
  <c r="H164" i="17"/>
  <c r="H292" i="17"/>
  <c r="H420" i="17"/>
  <c r="H564" i="17"/>
  <c r="H707" i="17"/>
  <c r="H867" i="17"/>
  <c r="H996" i="17"/>
  <c r="H1124" i="17"/>
  <c r="H1252" i="17"/>
  <c r="H1396" i="17"/>
  <c r="H1524" i="17"/>
  <c r="H1651" i="17"/>
  <c r="H2340" i="17"/>
  <c r="H69" i="17"/>
  <c r="H197" i="17"/>
  <c r="H325" i="17"/>
  <c r="H453" i="17"/>
  <c r="H597" i="17"/>
  <c r="H740" i="17"/>
  <c r="H884" i="17"/>
  <c r="H1013" i="17"/>
  <c r="H1141" i="17"/>
  <c r="H1285" i="17"/>
  <c r="H1429" i="17"/>
  <c r="H1572" i="17"/>
  <c r="H1716" i="17"/>
  <c r="H2244" i="17"/>
  <c r="H102" i="17"/>
  <c r="H230" i="17"/>
  <c r="H358" i="17"/>
  <c r="H486" i="17"/>
  <c r="H614" i="17"/>
  <c r="H741" i="17"/>
  <c r="H885" i="17"/>
  <c r="H1014" i="17"/>
  <c r="H1142" i="17"/>
  <c r="H1270" i="17"/>
  <c r="H1398" i="17"/>
  <c r="H1526" i="17"/>
  <c r="H1669" i="17"/>
  <c r="H1797" i="17"/>
  <c r="H1926" i="17"/>
  <c r="H2053" i="17"/>
  <c r="H2197" i="17"/>
  <c r="H2325" i="17"/>
  <c r="H754" i="17"/>
  <c r="H2242" i="17"/>
  <c r="H55" i="17"/>
  <c r="H183" i="17"/>
  <c r="H311" i="17"/>
  <c r="H455" i="17"/>
  <c r="H583" i="17"/>
  <c r="H710" i="17"/>
  <c r="H886" i="17"/>
  <c r="H1015" i="17"/>
  <c r="H1159" i="17"/>
  <c r="H1287" i="17"/>
  <c r="H1415" i="17"/>
  <c r="H1543" i="17"/>
  <c r="H1670" i="17"/>
  <c r="H1798" i="17"/>
  <c r="H1927" i="17"/>
  <c r="H2054" i="17"/>
  <c r="H2182" i="17"/>
  <c r="H2343" i="17"/>
  <c r="H1352" i="17"/>
  <c r="H1687" i="17"/>
  <c r="H1912" i="17"/>
  <c r="H2167" i="17"/>
  <c r="H2233" i="17"/>
  <c r="H2026" i="17"/>
  <c r="H2173" i="17"/>
  <c r="H2016" i="17"/>
  <c r="H563" i="17"/>
  <c r="H1955" i="17"/>
  <c r="H56" i="17"/>
  <c r="H200" i="17"/>
  <c r="H344" i="17"/>
  <c r="H472" i="17"/>
  <c r="H600" i="17"/>
  <c r="H727" i="17"/>
  <c r="H887" i="17"/>
  <c r="H1016" i="17"/>
  <c r="H1192" i="17"/>
  <c r="H1448" i="17"/>
  <c r="H1719" i="17"/>
  <c r="H1991" i="17"/>
  <c r="H2247" i="17"/>
  <c r="H1915" i="17"/>
  <c r="H704" i="17"/>
  <c r="H2256" i="17"/>
  <c r="H1475" i="17"/>
  <c r="H2357" i="17"/>
  <c r="H137" i="17"/>
  <c r="H265" i="17"/>
  <c r="H409" i="17"/>
  <c r="H537" i="17"/>
  <c r="H664" i="17"/>
  <c r="H824" i="17"/>
  <c r="H1001" i="17"/>
  <c r="H1129" i="17"/>
  <c r="H1289" i="17"/>
  <c r="H1417" i="17"/>
  <c r="H1545" i="17"/>
  <c r="H1672" i="17"/>
  <c r="H1816" i="17"/>
  <c r="H1945" i="17"/>
  <c r="H2072" i="17"/>
  <c r="H2200" i="17"/>
  <c r="H2328" i="17"/>
  <c r="H1018" i="17"/>
  <c r="H1258" i="17"/>
  <c r="H1514" i="17"/>
  <c r="H1769" i="17"/>
  <c r="H2041" i="17"/>
  <c r="H1547" i="17"/>
  <c r="H2154" i="17"/>
  <c r="H2237" i="17"/>
  <c r="H1568" i="17"/>
  <c r="H1617" i="17"/>
  <c r="H1379" i="17"/>
  <c r="H2259" i="17"/>
  <c r="H74" i="17"/>
  <c r="H218" i="17"/>
  <c r="H346" i="17"/>
  <c r="H474" i="17"/>
  <c r="H602" i="17"/>
  <c r="H729" i="17"/>
  <c r="H905" i="17"/>
  <c r="H1178" i="17"/>
  <c r="H1434" i="17"/>
  <c r="H1689" i="17"/>
  <c r="H1993" i="17"/>
  <c r="H2265" i="17"/>
  <c r="H2042" i="17"/>
  <c r="H2205" i="17"/>
  <c r="H1584" i="17"/>
  <c r="H1793" i="17"/>
  <c r="H1219" i="17"/>
  <c r="H2243" i="17"/>
  <c r="H59" i="17"/>
  <c r="H187" i="17"/>
  <c r="H315" i="17"/>
  <c r="H443" i="17"/>
  <c r="H571" i="17"/>
  <c r="H698" i="17"/>
  <c r="H874" i="17"/>
  <c r="H1003" i="17"/>
  <c r="H1131" i="17"/>
  <c r="H1259" i="17"/>
  <c r="H1387" i="17"/>
  <c r="H1578" i="17"/>
  <c r="H2314" i="17"/>
  <c r="H1169" i="17"/>
  <c r="H2048" i="17"/>
  <c r="H2225" i="17"/>
  <c r="H1986" i="17"/>
  <c r="H2360" i="17"/>
  <c r="H124" i="17"/>
  <c r="H252" i="17"/>
  <c r="H380" i="17"/>
  <c r="H540" i="17"/>
  <c r="H683" i="17"/>
  <c r="H827" i="17"/>
  <c r="H972" i="17"/>
  <c r="H1100" i="17"/>
  <c r="H1228" i="17"/>
  <c r="H1356" i="17"/>
  <c r="H1500" i="17"/>
  <c r="H1627" i="17"/>
  <c r="H1755" i="17"/>
  <c r="H1883" i="17"/>
  <c r="H2011" i="17"/>
  <c r="H2139" i="17"/>
  <c r="H1249" i="17"/>
  <c r="H2208" i="17"/>
  <c r="H674" i="17"/>
  <c r="H2290" i="17"/>
  <c r="H29" i="17"/>
  <c r="H157" i="17"/>
  <c r="H285" i="17"/>
  <c r="H413" i="17"/>
  <c r="H541" i="17"/>
  <c r="H668" i="17"/>
  <c r="H796" i="17"/>
  <c r="H957" i="17"/>
  <c r="H1085" i="17"/>
  <c r="H1229" i="17"/>
  <c r="H1357" i="17"/>
  <c r="H1502" i="17"/>
  <c r="H1644" i="17"/>
  <c r="H1772" i="17"/>
  <c r="H1901" i="17"/>
  <c r="H2028" i="17"/>
  <c r="H2172" i="17"/>
  <c r="H2300" i="17"/>
  <c r="H990" i="17"/>
  <c r="H1326" i="17"/>
  <c r="H1534" i="17"/>
  <c r="H1757" i="17"/>
  <c r="H1950" i="17"/>
  <c r="H30" i="17"/>
  <c r="H158" i="17"/>
  <c r="H286" i="17"/>
  <c r="H414" i="17"/>
  <c r="H542" i="17"/>
  <c r="H669" i="17"/>
  <c r="H813" i="17"/>
  <c r="H1038" i="17"/>
  <c r="H1310" i="17"/>
  <c r="H1693" i="17"/>
  <c r="H1539" i="17"/>
  <c r="H1925" i="17"/>
  <c r="H1279" i="17"/>
  <c r="H1407" i="17"/>
  <c r="H1551" i="17"/>
  <c r="H1678" i="17"/>
  <c r="H1806" i="17"/>
  <c r="H1935" i="17"/>
  <c r="H2062" i="17"/>
  <c r="H2206" i="17"/>
  <c r="H623" i="17"/>
  <c r="H1024" i="17"/>
  <c r="H1264" i="17"/>
  <c r="H1520" i="17"/>
  <c r="H1823" i="17"/>
  <c r="H2111" i="17"/>
  <c r="H257" i="17"/>
  <c r="H529" i="17"/>
  <c r="H864" i="17"/>
  <c r="H1648" i="17"/>
  <c r="H1665" i="17"/>
  <c r="H1459" i="17"/>
  <c r="H2307" i="17"/>
  <c r="H112" i="17"/>
  <c r="H256" i="17"/>
  <c r="H384" i="17"/>
  <c r="H512" i="17"/>
  <c r="H655" i="17"/>
  <c r="H831" i="17"/>
  <c r="H1088" i="17"/>
  <c r="H1344" i="17"/>
  <c r="H1599" i="17"/>
  <c r="H1855" i="17"/>
  <c r="H2063" i="17"/>
  <c r="H2319" i="17"/>
  <c r="H449" i="17"/>
  <c r="H800" i="17"/>
  <c r="H1776" i="17"/>
  <c r="H2001" i="17"/>
  <c r="H1794" i="17"/>
  <c r="H2349" i="17"/>
  <c r="H113" i="17"/>
  <c r="H2260" i="17"/>
  <c r="H98" i="17"/>
  <c r="H226" i="17"/>
  <c r="H354" i="17"/>
  <c r="H482" i="17"/>
  <c r="H610" i="17"/>
  <c r="H737" i="17"/>
  <c r="H865" i="17"/>
  <c r="H994" i="17"/>
  <c r="H1138" i="17"/>
  <c r="H1266" i="17"/>
  <c r="H1394" i="17"/>
  <c r="H2097" i="17"/>
  <c r="H2002" i="17"/>
  <c r="H2351" i="17"/>
  <c r="H115" i="17"/>
  <c r="H243" i="17"/>
  <c r="H371" i="17"/>
  <c r="H690" i="17"/>
  <c r="H1427" i="17"/>
  <c r="H2147" i="17"/>
  <c r="H52" i="17"/>
  <c r="H180" i="17"/>
  <c r="H308" i="17"/>
  <c r="H436" i="17"/>
  <c r="H580" i="17"/>
  <c r="H739" i="17"/>
  <c r="H883" i="17"/>
  <c r="H1012" i="17"/>
  <c r="H1140" i="17"/>
  <c r="H1268" i="17"/>
  <c r="H1412" i="17"/>
  <c r="H1540" i="17"/>
  <c r="H1667" i="17"/>
  <c r="H1988" i="17"/>
  <c r="H85" i="17"/>
  <c r="H213" i="17"/>
  <c r="H341" i="17"/>
  <c r="H469" i="17"/>
  <c r="H613" i="17"/>
  <c r="H756" i="17"/>
  <c r="H900" i="17"/>
  <c r="H1029" i="17"/>
  <c r="H1157" i="17"/>
  <c r="H1301" i="17"/>
  <c r="H1445" i="17"/>
  <c r="H1588" i="17"/>
  <c r="H1732" i="17"/>
  <c r="AF2350" i="6"/>
  <c r="H118" i="17"/>
  <c r="H246" i="17"/>
  <c r="H374" i="17"/>
  <c r="H502" i="17"/>
  <c r="H629" i="17"/>
  <c r="H757" i="17"/>
  <c r="H901" i="17"/>
  <c r="H1030" i="17"/>
  <c r="H1158" i="17"/>
  <c r="H1286" i="17"/>
  <c r="H1414" i="17"/>
  <c r="H1542" i="17"/>
  <c r="H1685" i="17"/>
  <c r="H1813" i="17"/>
  <c r="H1942" i="17"/>
  <c r="H2085" i="17"/>
  <c r="H2213" i="17"/>
  <c r="H2342" i="17"/>
  <c r="H898" i="17"/>
  <c r="H1909" i="17"/>
  <c r="H71" i="17"/>
  <c r="H199" i="17"/>
  <c r="H327" i="17"/>
  <c r="H471" i="17"/>
  <c r="H599" i="17"/>
  <c r="H726" i="17"/>
  <c r="H902" i="17"/>
  <c r="H1031" i="17"/>
  <c r="H1175" i="17"/>
  <c r="H1303" i="17"/>
  <c r="H1431" i="17"/>
  <c r="H1558" i="17"/>
  <c r="H1686" i="17"/>
  <c r="H1814" i="17"/>
  <c r="H1943" i="17"/>
  <c r="H2070" i="17"/>
  <c r="H2198" i="17"/>
  <c r="H1032" i="17"/>
  <c r="H1384" i="17"/>
  <c r="H1703" i="17"/>
  <c r="H1944" i="17"/>
  <c r="H2199" i="17"/>
  <c r="H2346" i="17"/>
  <c r="H2106" i="17"/>
  <c r="H2253" i="17"/>
  <c r="H2176" i="17"/>
  <c r="H802" i="17"/>
  <c r="H2099" i="17"/>
  <c r="H72" i="17"/>
  <c r="H216" i="17"/>
  <c r="H360" i="17"/>
  <c r="H488" i="17"/>
  <c r="H616" i="17"/>
  <c r="H743" i="17"/>
  <c r="H903" i="17"/>
  <c r="H1048" i="17"/>
  <c r="H1224" i="17"/>
  <c r="H1480" i="17"/>
  <c r="H1767" i="17"/>
  <c r="H2023" i="17"/>
  <c r="H2249" i="17"/>
  <c r="H1994" i="17"/>
  <c r="H993" i="17"/>
  <c r="H1841" i="17"/>
  <c r="H1650" i="17"/>
  <c r="H9" i="17"/>
  <c r="H153" i="17"/>
  <c r="H297" i="17"/>
  <c r="H425" i="17"/>
  <c r="H553" i="17"/>
  <c r="H680" i="17"/>
  <c r="H856" i="17"/>
  <c r="N831" i="16" s="1"/>
  <c r="H1017" i="17"/>
  <c r="H1145" i="17"/>
  <c r="H1305" i="17"/>
  <c r="H1433" i="17"/>
  <c r="H1560" i="17"/>
  <c r="H1688" i="17"/>
  <c r="H1832" i="17"/>
  <c r="H1960" i="17"/>
  <c r="H2088" i="17"/>
  <c r="N2078" i="16" s="1"/>
  <c r="H2216" i="17"/>
  <c r="H2345" i="17"/>
  <c r="H1050" i="17"/>
  <c r="H1290" i="17"/>
  <c r="H1546" i="17"/>
  <c r="H1801" i="17"/>
  <c r="H2073" i="17"/>
  <c r="H1610" i="17"/>
  <c r="H2202" i="17"/>
  <c r="H2334" i="17"/>
  <c r="H1696" i="17"/>
  <c r="H1745" i="17"/>
  <c r="H925" i="17"/>
  <c r="H1972" i="17"/>
  <c r="H90" i="17"/>
  <c r="H234" i="17"/>
  <c r="H362" i="17"/>
  <c r="H490" i="17"/>
  <c r="H618" i="17"/>
  <c r="H745" i="17"/>
  <c r="H938" i="17"/>
  <c r="H1210" i="17"/>
  <c r="H1466" i="17"/>
  <c r="H1721" i="17"/>
  <c r="H2025" i="17"/>
  <c r="H2297" i="17"/>
  <c r="H2122" i="17"/>
  <c r="H2285" i="17"/>
  <c r="H1712" i="17"/>
  <c r="H1938" i="17"/>
  <c r="H1411" i="17"/>
  <c r="H1844" i="17"/>
  <c r="H75" i="17"/>
  <c r="H203" i="17"/>
  <c r="H331" i="17"/>
  <c r="H459" i="17"/>
  <c r="H587" i="17"/>
  <c r="H714" i="17"/>
  <c r="H890" i="17"/>
  <c r="H1019" i="17"/>
  <c r="H1147" i="17"/>
  <c r="H1275" i="17"/>
  <c r="H1403" i="17"/>
  <c r="H1674" i="17"/>
  <c r="H2203" i="17"/>
  <c r="H1297" i="17"/>
  <c r="H2160" i="17"/>
  <c r="H595" i="17"/>
  <c r="H2146" i="17"/>
  <c r="H12" i="17"/>
  <c r="H140" i="17"/>
  <c r="H268" i="17"/>
  <c r="H396" i="17"/>
  <c r="H556" i="17"/>
  <c r="H699" i="17"/>
  <c r="H859" i="17"/>
  <c r="H988" i="17"/>
  <c r="H1116" i="17"/>
  <c r="H1244" i="17"/>
  <c r="H1372" i="17"/>
  <c r="H1516" i="17"/>
  <c r="H1643" i="17"/>
  <c r="H1771" i="17"/>
  <c r="H1900" i="17"/>
  <c r="H2027" i="17"/>
  <c r="H2155" i="17"/>
  <c r="H1377" i="17"/>
  <c r="H2337" i="17"/>
  <c r="H1011" i="17"/>
  <c r="H1747" i="17"/>
  <c r="H45" i="17"/>
  <c r="H173" i="17"/>
  <c r="H301" i="17"/>
  <c r="H429" i="17"/>
  <c r="H557" i="17"/>
  <c r="H684" i="17"/>
  <c r="H812" i="17"/>
  <c r="H973" i="17"/>
  <c r="H1101" i="17"/>
  <c r="H1245" i="17"/>
  <c r="H1373" i="17"/>
  <c r="H1517" i="17"/>
  <c r="H1660" i="17"/>
  <c r="H1788" i="17"/>
  <c r="H1917" i="17"/>
  <c r="H2044" i="17"/>
  <c r="H2188" i="17"/>
  <c r="H2316" i="17"/>
  <c r="H1022" i="17"/>
  <c r="H1358" i="17"/>
  <c r="H1566" i="17"/>
  <c r="H1789" i="17"/>
  <c r="H1965" i="17"/>
  <c r="H46" i="17"/>
  <c r="H174" i="17"/>
  <c r="H302" i="17"/>
  <c r="H430" i="17"/>
  <c r="H558" i="17"/>
  <c r="H685" i="17"/>
  <c r="H829" i="17"/>
  <c r="N855" i="16" s="1"/>
  <c r="H1070" i="17"/>
  <c r="H1342" i="17"/>
  <c r="H1725" i="17"/>
  <c r="H1714" i="17"/>
  <c r="H2116" i="17"/>
  <c r="H1449" i="17"/>
  <c r="H1576" i="17"/>
  <c r="H1704" i="17"/>
  <c r="H1848" i="17"/>
  <c r="H1976" i="17"/>
  <c r="H2104" i="17"/>
  <c r="H2232" i="17"/>
  <c r="H761" i="17"/>
  <c r="H1082" i="17"/>
  <c r="H1322" i="17"/>
  <c r="H1577" i="17"/>
  <c r="H1833" i="17"/>
  <c r="H2121" i="17"/>
  <c r="H1706" i="17"/>
  <c r="H2282" i="17"/>
  <c r="H736" i="17"/>
  <c r="H1792" i="17"/>
  <c r="H1906" i="17"/>
  <c r="H1730" i="17"/>
  <c r="H2228" i="17"/>
  <c r="H106" i="17"/>
  <c r="H250" i="17"/>
  <c r="H378" i="17"/>
  <c r="H506" i="17"/>
  <c r="H633" i="17"/>
  <c r="H777" i="17"/>
  <c r="H970" i="17"/>
  <c r="H1242" i="17"/>
  <c r="H1498" i="17"/>
  <c r="H1753" i="17"/>
  <c r="H2057" i="17"/>
  <c r="H1531" i="17"/>
  <c r="H2186" i="17"/>
  <c r="H720" i="17"/>
  <c r="H1824" i="17"/>
  <c r="H2065" i="17"/>
  <c r="H1602" i="17"/>
  <c r="H2084" i="17"/>
  <c r="H91" i="17"/>
  <c r="H219" i="17"/>
  <c r="H347" i="17"/>
  <c r="H475" i="17"/>
  <c r="H603" i="17"/>
  <c r="H730" i="17"/>
  <c r="H906" i="17"/>
  <c r="H1035" i="17"/>
  <c r="H1163" i="17"/>
  <c r="H1291" i="17"/>
  <c r="H1419" i="17"/>
  <c r="H1770" i="17"/>
  <c r="H2332" i="17"/>
  <c r="H1409" i="17"/>
  <c r="H2272" i="17"/>
  <c r="H866" i="17"/>
  <c r="H2306" i="17"/>
  <c r="H28" i="17"/>
  <c r="H156" i="17"/>
  <c r="H284" i="17"/>
  <c r="H412" i="17"/>
  <c r="H572" i="17"/>
  <c r="H715" i="17"/>
  <c r="H875" i="17"/>
  <c r="H1004" i="17"/>
  <c r="H1132" i="17"/>
  <c r="H1260" i="17"/>
  <c r="H1388" i="17"/>
  <c r="H1532" i="17"/>
  <c r="H1659" i="17"/>
  <c r="H1787" i="17"/>
  <c r="H1916" i="17"/>
  <c r="H2043" i="17"/>
  <c r="H2251" i="17"/>
  <c r="H1489" i="17"/>
  <c r="H1538" i="17"/>
  <c r="H1203" i="17"/>
  <c r="H1987" i="17"/>
  <c r="H61" i="17"/>
  <c r="H189" i="17"/>
  <c r="H317" i="17"/>
  <c r="H445" i="17"/>
  <c r="H573" i="17"/>
  <c r="H700" i="17"/>
  <c r="H828" i="17"/>
  <c r="H989" i="17"/>
  <c r="H1117" i="17"/>
  <c r="H1261" i="17"/>
  <c r="H1389" i="17"/>
  <c r="H1533" i="17"/>
  <c r="H1676" i="17"/>
  <c r="H1804" i="17"/>
  <c r="H1933" i="17"/>
  <c r="H2076" i="17"/>
  <c r="H2204" i="17"/>
  <c r="H2333" i="17"/>
  <c r="H1118" i="17"/>
  <c r="H1390" i="17"/>
  <c r="H1597" i="17"/>
  <c r="H1821" i="17"/>
  <c r="H1981" i="17"/>
  <c r="H62" i="17"/>
  <c r="H190" i="17"/>
  <c r="H318" i="17"/>
  <c r="H446" i="17"/>
  <c r="H574" i="17"/>
  <c r="H701" i="17"/>
  <c r="H845" i="17"/>
  <c r="H1086" i="17"/>
  <c r="H1374" i="17"/>
  <c r="H1773" i="17"/>
  <c r="H1826" i="17"/>
  <c r="H2324" i="17"/>
  <c r="N1256" i="16" l="1"/>
  <c r="AF1262" i="6" s="1"/>
  <c r="N1815" i="16"/>
  <c r="AF1821" i="6" s="1"/>
  <c r="N2321" i="16"/>
  <c r="AF2327" i="6" s="1"/>
  <c r="N185" i="16"/>
  <c r="AF191" i="6" s="1"/>
  <c r="N867" i="16"/>
  <c r="AF873" i="6" s="1"/>
  <c r="N1031" i="16"/>
  <c r="AF1037" i="6" s="1"/>
  <c r="N1662" i="16"/>
  <c r="AF1668" i="6" s="1"/>
  <c r="N1722" i="16"/>
  <c r="AF1728" i="6" s="1"/>
  <c r="N1666" i="16"/>
  <c r="AF1672" i="6" s="1"/>
  <c r="N2159" i="16"/>
  <c r="AF2165" i="6" s="1"/>
  <c r="N60" i="16"/>
  <c r="N698" i="16"/>
  <c r="AF704" i="6" s="1"/>
  <c r="N866" i="16"/>
  <c r="AF872" i="6" s="1"/>
  <c r="N1459" i="16"/>
  <c r="AF1465" i="6" s="1"/>
  <c r="N2030" i="16"/>
  <c r="AF2036" i="6" s="1"/>
  <c r="N1045" i="16"/>
  <c r="AF1051" i="6" s="1"/>
  <c r="N1745" i="16"/>
  <c r="AF1751" i="6" s="1"/>
  <c r="N482" i="16"/>
  <c r="N1029" i="16"/>
  <c r="AF1035" i="6" s="1"/>
  <c r="N755" i="16"/>
  <c r="AF761" i="6" s="1"/>
  <c r="N436" i="16"/>
  <c r="AF442" i="6" s="1"/>
  <c r="N997" i="16"/>
  <c r="AF1003" i="6" s="1"/>
  <c r="N2309" i="16"/>
  <c r="AF2315" i="6" s="1"/>
  <c r="N870" i="16"/>
  <c r="AF876" i="6" s="1"/>
  <c r="N1271" i="16"/>
  <c r="AF1277" i="6" s="1"/>
  <c r="N1326" i="16"/>
  <c r="AF1332" i="6" s="1"/>
  <c r="N410" i="16"/>
  <c r="AF416" i="6" s="1"/>
  <c r="N1099" i="16"/>
  <c r="AF1105" i="6" s="1"/>
  <c r="N2258" i="16"/>
  <c r="AF2264" i="6" s="1"/>
  <c r="N2229" i="16"/>
  <c r="AF2235" i="6" s="1"/>
  <c r="N1284" i="16"/>
  <c r="AF1290" i="6" s="1"/>
  <c r="N1740" i="16"/>
  <c r="N2223" i="16"/>
  <c r="AF2229" i="6" s="1"/>
  <c r="N882" i="16"/>
  <c r="AF888" i="6" s="1"/>
  <c r="N1392" i="16"/>
  <c r="AF1398" i="6" s="1"/>
  <c r="N1138" i="16"/>
  <c r="AF1144" i="6" s="1"/>
  <c r="N872" i="16"/>
  <c r="AF878" i="6" s="1"/>
  <c r="N1374" i="16"/>
  <c r="AF1380" i="6" s="1"/>
  <c r="N1753" i="16"/>
  <c r="AF1759" i="6" s="1"/>
  <c r="N1235" i="16"/>
  <c r="AF1241" i="6" s="1"/>
  <c r="N787" i="16"/>
  <c r="AF793" i="6" s="1"/>
  <c r="N1659" i="16"/>
  <c r="AF1665" i="6" s="1"/>
  <c r="N2038" i="16"/>
  <c r="AF2044" i="6" s="1"/>
  <c r="N223" i="16"/>
  <c r="AF229" i="6" s="1"/>
  <c r="N428" i="16"/>
  <c r="AF434" i="6" s="1"/>
  <c r="N716" i="16"/>
  <c r="AF722" i="6" s="1"/>
  <c r="N1221" i="16"/>
  <c r="AF1227" i="6" s="1"/>
  <c r="N392" i="16"/>
  <c r="AF398" i="6" s="1"/>
  <c r="N586" i="16"/>
  <c r="AF592" i="6" s="1"/>
  <c r="N2152" i="16"/>
  <c r="AF2158" i="6" s="1"/>
  <c r="N59" i="16"/>
  <c r="AF65" i="6" s="1"/>
  <c r="N608" i="16"/>
  <c r="AF614" i="6" s="1"/>
  <c r="N310" i="16"/>
  <c r="AF316" i="6" s="1"/>
  <c r="N24" i="16"/>
  <c r="AF30" i="6" s="1"/>
  <c r="N579" i="16"/>
  <c r="AF585" i="6" s="1"/>
  <c r="N1504" i="16"/>
  <c r="AF1510" i="6" s="1"/>
  <c r="N2028" i="16"/>
  <c r="AF2034" i="6" s="1"/>
  <c r="N2350" i="16"/>
  <c r="AF2356" i="6" s="1"/>
  <c r="N922" i="16"/>
  <c r="AF928" i="6" s="1"/>
  <c r="N1577" i="16"/>
  <c r="AF1583" i="6" s="1"/>
  <c r="N731" i="16"/>
  <c r="AF737" i="6" s="1"/>
  <c r="N1419" i="16"/>
  <c r="AF1425" i="6" s="1"/>
  <c r="N1861" i="16"/>
  <c r="N1705" i="16"/>
  <c r="AF1711" i="6" s="1"/>
  <c r="N2180" i="16"/>
  <c r="AF2186" i="6" s="1"/>
  <c r="N2055" i="16"/>
  <c r="AF2061" i="6" s="1"/>
  <c r="N1376" i="16"/>
  <c r="AF1382" i="6" s="1"/>
  <c r="N1882" i="16"/>
  <c r="AF1888" i="6" s="1"/>
  <c r="N1700" i="16"/>
  <c r="AF1706" i="6" s="1"/>
  <c r="N1361" i="16"/>
  <c r="AF1367" i="6" s="1"/>
  <c r="N67" i="16"/>
  <c r="N65" i="16"/>
  <c r="AF71" i="6" s="1"/>
  <c r="N332" i="16"/>
  <c r="AF338" i="6" s="1"/>
  <c r="N1847" i="16"/>
  <c r="AF1853" i="6" s="1"/>
  <c r="N2251" i="16"/>
  <c r="AF2257" i="6" s="1"/>
  <c r="N101" i="16"/>
  <c r="AF107" i="6" s="1"/>
  <c r="N781" i="16"/>
  <c r="AF787" i="6" s="1"/>
  <c r="N939" i="16"/>
  <c r="AF945" i="6" s="1"/>
  <c r="N1585" i="16"/>
  <c r="AF1591" i="6" s="1"/>
  <c r="N2210" i="16"/>
  <c r="AF2216" i="6" s="1"/>
  <c r="N930" i="16"/>
  <c r="AF936" i="6" s="1"/>
  <c r="N1110" i="16"/>
  <c r="AF1116" i="6" s="1"/>
  <c r="N1809" i="16"/>
  <c r="AF1815" i="6" s="1"/>
  <c r="N535" i="16"/>
  <c r="AF541" i="6" s="1"/>
  <c r="N1090" i="16"/>
  <c r="AF1096" i="6" s="1"/>
  <c r="N826" i="16"/>
  <c r="AF832" i="6" s="1"/>
  <c r="N519" i="16"/>
  <c r="AF525" i="6" s="1"/>
  <c r="N336" i="16"/>
  <c r="AF342" i="6" s="1"/>
  <c r="N1188" i="16"/>
  <c r="AF1194" i="6" s="1"/>
  <c r="N1956" i="16"/>
  <c r="AF1962" i="6" s="1"/>
  <c r="N1558" i="16"/>
  <c r="AF1564" i="6" s="1"/>
  <c r="N439" i="16"/>
  <c r="AF445" i="6" s="1"/>
  <c r="N651" i="16"/>
  <c r="AF657" i="6" s="1"/>
  <c r="N1033" i="16"/>
  <c r="AF1039" i="6" s="1"/>
  <c r="N1632" i="16"/>
  <c r="N597" i="16"/>
  <c r="AF603" i="6" s="1"/>
  <c r="N798" i="16"/>
  <c r="AF804" i="6" s="1"/>
  <c r="N1204" i="16"/>
  <c r="AF1210" i="6" s="1"/>
  <c r="N244" i="16"/>
  <c r="N806" i="16"/>
  <c r="AF812" i="6" s="1"/>
  <c r="N222" i="16"/>
  <c r="AF228" i="6" s="1"/>
  <c r="N789" i="16"/>
  <c r="AF795" i="6" s="1"/>
  <c r="N1909" i="16"/>
  <c r="AF1915" i="6" s="1"/>
  <c r="N347" i="16"/>
  <c r="AF353" i="6" s="1"/>
  <c r="N199" i="16"/>
  <c r="AF205" i="6" s="1"/>
  <c r="N1143" i="16"/>
  <c r="AF1149" i="6" s="1"/>
  <c r="N1789" i="16"/>
  <c r="AF1795" i="6" s="1"/>
  <c r="N1479" i="16"/>
  <c r="AF1485" i="6" s="1"/>
  <c r="N1773" i="16"/>
  <c r="AF1779" i="6" s="1"/>
  <c r="N103" i="16"/>
  <c r="AF109" i="6" s="1"/>
  <c r="N1977" i="16"/>
  <c r="N2280" i="16"/>
  <c r="AF2286" i="6" s="1"/>
  <c r="N1874" i="16"/>
  <c r="AF1880" i="6" s="1"/>
  <c r="N1575" i="16"/>
  <c r="AF1581" i="6" s="1"/>
  <c r="N2101" i="16"/>
  <c r="AF2107" i="6" s="1"/>
  <c r="N22" i="16"/>
  <c r="AF28" i="6" s="1"/>
  <c r="N1561" i="16"/>
  <c r="AF1567" i="6" s="1"/>
  <c r="N263" i="16"/>
  <c r="AF269" i="6" s="1"/>
  <c r="N2357" i="16"/>
  <c r="AF2363" i="6" s="1"/>
  <c r="N552" i="16"/>
  <c r="AF558" i="6" s="1"/>
  <c r="N794" i="16"/>
  <c r="AF800" i="6" s="1"/>
  <c r="N2045" i="16"/>
  <c r="AF2051" i="6" s="1"/>
  <c r="N2153" i="16"/>
  <c r="AF2159" i="6" s="1"/>
  <c r="N1046" i="16"/>
  <c r="AF1052" i="6" s="1"/>
  <c r="N1549" i="16"/>
  <c r="AF1555" i="6" s="1"/>
  <c r="N1299" i="16"/>
  <c r="AF1305" i="6" s="1"/>
  <c r="N1027" i="16"/>
  <c r="AF1033" i="6" s="1"/>
  <c r="N2246" i="16"/>
  <c r="AF2252" i="6" s="1"/>
  <c r="N2134" i="16"/>
  <c r="AF2140" i="6" s="1"/>
  <c r="N2352" i="16"/>
  <c r="AF2358" i="6" s="1"/>
  <c r="N1814" i="16"/>
  <c r="AF1820" i="6" s="1"/>
  <c r="N863" i="16"/>
  <c r="AF869" i="6" s="1"/>
  <c r="N1145" i="16"/>
  <c r="AF1151" i="6" s="1"/>
  <c r="N1358" i="16"/>
  <c r="AF1364" i="6" s="1"/>
  <c r="N1618" i="16"/>
  <c r="AF1624" i="6" s="1"/>
  <c r="N1137" i="16"/>
  <c r="AF1143" i="6" s="1"/>
  <c r="N1338" i="16"/>
  <c r="AF1344" i="6" s="1"/>
  <c r="N1590" i="16"/>
  <c r="AF1596" i="6" s="1"/>
  <c r="N1834" i="16"/>
  <c r="AF1840" i="6" s="1"/>
  <c r="N1098" i="16"/>
  <c r="AF1104" i="6" s="1"/>
  <c r="N1732" i="16"/>
  <c r="AF1738" i="6" s="1"/>
  <c r="N2194" i="16"/>
  <c r="AF2200" i="6" s="1"/>
  <c r="N40" i="16"/>
  <c r="AF46" i="6" s="1"/>
  <c r="N713" i="16"/>
  <c r="AF719" i="6" s="1"/>
  <c r="N907" i="16"/>
  <c r="AF913" i="6" s="1"/>
  <c r="N1486" i="16"/>
  <c r="AF1492" i="6" s="1"/>
  <c r="N2109" i="16"/>
  <c r="AF2115" i="6" s="1"/>
  <c r="N1336" i="16"/>
  <c r="AF1342" i="6" s="1"/>
  <c r="N2064" i="16"/>
  <c r="AF2070" i="6" s="1"/>
  <c r="N1726" i="16"/>
  <c r="AF1732" i="6" s="1"/>
  <c r="N555" i="16"/>
  <c r="AF561" i="6" s="1"/>
  <c r="N712" i="16"/>
  <c r="AF718" i="6" s="1"/>
  <c r="N1207" i="16"/>
  <c r="AF1213" i="6" s="1"/>
  <c r="N1788" i="16"/>
  <c r="AF1794" i="6" s="1"/>
  <c r="N677" i="16"/>
  <c r="AF683" i="6" s="1"/>
  <c r="N905" i="16"/>
  <c r="AF911" i="6" s="1"/>
  <c r="N1378" i="16"/>
  <c r="AF1384" i="6" s="1"/>
  <c r="N323" i="16"/>
  <c r="AF329" i="6" s="1"/>
  <c r="N902" i="16"/>
  <c r="AF908" i="6" s="1"/>
  <c r="N625" i="16"/>
  <c r="AF631" i="6" s="1"/>
  <c r="N304" i="16"/>
  <c r="AF310" i="6" s="1"/>
  <c r="N883" i="16"/>
  <c r="AF889" i="6" s="1"/>
  <c r="N2022" i="16"/>
  <c r="AF2028" i="6" s="1"/>
  <c r="N523" i="16"/>
  <c r="AF529" i="6" s="1"/>
  <c r="N1927" i="16"/>
  <c r="AF1933" i="6" s="1"/>
  <c r="N990" i="16"/>
  <c r="AF996" i="6" s="1"/>
  <c r="N275" i="16"/>
  <c r="AF281" i="6" s="1"/>
  <c r="N979" i="16"/>
  <c r="AF985" i="6" s="1"/>
  <c r="N1129" i="16"/>
  <c r="AF1135" i="6" s="1"/>
  <c r="N1982" i="16"/>
  <c r="AF1988" i="6" s="1"/>
  <c r="N2143" i="16"/>
  <c r="N1126" i="16"/>
  <c r="AF1132" i="6" s="1"/>
  <c r="N1424" i="16"/>
  <c r="AF1430" i="6" s="1"/>
  <c r="N2172" i="16"/>
  <c r="AF2178" i="6" s="1"/>
  <c r="N710" i="16"/>
  <c r="AF716" i="6" s="1"/>
  <c r="N1274" i="16"/>
  <c r="AF1280" i="6" s="1"/>
  <c r="N1015" i="16"/>
  <c r="AF1021" i="6" s="1"/>
  <c r="N706" i="16"/>
  <c r="AF712" i="6" s="1"/>
  <c r="N1247" i="16"/>
  <c r="AF1253" i="6" s="1"/>
  <c r="N672" i="16"/>
  <c r="AF678" i="6" s="1"/>
  <c r="N1495" i="16"/>
  <c r="AF1501" i="6" s="1"/>
  <c r="N661" i="16"/>
  <c r="AF667" i="6" s="1"/>
  <c r="N1617" i="16"/>
  <c r="AF1623" i="6" s="1"/>
  <c r="N1102" i="16"/>
  <c r="AF1108" i="6" s="1"/>
  <c r="N119" i="16"/>
  <c r="AF125" i="6" s="1"/>
  <c r="N301" i="16"/>
  <c r="AF307" i="6" s="1"/>
  <c r="N598" i="16"/>
  <c r="AF604" i="6" s="1"/>
  <c r="N977" i="16"/>
  <c r="AF983" i="6" s="1"/>
  <c r="N247" i="16"/>
  <c r="AF253" i="6" s="1"/>
  <c r="N2066" i="16"/>
  <c r="AF2072" i="6" s="1"/>
  <c r="N2065" i="16"/>
  <c r="AF2071" i="6" s="1"/>
  <c r="N495" i="16"/>
  <c r="AF501" i="6" s="1"/>
  <c r="N150" i="16"/>
  <c r="AF156" i="6" s="1"/>
  <c r="N1658" i="16"/>
  <c r="N456" i="16"/>
  <c r="AF462" i="6" s="1"/>
  <c r="N1275" i="16"/>
  <c r="AF1281" i="6" s="1"/>
  <c r="N1668" i="16"/>
  <c r="AF1674" i="6" s="1"/>
  <c r="N1896" i="16"/>
  <c r="AF1902" i="6" s="1"/>
  <c r="N757" i="16"/>
  <c r="AF763" i="6" s="1"/>
  <c r="N1443" i="16"/>
  <c r="AF1449" i="6" s="1"/>
  <c r="N2132" i="16"/>
  <c r="AF2138" i="6" s="1"/>
  <c r="N1321" i="16"/>
  <c r="N624" i="16"/>
  <c r="AF630" i="6" s="1"/>
  <c r="N1627" i="16"/>
  <c r="AF1633" i="6" s="1"/>
  <c r="N1750" i="16"/>
  <c r="AF1756" i="6" s="1"/>
  <c r="N1463" i="16"/>
  <c r="AF1469" i="6" s="1"/>
  <c r="N1254" i="16"/>
  <c r="AF1260" i="6" s="1"/>
  <c r="N1714" i="16"/>
  <c r="AF1720" i="6" s="1"/>
  <c r="N1502" i="16"/>
  <c r="AF1508" i="6" s="1"/>
  <c r="N1214" i="16"/>
  <c r="N1852" i="16"/>
  <c r="AF1858" i="6" s="1"/>
  <c r="N2131" i="16"/>
  <c r="AF2137" i="6" s="1"/>
  <c r="N186" i="16"/>
  <c r="AF192" i="6" s="1"/>
  <c r="N1541" i="16"/>
  <c r="N2115" i="16"/>
  <c r="AF2121" i="6" s="1"/>
  <c r="N2126" i="16"/>
  <c r="AF2132" i="6" s="1"/>
  <c r="N648" i="16"/>
  <c r="AF654" i="6" s="1"/>
  <c r="N777" i="16"/>
  <c r="AF783" i="6" s="1"/>
  <c r="N1333" i="16"/>
  <c r="AF1339" i="6" s="1"/>
  <c r="N1937" i="16"/>
  <c r="AF1943" i="6" s="1"/>
  <c r="N756" i="16"/>
  <c r="AF762" i="6" s="1"/>
  <c r="N947" i="16"/>
  <c r="AF953" i="6" s="1"/>
  <c r="N1607" i="16"/>
  <c r="AF1613" i="6" s="1"/>
  <c r="N388" i="16"/>
  <c r="AF394" i="6" s="1"/>
  <c r="N970" i="16"/>
  <c r="AF976" i="6" s="1"/>
  <c r="N676" i="16"/>
  <c r="AF682" i="6" s="1"/>
  <c r="N375" i="16"/>
  <c r="AF381" i="6" s="1"/>
  <c r="N925" i="16"/>
  <c r="AF931" i="6" s="1"/>
  <c r="N2183" i="16"/>
  <c r="AF2189" i="6" s="1"/>
  <c r="N909" i="16"/>
  <c r="N1838" i="16"/>
  <c r="AF1844" i="6" s="1"/>
  <c r="N1869" i="16"/>
  <c r="AF1875" i="6" s="1"/>
  <c r="N313" i="16"/>
  <c r="AF319" i="6" s="1"/>
  <c r="N480" i="16"/>
  <c r="AF486" i="6" s="1"/>
  <c r="N786" i="16"/>
  <c r="AF792" i="6" s="1"/>
  <c r="N1379" i="16"/>
  <c r="AF1385" i="6" s="1"/>
  <c r="N500" i="16"/>
  <c r="AF506" i="6" s="1"/>
  <c r="N658" i="16"/>
  <c r="AF664" i="6" s="1"/>
  <c r="N2236" i="16"/>
  <c r="AF2242" i="6" s="1"/>
  <c r="N114" i="16"/>
  <c r="AF120" i="6" s="1"/>
  <c r="N682" i="16"/>
  <c r="AF688" i="6" s="1"/>
  <c r="N385" i="16"/>
  <c r="N104" i="16"/>
  <c r="AF110" i="6" s="1"/>
  <c r="N655" i="16"/>
  <c r="AF661" i="6" s="1"/>
  <c r="N1763" i="16"/>
  <c r="AF1769" i="6" s="1"/>
  <c r="N2193" i="16"/>
  <c r="AF2199" i="6" s="1"/>
  <c r="N89" i="16"/>
  <c r="AF95" i="6" s="1"/>
  <c r="N1014" i="16"/>
  <c r="AF1020" i="6" s="1"/>
  <c r="N1667" i="16"/>
  <c r="AF1673" i="6" s="1"/>
  <c r="N1525" i="16"/>
  <c r="AF1531" i="6" s="1"/>
  <c r="N2198" i="16"/>
  <c r="AF2204" i="6" s="1"/>
  <c r="N2354" i="16"/>
  <c r="AF2360" i="6" s="1"/>
  <c r="N1841" i="16"/>
  <c r="AF1847" i="6" s="1"/>
  <c r="N1278" i="16"/>
  <c r="N1152" i="16"/>
  <c r="AF1158" i="6" s="1"/>
  <c r="N1455" i="16"/>
  <c r="AF1461" i="6" s="1"/>
  <c r="N1962" i="16"/>
  <c r="AF1968" i="6" s="1"/>
  <c r="N1706" i="16"/>
  <c r="AF1712" i="6" s="1"/>
  <c r="N1422" i="16"/>
  <c r="AF1428" i="6" s="1"/>
  <c r="N123" i="16"/>
  <c r="AF129" i="6" s="1"/>
  <c r="N141" i="16"/>
  <c r="AF147" i="6" s="1"/>
  <c r="N414" i="16"/>
  <c r="AF420" i="6" s="1"/>
  <c r="N1305" i="16"/>
  <c r="AF1311" i="6" s="1"/>
  <c r="N1791" i="16"/>
  <c r="AF1797" i="6" s="1"/>
  <c r="N1552" i="16"/>
  <c r="AF1558" i="6" s="1"/>
  <c r="N918" i="16"/>
  <c r="AF924" i="6" s="1"/>
  <c r="N1423" i="16"/>
  <c r="AF1429" i="6" s="1"/>
  <c r="N903" i="16"/>
  <c r="AF909" i="6" s="1"/>
  <c r="N1447" i="16"/>
  <c r="AF1453" i="6" s="1"/>
  <c r="N1899" i="16"/>
  <c r="AF1905" i="6" s="1"/>
  <c r="N1655" i="16"/>
  <c r="AF1661" i="6" s="1"/>
  <c r="N1683" i="16"/>
  <c r="AF1689" i="6" s="1"/>
  <c r="N745" i="16"/>
  <c r="AF751" i="6" s="1"/>
  <c r="N1005" i="16"/>
  <c r="N1238" i="16"/>
  <c r="AF1244" i="6" s="1"/>
  <c r="N1496" i="16"/>
  <c r="AF1502" i="6" s="1"/>
  <c r="N659" i="16"/>
  <c r="AF665" i="6" s="1"/>
  <c r="N1210" i="16"/>
  <c r="AF1216" i="6" s="1"/>
  <c r="N1448" i="16"/>
  <c r="AF1454" i="6" s="1"/>
  <c r="N1665" i="16"/>
  <c r="AF1671" i="6" s="1"/>
  <c r="N2284" i="16"/>
  <c r="AF2290" i="6" s="1"/>
  <c r="N14" i="16"/>
  <c r="AF20" i="6" s="1"/>
  <c r="N1345" i="16"/>
  <c r="AF1351" i="6" s="1"/>
  <c r="N1280" i="16"/>
  <c r="AF1286" i="6" s="1"/>
  <c r="N1147" i="16"/>
  <c r="AF1153" i="6" s="1"/>
  <c r="N532" i="16"/>
  <c r="AF538" i="6" s="1"/>
  <c r="N670" i="16"/>
  <c r="AF676" i="6" s="1"/>
  <c r="N1401" i="16"/>
  <c r="AF1407" i="6" s="1"/>
  <c r="N1363" i="16"/>
  <c r="AF1369" i="6" s="1"/>
  <c r="N2013" i="16"/>
  <c r="N1980" i="16"/>
  <c r="AF1986" i="6" s="1"/>
  <c r="N559" i="16"/>
  <c r="AF565" i="6" s="1"/>
  <c r="N759" i="16"/>
  <c r="AF765" i="6" s="1"/>
  <c r="N1242" i="16"/>
  <c r="AF1248" i="6" s="1"/>
  <c r="N1835" i="16"/>
  <c r="AF1841" i="6" s="1"/>
  <c r="N1057" i="16"/>
  <c r="AF1063" i="6" s="1"/>
  <c r="N1926" i="16"/>
  <c r="AF1932" i="6" s="1"/>
  <c r="N1019" i="16"/>
  <c r="AF1025" i="6" s="1"/>
  <c r="N390" i="16"/>
  <c r="AF396" i="6" s="1"/>
  <c r="N596" i="16"/>
  <c r="AF602" i="6" s="1"/>
  <c r="N976" i="16"/>
  <c r="AF982" i="6" s="1"/>
  <c r="N1536" i="16"/>
  <c r="AF1542" i="6" s="1"/>
  <c r="N563" i="16"/>
  <c r="AF569" i="6" s="1"/>
  <c r="N761" i="16"/>
  <c r="AF767" i="6" s="1"/>
  <c r="N1034" i="16"/>
  <c r="AF1040" i="6" s="1"/>
  <c r="N200" i="16"/>
  <c r="AF206" i="6" s="1"/>
  <c r="N760" i="16"/>
  <c r="AF766" i="6" s="1"/>
  <c r="N464" i="16"/>
  <c r="AF470" i="6" s="1"/>
  <c r="N161" i="16"/>
  <c r="AF167" i="6" s="1"/>
  <c r="N749" i="16"/>
  <c r="N1846" i="16"/>
  <c r="AF1852" i="6" s="1"/>
  <c r="N253" i="16"/>
  <c r="AF259" i="6" s="1"/>
  <c r="N1516" i="16"/>
  <c r="AF1522" i="6" s="1"/>
  <c r="N2292" i="16"/>
  <c r="AF2298" i="6" s="1"/>
  <c r="N163" i="16"/>
  <c r="AF169" i="6" s="1"/>
  <c r="N819" i="16"/>
  <c r="AF825" i="6" s="1"/>
  <c r="N1001" i="16"/>
  <c r="AF1007" i="6" s="1"/>
  <c r="N1760" i="16"/>
  <c r="AF1766" i="6" s="1"/>
  <c r="N1535" i="16"/>
  <c r="AF1541" i="6" s="1"/>
  <c r="N1000" i="16"/>
  <c r="AF1006" i="6" s="1"/>
  <c r="N1198" i="16"/>
  <c r="AF1204" i="6" s="1"/>
  <c r="N1921" i="16"/>
  <c r="AF1927" i="6" s="1"/>
  <c r="N574" i="16"/>
  <c r="AF580" i="6" s="1"/>
  <c r="N1134" i="16"/>
  <c r="AF1140" i="6" s="1"/>
  <c r="N894" i="16"/>
  <c r="AF900" i="6" s="1"/>
  <c r="N541" i="16"/>
  <c r="AF547" i="6" s="1"/>
  <c r="N1123" i="16"/>
  <c r="AF1129" i="6" s="1"/>
  <c r="N415" i="16"/>
  <c r="AF421" i="6" s="1"/>
  <c r="N1509" i="16"/>
  <c r="AF1515" i="6" s="1"/>
  <c r="N525" i="16"/>
  <c r="AF531" i="6" s="1"/>
  <c r="N2111" i="16"/>
  <c r="AF2117" i="6" s="1"/>
  <c r="N2189" i="16"/>
  <c r="AF2195" i="6" s="1"/>
  <c r="N175" i="16"/>
  <c r="AF181" i="6" s="1"/>
  <c r="N453" i="16"/>
  <c r="AF459" i="6" s="1"/>
  <c r="N2302" i="16"/>
  <c r="AF2308" i="6" s="1"/>
  <c r="N106" i="16"/>
  <c r="AF112" i="6" s="1"/>
  <c r="N319" i="16"/>
  <c r="AF325" i="6" s="1"/>
  <c r="N1931" i="16"/>
  <c r="N531" i="16"/>
  <c r="AF537" i="6" s="1"/>
  <c r="N346" i="16"/>
  <c r="AF352" i="6" s="1"/>
  <c r="N51" i="16"/>
  <c r="AF57" i="6" s="1"/>
  <c r="N1133" i="16"/>
  <c r="N322" i="16"/>
  <c r="AF328" i="6" s="1"/>
  <c r="N1017" i="16"/>
  <c r="AF1023" i="6" s="1"/>
  <c r="N1453" i="16"/>
  <c r="AF1459" i="6" s="1"/>
  <c r="N1754" i="16"/>
  <c r="AF1760" i="6" s="1"/>
  <c r="N642" i="16"/>
  <c r="AF648" i="6" s="1"/>
  <c r="N1308" i="16"/>
  <c r="AF1314" i="6" s="1"/>
  <c r="N1475" i="16"/>
  <c r="AF1481" i="6" s="1"/>
  <c r="N2342" i="16"/>
  <c r="AF2348" i="6" s="1"/>
  <c r="N2226" i="16"/>
  <c r="AF2232" i="6" s="1"/>
  <c r="N1507" i="16"/>
  <c r="AF1513" i="6" s="1"/>
  <c r="N2184" i="16"/>
  <c r="AF2190" i="6" s="1"/>
  <c r="N2289" i="16"/>
  <c r="AF2295" i="6" s="1"/>
  <c r="N1127" i="16"/>
  <c r="AF1133" i="6" s="1"/>
  <c r="N1625" i="16"/>
  <c r="AF1631" i="6" s="1"/>
  <c r="N1391" i="16"/>
  <c r="AF1397" i="6" s="1"/>
  <c r="N1093" i="16"/>
  <c r="AF1099" i="6" s="1"/>
  <c r="N1118" i="16"/>
  <c r="AF1124" i="6" s="1"/>
  <c r="N1190" i="16"/>
  <c r="AF1196" i="6" s="1"/>
  <c r="N66" i="16"/>
  <c r="AF72" i="6" s="1"/>
  <c r="N1212" i="16"/>
  <c r="AF1218" i="6" s="1"/>
  <c r="N1968" i="16"/>
  <c r="AF1974" i="6" s="1"/>
  <c r="N1724" i="16"/>
  <c r="AF1730" i="6" s="1"/>
  <c r="N471" i="16"/>
  <c r="AF477" i="6" s="1"/>
  <c r="N629" i="16"/>
  <c r="AF635" i="6" s="1"/>
  <c r="N1053" i="16"/>
  <c r="AF1059" i="6" s="1"/>
  <c r="N1694" i="16"/>
  <c r="AF1700" i="6" s="1"/>
  <c r="N644" i="16"/>
  <c r="AF650" i="6" s="1"/>
  <c r="N802" i="16"/>
  <c r="AF808" i="6" s="1"/>
  <c r="N1249" i="16"/>
  <c r="AF1255" i="6" s="1"/>
  <c r="N259" i="16"/>
  <c r="AF265" i="6" s="1"/>
  <c r="N817" i="16"/>
  <c r="AF823" i="6" s="1"/>
  <c r="N568" i="16"/>
  <c r="N240" i="16"/>
  <c r="AF246" i="6" s="1"/>
  <c r="N796" i="16"/>
  <c r="AF802" i="6" s="1"/>
  <c r="N1894" i="16"/>
  <c r="AF1900" i="6" s="1"/>
  <c r="N741" i="16"/>
  <c r="AF747" i="6" s="1"/>
  <c r="N1661" i="16"/>
  <c r="AF1667" i="6" s="1"/>
  <c r="N1670" i="16"/>
  <c r="AF1676" i="6" s="1"/>
  <c r="N188" i="16"/>
  <c r="AF194" i="6" s="1"/>
  <c r="N357" i="16"/>
  <c r="AF363" i="6" s="1"/>
  <c r="N669" i="16"/>
  <c r="AF675" i="6" s="1"/>
  <c r="N1128" i="16"/>
  <c r="AF1134" i="6" s="1"/>
  <c r="N341" i="16"/>
  <c r="AF347" i="6" s="1"/>
  <c r="N537" i="16"/>
  <c r="AF543" i="6" s="1"/>
  <c r="N2106" i="16"/>
  <c r="AF2112" i="6" s="1"/>
  <c r="N2353" i="16"/>
  <c r="AF2359" i="6" s="1"/>
  <c r="N542" i="16"/>
  <c r="AF548" i="6" s="1"/>
  <c r="N256" i="16"/>
  <c r="AF262" i="6" s="1"/>
  <c r="N2146" i="16"/>
  <c r="AF2152" i="6" s="1"/>
  <c r="N530" i="16"/>
  <c r="AF536" i="6" s="1"/>
  <c r="N1890" i="16"/>
  <c r="AF1896" i="6" s="1"/>
  <c r="N1986" i="16"/>
  <c r="AF1992" i="6" s="1"/>
  <c r="N862" i="16"/>
  <c r="AF868" i="6" s="1"/>
  <c r="N1537" i="16"/>
  <c r="AF1543" i="6" s="1"/>
  <c r="N2097" i="16"/>
  <c r="AF2103" i="6" s="1"/>
  <c r="N1906" i="16"/>
  <c r="AF1912" i="6" s="1"/>
  <c r="N1863" i="16"/>
  <c r="AF1869" i="6" s="1"/>
  <c r="N1762" i="16"/>
  <c r="AF1768" i="6" s="1"/>
  <c r="N2171" i="16"/>
  <c r="AF2177" i="6" s="1"/>
  <c r="N1542" i="16"/>
  <c r="AF1548" i="6" s="1"/>
  <c r="N1331" i="16"/>
  <c r="AF1337" i="6" s="1"/>
  <c r="N1830" i="16"/>
  <c r="AF1836" i="6" s="1"/>
  <c r="N1626" i="16"/>
  <c r="AF1632" i="6" s="1"/>
  <c r="N1302" i="16"/>
  <c r="AF1308" i="6" s="1"/>
  <c r="N19" i="16"/>
  <c r="AF25" i="6" s="1"/>
  <c r="N17" i="16"/>
  <c r="AF23" i="6" s="1"/>
  <c r="N298" i="16"/>
  <c r="AF304" i="6" s="1"/>
  <c r="N1157" i="16"/>
  <c r="AF1163" i="6" s="1"/>
  <c r="N1485" i="16"/>
  <c r="AF1491" i="6" s="1"/>
  <c r="N2217" i="16"/>
  <c r="AF2223" i="6" s="1"/>
  <c r="N762" i="16"/>
  <c r="AF768" i="6" s="1"/>
  <c r="N1287" i="16"/>
  <c r="AF1293" i="6" s="1"/>
  <c r="N1044" i="16"/>
  <c r="AF1050" i="6" s="1"/>
  <c r="N754" i="16"/>
  <c r="AF760" i="6" s="1"/>
  <c r="N1272" i="16"/>
  <c r="AF1278" i="6" s="1"/>
  <c r="N886" i="16"/>
  <c r="AF892" i="6" s="1"/>
  <c r="N1798" i="16"/>
  <c r="AF1804" i="6" s="1"/>
  <c r="N1554" i="16"/>
  <c r="AF1560" i="6" s="1"/>
  <c r="N639" i="16"/>
  <c r="AF645" i="6" s="1"/>
  <c r="N878" i="16"/>
  <c r="AF884" i="6" s="1"/>
  <c r="N1120" i="16"/>
  <c r="AF1126" i="6" s="1"/>
  <c r="N1353" i="16"/>
  <c r="AF1359" i="6" s="1"/>
  <c r="N398" i="16"/>
  <c r="AF404" i="6" s="1"/>
  <c r="N1079" i="16"/>
  <c r="AF1085" i="6" s="1"/>
  <c r="N1325" i="16"/>
  <c r="AF1331" i="6" s="1"/>
  <c r="N1580" i="16"/>
  <c r="N1723" i="16"/>
  <c r="AF1729" i="6" s="1"/>
  <c r="N1083" i="16"/>
  <c r="AF1089" i="6" s="1"/>
  <c r="N1891" i="16"/>
  <c r="AF1897" i="6" s="1"/>
  <c r="N1202" i="16"/>
  <c r="AF1208" i="6" s="1"/>
  <c r="N409" i="16"/>
  <c r="AF415" i="6" s="1"/>
  <c r="N602" i="16"/>
  <c r="AF608" i="6" s="1"/>
  <c r="N950" i="16"/>
  <c r="AF956" i="6" s="1"/>
  <c r="N1574" i="16"/>
  <c r="AF1580" i="6" s="1"/>
  <c r="N1783" i="16"/>
  <c r="AF1789" i="6" s="1"/>
  <c r="N2322" i="16"/>
  <c r="AF2328" i="6" s="1"/>
  <c r="N268" i="16"/>
  <c r="N450" i="16"/>
  <c r="AF456" i="6" s="1"/>
  <c r="N751" i="16"/>
  <c r="AF757" i="6" s="1"/>
  <c r="N1290" i="16"/>
  <c r="AF1296" i="6" s="1"/>
  <c r="N425" i="16"/>
  <c r="AF431" i="6" s="1"/>
  <c r="N613" i="16"/>
  <c r="AF619" i="6" s="1"/>
  <c r="N2188" i="16"/>
  <c r="AF2194" i="6" s="1"/>
  <c r="N69" i="16"/>
  <c r="AF75" i="6" s="1"/>
  <c r="N633" i="16"/>
  <c r="AF639" i="6" s="1"/>
  <c r="N338" i="16"/>
  <c r="AF344" i="6" s="1"/>
  <c r="N54" i="16"/>
  <c r="AF60" i="6" s="1"/>
  <c r="N610" i="16"/>
  <c r="AF616" i="6" s="1"/>
  <c r="N1581" i="16"/>
  <c r="AF1587" i="6" s="1"/>
  <c r="N2100" i="16"/>
  <c r="AF2106" i="6" s="1"/>
  <c r="N1731" i="16"/>
  <c r="AF1737" i="6" s="1"/>
  <c r="N2155" i="16"/>
  <c r="AF2161" i="6" s="1"/>
  <c r="N34" i="16"/>
  <c r="AF40" i="6" s="1"/>
  <c r="N678" i="16"/>
  <c r="AF684" i="6" s="1"/>
  <c r="N859" i="16"/>
  <c r="N1427" i="16"/>
  <c r="AF1433" i="6" s="1"/>
  <c r="N2033" i="16"/>
  <c r="AF2039" i="6" s="1"/>
  <c r="N816" i="16"/>
  <c r="AF822" i="6" s="1"/>
  <c r="N1010" i="16"/>
  <c r="AF1016" i="6" s="1"/>
  <c r="N1711" i="16"/>
  <c r="AF1717" i="6" s="1"/>
  <c r="N451" i="16"/>
  <c r="AF457" i="6" s="1"/>
  <c r="N1009" i="16"/>
  <c r="AF1015" i="6" s="1"/>
  <c r="N736" i="16"/>
  <c r="AF742" i="6" s="1"/>
  <c r="N417" i="16"/>
  <c r="AF423" i="6" s="1"/>
  <c r="N951" i="16"/>
  <c r="AF957" i="6" s="1"/>
  <c r="N2277" i="16"/>
  <c r="AF2283" i="6" s="1"/>
  <c r="N849" i="16"/>
  <c r="AF855" i="6" s="1"/>
  <c r="N396" i="16"/>
  <c r="N1334" i="16"/>
  <c r="AF1340" i="6" s="1"/>
  <c r="N1984" i="16"/>
  <c r="AF1990" i="6" s="1"/>
  <c r="N1800" i="16"/>
  <c r="AF1806" i="6" s="1"/>
  <c r="N56" i="16"/>
  <c r="N325" i="16"/>
  <c r="AF331" i="6" s="1"/>
  <c r="N2154" i="16"/>
  <c r="AF2160" i="6" s="1"/>
  <c r="N2269" i="16"/>
  <c r="AF2275" i="6" s="1"/>
  <c r="N172" i="16"/>
  <c r="AF178" i="6" s="1"/>
  <c r="N1771" i="16"/>
  <c r="AF1777" i="6" s="1"/>
  <c r="N2299" i="16"/>
  <c r="AF2305" i="6" s="1"/>
  <c r="N210" i="16"/>
  <c r="N2175" i="16"/>
  <c r="AF2181" i="6" s="1"/>
  <c r="N497" i="16"/>
  <c r="AF503" i="6" s="1"/>
  <c r="N198" i="16"/>
  <c r="AF204" i="6" s="1"/>
  <c r="N767" i="16"/>
  <c r="AF773" i="6" s="1"/>
  <c r="N1211" i="16"/>
  <c r="AF1217" i="6" s="1"/>
  <c r="N1472" i="16"/>
  <c r="AF1478" i="6" s="1"/>
  <c r="N511" i="16"/>
  <c r="AF517" i="6" s="1"/>
  <c r="N1178" i="16"/>
  <c r="AF1184" i="6" s="1"/>
  <c r="N1348" i="16"/>
  <c r="AF1354" i="6" s="1"/>
  <c r="N1864" i="16"/>
  <c r="AF1870" i="6" s="1"/>
  <c r="N1316" i="16"/>
  <c r="AF1322" i="6" s="1"/>
  <c r="N1380" i="16"/>
  <c r="AF1386" i="6" s="1"/>
  <c r="N1932" i="16"/>
  <c r="AF1938" i="6" s="1"/>
  <c r="N1832" i="16"/>
  <c r="AF1838" i="6" s="1"/>
  <c r="N963" i="16"/>
  <c r="AF969" i="6" s="1"/>
  <c r="N1484" i="16"/>
  <c r="AF1490" i="6" s="1"/>
  <c r="N1236" i="16"/>
  <c r="AF1242" i="6" s="1"/>
  <c r="N969" i="16"/>
  <c r="AF975" i="6" s="1"/>
  <c r="N1730" i="16"/>
  <c r="AF1736" i="6" s="1"/>
  <c r="N1508" i="16"/>
  <c r="AF1514" i="6" s="1"/>
  <c r="N1825" i="16"/>
  <c r="AF1831" i="6" s="1"/>
  <c r="N986" i="16"/>
  <c r="AF992" i="6" s="1"/>
  <c r="N1848" i="16"/>
  <c r="AF1854" i="6" s="1"/>
  <c r="N2007" i="16"/>
  <c r="AF2013" i="6" s="1"/>
  <c r="N331" i="16"/>
  <c r="AF337" i="6" s="1"/>
  <c r="N526" i="16"/>
  <c r="AF532" i="6" s="1"/>
  <c r="N818" i="16"/>
  <c r="AF824" i="6" s="1"/>
  <c r="N1409" i="16"/>
  <c r="AF1415" i="6" s="1"/>
  <c r="N478" i="16"/>
  <c r="AF484" i="6" s="1"/>
  <c r="N684" i="16"/>
  <c r="AF690" i="6" s="1"/>
  <c r="N2257" i="16"/>
  <c r="AF2263" i="6" s="1"/>
  <c r="N135" i="16"/>
  <c r="AF141" i="6" s="1"/>
  <c r="N692" i="16"/>
  <c r="AF698" i="6" s="1"/>
  <c r="N403" i="16"/>
  <c r="AF409" i="6" s="1"/>
  <c r="N102" i="16"/>
  <c r="AF108" i="6" s="1"/>
  <c r="N673" i="16"/>
  <c r="AF679" i="6" s="1"/>
  <c r="N1681" i="16"/>
  <c r="AF1687" i="6" s="1"/>
  <c r="N585" i="16"/>
  <c r="AF591" i="6" s="1"/>
  <c r="N1555" i="16"/>
  <c r="AF1561" i="6" s="1"/>
  <c r="N2295" i="16"/>
  <c r="AF2301" i="6" s="1"/>
  <c r="N246" i="16"/>
  <c r="AF252" i="6" s="1"/>
  <c r="N533" i="16"/>
  <c r="AF539" i="6" s="1"/>
  <c r="N864" i="16"/>
  <c r="AF870" i="6" s="1"/>
  <c r="N197" i="16"/>
  <c r="AF203" i="6" s="1"/>
  <c r="N405" i="16"/>
  <c r="N1975" i="16"/>
  <c r="AF1981" i="6" s="1"/>
  <c r="N1505" i="16"/>
  <c r="AF1511" i="6" s="1"/>
  <c r="N420" i="16"/>
  <c r="AF426" i="6" s="1"/>
  <c r="N124" i="16"/>
  <c r="AF130" i="6" s="1"/>
  <c r="N1924" i="16"/>
  <c r="AF1930" i="6" s="1"/>
  <c r="N399" i="16"/>
  <c r="AF405" i="6" s="1"/>
  <c r="N1167" i="16"/>
  <c r="AF1173" i="6" s="1"/>
  <c r="N1653" i="16"/>
  <c r="AF1659" i="6" s="1"/>
  <c r="N1860" i="16"/>
  <c r="AF1866" i="6" s="1"/>
  <c r="N717" i="16"/>
  <c r="N1398" i="16"/>
  <c r="AF1404" i="6" s="1"/>
  <c r="N1856" i="16"/>
  <c r="AF1862" i="6" s="1"/>
  <c r="N954" i="16"/>
  <c r="AF960" i="6" s="1"/>
  <c r="N2043" i="16"/>
  <c r="AF2049" i="6" s="1"/>
  <c r="N1564" i="16"/>
  <c r="AF1570" i="6" s="1"/>
  <c r="N1527" i="16"/>
  <c r="AF1533" i="6" s="1"/>
  <c r="N1063" i="16"/>
  <c r="N1205" i="16"/>
  <c r="AF1211" i="6" s="1"/>
  <c r="N1684" i="16"/>
  <c r="AF1690" i="6" s="1"/>
  <c r="N1474" i="16"/>
  <c r="AF1480" i="6" s="1"/>
  <c r="N1163" i="16"/>
  <c r="AF1169" i="6" s="1"/>
  <c r="N1709" i="16"/>
  <c r="AF1715" i="6" s="1"/>
  <c r="N2119" i="16"/>
  <c r="AF2125" i="6" s="1"/>
  <c r="N127" i="16"/>
  <c r="AF133" i="6" s="1"/>
  <c r="N1030" i="16"/>
  <c r="AF1036" i="6" s="1"/>
  <c r="N1251" i="16"/>
  <c r="AF1257" i="6" s="1"/>
  <c r="N1967" i="16"/>
  <c r="AF1973" i="6" s="1"/>
  <c r="N638" i="16"/>
  <c r="N1168" i="16"/>
  <c r="AF1174" i="6" s="1"/>
  <c r="N917" i="16"/>
  <c r="AF923" i="6" s="1"/>
  <c r="N575" i="16"/>
  <c r="AF581" i="6" s="1"/>
  <c r="N1153" i="16"/>
  <c r="AF1159" i="6" s="1"/>
  <c r="N506" i="16"/>
  <c r="AF512" i="6" s="1"/>
  <c r="N1663" i="16"/>
  <c r="AF1669" i="6" s="1"/>
  <c r="N1432" i="16"/>
  <c r="AF1438" i="6" s="1"/>
  <c r="N503" i="16"/>
  <c r="AF509" i="6" s="1"/>
  <c r="N748" i="16"/>
  <c r="AF754" i="6" s="1"/>
  <c r="N952" i="16"/>
  <c r="AF958" i="6" s="1"/>
  <c r="N1226" i="16"/>
  <c r="AF1232" i="6" s="1"/>
  <c r="N2227" i="16"/>
  <c r="N943" i="16"/>
  <c r="AF949" i="6" s="1"/>
  <c r="N1180" i="16"/>
  <c r="AF1186" i="6" s="1"/>
  <c r="N1415" i="16"/>
  <c r="AF1421" i="6" s="1"/>
  <c r="N61" i="16"/>
  <c r="N1483" i="16"/>
  <c r="AF1489" i="6" s="1"/>
  <c r="N571" i="16"/>
  <c r="AF577" i="6" s="1"/>
  <c r="N458" i="16"/>
  <c r="AF464" i="6" s="1"/>
  <c r="N1460" i="16"/>
  <c r="AF1466" i="6" s="1"/>
  <c r="N765" i="16"/>
  <c r="AF771" i="6" s="1"/>
  <c r="N179" i="16"/>
  <c r="AF185" i="6" s="1"/>
  <c r="N2091" i="16"/>
  <c r="AF2097" i="6" s="1"/>
  <c r="N829" i="16"/>
  <c r="AF835" i="6" s="1"/>
  <c r="N1794" i="16"/>
  <c r="AF1800" i="6" s="1"/>
  <c r="N1500" i="16"/>
  <c r="AF1506" i="6" s="1"/>
  <c r="N288" i="16"/>
  <c r="N484" i="16"/>
  <c r="AF490" i="6" s="1"/>
  <c r="N776" i="16"/>
  <c r="AF782" i="6" s="1"/>
  <c r="N1292" i="16"/>
  <c r="AF1298" i="6" s="1"/>
  <c r="N681" i="16"/>
  <c r="N1650" i="16"/>
  <c r="AF1656" i="6" s="1"/>
  <c r="N1365" i="16"/>
  <c r="AF1371" i="6" s="1"/>
  <c r="N138" i="16"/>
  <c r="AF144" i="6" s="1"/>
  <c r="N321" i="16"/>
  <c r="AF327" i="6" s="1"/>
  <c r="N615" i="16"/>
  <c r="AF621" i="6" s="1"/>
  <c r="N1049" i="16"/>
  <c r="AF1055" i="6" s="1"/>
  <c r="N299" i="16"/>
  <c r="AF305" i="6" s="1"/>
  <c r="N501" i="16"/>
  <c r="AF507" i="6" s="1"/>
  <c r="N1897" i="16"/>
  <c r="AF1903" i="6" s="1"/>
  <c r="N488" i="16"/>
  <c r="AF494" i="6" s="1"/>
  <c r="N209" i="16"/>
  <c r="N2136" i="16"/>
  <c r="AF2142" i="6" s="1"/>
  <c r="N470" i="16"/>
  <c r="AF476" i="6" s="1"/>
  <c r="N1341" i="16"/>
  <c r="AF1347" i="6" s="1"/>
  <c r="N1807" i="16"/>
  <c r="AF1813" i="6" s="1"/>
  <c r="N1318" i="16"/>
  <c r="AF1324" i="6" s="1"/>
  <c r="N2040" i="16"/>
  <c r="AF2046" i="6" s="1"/>
  <c r="N2281" i="16"/>
  <c r="AF2287" i="6" s="1"/>
  <c r="N539" i="16"/>
  <c r="AF545" i="6" s="1"/>
  <c r="N695" i="16"/>
  <c r="AF701" i="6" s="1"/>
  <c r="N1175" i="16"/>
  <c r="AF1181" i="6" s="1"/>
  <c r="N1689" i="16"/>
  <c r="AF1695" i="6" s="1"/>
  <c r="N657" i="16"/>
  <c r="N888" i="16"/>
  <c r="AF894" i="6" s="1"/>
  <c r="N1346" i="16"/>
  <c r="AF1352" i="6" s="1"/>
  <c r="N307" i="16"/>
  <c r="AF313" i="6" s="1"/>
  <c r="N893" i="16"/>
  <c r="AF899" i="6" s="1"/>
  <c r="N591" i="16"/>
  <c r="AF597" i="6" s="1"/>
  <c r="N276" i="16"/>
  <c r="AF282" i="6" s="1"/>
  <c r="N2012" i="16"/>
  <c r="AF2018" i="6" s="1"/>
  <c r="N485" i="16"/>
  <c r="AF491" i="6" s="1"/>
  <c r="N270" i="16"/>
  <c r="AF276" i="6" s="1"/>
  <c r="N1197" i="16"/>
  <c r="AF1203" i="6" s="1"/>
  <c r="N1857" i="16"/>
  <c r="AF1863" i="6" s="1"/>
  <c r="N1994" i="16"/>
  <c r="AF2000" i="6" s="1"/>
  <c r="N191" i="16"/>
  <c r="AF197" i="6" s="1"/>
  <c r="N2031" i="16"/>
  <c r="AF2037" i="6" s="1"/>
  <c r="N1268" i="16"/>
  <c r="AF1274" i="6" s="1"/>
  <c r="N57" i="16"/>
  <c r="AF63" i="6" s="1"/>
  <c r="N1640" i="16"/>
  <c r="AF1646" i="6" s="1"/>
  <c r="N2163" i="16"/>
  <c r="AF2169" i="6" s="1"/>
  <c r="N90" i="16"/>
  <c r="AF96" i="6" s="1"/>
  <c r="N1622" i="16"/>
  <c r="AF1628" i="6" s="1"/>
  <c r="N335" i="16"/>
  <c r="AF341" i="6" s="1"/>
  <c r="N68" i="16"/>
  <c r="AF74" i="6" s="1"/>
  <c r="N590" i="16"/>
  <c r="AF596" i="6" s="1"/>
  <c r="N968" i="16"/>
  <c r="AF974" i="6" s="1"/>
  <c r="N362" i="16"/>
  <c r="AF368" i="6" s="1"/>
  <c r="N1068" i="16"/>
  <c r="AF1074" i="6" s="1"/>
  <c r="N1220" i="16"/>
  <c r="AF1226" i="6" s="1"/>
  <c r="N2165" i="16"/>
  <c r="AF2171" i="6" s="1"/>
  <c r="N2060" i="16"/>
  <c r="AF2066" i="6" s="1"/>
  <c r="N1241" i="16"/>
  <c r="AF1247" i="6" s="1"/>
  <c r="N1566" i="16"/>
  <c r="AF1572" i="6" s="1"/>
  <c r="N2315" i="16"/>
  <c r="AF2321" i="6" s="1"/>
  <c r="N825" i="16"/>
  <c r="AF831" i="6" s="1"/>
  <c r="N1362" i="16"/>
  <c r="AF1368" i="6" s="1"/>
  <c r="N1107" i="16"/>
  <c r="AF1113" i="6" s="1"/>
  <c r="N830" i="16"/>
  <c r="AF836" i="6" s="1"/>
  <c r="N1342" i="16"/>
  <c r="AF1348" i="6" s="1"/>
  <c r="N1436" i="16"/>
  <c r="AF1442" i="6" s="1"/>
  <c r="N914" i="16"/>
  <c r="AF920" i="6" s="1"/>
  <c r="N735" i="16"/>
  <c r="AF741" i="6" s="1"/>
  <c r="N1701" i="16"/>
  <c r="AF1707" i="6" s="1"/>
  <c r="N1795" i="16"/>
  <c r="AF1801" i="6" s="1"/>
  <c r="N194" i="16"/>
  <c r="AF200" i="6" s="1"/>
  <c r="N393" i="16"/>
  <c r="AF399" i="6" s="1"/>
  <c r="N686" i="16"/>
  <c r="AF692" i="6" s="1"/>
  <c r="N1155" i="16"/>
  <c r="AF1161" i="6" s="1"/>
  <c r="N366" i="16"/>
  <c r="N550" i="16"/>
  <c r="AF556" i="6" s="1"/>
  <c r="N2128" i="16"/>
  <c r="AF2134" i="6" s="1"/>
  <c r="N11" i="16"/>
  <c r="AF17" i="6" s="1"/>
  <c r="N561" i="16"/>
  <c r="AF567" i="6" s="1"/>
  <c r="N282" i="16"/>
  <c r="AF288" i="6" s="1"/>
  <c r="N2343" i="16"/>
  <c r="AF2349" i="6" s="1"/>
  <c r="N569" i="16"/>
  <c r="AF575" i="6" s="1"/>
  <c r="N1464" i="16"/>
  <c r="AF1470" i="6" s="1"/>
  <c r="N502" i="16"/>
  <c r="AF508" i="6" s="1"/>
  <c r="N1412" i="16"/>
  <c r="AF1418" i="6" s="1"/>
  <c r="N2067" i="16"/>
  <c r="AF2073" i="6" s="1"/>
  <c r="N2073" i="16"/>
  <c r="AF2079" i="6" s="1"/>
  <c r="N121" i="16"/>
  <c r="AF127" i="6" s="1"/>
  <c r="N407" i="16"/>
  <c r="AF413" i="6" s="1"/>
  <c r="N2243" i="16"/>
  <c r="AF2249" i="6" s="1"/>
  <c r="N70" i="16"/>
  <c r="AF76" i="6" s="1"/>
  <c r="N266" i="16"/>
  <c r="AF272" i="6" s="1"/>
  <c r="N1854" i="16"/>
  <c r="AF1860" i="6" s="1"/>
  <c r="N1934" i="16"/>
  <c r="AF1940" i="6" s="1"/>
  <c r="N291" i="16"/>
  <c r="AF297" i="6" s="1"/>
  <c r="N9" i="16"/>
  <c r="AF15" i="6" s="1"/>
  <c r="N763" i="16"/>
  <c r="AF769" i="6" s="1"/>
  <c r="N267" i="16"/>
  <c r="AF273" i="6" s="1"/>
  <c r="N934" i="16"/>
  <c r="AF940" i="6" s="1"/>
  <c r="N1356" i="16"/>
  <c r="AF1362" i="6" s="1"/>
  <c r="N1620" i="16"/>
  <c r="AF1626" i="6" s="1"/>
  <c r="N607" i="16"/>
  <c r="AF613" i="6" s="1"/>
  <c r="N1264" i="16"/>
  <c r="AF1270" i="6" s="1"/>
  <c r="N1413" i="16"/>
  <c r="AF1419" i="6" s="1"/>
  <c r="N2253" i="16"/>
  <c r="N1878" i="16"/>
  <c r="AF1884" i="6" s="1"/>
  <c r="N1446" i="16"/>
  <c r="AF1452" i="6" s="1"/>
  <c r="N2075" i="16"/>
  <c r="AF2081" i="6" s="1"/>
  <c r="N2224" i="16"/>
  <c r="N1058" i="16"/>
  <c r="AF1064" i="6" s="1"/>
  <c r="N1572" i="16"/>
  <c r="AF1578" i="6" s="1"/>
  <c r="N1323" i="16"/>
  <c r="AF1329" i="6" s="1"/>
  <c r="N1043" i="16"/>
  <c r="AF1049" i="6" s="1"/>
  <c r="N515" i="16"/>
  <c r="AF521" i="6" s="1"/>
  <c r="N2311" i="16"/>
  <c r="AF2317" i="6" s="1"/>
  <c r="N16" i="16"/>
  <c r="AF22" i="6" s="1"/>
  <c r="N895" i="16"/>
  <c r="N1069" i="16"/>
  <c r="AF1075" i="6" s="1"/>
  <c r="N1696" i="16"/>
  <c r="AF1702" i="6" s="1"/>
  <c r="N498" i="16"/>
  <c r="AF504" i="6" s="1"/>
  <c r="N1048" i="16"/>
  <c r="AF1054" i="6" s="1"/>
  <c r="N774" i="16"/>
  <c r="AF780" i="6" s="1"/>
  <c r="N468" i="16"/>
  <c r="AF474" i="6" s="1"/>
  <c r="N1004" i="16"/>
  <c r="AF1010" i="6" s="1"/>
  <c r="N237" i="16"/>
  <c r="AF243" i="6" s="1"/>
  <c r="N869" i="16"/>
  <c r="AF875" i="6" s="1"/>
  <c r="N1288" i="16"/>
  <c r="AF1294" i="6" s="1"/>
  <c r="N348" i="16"/>
  <c r="AF354" i="6" s="1"/>
  <c r="N605" i="16"/>
  <c r="AF611" i="6" s="1"/>
  <c r="N860" i="16"/>
  <c r="AF866" i="6" s="1"/>
  <c r="N1100" i="16"/>
  <c r="AF1106" i="6" s="1"/>
  <c r="N1971" i="16"/>
  <c r="AF1977" i="6" s="1"/>
  <c r="N815" i="16"/>
  <c r="AF821" i="6" s="1"/>
  <c r="N1059" i="16"/>
  <c r="AF1065" i="6" s="1"/>
  <c r="N1304" i="16"/>
  <c r="AF1310" i="6" s="1"/>
  <c r="N1905" i="16"/>
  <c r="AF1911" i="6" s="1"/>
  <c r="N700" i="16"/>
  <c r="AF706" i="6" s="1"/>
  <c r="N1756" i="16"/>
  <c r="AF1762" i="6" s="1"/>
  <c r="N1478" i="16"/>
  <c r="AF1484" i="6" s="1"/>
  <c r="N165" i="16"/>
  <c r="AF171" i="6" s="1"/>
  <c r="N342" i="16"/>
  <c r="AF348" i="6" s="1"/>
  <c r="N623" i="16"/>
  <c r="AF629" i="6" s="1"/>
  <c r="N1073" i="16"/>
  <c r="AF1079" i="6" s="1"/>
  <c r="N546" i="16"/>
  <c r="AF552" i="6" s="1"/>
  <c r="N1503" i="16"/>
  <c r="AF1509" i="6" s="1"/>
  <c r="N2145" i="16"/>
  <c r="AF2151" i="6" s="1"/>
  <c r="N6" i="16"/>
  <c r="AF12" i="6" s="1"/>
  <c r="N491" i="16"/>
  <c r="AF497" i="6" s="1"/>
  <c r="N2326" i="16"/>
  <c r="AF2332" i="6" s="1"/>
  <c r="N154" i="16"/>
  <c r="AF160" i="6" s="1"/>
  <c r="N359" i="16"/>
  <c r="AF365" i="6" s="1"/>
  <c r="N1895" i="16"/>
  <c r="AF1901" i="6" s="1"/>
  <c r="N897" i="16"/>
  <c r="AF903" i="6" s="1"/>
  <c r="N355" i="16"/>
  <c r="AF361" i="6" s="1"/>
  <c r="N82" i="16"/>
  <c r="AF88" i="6" s="1"/>
  <c r="N1426" i="16"/>
  <c r="AF1432" i="6" s="1"/>
  <c r="N350" i="16"/>
  <c r="AF356" i="6" s="1"/>
  <c r="N1084" i="16"/>
  <c r="AF1090" i="6" s="1"/>
  <c r="N1522" i="16"/>
  <c r="AF1528" i="6" s="1"/>
  <c r="N1037" i="16"/>
  <c r="AF1043" i="6" s="1"/>
  <c r="N1900" i="16"/>
  <c r="AF1906" i="6" s="1"/>
  <c r="N671" i="16"/>
  <c r="AF677" i="6" s="1"/>
  <c r="N374" i="16"/>
  <c r="AF380" i="6" s="1"/>
  <c r="N548" i="16"/>
  <c r="AF554" i="6" s="1"/>
  <c r="N904" i="16"/>
  <c r="AF910" i="6" s="1"/>
  <c r="N1529" i="16"/>
  <c r="AF1535" i="6" s="1"/>
  <c r="N536" i="16"/>
  <c r="AF542" i="6" s="1"/>
  <c r="N725" i="16"/>
  <c r="AF731" i="6" s="1"/>
  <c r="N2323" i="16"/>
  <c r="AF2329" i="6" s="1"/>
  <c r="N158" i="16"/>
  <c r="AF164" i="6" s="1"/>
  <c r="N733" i="16"/>
  <c r="AF739" i="6" s="1"/>
  <c r="N455" i="16"/>
  <c r="AF461" i="6" s="1"/>
  <c r="N159" i="16"/>
  <c r="AF165" i="6" s="1"/>
  <c r="N720" i="16"/>
  <c r="N1799" i="16"/>
  <c r="AF1805" i="6" s="1"/>
  <c r="N2325" i="16"/>
  <c r="AF2331" i="6" s="1"/>
  <c r="N139" i="16"/>
  <c r="AF145" i="6" s="1"/>
  <c r="N1051" i="16"/>
  <c r="AF1057" i="6" s="1"/>
  <c r="N1739" i="16"/>
  <c r="AF1745" i="6" s="1"/>
  <c r="N1951" i="16"/>
  <c r="AF1957" i="6" s="1"/>
  <c r="N1106" i="16"/>
  <c r="AF1112" i="6" s="1"/>
  <c r="N45" i="16"/>
  <c r="AF51" i="6" s="1"/>
  <c r="N1892" i="16"/>
  <c r="AF1898" i="6" s="1"/>
  <c r="N2085" i="16"/>
  <c r="AF2091" i="6" s="1"/>
  <c r="N1808" i="16"/>
  <c r="AF1814" i="6" s="1"/>
  <c r="N1520" i="16"/>
  <c r="N2020" i="16"/>
  <c r="AF2026" i="6" s="1"/>
  <c r="N2037" i="16"/>
  <c r="AF2043" i="6" s="1"/>
  <c r="N1510" i="16"/>
  <c r="AF1516" i="6" s="1"/>
  <c r="N207" i="16"/>
  <c r="AF213" i="6" s="1"/>
  <c r="N225" i="16"/>
  <c r="AF231" i="6" s="1"/>
  <c r="N474" i="16"/>
  <c r="AF480" i="6" s="1"/>
  <c r="N1959" i="16"/>
  <c r="N935" i="16"/>
  <c r="AF941" i="6" s="1"/>
  <c r="N248" i="16"/>
  <c r="AF254" i="6" s="1"/>
  <c r="N959" i="16"/>
  <c r="AF965" i="6" s="1"/>
  <c r="N1095" i="16"/>
  <c r="AF1101" i="6" s="1"/>
  <c r="N1865" i="16"/>
  <c r="AF1871" i="6" s="1"/>
  <c r="N2000" i="16"/>
  <c r="AF2006" i="6" s="1"/>
  <c r="N1097" i="16"/>
  <c r="AF1103" i="6" s="1"/>
  <c r="N1359" i="16"/>
  <c r="AF1365" i="6" s="1"/>
  <c r="N2092" i="16"/>
  <c r="AF2098" i="6" s="1"/>
  <c r="N674" i="16"/>
  <c r="AF680" i="6" s="1"/>
  <c r="N1229" i="16"/>
  <c r="AF1235" i="6" s="1"/>
  <c r="N984" i="16"/>
  <c r="AF990" i="6" s="1"/>
  <c r="N680" i="16"/>
  <c r="AF686" i="6" s="1"/>
  <c r="N1216" i="16"/>
  <c r="AF1222" i="6" s="1"/>
  <c r="N603" i="16"/>
  <c r="AF609" i="6" s="1"/>
  <c r="N2147" i="16"/>
  <c r="AF2153" i="6" s="1"/>
  <c r="N643" i="16"/>
  <c r="AF649" i="6" s="1"/>
  <c r="N1565" i="16"/>
  <c r="AF1571" i="6" s="1"/>
  <c r="N800" i="16"/>
  <c r="AF806" i="6" s="1"/>
  <c r="N72" i="16"/>
  <c r="AF78" i="6" s="1"/>
  <c r="N258" i="16"/>
  <c r="AF264" i="6" s="1"/>
  <c r="N566" i="16"/>
  <c r="AF572" i="6" s="1"/>
  <c r="N921" i="16"/>
  <c r="AF927" i="6" s="1"/>
  <c r="N218" i="16"/>
  <c r="AF224" i="6" s="1"/>
  <c r="N423" i="16"/>
  <c r="AF429" i="6" s="1"/>
  <c r="N1987" i="16"/>
  <c r="AF1993" i="6" s="1"/>
  <c r="N1727" i="16"/>
  <c r="AF1733" i="6" s="1"/>
  <c r="N440" i="16"/>
  <c r="AF446" i="6" s="1"/>
  <c r="N126" i="16"/>
  <c r="AF132" i="6" s="1"/>
  <c r="N2050" i="16"/>
  <c r="AF2056" i="6" s="1"/>
  <c r="N416" i="16"/>
  <c r="AF422" i="6" s="1"/>
  <c r="N1182" i="16"/>
  <c r="AF1188" i="6" s="1"/>
  <c r="N343" i="16"/>
  <c r="AF349" i="6" s="1"/>
  <c r="N1298" i="16"/>
  <c r="AF1304" i="6" s="1"/>
  <c r="N1938" i="16"/>
  <c r="AF1944" i="6" s="1"/>
  <c r="N1306" i="16"/>
  <c r="AF1312" i="6" s="1"/>
  <c r="N2356" i="16"/>
  <c r="AF2362" i="6" s="1"/>
  <c r="N290" i="16"/>
  <c r="AF296" i="6" s="1"/>
  <c r="N2122" i="16"/>
  <c r="AF2128" i="6" s="1"/>
  <c r="N2268" i="16"/>
  <c r="AF2274" i="6" s="1"/>
  <c r="N96" i="16"/>
  <c r="AF102" i="6" s="1"/>
  <c r="N1657" i="16"/>
  <c r="AF1663" i="6" s="1"/>
  <c r="N2248" i="16"/>
  <c r="AF2254" i="6" s="1"/>
  <c r="N169" i="16"/>
  <c r="AF175" i="6" s="1"/>
  <c r="N1801" i="16"/>
  <c r="AF1807" i="6" s="1"/>
  <c r="N418" i="16"/>
  <c r="N131" i="16"/>
  <c r="AF137" i="6" s="1"/>
  <c r="N702" i="16"/>
  <c r="AF708" i="6" s="1"/>
  <c r="N1104" i="16"/>
  <c r="AF1110" i="6" s="1"/>
  <c r="N1431" i="16"/>
  <c r="AF1437" i="6" s="1"/>
  <c r="N460" i="16"/>
  <c r="AF466" i="6" s="1"/>
  <c r="N1141" i="16"/>
  <c r="AF1147" i="6" s="1"/>
  <c r="N1293" i="16"/>
  <c r="AF1299" i="6" s="1"/>
  <c r="N1635" i="16"/>
  <c r="AF1641" i="6" s="1"/>
  <c r="N941" i="16"/>
  <c r="AF947" i="6" s="1"/>
  <c r="N1821" i="16"/>
  <c r="AF1827" i="6" s="1"/>
  <c r="N1647" i="16"/>
  <c r="AF1653" i="6" s="1"/>
  <c r="N933" i="16"/>
  <c r="AF939" i="6" s="1"/>
  <c r="N1435" i="16"/>
  <c r="AF1441" i="6" s="1"/>
  <c r="N1196" i="16"/>
  <c r="AF1202" i="6" s="1"/>
  <c r="N916" i="16"/>
  <c r="AF922" i="6" s="1"/>
  <c r="N1559" i="16"/>
  <c r="AF1565" i="6" s="1"/>
  <c r="N2062" i="16"/>
  <c r="AF2068" i="6" s="1"/>
  <c r="N1845" i="16"/>
  <c r="AF1851" i="6" s="1"/>
  <c r="N696" i="16"/>
  <c r="AF702" i="6" s="1"/>
  <c r="N919" i="16"/>
  <c r="AF925" i="6" s="1"/>
  <c r="N1394" i="16"/>
  <c r="AF1400" i="6" s="1"/>
  <c r="N337" i="16"/>
  <c r="AF343" i="6" s="1"/>
  <c r="N915" i="16"/>
  <c r="AF921" i="6" s="1"/>
  <c r="N621" i="16"/>
  <c r="AF627" i="6" s="1"/>
  <c r="N327" i="16"/>
  <c r="AF333" i="6" s="1"/>
  <c r="N873" i="16"/>
  <c r="AF879" i="6" s="1"/>
  <c r="N2084" i="16"/>
  <c r="AF2090" i="6" s="1"/>
  <c r="N544" i="16"/>
  <c r="AF550" i="6" s="1"/>
  <c r="N1166" i="16"/>
  <c r="AF1172" i="6" s="1"/>
  <c r="N206" i="16"/>
  <c r="AF212" i="6" s="1"/>
  <c r="N462" i="16"/>
  <c r="AF468" i="6" s="1"/>
  <c r="N714" i="16"/>
  <c r="AF720" i="6" s="1"/>
  <c r="N975" i="16"/>
  <c r="AF981" i="6" s="1"/>
  <c r="N1671" i="16"/>
  <c r="AF1677" i="6" s="1"/>
  <c r="N683" i="16"/>
  <c r="AF689" i="6" s="1"/>
  <c r="N988" i="16"/>
  <c r="AF994" i="6" s="1"/>
  <c r="N1194" i="16"/>
  <c r="AF1200" i="6" s="1"/>
  <c r="N149" i="16"/>
  <c r="AF155" i="6" s="1"/>
  <c r="N1497" i="16"/>
  <c r="AF1503" i="6" s="1"/>
  <c r="N1438" i="16"/>
  <c r="AF1444" i="6" s="1"/>
  <c r="N1148" i="16"/>
  <c r="AF1154" i="6" s="1"/>
  <c r="N1969" i="16"/>
  <c r="AF1975" i="6" s="1"/>
  <c r="N1941" i="16"/>
  <c r="AF1947" i="6" s="1"/>
  <c r="N303" i="16"/>
  <c r="AF309" i="6" s="1"/>
  <c r="N2072" i="16"/>
  <c r="AF2078" i="6" s="1"/>
  <c r="N595" i="16"/>
  <c r="AF601" i="6" s="1"/>
  <c r="N1519" i="16"/>
  <c r="AF1525" i="6" s="1"/>
  <c r="N2249" i="16"/>
  <c r="AF2255" i="6" s="1"/>
  <c r="N31" i="16"/>
  <c r="AF37" i="6" s="1"/>
  <c r="N212" i="16"/>
  <c r="AF218" i="6" s="1"/>
  <c r="N472" i="16"/>
  <c r="AF478" i="6" s="1"/>
  <c r="N739" i="16"/>
  <c r="AF745" i="6" s="1"/>
  <c r="N427" i="16"/>
  <c r="AF433" i="6" s="1"/>
  <c r="N1364" i="16"/>
  <c r="AF1370" i="6" s="1"/>
  <c r="N2058" i="16"/>
  <c r="AF2064" i="6" s="1"/>
  <c r="N2140" i="16"/>
  <c r="AF2146" i="6" s="1"/>
  <c r="N74" i="16"/>
  <c r="AF80" i="6" s="1"/>
  <c r="N372" i="16"/>
  <c r="AF378" i="6" s="1"/>
  <c r="N2203" i="16"/>
  <c r="AF2209" i="6" s="1"/>
  <c r="N10" i="16"/>
  <c r="AF16" i="6" s="1"/>
  <c r="N217" i="16"/>
  <c r="AF223" i="6" s="1"/>
  <c r="N1817" i="16"/>
  <c r="AF1823" i="6" s="1"/>
  <c r="N2332" i="16"/>
  <c r="N241" i="16"/>
  <c r="AF247" i="6" s="1"/>
  <c r="N1979" i="16"/>
  <c r="AF1985" i="6" s="1"/>
  <c r="N689" i="16"/>
  <c r="AF695" i="6" s="1"/>
  <c r="N230" i="16"/>
  <c r="AF236" i="6" s="1"/>
  <c r="N846" i="16"/>
  <c r="AF852" i="6" s="1"/>
  <c r="N1276" i="16"/>
  <c r="AF1282" i="6" s="1"/>
  <c r="N812" i="16"/>
  <c r="N1672" i="16"/>
  <c r="AF1678" i="6" s="1"/>
  <c r="N2196" i="16"/>
  <c r="AF2202" i="6" s="1"/>
  <c r="N249" i="16"/>
  <c r="AF255" i="6" s="1"/>
  <c r="N437" i="16"/>
  <c r="N738" i="16"/>
  <c r="AF744" i="6" s="1"/>
  <c r="N1252" i="16"/>
  <c r="AF1258" i="6" s="1"/>
  <c r="N406" i="16"/>
  <c r="AF412" i="6" s="1"/>
  <c r="N594" i="16"/>
  <c r="AF600" i="6" s="1"/>
  <c r="N2156" i="16"/>
  <c r="AF2162" i="6" s="1"/>
  <c r="N47" i="16"/>
  <c r="AF53" i="6" s="1"/>
  <c r="N649" i="16"/>
  <c r="AF655" i="6" s="1"/>
  <c r="N324" i="16"/>
  <c r="N37" i="16"/>
  <c r="AF43" i="6" s="1"/>
  <c r="N589" i="16"/>
  <c r="AF595" i="6" s="1"/>
  <c r="N1556" i="16"/>
  <c r="AF1562" i="6" s="1"/>
  <c r="N2015" i="16"/>
  <c r="AF2021" i="6" s="1"/>
  <c r="N12" i="16"/>
  <c r="AF18" i="6" s="1"/>
  <c r="N983" i="16"/>
  <c r="AF989" i="6" s="1"/>
  <c r="N1605" i="16"/>
  <c r="AF1611" i="6" s="1"/>
  <c r="N1022" i="16"/>
  <c r="AF1028" i="6" s="1"/>
  <c r="N1636" i="16"/>
  <c r="AF1642" i="6" s="1"/>
  <c r="N2021" i="16"/>
  <c r="AF2027" i="6" s="1"/>
  <c r="N1790" i="16"/>
  <c r="N2259" i="16"/>
  <c r="AF2265" i="6" s="1"/>
  <c r="N2264" i="16"/>
  <c r="AF2270" i="6" s="1"/>
  <c r="N1393" i="16"/>
  <c r="AF1399" i="6" s="1"/>
  <c r="N1929" i="16"/>
  <c r="AF1935" i="6" s="1"/>
  <c r="N1664" i="16"/>
  <c r="AF1670" i="6" s="1"/>
  <c r="N1373" i="16"/>
  <c r="AF1379" i="6" s="1"/>
  <c r="N73" i="16"/>
  <c r="AF79" i="6" s="1"/>
  <c r="N91" i="16"/>
  <c r="AF97" i="6" s="1"/>
  <c r="N349" i="16"/>
  <c r="AF355" i="6" s="1"/>
  <c r="N1026" i="16"/>
  <c r="AF1032" i="6" s="1"/>
  <c r="N2267" i="16"/>
  <c r="AF2273" i="6" s="1"/>
  <c r="N136" i="16"/>
  <c r="AF142" i="6" s="1"/>
  <c r="N808" i="16"/>
  <c r="AF814" i="6" s="1"/>
  <c r="N955" i="16"/>
  <c r="AF961" i="6" s="1"/>
  <c r="N1611" i="16"/>
  <c r="AF1617" i="6" s="1"/>
  <c r="N2276" i="16"/>
  <c r="AF2282" i="6" s="1"/>
  <c r="N942" i="16"/>
  <c r="AF948" i="6" s="1"/>
  <c r="N1125" i="16"/>
  <c r="AF1131" i="6" s="1"/>
  <c r="N1823" i="16"/>
  <c r="AF1829" i="6" s="1"/>
  <c r="N565" i="16"/>
  <c r="AF571" i="6" s="1"/>
  <c r="N1108" i="16"/>
  <c r="N836" i="16"/>
  <c r="AF842" i="6" s="1"/>
  <c r="N527" i="16"/>
  <c r="AF533" i="6" s="1"/>
  <c r="N1077" i="16"/>
  <c r="AF1083" i="6" s="1"/>
  <c r="N367" i="16"/>
  <c r="AF373" i="6" s="1"/>
  <c r="N1231" i="16"/>
  <c r="AF1237" i="6" s="1"/>
  <c r="N476" i="16"/>
  <c r="AF482" i="6" s="1"/>
  <c r="N1450" i="16"/>
  <c r="AF1456" i="6" s="1"/>
  <c r="N2076" i="16"/>
  <c r="N2279" i="16"/>
  <c r="AF2285" i="6" s="1"/>
  <c r="N122" i="16"/>
  <c r="AF128" i="6" s="1"/>
  <c r="N426" i="16"/>
  <c r="AF432" i="6" s="1"/>
  <c r="N2273" i="16"/>
  <c r="AF2279" i="6" s="1"/>
  <c r="N81" i="16"/>
  <c r="AF87" i="6" s="1"/>
  <c r="N280" i="16"/>
  <c r="AF286" i="6" s="1"/>
  <c r="N1871" i="16"/>
  <c r="AF1877" i="6" s="1"/>
  <c r="N2105" i="16"/>
  <c r="AF2111" i="6" s="1"/>
  <c r="N305" i="16"/>
  <c r="AF311" i="6" s="1"/>
  <c r="N21" i="16"/>
  <c r="AF27" i="6" s="1"/>
  <c r="N840" i="16"/>
  <c r="AF846" i="6" s="1"/>
  <c r="N281" i="16"/>
  <c r="AF287" i="6" s="1"/>
  <c r="N980" i="16"/>
  <c r="AF986" i="6" s="1"/>
  <c r="N219" i="16"/>
  <c r="AF225" i="6" s="1"/>
  <c r="N1144" i="16"/>
  <c r="N1804" i="16"/>
  <c r="AF1810" i="6" s="1"/>
  <c r="N1710" i="16"/>
  <c r="AF1716" i="6" s="1"/>
  <c r="N1958" i="16"/>
  <c r="AF1964" i="6" s="1"/>
  <c r="N142" i="16"/>
  <c r="AF148" i="6" s="1"/>
  <c r="N1988" i="16"/>
  <c r="AF1994" i="6" s="1"/>
  <c r="N626" i="16"/>
  <c r="AF632" i="6" s="1"/>
  <c r="N2138" i="16"/>
  <c r="AF2144" i="6" s="1"/>
  <c r="N1595" i="16"/>
  <c r="AF1601" i="6" s="1"/>
  <c r="N2120" i="16"/>
  <c r="AF2126" i="6" s="1"/>
  <c r="N50" i="16"/>
  <c r="N1584" i="16"/>
  <c r="AF1590" i="6" s="1"/>
  <c r="N289" i="16"/>
  <c r="AF295" i="6" s="1"/>
  <c r="N18" i="16"/>
  <c r="AF24" i="6" s="1"/>
  <c r="N556" i="16"/>
  <c r="AF562" i="6" s="1"/>
  <c r="N824" i="16"/>
  <c r="AF830" i="6" s="1"/>
  <c r="N1172" i="16"/>
  <c r="AF1178" i="6" s="1"/>
  <c r="N330" i="16"/>
  <c r="AF336" i="6" s="1"/>
  <c r="N1006" i="16"/>
  <c r="N1186" i="16"/>
  <c r="AF1192" i="6" s="1"/>
  <c r="N2079" i="16"/>
  <c r="AF2085" i="6" s="1"/>
  <c r="N2327" i="16"/>
  <c r="AF2333" i="6" s="1"/>
  <c r="N1164" i="16"/>
  <c r="N1533" i="16"/>
  <c r="AF1539" i="6" s="1"/>
  <c r="N2247" i="16"/>
  <c r="AF2253" i="6" s="1"/>
  <c r="N732" i="16"/>
  <c r="AF738" i="6" s="1"/>
  <c r="N1311" i="16"/>
  <c r="AF1317" i="6" s="1"/>
  <c r="N1052" i="16"/>
  <c r="AF1058" i="6" s="1"/>
  <c r="N770" i="16"/>
  <c r="AF776" i="6" s="1"/>
  <c r="N1310" i="16"/>
  <c r="AF1316" i="6" s="1"/>
  <c r="N911" i="16"/>
  <c r="AF917" i="6" s="1"/>
  <c r="N2160" i="16"/>
  <c r="AF2166" i="6" s="1"/>
  <c r="N570" i="16"/>
  <c r="AF576" i="6" s="1"/>
  <c r="N758" i="16"/>
  <c r="AF764" i="6" s="1"/>
  <c r="N1139" i="16"/>
  <c r="AF1145" i="6" s="1"/>
  <c r="N211" i="16"/>
  <c r="AF217" i="6" s="1"/>
  <c r="N775" i="16"/>
  <c r="AF781" i="6" s="1"/>
  <c r="N505" i="16"/>
  <c r="AF511" i="6" s="1"/>
  <c r="N192" i="16"/>
  <c r="N729" i="16"/>
  <c r="AF735" i="6" s="1"/>
  <c r="N1872" i="16"/>
  <c r="AF1878" i="6" s="1"/>
  <c r="N294" i="16"/>
  <c r="AF300" i="6" s="1"/>
  <c r="N1038" i="16"/>
  <c r="AF1044" i="6" s="1"/>
  <c r="N85" i="16"/>
  <c r="AF91" i="6" s="1"/>
  <c r="N328" i="16"/>
  <c r="AF334" i="6" s="1"/>
  <c r="N573" i="16"/>
  <c r="AF579" i="6" s="1"/>
  <c r="N838" i="16"/>
  <c r="AF844" i="6" s="1"/>
  <c r="N1386" i="16"/>
  <c r="AF1392" i="6" s="1"/>
  <c r="N562" i="16"/>
  <c r="AF568" i="6" s="1"/>
  <c r="N785" i="16"/>
  <c r="AF791" i="6" s="1"/>
  <c r="N1066" i="16"/>
  <c r="AF1072" i="6" s="1"/>
  <c r="N2164" i="16"/>
  <c r="AF2170" i="6" s="1"/>
  <c r="N449" i="16"/>
  <c r="AF455" i="6" s="1"/>
  <c r="N1383" i="16"/>
  <c r="AF1389" i="6" s="1"/>
  <c r="N2032" i="16"/>
  <c r="AF2038" i="6" s="1"/>
  <c r="N2297" i="16"/>
  <c r="AF2303" i="6" s="1"/>
  <c r="N87" i="16"/>
  <c r="AF93" i="6" s="1"/>
  <c r="N369" i="16"/>
  <c r="AF375" i="6" s="1"/>
  <c r="N2215" i="16"/>
  <c r="AF2221" i="6" s="1"/>
  <c r="N296" i="16"/>
  <c r="AF302" i="6" s="1"/>
  <c r="N1243" i="16"/>
  <c r="AF1249" i="6" s="1"/>
  <c r="N1923" i="16"/>
  <c r="N580" i="16"/>
  <c r="AF586" i="6" s="1"/>
  <c r="N1824" i="16"/>
  <c r="AF1830" i="6" s="1"/>
  <c r="N232" i="16"/>
  <c r="AF238" i="6" s="1"/>
  <c r="N1642" i="16"/>
  <c r="AF1648" i="6" s="1"/>
  <c r="N71" i="16"/>
  <c r="AF77" i="6" s="1"/>
  <c r="N1703" i="16"/>
  <c r="AF1709" i="6" s="1"/>
  <c r="N2202" i="16"/>
  <c r="AF2208" i="6" s="1"/>
  <c r="N117" i="16"/>
  <c r="AF123" i="6" s="1"/>
  <c r="N1656" i="16"/>
  <c r="AF1662" i="6" s="1"/>
  <c r="N370" i="16"/>
  <c r="AF376" i="6" s="1"/>
  <c r="N656" i="16"/>
  <c r="AF662" i="6" s="1"/>
  <c r="N1023" i="16"/>
  <c r="AF1029" i="6" s="1"/>
  <c r="N1638" i="16"/>
  <c r="AF1644" i="6" s="1"/>
  <c r="N1240" i="16"/>
  <c r="AF1246" i="6" s="1"/>
  <c r="N98" i="16"/>
  <c r="N308" i="16"/>
  <c r="AF314" i="6" s="1"/>
  <c r="N588" i="16"/>
  <c r="AF594" i="6" s="1"/>
  <c r="N1007" i="16"/>
  <c r="AF1013" i="6" s="1"/>
  <c r="N269" i="16"/>
  <c r="AF275" i="6" s="1"/>
  <c r="N494" i="16"/>
  <c r="AF500" i="6" s="1"/>
  <c r="N2025" i="16"/>
  <c r="AF2031" i="6" s="1"/>
  <c r="N2228" i="16"/>
  <c r="AF2234" i="6" s="1"/>
  <c r="N479" i="16"/>
  <c r="N202" i="16"/>
  <c r="AF208" i="6" s="1"/>
  <c r="N1887" i="16"/>
  <c r="AF1893" i="6" s="1"/>
  <c r="N469" i="16"/>
  <c r="AF475" i="6" s="1"/>
  <c r="N1285" i="16"/>
  <c r="AF1291" i="6" s="1"/>
  <c r="N1776" i="16"/>
  <c r="AF1782" i="6" s="1"/>
  <c r="N1912" i="16"/>
  <c r="AF1918" i="6" s="1"/>
  <c r="N779" i="16"/>
  <c r="AF785" i="6" s="1"/>
  <c r="N1476" i="16"/>
  <c r="AF1482" i="6" s="1"/>
  <c r="N2206" i="16"/>
  <c r="AF2212" i="6" s="1"/>
  <c r="N1445" i="16"/>
  <c r="AF1451" i="6" s="1"/>
  <c r="N1171" i="16"/>
  <c r="AF1177" i="6" s="1"/>
  <c r="N1645" i="16"/>
  <c r="AF1651" i="6" s="1"/>
  <c r="N1836" i="16"/>
  <c r="AF1842" i="6" s="1"/>
  <c r="N1844" i="16"/>
  <c r="AF1850" i="6" s="1"/>
  <c r="N1265" i="16"/>
  <c r="AF1271" i="6" s="1"/>
  <c r="N1769" i="16"/>
  <c r="AF1775" i="6" s="1"/>
  <c r="N1548" i="16"/>
  <c r="AF1554" i="6" s="1"/>
  <c r="N1232" i="16"/>
  <c r="AF1238" i="6" s="1"/>
  <c r="N2042" i="16"/>
  <c r="AF2048" i="6" s="1"/>
  <c r="N1918" i="16"/>
  <c r="AF1924" i="6" s="1"/>
  <c r="N204" i="16"/>
  <c r="N1576" i="16"/>
  <c r="AF1582" i="6" s="1"/>
  <c r="N2123" i="16"/>
  <c r="AF2129" i="6" s="1"/>
  <c r="N2347" i="16"/>
  <c r="AF2353" i="6" s="1"/>
  <c r="N620" i="16"/>
  <c r="N801" i="16"/>
  <c r="AF807" i="6" s="1"/>
  <c r="N1357" i="16"/>
  <c r="AF1363" i="6" s="1"/>
  <c r="N1957" i="16"/>
  <c r="AF1963" i="6" s="1"/>
  <c r="N807" i="16"/>
  <c r="AF813" i="6" s="1"/>
  <c r="N961" i="16"/>
  <c r="AF967" i="6" s="1"/>
  <c r="N1629" i="16"/>
  <c r="AF1635" i="6" s="1"/>
  <c r="N404" i="16"/>
  <c r="AF410" i="6" s="1"/>
  <c r="N949" i="16"/>
  <c r="AF955" i="6" s="1"/>
  <c r="N691" i="16"/>
  <c r="AF697" i="6" s="1"/>
  <c r="N384" i="16"/>
  <c r="AF390" i="6" s="1"/>
  <c r="N971" i="16"/>
  <c r="AF977" i="6" s="1"/>
  <c r="N2207" i="16"/>
  <c r="AF2213" i="6" s="1"/>
  <c r="N766" i="16"/>
  <c r="AF772" i="6" s="1"/>
  <c r="N361" i="16"/>
  <c r="AF367" i="6" s="1"/>
  <c r="N1317" i="16"/>
  <c r="N1952" i="16"/>
  <c r="AF1958" i="6" s="1"/>
  <c r="N1481" i="16"/>
  <c r="AF1487" i="6" s="1"/>
  <c r="N4" i="16"/>
  <c r="AF10" i="6" s="1"/>
  <c r="N295" i="16"/>
  <c r="AF301" i="6" s="1"/>
  <c r="N2139" i="16"/>
  <c r="AF2145" i="6" s="1"/>
  <c r="N1879" i="16"/>
  <c r="AF1885" i="6" s="1"/>
  <c r="N140" i="16"/>
  <c r="AF146" i="6" s="1"/>
  <c r="N1692" i="16"/>
  <c r="AF1698" i="6" s="1"/>
  <c r="N2260" i="16"/>
  <c r="AF2266" i="6" s="1"/>
  <c r="N162" i="16"/>
  <c r="AF168" i="6" s="1"/>
  <c r="N1928" i="16"/>
  <c r="AF1934" i="6" s="1"/>
  <c r="N435" i="16"/>
  <c r="AF441" i="6" s="1"/>
  <c r="N171" i="16"/>
  <c r="AF177" i="6" s="1"/>
  <c r="N718" i="16"/>
  <c r="AF724" i="6" s="1"/>
  <c r="N113" i="16"/>
  <c r="AF119" i="6" s="1"/>
  <c r="N1021" i="16"/>
  <c r="N1707" i="16"/>
  <c r="AF1713" i="6" s="1"/>
  <c r="N1654" i="16"/>
  <c r="AF1660" i="6" s="1"/>
  <c r="N483" i="16"/>
  <c r="AF489" i="6" s="1"/>
  <c r="N5" i="16"/>
  <c r="AF11" i="6" s="1"/>
  <c r="N1876" i="16"/>
  <c r="AF1882" i="6" s="1"/>
  <c r="N1387" i="16"/>
  <c r="AF1393" i="6" s="1"/>
  <c r="N1328" i="16"/>
  <c r="AF1334" i="6" s="1"/>
  <c r="N1471" i="16"/>
  <c r="AF1477" i="6" s="1"/>
  <c r="N1976" i="16"/>
  <c r="AF1982" i="6" s="1"/>
  <c r="N1768" i="16"/>
  <c r="AF1774" i="6" s="1"/>
  <c r="N1444" i="16"/>
  <c r="AF1450" i="6" s="1"/>
  <c r="N155" i="16"/>
  <c r="N152" i="16"/>
  <c r="AF158" i="6" s="1"/>
  <c r="N434" i="16"/>
  <c r="AF440" i="6" s="1"/>
  <c r="N2008" i="16"/>
  <c r="AF2014" i="6" s="1"/>
  <c r="N737" i="16"/>
  <c r="AF743" i="6" s="1"/>
  <c r="N193" i="16"/>
  <c r="AF199" i="6" s="1"/>
  <c r="N877" i="16"/>
  <c r="AF883" i="6" s="1"/>
  <c r="N1065" i="16"/>
  <c r="AF1071" i="6" s="1"/>
  <c r="N1764" i="16"/>
  <c r="AF1770" i="6" s="1"/>
  <c r="N1792" i="16"/>
  <c r="AF1798" i="6" s="1"/>
  <c r="N1047" i="16"/>
  <c r="AF1053" i="6" s="1"/>
  <c r="N1283" i="16"/>
  <c r="AF1289" i="6" s="1"/>
  <c r="N1997" i="16"/>
  <c r="AF2003" i="6" s="1"/>
  <c r="N645" i="16"/>
  <c r="AF651" i="6" s="1"/>
  <c r="N1181" i="16"/>
  <c r="AF1187" i="6" s="1"/>
  <c r="N927" i="16"/>
  <c r="AF933" i="6" s="1"/>
  <c r="N635" i="16"/>
  <c r="AF641" i="6" s="1"/>
  <c r="N1165" i="16"/>
  <c r="AF1171" i="6" s="1"/>
  <c r="N512" i="16"/>
  <c r="AF518" i="6" s="1"/>
  <c r="N1868" i="16"/>
  <c r="AF1874" i="6" s="1"/>
  <c r="N444" i="16"/>
  <c r="AF450" i="6" s="1"/>
  <c r="N617" i="16"/>
  <c r="AF623" i="6" s="1"/>
  <c r="N2205" i="16"/>
  <c r="AF2211" i="6" s="1"/>
  <c r="N80" i="16"/>
  <c r="AF86" i="6" s="1"/>
  <c r="N630" i="16"/>
  <c r="AF636" i="6" s="1"/>
  <c r="N368" i="16"/>
  <c r="AF374" i="6" s="1"/>
  <c r="N64" i="16"/>
  <c r="AF70" i="6" s="1"/>
  <c r="N637" i="16"/>
  <c r="AF643" i="6" s="1"/>
  <c r="N1619" i="16"/>
  <c r="AF1625" i="6" s="1"/>
  <c r="N2125" i="16"/>
  <c r="N910" i="16"/>
  <c r="AF916" i="6" s="1"/>
  <c r="N2335" i="16"/>
  <c r="AF2341" i="6" s="1"/>
  <c r="N189" i="16"/>
  <c r="AF195" i="6" s="1"/>
  <c r="N445" i="16"/>
  <c r="AF451" i="6" s="1"/>
  <c r="N699" i="16"/>
  <c r="AF705" i="6" s="1"/>
  <c r="N1130" i="16"/>
  <c r="AF1136" i="6" s="1"/>
  <c r="N412" i="16"/>
  <c r="AF418" i="6" s="1"/>
  <c r="N668" i="16"/>
  <c r="AF674" i="6" s="1"/>
  <c r="N932" i="16"/>
  <c r="AF938" i="6" s="1"/>
  <c r="N1562" i="16"/>
  <c r="AF1568" i="6" s="1"/>
  <c r="N180" i="16"/>
  <c r="AF186" i="6" s="1"/>
  <c r="N899" i="16"/>
  <c r="AF905" i="6" s="1"/>
  <c r="N251" i="16"/>
  <c r="AF257" i="6" s="1"/>
  <c r="N778" i="16"/>
  <c r="N764" i="16"/>
  <c r="AF770" i="6" s="1"/>
  <c r="N302" i="16"/>
  <c r="AF308" i="6" s="1"/>
  <c r="N1518" i="16"/>
  <c r="AF1524" i="6" s="1"/>
  <c r="N242" i="16"/>
  <c r="AF248" i="6" s="1"/>
  <c r="N2250" i="16"/>
  <c r="AF2256" i="6" s="1"/>
  <c r="N509" i="16"/>
  <c r="AF515" i="6" s="1"/>
  <c r="N611" i="16"/>
  <c r="AF617" i="6" s="1"/>
  <c r="N564" i="16"/>
  <c r="AF570" i="6" s="1"/>
  <c r="N1492" i="16"/>
  <c r="AF1498" i="6" s="1"/>
  <c r="N2127" i="16"/>
  <c r="AF2133" i="6" s="1"/>
  <c r="N2351" i="16"/>
  <c r="AF2357" i="6" s="1"/>
  <c r="N184" i="16"/>
  <c r="AF190" i="6" s="1"/>
  <c r="N486" i="16"/>
  <c r="AF492" i="6" s="1"/>
  <c r="N2317" i="16"/>
  <c r="AF2323" i="6" s="1"/>
  <c r="N128" i="16"/>
  <c r="AF134" i="6" s="1"/>
  <c r="N345" i="16"/>
  <c r="AF351" i="6" s="1"/>
  <c r="N1935" i="16"/>
  <c r="AF1941" i="6" s="1"/>
  <c r="N744" i="16"/>
  <c r="AF750" i="6" s="1"/>
  <c r="N356" i="16"/>
  <c r="AF362" i="6" s="1"/>
  <c r="N63" i="16"/>
  <c r="AF69" i="6" s="1"/>
  <c r="N1237" i="16"/>
  <c r="AF1243" i="6" s="1"/>
  <c r="N334" i="16"/>
  <c r="AF340" i="6" s="1"/>
  <c r="N1050" i="16"/>
  <c r="AF1056" i="6" s="1"/>
  <c r="N1477" i="16"/>
  <c r="AF1483" i="6" s="1"/>
  <c r="N1690" i="16"/>
  <c r="AF1696" i="6" s="1"/>
  <c r="N653" i="16"/>
  <c r="AF659" i="6" s="1"/>
  <c r="N1335" i="16"/>
  <c r="AF1341" i="6" s="1"/>
  <c r="N1490" i="16"/>
  <c r="AF1496" i="6" s="1"/>
  <c r="N2114" i="16"/>
  <c r="AF2120" i="6" s="1"/>
  <c r="N1430" i="16"/>
  <c r="N1499" i="16"/>
  <c r="AF1505" i="6" s="1"/>
  <c r="N2208" i="16"/>
  <c r="AF2214" i="6" s="1"/>
  <c r="N2083" i="16"/>
  <c r="AF2089" i="6" s="1"/>
  <c r="N1146" i="16"/>
  <c r="AF1152" i="6" s="1"/>
  <c r="N1641" i="16"/>
  <c r="AF1647" i="6" s="1"/>
  <c r="N1403" i="16"/>
  <c r="AF1409" i="6" s="1"/>
  <c r="N1105" i="16"/>
  <c r="AF1111" i="6" s="1"/>
  <c r="N1258" i="16"/>
  <c r="AF1264" i="6" s="1"/>
  <c r="N1355" i="16"/>
  <c r="AF1361" i="6" s="1"/>
  <c r="N86" i="16"/>
  <c r="AF92" i="6" s="1"/>
  <c r="N1250" i="16"/>
  <c r="AF1256" i="6" s="1"/>
  <c r="N1985" i="16"/>
  <c r="AF1991" i="6" s="1"/>
  <c r="N1919" i="16"/>
  <c r="AF1925" i="6" s="1"/>
  <c r="N489" i="16"/>
  <c r="AF495" i="6" s="1"/>
  <c r="N666" i="16"/>
  <c r="AF672" i="6" s="1"/>
  <c r="N1117" i="16"/>
  <c r="AF1123" i="6" s="1"/>
  <c r="N1691" i="16"/>
  <c r="AF1697" i="6" s="1"/>
  <c r="N631" i="16"/>
  <c r="AF637" i="6" s="1"/>
  <c r="N835" i="16"/>
  <c r="AF841" i="6" s="1"/>
  <c r="N1263" i="16"/>
  <c r="AF1269" i="6" s="1"/>
  <c r="N277" i="16"/>
  <c r="AF283" i="6" s="1"/>
  <c r="N843" i="16"/>
  <c r="AF849" i="6" s="1"/>
  <c r="N560" i="16"/>
  <c r="AF566" i="6" s="1"/>
  <c r="N254" i="16"/>
  <c r="AF260" i="6" s="1"/>
  <c r="N820" i="16"/>
  <c r="AF826" i="6" s="1"/>
  <c r="N1948" i="16"/>
  <c r="AF1954" i="6" s="1"/>
  <c r="N432" i="16"/>
  <c r="AF438" i="6" s="1"/>
  <c r="N236" i="16"/>
  <c r="N1170" i="16"/>
  <c r="AF1176" i="6" s="1"/>
  <c r="N1829" i="16"/>
  <c r="AF1835" i="6" s="1"/>
  <c r="N1819" i="16"/>
  <c r="AF1825" i="6" s="1"/>
  <c r="N2169" i="16"/>
  <c r="AF2175" i="6" s="1"/>
  <c r="N156" i="16"/>
  <c r="AF162" i="6" s="1"/>
  <c r="N2047" i="16"/>
  <c r="AF2053" i="6" s="1"/>
  <c r="N858" i="16"/>
  <c r="AF864" i="6" s="1"/>
  <c r="N2355" i="16"/>
  <c r="N1596" i="16"/>
  <c r="AF1602" i="6" s="1"/>
  <c r="N2141" i="16"/>
  <c r="AF2147" i="6" s="1"/>
  <c r="N58" i="16"/>
  <c r="AF64" i="6" s="1"/>
  <c r="N1593" i="16"/>
  <c r="AF1599" i="6" s="1"/>
  <c r="N285" i="16"/>
  <c r="AF291" i="6" s="1"/>
  <c r="N26" i="16"/>
  <c r="N582" i="16"/>
  <c r="AF588" i="6" s="1"/>
  <c r="N2004" i="16"/>
  <c r="AF2010" i="6" s="1"/>
  <c r="N876" i="16"/>
  <c r="AF882" i="6" s="1"/>
  <c r="N1544" i="16"/>
  <c r="N2209" i="16"/>
  <c r="AF2215" i="6" s="1"/>
  <c r="N2041" i="16"/>
  <c r="AF2047" i="6" s="1"/>
  <c r="N2023" i="16"/>
  <c r="AF2029" i="6" s="1"/>
  <c r="N1729" i="16"/>
  <c r="N2306" i="16"/>
  <c r="AF2312" i="6" s="1"/>
  <c r="N1741" i="16"/>
  <c r="AF1747" i="6" s="1"/>
  <c r="N1343" i="16"/>
  <c r="AF1349" i="6" s="1"/>
  <c r="N1853" i="16"/>
  <c r="N1643" i="16"/>
  <c r="AF1649" i="6" s="1"/>
  <c r="N1322" i="16"/>
  <c r="AF1328" i="6" s="1"/>
  <c r="N30" i="16"/>
  <c r="AF36" i="6" s="1"/>
  <c r="N29" i="16"/>
  <c r="AF35" i="6" s="1"/>
  <c r="N286" i="16"/>
  <c r="AF292" i="6" s="1"/>
  <c r="N1797" i="16"/>
  <c r="AF1803" i="6" s="1"/>
  <c r="N2211" i="16"/>
  <c r="AF2217" i="6" s="1"/>
  <c r="N83" i="16"/>
  <c r="AF89" i="6" s="1"/>
  <c r="N743" i="16"/>
  <c r="AF749" i="6" s="1"/>
  <c r="N920" i="16"/>
  <c r="AF926" i="6" s="1"/>
  <c r="N1498" i="16"/>
  <c r="AF1504" i="6" s="1"/>
  <c r="N2135" i="16"/>
  <c r="AF2141" i="6" s="1"/>
  <c r="N906" i="16"/>
  <c r="AF912" i="6" s="1"/>
  <c r="N1072" i="16"/>
  <c r="AF1078" i="6" s="1"/>
  <c r="N1720" i="16"/>
  <c r="AF1726" i="6" s="1"/>
  <c r="N496" i="16"/>
  <c r="AF502" i="6" s="1"/>
  <c r="N1070" i="16"/>
  <c r="AF1076" i="6" s="1"/>
  <c r="N797" i="16"/>
  <c r="AF803" i="6" s="1"/>
  <c r="N475" i="16"/>
  <c r="AF481" i="6" s="1"/>
  <c r="N1025" i="16"/>
  <c r="AF1031" i="6" s="1"/>
  <c r="N265" i="16"/>
  <c r="AF271" i="6" s="1"/>
  <c r="N928" i="16"/>
  <c r="AF934" i="6" s="1"/>
  <c r="N309" i="16"/>
  <c r="AF315" i="6" s="1"/>
  <c r="N487" i="16"/>
  <c r="AF493" i="6" s="1"/>
  <c r="N2080" i="16"/>
  <c r="AF2086" i="6" s="1"/>
  <c r="N2088" i="16"/>
  <c r="AF2094" i="6" s="1"/>
  <c r="N516" i="16"/>
  <c r="AF522" i="6" s="1"/>
  <c r="N228" i="16"/>
  <c r="AF234" i="6" s="1"/>
  <c r="N2318" i="16"/>
  <c r="AF2324" i="6" s="1"/>
  <c r="N481" i="16"/>
  <c r="AF487" i="6" s="1"/>
  <c r="N1370" i="16"/>
  <c r="AF1376" i="6" s="1"/>
  <c r="N1828" i="16"/>
  <c r="AF1834" i="6" s="1"/>
  <c r="N768" i="16"/>
  <c r="AF774" i="6" s="1"/>
  <c r="N2167" i="16"/>
  <c r="AF2173" i="6" s="1"/>
  <c r="N41" i="16"/>
  <c r="AF47" i="6" s="1"/>
  <c r="N316" i="16"/>
  <c r="AF322" i="6" s="1"/>
  <c r="N581" i="16"/>
  <c r="AF587" i="6" s="1"/>
  <c r="N871" i="16"/>
  <c r="AF877" i="6" s="1"/>
  <c r="N293" i="16"/>
  <c r="AF299" i="6" s="1"/>
  <c r="N557" i="16"/>
  <c r="AF563" i="6" s="1"/>
  <c r="N782" i="16"/>
  <c r="AF788" i="6" s="1"/>
  <c r="N889" i="16"/>
  <c r="AF895" i="6" s="1"/>
  <c r="N2087" i="16"/>
  <c r="AF2093" i="6" s="1"/>
  <c r="N187" i="16"/>
  <c r="AF193" i="6" s="1"/>
  <c r="N1114" i="16"/>
  <c r="AF1120" i="6" s="1"/>
  <c r="N1779" i="16"/>
  <c r="AF1785" i="6" s="1"/>
  <c r="N2263" i="16"/>
  <c r="AF2269" i="6" s="1"/>
  <c r="N1582" i="16"/>
  <c r="AF1588" i="6" s="1"/>
  <c r="N111" i="16"/>
  <c r="AF117" i="6" s="1"/>
  <c r="N1963" i="16"/>
  <c r="AF1969" i="6" s="1"/>
  <c r="N39" i="16"/>
  <c r="AF45" i="6" s="1"/>
  <c r="N972" i="16"/>
  <c r="AF978" i="6" s="1"/>
  <c r="N1634" i="16"/>
  <c r="AF1640" i="6" s="1"/>
  <c r="N1309" i="16"/>
  <c r="AF1315" i="6" s="1"/>
  <c r="N1961" i="16"/>
  <c r="N1822" i="16"/>
  <c r="AF1828" i="6" s="1"/>
  <c r="N978" i="16"/>
  <c r="AF984" i="6" s="1"/>
  <c r="N792" i="16"/>
  <c r="AF798" i="6" s="1"/>
  <c r="N1414" i="16"/>
  <c r="AF1420" i="6" s="1"/>
  <c r="N1920" i="16"/>
  <c r="AF1926" i="6" s="1"/>
  <c r="N1757" i="16"/>
  <c r="AF1763" i="6" s="1"/>
  <c r="N1400" i="16"/>
  <c r="AF1406" i="6" s="1"/>
  <c r="N100" i="16"/>
  <c r="N112" i="16"/>
  <c r="AF118" i="6" s="1"/>
  <c r="N383" i="16"/>
  <c r="AF389" i="6" s="1"/>
  <c r="N2197" i="16"/>
  <c r="N413" i="16"/>
  <c r="AF419" i="6" s="1"/>
  <c r="N1349" i="16"/>
  <c r="AF1355" i="6" s="1"/>
  <c r="N1993" i="16"/>
  <c r="AF1999" i="6" s="1"/>
  <c r="N1978" i="16"/>
  <c r="AF1984" i="6" s="1"/>
  <c r="N53" i="16"/>
  <c r="AF59" i="6" s="1"/>
  <c r="N344" i="16"/>
  <c r="AF350" i="6" s="1"/>
  <c r="N2187" i="16"/>
  <c r="AF2193" i="6" s="1"/>
  <c r="N2348" i="16"/>
  <c r="AF2354" i="6" s="1"/>
  <c r="N201" i="16"/>
  <c r="AF207" i="6" s="1"/>
  <c r="N1793" i="16"/>
  <c r="AF1799" i="6" s="1"/>
  <c r="N2319" i="16"/>
  <c r="AF2325" i="6" s="1"/>
  <c r="N227" i="16"/>
  <c r="AF233" i="6" s="1"/>
  <c r="N2339" i="16"/>
  <c r="AF2345" i="6" s="1"/>
  <c r="N627" i="16"/>
  <c r="N205" i="16"/>
  <c r="AF211" i="6" s="1"/>
  <c r="N783" i="16"/>
  <c r="AF789" i="6" s="1"/>
  <c r="N1239" i="16"/>
  <c r="AF1245" i="6" s="1"/>
  <c r="N1511" i="16"/>
  <c r="AF1517" i="6" s="1"/>
  <c r="N529" i="16"/>
  <c r="AF535" i="6" s="1"/>
  <c r="N1209" i="16"/>
  <c r="AF1215" i="6" s="1"/>
  <c r="N1360" i="16"/>
  <c r="AF1366" i="6" s="1"/>
  <c r="N1947" i="16"/>
  <c r="AF1953" i="6" s="1"/>
  <c r="N1420" i="16"/>
  <c r="AF1426" i="6" s="1"/>
  <c r="N1395" i="16"/>
  <c r="AF1401" i="6" s="1"/>
  <c r="N1953" i="16"/>
  <c r="AF1959" i="6" s="1"/>
  <c r="N1939" i="16"/>
  <c r="AF1945" i="6" s="1"/>
  <c r="N998" i="16"/>
  <c r="AF1004" i="6" s="1"/>
  <c r="N1523" i="16"/>
  <c r="N1246" i="16"/>
  <c r="AF1252" i="6" s="1"/>
  <c r="N973" i="16"/>
  <c r="AF979" i="6" s="1"/>
  <c r="N1881" i="16"/>
  <c r="AF1887" i="6" s="1"/>
  <c r="N1678" i="16"/>
  <c r="AF1684" i="6" s="1"/>
  <c r="N2039" i="16"/>
  <c r="AF2045" i="6" s="1"/>
  <c r="N965" i="16"/>
  <c r="AF971" i="6" s="1"/>
  <c r="N1859" i="16"/>
  <c r="AF1865" i="6" s="1"/>
  <c r="N2182" i="16"/>
  <c r="AF2188" i="6" s="1"/>
  <c r="N339" i="16"/>
  <c r="AF345" i="6" s="1"/>
  <c r="N538" i="16"/>
  <c r="AF544" i="6" s="1"/>
  <c r="N1440" i="16"/>
  <c r="AF1446" i="6" s="1"/>
  <c r="N477" i="16"/>
  <c r="AF483" i="6" s="1"/>
  <c r="N694" i="16"/>
  <c r="AF700" i="6" s="1"/>
  <c r="N2265" i="16"/>
  <c r="AF2271" i="6" s="1"/>
  <c r="N176" i="16"/>
  <c r="AF182" i="6" s="1"/>
  <c r="N705" i="16"/>
  <c r="AF711" i="6" s="1"/>
  <c r="N419" i="16"/>
  <c r="AF425" i="6" s="1"/>
  <c r="N144" i="16"/>
  <c r="AF150" i="6" s="1"/>
  <c r="N687" i="16"/>
  <c r="AF693" i="6" s="1"/>
  <c r="N1660" i="16"/>
  <c r="AF1666" i="6" s="1"/>
  <c r="N2266" i="16"/>
  <c r="AF2272" i="6" s="1"/>
  <c r="N107" i="16"/>
  <c r="AF113" i="6" s="1"/>
  <c r="N1036" i="16"/>
  <c r="AF1042" i="6" s="1"/>
  <c r="N1755" i="16"/>
  <c r="AF1761" i="6" s="1"/>
  <c r="N1746" i="16"/>
  <c r="AF1752" i="6" s="1"/>
  <c r="N803" i="16"/>
  <c r="AF809" i="6" s="1"/>
  <c r="N27" i="16"/>
  <c r="AF33" i="6" s="1"/>
  <c r="N1886" i="16"/>
  <c r="N1491" i="16"/>
  <c r="AF1497" i="6" s="1"/>
  <c r="N1925" i="16"/>
  <c r="AF1931" i="6" s="1"/>
  <c r="N1488" i="16"/>
  <c r="AF1494" i="6" s="1"/>
  <c r="N1995" i="16"/>
  <c r="N1787" i="16"/>
  <c r="AF1793" i="6" s="1"/>
  <c r="N1466" i="16"/>
  <c r="AF1472" i="6" s="1"/>
  <c r="N151" i="16"/>
  <c r="AF157" i="6" s="1"/>
  <c r="N190" i="16"/>
  <c r="AF196" i="6" s="1"/>
  <c r="N446" i="16"/>
  <c r="AF452" i="6" s="1"/>
  <c r="N1867" i="16"/>
  <c r="N750" i="16"/>
  <c r="AF756" i="6" s="1"/>
  <c r="N1411" i="16"/>
  <c r="AF1417" i="6" s="1"/>
  <c r="N1965" i="16"/>
  <c r="AF1971" i="6" s="1"/>
  <c r="N1112" i="16"/>
  <c r="AF1118" i="6" s="1"/>
  <c r="N2179" i="16"/>
  <c r="AF2185" i="6" s="1"/>
  <c r="N1600" i="16"/>
  <c r="AF1606" i="6" s="1"/>
  <c r="N1610" i="16"/>
  <c r="AF1616" i="6" s="1"/>
  <c r="N1176" i="16"/>
  <c r="AF1182" i="6" s="1"/>
  <c r="N1223" i="16"/>
  <c r="AF1229" i="6" s="1"/>
  <c r="N1718" i="16"/>
  <c r="AF1724" i="6" s="1"/>
  <c r="N1515" i="16"/>
  <c r="AF1521" i="6" s="1"/>
  <c r="N1193" i="16"/>
  <c r="AF1199" i="6" s="1"/>
  <c r="N2003" i="16"/>
  <c r="AF2009" i="6" s="1"/>
  <c r="N2329" i="16"/>
  <c r="AF2335" i="6" s="1"/>
  <c r="N157" i="16"/>
  <c r="AF163" i="6" s="1"/>
  <c r="N2082" i="16"/>
  <c r="AF2088" i="6" s="1"/>
  <c r="N2168" i="16"/>
  <c r="AF2174" i="6" s="1"/>
  <c r="N592" i="16"/>
  <c r="AF598" i="6" s="1"/>
  <c r="N752" i="16"/>
  <c r="N1270" i="16"/>
  <c r="AF1276" i="6" s="1"/>
  <c r="N1855" i="16"/>
  <c r="AF1861" i="6" s="1"/>
  <c r="N711" i="16"/>
  <c r="AF717" i="6" s="1"/>
  <c r="N936" i="16"/>
  <c r="AF942" i="6" s="1"/>
  <c r="N1434" i="16"/>
  <c r="AF1440" i="6" s="1"/>
  <c r="N378" i="16"/>
  <c r="AF384" i="6" s="1"/>
  <c r="N931" i="16"/>
  <c r="AF937" i="6" s="1"/>
  <c r="N652" i="16"/>
  <c r="AF658" i="6" s="1"/>
  <c r="N333" i="16"/>
  <c r="AF339" i="6" s="1"/>
  <c r="N884" i="16"/>
  <c r="AF890" i="6" s="1"/>
  <c r="N2117" i="16"/>
  <c r="AF2123" i="6" s="1"/>
  <c r="N587" i="16"/>
  <c r="N153" i="16"/>
  <c r="AF159" i="6" s="1"/>
  <c r="N352" i="16"/>
  <c r="AF358" i="6" s="1"/>
  <c r="N1945" i="16"/>
  <c r="AF1951" i="6" s="1"/>
  <c r="N1076" i="16"/>
  <c r="AF1082" i="6" s="1"/>
  <c r="N387" i="16"/>
  <c r="AF393" i="6" s="1"/>
  <c r="N94" i="16"/>
  <c r="AF100" i="6" s="1"/>
  <c r="N1623" i="16"/>
  <c r="AF1629" i="6" s="1"/>
  <c r="N358" i="16"/>
  <c r="AF364" i="6" s="1"/>
  <c r="N1111" i="16"/>
  <c r="AF1117" i="6" s="1"/>
  <c r="N1540" i="16"/>
  <c r="AF1546" i="6" s="1"/>
  <c r="N647" i="16"/>
  <c r="AF653" i="6" s="1"/>
  <c r="N2068" i="16"/>
  <c r="AF2074" i="6" s="1"/>
  <c r="N2308" i="16"/>
  <c r="AF2314" i="6" s="1"/>
  <c r="N181" i="16"/>
  <c r="AF187" i="6" s="1"/>
  <c r="N430" i="16"/>
  <c r="AF436" i="6" s="1"/>
  <c r="N2261" i="16"/>
  <c r="AF2267" i="6" s="1"/>
  <c r="N137" i="16"/>
  <c r="AF143" i="6" s="1"/>
  <c r="N397" i="16"/>
  <c r="AF403" i="6" s="1"/>
  <c r="N654" i="16"/>
  <c r="N1615" i="16"/>
  <c r="AF1621" i="6" s="1"/>
  <c r="N2071" i="16"/>
  <c r="AF2077" i="6" s="1"/>
  <c r="N1591" i="16"/>
  <c r="AF1597" i="6" s="1"/>
  <c r="N1462" i="16"/>
  <c r="AF1468" i="6" s="1"/>
  <c r="N1461" i="16"/>
  <c r="AF1467" i="6" s="1"/>
  <c r="N810" i="16"/>
  <c r="AF816" i="6" s="1"/>
  <c r="N245" i="16"/>
  <c r="AF251" i="6" s="1"/>
  <c r="N1831" i="16"/>
  <c r="AF1837" i="6" s="1"/>
  <c r="N38" i="16"/>
  <c r="AF44" i="6" s="1"/>
  <c r="N953" i="16"/>
  <c r="AF959" i="6" s="1"/>
  <c r="N1648" i="16"/>
  <c r="AF1654" i="6" s="1"/>
  <c r="N1406" i="16"/>
  <c r="AF1412" i="6" s="1"/>
  <c r="N2026" i="16"/>
  <c r="AF2032" i="6" s="1"/>
  <c r="N2218" i="16"/>
  <c r="AF2224" i="6" s="1"/>
  <c r="N1826" i="16"/>
  <c r="AF1832" i="6" s="1"/>
  <c r="N1950" i="16"/>
  <c r="G1956" i="6" s="1"/>
  <c r="N814" i="16"/>
  <c r="AF820" i="6" s="1"/>
  <c r="N1521" i="16"/>
  <c r="AF1527" i="6" s="1"/>
  <c r="N2192" i="16"/>
  <c r="AF2198" i="6" s="1"/>
  <c r="N1712" i="16"/>
  <c r="AF1718" i="6" s="1"/>
  <c r="N1543" i="16"/>
  <c r="AF1549" i="6" s="1"/>
  <c r="N1738" i="16"/>
  <c r="AF1744" i="6" s="1"/>
  <c r="N1983" i="16"/>
  <c r="AF1989" i="6" s="1"/>
  <c r="N2181" i="16"/>
  <c r="AF2187" i="6" s="1"/>
  <c r="N1294" i="16"/>
  <c r="AF1300" i="6" s="1"/>
  <c r="N1802" i="16"/>
  <c r="AF1808" i="6" s="1"/>
  <c r="N1578" i="16"/>
  <c r="AF1584" i="6" s="1"/>
  <c r="N1273" i="16"/>
  <c r="AF1279" i="6" s="1"/>
  <c r="N2338" i="16"/>
  <c r="AF2344" i="6" s="1"/>
  <c r="N2324" i="16"/>
  <c r="AF2330" i="6" s="1"/>
  <c r="N252" i="16"/>
  <c r="AF258" i="6" s="1"/>
  <c r="N2061" i="16"/>
  <c r="AF2067" i="6" s="1"/>
  <c r="N287" i="16"/>
  <c r="AF293" i="6" s="1"/>
  <c r="N1225" i="16"/>
  <c r="AF1231" i="6" s="1"/>
  <c r="N1877" i="16"/>
  <c r="AF1883" i="6" s="1"/>
  <c r="N2212" i="16"/>
  <c r="AF2218" i="6" s="1"/>
  <c r="N2233" i="16"/>
  <c r="AF2239" i="6" s="1"/>
  <c r="N213" i="16"/>
  <c r="AF219" i="6" s="1"/>
  <c r="N2029" i="16"/>
  <c r="AF2035" i="6" s="1"/>
  <c r="N1467" i="16"/>
  <c r="AF1473" i="6" s="1"/>
  <c r="N55" i="16"/>
  <c r="AF61" i="6" s="1"/>
  <c r="N1682" i="16"/>
  <c r="AF1688" i="6" s="1"/>
  <c r="N2185" i="16"/>
  <c r="AF2191" i="6" s="1"/>
  <c r="N95" i="16"/>
  <c r="AF101" i="6" s="1"/>
  <c r="N1639" i="16"/>
  <c r="AF1645" i="6" s="1"/>
  <c r="N351" i="16"/>
  <c r="AF357" i="6" s="1"/>
  <c r="N77" i="16"/>
  <c r="AF83" i="6" s="1"/>
  <c r="N641" i="16"/>
  <c r="AF647" i="6" s="1"/>
  <c r="N992" i="16"/>
  <c r="AF998" i="6" s="1"/>
  <c r="N1291" i="16"/>
  <c r="AF1297" i="6" s="1"/>
  <c r="N389" i="16"/>
  <c r="AF395" i="6" s="1"/>
  <c r="N1080" i="16"/>
  <c r="AF1086" i="6" s="1"/>
  <c r="N1248" i="16"/>
  <c r="AF1254" i="6" s="1"/>
  <c r="N2190" i="16"/>
  <c r="AF2196" i="6" s="1"/>
  <c r="N2177" i="16"/>
  <c r="AF2183" i="6" s="1"/>
  <c r="N1261" i="16"/>
  <c r="AF1267" i="6" s="1"/>
  <c r="N1608" i="16"/>
  <c r="AF1614" i="6" s="1"/>
  <c r="N2331" i="16"/>
  <c r="AF2337" i="6" s="1"/>
  <c r="N879" i="16"/>
  <c r="AF885" i="6" s="1"/>
  <c r="N1375" i="16"/>
  <c r="AF1381" i="6" s="1"/>
  <c r="N1113" i="16"/>
  <c r="AF1119" i="6" s="1"/>
  <c r="N850" i="16"/>
  <c r="AF856" i="6" s="1"/>
  <c r="N1367" i="16"/>
  <c r="AF1373" i="6" s="1"/>
  <c r="N1042" i="16"/>
  <c r="AF1048" i="6" s="1"/>
  <c r="N780" i="16"/>
  <c r="AF786" i="6" s="1"/>
  <c r="N1713" i="16"/>
  <c r="AF1719" i="6" s="1"/>
  <c r="N1922" i="16"/>
  <c r="AF1928" i="6" s="1"/>
  <c r="N214" i="16"/>
  <c r="AF220" i="6" s="1"/>
  <c r="N408" i="16"/>
  <c r="AF414" i="6" s="1"/>
  <c r="N697" i="16"/>
  <c r="AF703" i="6" s="1"/>
  <c r="N1195" i="16"/>
  <c r="AF1201" i="6" s="1"/>
  <c r="N354" i="16"/>
  <c r="AF360" i="6" s="1"/>
  <c r="N558" i="16"/>
  <c r="AF564" i="6" s="1"/>
  <c r="N2142" i="16"/>
  <c r="AF2148" i="6" s="1"/>
  <c r="N20" i="16"/>
  <c r="AF26" i="6" s="1"/>
  <c r="N606" i="16"/>
  <c r="N274" i="16"/>
  <c r="AF280" i="6" s="1"/>
  <c r="N2360" i="16"/>
  <c r="AF2366" i="6" s="1"/>
  <c r="N540" i="16"/>
  <c r="AF546" i="6" s="1"/>
  <c r="N1494" i="16"/>
  <c r="AF1500" i="6" s="1"/>
  <c r="N2006" i="16"/>
  <c r="AF2012" i="6" s="1"/>
  <c r="N2051" i="16"/>
  <c r="AF2057" i="6" s="1"/>
  <c r="N908" i="16"/>
  <c r="AF914" i="6" s="1"/>
  <c r="N1563" i="16"/>
  <c r="AF1569" i="6" s="1"/>
  <c r="N2310" i="16"/>
  <c r="AF2316" i="6" s="1"/>
  <c r="N2214" i="16"/>
  <c r="AF2220" i="6" s="1"/>
  <c r="N2256" i="16"/>
  <c r="AF2262" i="6" s="1"/>
  <c r="N1717" i="16"/>
  <c r="AF1723" i="6" s="1"/>
  <c r="N2124" i="16"/>
  <c r="AF2130" i="6" s="1"/>
  <c r="N1913" i="16"/>
  <c r="AF1919" i="6" s="1"/>
  <c r="N1354" i="16"/>
  <c r="AF1360" i="6" s="1"/>
  <c r="N1873" i="16"/>
  <c r="AF1879" i="6" s="1"/>
  <c r="N1677" i="16"/>
  <c r="AF1683" i="6" s="1"/>
  <c r="N1340" i="16"/>
  <c r="AF1346" i="6" s="1"/>
  <c r="N52" i="16"/>
  <c r="N49" i="16"/>
  <c r="AF55" i="6" s="1"/>
  <c r="N312" i="16"/>
  <c r="AF318" i="6" s="1"/>
  <c r="N1630" i="16"/>
  <c r="AF1636" i="6" s="1"/>
  <c r="N584" i="16"/>
  <c r="AF590" i="6" s="1"/>
  <c r="N1303" i="16"/>
  <c r="AF1309" i="6" s="1"/>
  <c r="N1442" i="16"/>
  <c r="AF1448" i="6" s="1"/>
  <c r="N2328" i="16"/>
  <c r="AF2334" i="6" s="1"/>
  <c r="N1996" i="16"/>
  <c r="AF2002" i="6" s="1"/>
  <c r="N1473" i="16"/>
  <c r="AF1479" i="6" s="1"/>
  <c r="N2108" i="16"/>
  <c r="AF2114" i="6" s="1"/>
  <c r="N2291" i="16"/>
  <c r="AF2297" i="6" s="1"/>
  <c r="N1086" i="16"/>
  <c r="AF1092" i="6" s="1"/>
  <c r="N1592" i="16"/>
  <c r="AF1598" i="6" s="1"/>
  <c r="N1369" i="16"/>
  <c r="AF1375" i="6" s="1"/>
  <c r="N1062" i="16"/>
  <c r="AF1068" i="6" s="1"/>
  <c r="N772" i="16"/>
  <c r="AF778" i="6" s="1"/>
  <c r="N662" i="16"/>
  <c r="AF668" i="6" s="1"/>
  <c r="N28" i="16"/>
  <c r="AF34" i="6" s="1"/>
  <c r="N1101" i="16"/>
  <c r="AF1107" i="6" s="1"/>
  <c r="N1888" i="16"/>
  <c r="AF1894" i="6" s="1"/>
  <c r="N1390" i="16"/>
  <c r="AF1396" i="6" s="1"/>
  <c r="N429" i="16"/>
  <c r="AF435" i="6" s="1"/>
  <c r="N612" i="16"/>
  <c r="AF618" i="6" s="1"/>
  <c r="N1002" i="16"/>
  <c r="AF1008" i="6" s="1"/>
  <c r="N1601" i="16"/>
  <c r="N599" i="16"/>
  <c r="AF605" i="6" s="1"/>
  <c r="N773" i="16"/>
  <c r="AF779" i="6" s="1"/>
  <c r="N1162" i="16"/>
  <c r="AF1168" i="6" s="1"/>
  <c r="N220" i="16"/>
  <c r="AF226" i="6" s="1"/>
  <c r="N784" i="16"/>
  <c r="AF790" i="6" s="1"/>
  <c r="N517" i="16"/>
  <c r="AF523" i="6" s="1"/>
  <c r="N208" i="16"/>
  <c r="AF214" i="6" s="1"/>
  <c r="N769" i="16"/>
  <c r="AF775" i="6" s="1"/>
  <c r="N1936" i="16"/>
  <c r="AF1942" i="6" s="1"/>
  <c r="N320" i="16"/>
  <c r="AF326" i="6" s="1"/>
  <c r="N23" i="16"/>
  <c r="N221" i="16"/>
  <c r="AF227" i="6" s="1"/>
  <c r="N1820" i="16"/>
  <c r="AF1826" i="6" s="1"/>
  <c r="N1568" i="16"/>
  <c r="AF1574" i="6" s="1"/>
  <c r="N261" i="16"/>
  <c r="AF267" i="6" s="1"/>
  <c r="N2200" i="16"/>
  <c r="AF2206" i="6" s="1"/>
  <c r="N703" i="16"/>
  <c r="AF709" i="6" s="1"/>
  <c r="N239" i="16"/>
  <c r="AF245" i="6" s="1"/>
  <c r="N892" i="16"/>
  <c r="AF898" i="6" s="1"/>
  <c r="N1313" i="16"/>
  <c r="AF1319" i="6" s="1"/>
  <c r="N492" i="16"/>
  <c r="AF498" i="6" s="1"/>
  <c r="N1902" i="16"/>
  <c r="AF1908" i="6" s="1"/>
  <c r="N2162" i="16"/>
  <c r="AF2168" i="6" s="1"/>
  <c r="N46" i="16"/>
  <c r="AF52" i="6" s="1"/>
  <c r="N300" i="16"/>
  <c r="AF306" i="6" s="1"/>
  <c r="N2129" i="16"/>
  <c r="AF2135" i="6" s="1"/>
  <c r="N15" i="16"/>
  <c r="AF21" i="6" s="1"/>
  <c r="N262" i="16"/>
  <c r="AF268" i="6" s="1"/>
  <c r="N510" i="16"/>
  <c r="AF516" i="6" s="1"/>
  <c r="N1546" i="16"/>
  <c r="AF1552" i="6" s="1"/>
  <c r="N1970" i="16"/>
  <c r="AF1976" i="6" s="1"/>
  <c r="N847" i="16"/>
  <c r="AF853" i="6" s="1"/>
  <c r="N1532" i="16"/>
  <c r="AF1538" i="6" s="1"/>
  <c r="N2334" i="16"/>
  <c r="AF2340" i="6" s="1"/>
  <c r="N1816" i="16"/>
  <c r="AF1822" i="6" s="1"/>
  <c r="N1748" i="16"/>
  <c r="AF1754" i="6" s="1"/>
  <c r="N1747" i="16"/>
  <c r="AF1753" i="6" s="1"/>
  <c r="N1784" i="16"/>
  <c r="AF1790" i="6" s="1"/>
  <c r="N675" i="16"/>
  <c r="AF681" i="6" s="1"/>
  <c r="N1371" i="16"/>
  <c r="AF1377" i="6" s="1"/>
  <c r="N1688" i="16"/>
  <c r="N2274" i="16"/>
  <c r="AF2280" i="6" s="1"/>
  <c r="N1749" i="16"/>
  <c r="AF1755" i="6" s="1"/>
  <c r="N1547" i="16"/>
  <c r="AF1553" i="6" s="1"/>
  <c r="N2238" i="16"/>
  <c r="AF2244" i="6" s="1"/>
  <c r="N2245" i="16"/>
  <c r="AF2251" i="6" s="1"/>
  <c r="N1174" i="16"/>
  <c r="AF1180" i="6" s="1"/>
  <c r="N1685" i="16"/>
  <c r="AF1691" i="6" s="1"/>
  <c r="N1418" i="16"/>
  <c r="AF1424" i="6" s="1"/>
  <c r="N1135" i="16"/>
  <c r="AF1141" i="6" s="1"/>
  <c r="N1990" i="16"/>
  <c r="AF1996" i="6" s="1"/>
  <c r="N1782" i="16"/>
  <c r="AF1788" i="6" s="1"/>
  <c r="N109" i="16"/>
  <c r="AF115" i="6" s="1"/>
  <c r="N1910" i="16"/>
  <c r="AF1916" i="6" s="1"/>
  <c r="N167" i="16"/>
  <c r="AF173" i="6" s="1"/>
  <c r="N1074" i="16"/>
  <c r="AF1080" i="6" s="1"/>
  <c r="N1733" i="16"/>
  <c r="AF1739" i="6" s="1"/>
  <c r="N2018" i="16"/>
  <c r="AF2024" i="6" s="1"/>
  <c r="N1217" i="16"/>
  <c r="AF1223" i="6" s="1"/>
  <c r="N75" i="16"/>
  <c r="AF81" i="6" s="1"/>
  <c r="N1940" i="16"/>
  <c r="AF1946" i="6" s="1"/>
  <c r="N2244" i="16"/>
  <c r="AF2250" i="6" s="1"/>
  <c r="N1944" i="16"/>
  <c r="AF1950" i="6" s="1"/>
  <c r="N1506" i="16"/>
  <c r="AF1512" i="6" s="1"/>
  <c r="N2027" i="16"/>
  <c r="AF2033" i="6" s="1"/>
  <c r="N2234" i="16"/>
  <c r="AF2240" i="6" s="1"/>
  <c r="N1501" i="16"/>
  <c r="AF1507" i="6" s="1"/>
  <c r="N231" i="16"/>
  <c r="N1796" i="16"/>
  <c r="AF1802" i="6" s="1"/>
  <c r="N490" i="16"/>
  <c r="AF496" i="6" s="1"/>
  <c r="N2150" i="16"/>
  <c r="AF2156" i="6" s="1"/>
  <c r="N960" i="16"/>
  <c r="AF966" i="6" s="1"/>
  <c r="N257" i="16"/>
  <c r="AF263" i="6" s="1"/>
  <c r="N957" i="16"/>
  <c r="AF963" i="6" s="1"/>
  <c r="N1122" i="16"/>
  <c r="AF1128" i="6" s="1"/>
  <c r="N1915" i="16"/>
  <c r="AF1921" i="6" s="1"/>
  <c r="N2077" i="16"/>
  <c r="AF2083" i="6" s="1"/>
  <c r="N1119" i="16"/>
  <c r="AF1125" i="6" s="1"/>
  <c r="N1404" i="16"/>
  <c r="AF1410" i="6" s="1"/>
  <c r="N2130" i="16"/>
  <c r="AF2136" i="6" s="1"/>
  <c r="N693" i="16"/>
  <c r="AF699" i="6" s="1"/>
  <c r="N1253" i="16"/>
  <c r="AF1259" i="6" s="1"/>
  <c r="N995" i="16"/>
  <c r="AF1001" i="6" s="1"/>
  <c r="N690" i="16"/>
  <c r="AF696" i="6" s="1"/>
  <c r="N1233" i="16"/>
  <c r="AF1239" i="6" s="1"/>
  <c r="N640" i="16"/>
  <c r="AF646" i="6" s="1"/>
  <c r="N2290" i="16"/>
  <c r="AF2296" i="6" s="1"/>
  <c r="N632" i="16"/>
  <c r="AF638" i="6" s="1"/>
  <c r="N1567" i="16"/>
  <c r="AF1573" i="6" s="1"/>
  <c r="N1018" i="16"/>
  <c r="AF1024" i="6" s="1"/>
  <c r="N88" i="16"/>
  <c r="N297" i="16"/>
  <c r="AF303" i="6" s="1"/>
  <c r="N551" i="16"/>
  <c r="AF557" i="6" s="1"/>
  <c r="N974" i="16"/>
  <c r="AF980" i="6" s="1"/>
  <c r="N226" i="16"/>
  <c r="AF232" i="6" s="1"/>
  <c r="N443" i="16"/>
  <c r="AF449" i="6" s="1"/>
  <c r="N2063" i="16"/>
  <c r="AF2069" i="6" s="1"/>
  <c r="N1880" i="16"/>
  <c r="AF1886" i="6" s="1"/>
  <c r="N173" i="16"/>
  <c r="AF179" i="6" s="1"/>
  <c r="N2157" i="16"/>
  <c r="AF2163" i="6" s="1"/>
  <c r="N433" i="16"/>
  <c r="AF439" i="6" s="1"/>
  <c r="N1234" i="16"/>
  <c r="AF1240" i="6" s="1"/>
  <c r="N1697" i="16"/>
  <c r="N1904" i="16"/>
  <c r="AF1910" i="6" s="1"/>
  <c r="N747" i="16"/>
  <c r="AF753" i="6" s="1"/>
  <c r="N1421" i="16"/>
  <c r="AF1427" i="6" s="1"/>
  <c r="N2049" i="16"/>
  <c r="AF2055" i="6" s="1"/>
  <c r="N1215" i="16"/>
  <c r="AF1221" i="6" s="1"/>
  <c r="N2296" i="16"/>
  <c r="AF2302" i="6" s="1"/>
  <c r="N1612" i="16"/>
  <c r="AF1618" i="6" s="1"/>
  <c r="N1695" i="16"/>
  <c r="AF1701" i="6" s="1"/>
  <c r="N1339" i="16"/>
  <c r="AF1345" i="6" s="1"/>
  <c r="N1230" i="16"/>
  <c r="AF1236" i="6" s="1"/>
  <c r="N1758" i="16"/>
  <c r="N1513" i="16"/>
  <c r="AF1519" i="6" s="1"/>
  <c r="N1203" i="16"/>
  <c r="N2221" i="16"/>
  <c r="AF2227" i="6" s="1"/>
  <c r="N1907" i="16"/>
  <c r="N168" i="16"/>
  <c r="AF174" i="6" s="1"/>
  <c r="N1452" i="16"/>
  <c r="AF1458" i="6" s="1"/>
  <c r="N493" i="16"/>
  <c r="AF499" i="6" s="1"/>
  <c r="N1173" i="16"/>
  <c r="N1300" i="16"/>
  <c r="AF1306" i="6" s="1"/>
  <c r="N1734" i="16"/>
  <c r="AF1740" i="6" s="1"/>
  <c r="N1081" i="16"/>
  <c r="AF1087" i="6" s="1"/>
  <c r="N1347" i="16"/>
  <c r="N1850" i="16"/>
  <c r="AF1856" i="6" s="1"/>
  <c r="N1716" i="16"/>
  <c r="AF1722" i="6" s="1"/>
  <c r="N967" i="16"/>
  <c r="AF973" i="6" s="1"/>
  <c r="N1456" i="16"/>
  <c r="AF1462" i="6" s="1"/>
  <c r="N1200" i="16"/>
  <c r="AF1206" i="6" s="1"/>
  <c r="N926" i="16"/>
  <c r="AF932" i="6" s="1"/>
  <c r="N1587" i="16"/>
  <c r="AF1593" i="6" s="1"/>
  <c r="N2133" i="16"/>
  <c r="AF2139" i="6" s="1"/>
  <c r="N2089" i="16"/>
  <c r="AF2095" i="6" s="1"/>
  <c r="N865" i="16"/>
  <c r="N1812" i="16"/>
  <c r="AF1818" i="6" s="1"/>
  <c r="N1669" i="16"/>
  <c r="AF1675" i="6" s="1"/>
  <c r="N284" i="16"/>
  <c r="AF290" i="6" s="1"/>
  <c r="N504" i="16"/>
  <c r="AF510" i="6" s="1"/>
  <c r="N799" i="16"/>
  <c r="AF805" i="6" s="1"/>
  <c r="N1351" i="16"/>
  <c r="AF1357" i="6" s="1"/>
  <c r="N454" i="16"/>
  <c r="AF460" i="6" s="1"/>
  <c r="N622" i="16"/>
  <c r="AF628" i="6" s="1"/>
  <c r="N2220" i="16"/>
  <c r="AF2226" i="6" s="1"/>
  <c r="N93" i="16"/>
  <c r="AF99" i="6" s="1"/>
  <c r="N371" i="16"/>
  <c r="AF377" i="6" s="1"/>
  <c r="N78" i="16"/>
  <c r="AF84" i="6" s="1"/>
  <c r="N618" i="16"/>
  <c r="AF624" i="6" s="1"/>
  <c r="N1631" i="16"/>
  <c r="AF1637" i="6" s="1"/>
  <c r="N2166" i="16"/>
  <c r="AF2172" i="6" s="1"/>
  <c r="N1839" i="16"/>
  <c r="G1845" i="6" s="1"/>
  <c r="N79" i="16"/>
  <c r="AF85" i="6" s="1"/>
  <c r="N1698" i="16"/>
  <c r="AF1704" i="6" s="1"/>
  <c r="N2216" i="16"/>
  <c r="AF2222" i="6" s="1"/>
  <c r="N129" i="16"/>
  <c r="AF135" i="6" s="1"/>
  <c r="N1719" i="16"/>
  <c r="AF1725" i="6" s="1"/>
  <c r="N382" i="16"/>
  <c r="G388" i="6" s="1"/>
  <c r="N99" i="16"/>
  <c r="AF105" i="6" s="1"/>
  <c r="N667" i="16"/>
  <c r="AF673" i="6" s="1"/>
  <c r="N1039" i="16"/>
  <c r="AF1045" i="6" s="1"/>
  <c r="N360" i="16"/>
  <c r="AF366" i="6" s="1"/>
  <c r="N1777" i="16"/>
  <c r="AF1783" i="6" s="1"/>
  <c r="N2069" i="16"/>
  <c r="AF2075" i="6" s="1"/>
  <c r="N2293" i="16"/>
  <c r="AF2299" i="6" s="1"/>
  <c r="N148" i="16"/>
  <c r="AF154" i="6" s="1"/>
  <c r="N1989" i="16"/>
  <c r="AF1995" i="6" s="1"/>
  <c r="N2255" i="16"/>
  <c r="AF2261" i="6" s="1"/>
  <c r="N133" i="16"/>
  <c r="AF139" i="6" s="1"/>
  <c r="N379" i="16"/>
  <c r="AF385" i="6" s="1"/>
  <c r="N1621" i="16"/>
  <c r="AF1627" i="6" s="1"/>
  <c r="N1213" i="16"/>
  <c r="AF1219" i="6" s="1"/>
  <c r="N991" i="16"/>
  <c r="AF997" i="6" s="1"/>
  <c r="N898" i="16"/>
  <c r="AF904" i="6" s="1"/>
  <c r="N2301" i="16"/>
  <c r="AF2307" i="6" s="1"/>
  <c r="N2285" i="16"/>
  <c r="AF2291" i="6" s="1"/>
  <c r="N457" i="16"/>
  <c r="AF463" i="6" s="1"/>
  <c r="N314" i="16"/>
  <c r="AF320" i="6" s="1"/>
  <c r="N1955" i="16"/>
  <c r="AF1961" i="6" s="1"/>
  <c r="N1805" i="16"/>
  <c r="N701" i="16"/>
  <c r="N1381" i="16"/>
  <c r="AF1387" i="6" s="1"/>
  <c r="N1680" i="16"/>
  <c r="AF1686" i="6" s="1"/>
  <c r="N719" i="16"/>
  <c r="AF725" i="6" s="1"/>
  <c r="N1885" i="16"/>
  <c r="AF1891" i="6" s="1"/>
  <c r="N1571" i="16"/>
  <c r="AF1577" i="6" s="1"/>
  <c r="N1553" i="16"/>
  <c r="N549" i="16"/>
  <c r="AF555" i="6" s="1"/>
  <c r="N1245" i="16"/>
  <c r="AF1251" i="6" s="1"/>
  <c r="N1397" i="16"/>
  <c r="AF1403" i="6" s="1"/>
  <c r="N2112" i="16"/>
  <c r="N1693" i="16"/>
  <c r="AF1699" i="6" s="1"/>
  <c r="N1417" i="16"/>
  <c r="AF1423" i="6" s="1"/>
  <c r="N2044" i="16"/>
  <c r="AF2050" i="6" s="1"/>
  <c r="N2098" i="16"/>
  <c r="AF2104" i="6" s="1"/>
  <c r="N1032" i="16"/>
  <c r="AF1038" i="6" s="1"/>
  <c r="N1512" i="16"/>
  <c r="AF1518" i="6" s="1"/>
  <c r="N1320" i="16"/>
  <c r="AF1326" i="6" s="1"/>
  <c r="N1012" i="16"/>
  <c r="AF1018" i="6" s="1"/>
  <c r="N2086" i="16"/>
  <c r="AF2092" i="6" s="1"/>
  <c r="N1998" i="16"/>
  <c r="N2300" i="16"/>
  <c r="AF2306" i="6" s="1"/>
  <c r="N1803" i="16"/>
  <c r="AF1809" i="6" s="1"/>
  <c r="N32" i="16"/>
  <c r="AF38" i="6" s="1"/>
  <c r="N958" i="16"/>
  <c r="AF964" i="6" s="1"/>
  <c r="N1616" i="16"/>
  <c r="AF1622" i="6" s="1"/>
  <c r="N1169" i="16"/>
  <c r="N1781" i="16"/>
  <c r="AF1787" i="6" s="1"/>
  <c r="N2252" i="16"/>
  <c r="AF2258" i="6" s="1"/>
  <c r="N1811" i="16"/>
  <c r="AF1817" i="6" s="1"/>
  <c r="N704" i="16"/>
  <c r="AF710" i="6" s="1"/>
  <c r="N567" i="16"/>
  <c r="AF573" i="6" s="1"/>
  <c r="N1402" i="16"/>
  <c r="N1911" i="16"/>
  <c r="AF1917" i="6" s="1"/>
  <c r="N1702" i="16"/>
  <c r="AF1708" i="6" s="1"/>
  <c r="N1388" i="16"/>
  <c r="AF1394" i="6" s="1"/>
  <c r="N116" i="16"/>
  <c r="N115" i="16"/>
  <c r="AF121" i="6" s="1"/>
  <c r="N364" i="16"/>
  <c r="AF370" i="6" s="1"/>
  <c r="N2275" i="16"/>
  <c r="AF2281" i="6" s="1"/>
  <c r="N125" i="16"/>
  <c r="AF131" i="6" s="1"/>
  <c r="N813" i="16"/>
  <c r="AF819" i="6" s="1"/>
  <c r="N944" i="16"/>
  <c r="N1646" i="16"/>
  <c r="AF1652" i="6" s="1"/>
  <c r="N2305" i="16"/>
  <c r="AF2311" i="6" s="1"/>
  <c r="N964" i="16"/>
  <c r="AF970" i="6" s="1"/>
  <c r="N1160" i="16"/>
  <c r="AF1166" i="6" s="1"/>
  <c r="N1866" i="16"/>
  <c r="AF1872" i="6" s="1"/>
  <c r="N545" i="16"/>
  <c r="AF551" i="6" s="1"/>
  <c r="N1115" i="16"/>
  <c r="AF1121" i="6" s="1"/>
  <c r="N880" i="16"/>
  <c r="AF886" i="6" s="1"/>
  <c r="N553" i="16"/>
  <c r="AF559" i="6" s="1"/>
  <c r="N1103" i="16"/>
  <c r="AF1109" i="6" s="1"/>
  <c r="N1366" i="16"/>
  <c r="AF1372" i="6" s="1"/>
  <c r="N514" i="16"/>
  <c r="AF520" i="6" s="1"/>
  <c r="N1449" i="16"/>
  <c r="N2096" i="16"/>
  <c r="AF2102" i="6" s="1"/>
  <c r="N1992" i="16"/>
  <c r="AF1998" i="6" s="1"/>
  <c r="N178" i="16"/>
  <c r="AF184" i="6" s="1"/>
  <c r="N438" i="16"/>
  <c r="AF444" i="6" s="1"/>
  <c r="N2286" i="16"/>
  <c r="AF2292" i="6" s="1"/>
  <c r="N97" i="16"/>
  <c r="AF103" i="6" s="1"/>
  <c r="N311" i="16"/>
  <c r="AF317" i="6" s="1"/>
  <c r="N1883" i="16"/>
  <c r="N2230" i="16"/>
  <c r="AF2236" i="6" s="1"/>
  <c r="N326" i="16"/>
  <c r="AF332" i="6" s="1"/>
  <c r="N36" i="16"/>
  <c r="AF42" i="6" s="1"/>
  <c r="N996" i="16"/>
  <c r="AF1002" i="6" s="1"/>
  <c r="N279" i="16"/>
  <c r="AF285" i="6" s="1"/>
  <c r="N945" i="16"/>
  <c r="AF951" i="6" s="1"/>
  <c r="N1429" i="16"/>
  <c r="AF1435" i="6" s="1"/>
  <c r="N1687" i="16"/>
  <c r="AF1693" i="6" s="1"/>
  <c r="N650" i="16"/>
  <c r="AF656" i="6" s="1"/>
  <c r="N1296" i="16"/>
  <c r="AF1302" i="6" s="1"/>
  <c r="N1451" i="16"/>
  <c r="AF1457" i="6" s="1"/>
  <c r="N2204" i="16"/>
  <c r="AF2210" i="6" s="1"/>
  <c r="N2116" i="16"/>
  <c r="AF2122" i="6" s="1"/>
  <c r="N1489" i="16"/>
  <c r="AF1495" i="6" s="1"/>
  <c r="N2137" i="16"/>
  <c r="AF2143" i="6" s="1"/>
  <c r="N2158" i="16"/>
  <c r="AF2164" i="6" s="1"/>
  <c r="N1092" i="16"/>
  <c r="AF1098" i="6" s="1"/>
  <c r="N1604" i="16"/>
  <c r="N1372" i="16"/>
  <c r="AF1378" i="6" s="1"/>
  <c r="N1087" i="16"/>
  <c r="AF1093" i="6" s="1"/>
  <c r="N929" i="16"/>
  <c r="AF935" i="6" s="1"/>
  <c r="N966" i="16"/>
  <c r="AF972" i="6" s="1"/>
  <c r="N43" i="16"/>
  <c r="AF49" i="6" s="1"/>
  <c r="N1184" i="16"/>
  <c r="N340" i="16"/>
  <c r="AF346" i="6" s="1"/>
  <c r="N1035" i="16"/>
  <c r="AF1041" i="6" s="1"/>
  <c r="N1179" i="16"/>
  <c r="AF1185" i="6" s="1"/>
  <c r="N2093" i="16"/>
  <c r="AF2099" i="6" s="1"/>
  <c r="N2225" i="16"/>
  <c r="AF2231" i="6" s="1"/>
  <c r="N1206" i="16"/>
  <c r="N1526" i="16"/>
  <c r="AF1532" i="6" s="1"/>
  <c r="N2287" i="16"/>
  <c r="AF2293" i="6" s="1"/>
  <c r="N771" i="16"/>
  <c r="AF777" i="6" s="1"/>
  <c r="N1324" i="16"/>
  <c r="AF1330" i="6" s="1"/>
  <c r="N1075" i="16"/>
  <c r="N791" i="16"/>
  <c r="AF797" i="6" s="1"/>
  <c r="N1286" i="16"/>
  <c r="AF1292" i="6" s="1"/>
  <c r="N937" i="16"/>
  <c r="AF943" i="6" s="1"/>
  <c r="N583" i="16"/>
  <c r="N715" i="16"/>
  <c r="AF721" i="6" s="1"/>
  <c r="N1673" i="16"/>
  <c r="AF1679" i="6" s="1"/>
  <c r="N1583" i="16"/>
  <c r="AF1589" i="6" s="1"/>
  <c r="N160" i="16"/>
  <c r="AF166" i="6" s="1"/>
  <c r="N377" i="16"/>
  <c r="AF383" i="6" s="1"/>
  <c r="N628" i="16"/>
  <c r="AF634" i="6" s="1"/>
  <c r="N1094" i="16"/>
  <c r="AF1100" i="6" s="1"/>
  <c r="N317" i="16"/>
  <c r="N520" i="16"/>
  <c r="AF526" i="6" s="1"/>
  <c r="N2094" i="16"/>
  <c r="AF2100" i="6" s="1"/>
  <c r="N2340" i="16"/>
  <c r="AF2346" i="6" s="1"/>
  <c r="N534" i="16"/>
  <c r="AF540" i="6" s="1"/>
  <c r="N243" i="16"/>
  <c r="AF249" i="6" s="1"/>
  <c r="N1943" i="16"/>
  <c r="AF1949" i="6" s="1"/>
  <c r="N513" i="16"/>
  <c r="AF519" i="6" s="1"/>
  <c r="N1399" i="16"/>
  <c r="AF1405" i="6" s="1"/>
  <c r="N1870" i="16"/>
  <c r="AF1876" i="6" s="1"/>
  <c r="N2014" i="16"/>
  <c r="N2262" i="16"/>
  <c r="AF2268" i="6" s="1"/>
  <c r="N1579" i="16"/>
  <c r="AF1585" i="6" s="1"/>
  <c r="N2090" i="16"/>
  <c r="AF2096" i="6" s="1"/>
  <c r="N13" i="16"/>
  <c r="AF19" i="6" s="1"/>
  <c r="N1550" i="16"/>
  <c r="AF1556" i="6" s="1"/>
  <c r="N255" i="16"/>
  <c r="AF261" i="6" s="1"/>
  <c r="N2337" i="16"/>
  <c r="AF2343" i="6" s="1"/>
  <c r="N528" i="16"/>
  <c r="AF534" i="6" s="1"/>
  <c r="N753" i="16"/>
  <c r="AF759" i="6" s="1"/>
  <c r="N215" i="16"/>
  <c r="AF221" i="6" s="1"/>
  <c r="N1652" i="16"/>
  <c r="AF1658" i="6" s="1"/>
  <c r="N1916" i="16"/>
  <c r="AF1922" i="6" s="1"/>
  <c r="N2161" i="16"/>
  <c r="AF2167" i="6" s="1"/>
  <c r="N33" i="16"/>
  <c r="AF39" i="6" s="1"/>
  <c r="N1858" i="16"/>
  <c r="AF1864" i="6" s="1"/>
  <c r="N2113" i="16"/>
  <c r="AF2119" i="6" s="1"/>
  <c r="N2349" i="16"/>
  <c r="AF2355" i="6" s="1"/>
  <c r="N234" i="16"/>
  <c r="AF240" i="6" s="1"/>
  <c r="N84" i="16"/>
  <c r="AF90" i="6" s="1"/>
  <c r="N1589" i="16"/>
  <c r="AF1595" i="6" s="1"/>
  <c r="N572" i="16"/>
  <c r="AF578" i="6" s="1"/>
  <c r="N1255" i="16"/>
  <c r="N1410" i="16"/>
  <c r="AF1416" i="6" s="1"/>
  <c r="N2174" i="16"/>
  <c r="AF2180" i="6" s="1"/>
  <c r="N1778" i="16"/>
  <c r="AF1784" i="6" s="1"/>
  <c r="N1439" i="16"/>
  <c r="N1352" i="16"/>
  <c r="AF1358" i="6" s="1"/>
  <c r="N431" i="16"/>
  <c r="AF437" i="6" s="1"/>
  <c r="N1121" i="16"/>
  <c r="AF1127" i="6" s="1"/>
  <c r="N1260" i="16"/>
  <c r="N2288" i="16"/>
  <c r="AF2294" i="6" s="1"/>
  <c r="N2333" i="16"/>
  <c r="AF2339" i="6" s="1"/>
  <c r="N1301" i="16"/>
  <c r="AF1307" i="6" s="1"/>
  <c r="N1715" i="16"/>
  <c r="AF1721" i="6" s="1"/>
  <c r="N2336" i="16"/>
  <c r="AF2342" i="6" s="1"/>
  <c r="N901" i="16"/>
  <c r="AF907" i="6" s="1"/>
  <c r="N1408" i="16"/>
  <c r="N1156" i="16"/>
  <c r="AF1162" i="6" s="1"/>
  <c r="N861" i="16"/>
  <c r="AF867" i="6" s="1"/>
  <c r="N1389" i="16"/>
  <c r="AF1395" i="6" s="1"/>
  <c r="N1766" i="16"/>
  <c r="AF1772" i="6" s="1"/>
  <c r="N1458" i="16"/>
  <c r="N1699" i="16"/>
  <c r="AF1705" i="6" s="1"/>
  <c r="N1917" i="16"/>
  <c r="AF1923" i="6" s="1"/>
  <c r="N805" i="16"/>
  <c r="AF811" i="6" s="1"/>
  <c r="N1487" i="16"/>
  <c r="AF1493" i="6" s="1"/>
  <c r="N2304" i="16"/>
  <c r="AF2310" i="6" s="1"/>
  <c r="N1586" i="16"/>
  <c r="AF1592" i="6" s="1"/>
  <c r="N1377" i="16"/>
  <c r="AF1383" i="6" s="1"/>
  <c r="N1735" i="16"/>
  <c r="AF1741" i="6" s="1"/>
  <c r="N1889" i="16"/>
  <c r="AF1895" i="6" s="1"/>
  <c r="N2009" i="16"/>
  <c r="AF2015" i="6" s="1"/>
  <c r="N1282" i="16"/>
  <c r="AF1288" i="6" s="1"/>
  <c r="N1786" i="16"/>
  <c r="AF1792" i="6" s="1"/>
  <c r="N1560" i="16"/>
  <c r="AF1566" i="6" s="1"/>
  <c r="N1244" i="16"/>
  <c r="AF1250" i="6" s="1"/>
  <c r="N2298" i="16"/>
  <c r="AF2304" i="6" s="1"/>
  <c r="N2170" i="16"/>
  <c r="AF2176" i="6" s="1"/>
  <c r="N235" i="16"/>
  <c r="AF241" i="6" s="1"/>
  <c r="N1649" i="16"/>
  <c r="AF1655" i="6" s="1"/>
  <c r="N2144" i="16"/>
  <c r="N8" i="16"/>
  <c r="AF14" i="6" s="1"/>
  <c r="N619" i="16"/>
  <c r="AF625" i="6" s="1"/>
  <c r="N885" i="16"/>
  <c r="AF891" i="6" s="1"/>
  <c r="N1991" i="16"/>
  <c r="AF1997" i="6" s="1"/>
  <c r="N999" i="16"/>
  <c r="AF1005" i="6" s="1"/>
  <c r="N1708" i="16"/>
  <c r="AF1714" i="6" s="1"/>
  <c r="N442" i="16"/>
  <c r="AF448" i="6" s="1"/>
  <c r="N994" i="16"/>
  <c r="AF1000" i="6" s="1"/>
  <c r="N708" i="16"/>
  <c r="AF714" i="6" s="1"/>
  <c r="N400" i="16"/>
  <c r="AF406" i="6" s="1"/>
  <c r="N948" i="16"/>
  <c r="AF954" i="6" s="1"/>
  <c r="N2254" i="16"/>
  <c r="AF2260" i="6" s="1"/>
  <c r="N822" i="16"/>
  <c r="AF828" i="6" s="1"/>
  <c r="N380" i="16"/>
  <c r="AF386" i="6" s="1"/>
  <c r="N1312" i="16"/>
  <c r="N1966" i="16"/>
  <c r="AF1972" i="6" s="1"/>
  <c r="N1759" i="16"/>
  <c r="AF1765" i="6" s="1"/>
  <c r="N35" i="16"/>
  <c r="AF41" i="6" s="1"/>
  <c r="N306" i="16"/>
  <c r="AF312" i="6" s="1"/>
  <c r="N2148" i="16"/>
  <c r="N2036" i="16"/>
  <c r="AF2042" i="6" s="1"/>
  <c r="N177" i="16"/>
  <c r="AF183" i="6" s="1"/>
  <c r="N1742" i="16"/>
  <c r="AF1748" i="6" s="1"/>
  <c r="N2271" i="16"/>
  <c r="AF2277" i="6" s="1"/>
  <c r="N195" i="16"/>
  <c r="AF201" i="6" s="1"/>
  <c r="N2035" i="16"/>
  <c r="AF2041" i="6" s="1"/>
  <c r="N467" i="16"/>
  <c r="AF473" i="6" s="1"/>
  <c r="N164" i="16"/>
  <c r="AF170" i="6" s="1"/>
  <c r="N728" i="16"/>
  <c r="AF734" i="6" s="1"/>
  <c r="N1185" i="16"/>
  <c r="AF1191" i="6" s="1"/>
  <c r="N1457" i="16"/>
  <c r="AF1463" i="6" s="1"/>
  <c r="N473" i="16"/>
  <c r="N1187" i="16"/>
  <c r="AF1193" i="6" s="1"/>
  <c r="N1332" i="16"/>
  <c r="AF1338" i="6" s="1"/>
  <c r="N1810" i="16"/>
  <c r="N1177" i="16"/>
  <c r="AF1183" i="6" s="1"/>
  <c r="N1368" i="16"/>
  <c r="AF1374" i="6" s="1"/>
  <c r="N1901" i="16"/>
  <c r="N946" i="16"/>
  <c r="AF952" i="6" s="1"/>
  <c r="N1470" i="16"/>
  <c r="AF1476" i="6" s="1"/>
  <c r="N1218" i="16"/>
  <c r="AF1224" i="6" s="1"/>
  <c r="N982" i="16"/>
  <c r="AF988" i="6" s="1"/>
  <c r="N1624" i="16"/>
  <c r="AF1630" i="6" s="1"/>
  <c r="N2282" i="16"/>
  <c r="AF2288" i="6" s="1"/>
  <c r="N2173" i="16"/>
  <c r="AF2179" i="6" s="1"/>
  <c r="N874" i="16"/>
  <c r="AF880" i="6" s="1"/>
  <c r="N216" i="16"/>
  <c r="AF222" i="6" s="1"/>
  <c r="N1060" i="16"/>
  <c r="AF1066" i="6" s="1"/>
  <c r="N1806" i="16"/>
  <c r="AF1812" i="6" s="1"/>
  <c r="N1898" i="16"/>
  <c r="AF1904" i="6" s="1"/>
  <c r="N1067" i="16"/>
  <c r="AF1073" i="6" s="1"/>
  <c r="N1314" i="16"/>
  <c r="AF1320" i="6" s="1"/>
  <c r="N2059" i="16"/>
  <c r="AF2065" i="6" s="1"/>
  <c r="N646" i="16"/>
  <c r="N1201" i="16"/>
  <c r="AF1207" i="6" s="1"/>
  <c r="N981" i="16"/>
  <c r="AF987" i="6" s="1"/>
  <c r="N616" i="16"/>
  <c r="N1192" i="16"/>
  <c r="AF1198" i="6" s="1"/>
  <c r="N543" i="16"/>
  <c r="AF549" i="6" s="1"/>
  <c r="N1973" i="16"/>
  <c r="AF1979" i="6" s="1"/>
  <c r="N600" i="16"/>
  <c r="N1538" i="16"/>
  <c r="AF1544" i="6" s="1"/>
  <c r="N2242" i="16"/>
  <c r="AF2248" i="6" s="1"/>
  <c r="N42" i="16"/>
  <c r="N224" i="16"/>
  <c r="AF230" i="6" s="1"/>
  <c r="N521" i="16"/>
  <c r="AF527" i="6" s="1"/>
  <c r="N881" i="16"/>
  <c r="N182" i="16"/>
  <c r="AF188" i="6" s="1"/>
  <c r="N386" i="16"/>
  <c r="AF392" i="6" s="1"/>
  <c r="N1964" i="16"/>
  <c r="AF1970" i="6" s="1"/>
  <c r="N1319" i="16"/>
  <c r="AF1325" i="6" s="1"/>
  <c r="N402" i="16"/>
  <c r="AF408" i="6" s="1"/>
  <c r="N105" i="16"/>
  <c r="AF111" i="6" s="1"/>
  <c r="N1679" i="16"/>
  <c r="AF1685" i="6" s="1"/>
  <c r="N381" i="16"/>
  <c r="AF387" i="6" s="1"/>
  <c r="N1149" i="16"/>
  <c r="AF1155" i="6" s="1"/>
  <c r="N1569" i="16"/>
  <c r="AF1575" i="6" s="1"/>
  <c r="N1150" i="16"/>
  <c r="AF1156" i="6" s="1"/>
  <c r="N985" i="16"/>
  <c r="AF991" i="6" s="1"/>
  <c r="N1428" i="16"/>
  <c r="AF1434" i="6" s="1"/>
  <c r="N1946" i="16"/>
  <c r="AF1952" i="6" s="1"/>
  <c r="N1674" i="16"/>
  <c r="AF1680" i="6" s="1"/>
  <c r="N1416" i="16"/>
  <c r="AF1422" i="6" s="1"/>
  <c r="N130" i="16"/>
  <c r="N132" i="16"/>
  <c r="AF138" i="6" s="1"/>
  <c r="N395" i="16"/>
  <c r="AF401" i="6" s="1"/>
  <c r="N2213" i="16"/>
  <c r="AF2219" i="6" s="1"/>
  <c r="N118" i="16"/>
  <c r="AF124" i="6" s="1"/>
  <c r="N1524" i="16"/>
  <c r="AF1530" i="6" s="1"/>
  <c r="N1767" i="16"/>
  <c r="AF1773" i="6" s="1"/>
  <c r="N2001" i="16"/>
  <c r="N2312" i="16"/>
  <c r="AF2318" i="6" s="1"/>
  <c r="N1743" i="16"/>
  <c r="AF1749" i="6" s="1"/>
  <c r="N1972" i="16"/>
  <c r="AF1978" i="6" s="1"/>
  <c r="N2232" i="16"/>
  <c r="AF2238" i="6" s="1"/>
  <c r="N108" i="16"/>
  <c r="AF114" i="6" s="1"/>
  <c r="N459" i="16"/>
  <c r="AF465" i="6" s="1"/>
  <c r="N2070" i="16"/>
  <c r="AF2076" i="6" s="1"/>
  <c r="N2270" i="16"/>
  <c r="AF2276" i="6" s="1"/>
  <c r="N1644" i="16"/>
  <c r="AF1650" i="6" s="1"/>
  <c r="N1281" i="16"/>
  <c r="N809" i="16"/>
  <c r="AF815" i="6" s="1"/>
  <c r="N1088" i="16"/>
  <c r="AF1094" i="6" s="1"/>
  <c r="N2081" i="16"/>
  <c r="AF2087" i="6" s="1"/>
  <c r="N1384" i="16"/>
  <c r="AF1390" i="6" s="1"/>
  <c r="N448" i="16"/>
  <c r="AF454" i="6" s="1"/>
  <c r="N1136" i="16"/>
  <c r="AF1142" i="6" s="1"/>
  <c r="N1289" i="16"/>
  <c r="AF1295" i="6" s="1"/>
  <c r="N1531" i="16"/>
  <c r="AF1537" i="6" s="1"/>
  <c r="N734" i="16"/>
  <c r="AF740" i="6" s="1"/>
  <c r="N2104" i="16"/>
  <c r="AF2110" i="6" s="1"/>
  <c r="N1020" i="16"/>
  <c r="AF1026" i="6" s="1"/>
  <c r="N273" i="16"/>
  <c r="AF279" i="6" s="1"/>
  <c r="N987" i="16"/>
  <c r="AF993" i="6" s="1"/>
  <c r="N1131" i="16"/>
  <c r="AF1137" i="6" s="1"/>
  <c r="N2054" i="16"/>
  <c r="N2191" i="16"/>
  <c r="AF2197" i="6" s="1"/>
  <c r="N1140" i="16"/>
  <c r="AF1146" i="6" s="1"/>
  <c r="N1468" i="16"/>
  <c r="AF1474" i="6" s="1"/>
  <c r="N2186" i="16"/>
  <c r="N724" i="16"/>
  <c r="AF730" i="6" s="1"/>
  <c r="N1269" i="16"/>
  <c r="AF1275" i="6" s="1"/>
  <c r="N1028" i="16"/>
  <c r="AF1034" i="6" s="1"/>
  <c r="N740" i="16"/>
  <c r="AF746" i="6" s="1"/>
  <c r="N1279" i="16"/>
  <c r="AF1285" i="6" s="1"/>
  <c r="N793" i="16"/>
  <c r="AF799" i="6" s="1"/>
  <c r="N1651" i="16"/>
  <c r="AF1657" i="6" s="1"/>
  <c r="N1539" i="16"/>
  <c r="AF1545" i="6" s="1"/>
  <c r="N1737" i="16"/>
  <c r="AF1743" i="6" s="1"/>
  <c r="N665" i="16"/>
  <c r="AF671" i="6" s="1"/>
  <c r="N1350" i="16"/>
  <c r="AF1356" i="6" s="1"/>
  <c r="N1573" i="16"/>
  <c r="AF1579" i="6" s="1"/>
  <c r="N2195" i="16"/>
  <c r="AF2201" i="6" s="1"/>
  <c r="N1613" i="16"/>
  <c r="AF1619" i="6" s="1"/>
  <c r="N1534" i="16"/>
  <c r="AF1540" i="6" s="1"/>
  <c r="N2237" i="16"/>
  <c r="AF2243" i="6" s="1"/>
  <c r="N2151" i="16"/>
  <c r="N1159" i="16"/>
  <c r="AF1165" i="6" s="1"/>
  <c r="N1736" i="16"/>
  <c r="AF1742" i="6" s="1"/>
  <c r="N1433" i="16"/>
  <c r="AF1439" i="6" s="1"/>
  <c r="N1124" i="16"/>
  <c r="AF1130" i="6" s="1"/>
  <c r="N1425" i="16"/>
  <c r="AF1431" i="6" s="1"/>
  <c r="N1570" i="16"/>
  <c r="AF1576" i="6" s="1"/>
  <c r="N92" i="16"/>
  <c r="AF98" i="6" s="1"/>
  <c r="N1266" i="16"/>
  <c r="AF1272" i="6" s="1"/>
  <c r="N2005" i="16"/>
  <c r="AF2011" i="6" s="1"/>
  <c r="N2103" i="16"/>
  <c r="AF2109" i="6" s="1"/>
  <c r="N524" i="16"/>
  <c r="AF530" i="6" s="1"/>
  <c r="N679" i="16"/>
  <c r="AF685" i="6" s="1"/>
  <c r="N1142" i="16"/>
  <c r="AF1148" i="6" s="1"/>
  <c r="N1721" i="16"/>
  <c r="AF1727" i="6" s="1"/>
  <c r="N634" i="16"/>
  <c r="AF640" i="6" s="1"/>
  <c r="N891" i="16"/>
  <c r="AF897" i="6" s="1"/>
  <c r="N1315" i="16"/>
  <c r="AF1321" i="6" s="1"/>
  <c r="N278" i="16"/>
  <c r="AF284" i="6" s="1"/>
  <c r="N896" i="16"/>
  <c r="AF902" i="6" s="1"/>
  <c r="N609" i="16"/>
  <c r="AF615" i="6" s="1"/>
  <c r="N264" i="16"/>
  <c r="N852" i="16"/>
  <c r="AF858" i="6" s="1"/>
  <c r="N1999" i="16"/>
  <c r="AF2005" i="6" s="1"/>
  <c r="N466" i="16"/>
  <c r="AF472" i="6" s="1"/>
  <c r="N250" i="16"/>
  <c r="AF256" i="6" s="1"/>
  <c r="N1189" i="16"/>
  <c r="N1849" i="16"/>
  <c r="AF1855" i="6" s="1"/>
  <c r="N1974" i="16"/>
  <c r="AF1980" i="6" s="1"/>
  <c r="N1686" i="16"/>
  <c r="AF1692" i="6" s="1"/>
  <c r="N183" i="16"/>
  <c r="AF189" i="6" s="1"/>
  <c r="N2019" i="16"/>
  <c r="AF2025" i="6" s="1"/>
  <c r="N1061" i="16"/>
  <c r="AF1067" i="6" s="1"/>
  <c r="N25" i="16"/>
  <c r="AF31" i="6" s="1"/>
  <c r="N1628" i="16"/>
  <c r="AF1634" i="6" s="1"/>
  <c r="N2149" i="16"/>
  <c r="AF2155" i="6" s="1"/>
  <c r="N62" i="16"/>
  <c r="AF68" i="6" s="1"/>
  <c r="N1603" i="16"/>
  <c r="AF1609" i="6" s="1"/>
  <c r="N318" i="16"/>
  <c r="AF324" i="6" s="1"/>
  <c r="N48" i="16"/>
  <c r="AF54" i="6" s="1"/>
  <c r="N601" i="16"/>
  <c r="AF607" i="6" s="1"/>
  <c r="N912" i="16"/>
  <c r="AF918" i="6" s="1"/>
  <c r="N1227" i="16"/>
  <c r="AF1233" i="6" s="1"/>
  <c r="N363" i="16"/>
  <c r="G369" i="6" s="1"/>
  <c r="N1056" i="16"/>
  <c r="AF1062" i="6" s="1"/>
  <c r="N1208" i="16"/>
  <c r="AF1214" i="6" s="1"/>
  <c r="N2121" i="16"/>
  <c r="AF2127" i="6" s="1"/>
  <c r="N2272" i="16"/>
  <c r="AF2278" i="6" s="1"/>
  <c r="N1219" i="16"/>
  <c r="AF1225" i="6" s="1"/>
  <c r="N1545" i="16"/>
  <c r="AF1551" i="6" s="1"/>
  <c r="N2303" i="16"/>
  <c r="AF2309" i="6" s="1"/>
  <c r="N795" i="16"/>
  <c r="AF801" i="6" s="1"/>
  <c r="N1344" i="16"/>
  <c r="AF1350" i="6" s="1"/>
  <c r="N1089" i="16"/>
  <c r="AF1095" i="6" s="1"/>
  <c r="N821" i="16"/>
  <c r="G827" i="6" s="1"/>
  <c r="N1330" i="16"/>
  <c r="AF1336" i="6" s="1"/>
  <c r="N1262" i="16"/>
  <c r="AF1268" i="6" s="1"/>
  <c r="N1827" i="16"/>
  <c r="AF1833" i="6" s="1"/>
  <c r="N2231" i="16"/>
  <c r="AF2237" i="6" s="1"/>
  <c r="N76" i="16"/>
  <c r="AF82" i="6" s="1"/>
  <c r="N742" i="16"/>
  <c r="AF748" i="6" s="1"/>
  <c r="N956" i="16"/>
  <c r="AF962" i="6" s="1"/>
  <c r="N1551" i="16"/>
  <c r="AF1557" i="6" s="1"/>
  <c r="N2178" i="16"/>
  <c r="AF2184" i="6" s="1"/>
  <c r="N924" i="16"/>
  <c r="AF930" i="6" s="1"/>
  <c r="N1096" i="16"/>
  <c r="AF1102" i="6" s="1"/>
  <c r="N1765" i="16"/>
  <c r="AF1771" i="6" s="1"/>
  <c r="N518" i="16"/>
  <c r="AF524" i="6" s="1"/>
  <c r="N1078" i="16"/>
  <c r="AF1084" i="6" s="1"/>
  <c r="N804" i="16"/>
  <c r="AF810" i="6" s="1"/>
  <c r="N499" i="16"/>
  <c r="AF505" i="6" s="1"/>
  <c r="N1041" i="16"/>
  <c r="AF1047" i="6" s="1"/>
  <c r="N292" i="16"/>
  <c r="AF298" i="6" s="1"/>
  <c r="N1040" i="16"/>
  <c r="AF1046" i="6" s="1"/>
  <c r="N465" i="16"/>
  <c r="AF471" i="6" s="1"/>
  <c r="N1396" i="16"/>
  <c r="AF1402" i="6" s="1"/>
  <c r="N2052" i="16"/>
  <c r="AF2058" i="6" s="1"/>
  <c r="N1842" i="16"/>
  <c r="AF1848" i="6" s="1"/>
  <c r="N110" i="16"/>
  <c r="AF116" i="6" s="1"/>
  <c r="N391" i="16"/>
  <c r="G397" i="6" s="1"/>
  <c r="N2240" i="16"/>
  <c r="N44" i="16"/>
  <c r="AF50" i="6" s="1"/>
  <c r="N238" i="16"/>
  <c r="AF244" i="6" s="1"/>
  <c r="N1833" i="16"/>
  <c r="AF1839" i="6" s="1"/>
  <c r="N1772" i="16"/>
  <c r="AF1778" i="6" s="1"/>
  <c r="N283" i="16"/>
  <c r="AF289" i="6" s="1"/>
  <c r="N2346" i="16"/>
  <c r="AF2352" i="6" s="1"/>
  <c r="N721" i="16"/>
  <c r="AF727" i="6" s="1"/>
  <c r="N272" i="16"/>
  <c r="AF278" i="6" s="1"/>
  <c r="N875" i="16"/>
  <c r="AF881" i="6" s="1"/>
  <c r="N1329" i="16"/>
  <c r="AF1335" i="6" s="1"/>
  <c r="N2239" i="16"/>
  <c r="AF2245" i="6" s="1"/>
  <c r="N1307" i="16"/>
  <c r="AF1313" i="6" s="1"/>
  <c r="N1818" i="16"/>
  <c r="AF1824" i="6" s="1"/>
  <c r="N1594" i="16"/>
  <c r="AF1600" i="6" s="1"/>
  <c r="N1297" i="16"/>
  <c r="AF1303" i="6" s="1"/>
  <c r="N2359" i="16"/>
  <c r="AF2365" i="6" s="1"/>
  <c r="N2358" i="16"/>
  <c r="AF2364" i="6" s="1"/>
  <c r="N271" i="16"/>
  <c r="AF277" i="6" s="1"/>
  <c r="N2074" i="16"/>
  <c r="AF2080" i="6" s="1"/>
  <c r="N1151" i="16"/>
  <c r="AF1157" i="6" s="1"/>
  <c r="N1385" i="16"/>
  <c r="AF1391" i="6" s="1"/>
  <c r="N1633" i="16"/>
  <c r="AF1639" i="6" s="1"/>
  <c r="N1862" i="16"/>
  <c r="AF1868" i="6" s="1"/>
  <c r="N823" i="16"/>
  <c r="AF829" i="6" s="1"/>
  <c r="N1843" i="16"/>
  <c r="N2099" i="16"/>
  <c r="AF2105" i="6" s="1"/>
  <c r="N170" i="16"/>
  <c r="AF176" i="6" s="1"/>
  <c r="N2316" i="16"/>
  <c r="AF2322" i="6" s="1"/>
  <c r="N1116" i="16"/>
  <c r="AF1122" i="6" s="1"/>
  <c r="N315" i="16"/>
  <c r="AF321" i="6" s="1"/>
  <c r="N1003" i="16"/>
  <c r="G1009" i="6" s="1"/>
  <c r="N1161" i="16"/>
  <c r="N2056" i="16"/>
  <c r="N2278" i="16"/>
  <c r="AF2284" i="6" s="1"/>
  <c r="N1728" i="16"/>
  <c r="AF1734" i="6" s="1"/>
  <c r="N2307" i="16"/>
  <c r="AF2313" i="6" s="1"/>
  <c r="N174" i="16"/>
  <c r="AF180" i="6" s="1"/>
  <c r="N868" i="16"/>
  <c r="AF874" i="6" s="1"/>
  <c r="N1011" i="16"/>
  <c r="AF1017" i="6" s="1"/>
  <c r="N1752" i="16"/>
  <c r="AF1758" i="6" s="1"/>
  <c r="N1606" i="16"/>
  <c r="AF1612" i="6" s="1"/>
  <c r="N1008" i="16"/>
  <c r="AF1014" i="6" s="1"/>
  <c r="N1224" i="16"/>
  <c r="AF1230" i="6" s="1"/>
  <c r="N1933" i="16"/>
  <c r="N576" i="16"/>
  <c r="AF582" i="6" s="1"/>
  <c r="N1158" i="16"/>
  <c r="N900" i="16"/>
  <c r="AF906" i="6" s="1"/>
  <c r="N577" i="16"/>
  <c r="AF583" i="6" s="1"/>
  <c r="N1132" i="16"/>
  <c r="AF1138" i="6" s="1"/>
  <c r="N447" i="16"/>
  <c r="N1637" i="16"/>
  <c r="AF1643" i="6" s="1"/>
  <c r="N1514" i="16"/>
  <c r="AF1520" i="6" s="1"/>
  <c r="N554" i="16"/>
  <c r="AF560" i="6" s="1"/>
  <c r="N1228" i="16"/>
  <c r="AF1234" i="6" s="1"/>
  <c r="N1382" i="16"/>
  <c r="AF1388" i="6" s="1"/>
  <c r="N2046" i="16"/>
  <c r="AF2052" i="6" s="1"/>
  <c r="N1557" i="16"/>
  <c r="AF1563" i="6" s="1"/>
  <c r="N1405" i="16"/>
  <c r="AF1411" i="6" s="1"/>
  <c r="N1981" i="16"/>
  <c r="AF1987" i="6" s="1"/>
  <c r="N2017" i="16"/>
  <c r="AF2023" i="6" s="1"/>
  <c r="N1016" i="16"/>
  <c r="AF1022" i="6" s="1"/>
  <c r="N1517" i="16"/>
  <c r="AF1523" i="6" s="1"/>
  <c r="N1267" i="16"/>
  <c r="AF1273" i="6" s="1"/>
  <c r="N993" i="16"/>
  <c r="AF999" i="6" s="1"/>
  <c r="N1954" i="16"/>
  <c r="AF1960" i="6" s="1"/>
  <c r="N1851" i="16"/>
  <c r="AF1857" i="6" s="1"/>
  <c r="N2107" i="16"/>
  <c r="AF2113" i="6" s="1"/>
  <c r="N1013" i="16"/>
  <c r="AF1019" i="6" s="1"/>
  <c r="N1875" i="16"/>
  <c r="AF1881" i="6" s="1"/>
  <c r="N2330" i="16"/>
  <c r="AF2336" i="6" s="1"/>
  <c r="N373" i="16"/>
  <c r="N547" i="16"/>
  <c r="AF553" i="6" s="1"/>
  <c r="N890" i="16"/>
  <c r="AF896" i="6" s="1"/>
  <c r="N1469" i="16"/>
  <c r="AF1475" i="6" s="1"/>
  <c r="N522" i="16"/>
  <c r="AF528" i="6" s="1"/>
  <c r="N709" i="16"/>
  <c r="AF715" i="6" s="1"/>
  <c r="N2313" i="16"/>
  <c r="AF2319" i="6" s="1"/>
  <c r="N166" i="16"/>
  <c r="AF172" i="6" s="1"/>
  <c r="N727" i="16"/>
  <c r="AF733" i="6" s="1"/>
  <c r="N441" i="16"/>
  <c r="AF447" i="6" s="1"/>
  <c r="N143" i="16"/>
  <c r="AF149" i="6" s="1"/>
  <c r="N707" i="16"/>
  <c r="AF713" i="6" s="1"/>
  <c r="N1770" i="16"/>
  <c r="AF1776" i="6" s="1"/>
  <c r="N146" i="16"/>
  <c r="AF152" i="6" s="1"/>
  <c r="N1064" i="16"/>
  <c r="N1704" i="16"/>
  <c r="AF1710" i="6" s="1"/>
  <c r="N1840" i="16"/>
  <c r="AF1846" i="6" s="1"/>
  <c r="N938" i="16"/>
  <c r="AF944" i="6" s="1"/>
  <c r="N1930" i="16"/>
  <c r="AF1936" i="6" s="1"/>
  <c r="N1914" i="16"/>
  <c r="AF1920" i="6" s="1"/>
  <c r="N2219" i="16"/>
  <c r="AF2225" i="6" s="1"/>
  <c r="N2010" i="16"/>
  <c r="AF2016" i="6" s="1"/>
  <c r="N2002" i="16"/>
  <c r="AF2008" i="6" s="1"/>
  <c r="N1482" i="16"/>
  <c r="AF1488" i="6" s="1"/>
  <c r="N196" i="16"/>
  <c r="AF202" i="6" s="1"/>
  <c r="N203" i="16"/>
  <c r="AF209" i="6" s="1"/>
  <c r="N463" i="16"/>
  <c r="AF469" i="6" s="1"/>
  <c r="N1785" i="16"/>
  <c r="AF1791" i="6" s="1"/>
  <c r="N887" i="16"/>
  <c r="AF893" i="6" s="1"/>
  <c r="N229" i="16"/>
  <c r="AF235" i="6" s="1"/>
  <c r="N923" i="16"/>
  <c r="AF929" i="6" s="1"/>
  <c r="N1082" i="16"/>
  <c r="AF1088" i="6" s="1"/>
  <c r="N1837" i="16"/>
  <c r="AF1843" i="6" s="1"/>
  <c r="N1085" i="16"/>
  <c r="AF1091" i="6" s="1"/>
  <c r="N1327" i="16"/>
  <c r="AF1333" i="6" s="1"/>
  <c r="N2016" i="16"/>
  <c r="AF2022" i="6" s="1"/>
  <c r="N664" i="16"/>
  <c r="AF670" i="6" s="1"/>
  <c r="N1222" i="16"/>
  <c r="AF1228" i="6" s="1"/>
  <c r="N962" i="16"/>
  <c r="AF968" i="6" s="1"/>
  <c r="N614" i="16"/>
  <c r="AF620" i="6" s="1"/>
  <c r="N1191" i="16"/>
  <c r="G1197" i="6" s="1"/>
  <c r="N604" i="16"/>
  <c r="AF610" i="6" s="1"/>
  <c r="N1493" i="16"/>
  <c r="AF1499" i="6" s="1"/>
  <c r="N2095" i="16"/>
  <c r="AF2101" i="6" s="1"/>
  <c r="N1813" i="16"/>
  <c r="AF1819" i="6" s="1"/>
  <c r="N578" i="16"/>
  <c r="AF584" i="6" s="1"/>
  <c r="N746" i="16"/>
  <c r="N1295" i="16"/>
  <c r="AF1301" i="6" s="1"/>
  <c r="N1908" i="16"/>
  <c r="AF1914" i="6" s="1"/>
  <c r="N726" i="16"/>
  <c r="AF732" i="6" s="1"/>
  <c r="N940" i="16"/>
  <c r="N1588" i="16"/>
  <c r="AF1594" i="6" s="1"/>
  <c r="N376" i="16"/>
  <c r="AF382" i="6" s="1"/>
  <c r="N989" i="16"/>
  <c r="AF995" i="6" s="1"/>
  <c r="N663" i="16"/>
  <c r="N365" i="16"/>
  <c r="AF371" i="6" s="1"/>
  <c r="N913" i="16"/>
  <c r="AF919" i="6" s="1"/>
  <c r="N2176" i="16"/>
  <c r="AF2182" i="6" s="1"/>
  <c r="N636" i="16"/>
  <c r="AF642" i="6" s="1"/>
  <c r="N329" i="16"/>
  <c r="AF335" i="6" s="1"/>
  <c r="N1259" i="16"/>
  <c r="AF1265" i="6" s="1"/>
  <c r="N1884" i="16"/>
  <c r="AF1890" i="6" s="1"/>
  <c r="N1091" i="16"/>
  <c r="AF1097" i="6" s="1"/>
  <c r="N2283" i="16"/>
  <c r="AF2289" i="6" s="1"/>
  <c r="N260" i="16"/>
  <c r="AF266" i="6" s="1"/>
  <c r="N2110" i="16"/>
  <c r="AF2116" i="6" s="1"/>
  <c r="N2034" i="16"/>
  <c r="AF2040" i="6" s="1"/>
  <c r="N120" i="16"/>
  <c r="AF126" i="6" s="1"/>
  <c r="N1675" i="16"/>
  <c r="AF1681" i="6" s="1"/>
  <c r="N2235" i="16"/>
  <c r="AF2241" i="6" s="1"/>
  <c r="N147" i="16"/>
  <c r="AF153" i="6" s="1"/>
  <c r="N1725" i="16"/>
  <c r="AF1731" i="6" s="1"/>
  <c r="N401" i="16"/>
  <c r="AF407" i="6" s="1"/>
  <c r="N134" i="16"/>
  <c r="AF140" i="6" s="1"/>
  <c r="N685" i="16"/>
  <c r="AF691" i="6" s="1"/>
  <c r="N1055" i="16"/>
  <c r="AF1061" i="6" s="1"/>
  <c r="N2314" i="16"/>
  <c r="AF2320" i="6" s="1"/>
  <c r="N688" i="16"/>
  <c r="AF694" i="6" s="1"/>
  <c r="N1183" i="16"/>
  <c r="AF1189" i="6" s="1"/>
  <c r="N1676" i="16"/>
  <c r="AF1682" i="6" s="1"/>
  <c r="N1454" i="16"/>
  <c r="AF1460" i="6" s="1"/>
  <c r="N1154" i="16"/>
  <c r="AF1160" i="6" s="1"/>
  <c r="N2199" i="16"/>
  <c r="AF2205" i="6" s="1"/>
  <c r="N1942" i="16"/>
  <c r="AF1948" i="6" s="1"/>
  <c r="N145" i="16"/>
  <c r="AF151" i="6" s="1"/>
  <c r="N1903" i="16"/>
  <c r="N1024" i="16"/>
  <c r="AF1030" i="6" s="1"/>
  <c r="N1277" i="16"/>
  <c r="AF1283" i="6" s="1"/>
  <c r="N1530" i="16"/>
  <c r="AF1536" i="6" s="1"/>
  <c r="N1744" i="16"/>
  <c r="N2102" i="16"/>
  <c r="AF2108" i="6" s="1"/>
  <c r="N1480" i="16"/>
  <c r="AF1486" i="6" s="1"/>
  <c r="N1761" i="16"/>
  <c r="AF1767" i="6" s="1"/>
  <c r="N1949" i="16"/>
  <c r="N507" i="16"/>
  <c r="AF513" i="6" s="1"/>
  <c r="N1775" i="16"/>
  <c r="AF1781" i="6" s="1"/>
  <c r="N1199" i="16"/>
  <c r="AF1205" i="6" s="1"/>
  <c r="N233" i="16"/>
  <c r="AF239" i="6" s="1"/>
  <c r="N508" i="16"/>
  <c r="AF514" i="6" s="1"/>
  <c r="N1465" i="16"/>
  <c r="AF1471" i="6" s="1"/>
  <c r="N1407" i="16"/>
  <c r="AF1413" i="6" s="1"/>
  <c r="AF1060" i="6"/>
  <c r="G1060" i="6"/>
  <c r="AF1534" i="6"/>
  <c r="G1534" i="6"/>
  <c r="AF1899" i="6"/>
  <c r="G1899" i="6"/>
  <c r="AF458" i="6"/>
  <c r="G458" i="6"/>
  <c r="AF1443" i="6"/>
  <c r="G1443" i="6"/>
  <c r="AF861" i="6"/>
  <c r="G861" i="6"/>
  <c r="AF859" i="6"/>
  <c r="G859" i="6"/>
  <c r="AF1263" i="6"/>
  <c r="G1263" i="6"/>
  <c r="G2084" i="6"/>
  <c r="AF2084" i="6"/>
  <c r="AF845" i="6"/>
  <c r="G845" i="6"/>
  <c r="AF833" i="6"/>
  <c r="G833" i="6"/>
  <c r="AF837" i="6"/>
  <c r="G837" i="6"/>
  <c r="AF666" i="6"/>
  <c r="G666" i="6"/>
  <c r="AF1620" i="6"/>
  <c r="G1620" i="6"/>
  <c r="AF794" i="6"/>
  <c r="G794" i="6"/>
  <c r="AF1786" i="6"/>
  <c r="G1786" i="6"/>
  <c r="F197" i="6"/>
  <c r="G2032" i="6"/>
  <c r="G838" i="6"/>
  <c r="G2280" i="6"/>
  <c r="G2172" i="6"/>
  <c r="G843" i="6"/>
  <c r="G1459" i="6"/>
  <c r="G2290" i="6"/>
  <c r="G95" i="6"/>
  <c r="G1844" i="6"/>
  <c r="G1688" i="6"/>
  <c r="G311" i="6"/>
  <c r="G822" i="6"/>
  <c r="G1518" i="6"/>
  <c r="G2270" i="6"/>
  <c r="G729" i="6"/>
  <c r="G575" i="6"/>
  <c r="G2327" i="6"/>
  <c r="G853" i="6"/>
  <c r="G825" i="6"/>
  <c r="G1398" i="6"/>
  <c r="G565" i="6"/>
  <c r="G308" i="6"/>
  <c r="G1851" i="6"/>
  <c r="G2049" i="6"/>
  <c r="G608" i="6"/>
  <c r="G271" i="6"/>
  <c r="G2249" i="6"/>
  <c r="G1940" i="6"/>
  <c r="G1782" i="6"/>
  <c r="G132" i="6"/>
  <c r="G1646" i="6"/>
  <c r="G988" i="6"/>
  <c r="G667" i="6"/>
  <c r="G409" i="6"/>
  <c r="G1029" i="6"/>
  <c r="G882" i="6"/>
  <c r="G863" i="6"/>
  <c r="G477" i="6"/>
  <c r="G763" i="6"/>
  <c r="G1404" i="6"/>
  <c r="G1147" i="6"/>
  <c r="G1384" i="6"/>
  <c r="G604" i="6"/>
  <c r="G759" i="6"/>
  <c r="G1389" i="6"/>
  <c r="G1691" i="6"/>
  <c r="G2362" i="6"/>
  <c r="G541" i="6"/>
  <c r="G2156" i="6"/>
  <c r="G1064" i="6"/>
  <c r="G343" i="6"/>
  <c r="G450" i="6"/>
  <c r="G2228" i="6"/>
  <c r="G812" i="6"/>
  <c r="G1659" i="6"/>
  <c r="G795" i="6"/>
  <c r="G935" i="6"/>
  <c r="G319" i="6"/>
  <c r="G2264" i="6"/>
  <c r="G504" i="6"/>
  <c r="G1829" i="6"/>
  <c r="G1143" i="6"/>
  <c r="G1794" i="6"/>
  <c r="G913" i="6"/>
  <c r="G2128" i="6"/>
  <c r="G1348" i="6"/>
  <c r="G2051" i="6"/>
  <c r="G1944" i="6"/>
  <c r="G1739" i="6"/>
  <c r="G619" i="6"/>
  <c r="G314" i="6"/>
  <c r="G2213" i="6"/>
  <c r="G1363" i="6"/>
  <c r="G978" i="6"/>
  <c r="G65" i="6"/>
  <c r="G352" i="6"/>
  <c r="G2207" i="6"/>
  <c r="G1135" i="6"/>
  <c r="G1805" i="6"/>
  <c r="G1256" i="6"/>
  <c r="G1111" i="6"/>
  <c r="G1969" i="6"/>
  <c r="G592" i="6"/>
  <c r="G992" i="6"/>
  <c r="G476" i="6"/>
  <c r="G1286" i="6"/>
  <c r="G1924" i="6"/>
  <c r="G511" i="6"/>
  <c r="G1479" i="6"/>
  <c r="G427" i="6"/>
  <c r="G1226" i="6"/>
  <c r="G1556" i="6"/>
  <c r="G785" i="6"/>
  <c r="G793" i="6"/>
  <c r="G936" i="6"/>
  <c r="G1880" i="6"/>
  <c r="G322" i="6"/>
  <c r="G1392" i="6"/>
  <c r="G1615" i="6"/>
  <c r="G684" i="6"/>
  <c r="G1515" i="6"/>
  <c r="G1686" i="6"/>
  <c r="G1412" i="6"/>
  <c r="G84" i="6"/>
  <c r="G753" i="6"/>
  <c r="G1871" i="6"/>
  <c r="G1438" i="6"/>
  <c r="G599" i="6"/>
  <c r="G107" i="6"/>
  <c r="G1641" i="6"/>
  <c r="G1911" i="6"/>
  <c r="G1126" i="6"/>
  <c r="G181" i="6"/>
  <c r="G405" i="6"/>
  <c r="G1717" i="6"/>
  <c r="G661" i="6"/>
  <c r="G1380" i="6"/>
  <c r="G1666" i="6"/>
  <c r="G2210" i="6"/>
  <c r="G205" i="6"/>
  <c r="G764" i="6"/>
  <c r="G186" i="6"/>
  <c r="G263" i="6"/>
  <c r="G292" i="6"/>
  <c r="G1696" i="6"/>
  <c r="G224" i="6"/>
  <c r="G1677" i="6"/>
  <c r="G1527" i="6"/>
  <c r="G1491" i="6"/>
  <c r="G464" i="6"/>
  <c r="G1279" i="6"/>
  <c r="G334" i="6"/>
  <c r="G1368" i="6"/>
  <c r="G1943" i="6"/>
  <c r="G226" i="6"/>
  <c r="G1489" i="6"/>
  <c r="G417" i="6"/>
  <c r="G704" i="6"/>
  <c r="G2190" i="6"/>
  <c r="G2306" i="6"/>
  <c r="G588" i="6"/>
  <c r="G1129" i="6"/>
  <c r="G70" i="6"/>
  <c r="G657" i="6"/>
  <c r="G2265" i="6"/>
  <c r="G2148" i="6"/>
  <c r="G269" i="6"/>
  <c r="G57" i="6"/>
  <c r="G1958" i="6"/>
  <c r="G1652" i="6"/>
  <c r="G194" i="6"/>
  <c r="G385" i="6"/>
  <c r="G542" i="6"/>
  <c r="G665" i="6"/>
  <c r="G1554" i="6"/>
  <c r="G1560" i="6"/>
  <c r="G25" i="6"/>
  <c r="G23" i="6"/>
  <c r="G1502" i="6"/>
  <c r="G1837" i="6"/>
  <c r="G749" i="6"/>
  <c r="G1592" i="6"/>
  <c r="G1308" i="6"/>
  <c r="G1573" i="6"/>
  <c r="G629" i="6"/>
  <c r="G1925" i="6"/>
  <c r="G835" i="6"/>
  <c r="G418" i="6"/>
  <c r="G1296" i="6"/>
  <c r="G2256" i="6"/>
  <c r="G77" i="6"/>
  <c r="G347" i="6"/>
  <c r="G2009" i="6"/>
  <c r="G831" i="6"/>
  <c r="G1962" i="6"/>
  <c r="G1020" i="6"/>
  <c r="G233" i="6"/>
  <c r="G984" i="6"/>
  <c r="G502" i="6"/>
  <c r="G2283" i="6"/>
  <c r="G220" i="6"/>
  <c r="G698" i="6"/>
  <c r="G489" i="6"/>
  <c r="G647" i="6"/>
  <c r="G774" i="6"/>
  <c r="G1492" i="6"/>
  <c r="G515" i="6"/>
  <c r="G446" i="6"/>
  <c r="G1500" i="6"/>
  <c r="G1243" i="6"/>
  <c r="G1736" i="6"/>
  <c r="G440" i="6"/>
  <c r="G2024" i="6"/>
  <c r="G529" i="6"/>
  <c r="G1223" i="6"/>
  <c r="G832" i="6"/>
  <c r="G1631" i="6"/>
  <c r="G141" i="6"/>
  <c r="G1756" i="6"/>
  <c r="G1531" i="6"/>
  <c r="G1729" i="6"/>
  <c r="G1745" i="6"/>
  <c r="G1608" i="6"/>
  <c r="G2151" i="6"/>
  <c r="G1174" i="6"/>
  <c r="G884" i="6"/>
  <c r="G800" i="6"/>
  <c r="G1521" i="6"/>
  <c r="G1724" i="6"/>
  <c r="G1178" i="6"/>
  <c r="G648" i="6"/>
  <c r="G2137" i="6"/>
  <c r="G1654" i="6"/>
  <c r="G1982" i="6"/>
  <c r="G923" i="6"/>
  <c r="G1690" i="6"/>
  <c r="G602" i="6"/>
  <c r="G741" i="6"/>
  <c r="G2309" i="6"/>
  <c r="G1237" i="6"/>
  <c r="G165" i="6"/>
  <c r="G965" i="6"/>
  <c r="G852" i="6"/>
  <c r="G1828" i="6"/>
  <c r="G1409" i="6"/>
  <c r="G1056" i="6"/>
  <c r="G303" i="6"/>
  <c r="G2030" i="6"/>
  <c r="G494" i="6"/>
  <c r="G2077" i="6"/>
  <c r="G1915" i="6"/>
  <c r="G1548" i="6"/>
  <c r="G508" i="6"/>
  <c r="G1018" i="6"/>
  <c r="G2104" i="6"/>
  <c r="G1316" i="6"/>
  <c r="G36" i="6"/>
  <c r="G2297" i="6"/>
  <c r="G1800" i="6"/>
  <c r="G1723" i="6"/>
  <c r="G603" i="6"/>
  <c r="G147" i="6"/>
  <c r="G2136" i="6"/>
  <c r="G208" i="6"/>
  <c r="G2063" i="6"/>
  <c r="G46" i="6"/>
  <c r="G1886" i="6"/>
  <c r="G1132" i="6"/>
  <c r="G554" i="6"/>
  <c r="G72" i="6"/>
  <c r="G516" i="6"/>
  <c r="G387" i="6"/>
  <c r="G2068" i="6"/>
  <c r="G43" i="6"/>
  <c r="G1352" i="6"/>
  <c r="G772" i="6"/>
  <c r="G627" i="6"/>
  <c r="G1314" i="6"/>
  <c r="G2135" i="6"/>
  <c r="G1503" i="6"/>
  <c r="G2158" i="6"/>
  <c r="G283" i="6"/>
  <c r="G937" i="6"/>
  <c r="G552" i="6"/>
  <c r="G1478" i="6"/>
  <c r="G355" i="6"/>
  <c r="G1042" i="6"/>
  <c r="G129" i="6"/>
  <c r="G2112" i="6"/>
  <c r="G416" i="6"/>
  <c r="G2242" i="6"/>
  <c r="G79" i="6"/>
  <c r="G1083" i="6"/>
  <c r="G11" i="6"/>
  <c r="G280" i="6"/>
  <c r="G951" i="6"/>
  <c r="G1366" i="6"/>
  <c r="G1636" i="6"/>
  <c r="G1282" i="6"/>
  <c r="G178" i="6"/>
  <c r="G1104" i="6"/>
  <c r="G2347" i="6"/>
  <c r="G1339" i="6"/>
  <c r="G1963" i="6"/>
  <c r="G2328" i="6"/>
  <c r="G1052" i="6"/>
  <c r="G12" i="6"/>
  <c r="G779" i="6"/>
  <c r="G1562" i="6"/>
  <c r="G247" i="6"/>
  <c r="G357" i="6"/>
  <c r="G2165" i="6"/>
  <c r="G37" i="6"/>
  <c r="G1990" i="6"/>
  <c r="G2133" i="6"/>
  <c r="G1077" i="6"/>
  <c r="G708" i="6"/>
  <c r="G1604" i="6"/>
  <c r="G579" i="6"/>
  <c r="G1495" i="6"/>
  <c r="G1425" i="6"/>
  <c r="G435" i="6"/>
  <c r="G1281" i="6"/>
  <c r="G2304" i="6"/>
  <c r="G496" i="6"/>
  <c r="G2351" i="6"/>
  <c r="G1311" i="6"/>
  <c r="G1774" i="6"/>
  <c r="G909" i="6"/>
  <c r="G1433" i="6"/>
  <c r="G360" i="6"/>
  <c r="G803" i="6"/>
  <c r="G681" i="6"/>
  <c r="G577" i="6"/>
  <c r="G1385" i="6"/>
  <c r="G1679" i="6"/>
  <c r="G543" i="6"/>
  <c r="G170" i="6"/>
  <c r="G2315" i="6"/>
  <c r="G728" i="6"/>
  <c r="G2187" i="6"/>
  <c r="G1814" i="6"/>
  <c r="G1075" i="6"/>
  <c r="G1113" i="6"/>
  <c r="G64" i="6"/>
  <c r="G2103" i="6"/>
  <c r="G1834" i="6"/>
  <c r="G445" i="6"/>
  <c r="G2044" i="6"/>
  <c r="G2059" i="6"/>
  <c r="G231" i="6"/>
  <c r="G486" i="6"/>
  <c r="G1331" i="6"/>
  <c r="G259" i="6"/>
  <c r="G1986" i="6"/>
  <c r="G1105" i="6"/>
  <c r="G33" i="6"/>
  <c r="G1888" i="6"/>
  <c r="G320" i="6"/>
  <c r="G2017" i="6"/>
  <c r="G1374" i="6"/>
  <c r="G2110" i="6"/>
  <c r="G2300" i="6"/>
  <c r="G1244" i="6"/>
  <c r="G204" i="6"/>
  <c r="G1224" i="6"/>
  <c r="G628" i="6"/>
  <c r="G499" i="6"/>
  <c r="G791" i="6"/>
  <c r="G273" i="6"/>
  <c r="G1902" i="6"/>
  <c r="G1793" i="6"/>
  <c r="G973" i="6"/>
  <c r="G444" i="6"/>
  <c r="G155" i="6"/>
  <c r="G954" i="6"/>
  <c r="G1640" i="6"/>
  <c r="G2295" i="6"/>
  <c r="G1206" i="6"/>
  <c r="G868" i="6"/>
  <c r="G227" i="6"/>
  <c r="G1954" i="6"/>
  <c r="G288" i="6"/>
  <c r="G1071" i="6"/>
  <c r="G653" i="6"/>
  <c r="G1818" i="6"/>
  <c r="G425" i="6"/>
  <c r="G1110" i="6"/>
  <c r="G467" i="6"/>
  <c r="G1154" i="6"/>
  <c r="G1649" i="6"/>
  <c r="G1343" i="6"/>
  <c r="G941" i="6"/>
  <c r="G123" i="6"/>
  <c r="G1769" i="6"/>
  <c r="G2039" i="6"/>
  <c r="G1865" i="6"/>
  <c r="G1590" i="6"/>
  <c r="G985" i="6"/>
  <c r="G1406" i="6"/>
  <c r="G1453" i="6"/>
  <c r="G924" i="6"/>
  <c r="G137" i="6"/>
  <c r="G888" i="6"/>
  <c r="G2229" i="6"/>
  <c r="G2021" i="6"/>
  <c r="G1702" i="6"/>
  <c r="G693" i="6"/>
  <c r="G949" i="6"/>
  <c r="G2" i="16"/>
  <c r="D1" i="16"/>
  <c r="E1" i="16" s="1"/>
  <c r="F1" i="16" s="1"/>
  <c r="G1" i="16" s="1"/>
  <c r="H1" i="16" s="1"/>
  <c r="I1" i="16" s="1"/>
  <c r="C9" i="13"/>
  <c r="G2325" i="6" l="1"/>
  <c r="G1006" i="6"/>
  <c r="G1754" i="6"/>
  <c r="G969" i="6"/>
  <c r="G1015" i="6"/>
  <c r="G2268" i="6"/>
  <c r="G305" i="6"/>
  <c r="G1941" i="6"/>
  <c r="G767" i="6"/>
  <c r="G455" i="6"/>
  <c r="G1689" i="6"/>
  <c r="G148" i="6"/>
  <c r="G1833" i="6"/>
  <c r="G1733" i="6"/>
  <c r="G2312" i="6"/>
  <c r="G384" i="6"/>
  <c r="G2043" i="6"/>
  <c r="G432" i="6"/>
  <c r="G615" i="6"/>
  <c r="G2183" i="6"/>
  <c r="G696" i="6"/>
  <c r="G293" i="6"/>
  <c r="G1383" i="6"/>
  <c r="G1855" i="6"/>
  <c r="G2108" i="6"/>
  <c r="G2003" i="6"/>
  <c r="G1976" i="6"/>
  <c r="G1004" i="6"/>
  <c r="G2089" i="6"/>
  <c r="G2208" i="6"/>
  <c r="G967" i="6"/>
  <c r="G715" i="6"/>
  <c r="G209" i="6"/>
  <c r="G474" i="6"/>
  <c r="G2214" i="6"/>
  <c r="G522" i="6"/>
  <c r="G1136" i="6"/>
  <c r="G383" i="6"/>
  <c r="G2093" i="6"/>
  <c r="G1192" i="6"/>
  <c r="G162" i="6"/>
  <c r="G460" i="6"/>
  <c r="G2069" i="6"/>
  <c r="G2141" i="6"/>
  <c r="G771" i="6"/>
  <c r="G550" i="6"/>
  <c r="G257" i="6"/>
  <c r="G744" i="6"/>
  <c r="G1055" i="6"/>
  <c r="G520" i="6"/>
  <c r="G2234" i="6"/>
  <c r="G1159" i="6"/>
  <c r="G105" i="6"/>
  <c r="G1440" i="6"/>
  <c r="G1274" i="6"/>
  <c r="G1068" i="6"/>
  <c r="G1252" i="6"/>
  <c r="G234" i="6"/>
  <c r="G392" i="6"/>
  <c r="G658" i="6"/>
  <c r="G146" i="6"/>
  <c r="G90" i="6"/>
  <c r="G35" i="6"/>
  <c r="G1505" i="6"/>
  <c r="G1325" i="6"/>
  <c r="G555" i="6"/>
  <c r="G484" i="6"/>
  <c r="G2114" i="6"/>
  <c r="G1240" i="6"/>
  <c r="G1695" i="6"/>
  <c r="G1182" i="6"/>
  <c r="G1050" i="6"/>
  <c r="G690" i="6"/>
  <c r="G217" i="6"/>
  <c r="G1876" i="6"/>
  <c r="G2170" i="6"/>
  <c r="G1616" i="6"/>
  <c r="G914" i="6"/>
  <c r="G905" i="6"/>
  <c r="G139" i="6"/>
  <c r="G819" i="6"/>
  <c r="G1019" i="6"/>
  <c r="G590" i="6"/>
  <c r="G1856" i="6"/>
  <c r="G336" i="6"/>
  <c r="G88" i="6"/>
  <c r="G1768" i="6"/>
  <c r="G1981" i="6"/>
  <c r="G1978" i="6"/>
  <c r="G1431" i="6"/>
  <c r="G896" i="6"/>
  <c r="G312" i="6"/>
  <c r="G2094" i="6"/>
  <c r="G98" i="6"/>
  <c r="G2354" i="6"/>
  <c r="G2026" i="6"/>
  <c r="G2333" i="6"/>
  <c r="G1233" i="6"/>
  <c r="G926" i="6"/>
  <c r="G1041" i="6"/>
  <c r="G895" i="6"/>
  <c r="G2037" i="6"/>
  <c r="G1545" i="6"/>
  <c r="G2211" i="6"/>
  <c r="G676" i="6"/>
  <c r="G1579" i="6"/>
  <c r="G902" i="6"/>
  <c r="G2143" i="6"/>
  <c r="G1895" i="6"/>
  <c r="G398" i="6"/>
  <c r="G856" i="6"/>
  <c r="G1260" i="6"/>
  <c r="G1838" i="6"/>
  <c r="G815" i="6"/>
  <c r="G1247" i="6"/>
  <c r="G59" i="6"/>
  <c r="G1315" i="6"/>
  <c r="G2016" i="6"/>
  <c r="G1181" i="6"/>
  <c r="G2231" i="6"/>
  <c r="G535" i="6"/>
  <c r="G932" i="6"/>
  <c r="G569" i="6"/>
  <c r="G2366" i="6"/>
  <c r="G1783" i="6"/>
  <c r="G493" i="6"/>
  <c r="G19" i="6"/>
  <c r="G1822" i="6"/>
  <c r="G710" i="6"/>
  <c r="G1168" i="6"/>
  <c r="G1022" i="6"/>
  <c r="G1714" i="6"/>
  <c r="G1832" i="6"/>
  <c r="G807" i="6"/>
  <c r="G1827" i="6"/>
  <c r="G80" i="6"/>
  <c r="G1288" i="6"/>
  <c r="G1999" i="6"/>
  <c r="G1372" i="6"/>
  <c r="G2083" i="6"/>
  <c r="G1377" i="6"/>
  <c r="G1763" i="6"/>
  <c r="G1792" i="6"/>
  <c r="G1283" i="6"/>
  <c r="G2194" i="6"/>
  <c r="G1468" i="6"/>
  <c r="G1039" i="6"/>
  <c r="G1524" i="6"/>
  <c r="G1227" i="6"/>
  <c r="G1074" i="6"/>
  <c r="G1629" i="6"/>
  <c r="G1321" i="6"/>
  <c r="G2200" i="6"/>
  <c r="G943" i="6"/>
  <c r="G635" i="6"/>
  <c r="G1877" i="6"/>
  <c r="G459" i="6"/>
  <c r="G2178" i="6"/>
  <c r="G821" i="6"/>
  <c r="G401" i="6"/>
  <c r="G1305" i="6"/>
  <c r="G376" i="6"/>
  <c r="G539" i="6"/>
  <c r="G897" i="6"/>
  <c r="G1313" i="6"/>
  <c r="G925" i="6"/>
  <c r="G2073" i="6"/>
  <c r="G50" i="6"/>
  <c r="G1637" i="6"/>
  <c r="G1051" i="6"/>
  <c r="G448" i="6"/>
  <c r="G1872" i="6"/>
  <c r="G929" i="6"/>
  <c r="G1643" i="6"/>
  <c r="G1014" i="6"/>
  <c r="G526" i="6"/>
  <c r="G279" i="6"/>
  <c r="G1088" i="6"/>
  <c r="G2005" i="6"/>
  <c r="G1600" i="6"/>
  <c r="G2355" i="6"/>
  <c r="G694" i="6"/>
  <c r="G1612" i="6"/>
  <c r="G1413" i="6"/>
  <c r="G1191" i="6"/>
  <c r="G2241" i="6"/>
  <c r="G2310" i="6"/>
  <c r="G1920" i="6"/>
  <c r="G2058" i="6"/>
  <c r="G2008" i="6"/>
  <c r="G1460" i="6"/>
  <c r="G1034" i="6"/>
  <c r="G1157" i="6"/>
  <c r="AF2062" i="6"/>
  <c r="G2062" i="6"/>
  <c r="AF237" i="6"/>
  <c r="G237" i="6"/>
  <c r="AF29" i="6"/>
  <c r="G29" i="6"/>
  <c r="AF1529" i="6"/>
  <c r="G1529" i="6"/>
  <c r="AF2361" i="6"/>
  <c r="G2361" i="6"/>
  <c r="AF485" i="6"/>
  <c r="G485" i="6"/>
  <c r="AF198" i="6"/>
  <c r="G198" i="6"/>
  <c r="AF1526" i="6"/>
  <c r="G1526" i="6"/>
  <c r="AF726" i="6"/>
  <c r="G726" i="6"/>
  <c r="AF901" i="6"/>
  <c r="G901" i="6"/>
  <c r="AF2259" i="6"/>
  <c r="G2259" i="6"/>
  <c r="AF663" i="6"/>
  <c r="G663" i="6"/>
  <c r="G215" i="6"/>
  <c r="AF215" i="6"/>
  <c r="AF216" i="6"/>
  <c r="G216" i="6"/>
  <c r="AF274" i="6"/>
  <c r="G274" i="6"/>
  <c r="G117" i="6"/>
  <c r="G567" i="6"/>
  <c r="G241" i="6"/>
  <c r="G251" i="6"/>
  <c r="G881" i="6"/>
  <c r="G1512" i="6"/>
  <c r="AF379" i="6"/>
  <c r="G379" i="6"/>
  <c r="AF1939" i="6"/>
  <c r="G1939" i="6"/>
  <c r="AF1816" i="6"/>
  <c r="G1816" i="6"/>
  <c r="AF2118" i="6"/>
  <c r="G2118" i="6"/>
  <c r="AF871" i="6"/>
  <c r="G871" i="6"/>
  <c r="AF1353" i="6"/>
  <c r="G1353" i="6"/>
  <c r="AF1179" i="6"/>
  <c r="G1179" i="6"/>
  <c r="AF1913" i="6"/>
  <c r="G1913" i="6"/>
  <c r="AF1764" i="6"/>
  <c r="G1764" i="6"/>
  <c r="AF1703" i="6"/>
  <c r="G1703" i="6"/>
  <c r="AF94" i="6"/>
  <c r="G94" i="6"/>
  <c r="G1694" i="6"/>
  <c r="AF1694" i="6"/>
  <c r="AF58" i="6"/>
  <c r="G58" i="6"/>
  <c r="AF612" i="6"/>
  <c r="G612" i="6"/>
  <c r="AF106" i="6"/>
  <c r="G106" i="6"/>
  <c r="AF1967" i="6"/>
  <c r="G1967" i="6"/>
  <c r="AF1859" i="6"/>
  <c r="G1859" i="6"/>
  <c r="AF1735" i="6"/>
  <c r="G1735" i="6"/>
  <c r="AF1550" i="6"/>
  <c r="G1550" i="6"/>
  <c r="G32" i="6"/>
  <c r="AF32" i="6"/>
  <c r="AF2131" i="6"/>
  <c r="G2131" i="6"/>
  <c r="AF1796" i="6"/>
  <c r="G1796" i="6"/>
  <c r="AF330" i="6"/>
  <c r="G330" i="6"/>
  <c r="AF443" i="6"/>
  <c r="G443" i="6"/>
  <c r="AF818" i="6"/>
  <c r="G818" i="6"/>
  <c r="AF411" i="6"/>
  <c r="G411" i="6"/>
  <c r="AF66" i="6"/>
  <c r="G66" i="6"/>
  <c r="AF707" i="6"/>
  <c r="G707" i="6"/>
  <c r="AF758" i="6"/>
  <c r="G758" i="6"/>
  <c r="AF104" i="6"/>
  <c r="G104" i="6"/>
  <c r="AF1929" i="6"/>
  <c r="G1929" i="6"/>
  <c r="AF1170" i="6"/>
  <c r="G1170" i="6"/>
  <c r="AF1012" i="6"/>
  <c r="G1012" i="6"/>
  <c r="AF2338" i="6"/>
  <c r="G2338" i="6"/>
  <c r="AF372" i="6"/>
  <c r="G372" i="6"/>
  <c r="AF62" i="6"/>
  <c r="G62" i="6"/>
  <c r="AF402" i="6"/>
  <c r="G402" i="6"/>
  <c r="AF1586" i="6"/>
  <c r="G1586" i="6"/>
  <c r="G725" i="6"/>
  <c r="G1044" i="6"/>
  <c r="G2038" i="6"/>
  <c r="G1127" i="6"/>
  <c r="G2177" i="6"/>
  <c r="AF2192" i="6"/>
  <c r="G2192" i="6"/>
  <c r="AF1287" i="6"/>
  <c r="G1287" i="6"/>
  <c r="AF1907" i="6"/>
  <c r="G1907" i="6"/>
  <c r="AF1889" i="6"/>
  <c r="G1889" i="6"/>
  <c r="G2004" i="6"/>
  <c r="AF2004" i="6"/>
  <c r="AF2001" i="6"/>
  <c r="G2001" i="6"/>
  <c r="G1892" i="6"/>
  <c r="AF2203" i="6"/>
  <c r="G2203" i="6"/>
  <c r="AF1436" i="6"/>
  <c r="G1436" i="6"/>
  <c r="AF784" i="6"/>
  <c r="G784" i="6"/>
  <c r="AF626" i="6"/>
  <c r="G626" i="6"/>
  <c r="AF210" i="6"/>
  <c r="G210" i="6"/>
  <c r="AF424" i="6"/>
  <c r="G424" i="6"/>
  <c r="AF1069" i="6"/>
  <c r="G1069" i="6"/>
  <c r="AF723" i="6"/>
  <c r="G723" i="6"/>
  <c r="AF865" i="6"/>
  <c r="G865" i="6"/>
  <c r="AF2149" i="6"/>
  <c r="G2149" i="6"/>
  <c r="AF1983" i="6"/>
  <c r="G1983" i="6"/>
  <c r="AF250" i="6"/>
  <c r="G250" i="6"/>
  <c r="AF1638" i="6"/>
  <c r="G1638" i="6"/>
  <c r="AF73" i="6"/>
  <c r="G73" i="6"/>
  <c r="AF1867" i="6"/>
  <c r="G1867" i="6"/>
  <c r="AF488" i="6"/>
  <c r="G488" i="6"/>
  <c r="AF1414" i="6"/>
  <c r="G1414" i="6"/>
  <c r="AF1445" i="6"/>
  <c r="G1445" i="6"/>
  <c r="AF593" i="6"/>
  <c r="G593" i="6"/>
  <c r="AF242" i="6"/>
  <c r="G242" i="6"/>
  <c r="AF56" i="6"/>
  <c r="G56" i="6"/>
  <c r="AF1965" i="6"/>
  <c r="G1965" i="6"/>
  <c r="AF2230" i="6"/>
  <c r="G2230" i="6"/>
  <c r="G213" i="6"/>
  <c r="G2321" i="6"/>
  <c r="G2340" i="6"/>
  <c r="G714" i="6"/>
  <c r="G820" i="6"/>
  <c r="AF1955" i="6"/>
  <c r="G1955" i="6"/>
  <c r="G270" i="6"/>
  <c r="AF270" i="6"/>
  <c r="AF323" i="6"/>
  <c r="G323" i="6"/>
  <c r="AF589" i="6"/>
  <c r="G589" i="6"/>
  <c r="G1607" i="6"/>
  <c r="AF1607" i="6"/>
  <c r="AF660" i="6"/>
  <c r="G660" i="6"/>
  <c r="G1873" i="6"/>
  <c r="AF1873" i="6"/>
  <c r="AF633" i="6"/>
  <c r="G633" i="6"/>
  <c r="AF161" i="6"/>
  <c r="G161" i="6"/>
  <c r="AF1027" i="6"/>
  <c r="G1027" i="6"/>
  <c r="AF1323" i="6"/>
  <c r="G1323" i="6"/>
  <c r="AF1150" i="6"/>
  <c r="G1150" i="6"/>
  <c r="AF2082" i="6"/>
  <c r="G2082" i="6"/>
  <c r="AF1114" i="6"/>
  <c r="G1114" i="6"/>
  <c r="AF687" i="6"/>
  <c r="G687" i="6"/>
  <c r="AF294" i="6"/>
  <c r="G294" i="6"/>
  <c r="AF67" i="6"/>
  <c r="G67" i="6"/>
  <c r="AF2233" i="6"/>
  <c r="G2233" i="6"/>
  <c r="AF644" i="6"/>
  <c r="G644" i="6"/>
  <c r="AF574" i="6"/>
  <c r="G574" i="6"/>
  <c r="AF1139" i="6"/>
  <c r="G1139" i="6"/>
  <c r="AF1937" i="6"/>
  <c r="G1937" i="6"/>
  <c r="AF755" i="6"/>
  <c r="G755" i="6"/>
  <c r="AF2019" i="6"/>
  <c r="G2019" i="6"/>
  <c r="AF1011" i="6"/>
  <c r="G1011" i="6"/>
  <c r="AF1284" i="6"/>
  <c r="G1284" i="6"/>
  <c r="AF391" i="6"/>
  <c r="G391" i="6"/>
  <c r="AF915" i="6"/>
  <c r="G915" i="6"/>
  <c r="AF1547" i="6"/>
  <c r="G1547" i="6"/>
  <c r="AF1220" i="6"/>
  <c r="G1220" i="6"/>
  <c r="AF1327" i="6"/>
  <c r="G1327" i="6"/>
  <c r="AF1664" i="6"/>
  <c r="G1664" i="6"/>
  <c r="AF1746" i="6"/>
  <c r="G1746" i="6"/>
  <c r="G1091" i="6"/>
  <c r="G1728" i="6"/>
  <c r="AF1849" i="6"/>
  <c r="G1849" i="6"/>
  <c r="AF2060" i="6"/>
  <c r="G2060" i="6"/>
  <c r="AF2007" i="6"/>
  <c r="G2007" i="6"/>
  <c r="AF652" i="6"/>
  <c r="G652" i="6"/>
  <c r="G2154" i="6"/>
  <c r="AF2154" i="6"/>
  <c r="AF1261" i="6"/>
  <c r="G1261" i="6"/>
  <c r="G1081" i="6"/>
  <c r="AF1081" i="6"/>
  <c r="AF1455" i="6"/>
  <c r="G1455" i="6"/>
  <c r="G122" i="6"/>
  <c r="AF122" i="6"/>
  <c r="AF1408" i="6"/>
  <c r="G1408" i="6"/>
  <c r="G1559" i="6"/>
  <c r="AF1559" i="6"/>
  <c r="AF1750" i="6"/>
  <c r="G1750" i="6"/>
  <c r="G1909" i="6"/>
  <c r="AF1909" i="6"/>
  <c r="AF946" i="6"/>
  <c r="G946" i="6"/>
  <c r="AF752" i="6"/>
  <c r="G752" i="6"/>
  <c r="AF1167" i="6"/>
  <c r="G1167" i="6"/>
  <c r="AF606" i="6"/>
  <c r="G606" i="6"/>
  <c r="AF622" i="6"/>
  <c r="G622" i="6"/>
  <c r="AF1318" i="6"/>
  <c r="G1318" i="6"/>
  <c r="AF1212" i="6"/>
  <c r="G1212" i="6"/>
  <c r="AF1811" i="6"/>
  <c r="G1811" i="6"/>
  <c r="AF1070" i="6"/>
  <c r="G1070" i="6"/>
  <c r="AF453" i="6"/>
  <c r="G453" i="6"/>
  <c r="AF1164" i="6"/>
  <c r="G1164" i="6"/>
  <c r="AF2246" i="6"/>
  <c r="G2246" i="6"/>
  <c r="AF1195" i="6"/>
  <c r="G1195" i="6"/>
  <c r="AF2157" i="6"/>
  <c r="G2157" i="6"/>
  <c r="AF48" i="6"/>
  <c r="G48" i="6"/>
  <c r="AF2150" i="6"/>
  <c r="G2150" i="6"/>
  <c r="AF2020" i="6"/>
  <c r="G2020" i="6"/>
  <c r="AF1610" i="6"/>
  <c r="G1610" i="6"/>
  <c r="AF950" i="6"/>
  <c r="G950" i="6"/>
  <c r="G1175" i="6"/>
  <c r="AF1175" i="6"/>
  <c r="G136" i="6"/>
  <c r="AF136" i="6"/>
  <c r="AF887" i="6"/>
  <c r="G887" i="6"/>
  <c r="AF479" i="6"/>
  <c r="G479" i="6"/>
  <c r="AF1464" i="6"/>
  <c r="G1464" i="6"/>
  <c r="G1266" i="6"/>
  <c r="AF1266" i="6"/>
  <c r="AF1190" i="6"/>
  <c r="G1190" i="6"/>
  <c r="AF388" i="6"/>
  <c r="AF1845" i="6"/>
  <c r="AF1956" i="6"/>
  <c r="G2261" i="6"/>
  <c r="G1734" i="6"/>
  <c r="G2055" i="6"/>
  <c r="G1209" i="6"/>
  <c r="G31" i="6"/>
  <c r="G1611" i="6"/>
  <c r="AF827" i="6"/>
  <c r="G829" i="6"/>
  <c r="G2113" i="6"/>
  <c r="G1692" i="6"/>
  <c r="G1076" i="6"/>
  <c r="G2364" i="6"/>
  <c r="G1254" i="6"/>
  <c r="G1137" i="6"/>
  <c r="G1390" i="6"/>
  <c r="G2272" i="6"/>
  <c r="G126" i="6"/>
  <c r="G2319" i="6"/>
  <c r="G1062" i="6"/>
  <c r="G2365" i="6"/>
  <c r="G968" i="6"/>
  <c r="G2352" i="6"/>
  <c r="G1471" i="6"/>
  <c r="G727" i="6"/>
  <c r="G1391" i="6"/>
  <c r="G1017" i="6"/>
  <c r="G2087" i="6"/>
  <c r="G1848" i="6"/>
  <c r="G180" i="6"/>
  <c r="G669" i="6"/>
  <c r="G1273" i="6"/>
  <c r="G1205" i="6"/>
  <c r="G153" i="6"/>
  <c r="AF1197" i="6"/>
  <c r="AF1009" i="6"/>
  <c r="AF397" i="6"/>
  <c r="G810" i="6"/>
  <c r="G1824" i="6"/>
  <c r="G335" i="6"/>
  <c r="G2237" i="6"/>
  <c r="G2105" i="6"/>
  <c r="G1948" i="6"/>
  <c r="G2284" i="6"/>
  <c r="AF369" i="6"/>
  <c r="G1265" i="6"/>
  <c r="G2269" i="6"/>
  <c r="G149" i="6"/>
  <c r="G2278" i="6"/>
  <c r="G931" i="6"/>
  <c r="G1054" i="6"/>
  <c r="G642" i="6"/>
  <c r="G97" i="6"/>
  <c r="G221" i="6"/>
  <c r="G89" i="6"/>
  <c r="G1530" i="6"/>
  <c r="G2107" i="6"/>
  <c r="G284" i="6"/>
  <c r="G945" i="6"/>
  <c r="G419" i="6"/>
  <c r="G1947" i="6"/>
  <c r="G2124" i="6"/>
  <c r="G433" i="6"/>
  <c r="G804" i="6"/>
  <c r="G1975" i="6"/>
  <c r="G2334" i="6"/>
  <c r="G1268" i="6"/>
  <c r="G1776" i="6"/>
  <c r="G1797" i="6"/>
  <c r="G1951" i="6"/>
  <c r="G947" i="6"/>
  <c r="G168" i="6"/>
  <c r="G229" i="6"/>
  <c r="G1119" i="6"/>
  <c r="G1922" i="6"/>
  <c r="G1350" i="6"/>
  <c r="G1709" i="6"/>
  <c r="G2199" i="6"/>
  <c r="G613" i="6"/>
  <c r="G745" i="6"/>
  <c r="G1148" i="6"/>
  <c r="G1434" i="6"/>
  <c r="G1235" i="6"/>
  <c r="G903" i="6"/>
  <c r="G158" i="6"/>
  <c r="G1699" i="6"/>
  <c r="G1737" i="6"/>
  <c r="G1345" i="6"/>
  <c r="G1295" i="6"/>
  <c r="G742" i="6"/>
  <c r="G1936" i="6"/>
  <c r="G1253" i="6"/>
  <c r="G1989" i="6"/>
  <c r="G1439" i="6"/>
  <c r="G1501" i="6"/>
  <c r="G2090" i="6"/>
  <c r="G786" i="6"/>
  <c r="G315" i="6"/>
  <c r="G2349" i="6"/>
  <c r="G1533" i="6"/>
  <c r="G1094" i="6"/>
  <c r="G18" i="6"/>
  <c r="G1960" i="6"/>
  <c r="G705" i="6"/>
  <c r="G2281" i="6"/>
  <c r="G82" i="6"/>
  <c r="G987" i="6"/>
  <c r="G1410" i="6"/>
  <c r="G981" i="6"/>
  <c r="G2356" i="6"/>
  <c r="G1475" i="6"/>
  <c r="G1016" i="6"/>
  <c r="G1722" i="6"/>
  <c r="G2308" i="6"/>
  <c r="G1665" i="6"/>
  <c r="G1741" i="6"/>
  <c r="G2013" i="6"/>
  <c r="G91" i="6"/>
  <c r="G572" i="6"/>
  <c r="G1115" i="6"/>
  <c r="G487" i="6"/>
  <c r="G1446" i="6"/>
  <c r="G177" i="6"/>
  <c r="G1630" i="6"/>
  <c r="G1541" i="6"/>
  <c r="G135" i="6"/>
  <c r="G1825" i="6"/>
  <c r="G2282" i="6"/>
  <c r="G1402" i="6"/>
  <c r="G1210" i="6"/>
  <c r="G686" i="6"/>
  <c r="G970" i="6"/>
  <c r="G594" i="6"/>
  <c r="G1151" i="6"/>
  <c r="G1555" i="6"/>
  <c r="G1921" i="6"/>
  <c r="G265" i="6"/>
  <c r="G2251" i="6"/>
  <c r="G1910" i="6"/>
  <c r="G796" i="6"/>
  <c r="G591" i="6"/>
  <c r="G1371" i="6"/>
  <c r="G396" i="6"/>
  <c r="G1428" i="6"/>
  <c r="G1935" i="6"/>
  <c r="G366" i="6"/>
  <c r="G564" i="6"/>
  <c r="G1109" i="6"/>
  <c r="G1301" i="6"/>
  <c r="G1742" i="6"/>
  <c r="G300" i="6"/>
  <c r="G1582" i="6"/>
  <c r="G2010" i="6"/>
  <c r="G276" i="6"/>
  <c r="G298" i="6"/>
  <c r="G1180" i="6"/>
  <c r="G983" i="6"/>
  <c r="G1997" i="6"/>
  <c r="G2294" i="6"/>
  <c r="G762" i="6"/>
  <c r="G2238" i="6"/>
  <c r="G556" i="6"/>
  <c r="G1450" i="6"/>
  <c r="G900" i="6"/>
  <c r="G1249" i="6"/>
  <c r="G703" i="6"/>
  <c r="G560" i="6"/>
  <c r="G748" i="6"/>
  <c r="G386" i="6"/>
  <c r="G1158" i="6"/>
  <c r="G172" i="6"/>
  <c r="G688" i="6"/>
  <c r="G1731" i="6"/>
  <c r="G1874" i="6"/>
  <c r="G219" i="6"/>
  <c r="G290" i="6"/>
  <c r="G2166" i="6"/>
  <c r="G2027" i="6"/>
  <c r="G1718" i="6"/>
  <c r="G700" i="6"/>
  <c r="G1361" i="6"/>
  <c r="G174" i="6"/>
  <c r="G2343" i="6"/>
  <c r="G976" i="6"/>
  <c r="G1093" i="6"/>
  <c r="G2247" i="6"/>
  <c r="G643" i="6"/>
  <c r="G2130" i="6"/>
  <c r="G1007" i="6"/>
  <c r="G1701" i="6"/>
  <c r="G906" i="6"/>
  <c r="G151" i="6"/>
  <c r="G1682" i="6"/>
  <c r="G1971" i="6"/>
  <c r="G1452" i="6"/>
  <c r="G223" i="6"/>
  <c r="G2162" i="6"/>
  <c r="G1683" i="6"/>
  <c r="G2273" i="6"/>
  <c r="G2358" i="6"/>
  <c r="G551" i="6"/>
  <c r="G1186" i="6"/>
  <c r="G1668" i="6"/>
  <c r="G1591" i="6"/>
  <c r="G1841" i="6"/>
  <c r="G2167" i="6"/>
  <c r="G167" i="6"/>
  <c r="G1705" i="6"/>
  <c r="G2342" i="6"/>
  <c r="G558" i="6"/>
  <c r="G997" i="6"/>
  <c r="G1528" i="6"/>
  <c r="G1700" i="6"/>
  <c r="G2205" i="6"/>
  <c r="G1553" i="6"/>
  <c r="G1291" i="6"/>
  <c r="G1897" i="6"/>
  <c r="G1926" i="6"/>
  <c r="G351" i="6"/>
  <c r="G624" i="6"/>
  <c r="G1667" i="6"/>
  <c r="G1160" i="6"/>
  <c r="G1670" i="6"/>
  <c r="G414" i="6"/>
  <c r="G1789" i="6"/>
  <c r="G1347" i="6"/>
  <c r="G461" i="6"/>
  <c r="G1606" i="6"/>
  <c r="G636" i="6"/>
  <c r="G1125" i="6"/>
  <c r="G1923" i="6"/>
  <c r="G1310" i="6"/>
  <c r="G781" i="6"/>
  <c r="G2248" i="6"/>
  <c r="G991" i="6"/>
  <c r="G1572" i="6"/>
  <c r="G393" i="6"/>
  <c r="G2142" i="6"/>
  <c r="G524" i="6"/>
  <c r="G1546" i="6"/>
  <c r="G990" i="6"/>
  <c r="G337" i="6"/>
  <c r="G1222" i="6"/>
  <c r="G1072" i="6"/>
  <c r="G1133" i="6"/>
  <c r="G2198" i="6"/>
  <c r="G1578" i="6"/>
  <c r="G1040" i="6"/>
  <c r="G1087" i="6"/>
  <c r="G506" i="6"/>
  <c r="G1568" i="6"/>
  <c r="G1514" i="6"/>
  <c r="G912" i="6"/>
  <c r="G640" i="6"/>
  <c r="G1869" i="6"/>
  <c r="G671" i="6"/>
  <c r="G885" i="6"/>
  <c r="G1246" i="6"/>
  <c r="G328" i="6"/>
  <c r="G1509" i="6"/>
  <c r="G45" i="6"/>
  <c r="G1189" i="6"/>
  <c r="G1429" i="6"/>
  <c r="G2245" i="6"/>
  <c r="G2274" i="6"/>
  <c r="G1375" i="6"/>
  <c r="G1258" i="6"/>
  <c r="G2023" i="6"/>
  <c r="G1400" i="6"/>
  <c r="G2193" i="6"/>
  <c r="G1669" i="6"/>
  <c r="G1878" i="6"/>
  <c r="G724" i="6"/>
  <c r="G1204" i="6"/>
  <c r="G2226" i="6"/>
  <c r="G1684" i="6"/>
  <c r="G1001" i="6"/>
  <c r="G573" i="6"/>
  <c r="G2320" i="6"/>
  <c r="G103" i="6"/>
  <c r="G1932" i="6"/>
  <c r="G1823" i="6"/>
  <c r="G1634" i="6"/>
  <c r="G1307" i="6"/>
  <c r="G133" i="6"/>
  <c r="G1046" i="6"/>
  <c r="G109" i="6"/>
  <c r="G1360" i="6"/>
  <c r="G1720" i="6"/>
  <c r="G1359" i="6"/>
  <c r="G1442" i="6"/>
  <c r="G1238" i="6"/>
  <c r="G321" i="6"/>
  <c r="G85" i="6"/>
  <c r="G239" i="6"/>
  <c r="G2311" i="6"/>
  <c r="G1422" i="6"/>
  <c r="G2186" i="6"/>
  <c r="G164" i="6"/>
  <c r="G691" i="6"/>
  <c r="G523" i="6"/>
  <c r="G625" i="6"/>
  <c r="G1066" i="6"/>
  <c r="G2337" i="6"/>
  <c r="G1928" i="6"/>
  <c r="G877" i="6"/>
  <c r="G2164" i="6"/>
  <c r="G262" i="6"/>
  <c r="G1558" i="6"/>
  <c r="G365" i="6"/>
  <c r="G716" i="6"/>
  <c r="G2042" i="6"/>
  <c r="G206" i="6"/>
  <c r="G121" i="6"/>
  <c r="G2169" i="6"/>
  <c r="G659" i="6"/>
  <c r="G2360" i="6"/>
  <c r="G2111" i="6"/>
  <c r="G1887" i="6"/>
  <c r="G152" i="6"/>
  <c r="G1949" i="6"/>
  <c r="G353" i="6"/>
  <c r="G1328" i="6"/>
  <c r="G408" i="6"/>
  <c r="G1202" i="6"/>
  <c r="G1817" i="6"/>
  <c r="G609" i="6"/>
  <c r="G407" i="6"/>
  <c r="G2116" i="6"/>
  <c r="G267" i="6"/>
  <c r="G740" i="6"/>
  <c r="G1145" i="6"/>
  <c r="G163" i="6"/>
  <c r="G559" i="6"/>
  <c r="G1806" i="6"/>
  <c r="G664" i="6"/>
  <c r="G1647" i="6"/>
  <c r="G114" i="6"/>
  <c r="G1216" i="6"/>
  <c r="G28" i="6"/>
  <c r="G641" i="6"/>
  <c r="G2173" i="6"/>
  <c r="G1201" i="6"/>
  <c r="G1490" i="6"/>
  <c r="G1045" i="6"/>
  <c r="G1581" i="6"/>
  <c r="G788" i="6"/>
  <c r="G439" i="6"/>
  <c r="G685" i="6"/>
  <c r="G1596" i="6"/>
  <c r="G921" i="6"/>
  <c r="G1184" i="6"/>
  <c r="G1571" i="6"/>
  <c r="G989" i="6"/>
  <c r="G836" i="6"/>
  <c r="G1589" i="6"/>
  <c r="G1852" i="6"/>
  <c r="G623" i="6"/>
  <c r="G570" i="6"/>
  <c r="G1552" i="6"/>
  <c r="G1013" i="6"/>
  <c r="G2253" i="6"/>
  <c r="G816" i="6"/>
  <c r="G378" i="6"/>
  <c r="G1344" i="6"/>
  <c r="G617" i="6"/>
  <c r="G456" i="6"/>
  <c r="G679" i="6"/>
  <c r="G1276" i="6"/>
  <c r="G1810" i="6"/>
  <c r="G607" i="6"/>
  <c r="G342" i="6"/>
  <c r="G2196" i="6"/>
  <c r="G874" i="6"/>
  <c r="G1493" i="6"/>
  <c r="G1961" i="6"/>
  <c r="G1706" i="6"/>
  <c r="G110" i="6"/>
  <c r="G362" i="6"/>
  <c r="G2115" i="6"/>
  <c r="G201" i="6"/>
  <c r="G1084" i="6"/>
  <c r="G922" i="6"/>
  <c r="G1317" i="6"/>
  <c r="G934" i="6"/>
  <c r="G1358" i="6"/>
  <c r="G2035" i="6"/>
  <c r="G1063" i="6"/>
  <c r="G1319" i="6"/>
  <c r="G2191" i="6"/>
  <c r="G465" i="6"/>
  <c r="G1727" i="6"/>
  <c r="G828" i="6"/>
  <c r="G482" i="6"/>
  <c r="G1403" i="6"/>
  <c r="G1462" i="6"/>
  <c r="G532" i="6"/>
  <c r="G1918" i="6"/>
  <c r="G2307" i="6"/>
  <c r="G1221" i="6"/>
  <c r="G1843" i="6"/>
  <c r="G1332" i="6"/>
  <c r="G1000" i="6"/>
  <c r="G2080" i="6"/>
  <c r="G51" i="6"/>
  <c r="G1269" i="6"/>
  <c r="G1708" i="6"/>
  <c r="G1078" i="6"/>
  <c r="G1598" i="6"/>
  <c r="G1312" i="6"/>
  <c r="G650" i="6"/>
  <c r="G928" i="6"/>
  <c r="G367" i="6"/>
  <c r="G596" i="6"/>
  <c r="G1465" i="6"/>
  <c r="G1538" i="6"/>
  <c r="G116" i="6"/>
  <c r="G1576" i="6"/>
  <c r="G1749" i="6"/>
  <c r="G563" i="6"/>
  <c r="G1587" i="6"/>
  <c r="G1580" i="6"/>
  <c r="G1299" i="6"/>
  <c r="G1275" i="6"/>
  <c r="G1173" i="6"/>
  <c r="G1427" i="6"/>
  <c r="G1416" i="6"/>
  <c r="G2188" i="6"/>
  <c r="G892" i="6"/>
  <c r="G546" i="6"/>
  <c r="G1830" i="6"/>
  <c r="G864" i="6"/>
  <c r="G854" i="6"/>
  <c r="G1901" i="6"/>
  <c r="G2314" i="6"/>
  <c r="G2301" i="6"/>
  <c r="G1583" i="6"/>
  <c r="G544" i="6"/>
  <c r="G533" i="6"/>
  <c r="G1394" i="6"/>
  <c r="G1914" i="6"/>
  <c r="G2302" i="6"/>
  <c r="G1082" i="6"/>
  <c r="G1079" i="6"/>
  <c r="G1103" i="6"/>
  <c r="G1112" i="6"/>
  <c r="G22" i="6"/>
  <c r="G1484" i="6"/>
  <c r="G1477" i="6"/>
  <c r="G823" i="6"/>
  <c r="G797" i="6"/>
  <c r="G734" i="6"/>
  <c r="G730" i="6"/>
  <c r="G1523" i="6"/>
  <c r="G469" i="6"/>
  <c r="G466" i="6"/>
  <c r="G200" i="6"/>
  <c r="G1248" i="6"/>
  <c r="G1161" i="6"/>
  <c r="G1140" i="6"/>
  <c r="G721" i="6"/>
  <c r="G1760" i="6"/>
  <c r="G2102" i="6"/>
  <c r="G2052" i="6"/>
  <c r="G2002" i="6"/>
  <c r="G2216" i="6"/>
  <c r="G722" i="6"/>
  <c r="G2054" i="6"/>
  <c r="G2067" i="6"/>
  <c r="G2240" i="6"/>
  <c r="G2339" i="6"/>
  <c r="G1642" i="6"/>
  <c r="G1625" i="6"/>
  <c r="G2316" i="6"/>
  <c r="G1365" i="6"/>
  <c r="G1355" i="6"/>
  <c r="G910" i="6"/>
  <c r="G879" i="6"/>
  <c r="G1100" i="6"/>
  <c r="G1096" i="6"/>
  <c r="G1285" i="6"/>
  <c r="G442" i="6"/>
  <c r="G1710" i="6"/>
  <c r="G1472" i="6"/>
  <c r="G2195" i="6"/>
  <c r="G356" i="6"/>
  <c r="G430" i="6"/>
  <c r="G1520" i="6"/>
  <c r="G1513" i="6"/>
  <c r="G159" i="6"/>
  <c r="G595" i="6"/>
  <c r="G614" i="6"/>
  <c r="G101" i="6"/>
  <c r="G412" i="6"/>
  <c r="G955" i="6"/>
  <c r="G1073" i="6"/>
  <c r="G1678" i="6"/>
  <c r="G2163" i="6"/>
  <c r="G1293" i="6"/>
  <c r="G1420" i="6"/>
  <c r="G1122" i="6"/>
  <c r="G656" i="6"/>
  <c r="G1320" i="6"/>
  <c r="G2303" i="6"/>
  <c r="G374" i="6"/>
  <c r="G711" i="6"/>
  <c r="G1813" i="6"/>
  <c r="G389" i="6"/>
  <c r="G373" i="6"/>
  <c r="G668" i="6"/>
  <c r="G1870" i="6"/>
  <c r="G182" i="6"/>
  <c r="G1697" i="6"/>
  <c r="G1801" i="6"/>
  <c r="G1567" i="6"/>
  <c r="G21" i="6"/>
  <c r="G14" i="6"/>
  <c r="G870" i="6"/>
  <c r="G268" i="6"/>
  <c r="G218" i="6"/>
  <c r="G1008" i="6"/>
  <c r="G1085" i="6"/>
  <c r="G611" i="6"/>
  <c r="G1373" i="6"/>
  <c r="G1388" i="6"/>
  <c r="G1090" i="6"/>
  <c r="G108" i="6"/>
  <c r="G2232" i="6"/>
  <c r="G2218" i="6"/>
  <c r="G1719" i="6"/>
  <c r="G1415" i="6"/>
  <c r="G437" i="6"/>
  <c r="G2134" i="6"/>
  <c r="G719" i="6"/>
  <c r="G166" i="6"/>
  <c r="G1633" i="6"/>
  <c r="G454" i="6"/>
  <c r="G1511" i="6"/>
  <c r="G702" i="6"/>
  <c r="G980" i="6"/>
  <c r="G119" i="6"/>
  <c r="G1839" i="6"/>
  <c r="G112" i="6"/>
  <c r="G1382" i="6"/>
  <c r="G1758" i="6"/>
  <c r="G2227" i="6"/>
  <c r="G1357" i="6"/>
  <c r="G2057" i="6"/>
  <c r="G313" i="6"/>
  <c r="G160" i="6"/>
  <c r="G285" i="6"/>
  <c r="G1660" i="6"/>
  <c r="G1346" i="6"/>
  <c r="G364" i="6"/>
  <c r="G630" i="6"/>
  <c r="G2106" i="6"/>
  <c r="G933" i="6"/>
  <c r="G917" i="6"/>
  <c r="G2221" i="6"/>
  <c r="G1196" i="6"/>
  <c r="G898" i="6"/>
  <c r="G1787" i="6"/>
  <c r="G1898" i="6"/>
  <c r="G775" i="6"/>
  <c r="G801" i="6"/>
  <c r="G349" i="6"/>
  <c r="G682" i="6"/>
  <c r="G674" i="6"/>
  <c r="G189" i="6"/>
  <c r="G176" i="6"/>
  <c r="G380" i="6"/>
  <c r="G869" i="6"/>
  <c r="G844" i="6"/>
  <c r="G521" i="6"/>
  <c r="G2271" i="6"/>
  <c r="G1815" i="6"/>
  <c r="G92" i="6"/>
  <c r="G503" i="6"/>
  <c r="G894" i="6"/>
  <c r="G2329" i="6"/>
  <c r="G191" i="6"/>
  <c r="G183" i="6"/>
  <c r="G1991" i="6"/>
  <c r="G2185" i="6"/>
  <c r="G410" i="6"/>
  <c r="G1799" i="6"/>
  <c r="G534" i="6"/>
  <c r="G2056" i="6"/>
  <c r="G2109" i="6"/>
  <c r="G1101" i="6"/>
  <c r="G2129" i="6"/>
  <c r="G1777" i="6"/>
  <c r="G463" i="6"/>
  <c r="G306" i="6"/>
  <c r="G1211" i="6"/>
  <c r="G1329" i="6"/>
  <c r="G2065" i="6"/>
  <c r="G171" i="6"/>
  <c r="G289" i="6"/>
  <c r="G964" i="6"/>
  <c r="G1549" i="6"/>
  <c r="G1378" i="6"/>
  <c r="G2181" i="6"/>
  <c r="G777" i="6"/>
  <c r="G751" i="6"/>
  <c r="G568" i="6"/>
  <c r="G1200" i="6"/>
  <c r="G646" i="6"/>
  <c r="G1481" i="6"/>
  <c r="G1972" i="6"/>
  <c r="G645" i="6"/>
  <c r="G940" i="6"/>
  <c r="G1985" i="6"/>
  <c r="G1803" i="6"/>
  <c r="G1791" i="6"/>
  <c r="G1751" i="6"/>
  <c r="G545" i="6"/>
  <c r="G986" i="6"/>
  <c r="G1650" i="6"/>
  <c r="G1123" i="6"/>
  <c r="G69" i="6"/>
  <c r="G47" i="6"/>
  <c r="G490" i="6"/>
  <c r="G1536" i="6"/>
  <c r="G41" i="6"/>
  <c r="G883" i="6"/>
  <c r="G1171" i="6"/>
  <c r="G824" i="6"/>
  <c r="G817" i="6"/>
  <c r="G1712" i="6"/>
  <c r="G1369" i="6"/>
  <c r="G1535" i="6"/>
  <c r="G143" i="6"/>
  <c r="G1417" i="6"/>
  <c r="G873" i="6"/>
  <c r="G709" i="6"/>
  <c r="G74" i="6"/>
  <c r="G519" i="6"/>
  <c r="G491" i="6"/>
  <c r="G438" i="6"/>
  <c r="G1399" i="6"/>
  <c r="G1671" i="6"/>
  <c r="G188" i="6"/>
  <c r="G1497" i="6"/>
  <c r="G699" i="6"/>
  <c r="G1588" i="6"/>
  <c r="G1242" i="6"/>
  <c r="G1863" i="6"/>
  <c r="G1463" i="6"/>
  <c r="G1946" i="6"/>
  <c r="G2061" i="6"/>
  <c r="G1651" i="6"/>
  <c r="G692" i="6"/>
  <c r="G1599" i="6"/>
  <c r="G428" i="6"/>
  <c r="G207" i="6"/>
  <c r="G495" i="6"/>
  <c r="G338" i="6"/>
  <c r="G1850" i="6"/>
  <c r="G1934" i="6"/>
  <c r="G49" i="6"/>
  <c r="G404" i="6"/>
  <c r="G426" i="6"/>
  <c r="G2179" i="6"/>
  <c r="G616" i="6"/>
  <c r="G1322" i="6"/>
  <c r="G1959" i="6"/>
  <c r="G2171" i="6"/>
  <c r="G2125" i="6"/>
  <c r="G672" i="6"/>
  <c r="G1715" i="6"/>
  <c r="G1987" i="6"/>
  <c r="G537" i="6"/>
  <c r="G423" i="6"/>
  <c r="G834" i="6"/>
  <c r="G475" i="6"/>
  <c r="G750" i="6"/>
  <c r="G578" i="6"/>
  <c r="G1569" i="6"/>
  <c r="G1980" i="6"/>
  <c r="G972" i="6"/>
  <c r="G1761" i="6"/>
  <c r="G2145" i="6"/>
  <c r="G1766" i="6"/>
  <c r="G187" i="6"/>
  <c r="G462" i="6"/>
  <c r="G2174" i="6"/>
  <c r="G2000" i="6"/>
  <c r="G996" i="6"/>
  <c r="G872" i="6"/>
  <c r="G333" i="6"/>
  <c r="G1808" i="6"/>
  <c r="G1504" i="6"/>
  <c r="G1349" i="6"/>
  <c r="G1141" i="6"/>
  <c r="G2152" i="6"/>
  <c r="G1564" i="6"/>
  <c r="G790" i="6"/>
  <c r="G783" i="6"/>
  <c r="G1883" i="6"/>
  <c r="G1785" i="6"/>
  <c r="G212" i="6"/>
  <c r="G1214" i="6"/>
  <c r="G1199" i="6"/>
  <c r="G1882" i="6"/>
  <c r="G584" i="6"/>
  <c r="G1232" i="6"/>
  <c r="G2071" i="6"/>
  <c r="G1687" i="6"/>
  <c r="G1106" i="6"/>
  <c r="G1732" i="6"/>
  <c r="G1973" i="6"/>
  <c r="G1765" i="6"/>
  <c r="G1957" i="6"/>
  <c r="G1162" i="6"/>
  <c r="G1156" i="6"/>
  <c r="G695" i="6"/>
  <c r="G2252" i="6"/>
  <c r="G2127" i="6"/>
  <c r="G1938" i="6"/>
  <c r="G956" i="6"/>
  <c r="G735" i="6"/>
  <c r="G731" i="6"/>
  <c r="G610" i="6"/>
  <c r="G583" i="6"/>
  <c r="G553" i="6"/>
  <c r="G1228" i="6"/>
  <c r="G930" i="6"/>
  <c r="G470" i="6"/>
  <c r="G1927" i="6"/>
  <c r="G1847" i="6"/>
  <c r="G561" i="6"/>
  <c r="G2033" i="6"/>
  <c r="G1540" i="6"/>
  <c r="G605" i="6"/>
  <c r="G179" i="6"/>
  <c r="G1124" i="6"/>
  <c r="G1397" i="6"/>
  <c r="G1836" i="6"/>
  <c r="G2359" i="6"/>
  <c r="G113" i="6"/>
  <c r="G468" i="6"/>
  <c r="G457" i="6"/>
  <c r="G1790" i="6"/>
  <c r="G2243" i="6"/>
  <c r="G2318" i="6"/>
  <c r="G2144" i="6"/>
  <c r="G718" i="6"/>
  <c r="G1002" i="6"/>
  <c r="G975" i="6"/>
  <c r="G1144" i="6"/>
  <c r="G1617" i="6"/>
  <c r="G1601" i="6"/>
  <c r="G2064" i="6"/>
  <c r="G1621" i="6"/>
  <c r="G1334" i="6"/>
  <c r="G254" i="6"/>
  <c r="G826" i="6"/>
  <c r="G1236" i="6"/>
  <c r="G1003" i="6"/>
  <c r="G1121" i="6"/>
  <c r="G1117" i="6"/>
  <c r="G1225" i="6"/>
  <c r="G1752" i="6"/>
  <c r="G1831" i="6"/>
  <c r="G1988" i="6"/>
  <c r="G248" i="6"/>
  <c r="G327" i="6"/>
  <c r="G782" i="6"/>
  <c r="G1108" i="6"/>
  <c r="G2305" i="6"/>
  <c r="G1354" i="6"/>
  <c r="G2036" i="6"/>
  <c r="G1747" i="6"/>
  <c r="G403" i="6"/>
  <c r="G2204" i="6"/>
  <c r="G2079" i="6"/>
  <c r="G1890" i="6"/>
  <c r="G1595" i="6"/>
  <c r="G382" i="6"/>
  <c r="G904" i="6"/>
  <c r="G2202" i="6"/>
  <c r="G2345" i="6"/>
  <c r="G1740" i="6"/>
  <c r="G1426" i="6"/>
  <c r="G199" i="6"/>
  <c r="G2012" i="6"/>
  <c r="G1903" i="6"/>
  <c r="G354" i="6"/>
  <c r="G1259" i="6"/>
  <c r="G1966" i="6"/>
  <c r="G2346" i="6"/>
  <c r="G420" i="6"/>
  <c r="G1437" i="6"/>
  <c r="G1979" i="6"/>
  <c r="G979" i="6"/>
  <c r="G1609" i="6"/>
  <c r="G196" i="6"/>
  <c r="G2197" i="6"/>
  <c r="G1086" i="6"/>
  <c r="G1812" i="6"/>
  <c r="G1338" i="6"/>
  <c r="G244" i="6"/>
  <c r="G266" i="6"/>
  <c r="G1278" i="6"/>
  <c r="G1120" i="6"/>
  <c r="G1289" i="6"/>
  <c r="G1149" i="6"/>
  <c r="G1448" i="6"/>
  <c r="G344" i="6"/>
  <c r="G761" i="6"/>
  <c r="G2335" i="6"/>
  <c r="G2146" i="6"/>
  <c r="G518" i="6"/>
  <c r="G514" i="6"/>
  <c r="G677" i="6"/>
  <c r="G363" i="6"/>
  <c r="G638" i="6"/>
  <c r="G1176" i="6"/>
  <c r="G637" i="6"/>
  <c r="G1809" i="6"/>
  <c r="G211" i="6"/>
  <c r="G1996" i="6"/>
  <c r="G1698" i="6"/>
  <c r="G2159" i="6"/>
  <c r="G1970" i="6"/>
  <c r="G1952" i="6"/>
  <c r="G799" i="6"/>
  <c r="G214" i="6"/>
  <c r="G1563" i="6"/>
  <c r="G2225" i="6"/>
  <c r="G1798" i="6"/>
  <c r="G203" i="6"/>
  <c r="G478" i="6"/>
  <c r="G377" i="6"/>
  <c r="G240" i="6"/>
  <c r="G760" i="6"/>
  <c r="G2184" i="6"/>
  <c r="G2155" i="6"/>
  <c r="G228" i="6"/>
  <c r="G286" i="6"/>
  <c r="G500" i="6"/>
  <c r="G1693" i="6"/>
  <c r="G1251" i="6"/>
  <c r="G452" i="6"/>
  <c r="G1067" i="6"/>
  <c r="G1185" i="6"/>
  <c r="G1594" i="6"/>
  <c r="G1977" i="6"/>
  <c r="G27" i="6"/>
  <c r="G145" i="6"/>
  <c r="G538" i="6"/>
  <c r="G2176" i="6"/>
  <c r="G1661" i="6"/>
  <c r="G1203" i="6"/>
  <c r="G1544" i="6"/>
  <c r="G1767" i="6"/>
  <c r="G2040" i="6"/>
  <c r="G1092" i="6"/>
  <c r="G1942" i="6"/>
  <c r="G814" i="6"/>
  <c r="G1098" i="6"/>
  <c r="G1716" i="6"/>
  <c r="G1917" i="6"/>
  <c r="G1128" i="6"/>
  <c r="G1862" i="6"/>
  <c r="G1840" i="6"/>
  <c r="G1994" i="6"/>
  <c r="G1461" i="6"/>
  <c r="G1673" i="6"/>
  <c r="G1469" i="6"/>
  <c r="G125" i="6"/>
  <c r="G2139" i="6"/>
  <c r="G2138" i="6"/>
  <c r="G1772" i="6"/>
  <c r="G1458" i="6"/>
  <c r="G1444" i="6"/>
  <c r="G255" i="6"/>
  <c r="G1454" i="6"/>
  <c r="G1931" i="6"/>
  <c r="G1780" i="6"/>
  <c r="G1053" i="6"/>
  <c r="G2296" i="6"/>
  <c r="G1496" i="6"/>
  <c r="G359" i="6"/>
  <c r="G798" i="6"/>
  <c r="G1188" i="6"/>
  <c r="G1118" i="6"/>
  <c r="G961" i="6"/>
  <c r="G1860" i="6"/>
  <c r="G1370" i="6"/>
  <c r="G2088" i="6"/>
  <c r="G2076" i="6"/>
  <c r="G1432" i="6"/>
  <c r="G26" i="6"/>
  <c r="G720" i="6"/>
  <c r="G893" i="6"/>
  <c r="G2244" i="6"/>
  <c r="G2326" i="6"/>
  <c r="G1036" i="6"/>
  <c r="G706" i="6"/>
  <c r="G1713" i="6"/>
  <c r="G195" i="6"/>
  <c r="G1525" i="6"/>
  <c r="G134" i="6"/>
  <c r="G1467" i="6"/>
  <c r="G2336" i="6"/>
  <c r="G1725" i="6"/>
  <c r="G272" i="6"/>
  <c r="G920" i="6"/>
  <c r="G381" i="6"/>
  <c r="G1904" i="6"/>
  <c r="G1835" i="6"/>
  <c r="G1208" i="6"/>
  <c r="G1953" i="6"/>
  <c r="G243" i="6"/>
  <c r="G2028" i="6"/>
  <c r="G1919" i="6"/>
  <c r="G1730" i="6"/>
  <c r="G732" i="6"/>
  <c r="G527" i="6"/>
  <c r="G370" i="6"/>
  <c r="G2122" i="6"/>
  <c r="G1998" i="6"/>
  <c r="G1984" i="6"/>
  <c r="G1393" i="6"/>
  <c r="G586" i="6"/>
  <c r="G1169" i="6"/>
  <c r="G2331" i="6"/>
  <c r="G886" i="6"/>
  <c r="G63" i="6"/>
  <c r="G1047" i="6"/>
  <c r="G1102" i="6"/>
  <c r="G1566" i="6"/>
  <c r="G918" i="6"/>
  <c r="G30" i="6"/>
  <c r="G1738" i="6"/>
  <c r="G1950" i="6"/>
  <c r="G2323" i="6"/>
  <c r="G1866" i="6"/>
  <c r="G811" i="6"/>
  <c r="G1099" i="6"/>
  <c r="G1217" i="6"/>
  <c r="G1626" i="6"/>
  <c r="G1622" i="6"/>
  <c r="G260" i="6"/>
  <c r="G1441" i="6"/>
  <c r="G842" i="6"/>
  <c r="G850" i="6"/>
  <c r="G317" i="6"/>
  <c r="G302" i="6"/>
  <c r="G1213" i="6"/>
  <c r="G1424" i="6"/>
  <c r="G855" i="6"/>
  <c r="G857" i="6"/>
  <c r="G406" i="6"/>
  <c r="G890" i="6"/>
  <c r="G245" i="6"/>
  <c r="G230" i="6"/>
  <c r="G540" i="6"/>
  <c r="G585" i="6"/>
  <c r="G54" i="6"/>
  <c r="G1430" i="6"/>
  <c r="G318" i="6"/>
  <c r="G287" i="6"/>
  <c r="G2291" i="6"/>
  <c r="G1421" i="6"/>
  <c r="G963" i="6"/>
  <c r="G1250" i="6"/>
  <c r="G678" i="6"/>
  <c r="G957" i="6"/>
  <c r="G483" i="6"/>
  <c r="G1245" i="6"/>
  <c r="G962" i="6"/>
  <c r="G1146" i="6"/>
  <c r="G2260" i="6"/>
  <c r="G517" i="6"/>
  <c r="G501" i="6"/>
  <c r="G38" i="6"/>
  <c r="G2126" i="6"/>
  <c r="G326" i="6"/>
  <c r="G2022" i="6"/>
  <c r="G361" i="6"/>
  <c r="G2235" i="6"/>
  <c r="G346" i="6"/>
  <c r="G1280" i="6"/>
  <c r="G1229" i="6"/>
  <c r="G1219" i="6"/>
  <c r="G739" i="6"/>
  <c r="G1043" i="6"/>
  <c r="G1456" i="6"/>
  <c r="G1704" i="6"/>
  <c r="G1407" i="6"/>
  <c r="G1218" i="6"/>
  <c r="G236" i="6"/>
  <c r="G1993" i="6"/>
  <c r="G1418" i="6"/>
  <c r="G2279" i="6"/>
  <c r="G581" i="6"/>
  <c r="G911" i="6"/>
  <c r="G899" i="6"/>
  <c r="G310" i="6"/>
  <c r="G2322" i="6"/>
  <c r="G60" i="6"/>
  <c r="G571" i="6"/>
  <c r="G846" i="6"/>
  <c r="G849" i="6"/>
  <c r="G2100" i="6"/>
  <c r="G1257" i="6"/>
  <c r="G480" i="6"/>
  <c r="G2267" i="6"/>
  <c r="G256" i="6"/>
  <c r="G421" i="6"/>
  <c r="G447" i="6"/>
  <c r="G2014" i="6"/>
  <c r="G756" i="6"/>
  <c r="G1485" i="6"/>
  <c r="G1757" i="6"/>
  <c r="G413" i="6"/>
  <c r="G1663" i="6"/>
  <c r="G1030" i="6"/>
  <c r="G78" i="6"/>
  <c r="G2313" i="6"/>
  <c r="G2293" i="6"/>
  <c r="G919" i="6"/>
  <c r="G1183" i="6"/>
  <c r="G566" i="6"/>
  <c r="G649" i="6"/>
  <c r="G966" i="6"/>
  <c r="G1134" i="6"/>
  <c r="G345" i="6"/>
  <c r="G1262" i="6"/>
  <c r="G680" i="6"/>
  <c r="G747" i="6"/>
  <c r="G1795" i="6"/>
  <c r="G1781" i="6"/>
  <c r="G1755" i="6"/>
  <c r="G528" i="6"/>
  <c r="G1905" i="6"/>
  <c r="G184" i="6"/>
  <c r="G2175" i="6"/>
  <c r="G2262" i="6"/>
  <c r="G246" i="6"/>
  <c r="G1685" i="6"/>
  <c r="G1364" i="6"/>
  <c r="G1387" i="6"/>
  <c r="G1473" i="6"/>
  <c r="G2266" i="6"/>
  <c r="G1912" i="6"/>
  <c r="G140" i="6"/>
  <c r="G1095" i="6"/>
  <c r="G960" i="6"/>
  <c r="G2263" i="6"/>
  <c r="G2292" i="6"/>
  <c r="G309" i="6"/>
  <c r="G713" i="6"/>
  <c r="G434" i="6"/>
  <c r="G429" i="6"/>
  <c r="G1457" i="6"/>
  <c r="G1675" i="6"/>
  <c r="G2324" i="6"/>
  <c r="G299" i="6"/>
  <c r="G858" i="6"/>
  <c r="G851" i="6"/>
  <c r="G2350" i="6"/>
  <c r="G1300" i="6"/>
  <c r="G1290" i="6"/>
  <c r="G1820" i="6"/>
  <c r="G1522" i="6"/>
  <c r="G995" i="6"/>
  <c r="G175" i="6"/>
  <c r="G2099" i="6"/>
  <c r="G2168" i="6"/>
  <c r="G185" i="6"/>
  <c r="G157" i="6"/>
  <c r="G190" i="6"/>
  <c r="G1516" i="6"/>
  <c r="G806" i="6"/>
  <c r="G2363" i="6"/>
  <c r="G809" i="6"/>
  <c r="G52" i="6"/>
  <c r="G789" i="6"/>
  <c r="G773" i="6"/>
  <c r="G2330" i="6"/>
  <c r="G2317" i="6"/>
  <c r="G738" i="6"/>
  <c r="G582" i="6"/>
  <c r="G889" i="6"/>
  <c r="G673" i="6"/>
  <c r="G2132" i="6"/>
  <c r="G1748" i="6"/>
  <c r="G1933" i="6"/>
  <c r="G1507" i="6"/>
  <c r="G2092" i="6"/>
  <c r="G1778" i="6"/>
  <c r="G1267" i="6"/>
  <c r="G197" i="6"/>
  <c r="G618" i="6"/>
  <c r="G169" i="6"/>
  <c r="G16" i="6"/>
  <c r="G441" i="6"/>
  <c r="G304" i="6"/>
  <c r="G952" i="6"/>
  <c r="G1968" i="6"/>
  <c r="G1788" i="6"/>
  <c r="G492" i="6"/>
  <c r="G130" i="6"/>
  <c r="G1674" i="6"/>
  <c r="G1061" i="6"/>
  <c r="G202" i="6"/>
  <c r="G1324" i="6"/>
  <c r="G1026" i="6"/>
  <c r="G44" i="6"/>
  <c r="G316" i="6"/>
  <c r="G2298" i="6"/>
  <c r="G1239" i="6"/>
  <c r="G977" i="6"/>
  <c r="G1059" i="6"/>
  <c r="G712" i="6"/>
  <c r="G173" i="6"/>
  <c r="G1488" i="6"/>
  <c r="G2344" i="6"/>
  <c r="G1864" i="6"/>
  <c r="G1532" i="6"/>
  <c r="G1423" i="6"/>
  <c r="G1234" i="6"/>
  <c r="G1655" i="6"/>
  <c r="G907" i="6"/>
  <c r="G1230" i="6"/>
  <c r="G1025" i="6"/>
  <c r="G1721" i="6"/>
  <c r="G1010" i="6"/>
  <c r="G2117" i="6"/>
  <c r="G1893" i="6"/>
  <c r="G2101" i="6"/>
  <c r="G2081" i="6"/>
  <c r="G1306" i="6"/>
  <c r="G264" i="6"/>
  <c r="G261" i="6"/>
  <c r="G2255" i="6"/>
  <c r="G927" i="6"/>
  <c r="G1271" i="6"/>
  <c r="G1231" i="6"/>
  <c r="G598" i="6"/>
  <c r="G1065" i="6"/>
  <c r="G471" i="6"/>
  <c r="G1784" i="6"/>
  <c r="G2066" i="6"/>
  <c r="G770" i="6"/>
  <c r="G1356" i="6"/>
  <c r="G1058" i="6"/>
  <c r="G76" i="6"/>
  <c r="G1992" i="6"/>
  <c r="G1037" i="6"/>
  <c r="G2236" i="6"/>
  <c r="G497" i="6"/>
  <c r="G938" i="6"/>
  <c r="G2201" i="6"/>
  <c r="G576" i="6"/>
  <c r="G2097" i="6"/>
  <c r="G1819" i="6"/>
  <c r="G118" i="6"/>
  <c r="G1711" i="6"/>
  <c r="G277" i="6"/>
  <c r="G1302" i="6"/>
  <c r="G238" i="6"/>
  <c r="G1401" i="6"/>
  <c r="G1487" i="6"/>
  <c r="G1480" i="6"/>
  <c r="G55" i="6"/>
  <c r="G1759" i="6"/>
  <c r="G1510" i="6"/>
  <c r="G1049" i="6"/>
  <c r="G1614" i="6"/>
  <c r="G998" i="6"/>
  <c r="G1309" i="6"/>
  <c r="G68" i="6"/>
  <c r="G2053" i="6"/>
  <c r="G651" i="6"/>
  <c r="G1194" i="6"/>
  <c r="G1945" i="6"/>
  <c r="G2285" i="6"/>
  <c r="G1875" i="6"/>
  <c r="G1005" i="6"/>
  <c r="G531" i="6"/>
  <c r="G2332" i="6"/>
  <c r="G2018" i="6"/>
  <c r="G1303" i="6"/>
  <c r="G325" i="6"/>
  <c r="G235" i="6"/>
  <c r="G1032" i="6"/>
  <c r="G83" i="6"/>
  <c r="G2299" i="6"/>
  <c r="G2286" i="6"/>
  <c r="G340" i="6"/>
  <c r="G2078" i="6"/>
  <c r="G2085" i="6"/>
  <c r="G1517" i="6"/>
  <c r="G1964" i="6"/>
  <c r="G634" i="6"/>
  <c r="G2046" i="6"/>
  <c r="G1476" i="6"/>
  <c r="G473" i="6"/>
  <c r="G1773" i="6"/>
  <c r="G1804" i="6"/>
  <c r="G1506" i="6"/>
  <c r="G1499" i="6"/>
  <c r="G1163" i="6"/>
  <c r="G1340" i="6"/>
  <c r="G1215" i="6"/>
  <c r="G1628" i="6"/>
  <c r="G1619" i="6"/>
  <c r="G982" i="6"/>
  <c r="G332" i="6"/>
  <c r="G111" i="6"/>
  <c r="G2011" i="6"/>
  <c r="G1367" i="6"/>
  <c r="G875" i="6"/>
  <c r="G1166" i="6"/>
  <c r="G993" i="6"/>
  <c r="G120" i="6"/>
  <c r="G2182" i="6"/>
  <c r="G654" i="6"/>
  <c r="G1351" i="6"/>
  <c r="G1908" i="6"/>
  <c r="G2029" i="6"/>
  <c r="G1603" i="6"/>
  <c r="G701" i="6"/>
  <c r="G275" i="6"/>
  <c r="G1762" i="6"/>
  <c r="G1451" i="6"/>
  <c r="G1681" i="6"/>
  <c r="G53" i="6"/>
  <c r="G2219" i="6"/>
  <c r="G776" i="6"/>
  <c r="G1298" i="6"/>
  <c r="G1884" i="6"/>
  <c r="G1131" i="6"/>
  <c r="G1658" i="6"/>
  <c r="G2250" i="6"/>
  <c r="G2357" i="6"/>
  <c r="G1561" i="6"/>
  <c r="G2072" i="6"/>
  <c r="G2277" i="6"/>
  <c r="G942" i="6"/>
  <c r="G1207" i="6"/>
  <c r="G1482" i="6"/>
  <c r="G1474" i="6"/>
  <c r="G138" i="6"/>
  <c r="G848" i="6"/>
  <c r="G862" i="6"/>
  <c r="G1896" i="6"/>
  <c r="G1447" i="6"/>
  <c r="G390" i="6"/>
  <c r="G999" i="6"/>
  <c r="G549" i="6"/>
  <c r="G1846" i="6"/>
  <c r="G510" i="6"/>
  <c r="G509" i="6"/>
  <c r="G2160" i="6"/>
  <c r="G481" i="6"/>
  <c r="G621" i="6"/>
  <c r="G150" i="6"/>
  <c r="G1483" i="6"/>
  <c r="G1470" i="6"/>
  <c r="G948" i="6"/>
  <c r="G1857" i="6"/>
  <c r="G2048" i="6"/>
  <c r="G431" i="6"/>
  <c r="G1584" i="6"/>
  <c r="G1333" i="6"/>
  <c r="G1341" i="6"/>
  <c r="G1881" i="6"/>
  <c r="G867" i="6"/>
  <c r="G839" i="6"/>
  <c r="G536" i="6"/>
  <c r="G808" i="6"/>
  <c r="G1680" i="6"/>
  <c r="G1753" i="6"/>
  <c r="G1193" i="6"/>
  <c r="G1644" i="6"/>
  <c r="G1519" i="6"/>
  <c r="G1330" i="6"/>
  <c r="G348" i="6"/>
  <c r="G127" i="6"/>
  <c r="G891" i="6"/>
  <c r="G1198" i="6"/>
  <c r="G1038" i="6"/>
  <c r="G944" i="6"/>
  <c r="G737" i="6"/>
  <c r="G757" i="6"/>
  <c r="G422" i="6"/>
  <c r="G1771" i="6"/>
  <c r="G1543" i="6"/>
  <c r="G395" i="6"/>
  <c r="G670" i="6"/>
  <c r="G513" i="6"/>
  <c r="G916" i="6"/>
  <c r="G683" i="6"/>
  <c r="G974" i="6"/>
  <c r="G1335" i="6"/>
  <c r="G1770" i="6"/>
  <c r="G2045" i="6"/>
  <c r="G1635" i="6"/>
  <c r="G1627" i="6"/>
  <c r="G717" i="6"/>
  <c r="G2161" i="6"/>
  <c r="G291" i="6"/>
  <c r="G2070" i="6"/>
  <c r="G908" i="6"/>
  <c r="G562" i="6"/>
  <c r="G1605" i="6"/>
  <c r="G1381" i="6"/>
  <c r="G281" i="6"/>
  <c r="G1597" i="6"/>
  <c r="G128" i="6"/>
  <c r="G792" i="6"/>
  <c r="G253" i="6"/>
  <c r="G1648" i="6"/>
  <c r="G1639" i="6"/>
  <c r="G1577" i="6"/>
  <c r="G2224" i="6"/>
  <c r="G115" i="6"/>
  <c r="G71" i="6"/>
  <c r="G1900" i="6"/>
  <c r="G1775" i="6"/>
  <c r="G1602" i="6"/>
  <c r="G1542" i="6"/>
  <c r="G399" i="6"/>
  <c r="G1241" i="6"/>
  <c r="G1726" i="6"/>
  <c r="G813" i="6"/>
  <c r="G371" i="6"/>
  <c r="G2047" i="6"/>
  <c r="G1858" i="6"/>
  <c r="G2006" i="6"/>
  <c r="G876" i="6"/>
  <c r="G655" i="6"/>
  <c r="G530" i="6"/>
  <c r="G102" i="6"/>
  <c r="G1435" i="6"/>
  <c r="G2254" i="6"/>
  <c r="G2220" i="6"/>
  <c r="G2095" i="6"/>
  <c r="G1906" i="6"/>
  <c r="G1395" i="6"/>
  <c r="G341" i="6"/>
  <c r="G1894" i="6"/>
  <c r="G780" i="6"/>
  <c r="G778" i="6"/>
  <c r="G754" i="6"/>
  <c r="G2096" i="6"/>
  <c r="G1172" i="6"/>
  <c r="G297" i="6"/>
  <c r="G1613" i="6"/>
  <c r="G144" i="6"/>
  <c r="G1155" i="6"/>
  <c r="G841" i="6"/>
  <c r="G830" i="6"/>
  <c r="G1885" i="6"/>
  <c r="G1080" i="6"/>
  <c r="G557" i="6"/>
  <c r="G1270" i="6"/>
  <c r="G1995" i="6"/>
  <c r="G222" i="6"/>
  <c r="G81" i="6"/>
  <c r="G436" i="6"/>
  <c r="G34" i="6"/>
  <c r="G2288" i="6"/>
  <c r="G131" i="6"/>
  <c r="G87" i="6"/>
  <c r="G1916" i="6"/>
  <c r="G1807" i="6"/>
  <c r="G1618" i="6"/>
  <c r="G1574" i="6"/>
  <c r="G620" i="6"/>
  <c r="G415" i="6"/>
  <c r="G258" i="6"/>
  <c r="G1593" i="6"/>
  <c r="G1676" i="6"/>
  <c r="G1551" i="6"/>
  <c r="G1362" i="6"/>
  <c r="G1672" i="6"/>
  <c r="G1662" i="6"/>
  <c r="G1035" i="6"/>
  <c r="G1486" i="6"/>
  <c r="G1153" i="6"/>
  <c r="G2123" i="6"/>
  <c r="G1138" i="6"/>
  <c r="G329" i="6"/>
  <c r="G1645" i="6"/>
  <c r="G192" i="6"/>
  <c r="G1187" i="6"/>
  <c r="G840" i="6"/>
  <c r="G301" i="6"/>
  <c r="G1744" i="6"/>
  <c r="G2121" i="6"/>
  <c r="G1264" i="6"/>
  <c r="G2215" i="6"/>
  <c r="G252" i="6"/>
  <c r="G15" i="6"/>
  <c r="G2153" i="6"/>
  <c r="G768" i="6"/>
  <c r="G2258" i="6"/>
  <c r="G1854" i="6"/>
  <c r="G1632" i="6"/>
  <c r="G2275" i="6"/>
  <c r="G1405" i="6"/>
  <c r="G2074" i="6"/>
  <c r="G600" i="6"/>
  <c r="G61" i="6"/>
  <c r="G1292" i="6"/>
  <c r="G994" i="6"/>
  <c r="G743" i="6"/>
  <c r="G451" i="6"/>
  <c r="G282" i="6"/>
  <c r="G1326" i="6"/>
  <c r="G1152" i="6"/>
  <c r="G1449" i="6"/>
  <c r="G1165" i="6"/>
  <c r="G1624" i="6"/>
  <c r="G1623" i="6"/>
  <c r="G675" i="6"/>
  <c r="G232" i="6"/>
  <c r="G2348" i="6"/>
  <c r="G2223" i="6"/>
  <c r="G2034" i="6"/>
  <c r="G512" i="6"/>
  <c r="G1539" i="6"/>
  <c r="G1033" i="6"/>
  <c r="G1386" i="6"/>
  <c r="G1656" i="6"/>
  <c r="G20" i="6"/>
  <c r="G42" i="6"/>
  <c r="G2189" i="6"/>
  <c r="G736" i="6"/>
  <c r="G1779" i="6"/>
  <c r="G1272" i="6"/>
  <c r="G733" i="6"/>
  <c r="G2209" i="6"/>
  <c r="G307" i="6"/>
  <c r="G1537" i="6"/>
  <c r="G1396" i="6"/>
  <c r="G587" i="6"/>
  <c r="G878" i="6"/>
  <c r="G689" i="6"/>
  <c r="G1130" i="6"/>
  <c r="G2180" i="6"/>
  <c r="G2212" i="6"/>
  <c r="G39" i="6"/>
  <c r="G1868" i="6"/>
  <c r="G1743" i="6"/>
  <c r="G1570" i="6"/>
  <c r="G40" i="6"/>
  <c r="G2031" i="6"/>
  <c r="G1842" i="6"/>
  <c r="G1974" i="6"/>
  <c r="G860" i="6"/>
  <c r="G639" i="6"/>
  <c r="G498" i="6"/>
  <c r="G86" i="6"/>
  <c r="G1419" i="6"/>
  <c r="G2222" i="6"/>
  <c r="G1494" i="6"/>
  <c r="G75" i="6"/>
  <c r="G350" i="6"/>
  <c r="G193" i="6"/>
  <c r="G548" i="6"/>
  <c r="G249" i="6"/>
  <c r="G1565" i="6"/>
  <c r="G96" i="6"/>
  <c r="G1107" i="6"/>
  <c r="G2091" i="6"/>
  <c r="G324" i="6"/>
  <c r="G1142" i="6"/>
  <c r="G2341" i="6"/>
  <c r="G632" i="6"/>
  <c r="G93" i="6"/>
  <c r="G1879" i="6"/>
  <c r="G939" i="6"/>
  <c r="G1294" i="6"/>
  <c r="G1057" i="6"/>
  <c r="G2025" i="6"/>
  <c r="G1466" i="6"/>
  <c r="G1337" i="6"/>
  <c r="G505" i="6"/>
  <c r="G100" i="6"/>
  <c r="G1930" i="6"/>
  <c r="G142" i="6"/>
  <c r="G394" i="6"/>
  <c r="G1376" i="6"/>
  <c r="G2147" i="6"/>
  <c r="G2075" i="6"/>
  <c r="G1277" i="6"/>
  <c r="G1177" i="6"/>
  <c r="G787" i="6"/>
  <c r="G472" i="6"/>
  <c r="G1024" i="6"/>
  <c r="G1255" i="6"/>
  <c r="G662" i="6"/>
  <c r="G124" i="6"/>
  <c r="G1657" i="6"/>
  <c r="G601" i="6"/>
  <c r="G2239" i="6"/>
  <c r="G2050" i="6"/>
  <c r="G805" i="6"/>
  <c r="G597" i="6"/>
  <c r="G295" i="6"/>
  <c r="G507" i="6"/>
  <c r="G766" i="6"/>
  <c r="G1304" i="6"/>
  <c r="G765" i="6"/>
  <c r="G2353" i="6"/>
  <c r="G339" i="6"/>
  <c r="G24" i="6"/>
  <c r="G2140" i="6"/>
  <c r="G2015" i="6"/>
  <c r="G1826" i="6"/>
  <c r="G296" i="6"/>
  <c r="G2120" i="6"/>
  <c r="G2287" i="6"/>
  <c r="G2098" i="6"/>
  <c r="G375" i="6"/>
  <c r="G1116" i="6"/>
  <c r="G959" i="6"/>
  <c r="G802" i="6"/>
  <c r="G358" i="6"/>
  <c r="G697" i="6"/>
  <c r="G1821" i="6"/>
  <c r="G368" i="6"/>
  <c r="G1379" i="6"/>
  <c r="G225" i="6"/>
  <c r="G580" i="6"/>
  <c r="G1707" i="6"/>
  <c r="G2276" i="6"/>
  <c r="G1031" i="6"/>
  <c r="G2086" i="6"/>
  <c r="G331" i="6"/>
  <c r="G449" i="6"/>
  <c r="G2119" i="6"/>
  <c r="G2217" i="6"/>
  <c r="G156" i="6"/>
  <c r="G2041" i="6"/>
  <c r="G1097" i="6"/>
  <c r="G631" i="6"/>
  <c r="G958" i="6"/>
  <c r="G769" i="6"/>
  <c r="G1508" i="6"/>
  <c r="G971" i="6"/>
  <c r="G1342" i="6"/>
  <c r="G1089" i="6"/>
  <c r="G1802" i="6"/>
  <c r="G1498" i="6"/>
  <c r="G953" i="6"/>
  <c r="G154" i="6"/>
  <c r="G880" i="6"/>
  <c r="G1891" i="6"/>
  <c r="G1021" i="6"/>
  <c r="G1575" i="6"/>
  <c r="G547" i="6"/>
  <c r="G1023" i="6"/>
  <c r="G866" i="6"/>
  <c r="G2289" i="6"/>
  <c r="G1861" i="6"/>
  <c r="G1653" i="6"/>
  <c r="G278" i="6"/>
  <c r="G2257" i="6"/>
  <c r="G1853" i="6"/>
  <c r="G400" i="6"/>
  <c r="G1411" i="6"/>
  <c r="G1048" i="6"/>
  <c r="G525" i="6"/>
  <c r="G99" i="6"/>
  <c r="G1336" i="6"/>
  <c r="G1585" i="6"/>
  <c r="G1557" i="6"/>
  <c r="G746" i="6"/>
  <c r="G2206" i="6"/>
  <c r="G1028" i="6"/>
  <c r="G1297" i="6"/>
  <c r="H2320" i="6"/>
  <c r="H480" i="6"/>
  <c r="H1435" i="6"/>
  <c r="E234" i="11" l="1"/>
  <c r="E24" i="11"/>
  <c r="E362" i="11"/>
  <c r="E345" i="11"/>
  <c r="E134" i="11"/>
  <c r="E2353" i="6" l="1"/>
  <c r="E2352" i="6"/>
  <c r="E2363" i="6"/>
  <c r="E2350" i="6"/>
  <c r="E2362" i="6"/>
  <c r="E2349" i="6"/>
  <c r="E1435" i="6"/>
  <c r="E2361" i="6"/>
  <c r="E2360" i="6"/>
  <c r="E2359" i="6"/>
  <c r="E2358" i="6"/>
  <c r="E2357" i="6"/>
  <c r="E2355" i="6"/>
  <c r="E2356" i="6"/>
  <c r="E2354" i="6"/>
  <c r="E2365" i="6"/>
  <c r="E2364" i="6"/>
  <c r="E2351" i="6"/>
  <c r="E2366" i="6"/>
  <c r="E480" i="6"/>
  <c r="E2320" i="6"/>
  <c r="D320" i="10" l="1"/>
  <c r="G320" i="10"/>
  <c r="D321" i="10"/>
  <c r="G321" i="10"/>
  <c r="D322" i="10"/>
  <c r="G322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5" i="10"/>
  <c r="G206" i="10"/>
  <c r="G207" i="10"/>
  <c r="G208" i="10"/>
  <c r="G209" i="10"/>
  <c r="G210" i="10"/>
  <c r="G211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8" i="10"/>
  <c r="G309" i="10"/>
  <c r="G310" i="10"/>
  <c r="G312" i="10"/>
  <c r="G313" i="10"/>
  <c r="G314" i="10"/>
  <c r="G315" i="10"/>
  <c r="G316" i="10"/>
  <c r="G317" i="10"/>
  <c r="G318" i="10"/>
  <c r="G319" i="10"/>
  <c r="G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5" i="10"/>
  <c r="J1" i="16" l="1"/>
  <c r="K1" i="16" s="1"/>
  <c r="L1" i="16" s="1"/>
  <c r="M1" i="16" s="1"/>
  <c r="N1" i="16" s="1"/>
  <c r="E11" i="6"/>
  <c r="E12" i="6"/>
  <c r="E13" i="6"/>
  <c r="E14" i="6"/>
  <c r="E15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410" i="6"/>
  <c r="E414" i="6"/>
  <c r="E416" i="6"/>
  <c r="E457" i="6"/>
  <c r="E615" i="6"/>
  <c r="E656" i="6"/>
  <c r="E753" i="6"/>
  <c r="E802" i="6"/>
  <c r="E805" i="6"/>
  <c r="E885" i="6"/>
  <c r="E888" i="6"/>
  <c r="E929" i="6"/>
  <c r="E1026" i="6"/>
  <c r="E1034" i="6"/>
  <c r="E1037" i="6"/>
  <c r="E1099" i="6"/>
  <c r="E1103" i="6"/>
  <c r="E1107" i="6"/>
  <c r="E1111" i="6"/>
  <c r="E1115" i="6"/>
  <c r="E1119" i="6"/>
  <c r="E1123" i="6"/>
  <c r="E1127" i="6"/>
  <c r="E1131" i="6"/>
  <c r="E1135" i="6"/>
  <c r="E1139" i="6"/>
  <c r="E1143" i="6"/>
  <c r="E1147" i="6"/>
  <c r="E1151" i="6"/>
  <c r="E1155" i="6"/>
  <c r="E1159" i="6"/>
  <c r="E1163" i="6"/>
  <c r="E1167" i="6"/>
  <c r="E1171" i="6"/>
  <c r="E1175" i="6"/>
  <c r="E1179" i="6"/>
  <c r="E1183" i="6"/>
  <c r="E1187" i="6"/>
  <c r="E1191" i="6"/>
  <c r="E1397" i="6"/>
  <c r="E1399" i="6"/>
  <c r="E1420" i="6"/>
  <c r="E1540" i="6"/>
  <c r="E1751" i="6"/>
  <c r="E2017" i="6"/>
  <c r="E2021" i="6"/>
  <c r="E2025" i="6"/>
  <c r="E2029" i="6"/>
  <c r="E2033" i="6"/>
  <c r="E2037" i="6"/>
  <c r="E2041" i="6"/>
  <c r="E2045" i="6"/>
  <c r="E2049" i="6"/>
  <c r="E2053" i="6"/>
  <c r="E2057" i="6"/>
  <c r="E2061" i="6"/>
  <c r="E2062" i="6"/>
  <c r="E2070" i="6"/>
  <c r="E2067" i="6"/>
  <c r="E2074" i="6"/>
  <c r="E2078" i="6"/>
  <c r="E2082" i="6"/>
  <c r="E2086" i="6"/>
  <c r="E2090" i="6"/>
  <c r="E2094" i="6"/>
  <c r="E2098" i="6"/>
  <c r="E2099" i="6"/>
  <c r="E2107" i="6"/>
  <c r="E2111" i="6"/>
  <c r="E2115" i="6"/>
  <c r="E2119" i="6"/>
  <c r="E2123" i="6"/>
  <c r="E2127" i="6"/>
  <c r="E2131" i="6"/>
  <c r="E2135" i="6"/>
  <c r="E2139" i="6"/>
  <c r="E2143" i="6"/>
  <c r="E2147" i="6"/>
  <c r="E2151" i="6"/>
  <c r="E2155" i="6"/>
  <c r="E2159" i="6"/>
  <c r="E2163" i="6"/>
  <c r="E2167" i="6"/>
  <c r="E2171" i="6"/>
  <c r="E2175" i="6"/>
  <c r="E2179" i="6"/>
  <c r="E2183" i="6"/>
  <c r="E2187" i="6"/>
  <c r="E2191" i="6"/>
  <c r="E2195" i="6"/>
  <c r="E2199" i="6"/>
  <c r="E2200" i="6"/>
  <c r="E2208" i="6"/>
  <c r="E2205" i="6"/>
  <c r="E2212" i="6"/>
  <c r="E2216" i="6"/>
  <c r="E2220" i="6"/>
  <c r="E2224" i="6"/>
  <c r="E2228" i="6"/>
  <c r="E2231" i="6"/>
  <c r="E2237" i="6"/>
  <c r="E2241" i="6"/>
  <c r="E2245" i="6"/>
  <c r="E2254" i="6"/>
  <c r="E2250" i="6"/>
  <c r="E2258" i="6"/>
  <c r="E2262" i="6"/>
  <c r="E2263" i="6"/>
  <c r="E2271" i="6"/>
  <c r="E2275" i="6"/>
  <c r="E2279" i="6"/>
  <c r="E2283" i="6"/>
  <c r="E2287" i="6"/>
  <c r="E2291" i="6"/>
  <c r="E2295" i="6"/>
  <c r="E2299" i="6"/>
  <c r="E2303" i="6"/>
  <c r="E2307" i="6"/>
  <c r="E2311" i="6"/>
  <c r="E2315" i="6"/>
  <c r="E2319" i="6"/>
  <c r="E2324" i="6"/>
  <c r="E2328" i="6"/>
  <c r="E2331" i="6"/>
  <c r="E2335" i="6"/>
  <c r="E2339" i="6"/>
  <c r="E2343" i="6"/>
  <c r="E2344" i="6"/>
  <c r="E2345" i="6"/>
  <c r="E2346" i="6"/>
  <c r="E2347" i="6"/>
  <c r="E2348" i="6"/>
  <c r="H2348" i="6"/>
  <c r="H2347" i="6"/>
  <c r="H2346" i="6"/>
  <c r="H2345" i="6"/>
  <c r="H2344" i="6"/>
  <c r="H2268" i="6"/>
  <c r="H2250" i="6"/>
  <c r="H2236" i="6"/>
  <c r="H2205" i="6"/>
  <c r="H2104" i="6"/>
  <c r="H2067" i="6"/>
  <c r="H1756" i="6"/>
  <c r="H1544" i="6"/>
  <c r="H1401" i="6"/>
  <c r="H1037" i="6"/>
  <c r="H1029" i="6"/>
  <c r="H932" i="6"/>
  <c r="H888" i="6"/>
  <c r="H756" i="6"/>
  <c r="H659" i="6"/>
  <c r="H618" i="6"/>
  <c r="H460" i="6"/>
  <c r="H416" i="6"/>
  <c r="H412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6" i="6"/>
  <c r="H1035" i="6"/>
  <c r="H1034" i="6"/>
  <c r="H1033" i="6"/>
  <c r="H1032" i="6"/>
  <c r="H1031" i="6"/>
  <c r="H1030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5" i="6"/>
  <c r="H414" i="6"/>
  <c r="H413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E10" i="6" l="1"/>
  <c r="E16" i="6"/>
  <c r="E2013" i="6"/>
  <c r="E2009" i="6"/>
  <c r="E2005" i="6"/>
  <c r="E2001" i="6"/>
  <c r="E1997" i="6"/>
  <c r="E1993" i="6"/>
  <c r="E1989" i="6"/>
  <c r="E1985" i="6"/>
  <c r="E1981" i="6"/>
  <c r="E1977" i="6"/>
  <c r="E1973" i="6"/>
  <c r="E1969" i="6"/>
  <c r="E1965" i="6"/>
  <c r="E1961" i="6"/>
  <c r="E1957" i="6"/>
  <c r="E1953" i="6"/>
  <c r="E1949" i="6"/>
  <c r="E1945" i="6"/>
  <c r="E1941" i="6"/>
  <c r="E1909" i="6"/>
  <c r="E1905" i="6"/>
  <c r="E1901" i="6"/>
  <c r="E1897" i="6"/>
  <c r="E1893" i="6"/>
  <c r="E1889" i="6"/>
  <c r="E1885" i="6"/>
  <c r="E1881" i="6"/>
  <c r="E1849" i="6"/>
  <c r="E1845" i="6"/>
  <c r="E1841" i="6"/>
  <c r="E1837" i="6"/>
  <c r="E1833" i="6"/>
  <c r="E1035" i="6"/>
  <c r="E803" i="6"/>
  <c r="E754" i="6"/>
  <c r="E799" i="6"/>
  <c r="E795" i="6"/>
  <c r="E791" i="6"/>
  <c r="E787" i="6"/>
  <c r="E783" i="6"/>
  <c r="E779" i="6"/>
  <c r="E775" i="6"/>
  <c r="E771" i="6"/>
  <c r="E767" i="6"/>
  <c r="E763" i="6"/>
  <c r="E759" i="6"/>
  <c r="E750" i="6"/>
  <c r="E746" i="6"/>
  <c r="E742" i="6"/>
  <c r="E738" i="6"/>
  <c r="E734" i="6"/>
  <c r="E730" i="6"/>
  <c r="E726" i="6"/>
  <c r="E722" i="6"/>
  <c r="E718" i="6"/>
  <c r="E714" i="6"/>
  <c r="E710" i="6"/>
  <c r="E706" i="6"/>
  <c r="E702" i="6"/>
  <c r="E698" i="6"/>
  <c r="E694" i="6"/>
  <c r="E690" i="6"/>
  <c r="E686" i="6"/>
  <c r="E682" i="6"/>
  <c r="E678" i="6"/>
  <c r="E674" i="6"/>
  <c r="E670" i="6"/>
  <c r="E666" i="6"/>
  <c r="E662" i="6"/>
  <c r="E653" i="6"/>
  <c r="E649" i="6"/>
  <c r="E645" i="6"/>
  <c r="E641" i="6"/>
  <c r="E637" i="6"/>
  <c r="E633" i="6"/>
  <c r="E629" i="6"/>
  <c r="E625" i="6"/>
  <c r="E621" i="6"/>
  <c r="E612" i="6"/>
  <c r="E608" i="6"/>
  <c r="E604" i="6"/>
  <c r="E600" i="6"/>
  <c r="E596" i="6"/>
  <c r="E592" i="6"/>
  <c r="E588" i="6"/>
  <c r="E584" i="6"/>
  <c r="E580" i="6"/>
  <c r="E576" i="6"/>
  <c r="E572" i="6"/>
  <c r="E568" i="6"/>
  <c r="E564" i="6"/>
  <c r="E560" i="6"/>
  <c r="E556" i="6"/>
  <c r="E552" i="6"/>
  <c r="E548" i="6"/>
  <c r="E544" i="6"/>
  <c r="E540" i="6"/>
  <c r="E536" i="6"/>
  <c r="E532" i="6"/>
  <c r="E528" i="6"/>
  <c r="E524" i="6"/>
  <c r="E520" i="6"/>
  <c r="E516" i="6"/>
  <c r="E512" i="6"/>
  <c r="E508" i="6"/>
  <c r="E504" i="6"/>
  <c r="E500" i="6"/>
  <c r="E496" i="6"/>
  <c r="E492" i="6"/>
  <c r="E488" i="6"/>
  <c r="E484" i="6"/>
  <c r="E479" i="6"/>
  <c r="E475" i="6"/>
  <c r="E471" i="6"/>
  <c r="E467" i="6"/>
  <c r="E463" i="6"/>
  <c r="E454" i="6"/>
  <c r="E450" i="6"/>
  <c r="E446" i="6"/>
  <c r="E442" i="6"/>
  <c r="E438" i="6"/>
  <c r="E434" i="6"/>
  <c r="E430" i="6"/>
  <c r="E426" i="6"/>
  <c r="E422" i="6"/>
  <c r="E415" i="6"/>
  <c r="E390" i="6"/>
  <c r="E386" i="6"/>
  <c r="E382" i="6"/>
  <c r="E378" i="6"/>
  <c r="E755" i="6"/>
  <c r="E658" i="6"/>
  <c r="E617" i="6"/>
  <c r="E459" i="6"/>
  <c r="E419" i="6"/>
  <c r="E1932" i="6"/>
  <c r="E1928" i="6"/>
  <c r="E1924" i="6"/>
  <c r="E1920" i="6"/>
  <c r="E1916" i="6"/>
  <c r="E1912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6" i="6"/>
  <c r="E1792" i="6"/>
  <c r="E1788" i="6"/>
  <c r="E1784" i="6"/>
  <c r="E1780" i="6"/>
  <c r="E1776" i="6"/>
  <c r="E1772" i="6"/>
  <c r="E1768" i="6"/>
  <c r="E1764" i="6"/>
  <c r="E1760" i="6"/>
  <c r="E1747" i="6"/>
  <c r="E1743" i="6"/>
  <c r="E1739" i="6"/>
  <c r="E1735" i="6"/>
  <c r="E1095" i="6"/>
  <c r="E1091" i="6"/>
  <c r="E1087" i="6"/>
  <c r="E1083" i="6"/>
  <c r="E1079" i="6"/>
  <c r="E1075" i="6"/>
  <c r="E1071" i="6"/>
  <c r="E1067" i="6"/>
  <c r="E1063" i="6"/>
  <c r="E1059" i="6"/>
  <c r="E1055" i="6"/>
  <c r="E1051" i="6"/>
  <c r="E1047" i="6"/>
  <c r="E1043" i="6"/>
  <c r="E1039" i="6"/>
  <c r="E1030" i="6"/>
  <c r="E1025" i="6"/>
  <c r="E1021" i="6"/>
  <c r="E1017" i="6"/>
  <c r="E1013" i="6"/>
  <c r="E1009" i="6"/>
  <c r="E1005" i="6"/>
  <c r="E1001" i="6"/>
  <c r="E997" i="6"/>
  <c r="E993" i="6"/>
  <c r="E989" i="6"/>
  <c r="E985" i="6"/>
  <c r="E981" i="6"/>
  <c r="E977" i="6"/>
  <c r="E973" i="6"/>
  <c r="E969" i="6"/>
  <c r="E965" i="6"/>
  <c r="E961" i="6"/>
  <c r="E957" i="6"/>
  <c r="E953" i="6"/>
  <c r="E1771" i="6"/>
  <c r="E1767" i="6"/>
  <c r="E1763" i="6"/>
  <c r="E1759" i="6"/>
  <c r="E1750" i="6"/>
  <c r="E1746" i="6"/>
  <c r="E1742" i="6"/>
  <c r="E1738" i="6"/>
  <c r="E1734" i="6"/>
  <c r="E1541" i="6"/>
  <c r="E789" i="6"/>
  <c r="E785" i="6"/>
  <c r="E773" i="6"/>
  <c r="E769" i="6"/>
  <c r="E765" i="6"/>
  <c r="E761" i="6"/>
  <c r="E757" i="6"/>
  <c r="E752" i="6"/>
  <c r="E748" i="6"/>
  <c r="E1057" i="6"/>
  <c r="E1053" i="6"/>
  <c r="E1049" i="6"/>
  <c r="E1032" i="6"/>
  <c r="E1023" i="6"/>
  <c r="E1019" i="6"/>
  <c r="E1015" i="6"/>
  <c r="E1011" i="6"/>
  <c r="E1007" i="6"/>
  <c r="E1003" i="6"/>
  <c r="E999" i="6"/>
  <c r="E995" i="6"/>
  <c r="E991" i="6"/>
  <c r="E987" i="6"/>
  <c r="E983" i="6"/>
  <c r="E979" i="6"/>
  <c r="E975" i="6"/>
  <c r="E971" i="6"/>
  <c r="E967" i="6"/>
  <c r="E963" i="6"/>
  <c r="E959" i="6"/>
  <c r="E955" i="6"/>
  <c r="E951" i="6"/>
  <c r="E947" i="6"/>
  <c r="E943" i="6"/>
  <c r="E939" i="6"/>
  <c r="E935" i="6"/>
  <c r="E926" i="6"/>
  <c r="E922" i="6"/>
  <c r="E949" i="6"/>
  <c r="E945" i="6"/>
  <c r="E941" i="6"/>
  <c r="E937" i="6"/>
  <c r="E933" i="6"/>
  <c r="E928" i="6"/>
  <c r="E924" i="6"/>
  <c r="E920" i="6"/>
  <c r="E916" i="6"/>
  <c r="E912" i="6"/>
  <c r="E908" i="6"/>
  <c r="E904" i="6"/>
  <c r="E900" i="6"/>
  <c r="E896" i="6"/>
  <c r="E892" i="6"/>
  <c r="E887" i="6"/>
  <c r="E883" i="6"/>
  <c r="E879" i="6"/>
  <c r="E875" i="6"/>
  <c r="E871" i="6"/>
  <c r="E867" i="6"/>
  <c r="E863" i="6"/>
  <c r="E859" i="6"/>
  <c r="E855" i="6"/>
  <c r="E851" i="6"/>
  <c r="E847" i="6"/>
  <c r="E843" i="6"/>
  <c r="E839" i="6"/>
  <c r="E835" i="6"/>
  <c r="E831" i="6"/>
  <c r="E827" i="6"/>
  <c r="E823" i="6"/>
  <c r="E819" i="6"/>
  <c r="E815" i="6"/>
  <c r="E811" i="6"/>
  <c r="E807" i="6"/>
  <c r="E411" i="6"/>
  <c r="E407" i="6"/>
  <c r="E403" i="6"/>
  <c r="E399" i="6"/>
  <c r="E395" i="6"/>
  <c r="E391" i="6"/>
  <c r="E387" i="6"/>
  <c r="E383" i="6"/>
  <c r="E379" i="6"/>
  <c r="E375" i="6"/>
  <c r="E744" i="6"/>
  <c r="E740" i="6"/>
  <c r="E736" i="6"/>
  <c r="E732" i="6"/>
  <c r="E728" i="6"/>
  <c r="E724" i="6"/>
  <c r="E720" i="6"/>
  <c r="E716" i="6"/>
  <c r="E712" i="6"/>
  <c r="E708" i="6"/>
  <c r="E704" i="6"/>
  <c r="E700" i="6"/>
  <c r="E696" i="6"/>
  <c r="E692" i="6"/>
  <c r="E688" i="6"/>
  <c r="E684" i="6"/>
  <c r="E680" i="6"/>
  <c r="E676" i="6"/>
  <c r="E672" i="6"/>
  <c r="E668" i="6"/>
  <c r="E664" i="6"/>
  <c r="E660" i="6"/>
  <c r="E655" i="6"/>
  <c r="E651" i="6"/>
  <c r="E647" i="6"/>
  <c r="E643" i="6"/>
  <c r="E639" i="6"/>
  <c r="E635" i="6"/>
  <c r="E631" i="6"/>
  <c r="E627" i="6"/>
  <c r="E623" i="6"/>
  <c r="E619" i="6"/>
  <c r="E614" i="6"/>
  <c r="E610" i="6"/>
  <c r="E606" i="6"/>
  <c r="E602" i="6"/>
  <c r="E598" i="6"/>
  <c r="E594" i="6"/>
  <c r="E590" i="6"/>
  <c r="E586" i="6"/>
  <c r="E582" i="6"/>
  <c r="E578" i="6"/>
  <c r="E574" i="6"/>
  <c r="E570" i="6"/>
  <c r="E566" i="6"/>
  <c r="E562" i="6"/>
  <c r="E558" i="6"/>
  <c r="E554" i="6"/>
  <c r="E550" i="6"/>
  <c r="E546" i="6"/>
  <c r="E542" i="6"/>
  <c r="E538" i="6"/>
  <c r="E534" i="6"/>
  <c r="E530" i="6"/>
  <c r="E526" i="6"/>
  <c r="E522" i="6"/>
  <c r="E518" i="6"/>
  <c r="E514" i="6"/>
  <c r="E510" i="6"/>
  <c r="E506" i="6"/>
  <c r="E502" i="6"/>
  <c r="E498" i="6"/>
  <c r="E494" i="6"/>
  <c r="E490" i="6"/>
  <c r="E486" i="6"/>
  <c r="E482" i="6"/>
  <c r="E477" i="6"/>
  <c r="E473" i="6"/>
  <c r="E469" i="6"/>
  <c r="E465" i="6"/>
  <c r="E461" i="6"/>
  <c r="E456" i="6"/>
  <c r="E452" i="6"/>
  <c r="E448" i="6"/>
  <c r="E444" i="6"/>
  <c r="E440" i="6"/>
  <c r="E436" i="6"/>
  <c r="E432" i="6"/>
  <c r="E428" i="6"/>
  <c r="E424" i="6"/>
  <c r="E420" i="6"/>
  <c r="E406" i="6"/>
  <c r="E402" i="6"/>
  <c r="E398" i="6"/>
  <c r="E394" i="6"/>
  <c r="E545" i="6"/>
  <c r="E541" i="6"/>
  <c r="E537" i="6"/>
  <c r="E533" i="6"/>
  <c r="E455" i="6"/>
  <c r="E451" i="6"/>
  <c r="E447" i="6"/>
  <c r="E443" i="6"/>
  <c r="E439" i="6"/>
  <c r="E435" i="6"/>
  <c r="E2340" i="6"/>
  <c r="E2336" i="6"/>
  <c r="E2332" i="6"/>
  <c r="E2266" i="6"/>
  <c r="E2249" i="6"/>
  <c r="E2232" i="6"/>
  <c r="E2203" i="6"/>
  <c r="E2102" i="6"/>
  <c r="E2065" i="6"/>
  <c r="E1937" i="6"/>
  <c r="E1933" i="6"/>
  <c r="E1929" i="6"/>
  <c r="E1925" i="6"/>
  <c r="E1921" i="6"/>
  <c r="E1917" i="6"/>
  <c r="E1913" i="6"/>
  <c r="E1877" i="6"/>
  <c r="E1873" i="6"/>
  <c r="E1869" i="6"/>
  <c r="E1865" i="6"/>
  <c r="E1861" i="6"/>
  <c r="E1857" i="6"/>
  <c r="E1853" i="6"/>
  <c r="E1829" i="6"/>
  <c r="E1825" i="6"/>
  <c r="E1821" i="6"/>
  <c r="E1817" i="6"/>
  <c r="E1813" i="6"/>
  <c r="E1809" i="6"/>
  <c r="E1805" i="6"/>
  <c r="E1801" i="6"/>
  <c r="E1797" i="6"/>
  <c r="E1793" i="6"/>
  <c r="E1789" i="6"/>
  <c r="E1785" i="6"/>
  <c r="E1781" i="6"/>
  <c r="E1777" i="6"/>
  <c r="E1773" i="6"/>
  <c r="E1769" i="6"/>
  <c r="E1765" i="6"/>
  <c r="E1761" i="6"/>
  <c r="E1757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2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620" i="6"/>
  <c r="E1616" i="6"/>
  <c r="E1612" i="6"/>
  <c r="E1608" i="6"/>
  <c r="E1604" i="6"/>
  <c r="E1600" i="6"/>
  <c r="E1596" i="6"/>
  <c r="E1592" i="6"/>
  <c r="E1588" i="6"/>
  <c r="E1584" i="6"/>
  <c r="E1580" i="6"/>
  <c r="E1576" i="6"/>
  <c r="E1572" i="6"/>
  <c r="E1568" i="6"/>
  <c r="E1564" i="6"/>
  <c r="E1560" i="6"/>
  <c r="E1556" i="6"/>
  <c r="E1552" i="6"/>
  <c r="E1548" i="6"/>
  <c r="E1543" i="6"/>
  <c r="E1539" i="6"/>
  <c r="E1535" i="6"/>
  <c r="E1531" i="6"/>
  <c r="E1527" i="6"/>
  <c r="E1523" i="6"/>
  <c r="E1519" i="6"/>
  <c r="E1515" i="6"/>
  <c r="E1511" i="6"/>
  <c r="E1507" i="6"/>
  <c r="E1503" i="6"/>
  <c r="E1499" i="6"/>
  <c r="E1495" i="6"/>
  <c r="E1491" i="6"/>
  <c r="E1487" i="6"/>
  <c r="E1483" i="6"/>
  <c r="E1479" i="6"/>
  <c r="E1475" i="6"/>
  <c r="E1471" i="6"/>
  <c r="E1467" i="6"/>
  <c r="E1463" i="6"/>
  <c r="E1459" i="6"/>
  <c r="E1455" i="6"/>
  <c r="E1451" i="6"/>
  <c r="E1447" i="6"/>
  <c r="E1443" i="6"/>
  <c r="E1439" i="6"/>
  <c r="E1434" i="6"/>
  <c r="E1430" i="6"/>
  <c r="E1426" i="6"/>
  <c r="E1422" i="6"/>
  <c r="E1418" i="6"/>
  <c r="E1414" i="6"/>
  <c r="E1410" i="6"/>
  <c r="E1406" i="6"/>
  <c r="E1402" i="6"/>
  <c r="E1393" i="6"/>
  <c r="E1389" i="6"/>
  <c r="E1385" i="6"/>
  <c r="E1381" i="6"/>
  <c r="E1377" i="6"/>
  <c r="E1373" i="6"/>
  <c r="E1369" i="6"/>
  <c r="E1365" i="6"/>
  <c r="E1361" i="6"/>
  <c r="E1357" i="6"/>
  <c r="E1353" i="6"/>
  <c r="E1349" i="6"/>
  <c r="E1345" i="6"/>
  <c r="E1341" i="6"/>
  <c r="E1337" i="6"/>
  <c r="E1333" i="6"/>
  <c r="E1329" i="6"/>
  <c r="E1325" i="6"/>
  <c r="E1321" i="6"/>
  <c r="E1317" i="6"/>
  <c r="E1313" i="6"/>
  <c r="E1309" i="6"/>
  <c r="E1305" i="6"/>
  <c r="E1301" i="6"/>
  <c r="E1297" i="6"/>
  <c r="E1293" i="6"/>
  <c r="E1289" i="6"/>
  <c r="E1285" i="6"/>
  <c r="E1281" i="6"/>
  <c r="E1277" i="6"/>
  <c r="E1273" i="6"/>
  <c r="E1269" i="6"/>
  <c r="E1265" i="6"/>
  <c r="E1261" i="6"/>
  <c r="E1257" i="6"/>
  <c r="E1253" i="6"/>
  <c r="E1249" i="6"/>
  <c r="E1245" i="6"/>
  <c r="E1241" i="6"/>
  <c r="E1237" i="6"/>
  <c r="E1233" i="6"/>
  <c r="E1229" i="6"/>
  <c r="E1225" i="6"/>
  <c r="E1221" i="6"/>
  <c r="E1217" i="6"/>
  <c r="E1213" i="6"/>
  <c r="E1209" i="6"/>
  <c r="E1205" i="6"/>
  <c r="E1201" i="6"/>
  <c r="E1197" i="6"/>
  <c r="E1193" i="6"/>
  <c r="E1189" i="6"/>
  <c r="E1185" i="6"/>
  <c r="E1181" i="6"/>
  <c r="E1177" i="6"/>
  <c r="E1173" i="6"/>
  <c r="E1169" i="6"/>
  <c r="E1165" i="6"/>
  <c r="E1161" i="6"/>
  <c r="E1157" i="6"/>
  <c r="E1153" i="6"/>
  <c r="E1149" i="6"/>
  <c r="E1145" i="6"/>
  <c r="E1141" i="6"/>
  <c r="E1137" i="6"/>
  <c r="E1133" i="6"/>
  <c r="E1129" i="6"/>
  <c r="E1125" i="6"/>
  <c r="E1121" i="6"/>
  <c r="E1117" i="6"/>
  <c r="E1113" i="6"/>
  <c r="E1109" i="6"/>
  <c r="E1105" i="6"/>
  <c r="E1101" i="6"/>
  <c r="E1097" i="6"/>
  <c r="E1093" i="6"/>
  <c r="E1089" i="6"/>
  <c r="E1085" i="6"/>
  <c r="E1081" i="6"/>
  <c r="E1077" i="6"/>
  <c r="E1073" i="6"/>
  <c r="E1069" i="6"/>
  <c r="E1065" i="6"/>
  <c r="E1061" i="6"/>
  <c r="E1045" i="6"/>
  <c r="E1041" i="6"/>
  <c r="E1036" i="6"/>
  <c r="E1027" i="6"/>
  <c r="E930" i="6"/>
  <c r="E918" i="6"/>
  <c r="E914" i="6"/>
  <c r="E910" i="6"/>
  <c r="E906" i="6"/>
  <c r="E902" i="6"/>
  <c r="E898" i="6"/>
  <c r="E894" i="6"/>
  <c r="E890" i="6"/>
  <c r="E881" i="6"/>
  <c r="E877" i="6"/>
  <c r="E873" i="6"/>
  <c r="E869" i="6"/>
  <c r="E865" i="6"/>
  <c r="E861" i="6"/>
  <c r="E857" i="6"/>
  <c r="E853" i="6"/>
  <c r="E849" i="6"/>
  <c r="E845" i="6"/>
  <c r="E841" i="6"/>
  <c r="E837" i="6"/>
  <c r="E833" i="6"/>
  <c r="E829" i="6"/>
  <c r="E825" i="6"/>
  <c r="E821" i="6"/>
  <c r="E817" i="6"/>
  <c r="E813" i="6"/>
  <c r="E809" i="6"/>
  <c r="E801" i="6"/>
  <c r="E797" i="6"/>
  <c r="E793" i="6"/>
  <c r="E781" i="6"/>
  <c r="E777" i="6"/>
  <c r="E1544" i="6"/>
  <c r="E932" i="6"/>
  <c r="E756" i="6"/>
  <c r="E618" i="6"/>
  <c r="E2327" i="6"/>
  <c r="E2323" i="6"/>
  <c r="E2318" i="6"/>
  <c r="E2314" i="6"/>
  <c r="E2310" i="6"/>
  <c r="E2306" i="6"/>
  <c r="E2302" i="6"/>
  <c r="E2298" i="6"/>
  <c r="E2294" i="6"/>
  <c r="E2290" i="6"/>
  <c r="E2286" i="6"/>
  <c r="E2282" i="6"/>
  <c r="E2278" i="6"/>
  <c r="E2274" i="6"/>
  <c r="E2270" i="6"/>
  <c r="E2265" i="6"/>
  <c r="E2261" i="6"/>
  <c r="E2257" i="6"/>
  <c r="E2253" i="6"/>
  <c r="E2248" i="6"/>
  <c r="E2244" i="6"/>
  <c r="E2240" i="6"/>
  <c r="E2235" i="6"/>
  <c r="E2227" i="6"/>
  <c r="E2223" i="6"/>
  <c r="E2219" i="6"/>
  <c r="E2215" i="6"/>
  <c r="E2211" i="6"/>
  <c r="E2207" i="6"/>
  <c r="E2202" i="6"/>
  <c r="E2198" i="6"/>
  <c r="E2194" i="6"/>
  <c r="E2190" i="6"/>
  <c r="E2186" i="6"/>
  <c r="E2182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30" i="6"/>
  <c r="E2126" i="6"/>
  <c r="E2122" i="6"/>
  <c r="E2118" i="6"/>
  <c r="E2114" i="6"/>
  <c r="E2110" i="6"/>
  <c r="E2106" i="6"/>
  <c r="E2101" i="6"/>
  <c r="E2097" i="6"/>
  <c r="E2093" i="6"/>
  <c r="E2089" i="6"/>
  <c r="E2085" i="6"/>
  <c r="E2081" i="6"/>
  <c r="E2077" i="6"/>
  <c r="E2073" i="6"/>
  <c r="E2069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6" i="6"/>
  <c r="E1992" i="6"/>
  <c r="E1988" i="6"/>
  <c r="E1984" i="6"/>
  <c r="E1980" i="6"/>
  <c r="E1976" i="6"/>
  <c r="E1972" i="6"/>
  <c r="E1968" i="6"/>
  <c r="E1964" i="6"/>
  <c r="E1960" i="6"/>
  <c r="E1956" i="6"/>
  <c r="E1952" i="6"/>
  <c r="E1948" i="6"/>
  <c r="E1944" i="6"/>
  <c r="E1940" i="6"/>
  <c r="E1936" i="6"/>
  <c r="E1848" i="6"/>
  <c r="E1755" i="6"/>
  <c r="E1731" i="6"/>
  <c r="E1727" i="6"/>
  <c r="E1723" i="6"/>
  <c r="E1719" i="6"/>
  <c r="E1715" i="6"/>
  <c r="E1711" i="6"/>
  <c r="E1707" i="6"/>
  <c r="E1703" i="6"/>
  <c r="E1699" i="6"/>
  <c r="E1695" i="6"/>
  <c r="E1691" i="6"/>
  <c r="E1687" i="6"/>
  <c r="E1683" i="6"/>
  <c r="E1679" i="6"/>
  <c r="E1675" i="6"/>
  <c r="E1671" i="6"/>
  <c r="E1667" i="6"/>
  <c r="E1663" i="6"/>
  <c r="E1659" i="6"/>
  <c r="E1655" i="6"/>
  <c r="E1651" i="6"/>
  <c r="E1647" i="6"/>
  <c r="E1643" i="6"/>
  <c r="E1639" i="6"/>
  <c r="E1635" i="6"/>
  <c r="E1631" i="6"/>
  <c r="E1627" i="6"/>
  <c r="E1623" i="6"/>
  <c r="E1619" i="6"/>
  <c r="E1615" i="6"/>
  <c r="E1611" i="6"/>
  <c r="E1607" i="6"/>
  <c r="E1603" i="6"/>
  <c r="E1599" i="6"/>
  <c r="E1595" i="6"/>
  <c r="E1591" i="6"/>
  <c r="E1587" i="6"/>
  <c r="E1583" i="6"/>
  <c r="E1579" i="6"/>
  <c r="E1575" i="6"/>
  <c r="E1571" i="6"/>
  <c r="E1567" i="6"/>
  <c r="E1563" i="6"/>
  <c r="E1559" i="6"/>
  <c r="E1555" i="6"/>
  <c r="E1551" i="6"/>
  <c r="E1547" i="6"/>
  <c r="E1542" i="6"/>
  <c r="E1538" i="6"/>
  <c r="E1534" i="6"/>
  <c r="E1530" i="6"/>
  <c r="E1526" i="6"/>
  <c r="E1522" i="6"/>
  <c r="E1518" i="6"/>
  <c r="E1514" i="6"/>
  <c r="E1510" i="6"/>
  <c r="E1506" i="6"/>
  <c r="E1502" i="6"/>
  <c r="E1498" i="6"/>
  <c r="E1494" i="6"/>
  <c r="E1490" i="6"/>
  <c r="E1486" i="6"/>
  <c r="E1482" i="6"/>
  <c r="E1478" i="6"/>
  <c r="E1474" i="6"/>
  <c r="E1470" i="6"/>
  <c r="E1466" i="6"/>
  <c r="E1462" i="6"/>
  <c r="E1458" i="6"/>
  <c r="E1454" i="6"/>
  <c r="E1450" i="6"/>
  <c r="E1446" i="6"/>
  <c r="E1442" i="6"/>
  <c r="E1438" i="6"/>
  <c r="E1433" i="6"/>
  <c r="E1429" i="6"/>
  <c r="E1425" i="6"/>
  <c r="E1421" i="6"/>
  <c r="E1417" i="6"/>
  <c r="E1413" i="6"/>
  <c r="E1409" i="6"/>
  <c r="E1405" i="6"/>
  <c r="E1400" i="6"/>
  <c r="E1396" i="6"/>
  <c r="E1392" i="6"/>
  <c r="E1388" i="6"/>
  <c r="E1384" i="6"/>
  <c r="E1380" i="6"/>
  <c r="E1376" i="6"/>
  <c r="E1372" i="6"/>
  <c r="E1368" i="6"/>
  <c r="E1364" i="6"/>
  <c r="E1360" i="6"/>
  <c r="E1356" i="6"/>
  <c r="E1352" i="6"/>
  <c r="E1348" i="6"/>
  <c r="E1344" i="6"/>
  <c r="E1340" i="6"/>
  <c r="E1336" i="6"/>
  <c r="E1332" i="6"/>
  <c r="E1328" i="6"/>
  <c r="E1324" i="6"/>
  <c r="E1320" i="6"/>
  <c r="E1316" i="6"/>
  <c r="E1312" i="6"/>
  <c r="E1308" i="6"/>
  <c r="E1304" i="6"/>
  <c r="E1300" i="6"/>
  <c r="E1296" i="6"/>
  <c r="E1292" i="6"/>
  <c r="E1288" i="6"/>
  <c r="E1284" i="6"/>
  <c r="E1280" i="6"/>
  <c r="E1276" i="6"/>
  <c r="E1272" i="6"/>
  <c r="E1268" i="6"/>
  <c r="E1264" i="6"/>
  <c r="E1260" i="6"/>
  <c r="E1256" i="6"/>
  <c r="E1252" i="6"/>
  <c r="E1248" i="6"/>
  <c r="E1244" i="6"/>
  <c r="E1240" i="6"/>
  <c r="E1236" i="6"/>
  <c r="E1232" i="6"/>
  <c r="E1228" i="6"/>
  <c r="E1224" i="6"/>
  <c r="E1220" i="6"/>
  <c r="E1216" i="6"/>
  <c r="E1212" i="6"/>
  <c r="E1208" i="6"/>
  <c r="E1204" i="6"/>
  <c r="E1200" i="6"/>
  <c r="E1196" i="6"/>
  <c r="E1192" i="6"/>
  <c r="E1188" i="6"/>
  <c r="E1184" i="6"/>
  <c r="E1180" i="6"/>
  <c r="E1176" i="6"/>
  <c r="E1172" i="6"/>
  <c r="E1168" i="6"/>
  <c r="E1164" i="6"/>
  <c r="E1160" i="6"/>
  <c r="E1156" i="6"/>
  <c r="E1152" i="6"/>
  <c r="E1148" i="6"/>
  <c r="E1144" i="6"/>
  <c r="E1140" i="6"/>
  <c r="E1136" i="6"/>
  <c r="E1132" i="6"/>
  <c r="E1128" i="6"/>
  <c r="E1124" i="6"/>
  <c r="E1120" i="6"/>
  <c r="E1116" i="6"/>
  <c r="E1112" i="6"/>
  <c r="E1108" i="6"/>
  <c r="E1104" i="6"/>
  <c r="E1100" i="6"/>
  <c r="E1096" i="6"/>
  <c r="E1092" i="6"/>
  <c r="E1088" i="6"/>
  <c r="E1084" i="6"/>
  <c r="E1080" i="6"/>
  <c r="E1076" i="6"/>
  <c r="E1072" i="6"/>
  <c r="E1068" i="6"/>
  <c r="E1064" i="6"/>
  <c r="E1060" i="6"/>
  <c r="E1056" i="6"/>
  <c r="E1052" i="6"/>
  <c r="E1048" i="6"/>
  <c r="E1044" i="6"/>
  <c r="E1040" i="6"/>
  <c r="E1031" i="6"/>
  <c r="E1022" i="6"/>
  <c r="E1018" i="6"/>
  <c r="E1014" i="6"/>
  <c r="E1010" i="6"/>
  <c r="E1006" i="6"/>
  <c r="E1002" i="6"/>
  <c r="E998" i="6"/>
  <c r="E994" i="6"/>
  <c r="E990" i="6"/>
  <c r="E986" i="6"/>
  <c r="E982" i="6"/>
  <c r="E978" i="6"/>
  <c r="E974" i="6"/>
  <c r="E970" i="6"/>
  <c r="E966" i="6"/>
  <c r="E962" i="6"/>
  <c r="E958" i="6"/>
  <c r="E954" i="6"/>
  <c r="E950" i="6"/>
  <c r="E946" i="6"/>
  <c r="E942" i="6"/>
  <c r="E938" i="6"/>
  <c r="E934" i="6"/>
  <c r="E925" i="6"/>
  <c r="E921" i="6"/>
  <c r="E917" i="6"/>
  <c r="E913" i="6"/>
  <c r="E909" i="6"/>
  <c r="E905" i="6"/>
  <c r="E901" i="6"/>
  <c r="E897" i="6"/>
  <c r="E893" i="6"/>
  <c r="E889" i="6"/>
  <c r="E884" i="6"/>
  <c r="E880" i="6"/>
  <c r="E876" i="6"/>
  <c r="E872" i="6"/>
  <c r="E868" i="6"/>
  <c r="E864" i="6"/>
  <c r="E860" i="6"/>
  <c r="E856" i="6"/>
  <c r="E852" i="6"/>
  <c r="E848" i="6"/>
  <c r="E844" i="6"/>
  <c r="E840" i="6"/>
  <c r="E836" i="6"/>
  <c r="E832" i="6"/>
  <c r="E828" i="6"/>
  <c r="E824" i="6"/>
  <c r="E820" i="6"/>
  <c r="E816" i="6"/>
  <c r="E812" i="6"/>
  <c r="E808" i="6"/>
  <c r="E804" i="6"/>
  <c r="E800" i="6"/>
  <c r="E796" i="6"/>
  <c r="E792" i="6"/>
  <c r="E788" i="6"/>
  <c r="E784" i="6"/>
  <c r="E780" i="6"/>
  <c r="E776" i="6"/>
  <c r="E772" i="6"/>
  <c r="E768" i="6"/>
  <c r="E764" i="6"/>
  <c r="E760" i="6"/>
  <c r="E751" i="6"/>
  <c r="E747" i="6"/>
  <c r="E743" i="6"/>
  <c r="E739" i="6"/>
  <c r="E735" i="6"/>
  <c r="E731" i="6"/>
  <c r="E727" i="6"/>
  <c r="E723" i="6"/>
  <c r="E719" i="6"/>
  <c r="E715" i="6"/>
  <c r="E711" i="6"/>
  <c r="E707" i="6"/>
  <c r="E703" i="6"/>
  <c r="E699" i="6"/>
  <c r="E695" i="6"/>
  <c r="E691" i="6"/>
  <c r="E687" i="6"/>
  <c r="E683" i="6"/>
  <c r="E679" i="6"/>
  <c r="E675" i="6"/>
  <c r="E671" i="6"/>
  <c r="E667" i="6"/>
  <c r="E663" i="6"/>
  <c r="E654" i="6"/>
  <c r="E650" i="6"/>
  <c r="E646" i="6"/>
  <c r="E642" i="6"/>
  <c r="E638" i="6"/>
  <c r="E634" i="6"/>
  <c r="E630" i="6"/>
  <c r="E626" i="6"/>
  <c r="E622" i="6"/>
  <c r="E613" i="6"/>
  <c r="E609" i="6"/>
  <c r="E605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553" i="6"/>
  <c r="E549" i="6"/>
  <c r="E529" i="6"/>
  <c r="E525" i="6"/>
  <c r="E521" i="6"/>
  <c r="E517" i="6"/>
  <c r="E513" i="6"/>
  <c r="E509" i="6"/>
  <c r="E505" i="6"/>
  <c r="E501" i="6"/>
  <c r="E497" i="6"/>
  <c r="E493" i="6"/>
  <c r="E489" i="6"/>
  <c r="E485" i="6"/>
  <c r="E481" i="6"/>
  <c r="E476" i="6"/>
  <c r="E472" i="6"/>
  <c r="E468" i="6"/>
  <c r="E464" i="6"/>
  <c r="E431" i="6"/>
  <c r="E427" i="6"/>
  <c r="E423" i="6"/>
  <c r="E409" i="6"/>
  <c r="E405" i="6"/>
  <c r="E401" i="6"/>
  <c r="E397" i="6"/>
  <c r="E393" i="6"/>
  <c r="E389" i="6"/>
  <c r="E385" i="6"/>
  <c r="E381" i="6"/>
  <c r="E377" i="6"/>
  <c r="E2342" i="6"/>
  <c r="E2338" i="6"/>
  <c r="E2334" i="6"/>
  <c r="E2330" i="6"/>
  <c r="E2326" i="6"/>
  <c r="E2322" i="6"/>
  <c r="E2317" i="6"/>
  <c r="E2313" i="6"/>
  <c r="E2309" i="6"/>
  <c r="E2305" i="6"/>
  <c r="E2301" i="6"/>
  <c r="E2297" i="6"/>
  <c r="E2293" i="6"/>
  <c r="E2289" i="6"/>
  <c r="E2285" i="6"/>
  <c r="E2281" i="6"/>
  <c r="E2277" i="6"/>
  <c r="E2273" i="6"/>
  <c r="E2269" i="6"/>
  <c r="E2264" i="6"/>
  <c r="E2260" i="6"/>
  <c r="E2256" i="6"/>
  <c r="E2252" i="6"/>
  <c r="E2247" i="6"/>
  <c r="E2243" i="6"/>
  <c r="E2239" i="6"/>
  <c r="E2234" i="6"/>
  <c r="E2230" i="6"/>
  <c r="E2226" i="6"/>
  <c r="E2222" i="6"/>
  <c r="E2218" i="6"/>
  <c r="E2214" i="6"/>
  <c r="E2210" i="6"/>
  <c r="E2206" i="6"/>
  <c r="E2201" i="6"/>
  <c r="E2197" i="6"/>
  <c r="E2193" i="6"/>
  <c r="E2189" i="6"/>
  <c r="E2185" i="6"/>
  <c r="E2181" i="6"/>
  <c r="E2177" i="6"/>
  <c r="E2173" i="6"/>
  <c r="E2169" i="6"/>
  <c r="E2165" i="6"/>
  <c r="E2161" i="6"/>
  <c r="E2157" i="6"/>
  <c r="E2153" i="6"/>
  <c r="E2149" i="6"/>
  <c r="E2145" i="6"/>
  <c r="E2141" i="6"/>
  <c r="E2137" i="6"/>
  <c r="E2133" i="6"/>
  <c r="E2129" i="6"/>
  <c r="E2125" i="6"/>
  <c r="E2121" i="6"/>
  <c r="E2117" i="6"/>
  <c r="E2113" i="6"/>
  <c r="E2109" i="6"/>
  <c r="E2105" i="6"/>
  <c r="E2100" i="6"/>
  <c r="E2096" i="6"/>
  <c r="E2092" i="6"/>
  <c r="E2088" i="6"/>
  <c r="E2084" i="6"/>
  <c r="E2080" i="6"/>
  <c r="E2076" i="6"/>
  <c r="E2072" i="6"/>
  <c r="E2068" i="6"/>
  <c r="E2063" i="6"/>
  <c r="E2059" i="6"/>
  <c r="E2055" i="6"/>
  <c r="E2051" i="6"/>
  <c r="E2047" i="6"/>
  <c r="E2043" i="6"/>
  <c r="E2039" i="6"/>
  <c r="E2035" i="6"/>
  <c r="E2031" i="6"/>
  <c r="E2027" i="6"/>
  <c r="E2023" i="6"/>
  <c r="E2019" i="6"/>
  <c r="E2015" i="6"/>
  <c r="E2011" i="6"/>
  <c r="E2007" i="6"/>
  <c r="E2003" i="6"/>
  <c r="E1999" i="6"/>
  <c r="E1995" i="6"/>
  <c r="E1991" i="6"/>
  <c r="E1987" i="6"/>
  <c r="E1983" i="6"/>
  <c r="E1979" i="6"/>
  <c r="E1975" i="6"/>
  <c r="E1971" i="6"/>
  <c r="E1967" i="6"/>
  <c r="E1963" i="6"/>
  <c r="E1959" i="6"/>
  <c r="E1955" i="6"/>
  <c r="E1951" i="6"/>
  <c r="E1947" i="6"/>
  <c r="E1943" i="6"/>
  <c r="E1939" i="6"/>
  <c r="E1935" i="6"/>
  <c r="E1931" i="6"/>
  <c r="E1927" i="6"/>
  <c r="E1923" i="6"/>
  <c r="E1919" i="6"/>
  <c r="E1915" i="6"/>
  <c r="E1911" i="6"/>
  <c r="E1907" i="6"/>
  <c r="E1903" i="6"/>
  <c r="E1899" i="6"/>
  <c r="E1895" i="6"/>
  <c r="E1891" i="6"/>
  <c r="E1887" i="6"/>
  <c r="E1883" i="6"/>
  <c r="E1879" i="6"/>
  <c r="E1875" i="6"/>
  <c r="E1871" i="6"/>
  <c r="E1867" i="6"/>
  <c r="E1863" i="6"/>
  <c r="E1859" i="6"/>
  <c r="E1855" i="6"/>
  <c r="E1851" i="6"/>
  <c r="E1847" i="6"/>
  <c r="E1843" i="6"/>
  <c r="E1839" i="6"/>
  <c r="E1835" i="6"/>
  <c r="E1831" i="6"/>
  <c r="E1827" i="6"/>
  <c r="E1823" i="6"/>
  <c r="E1819" i="6"/>
  <c r="E1815" i="6"/>
  <c r="E1811" i="6"/>
  <c r="E1807" i="6"/>
  <c r="E1803" i="6"/>
  <c r="E1799" i="6"/>
  <c r="E1795" i="6"/>
  <c r="E1791" i="6"/>
  <c r="E1787" i="6"/>
  <c r="E1783" i="6"/>
  <c r="E1779" i="6"/>
  <c r="E1775" i="6"/>
  <c r="E175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1674" i="6"/>
  <c r="E1670" i="6"/>
  <c r="E1666" i="6"/>
  <c r="E1662" i="6"/>
  <c r="E1658" i="6"/>
  <c r="E1654" i="6"/>
  <c r="E1650" i="6"/>
  <c r="E1646" i="6"/>
  <c r="E1642" i="6"/>
  <c r="E1638" i="6"/>
  <c r="E1634" i="6"/>
  <c r="E1630" i="6"/>
  <c r="E1626" i="6"/>
  <c r="E1622" i="6"/>
  <c r="E1618" i="6"/>
  <c r="E1614" i="6"/>
  <c r="E1610" i="6"/>
  <c r="E1606" i="6"/>
  <c r="E1602" i="6"/>
  <c r="E1598" i="6"/>
  <c r="E1594" i="6"/>
  <c r="E1590" i="6"/>
  <c r="E1586" i="6"/>
  <c r="E1582" i="6"/>
  <c r="E1578" i="6"/>
  <c r="E1574" i="6"/>
  <c r="E1570" i="6"/>
  <c r="E1566" i="6"/>
  <c r="E1562" i="6"/>
  <c r="E1558" i="6"/>
  <c r="E1554" i="6"/>
  <c r="E1550" i="6"/>
  <c r="E1546" i="6"/>
  <c r="E1537" i="6"/>
  <c r="E1533" i="6"/>
  <c r="E1529" i="6"/>
  <c r="E1525" i="6"/>
  <c r="E1521" i="6"/>
  <c r="E1517" i="6"/>
  <c r="E1513" i="6"/>
  <c r="E1509" i="6"/>
  <c r="E1505" i="6"/>
  <c r="E1501" i="6"/>
  <c r="E1497" i="6"/>
  <c r="E1493" i="6"/>
  <c r="E1489" i="6"/>
  <c r="E1485" i="6"/>
  <c r="E1481" i="6"/>
  <c r="E1477" i="6"/>
  <c r="E1473" i="6"/>
  <c r="E1469" i="6"/>
  <c r="E1465" i="6"/>
  <c r="E1461" i="6"/>
  <c r="E1457" i="6"/>
  <c r="E1453" i="6"/>
  <c r="E1449" i="6"/>
  <c r="E1445" i="6"/>
  <c r="E1441" i="6"/>
  <c r="E1437" i="6"/>
  <c r="E1432" i="6"/>
  <c r="E1428" i="6"/>
  <c r="E1424" i="6"/>
  <c r="E1416" i="6"/>
  <c r="E1412" i="6"/>
  <c r="E1408" i="6"/>
  <c r="E1404" i="6"/>
  <c r="E1395" i="6"/>
  <c r="E1391" i="6"/>
  <c r="E1387" i="6"/>
  <c r="E1383" i="6"/>
  <c r="E1379" i="6"/>
  <c r="E1375" i="6"/>
  <c r="E1371" i="6"/>
  <c r="E1367" i="6"/>
  <c r="E1363" i="6"/>
  <c r="E1359" i="6"/>
  <c r="E1355" i="6"/>
  <c r="E1351" i="6"/>
  <c r="E1347" i="6"/>
  <c r="E1343" i="6"/>
  <c r="E1339" i="6"/>
  <c r="E1335" i="6"/>
  <c r="E1331" i="6"/>
  <c r="E1327" i="6"/>
  <c r="E1323" i="6"/>
  <c r="E1319" i="6"/>
  <c r="E1315" i="6"/>
  <c r="E1311" i="6"/>
  <c r="E1307" i="6"/>
  <c r="E1303" i="6"/>
  <c r="E1299" i="6"/>
  <c r="E1295" i="6"/>
  <c r="E1291" i="6"/>
  <c r="E1287" i="6"/>
  <c r="E1283" i="6"/>
  <c r="E1279" i="6"/>
  <c r="E1275" i="6"/>
  <c r="E1271" i="6"/>
  <c r="E1267" i="6"/>
  <c r="E1263" i="6"/>
  <c r="E1259" i="6"/>
  <c r="E1255" i="6"/>
  <c r="E1251" i="6"/>
  <c r="E1247" i="6"/>
  <c r="E1243" i="6"/>
  <c r="E1239" i="6"/>
  <c r="E1235" i="6"/>
  <c r="E1231" i="6"/>
  <c r="E1227" i="6"/>
  <c r="E1223" i="6"/>
  <c r="E1219" i="6"/>
  <c r="E1215" i="6"/>
  <c r="E1211" i="6"/>
  <c r="E1207" i="6"/>
  <c r="E1203" i="6"/>
  <c r="E1199" i="6"/>
  <c r="E1195" i="6"/>
  <c r="E657" i="6"/>
  <c r="E616" i="6"/>
  <c r="E458" i="6"/>
  <c r="E418" i="6"/>
  <c r="E413" i="6"/>
  <c r="E408" i="6"/>
  <c r="E404" i="6"/>
  <c r="E400" i="6"/>
  <c r="E396" i="6"/>
  <c r="E392" i="6"/>
  <c r="E388" i="6"/>
  <c r="E384" i="6"/>
  <c r="E380" i="6"/>
  <c r="E376" i="6"/>
  <c r="E2268" i="6"/>
  <c r="E2236" i="6"/>
  <c r="E2104" i="6"/>
  <c r="E1756" i="6"/>
  <c r="E1401" i="6"/>
  <c r="E1029" i="6"/>
  <c r="E659" i="6"/>
  <c r="E460" i="6"/>
  <c r="E412" i="6"/>
  <c r="E2341" i="6"/>
  <c r="E2337" i="6"/>
  <c r="E2333" i="6"/>
  <c r="E2329" i="6"/>
  <c r="E2325" i="6"/>
  <c r="E2321" i="6"/>
  <c r="E2316" i="6"/>
  <c r="E2312" i="6"/>
  <c r="E2308" i="6"/>
  <c r="E2304" i="6"/>
  <c r="E2300" i="6"/>
  <c r="E2296" i="6"/>
  <c r="E2292" i="6"/>
  <c r="E2288" i="6"/>
  <c r="E2284" i="6"/>
  <c r="E2280" i="6"/>
  <c r="E2276" i="6"/>
  <c r="E2272" i="6"/>
  <c r="E2267" i="6"/>
  <c r="E2259" i="6"/>
  <c r="E2255" i="6"/>
  <c r="E2251" i="6"/>
  <c r="E2246" i="6"/>
  <c r="E2242" i="6"/>
  <c r="E2238" i="6"/>
  <c r="E2233" i="6"/>
  <c r="E2229" i="6"/>
  <c r="E2225" i="6"/>
  <c r="E2221" i="6"/>
  <c r="E2217" i="6"/>
  <c r="E2213" i="6"/>
  <c r="E2209" i="6"/>
  <c r="E2204" i="6"/>
  <c r="E2196" i="6"/>
  <c r="E2192" i="6"/>
  <c r="E2188" i="6"/>
  <c r="E2184" i="6"/>
  <c r="E2180" i="6"/>
  <c r="E2176" i="6"/>
  <c r="E2172" i="6"/>
  <c r="E2168" i="6"/>
  <c r="E2164" i="6"/>
  <c r="E2160" i="6"/>
  <c r="E2156" i="6"/>
  <c r="E2152" i="6"/>
  <c r="E2148" i="6"/>
  <c r="E2144" i="6"/>
  <c r="E2140" i="6"/>
  <c r="E2136" i="6"/>
  <c r="E2132" i="6"/>
  <c r="E2128" i="6"/>
  <c r="E2124" i="6"/>
  <c r="E2120" i="6"/>
  <c r="E2116" i="6"/>
  <c r="E2112" i="6"/>
  <c r="E2108" i="6"/>
  <c r="E2103" i="6"/>
  <c r="E2095" i="6"/>
  <c r="E2091" i="6"/>
  <c r="E2087" i="6"/>
  <c r="E2083" i="6"/>
  <c r="E2079" i="6"/>
  <c r="E2075" i="6"/>
  <c r="E2071" i="6"/>
  <c r="E2066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4" i="6"/>
  <c r="E1990" i="6"/>
  <c r="E1986" i="6"/>
  <c r="E1982" i="6"/>
  <c r="E1978" i="6"/>
  <c r="E1974" i="6"/>
  <c r="E1970" i="6"/>
  <c r="E1966" i="6"/>
  <c r="E1962" i="6"/>
  <c r="E1958" i="6"/>
  <c r="E1954" i="6"/>
  <c r="E1950" i="6"/>
  <c r="E1946" i="6"/>
  <c r="E1942" i="6"/>
  <c r="E1938" i="6"/>
  <c r="E1934" i="6"/>
  <c r="E1930" i="6"/>
  <c r="E1926" i="6"/>
  <c r="E1922" i="6"/>
  <c r="E1918" i="6"/>
  <c r="E1914" i="6"/>
  <c r="E1910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4" i="6"/>
  <c r="E1790" i="6"/>
  <c r="E1786" i="6"/>
  <c r="E1782" i="6"/>
  <c r="E1778" i="6"/>
  <c r="E1774" i="6"/>
  <c r="E1770" i="6"/>
  <c r="E1766" i="6"/>
  <c r="E1762" i="6"/>
  <c r="E1758" i="6"/>
  <c r="E1753" i="6"/>
  <c r="E1749" i="6"/>
  <c r="E1745" i="6"/>
  <c r="E1741" i="6"/>
  <c r="E1737" i="6"/>
  <c r="E1733" i="6"/>
  <c r="E1729" i="6"/>
  <c r="E1725" i="6"/>
  <c r="E1721" i="6"/>
  <c r="E1717" i="6"/>
  <c r="E1713" i="6"/>
  <c r="E1709" i="6"/>
  <c r="E1705" i="6"/>
  <c r="E1701" i="6"/>
  <c r="E1697" i="6"/>
  <c r="E1693" i="6"/>
  <c r="E1689" i="6"/>
  <c r="E1685" i="6"/>
  <c r="E1681" i="6"/>
  <c r="E1677" i="6"/>
  <c r="E1673" i="6"/>
  <c r="E1669" i="6"/>
  <c r="E1665" i="6"/>
  <c r="E1661" i="6"/>
  <c r="E1657" i="6"/>
  <c r="E1653" i="6"/>
  <c r="E1649" i="6"/>
  <c r="E1645" i="6"/>
  <c r="E1641" i="6"/>
  <c r="E1637" i="6"/>
  <c r="E1633" i="6"/>
  <c r="E1629" i="6"/>
  <c r="E1625" i="6"/>
  <c r="E1621" i="6"/>
  <c r="E1617" i="6"/>
  <c r="E1613" i="6"/>
  <c r="E1609" i="6"/>
  <c r="E1605" i="6"/>
  <c r="E1601" i="6"/>
  <c r="E1597" i="6"/>
  <c r="E1593" i="6"/>
  <c r="E1589" i="6"/>
  <c r="E1585" i="6"/>
  <c r="E1581" i="6"/>
  <c r="E1577" i="6"/>
  <c r="E1573" i="6"/>
  <c r="E1569" i="6"/>
  <c r="E1565" i="6"/>
  <c r="E1561" i="6"/>
  <c r="E1557" i="6"/>
  <c r="E1553" i="6"/>
  <c r="E1549" i="6"/>
  <c r="E1545" i="6"/>
  <c r="E1536" i="6"/>
  <c r="E1532" i="6"/>
  <c r="E1528" i="6"/>
  <c r="E1524" i="6"/>
  <c r="E1520" i="6"/>
  <c r="E1516" i="6"/>
  <c r="E1512" i="6"/>
  <c r="E1508" i="6"/>
  <c r="E1504" i="6"/>
  <c r="E1500" i="6"/>
  <c r="E1496" i="6"/>
  <c r="E1492" i="6"/>
  <c r="E1488" i="6"/>
  <c r="E1484" i="6"/>
  <c r="E1480" i="6"/>
  <c r="E1476" i="6"/>
  <c r="E1472" i="6"/>
  <c r="E1468" i="6"/>
  <c r="E1464" i="6"/>
  <c r="E1460" i="6"/>
  <c r="E1456" i="6"/>
  <c r="E1452" i="6"/>
  <c r="E1448" i="6"/>
  <c r="E1444" i="6"/>
  <c r="E1440" i="6"/>
  <c r="E1436" i="6"/>
  <c r="E1431" i="6"/>
  <c r="E1427" i="6"/>
  <c r="E1423" i="6"/>
  <c r="E1419" i="6"/>
  <c r="E1415" i="6"/>
  <c r="E1411" i="6"/>
  <c r="E1407" i="6"/>
  <c r="E1403" i="6"/>
  <c r="E1398" i="6"/>
  <c r="E1394" i="6"/>
  <c r="E1390" i="6"/>
  <c r="E1386" i="6"/>
  <c r="E1382" i="6"/>
  <c r="E1378" i="6"/>
  <c r="E1374" i="6"/>
  <c r="E1370" i="6"/>
  <c r="E1366" i="6"/>
  <c r="E1362" i="6"/>
  <c r="E1358" i="6"/>
  <c r="E1354" i="6"/>
  <c r="E1350" i="6"/>
  <c r="E1346" i="6"/>
  <c r="E1342" i="6"/>
  <c r="E1338" i="6"/>
  <c r="E1334" i="6"/>
  <c r="E1330" i="6"/>
  <c r="E1326" i="6"/>
  <c r="E1322" i="6"/>
  <c r="E1318" i="6"/>
  <c r="E1314" i="6"/>
  <c r="E1310" i="6"/>
  <c r="E1306" i="6"/>
  <c r="E1302" i="6"/>
  <c r="E1298" i="6"/>
  <c r="E1294" i="6"/>
  <c r="E1290" i="6"/>
  <c r="E1286" i="6"/>
  <c r="E1282" i="6"/>
  <c r="E1278" i="6"/>
  <c r="E1274" i="6"/>
  <c r="E1270" i="6"/>
  <c r="E1266" i="6"/>
  <c r="E1262" i="6"/>
  <c r="E1258" i="6"/>
  <c r="E1254" i="6"/>
  <c r="E1250" i="6"/>
  <c r="E1246" i="6"/>
  <c r="E1242" i="6"/>
  <c r="E1238" i="6"/>
  <c r="E1234" i="6"/>
  <c r="E1230" i="6"/>
  <c r="E1226" i="6"/>
  <c r="E1222" i="6"/>
  <c r="E1218" i="6"/>
  <c r="E1214" i="6"/>
  <c r="E1210" i="6"/>
  <c r="E1206" i="6"/>
  <c r="E1202" i="6"/>
  <c r="E1198" i="6"/>
  <c r="E1194" i="6"/>
  <c r="E1190" i="6"/>
  <c r="E1186" i="6"/>
  <c r="E1182" i="6"/>
  <c r="E1178" i="6"/>
  <c r="E1174" i="6"/>
  <c r="E1170" i="6"/>
  <c r="E1166" i="6"/>
  <c r="E1162" i="6"/>
  <c r="E1158" i="6"/>
  <c r="E1154" i="6"/>
  <c r="E1150" i="6"/>
  <c r="E1146" i="6"/>
  <c r="E1142" i="6"/>
  <c r="E1138" i="6"/>
  <c r="E1134" i="6"/>
  <c r="E1130" i="6"/>
  <c r="E1126" i="6"/>
  <c r="E1122" i="6"/>
  <c r="E1118" i="6"/>
  <c r="E1114" i="6"/>
  <c r="E1110" i="6"/>
  <c r="E1106" i="6"/>
  <c r="E1102" i="6"/>
  <c r="E1098" i="6"/>
  <c r="E1094" i="6"/>
  <c r="E1090" i="6"/>
  <c r="E1086" i="6"/>
  <c r="E1082" i="6"/>
  <c r="E1078" i="6"/>
  <c r="E1074" i="6"/>
  <c r="E1070" i="6"/>
  <c r="E1066" i="6"/>
  <c r="E1062" i="6"/>
  <c r="E1058" i="6"/>
  <c r="E1054" i="6"/>
  <c r="E1050" i="6"/>
  <c r="E1046" i="6"/>
  <c r="E1042" i="6"/>
  <c r="E1038" i="6"/>
  <c r="E1033" i="6"/>
  <c r="E1028" i="6"/>
  <c r="E1024" i="6"/>
  <c r="E1020" i="6"/>
  <c r="E1016" i="6"/>
  <c r="E1012" i="6"/>
  <c r="E1008" i="6"/>
  <c r="E1004" i="6"/>
  <c r="E1000" i="6"/>
  <c r="E996" i="6"/>
  <c r="E992" i="6"/>
  <c r="E988" i="6"/>
  <c r="E984" i="6"/>
  <c r="E980" i="6"/>
  <c r="E976" i="6"/>
  <c r="E972" i="6"/>
  <c r="E968" i="6"/>
  <c r="E964" i="6"/>
  <c r="E960" i="6"/>
  <c r="E956" i="6"/>
  <c r="E952" i="6"/>
  <c r="E948" i="6"/>
  <c r="E944" i="6"/>
  <c r="E940" i="6"/>
  <c r="E936" i="6"/>
  <c r="E931" i="6"/>
  <c r="E927" i="6"/>
  <c r="E923" i="6"/>
  <c r="E919" i="6"/>
  <c r="E915" i="6"/>
  <c r="E911" i="6"/>
  <c r="E907" i="6"/>
  <c r="E903" i="6"/>
  <c r="E899" i="6"/>
  <c r="E895" i="6"/>
  <c r="E891" i="6"/>
  <c r="E886" i="6"/>
  <c r="E882" i="6"/>
  <c r="E878" i="6"/>
  <c r="E874" i="6"/>
  <c r="E870" i="6"/>
  <c r="E866" i="6"/>
  <c r="E862" i="6"/>
  <c r="E858" i="6"/>
  <c r="E854" i="6"/>
  <c r="E850" i="6"/>
  <c r="E846" i="6"/>
  <c r="E842" i="6"/>
  <c r="E838" i="6"/>
  <c r="E834" i="6"/>
  <c r="E830" i="6"/>
  <c r="E826" i="6"/>
  <c r="E822" i="6"/>
  <c r="E818" i="6"/>
  <c r="E814" i="6"/>
  <c r="E810" i="6"/>
  <c r="E806" i="6"/>
  <c r="E798" i="6"/>
  <c r="E794" i="6"/>
  <c r="E790" i="6"/>
  <c r="E786" i="6"/>
  <c r="E782" i="6"/>
  <c r="E778" i="6"/>
  <c r="E774" i="6"/>
  <c r="E770" i="6"/>
  <c r="E766" i="6"/>
  <c r="E762" i="6"/>
  <c r="E758" i="6"/>
  <c r="E749" i="6"/>
  <c r="E745" i="6"/>
  <c r="E741" i="6"/>
  <c r="E737" i="6"/>
  <c r="E733" i="6"/>
  <c r="E729" i="6"/>
  <c r="E725" i="6"/>
  <c r="E721" i="6"/>
  <c r="E717" i="6"/>
  <c r="E713" i="6"/>
  <c r="E709" i="6"/>
  <c r="E705" i="6"/>
  <c r="E701" i="6"/>
  <c r="E697" i="6"/>
  <c r="E693" i="6"/>
  <c r="E689" i="6"/>
  <c r="E685" i="6"/>
  <c r="E681" i="6"/>
  <c r="E677" i="6"/>
  <c r="E673" i="6"/>
  <c r="E669" i="6"/>
  <c r="E665" i="6"/>
  <c r="E661" i="6"/>
  <c r="E652" i="6"/>
  <c r="E648" i="6"/>
  <c r="E644" i="6"/>
  <c r="E640" i="6"/>
  <c r="E636" i="6"/>
  <c r="E632" i="6"/>
  <c r="E628" i="6"/>
  <c r="E624" i="6"/>
  <c r="E620" i="6"/>
  <c r="E611" i="6"/>
  <c r="E607" i="6"/>
  <c r="E603" i="6"/>
  <c r="E599" i="6"/>
  <c r="E595" i="6"/>
  <c r="E591" i="6"/>
  <c r="E587" i="6"/>
  <c r="E583" i="6"/>
  <c r="E579" i="6"/>
  <c r="E575" i="6"/>
  <c r="E571" i="6"/>
  <c r="E567" i="6"/>
  <c r="E563" i="6"/>
  <c r="E559" i="6"/>
  <c r="E555" i="6"/>
  <c r="E551" i="6"/>
  <c r="E547" i="6"/>
  <c r="E543" i="6"/>
  <c r="E539" i="6"/>
  <c r="E535" i="6"/>
  <c r="E531" i="6"/>
  <c r="E527" i="6"/>
  <c r="E523" i="6"/>
  <c r="E519" i="6"/>
  <c r="E515" i="6"/>
  <c r="E511" i="6"/>
  <c r="E507" i="6"/>
  <c r="E503" i="6"/>
  <c r="E499" i="6"/>
  <c r="E495" i="6"/>
  <c r="E491" i="6"/>
  <c r="E487" i="6"/>
  <c r="E483" i="6"/>
  <c r="E478" i="6"/>
  <c r="E474" i="6"/>
  <c r="E470" i="6"/>
  <c r="E466" i="6"/>
  <c r="E462" i="6"/>
  <c r="E453" i="6"/>
  <c r="E449" i="6"/>
  <c r="E445" i="6"/>
  <c r="E441" i="6"/>
  <c r="E437" i="6"/>
  <c r="E433" i="6"/>
  <c r="E429" i="6"/>
  <c r="E425" i="6"/>
  <c r="E421" i="6"/>
  <c r="E417" i="6"/>
  <c r="E376" i="11" l="1"/>
  <c r="E377" i="11"/>
  <c r="E378" i="11"/>
  <c r="E379" i="11"/>
  <c r="E380" i="11"/>
  <c r="E381" i="11"/>
  <c r="G212" i="10" l="1"/>
  <c r="G307" i="10"/>
  <c r="G108" i="10"/>
  <c r="G311" i="10"/>
  <c r="G204" i="10"/>
  <c r="J7" i="16" l="1"/>
  <c r="H4" i="17" l="1"/>
  <c r="N7" i="16" s="1"/>
  <c r="F659" i="6"/>
  <c r="F2212" i="6"/>
  <c r="F388" i="6"/>
  <c r="F404" i="6"/>
  <c r="F408" i="6"/>
  <c r="F426" i="6"/>
  <c r="F458" i="6"/>
  <c r="F516" i="6"/>
  <c r="F524" i="6"/>
  <c r="F528" i="6"/>
  <c r="F540" i="6"/>
  <c r="F544" i="6"/>
  <c r="F666" i="6"/>
  <c r="F678" i="6"/>
  <c r="F686" i="6"/>
  <c r="F710" i="6"/>
  <c r="F810" i="6"/>
  <c r="F862" i="6"/>
  <c r="F984" i="6"/>
  <c r="F1012" i="6"/>
  <c r="F1046" i="6"/>
  <c r="F1050" i="6"/>
  <c r="F1058" i="6"/>
  <c r="F1066" i="6"/>
  <c r="F1118" i="6"/>
  <c r="F1178" i="6"/>
  <c r="F1186" i="6"/>
  <c r="F1424" i="6"/>
  <c r="F1899" i="6"/>
  <c r="F1947" i="6"/>
  <c r="F2059" i="6"/>
  <c r="F2088" i="6"/>
  <c r="F2109" i="6"/>
  <c r="F2210" i="6"/>
  <c r="F401" i="6"/>
  <c r="F405" i="6"/>
  <c r="F409" i="6"/>
  <c r="F414" i="6"/>
  <c r="F658" i="6"/>
  <c r="F1010" i="6"/>
  <c r="F1037" i="6"/>
  <c r="F1044" i="6"/>
  <c r="F1080" i="6"/>
  <c r="F1112" i="6"/>
  <c r="F1156" i="6"/>
  <c r="F1785" i="6"/>
  <c r="F1797" i="6"/>
  <c r="F453" i="6"/>
  <c r="F474" i="6"/>
  <c r="F487" i="6"/>
  <c r="F507" i="6"/>
  <c r="F523" i="6"/>
  <c r="F567" i="6"/>
  <c r="F665" i="6"/>
  <c r="F673" i="6"/>
  <c r="F693" i="6"/>
  <c r="F701" i="6"/>
  <c r="F833" i="6"/>
  <c r="F849" i="6"/>
  <c r="F853" i="6"/>
  <c r="F894" i="6"/>
  <c r="F910" i="6"/>
  <c r="F926" i="6"/>
  <c r="F932" i="6"/>
  <c r="F1032" i="6"/>
  <c r="E338" i="11"/>
  <c r="E132" i="11"/>
  <c r="E149" i="11"/>
  <c r="E285" i="11"/>
  <c r="AF13" i="6" l="1"/>
  <c r="G13" i="6"/>
  <c r="J666" i="6"/>
  <c r="J853" i="6"/>
  <c r="I1112" i="6"/>
  <c r="J1112" i="6"/>
  <c r="J1424" i="6"/>
  <c r="J544" i="6"/>
  <c r="J401" i="6"/>
  <c r="J2059" i="6"/>
  <c r="J862" i="6"/>
  <c r="J910" i="6"/>
  <c r="J1032" i="6"/>
  <c r="J1156" i="6"/>
  <c r="J487" i="6"/>
  <c r="J932" i="6"/>
  <c r="I932" i="6"/>
  <c r="J926" i="6"/>
  <c r="J894" i="6"/>
  <c r="I894" i="6"/>
  <c r="J849" i="6"/>
  <c r="J1186" i="6"/>
  <c r="J833" i="6"/>
  <c r="J1044" i="6"/>
  <c r="J528" i="6"/>
  <c r="J1037" i="6"/>
  <c r="I1037" i="6"/>
  <c r="J524" i="6"/>
  <c r="J1010" i="6"/>
  <c r="J1066" i="6"/>
  <c r="J516" i="6"/>
  <c r="J409" i="6"/>
  <c r="I409" i="6"/>
  <c r="J2109" i="6"/>
  <c r="J453" i="6"/>
  <c r="J1797" i="6"/>
  <c r="J1899" i="6"/>
  <c r="I1080" i="6"/>
  <c r="J1080" i="6"/>
  <c r="J540" i="6"/>
  <c r="J1178" i="6"/>
  <c r="J701" i="6"/>
  <c r="J1118" i="6"/>
  <c r="I1118" i="6"/>
  <c r="J693" i="6"/>
  <c r="I673" i="6"/>
  <c r="J673" i="6"/>
  <c r="J658" i="6"/>
  <c r="J1058" i="6"/>
  <c r="J458" i="6"/>
  <c r="J405" i="6"/>
  <c r="J810" i="6"/>
  <c r="I810" i="6"/>
  <c r="J665" i="6"/>
  <c r="J414" i="6"/>
  <c r="J1050" i="6"/>
  <c r="I426" i="6"/>
  <c r="J426" i="6"/>
  <c r="J1046" i="6"/>
  <c r="J408" i="6"/>
  <c r="I408" i="6"/>
  <c r="J1012" i="6"/>
  <c r="J404" i="6"/>
  <c r="J984" i="6"/>
  <c r="I984" i="6"/>
  <c r="J388" i="6"/>
  <c r="J2210" i="6"/>
  <c r="J2212" i="6"/>
  <c r="J659" i="6"/>
  <c r="I659" i="6"/>
  <c r="J507" i="6"/>
  <c r="J710" i="6"/>
  <c r="J567" i="6"/>
  <c r="J686" i="6"/>
  <c r="J523" i="6"/>
  <c r="J474" i="6"/>
  <c r="I2088" i="6"/>
  <c r="J2088" i="6"/>
  <c r="J1785" i="6"/>
  <c r="J1947" i="6"/>
  <c r="J678" i="6"/>
  <c r="F1748" i="6"/>
  <c r="F952" i="6"/>
  <c r="F780" i="6"/>
  <c r="F551" i="6"/>
  <c r="F990" i="6"/>
  <c r="F519" i="6"/>
  <c r="F1142" i="6"/>
  <c r="F515" i="6"/>
  <c r="F1090" i="6"/>
  <c r="F800" i="6"/>
  <c r="F705" i="6"/>
  <c r="F727" i="6"/>
  <c r="F1903" i="6"/>
  <c r="F818" i="6"/>
  <c r="F400" i="6"/>
  <c r="F814" i="6"/>
  <c r="F1104" i="6"/>
  <c r="F499" i="6"/>
  <c r="F572" i="6"/>
  <c r="F2047" i="6"/>
  <c r="F1100" i="6"/>
  <c r="F721" i="6"/>
  <c r="F1122" i="6"/>
  <c r="F1835" i="6"/>
  <c r="F1423" i="6"/>
  <c r="F1036" i="6"/>
  <c r="F887" i="6"/>
  <c r="F837" i="6"/>
  <c r="F588" i="6"/>
  <c r="F488" i="6"/>
  <c r="F821" i="6"/>
  <c r="F1891" i="6"/>
  <c r="F948" i="6"/>
  <c r="F1959" i="6"/>
  <c r="F1192" i="6"/>
  <c r="F1736" i="6"/>
  <c r="F1136" i="6"/>
  <c r="F424" i="6"/>
  <c r="F970" i="6"/>
  <c r="F662" i="6"/>
  <c r="F1955" i="6"/>
  <c r="F1110" i="6"/>
  <c r="F796" i="6"/>
  <c r="F484" i="6"/>
  <c r="F632" i="6"/>
  <c r="F857" i="6"/>
  <c r="F520" i="6"/>
  <c r="F402" i="6"/>
  <c r="F575" i="6"/>
  <c r="F441" i="6"/>
  <c r="F543" i="6"/>
  <c r="F1160" i="6"/>
  <c r="F813" i="6"/>
  <c r="F706" i="6"/>
  <c r="F462" i="6"/>
  <c r="F649" i="6"/>
  <c r="F2015" i="6"/>
  <c r="F1108" i="6"/>
  <c r="F1042" i="6"/>
  <c r="F972" i="6"/>
  <c r="F503" i="6"/>
  <c r="F785" i="6"/>
  <c r="F670" i="6"/>
  <c r="F576" i="6"/>
  <c r="F1088" i="6"/>
  <c r="F1851" i="6"/>
  <c r="F1541" i="6"/>
  <c r="F976" i="6"/>
  <c r="F735" i="6"/>
  <c r="F1807" i="6"/>
  <c r="F1190" i="6"/>
  <c r="F1805" i="6"/>
  <c r="F1919" i="6"/>
  <c r="F982" i="6"/>
  <c r="F1811" i="6"/>
  <c r="F1593" i="6"/>
  <c r="F1769" i="6"/>
  <c r="F1761" i="6"/>
  <c r="F552" i="6"/>
  <c r="F838" i="6"/>
  <c r="F822" i="6"/>
  <c r="F717" i="6"/>
  <c r="F964" i="6"/>
  <c r="F1068" i="6"/>
  <c r="F568" i="6"/>
  <c r="F956" i="6"/>
  <c r="F914" i="6"/>
  <c r="F1809" i="6"/>
  <c r="F1935" i="6"/>
  <c r="F756" i="6"/>
  <c r="F845" i="6"/>
  <c r="F460" i="6"/>
  <c r="F1795" i="6"/>
  <c r="F416" i="6"/>
  <c r="F413" i="6"/>
  <c r="F689" i="6"/>
  <c r="F1871" i="6"/>
  <c r="F1544" i="6"/>
  <c r="F1176" i="6"/>
  <c r="F1875" i="6"/>
  <c r="F1548" i="6"/>
  <c r="F1114" i="6"/>
  <c r="F504" i="6"/>
  <c r="F624" i="6"/>
  <c r="F1172" i="6"/>
  <c r="F1106" i="6"/>
  <c r="F2080" i="6"/>
  <c r="F587" i="6"/>
  <c r="F445" i="6"/>
  <c r="F1779" i="6"/>
  <c r="F891" i="6"/>
  <c r="F463" i="6"/>
  <c r="F2236" i="6"/>
  <c r="F583" i="6"/>
  <c r="F966" i="6"/>
  <c r="F2027" i="6"/>
  <c r="F1763" i="6"/>
  <c r="F1086" i="6"/>
  <c r="F653" i="6"/>
  <c r="F2250" i="6"/>
  <c r="F1825" i="6"/>
  <c r="F1128" i="6"/>
  <c r="F946" i="6"/>
  <c r="F1759" i="6"/>
  <c r="F1082" i="6"/>
  <c r="F850" i="6"/>
  <c r="F446" i="6"/>
  <c r="F571" i="6"/>
  <c r="F1821" i="6"/>
  <c r="F1124" i="6"/>
  <c r="F805" i="6"/>
  <c r="F1991" i="6"/>
  <c r="F1742" i="6"/>
  <c r="F1078" i="6"/>
  <c r="F842" i="6"/>
  <c r="F641" i="6"/>
  <c r="F438" i="6"/>
  <c r="F628" i="6"/>
  <c r="F412" i="6"/>
  <c r="F792" i="6"/>
  <c r="F919" i="6"/>
  <c r="F611" i="6"/>
  <c r="F1018" i="6"/>
  <c r="F1843" i="6"/>
  <c r="F915" i="6"/>
  <c r="F621" i="6"/>
  <c r="F396" i="6"/>
  <c r="F1435" i="6"/>
  <c r="F898" i="6"/>
  <c r="F772" i="6"/>
  <c r="F607" i="6"/>
  <c r="F1789" i="6"/>
  <c r="F1014" i="6"/>
  <c r="F1971" i="6"/>
  <c r="F911" i="6"/>
  <c r="F748" i="6"/>
  <c r="F612" i="6"/>
  <c r="F764" i="6"/>
  <c r="F603" i="6"/>
  <c r="F1144" i="6"/>
  <c r="F1967" i="6"/>
  <c r="F1831" i="6"/>
  <c r="F732" i="6"/>
  <c r="F384" i="6"/>
  <c r="F873" i="6"/>
  <c r="F760" i="6"/>
  <c r="F595" i="6"/>
  <c r="F1781" i="6"/>
  <c r="F1002" i="6"/>
  <c r="F397" i="6"/>
  <c r="F1963" i="6"/>
  <c r="F1819" i="6"/>
  <c r="F1154" i="6"/>
  <c r="F882" i="6"/>
  <c r="F584" i="6"/>
  <c r="F376" i="6"/>
  <c r="F869" i="6"/>
  <c r="F591" i="6"/>
  <c r="F478" i="6"/>
  <c r="F1777" i="6"/>
  <c r="F1132" i="6"/>
  <c r="F389" i="6"/>
  <c r="F1815" i="6"/>
  <c r="F1146" i="6"/>
  <c r="F1016" i="6"/>
  <c r="F724" i="6"/>
  <c r="F580" i="6"/>
  <c r="F467" i="6"/>
  <c r="F1405" i="6"/>
  <c r="F793" i="6"/>
  <c r="F2068" i="6"/>
  <c r="F2007" i="6"/>
  <c r="F531" i="6"/>
  <c r="F927" i="6"/>
  <c r="F923" i="6"/>
  <c r="F637" i="6"/>
  <c r="F1841" i="6"/>
  <c r="F1421" i="6"/>
  <c r="F781" i="6"/>
  <c r="F777" i="6"/>
  <c r="F1793" i="6"/>
  <c r="F757" i="6"/>
  <c r="F508" i="6"/>
  <c r="F1887" i="6"/>
  <c r="F459" i="6"/>
  <c r="F902" i="6"/>
  <c r="F1979" i="6"/>
  <c r="F512" i="6"/>
  <c r="F2037" i="6"/>
  <c r="F1961" i="6"/>
  <c r="F1895" i="6"/>
  <c r="F1149" i="6"/>
  <c r="F942" i="6"/>
  <c r="F1166" i="6"/>
  <c r="F1102" i="6"/>
  <c r="F1038" i="6"/>
  <c r="F903" i="6"/>
  <c r="F834" i="6"/>
  <c r="F770" i="6"/>
  <c r="F702" i="6"/>
  <c r="F500" i="6"/>
  <c r="F437" i="6"/>
  <c r="F1035" i="6"/>
  <c r="F468" i="6"/>
  <c r="F393" i="6"/>
  <c r="F1787" i="6"/>
  <c r="F890" i="6"/>
  <c r="F139" i="6"/>
  <c r="F170" i="6"/>
  <c r="F314" i="6"/>
  <c r="F2350" i="6"/>
  <c r="F2055" i="6"/>
  <c r="F1799" i="6"/>
  <c r="F731" i="6"/>
  <c r="F84" i="6"/>
  <c r="F559" i="6"/>
  <c r="F21" i="6"/>
  <c r="F1859" i="6"/>
  <c r="F677" i="6"/>
  <c r="F434" i="6"/>
  <c r="F194" i="6"/>
  <c r="F22" i="6"/>
  <c r="F1757" i="6"/>
  <c r="F209" i="6"/>
  <c r="F336" i="6"/>
  <c r="F256" i="6"/>
  <c r="F1855" i="6"/>
  <c r="F415" i="6"/>
  <c r="F60" i="6"/>
  <c r="F2092" i="6"/>
  <c r="F2033" i="6"/>
  <c r="F2358" i="6"/>
  <c r="F2193" i="6"/>
  <c r="F1983" i="6"/>
  <c r="F1950" i="6"/>
  <c r="F1081" i="6"/>
  <c r="F1099" i="6"/>
  <c r="F1029" i="6"/>
  <c r="F965" i="6"/>
  <c r="F699" i="6"/>
  <c r="F630" i="6"/>
  <c r="F496" i="6"/>
  <c r="F433" i="6"/>
  <c r="F464" i="6"/>
  <c r="F387" i="6"/>
  <c r="F1771" i="6"/>
  <c r="F154" i="6"/>
  <c r="F282" i="6"/>
  <c r="F57" i="6"/>
  <c r="F2051" i="6"/>
  <c r="F450" i="6"/>
  <c r="F215" i="6"/>
  <c r="F1829" i="6"/>
  <c r="F261" i="6"/>
  <c r="F922" i="6"/>
  <c r="F661" i="6"/>
  <c r="F419" i="6"/>
  <c r="F162" i="6"/>
  <c r="F276" i="6"/>
  <c r="F304" i="6"/>
  <c r="F224" i="6"/>
  <c r="F1839" i="6"/>
  <c r="F935" i="6"/>
  <c r="F657" i="6"/>
  <c r="F2167" i="6"/>
  <c r="F2365" i="6"/>
  <c r="F2029" i="6"/>
  <c r="F2354" i="6"/>
  <c r="F2189" i="6"/>
  <c r="F1927" i="6"/>
  <c r="F1076" i="6"/>
  <c r="F998" i="6"/>
  <c r="F934" i="6"/>
  <c r="F1170" i="6"/>
  <c r="F1095" i="6"/>
  <c r="F1024" i="6"/>
  <c r="F961" i="6"/>
  <c r="F895" i="6"/>
  <c r="F625" i="6"/>
  <c r="F493" i="6"/>
  <c r="F539" i="6"/>
  <c r="F430" i="6"/>
  <c r="F1428" i="6"/>
  <c r="F801" i="6"/>
  <c r="F2348" i="6"/>
  <c r="F418" i="6"/>
  <c r="F2011" i="6"/>
  <c r="F865" i="6"/>
  <c r="F363" i="6"/>
  <c r="F107" i="6"/>
  <c r="F74" i="6"/>
  <c r="F2023" i="6"/>
  <c r="F1767" i="6"/>
  <c r="F697" i="6"/>
  <c r="F454" i="6"/>
  <c r="F199" i="6"/>
  <c r="F2084" i="6"/>
  <c r="F1827" i="6"/>
  <c r="F147" i="6"/>
  <c r="F210" i="6"/>
  <c r="F36" i="6"/>
  <c r="F725" i="6"/>
  <c r="F177" i="6"/>
  <c r="F1823" i="6"/>
  <c r="F918" i="6"/>
  <c r="F640" i="6"/>
  <c r="F1837" i="6"/>
  <c r="F2096" i="6"/>
  <c r="F2220" i="6"/>
  <c r="F2155" i="6"/>
  <c r="F2025" i="6"/>
  <c r="F2351" i="6"/>
  <c r="F2121" i="6"/>
  <c r="F1949" i="6"/>
  <c r="F1885" i="6"/>
  <c r="F1072" i="6"/>
  <c r="F994" i="6"/>
  <c r="F720" i="6"/>
  <c r="F1091" i="6"/>
  <c r="F1021" i="6"/>
  <c r="F823" i="6"/>
  <c r="F691" i="6"/>
  <c r="F428" i="6"/>
  <c r="F379" i="6"/>
  <c r="F347" i="6"/>
  <c r="F91" i="6"/>
  <c r="F218" i="6"/>
  <c r="F281" i="6"/>
  <c r="F25" i="6"/>
  <c r="F183" i="6"/>
  <c r="F2359" i="6"/>
  <c r="F244" i="6"/>
  <c r="F2151" i="6"/>
  <c r="F2076" i="6"/>
  <c r="F2252" i="6"/>
  <c r="F1881" i="6"/>
  <c r="F713" i="6"/>
  <c r="F1150" i="6"/>
  <c r="F819" i="6"/>
  <c r="F687" i="6"/>
  <c r="F495" i="6"/>
  <c r="F375" i="6"/>
  <c r="F421" i="6"/>
  <c r="F331" i="6"/>
  <c r="F75" i="6"/>
  <c r="F200" i="6"/>
  <c r="F186" i="6"/>
  <c r="F2364" i="6"/>
  <c r="F262" i="6"/>
  <c r="F213" i="6"/>
  <c r="F146" i="6"/>
  <c r="F2357" i="6"/>
  <c r="F2177" i="6"/>
  <c r="F1803" i="6"/>
  <c r="F1401" i="6"/>
  <c r="F1543" i="6"/>
  <c r="F1065" i="6"/>
  <c r="F987" i="6"/>
  <c r="F1147" i="6"/>
  <c r="F1083" i="6"/>
  <c r="F609" i="6"/>
  <c r="F407" i="6"/>
  <c r="F315" i="6"/>
  <c r="F2082" i="6"/>
  <c r="F2346" i="6"/>
  <c r="F2208" i="6"/>
  <c r="F2078" i="6"/>
  <c r="F2013" i="6"/>
  <c r="F1599" i="6"/>
  <c r="F1189" i="6"/>
  <c r="F1060" i="6"/>
  <c r="F776" i="6"/>
  <c r="F945" i="6"/>
  <c r="F875" i="6"/>
  <c r="F604" i="6"/>
  <c r="F470" i="6"/>
  <c r="F399" i="6"/>
  <c r="F299" i="6"/>
  <c r="F374" i="6"/>
  <c r="F10" i="6"/>
  <c r="F308" i="6"/>
  <c r="F212" i="6"/>
  <c r="F339" i="6"/>
  <c r="F2231" i="6"/>
  <c r="F2362" i="6"/>
  <c r="F2268" i="6"/>
  <c r="F2009" i="6"/>
  <c r="F2239" i="6"/>
  <c r="F1869" i="6"/>
  <c r="F1791" i="6"/>
  <c r="F1174" i="6"/>
  <c r="F1120" i="6"/>
  <c r="F1057" i="6"/>
  <c r="F978" i="6"/>
  <c r="F1138" i="6"/>
  <c r="F1005" i="6"/>
  <c r="F941" i="6"/>
  <c r="F871" i="6"/>
  <c r="F806" i="6"/>
  <c r="F675" i="6"/>
  <c r="F537" i="6"/>
  <c r="F386" i="6"/>
  <c r="F435" i="6"/>
  <c r="F2363" i="6"/>
  <c r="F1931" i="6"/>
  <c r="F1031" i="6"/>
  <c r="F283" i="6"/>
  <c r="F27" i="6"/>
  <c r="F102" i="6"/>
  <c r="F217" i="6"/>
  <c r="F1027" i="6"/>
  <c r="F877" i="6"/>
  <c r="F616" i="6"/>
  <c r="F119" i="6"/>
  <c r="F148" i="6"/>
  <c r="F165" i="6"/>
  <c r="F2003" i="6"/>
  <c r="F1746" i="6"/>
  <c r="F825" i="6"/>
  <c r="F579" i="6"/>
  <c r="F67" i="6"/>
  <c r="F353" i="6"/>
  <c r="F2360" i="6"/>
  <c r="F2199" i="6"/>
  <c r="F2005" i="6"/>
  <c r="F1975" i="6"/>
  <c r="F1595" i="6"/>
  <c r="F1907" i="6"/>
  <c r="F1740" i="6"/>
  <c r="F1597" i="6"/>
  <c r="F1398" i="6"/>
  <c r="F1180" i="6"/>
  <c r="F1116" i="6"/>
  <c r="F1053" i="6"/>
  <c r="F974" i="6"/>
  <c r="F1135" i="6"/>
  <c r="F1070" i="6"/>
  <c r="F1000" i="6"/>
  <c r="F937" i="6"/>
  <c r="F866" i="6"/>
  <c r="F737" i="6"/>
  <c r="F597" i="6"/>
  <c r="F532" i="6"/>
  <c r="F1915" i="6"/>
  <c r="F768" i="6"/>
  <c r="F267" i="6"/>
  <c r="F11" i="6"/>
  <c r="F2072" i="6"/>
  <c r="F201" i="6"/>
  <c r="F617" i="6"/>
  <c r="F861" i="6"/>
  <c r="F599" i="6"/>
  <c r="F103" i="6"/>
  <c r="F1987" i="6"/>
  <c r="F809" i="6"/>
  <c r="F888" i="6"/>
  <c r="F337" i="6"/>
  <c r="F1400" i="6"/>
  <c r="F2325" i="6"/>
  <c r="F2356" i="6"/>
  <c r="F1925" i="6"/>
  <c r="F1861" i="6"/>
  <c r="F1792" i="6"/>
  <c r="F1600" i="6"/>
  <c r="F1177" i="6"/>
  <c r="F1113" i="6"/>
  <c r="F1048" i="6"/>
  <c r="F1130" i="6"/>
  <c r="F996" i="6"/>
  <c r="F733" i="6"/>
  <c r="F667" i="6"/>
  <c r="F592" i="6"/>
  <c r="F529" i="6"/>
  <c r="F427" i="6"/>
  <c r="F743" i="6"/>
  <c r="F392" i="6"/>
  <c r="F2241" i="6"/>
  <c r="F343" i="6"/>
  <c r="F87" i="6"/>
  <c r="F321" i="6"/>
  <c r="F65" i="6"/>
  <c r="F48" i="6"/>
  <c r="F2259" i="6"/>
  <c r="F2321" i="6"/>
  <c r="F2352" i="6"/>
  <c r="F2255" i="6"/>
  <c r="F2191" i="6"/>
  <c r="F2127" i="6"/>
  <c r="F2061" i="6"/>
  <c r="F1995" i="6"/>
  <c r="F1173" i="6"/>
  <c r="F967" i="6"/>
  <c r="F759" i="6"/>
  <c r="F1126" i="6"/>
  <c r="F469" i="6"/>
  <c r="F422" i="6"/>
  <c r="F235" i="6"/>
  <c r="F362" i="6"/>
  <c r="F214" i="6"/>
  <c r="F327" i="6"/>
  <c r="F117" i="6"/>
  <c r="F305" i="6"/>
  <c r="F190" i="6"/>
  <c r="F255" i="6"/>
  <c r="F334" i="6"/>
  <c r="F188" i="6"/>
  <c r="F26" i="6"/>
  <c r="F2349" i="6"/>
  <c r="F2258" i="6"/>
  <c r="F2123" i="6"/>
  <c r="F2347" i="6"/>
  <c r="F2222" i="6"/>
  <c r="F2153" i="6"/>
  <c r="F1041" i="6"/>
  <c r="F963" i="6"/>
  <c r="F841" i="6"/>
  <c r="F685" i="6"/>
  <c r="F614" i="6"/>
  <c r="F1187" i="6"/>
  <c r="F924" i="6"/>
  <c r="F855" i="6"/>
  <c r="F790" i="6"/>
  <c r="F654" i="6"/>
  <c r="F420" i="6"/>
  <c r="F346" i="6"/>
  <c r="F20" i="6"/>
  <c r="F366" i="6"/>
  <c r="F2183" i="6"/>
  <c r="F2119" i="6"/>
  <c r="F2053" i="6"/>
  <c r="F2345" i="6"/>
  <c r="F2218" i="6"/>
  <c r="F2149" i="6"/>
  <c r="F1977" i="6"/>
  <c r="F1738" i="6"/>
  <c r="F1101" i="6"/>
  <c r="F1020" i="6"/>
  <c r="F1183" i="6"/>
  <c r="F786" i="6"/>
  <c r="F650" i="6"/>
  <c r="F517" i="6"/>
  <c r="F411" i="6"/>
  <c r="F417" i="6"/>
  <c r="F216" i="6"/>
  <c r="F2115" i="6"/>
  <c r="F2361" i="6"/>
  <c r="F2235" i="6"/>
  <c r="F2214" i="6"/>
  <c r="F1909" i="6"/>
  <c r="F1773" i="6"/>
  <c r="F1775" i="6"/>
  <c r="F1734" i="6"/>
  <c r="F1019" i="6"/>
  <c r="F955" i="6"/>
  <c r="F1051" i="6"/>
  <c r="F916" i="6"/>
  <c r="F847" i="6"/>
  <c r="F513" i="6"/>
  <c r="F406" i="6"/>
  <c r="F2353" i="6"/>
  <c r="F187" i="6"/>
  <c r="F121" i="6"/>
  <c r="F54" i="6"/>
  <c r="F23" i="6"/>
  <c r="F24" i="6"/>
  <c r="F352" i="6"/>
  <c r="F310" i="6"/>
  <c r="F2175" i="6"/>
  <c r="F2045" i="6"/>
  <c r="F2355" i="6"/>
  <c r="F1969" i="6"/>
  <c r="F1911" i="6"/>
  <c r="F1836" i="6"/>
  <c r="F1879" i="6"/>
  <c r="F1157" i="6"/>
  <c r="F1093" i="6"/>
  <c r="F1015" i="6"/>
  <c r="F1047" i="6"/>
  <c r="F843" i="6"/>
  <c r="F778" i="6"/>
  <c r="F509" i="6"/>
  <c r="F448" i="6"/>
  <c r="F476" i="6"/>
  <c r="F395" i="6"/>
  <c r="F234" i="6"/>
  <c r="F258" i="6"/>
  <c r="F241" i="6"/>
  <c r="F222" i="6"/>
  <c r="F191" i="6"/>
  <c r="F2107" i="6"/>
  <c r="F2041" i="6"/>
  <c r="F2344" i="6"/>
  <c r="F2366" i="6"/>
  <c r="F1965" i="6"/>
  <c r="F1107" i="6"/>
  <c r="F839" i="6"/>
  <c r="F774" i="6"/>
  <c r="F638" i="6"/>
  <c r="F398" i="6"/>
  <c r="F155" i="6"/>
  <c r="F330" i="6"/>
  <c r="F68" i="6"/>
  <c r="F288" i="6"/>
  <c r="F254" i="6"/>
  <c r="F2031" i="6"/>
  <c r="F1075" i="6"/>
  <c r="F1033" i="6"/>
  <c r="F1045" i="6"/>
  <c r="F555" i="6"/>
  <c r="F1074" i="6"/>
  <c r="F940" i="6"/>
  <c r="F674" i="6"/>
  <c r="F1978" i="6"/>
  <c r="F608" i="6"/>
  <c r="F385" i="6"/>
  <c r="F2173" i="6"/>
  <c r="F1804" i="6"/>
  <c r="F382" i="6"/>
  <c r="F1813" i="6"/>
  <c r="F944" i="6"/>
  <c r="F1184" i="6"/>
  <c r="F1476" i="6"/>
  <c r="F870" i="6"/>
  <c r="F1004" i="6"/>
  <c r="F782" i="6"/>
  <c r="F876" i="6"/>
  <c r="F2163" i="6"/>
  <c r="F2260" i="6"/>
  <c r="F1163" i="6"/>
  <c r="F620" i="6"/>
  <c r="F858" i="6"/>
  <c r="F1744" i="6"/>
  <c r="F751" i="6"/>
  <c r="F381" i="6"/>
  <c r="F2288" i="6"/>
  <c r="F2169" i="6"/>
  <c r="F1056" i="6"/>
  <c r="F2074" i="6"/>
  <c r="F2070" i="6"/>
  <c r="F1139" i="6"/>
  <c r="F905" i="6"/>
  <c r="F836" i="6"/>
  <c r="F627" i="6"/>
  <c r="F1062" i="6"/>
  <c r="F863" i="6"/>
  <c r="F1590" i="6"/>
  <c r="F1985" i="6"/>
  <c r="F1109" i="6"/>
  <c r="F794" i="6"/>
  <c r="F585" i="6"/>
  <c r="F1914" i="6"/>
  <c r="F1786" i="6"/>
  <c r="F1165" i="6"/>
  <c r="F938" i="6"/>
  <c r="F1973" i="6"/>
  <c r="F1097" i="6"/>
  <c r="F1052" i="6"/>
  <c r="F1209" i="6"/>
  <c r="F1820" i="6"/>
  <c r="F1141" i="6"/>
  <c r="F740" i="6"/>
  <c r="F564" i="6"/>
  <c r="F1321" i="6"/>
  <c r="F2067" i="6"/>
  <c r="F769" i="6"/>
  <c r="F1796" i="6"/>
  <c r="F1923" i="6"/>
  <c r="F547" i="6"/>
  <c r="F530" i="6"/>
  <c r="F1148" i="6"/>
  <c r="F1832" i="6"/>
  <c r="F1768" i="6"/>
  <c r="F864" i="6"/>
  <c r="F726" i="6"/>
  <c r="F652" i="6"/>
  <c r="F830" i="6"/>
  <c r="F629" i="6"/>
  <c r="F2017" i="6"/>
  <c r="F1882" i="6"/>
  <c r="F651" i="6"/>
  <c r="F2030" i="6"/>
  <c r="F1942" i="6"/>
  <c r="F1196" i="6"/>
  <c r="F856" i="6"/>
  <c r="F722" i="6"/>
  <c r="F698" i="6"/>
  <c r="F2273" i="6"/>
  <c r="F909" i="6"/>
  <c r="F840" i="6"/>
  <c r="F542" i="6"/>
  <c r="F789" i="6"/>
  <c r="F747" i="6"/>
  <c r="F491" i="6"/>
  <c r="F633" i="6"/>
  <c r="F886" i="6"/>
  <c r="F600" i="6"/>
  <c r="F442" i="6"/>
  <c r="F648" i="6"/>
  <c r="F1790" i="6"/>
  <c r="F901" i="6"/>
  <c r="F1182" i="6"/>
  <c r="F1054" i="6"/>
  <c r="F2002" i="6"/>
  <c r="F560" i="6"/>
  <c r="F884" i="6"/>
  <c r="F1098" i="6"/>
  <c r="F2133" i="6"/>
  <c r="F1756" i="6"/>
  <c r="F1824" i="6"/>
  <c r="F734" i="6"/>
  <c r="F668" i="6"/>
  <c r="F962" i="6"/>
  <c r="F1134" i="6"/>
  <c r="F2026" i="6"/>
  <c r="F1938" i="6"/>
  <c r="F1125" i="6"/>
  <c r="F921" i="6"/>
  <c r="F712" i="6"/>
  <c r="F1155" i="6"/>
  <c r="F954" i="6"/>
  <c r="F881" i="6"/>
  <c r="F562" i="6"/>
  <c r="F498" i="6"/>
  <c r="F1040" i="6"/>
  <c r="F958" i="6"/>
  <c r="F761" i="6"/>
  <c r="F1934" i="6"/>
  <c r="F1741" i="6"/>
  <c r="F1121" i="6"/>
  <c r="F708" i="6"/>
  <c r="F1006" i="6"/>
  <c r="F854" i="6"/>
  <c r="F549" i="6"/>
  <c r="F556" i="6"/>
  <c r="F492" i="6"/>
  <c r="F2276" i="6"/>
  <c r="F2230" i="6"/>
  <c r="F2087" i="6"/>
  <c r="F1929" i="6"/>
  <c r="F1802" i="6"/>
  <c r="F1181" i="6"/>
  <c r="F913" i="6"/>
  <c r="F639" i="6"/>
  <c r="F2083" i="6"/>
  <c r="F1989" i="6"/>
  <c r="F1926" i="6"/>
  <c r="F1862" i="6"/>
  <c r="F1231" i="6"/>
  <c r="F1084" i="6"/>
  <c r="F936" i="6"/>
  <c r="F826" i="6"/>
  <c r="F736" i="6"/>
  <c r="F2079" i="6"/>
  <c r="F1922" i="6"/>
  <c r="F1794" i="6"/>
  <c r="F808" i="6"/>
  <c r="F741" i="6"/>
  <c r="F601" i="6"/>
  <c r="F1269" i="6"/>
  <c r="F482" i="6"/>
  <c r="F1034" i="6"/>
  <c r="F623" i="6"/>
  <c r="F602" i="6"/>
  <c r="F475" i="6"/>
  <c r="F2320" i="6"/>
  <c r="F694" i="6"/>
  <c r="F1604" i="6"/>
  <c r="F1162" i="6"/>
  <c r="F1096" i="6"/>
  <c r="F563" i="6"/>
  <c r="F2202" i="6"/>
  <c r="F1998" i="6"/>
  <c r="F1846" i="6"/>
  <c r="F824" i="6"/>
  <c r="F750" i="6"/>
  <c r="F619" i="6"/>
  <c r="F598" i="6"/>
  <c r="F534" i="6"/>
  <c r="F1227" i="6"/>
  <c r="F752" i="6"/>
  <c r="F479" i="6"/>
  <c r="F429" i="6"/>
  <c r="F2307" i="6"/>
  <c r="F1994" i="6"/>
  <c r="F1778" i="6"/>
  <c r="F1211" i="6"/>
  <c r="F1853" i="6"/>
  <c r="F1094" i="6"/>
  <c r="F1990" i="6"/>
  <c r="F1774" i="6"/>
  <c r="F1011" i="6"/>
  <c r="F610" i="6"/>
  <c r="F986" i="6"/>
  <c r="F2337" i="6"/>
  <c r="F2050" i="6"/>
  <c r="F1962" i="6"/>
  <c r="F1898" i="6"/>
  <c r="F1834" i="6"/>
  <c r="F1770" i="6"/>
  <c r="F1085" i="6"/>
  <c r="F812" i="6"/>
  <c r="F480" i="6"/>
  <c r="F797" i="6"/>
  <c r="F1958" i="6"/>
  <c r="F1164" i="6"/>
  <c r="F636" i="6"/>
  <c r="F1064" i="6"/>
  <c r="F2042" i="6"/>
  <c r="F1954" i="6"/>
  <c r="F1890" i="6"/>
  <c r="F868" i="6"/>
  <c r="F799" i="6"/>
  <c r="F730" i="6"/>
  <c r="F664" i="6"/>
  <c r="F1750" i="6"/>
  <c r="F514" i="6"/>
  <c r="F2117" i="6"/>
  <c r="F1886" i="6"/>
  <c r="F660" i="6"/>
  <c r="F1596" i="6"/>
  <c r="F904" i="6"/>
  <c r="F1402" i="6"/>
  <c r="F960" i="6"/>
  <c r="F929" i="6"/>
  <c r="F766" i="6"/>
  <c r="F436" i="6"/>
  <c r="F2308" i="6"/>
  <c r="F2104" i="6"/>
  <c r="F950" i="6"/>
  <c r="F681" i="6"/>
  <c r="F1008" i="6"/>
  <c r="F728" i="6"/>
  <c r="F483" i="6"/>
  <c r="F1863" i="6"/>
  <c r="F988" i="6"/>
  <c r="F1867" i="6"/>
  <c r="F596" i="6"/>
  <c r="F1297" i="6"/>
  <c r="F312" i="6"/>
  <c r="F51" i="6"/>
  <c r="F526" i="6"/>
  <c r="F243" i="6"/>
  <c r="F1833" i="6"/>
  <c r="F228" i="6"/>
  <c r="F198" i="6"/>
  <c r="F2283" i="6"/>
  <c r="F1812" i="6"/>
  <c r="F506" i="6"/>
  <c r="F329" i="6"/>
  <c r="F231" i="6"/>
  <c r="F277" i="6"/>
  <c r="F2019" i="6"/>
  <c r="F2001" i="6"/>
  <c r="F1117" i="6"/>
  <c r="F410" i="6"/>
  <c r="F265" i="6"/>
  <c r="F128" i="6"/>
  <c r="F351" i="6"/>
  <c r="F95" i="6"/>
  <c r="F2312" i="6"/>
  <c r="F1945" i="6"/>
  <c r="F383" i="6"/>
  <c r="F605" i="6"/>
  <c r="F123" i="6"/>
  <c r="F455" i="6"/>
  <c r="F250" i="6"/>
  <c r="F41" i="6"/>
  <c r="F272" i="6"/>
  <c r="F285" i="6"/>
  <c r="F1865" i="6"/>
  <c r="F82" i="6"/>
  <c r="F319" i="6"/>
  <c r="F829" i="6"/>
  <c r="F90" i="6"/>
  <c r="F32" i="6"/>
  <c r="F906" i="6"/>
  <c r="F378" i="6"/>
  <c r="F1772" i="6"/>
  <c r="F820" i="6"/>
  <c r="F746" i="6"/>
  <c r="F680" i="6"/>
  <c r="F19" i="6"/>
  <c r="F1188" i="6"/>
  <c r="F1783" i="6"/>
  <c r="F711" i="6"/>
  <c r="F338" i="6"/>
  <c r="F440" i="6"/>
  <c r="F247" i="6"/>
  <c r="F2035" i="6"/>
  <c r="F167" i="6"/>
  <c r="F527" i="6"/>
  <c r="F1765" i="6"/>
  <c r="F645" i="6"/>
  <c r="F700" i="6"/>
  <c r="F635" i="6"/>
  <c r="F1143" i="6"/>
  <c r="F679" i="6"/>
  <c r="F443" i="6"/>
  <c r="F120" i="6"/>
  <c r="F631" i="6"/>
  <c r="F181" i="6"/>
  <c r="F714" i="6"/>
  <c r="F2319" i="6"/>
  <c r="F763" i="6"/>
  <c r="F168" i="6"/>
  <c r="F359" i="6"/>
  <c r="F874" i="6"/>
  <c r="F2141" i="6"/>
  <c r="F1161" i="6"/>
  <c r="F456" i="6"/>
  <c r="F219" i="6"/>
  <c r="F55" i="6"/>
  <c r="F259" i="6"/>
  <c r="F354" i="6"/>
  <c r="F669" i="6"/>
  <c r="F1828" i="6"/>
  <c r="F738" i="6"/>
  <c r="F672" i="6"/>
  <c r="F452" i="6"/>
  <c r="F203" i="6"/>
  <c r="F137" i="6"/>
  <c r="F85" i="6"/>
  <c r="F2171" i="6"/>
  <c r="F569" i="6"/>
  <c r="F171" i="6"/>
  <c r="F292" i="6"/>
  <c r="F263" i="6"/>
  <c r="F76" i="6"/>
  <c r="F739" i="6"/>
  <c r="F466" i="6"/>
  <c r="F1951" i="6"/>
  <c r="F2198" i="6"/>
  <c r="F2139" i="6"/>
  <c r="F2300" i="6"/>
  <c r="F297" i="6"/>
  <c r="F535" i="6"/>
  <c r="F784" i="6"/>
  <c r="F1997" i="6"/>
  <c r="F2157" i="6"/>
  <c r="F771" i="6"/>
  <c r="F1105" i="6"/>
  <c r="F867" i="6"/>
  <c r="F369" i="6"/>
  <c r="F380" i="6"/>
  <c r="F1913" i="6"/>
  <c r="F997" i="6"/>
  <c r="F1059" i="6"/>
  <c r="F744" i="6"/>
  <c r="F1901" i="6"/>
  <c r="F947" i="6"/>
  <c r="F880" i="6"/>
  <c r="F311" i="6"/>
  <c r="F1986" i="6"/>
  <c r="F2159" i="6"/>
  <c r="F1003" i="6"/>
  <c r="F1418" i="6"/>
  <c r="F39" i="6"/>
  <c r="F341" i="6"/>
  <c r="F968" i="6"/>
  <c r="F2256" i="6"/>
  <c r="F1043" i="6"/>
  <c r="F377" i="6"/>
  <c r="F995" i="6"/>
  <c r="F501" i="6"/>
  <c r="F1743" i="6"/>
  <c r="F202" i="6"/>
  <c r="F345" i="6"/>
  <c r="F647" i="6"/>
  <c r="F618" i="6"/>
  <c r="F749" i="6"/>
  <c r="F145" i="6"/>
  <c r="F2043" i="6"/>
  <c r="F1780" i="6"/>
  <c r="F50" i="6"/>
  <c r="F1939" i="6"/>
  <c r="F2311" i="6"/>
  <c r="F2303" i="6"/>
  <c r="F1999" i="6"/>
  <c r="F981" i="6"/>
  <c r="F489" i="6"/>
  <c r="F286" i="6"/>
  <c r="F803" i="6"/>
  <c r="F573" i="6"/>
  <c r="F1092" i="6"/>
  <c r="F795" i="6"/>
  <c r="F1233" i="6"/>
  <c r="F105" i="6"/>
  <c r="F2147" i="6"/>
  <c r="F1069" i="6"/>
  <c r="F2161" i="6"/>
  <c r="F1127" i="6"/>
  <c r="F676" i="6"/>
  <c r="F232" i="6"/>
  <c r="F324" i="6"/>
  <c r="F1115" i="6"/>
  <c r="F2090" i="6"/>
  <c r="F860" i="6"/>
  <c r="F471" i="6"/>
  <c r="F253" i="6"/>
  <c r="F273" i="6"/>
  <c r="F1133" i="6"/>
  <c r="F925" i="6"/>
  <c r="F1022" i="6"/>
  <c r="F2237" i="6"/>
  <c r="F522" i="6"/>
  <c r="F56" i="6"/>
  <c r="F2304" i="6"/>
  <c r="F444" i="6"/>
  <c r="F2205" i="6"/>
  <c r="F2238" i="6"/>
  <c r="F2279" i="6"/>
  <c r="F979" i="6"/>
  <c r="F260" i="6"/>
  <c r="F193" i="6"/>
  <c r="F143" i="6"/>
  <c r="F1152" i="6"/>
  <c r="F541" i="6"/>
  <c r="F134" i="6"/>
  <c r="F43" i="6"/>
  <c r="F684" i="6"/>
  <c r="F521" i="6"/>
  <c r="F251" i="6"/>
  <c r="F206" i="6"/>
  <c r="F817" i="6"/>
  <c r="F939" i="6"/>
  <c r="F644" i="6"/>
  <c r="F709" i="6"/>
  <c r="F2185" i="6"/>
  <c r="F1953" i="6"/>
  <c r="F1171" i="6"/>
  <c r="F17" i="6"/>
  <c r="F690" i="6"/>
  <c r="F2034" i="6"/>
  <c r="F1943" i="6"/>
  <c r="F37" i="6"/>
  <c r="F425" i="6"/>
  <c r="F2262" i="6"/>
  <c r="F1798" i="6"/>
  <c r="F975" i="6"/>
  <c r="F313" i="6"/>
  <c r="F2057" i="6"/>
  <c r="F1169" i="6"/>
  <c r="F767" i="6"/>
  <c r="F696" i="6"/>
  <c r="F1536" i="6"/>
  <c r="F546" i="6"/>
  <c r="F451" i="6"/>
  <c r="F1540" i="6"/>
  <c r="F131" i="6"/>
  <c r="F240" i="6"/>
  <c r="F111" i="6"/>
  <c r="F294" i="6"/>
  <c r="F2315" i="6"/>
  <c r="F2049" i="6"/>
  <c r="F1849" i="6"/>
  <c r="F1850" i="6"/>
  <c r="F832" i="6"/>
  <c r="F66" i="6"/>
  <c r="F1801" i="6"/>
  <c r="F2331" i="6"/>
  <c r="F1845" i="6"/>
  <c r="F1910" i="6"/>
  <c r="F897" i="6"/>
  <c r="F828" i="6"/>
  <c r="F754" i="6"/>
  <c r="F473" i="6"/>
  <c r="F1581" i="6"/>
  <c r="F59" i="6"/>
  <c r="F138" i="6"/>
  <c r="F2137" i="6"/>
  <c r="F993" i="6"/>
  <c r="F233" i="6"/>
  <c r="F548" i="6"/>
  <c r="F1089" i="6"/>
  <c r="F465" i="6"/>
  <c r="F391" i="6"/>
  <c r="F112" i="6"/>
  <c r="F2299" i="6"/>
  <c r="F1764" i="6"/>
  <c r="F461" i="6"/>
  <c r="F431" i="6"/>
  <c r="F1309" i="6"/>
  <c r="F307" i="6"/>
  <c r="F2224" i="6"/>
  <c r="F1830" i="6"/>
  <c r="F133" i="6"/>
  <c r="F291" i="6"/>
  <c r="F35" i="6"/>
  <c r="F173" i="6"/>
  <c r="F2291" i="6"/>
  <c r="F1889" i="6"/>
  <c r="F169" i="6"/>
  <c r="F71" i="6"/>
  <c r="F2287" i="6"/>
  <c r="F2216" i="6"/>
  <c r="F2086" i="6"/>
  <c r="F2021" i="6"/>
  <c r="F1816" i="6"/>
  <c r="F1073" i="6"/>
  <c r="F973" i="6"/>
  <c r="F908" i="6"/>
  <c r="F707" i="6"/>
  <c r="F505" i="6"/>
  <c r="F358" i="6"/>
  <c r="F1946" i="6"/>
  <c r="F1818" i="6"/>
  <c r="F1369" i="6"/>
  <c r="F2143" i="6"/>
  <c r="F1877" i="6"/>
  <c r="F1808" i="6"/>
  <c r="F1739" i="6"/>
  <c r="F1878" i="6"/>
  <c r="F1129" i="6"/>
  <c r="F791" i="6"/>
  <c r="F655" i="6"/>
  <c r="F561" i="6"/>
  <c r="F403" i="6"/>
  <c r="F227" i="6"/>
  <c r="F1937" i="6"/>
  <c r="F1745" i="6"/>
  <c r="F626" i="6"/>
  <c r="F278" i="6"/>
  <c r="F852" i="6"/>
  <c r="F2324" i="6"/>
  <c r="F1857" i="6"/>
  <c r="F1788" i="6"/>
  <c r="F1858" i="6"/>
  <c r="F971" i="6"/>
  <c r="F775" i="6"/>
  <c r="F704" i="6"/>
  <c r="F1013" i="6"/>
  <c r="F815" i="6"/>
  <c r="F545" i="6"/>
  <c r="F73" i="6"/>
  <c r="F179" i="6"/>
  <c r="F1377" i="6"/>
  <c r="F804" i="6"/>
  <c r="F885" i="6"/>
  <c r="F163" i="6"/>
  <c r="F242" i="6"/>
  <c r="F62" i="6"/>
  <c r="F88" i="6"/>
  <c r="F328" i="6"/>
  <c r="F46" i="6"/>
  <c r="F245" i="6"/>
  <c r="F671" i="6"/>
  <c r="F533" i="6"/>
  <c r="F1520" i="6"/>
  <c r="F477" i="6"/>
  <c r="F360" i="6"/>
  <c r="F593" i="6"/>
  <c r="F300" i="6"/>
  <c r="F2292" i="6"/>
  <c r="F2269" i="6"/>
  <c r="F2197" i="6"/>
  <c r="F889" i="6"/>
  <c r="F589" i="6"/>
  <c r="F525" i="6"/>
  <c r="F1488" i="6"/>
  <c r="F439" i="6"/>
  <c r="F1333" i="6"/>
  <c r="F151" i="6"/>
  <c r="F355" i="6"/>
  <c r="F18" i="6"/>
  <c r="F114" i="6"/>
  <c r="F96" i="6"/>
  <c r="F79" i="6"/>
  <c r="F2272" i="6"/>
  <c r="F1982" i="6"/>
  <c r="F1894" i="6"/>
  <c r="F1826" i="6"/>
  <c r="F1179" i="6"/>
  <c r="F586" i="6"/>
  <c r="F252" i="6"/>
  <c r="F1496" i="6"/>
  <c r="F1289" i="6"/>
  <c r="F185" i="6"/>
  <c r="F184" i="6"/>
  <c r="F124" i="6"/>
  <c r="F132" i="6"/>
  <c r="F1385" i="6"/>
  <c r="F578" i="6"/>
  <c r="F1275" i="6"/>
  <c r="F49" i="6"/>
  <c r="F239" i="6"/>
  <c r="F2275" i="6"/>
  <c r="F1874" i="6"/>
  <c r="F78" i="6"/>
  <c r="F2336" i="6"/>
  <c r="F1806" i="6"/>
  <c r="F1185" i="6"/>
  <c r="F983" i="6"/>
  <c r="F896" i="6"/>
  <c r="F827" i="6"/>
  <c r="F1219" i="6"/>
  <c r="F1193" i="6"/>
  <c r="F350" i="6"/>
  <c r="F783" i="6"/>
  <c r="F317" i="6"/>
  <c r="F61" i="6"/>
  <c r="F899" i="6"/>
  <c r="F773" i="6"/>
  <c r="F2054" i="6"/>
  <c r="F1776" i="6"/>
  <c r="F1782" i="6"/>
  <c r="F959" i="6"/>
  <c r="F692" i="6"/>
  <c r="F1071" i="6"/>
  <c r="F1001" i="6"/>
  <c r="F606" i="6"/>
  <c r="F1425" i="6"/>
  <c r="F1361" i="6"/>
  <c r="F2263" i="6"/>
  <c r="F457" i="6"/>
  <c r="F130" i="6"/>
  <c r="F1751" i="6"/>
  <c r="F172" i="6"/>
  <c r="F208" i="6"/>
  <c r="F38" i="6"/>
  <c r="F127" i="6"/>
  <c r="F152" i="6"/>
  <c r="F140" i="6"/>
  <c r="F301" i="6"/>
  <c r="F45" i="6"/>
  <c r="F723" i="6"/>
  <c r="F449" i="6"/>
  <c r="F2228" i="6"/>
  <c r="F2098" i="6"/>
  <c r="F2329" i="6"/>
  <c r="F2129" i="6"/>
  <c r="F1905" i="6"/>
  <c r="F1906" i="6"/>
  <c r="F1842" i="6"/>
  <c r="F893" i="6"/>
  <c r="F688" i="6"/>
  <c r="F1131" i="6"/>
  <c r="F1067" i="6"/>
  <c r="F798" i="6"/>
  <c r="F1504" i="6"/>
  <c r="F538" i="6"/>
  <c r="F447" i="6"/>
  <c r="F1345" i="6"/>
  <c r="F229" i="6"/>
  <c r="F98" i="6"/>
  <c r="F178" i="6"/>
  <c r="F161" i="6"/>
  <c r="F12" i="6"/>
  <c r="F176" i="6"/>
  <c r="F367" i="6"/>
  <c r="F58" i="6"/>
  <c r="F29" i="6"/>
  <c r="F348" i="6"/>
  <c r="F788" i="6"/>
  <c r="F1158" i="6"/>
  <c r="F765" i="6"/>
  <c r="F2295" i="6"/>
  <c r="F2094" i="6"/>
  <c r="F2125" i="6"/>
  <c r="F2046" i="6"/>
  <c r="F1966" i="6"/>
  <c r="F1902" i="6"/>
  <c r="F1838" i="6"/>
  <c r="F1153" i="6"/>
  <c r="F951" i="6"/>
  <c r="F1063" i="6"/>
  <c r="F859" i="6"/>
  <c r="F729" i="6"/>
  <c r="F663" i="6"/>
  <c r="F390" i="6"/>
  <c r="F1271" i="6"/>
  <c r="F1337" i="6"/>
  <c r="F371" i="6"/>
  <c r="F115" i="6"/>
  <c r="F192" i="6"/>
  <c r="F264" i="6"/>
  <c r="F269" i="6"/>
  <c r="F13" i="6"/>
  <c r="F332" i="6"/>
  <c r="F511" i="6"/>
  <c r="F1168" i="6"/>
  <c r="F1897" i="6"/>
  <c r="F1547" i="6"/>
  <c r="F1123" i="6"/>
  <c r="F989" i="6"/>
  <c r="F594" i="6"/>
  <c r="F1255" i="6"/>
  <c r="F1565" i="6"/>
  <c r="F249" i="6"/>
  <c r="F70" i="6"/>
  <c r="F99" i="6"/>
  <c r="F129" i="6"/>
  <c r="F160" i="6"/>
  <c r="F248" i="6"/>
  <c r="F335" i="6"/>
  <c r="F356" i="6"/>
  <c r="F40" i="6"/>
  <c r="F2251" i="6"/>
  <c r="F2316" i="6"/>
  <c r="F2181" i="6"/>
  <c r="F2038" i="6"/>
  <c r="F1974" i="6"/>
  <c r="F1957" i="6"/>
  <c r="F1893" i="6"/>
  <c r="F1766" i="6"/>
  <c r="F1145" i="6"/>
  <c r="F1007" i="6"/>
  <c r="F943" i="6"/>
  <c r="F816" i="6"/>
  <c r="F742" i="6"/>
  <c r="F1119" i="6"/>
  <c r="F1055" i="6"/>
  <c r="F985" i="6"/>
  <c r="F920" i="6"/>
  <c r="F851" i="6"/>
  <c r="F581" i="6"/>
  <c r="F1460" i="6"/>
  <c r="F590" i="6"/>
  <c r="F1239" i="6"/>
  <c r="F1553" i="6"/>
  <c r="F135" i="6"/>
  <c r="F83" i="6"/>
  <c r="F44" i="6"/>
  <c r="F113" i="6"/>
  <c r="F144" i="6"/>
  <c r="F72" i="6"/>
  <c r="F64" i="6"/>
  <c r="F63" i="6"/>
  <c r="F52" i="6"/>
  <c r="F246" i="6"/>
  <c r="F237" i="6"/>
  <c r="F364" i="6"/>
  <c r="F268" i="6"/>
  <c r="F2113" i="6"/>
  <c r="F1762" i="6"/>
  <c r="F1077" i="6"/>
  <c r="F1755" i="6"/>
  <c r="F646" i="6"/>
  <c r="F577" i="6"/>
  <c r="F1444" i="6"/>
  <c r="F1404" i="6"/>
  <c r="F1528" i="6"/>
  <c r="F2335" i="6"/>
  <c r="F323" i="6"/>
  <c r="F97" i="6"/>
  <c r="F342" i="6"/>
  <c r="F303" i="6"/>
  <c r="F47" i="6"/>
  <c r="F118" i="6"/>
  <c r="F221" i="6"/>
  <c r="F316" i="6"/>
  <c r="F220" i="6"/>
  <c r="F2039" i="6"/>
  <c r="F1847" i="6"/>
  <c r="F878" i="6"/>
  <c r="F682" i="6"/>
  <c r="F2243" i="6"/>
  <c r="F2105" i="6"/>
  <c r="F1747" i="6"/>
  <c r="F1822" i="6"/>
  <c r="F1137" i="6"/>
  <c r="F999" i="6"/>
  <c r="F872" i="6"/>
  <c r="F1175" i="6"/>
  <c r="F1111" i="6"/>
  <c r="F977" i="6"/>
  <c r="F912" i="6"/>
  <c r="F642" i="6"/>
  <c r="F582" i="6"/>
  <c r="F518" i="6"/>
  <c r="F1283" i="6"/>
  <c r="F1301" i="6"/>
  <c r="F164" i="6"/>
  <c r="F149" i="6"/>
  <c r="F344" i="6"/>
  <c r="F34" i="6"/>
  <c r="F81" i="6"/>
  <c r="F80" i="6"/>
  <c r="F166" i="6"/>
  <c r="F238" i="6"/>
  <c r="F287" i="6"/>
  <c r="F31" i="6"/>
  <c r="F372" i="6"/>
  <c r="F205" i="6"/>
  <c r="F284" i="6"/>
  <c r="F204" i="6"/>
  <c r="F1545" i="6"/>
  <c r="F271" i="6"/>
  <c r="F15" i="6"/>
  <c r="F189" i="6"/>
  <c r="F156" i="6"/>
  <c r="F2271" i="6"/>
  <c r="F2135" i="6"/>
  <c r="F2229" i="6"/>
  <c r="F2165" i="6"/>
  <c r="F2091" i="6"/>
  <c r="F2022" i="6"/>
  <c r="F1970" i="6"/>
  <c r="F1941" i="6"/>
  <c r="F1814" i="6"/>
  <c r="F1749" i="6"/>
  <c r="F991" i="6"/>
  <c r="F1167" i="6"/>
  <c r="F1103" i="6"/>
  <c r="F969" i="6"/>
  <c r="F835" i="6"/>
  <c r="F703" i="6"/>
  <c r="F634" i="6"/>
  <c r="F565" i="6"/>
  <c r="F574" i="6"/>
  <c r="F510" i="6"/>
  <c r="F1263" i="6"/>
  <c r="F1261" i="6"/>
  <c r="F373" i="6"/>
  <c r="F275" i="6"/>
  <c r="F136" i="6"/>
  <c r="F28" i="6"/>
  <c r="F16" i="6"/>
  <c r="F100" i="6"/>
  <c r="F236" i="6"/>
  <c r="F122" i="6"/>
  <c r="F2195" i="6"/>
  <c r="F2131" i="6"/>
  <c r="F2296" i="6"/>
  <c r="F2018" i="6"/>
  <c r="F1873" i="6"/>
  <c r="F1810" i="6"/>
  <c r="F1061" i="6"/>
  <c r="F900" i="6"/>
  <c r="F831" i="6"/>
  <c r="F497" i="6"/>
  <c r="F1681" i="6"/>
  <c r="F1353" i="6"/>
  <c r="F570" i="6"/>
  <c r="F1247" i="6"/>
  <c r="F485" i="6"/>
  <c r="F1452" i="6"/>
  <c r="F1253" i="6"/>
  <c r="F153" i="6"/>
  <c r="F357" i="6"/>
  <c r="F101" i="6"/>
  <c r="F180" i="6"/>
  <c r="F42" i="6"/>
  <c r="F289" i="6"/>
  <c r="F33" i="6"/>
  <c r="F142" i="6"/>
  <c r="F157" i="6"/>
  <c r="F1140" i="6"/>
  <c r="F992" i="6"/>
  <c r="F2328" i="6"/>
  <c r="F2226" i="6"/>
  <c r="F2014" i="6"/>
  <c r="F1933" i="6"/>
  <c r="F1800" i="6"/>
  <c r="F1870" i="6"/>
  <c r="F787" i="6"/>
  <c r="F716" i="6"/>
  <c r="F1159" i="6"/>
  <c r="F762" i="6"/>
  <c r="F695" i="6"/>
  <c r="F557" i="6"/>
  <c r="F566" i="6"/>
  <c r="F502" i="6"/>
  <c r="F481" i="6"/>
  <c r="F1436" i="6"/>
  <c r="F298" i="6"/>
  <c r="F230" i="6"/>
  <c r="F295" i="6"/>
  <c r="F322" i="6"/>
  <c r="F318" i="6"/>
  <c r="F2200" i="6"/>
  <c r="F223" i="6"/>
  <c r="F174" i="6"/>
  <c r="F141" i="6"/>
  <c r="F92" i="6"/>
  <c r="F104" i="6"/>
  <c r="F2187" i="6"/>
  <c r="F2010" i="6"/>
  <c r="F1993" i="6"/>
  <c r="F1930" i="6"/>
  <c r="F1866" i="6"/>
  <c r="F1753" i="6"/>
  <c r="F917" i="6"/>
  <c r="F957" i="6"/>
  <c r="F892" i="6"/>
  <c r="F622" i="6"/>
  <c r="F553" i="6"/>
  <c r="F1605" i="6"/>
  <c r="F1313" i="6"/>
  <c r="F432" i="6"/>
  <c r="F2099" i="6"/>
  <c r="F266" i="6"/>
  <c r="F279" i="6"/>
  <c r="F325" i="6"/>
  <c r="F69" i="6"/>
  <c r="F290" i="6"/>
  <c r="F370" i="6"/>
  <c r="F257" i="6"/>
  <c r="F270" i="6"/>
  <c r="F14" i="6"/>
  <c r="F207" i="6"/>
  <c r="F94" i="6"/>
  <c r="F125" i="6"/>
  <c r="F296" i="6"/>
  <c r="F326" i="6"/>
  <c r="F536" i="6"/>
  <c r="F2254" i="6"/>
  <c r="F2284" i="6"/>
  <c r="F2075" i="6"/>
  <c r="F2006" i="6"/>
  <c r="F1049" i="6"/>
  <c r="F848" i="6"/>
  <c r="F779" i="6"/>
  <c r="F643" i="6"/>
  <c r="F1151" i="6"/>
  <c r="F1087" i="6"/>
  <c r="F1017" i="6"/>
  <c r="F953" i="6"/>
  <c r="F883" i="6"/>
  <c r="F613" i="6"/>
  <c r="F558" i="6"/>
  <c r="F494" i="6"/>
  <c r="F1203" i="6"/>
  <c r="F472" i="6"/>
  <c r="F1217" i="6"/>
  <c r="F361" i="6"/>
  <c r="F150" i="6"/>
  <c r="F309" i="6"/>
  <c r="F53" i="6"/>
  <c r="F211" i="6"/>
  <c r="F320" i="6"/>
  <c r="F30" i="6"/>
  <c r="F302" i="6"/>
  <c r="F365" i="6"/>
  <c r="F109" i="6"/>
  <c r="F182" i="6"/>
  <c r="F1817" i="6"/>
  <c r="F1883" i="6"/>
  <c r="F980" i="6"/>
  <c r="F2179" i="6"/>
  <c r="F2333" i="6"/>
  <c r="F2280" i="6"/>
  <c r="F2145" i="6"/>
  <c r="F1921" i="6"/>
  <c r="F844" i="6"/>
  <c r="F949" i="6"/>
  <c r="F879" i="6"/>
  <c r="F683" i="6"/>
  <c r="F1281" i="6"/>
  <c r="F554" i="6"/>
  <c r="F490" i="6"/>
  <c r="F394" i="6"/>
  <c r="F1397" i="6"/>
  <c r="F1201" i="6"/>
  <c r="F1241" i="6"/>
  <c r="F89" i="6"/>
  <c r="F293" i="6"/>
  <c r="F195" i="6"/>
  <c r="F226" i="6"/>
  <c r="F306" i="6"/>
  <c r="F225" i="6"/>
  <c r="F368" i="6"/>
  <c r="F158" i="6"/>
  <c r="F106" i="6"/>
  <c r="F175" i="6"/>
  <c r="F108" i="6"/>
  <c r="F349" i="6"/>
  <c r="F93" i="6"/>
  <c r="F86" i="6"/>
  <c r="F340" i="6"/>
  <c r="F907" i="6"/>
  <c r="F846" i="6"/>
  <c r="F2245" i="6"/>
  <c r="F2111" i="6"/>
  <c r="F2206" i="6"/>
  <c r="F1981" i="6"/>
  <c r="F1917" i="6"/>
  <c r="F1784" i="6"/>
  <c r="F1918" i="6"/>
  <c r="F1854" i="6"/>
  <c r="F1079" i="6"/>
  <c r="F1009" i="6"/>
  <c r="F811" i="6"/>
  <c r="F745" i="6"/>
  <c r="F1573" i="6"/>
  <c r="F550" i="6"/>
  <c r="F486" i="6"/>
  <c r="F1225" i="6"/>
  <c r="F1480" i="6"/>
  <c r="F656" i="6"/>
  <c r="F2062" i="6"/>
  <c r="F274" i="6"/>
  <c r="F110" i="6"/>
  <c r="F280" i="6"/>
  <c r="F159" i="6"/>
  <c r="F126" i="6"/>
  <c r="F333" i="6"/>
  <c r="F77" i="6"/>
  <c r="F196" i="6"/>
  <c r="F116" i="6"/>
  <c r="F1512" i="6"/>
  <c r="F1427" i="6"/>
  <c r="F1729" i="6"/>
  <c r="F1410" i="6"/>
  <c r="F1557" i="6"/>
  <c r="F1713" i="6"/>
  <c r="F753" i="6"/>
  <c r="F1195" i="6"/>
  <c r="F1697" i="6"/>
  <c r="F1456" i="6"/>
  <c r="F615" i="6"/>
  <c r="F1215" i="6"/>
  <c r="F1466" i="6"/>
  <c r="F1450" i="6"/>
  <c r="F1468" i="6"/>
  <c r="F1730" i="6"/>
  <c r="F2332" i="6"/>
  <c r="F1490" i="6"/>
  <c r="F1474" i="6"/>
  <c r="F1458" i="6"/>
  <c r="F1442" i="6"/>
  <c r="F1412" i="6"/>
  <c r="F1728" i="6"/>
  <c r="F1712" i="6"/>
  <c r="F1696" i="6"/>
  <c r="F1680" i="6"/>
  <c r="F1664" i="6"/>
  <c r="F1648" i="6"/>
  <c r="F1632" i="6"/>
  <c r="F1616" i="6"/>
  <c r="F1592" i="6"/>
  <c r="F1576" i="6"/>
  <c r="F1560" i="6"/>
  <c r="F1539" i="6"/>
  <c r="F1523" i="6"/>
  <c r="F1395" i="6"/>
  <c r="F1379" i="6"/>
  <c r="F1363" i="6"/>
  <c r="F1347" i="6"/>
  <c r="F1331" i="6"/>
  <c r="F1315" i="6"/>
  <c r="F1299" i="6"/>
  <c r="F719" i="6"/>
  <c r="F2342" i="6"/>
  <c r="F2266" i="6"/>
  <c r="F2249" i="6"/>
  <c r="F1714" i="6"/>
  <c r="F1698" i="6"/>
  <c r="F1682" i="6"/>
  <c r="F1666" i="6"/>
  <c r="F1650" i="6"/>
  <c r="F1634" i="6"/>
  <c r="F1618" i="6"/>
  <c r="F1602" i="6"/>
  <c r="F1578" i="6"/>
  <c r="F1562" i="6"/>
  <c r="F1546" i="6"/>
  <c r="F1529" i="6"/>
  <c r="F1513" i="6"/>
  <c r="F1304" i="6"/>
  <c r="F1288" i="6"/>
  <c r="F1272" i="6"/>
  <c r="F1256" i="6"/>
  <c r="F1240" i="6"/>
  <c r="F1723" i="6"/>
  <c r="F1707" i="6"/>
  <c r="F1433" i="6"/>
  <c r="F1420" i="6"/>
  <c r="F1387" i="6"/>
  <c r="F1329" i="6"/>
  <c r="F2065" i="6"/>
  <c r="F2339" i="6"/>
  <c r="F1497" i="6"/>
  <c r="F1481" i="6"/>
  <c r="F1465" i="6"/>
  <c r="F1449" i="6"/>
  <c r="F1432" i="6"/>
  <c r="F1411" i="6"/>
  <c r="F1394" i="6"/>
  <c r="F1378" i="6"/>
  <c r="F1362" i="6"/>
  <c r="F1579" i="6"/>
  <c r="F1563" i="6"/>
  <c r="F1530" i="6"/>
  <c r="F2246" i="6"/>
  <c r="F1732" i="6"/>
  <c r="F1716" i="6"/>
  <c r="F1700" i="6"/>
  <c r="F1684" i="6"/>
  <c r="F1668" i="6"/>
  <c r="F1652" i="6"/>
  <c r="F1636" i="6"/>
  <c r="F1620" i="6"/>
  <c r="F1580" i="6"/>
  <c r="F1564" i="6"/>
  <c r="F2264" i="6"/>
  <c r="F2247" i="6"/>
  <c r="F1665" i="6"/>
  <c r="F1649" i="6"/>
  <c r="F1633" i="6"/>
  <c r="F1617" i="6"/>
  <c r="F1516" i="6"/>
  <c r="F1357" i="6"/>
  <c r="F1224" i="6"/>
  <c r="F1208" i="6"/>
  <c r="F1691" i="6"/>
  <c r="F1675" i="6"/>
  <c r="F1659" i="6"/>
  <c r="F1643" i="6"/>
  <c r="F1627" i="6"/>
  <c r="F1611" i="6"/>
  <c r="F1591" i="6"/>
  <c r="F1575" i="6"/>
  <c r="F1559" i="6"/>
  <c r="F1526" i="6"/>
  <c r="F1510" i="6"/>
  <c r="F1266" i="6"/>
  <c r="F1250" i="6"/>
  <c r="F1234" i="6"/>
  <c r="F1218" i="6"/>
  <c r="F1202" i="6"/>
  <c r="F1381" i="6"/>
  <c r="F1277" i="6"/>
  <c r="F1431" i="6"/>
  <c r="F1507" i="6"/>
  <c r="F1491" i="6"/>
  <c r="F1475" i="6"/>
  <c r="F1459" i="6"/>
  <c r="F1443" i="6"/>
  <c r="F1409" i="6"/>
  <c r="F1388" i="6"/>
  <c r="F1372" i="6"/>
  <c r="F1356" i="6"/>
  <c r="F1340" i="6"/>
  <c r="F1324" i="6"/>
  <c r="F1371" i="6"/>
  <c r="F1355" i="6"/>
  <c r="F1339" i="6"/>
  <c r="F1323" i="6"/>
  <c r="F1249" i="6"/>
  <c r="F2341" i="6"/>
  <c r="F1527" i="6"/>
  <c r="F1511" i="6"/>
  <c r="F1495" i="6"/>
  <c r="F1479" i="6"/>
  <c r="F1463" i="6"/>
  <c r="F1447" i="6"/>
  <c r="F1430" i="6"/>
  <c r="F1413" i="6"/>
  <c r="F1392" i="6"/>
  <c r="F1376" i="6"/>
  <c r="F1360" i="6"/>
  <c r="F1344" i="6"/>
  <c r="F1328" i="6"/>
  <c r="F1514" i="6"/>
  <c r="F1270" i="6"/>
  <c r="F1254" i="6"/>
  <c r="F1238" i="6"/>
  <c r="F1222" i="6"/>
  <c r="F1206" i="6"/>
  <c r="F1661" i="6"/>
  <c r="F1645" i="6"/>
  <c r="F1629" i="6"/>
  <c r="F1613" i="6"/>
  <c r="F1484" i="6"/>
  <c r="F1349" i="6"/>
  <c r="F1486" i="6"/>
  <c r="F2242" i="6"/>
  <c r="F2338" i="6"/>
  <c r="F2234" i="6"/>
  <c r="F1307" i="6"/>
  <c r="F1291" i="6"/>
  <c r="F1285" i="6"/>
  <c r="F1346" i="6"/>
  <c r="F1330" i="6"/>
  <c r="F1314" i="6"/>
  <c r="F1298" i="6"/>
  <c r="F1282" i="6"/>
  <c r="F1719" i="6"/>
  <c r="F1703" i="6"/>
  <c r="F1687" i="6"/>
  <c r="F1671" i="6"/>
  <c r="F1655" i="6"/>
  <c r="F1639" i="6"/>
  <c r="F1623" i="6"/>
  <c r="F1607" i="6"/>
  <c r="F1587" i="6"/>
  <c r="F1571" i="6"/>
  <c r="F1555" i="6"/>
  <c r="F1538" i="6"/>
  <c r="F1522" i="6"/>
  <c r="F1506" i="6"/>
  <c r="F1262" i="6"/>
  <c r="F1246" i="6"/>
  <c r="F1230" i="6"/>
  <c r="F1214" i="6"/>
  <c r="F1198" i="6"/>
  <c r="F1733" i="6"/>
  <c r="F1717" i="6"/>
  <c r="F1701" i="6"/>
  <c r="F1685" i="6"/>
  <c r="F1669" i="6"/>
  <c r="F1653" i="6"/>
  <c r="F1637" i="6"/>
  <c r="F1621" i="6"/>
  <c r="F1601" i="6"/>
  <c r="F1569" i="6"/>
  <c r="F1414" i="6"/>
  <c r="F1279" i="6"/>
  <c r="F1243" i="6"/>
  <c r="F1406" i="6"/>
  <c r="F1373" i="6"/>
  <c r="F1341" i="6"/>
  <c r="F2233" i="6"/>
  <c r="F2232" i="6"/>
  <c r="F2102" i="6"/>
  <c r="F1726" i="6"/>
  <c r="F1710" i="6"/>
  <c r="F1694" i="6"/>
  <c r="F1678" i="6"/>
  <c r="F1662" i="6"/>
  <c r="F1646" i="6"/>
  <c r="F1630" i="6"/>
  <c r="F1614" i="6"/>
  <c r="F1574" i="6"/>
  <c r="F1558" i="6"/>
  <c r="F1525" i="6"/>
  <c r="F1509" i="6"/>
  <c r="F1493" i="6"/>
  <c r="F1477" i="6"/>
  <c r="F1461" i="6"/>
  <c r="F1445" i="6"/>
  <c r="F1407" i="6"/>
  <c r="F1390" i="6"/>
  <c r="F1374" i="6"/>
  <c r="F1358" i="6"/>
  <c r="F1342" i="6"/>
  <c r="F1326" i="6"/>
  <c r="F1310" i="6"/>
  <c r="F1294" i="6"/>
  <c r="F1278" i="6"/>
  <c r="F1308" i="6"/>
  <c r="F1292" i="6"/>
  <c r="F1276" i="6"/>
  <c r="F1260" i="6"/>
  <c r="F1244" i="6"/>
  <c r="F1228" i="6"/>
  <c r="F1212" i="6"/>
  <c r="F1213" i="6"/>
  <c r="F1205" i="6"/>
  <c r="F2323" i="6"/>
  <c r="F2306" i="6"/>
  <c r="F2290" i="6"/>
  <c r="F2274" i="6"/>
  <c r="F2257" i="6"/>
  <c r="F2240" i="6"/>
  <c r="F2219" i="6"/>
  <c r="F2186" i="6"/>
  <c r="F2170" i="6"/>
  <c r="F2154" i="6"/>
  <c r="F2138" i="6"/>
  <c r="F2322" i="6"/>
  <c r="F2305" i="6"/>
  <c r="F2289" i="6"/>
  <c r="F2213" i="6"/>
  <c r="F2192" i="6"/>
  <c r="F2176" i="6"/>
  <c r="F2160" i="6"/>
  <c r="F2144" i="6"/>
  <c r="F2128" i="6"/>
  <c r="F2112" i="6"/>
  <c r="F2126" i="6"/>
  <c r="F2110" i="6"/>
  <c r="F2093" i="6"/>
  <c r="F2077" i="6"/>
  <c r="F2060" i="6"/>
  <c r="F2044" i="6"/>
  <c r="F2028" i="6"/>
  <c r="F2012" i="6"/>
  <c r="F1996" i="6"/>
  <c r="F1980" i="6"/>
  <c r="F1964" i="6"/>
  <c r="F1948" i="6"/>
  <c r="F1932" i="6"/>
  <c r="F1916" i="6"/>
  <c r="F1900" i="6"/>
  <c r="F1884" i="6"/>
  <c r="F1868" i="6"/>
  <c r="F1852" i="6"/>
  <c r="F1758" i="6"/>
  <c r="F1026" i="6"/>
  <c r="F1023" i="6"/>
  <c r="F1760" i="6"/>
  <c r="F1028" i="6"/>
  <c r="F1025" i="6"/>
  <c r="F931" i="6"/>
  <c r="F928" i="6"/>
  <c r="F2318" i="6"/>
  <c r="F2302" i="6"/>
  <c r="F2286" i="6"/>
  <c r="F2270" i="6"/>
  <c r="F2253" i="6"/>
  <c r="F2215" i="6"/>
  <c r="F2182" i="6"/>
  <c r="F2166" i="6"/>
  <c r="F2150" i="6"/>
  <c r="F2134" i="6"/>
  <c r="F2334" i="6"/>
  <c r="F2317" i="6"/>
  <c r="F2301" i="6"/>
  <c r="F2285" i="6"/>
  <c r="F2225" i="6"/>
  <c r="F2209" i="6"/>
  <c r="F2188" i="6"/>
  <c r="F2172" i="6"/>
  <c r="F2156" i="6"/>
  <c r="F2140" i="6"/>
  <c r="F2124" i="6"/>
  <c r="F2108" i="6"/>
  <c r="F2071" i="6"/>
  <c r="F1426" i="6"/>
  <c r="F1422" i="6"/>
  <c r="F2122" i="6"/>
  <c r="F2106" i="6"/>
  <c r="F2089" i="6"/>
  <c r="F2073" i="6"/>
  <c r="F2056" i="6"/>
  <c r="F2040" i="6"/>
  <c r="F2024" i="6"/>
  <c r="F2008" i="6"/>
  <c r="F1992" i="6"/>
  <c r="F1976" i="6"/>
  <c r="F1960" i="6"/>
  <c r="F1944" i="6"/>
  <c r="F1928" i="6"/>
  <c r="F1912" i="6"/>
  <c r="F1896" i="6"/>
  <c r="F1880" i="6"/>
  <c r="F1864" i="6"/>
  <c r="F1848" i="6"/>
  <c r="F1735" i="6"/>
  <c r="F1542" i="6"/>
  <c r="F2267" i="6"/>
  <c r="F2314" i="6"/>
  <c r="F2298" i="6"/>
  <c r="F2282" i="6"/>
  <c r="F2265" i="6"/>
  <c r="F2248" i="6"/>
  <c r="F2227" i="6"/>
  <c r="F2211" i="6"/>
  <c r="F2194" i="6"/>
  <c r="F2178" i="6"/>
  <c r="F2162" i="6"/>
  <c r="F2146" i="6"/>
  <c r="F2130" i="6"/>
  <c r="F2330" i="6"/>
  <c r="F2313" i="6"/>
  <c r="F2297" i="6"/>
  <c r="F2281" i="6"/>
  <c r="F2221" i="6"/>
  <c r="F2204" i="6"/>
  <c r="F2184" i="6"/>
  <c r="F2168" i="6"/>
  <c r="F2152" i="6"/>
  <c r="F2136" i="6"/>
  <c r="F2120" i="6"/>
  <c r="F2103" i="6"/>
  <c r="F2066" i="6"/>
  <c r="F1724" i="6"/>
  <c r="F1708" i="6"/>
  <c r="F1692" i="6"/>
  <c r="F1676" i="6"/>
  <c r="F1660" i="6"/>
  <c r="F1644" i="6"/>
  <c r="F1628" i="6"/>
  <c r="F1612" i="6"/>
  <c r="F1588" i="6"/>
  <c r="F1572" i="6"/>
  <c r="F1556" i="6"/>
  <c r="F1535" i="6"/>
  <c r="F1519" i="6"/>
  <c r="F1503" i="6"/>
  <c r="F1487" i="6"/>
  <c r="F1471" i="6"/>
  <c r="F1455" i="6"/>
  <c r="F1439" i="6"/>
  <c r="F1384" i="6"/>
  <c r="F1368" i="6"/>
  <c r="F1352" i="6"/>
  <c r="F1336" i="6"/>
  <c r="F1320" i="6"/>
  <c r="F2118" i="6"/>
  <c r="F2101" i="6"/>
  <c r="F2085" i="6"/>
  <c r="F2069" i="6"/>
  <c r="F2052" i="6"/>
  <c r="F2036" i="6"/>
  <c r="F2020" i="6"/>
  <c r="F2004" i="6"/>
  <c r="F1988" i="6"/>
  <c r="F1972" i="6"/>
  <c r="F1956" i="6"/>
  <c r="F1940" i="6"/>
  <c r="F1924" i="6"/>
  <c r="F1908" i="6"/>
  <c r="F1892" i="6"/>
  <c r="F1876" i="6"/>
  <c r="F1860" i="6"/>
  <c r="F1844" i="6"/>
  <c r="F1722" i="6"/>
  <c r="F1706" i="6"/>
  <c r="F1690" i="6"/>
  <c r="F1674" i="6"/>
  <c r="F1658" i="6"/>
  <c r="F1642" i="6"/>
  <c r="F1626" i="6"/>
  <c r="F1610" i="6"/>
  <c r="F1586" i="6"/>
  <c r="F1570" i="6"/>
  <c r="F1554" i="6"/>
  <c r="F1537" i="6"/>
  <c r="F1521" i="6"/>
  <c r="F1505" i="6"/>
  <c r="F1489" i="6"/>
  <c r="F1473" i="6"/>
  <c r="F1457" i="6"/>
  <c r="F1441" i="6"/>
  <c r="F1419" i="6"/>
  <c r="F1403" i="6"/>
  <c r="F1386" i="6"/>
  <c r="F1370" i="6"/>
  <c r="F1354" i="6"/>
  <c r="F1338" i="6"/>
  <c r="F1322" i="6"/>
  <c r="F1306" i="6"/>
  <c r="F1290" i="6"/>
  <c r="F1300" i="6"/>
  <c r="F1284" i="6"/>
  <c r="F1268" i="6"/>
  <c r="F1252" i="6"/>
  <c r="F1236" i="6"/>
  <c r="F1220" i="6"/>
  <c r="F1204" i="6"/>
  <c r="F1731" i="6"/>
  <c r="F1715" i="6"/>
  <c r="F1699" i="6"/>
  <c r="F1683" i="6"/>
  <c r="F1667" i="6"/>
  <c r="F1651" i="6"/>
  <c r="F1635" i="6"/>
  <c r="F1619" i="6"/>
  <c r="F1603" i="6"/>
  <c r="F2343" i="6"/>
  <c r="F2340" i="6"/>
  <c r="F2203" i="6"/>
  <c r="F2327" i="6"/>
  <c r="F2310" i="6"/>
  <c r="F2294" i="6"/>
  <c r="F2278" i="6"/>
  <c r="F2261" i="6"/>
  <c r="F2244" i="6"/>
  <c r="F2223" i="6"/>
  <c r="F2207" i="6"/>
  <c r="F2190" i="6"/>
  <c r="F2174" i="6"/>
  <c r="F2158" i="6"/>
  <c r="F2142" i="6"/>
  <c r="F2326" i="6"/>
  <c r="F2309" i="6"/>
  <c r="F2293" i="6"/>
  <c r="F2277" i="6"/>
  <c r="F2201" i="6"/>
  <c r="F2100" i="6"/>
  <c r="F2063" i="6"/>
  <c r="F2217" i="6"/>
  <c r="F2196" i="6"/>
  <c r="F2180" i="6"/>
  <c r="F2164" i="6"/>
  <c r="F2148" i="6"/>
  <c r="F2132" i="6"/>
  <c r="F2116" i="6"/>
  <c r="F2095" i="6"/>
  <c r="F2058" i="6"/>
  <c r="F1752" i="6"/>
  <c r="F1720" i="6"/>
  <c r="F1704" i="6"/>
  <c r="F1688" i="6"/>
  <c r="F1672" i="6"/>
  <c r="F1656" i="6"/>
  <c r="F1640" i="6"/>
  <c r="F1624" i="6"/>
  <c r="F1608" i="6"/>
  <c r="F1584" i="6"/>
  <c r="F1568" i="6"/>
  <c r="F1552" i="6"/>
  <c r="F1531" i="6"/>
  <c r="F1515" i="6"/>
  <c r="F1499" i="6"/>
  <c r="F1483" i="6"/>
  <c r="F1467" i="6"/>
  <c r="F1451" i="6"/>
  <c r="F1434" i="6"/>
  <c r="F1417" i="6"/>
  <c r="F1396" i="6"/>
  <c r="F1380" i="6"/>
  <c r="F1364" i="6"/>
  <c r="F1348" i="6"/>
  <c r="F1332" i="6"/>
  <c r="F1316" i="6"/>
  <c r="F2114" i="6"/>
  <c r="F2097" i="6"/>
  <c r="F2081" i="6"/>
  <c r="F2064" i="6"/>
  <c r="F2048" i="6"/>
  <c r="F2032" i="6"/>
  <c r="F2016" i="6"/>
  <c r="F2000" i="6"/>
  <c r="F1984" i="6"/>
  <c r="F1968" i="6"/>
  <c r="F1952" i="6"/>
  <c r="F1936" i="6"/>
  <c r="F1920" i="6"/>
  <c r="F1904" i="6"/>
  <c r="F1888" i="6"/>
  <c r="F1872" i="6"/>
  <c r="F1856" i="6"/>
  <c r="F1840" i="6"/>
  <c r="F1754" i="6"/>
  <c r="F1718" i="6"/>
  <c r="F1702" i="6"/>
  <c r="F1686" i="6"/>
  <c r="F1670" i="6"/>
  <c r="F1654" i="6"/>
  <c r="F1638" i="6"/>
  <c r="F1622" i="6"/>
  <c r="F1606" i="6"/>
  <c r="F1582" i="6"/>
  <c r="F1566" i="6"/>
  <c r="F1550" i="6"/>
  <c r="F1533" i="6"/>
  <c r="F1517" i="6"/>
  <c r="F1501" i="6"/>
  <c r="F1485" i="6"/>
  <c r="F1469" i="6"/>
  <c r="F1453" i="6"/>
  <c r="F1437" i="6"/>
  <c r="F1415" i="6"/>
  <c r="F1382" i="6"/>
  <c r="F1366" i="6"/>
  <c r="F1350" i="6"/>
  <c r="F1334" i="6"/>
  <c r="F1318" i="6"/>
  <c r="F1302" i="6"/>
  <c r="F1286" i="6"/>
  <c r="F1312" i="6"/>
  <c r="F1296" i="6"/>
  <c r="F1280" i="6"/>
  <c r="F1264" i="6"/>
  <c r="F1248" i="6"/>
  <c r="F1232" i="6"/>
  <c r="F1216" i="6"/>
  <c r="F1200" i="6"/>
  <c r="F1727" i="6"/>
  <c r="F1711" i="6"/>
  <c r="F1695" i="6"/>
  <c r="F1679" i="6"/>
  <c r="F1663" i="6"/>
  <c r="F1647" i="6"/>
  <c r="F1631" i="6"/>
  <c r="F1615" i="6"/>
  <c r="F1598" i="6"/>
  <c r="F1594" i="6"/>
  <c r="F1583" i="6"/>
  <c r="F1567" i="6"/>
  <c r="F1551" i="6"/>
  <c r="F1534" i="6"/>
  <c r="F1518" i="6"/>
  <c r="F1274" i="6"/>
  <c r="F1258" i="6"/>
  <c r="F1242" i="6"/>
  <c r="F1226" i="6"/>
  <c r="F1210" i="6"/>
  <c r="F1194" i="6"/>
  <c r="F1191" i="6"/>
  <c r="F1725" i="6"/>
  <c r="F1709" i="6"/>
  <c r="F1693" i="6"/>
  <c r="F1677" i="6"/>
  <c r="F1589" i="6"/>
  <c r="F1365" i="6"/>
  <c r="F1293" i="6"/>
  <c r="F1265" i="6"/>
  <c r="F1199" i="6"/>
  <c r="F1039" i="6"/>
  <c r="F1498" i="6"/>
  <c r="F1482" i="6"/>
  <c r="F1609" i="6"/>
  <c r="F1393" i="6"/>
  <c r="F1305" i="6"/>
  <c r="F1273" i="6"/>
  <c r="F1245" i="6"/>
  <c r="F423" i="6"/>
  <c r="F933" i="6"/>
  <c r="F718" i="6"/>
  <c r="F1737" i="6"/>
  <c r="F1721" i="6"/>
  <c r="F1705" i="6"/>
  <c r="F1689" i="6"/>
  <c r="F1673" i="6"/>
  <c r="F1657" i="6"/>
  <c r="F1641" i="6"/>
  <c r="F1625" i="6"/>
  <c r="F1585" i="6"/>
  <c r="F1532" i="6"/>
  <c r="F1500" i="6"/>
  <c r="F1472" i="6"/>
  <c r="F1440" i="6"/>
  <c r="F1317" i="6"/>
  <c r="F1259" i="6"/>
  <c r="F1494" i="6"/>
  <c r="F1478" i="6"/>
  <c r="F1462" i="6"/>
  <c r="F1446" i="6"/>
  <c r="F1429" i="6"/>
  <c r="F1416" i="6"/>
  <c r="F1399" i="6"/>
  <c r="F1383" i="6"/>
  <c r="F1367" i="6"/>
  <c r="F1351" i="6"/>
  <c r="F1335" i="6"/>
  <c r="F1319" i="6"/>
  <c r="F1303" i="6"/>
  <c r="F1287" i="6"/>
  <c r="F1251" i="6"/>
  <c r="F1223" i="6"/>
  <c r="F1561" i="6"/>
  <c r="F1524" i="6"/>
  <c r="F1492" i="6"/>
  <c r="F1448" i="6"/>
  <c r="F1389" i="6"/>
  <c r="F802" i="6"/>
  <c r="F758" i="6"/>
  <c r="F1257" i="6"/>
  <c r="F1221" i="6"/>
  <c r="F1325" i="6"/>
  <c r="F1229" i="6"/>
  <c r="F1197" i="6"/>
  <c r="F930" i="6"/>
  <c r="F1502" i="6"/>
  <c r="F1470" i="6"/>
  <c r="F1454" i="6"/>
  <c r="F1438" i="6"/>
  <c r="F1408" i="6"/>
  <c r="F1391" i="6"/>
  <c r="F1375" i="6"/>
  <c r="F1359" i="6"/>
  <c r="F1343" i="6"/>
  <c r="F1327" i="6"/>
  <c r="F1311" i="6"/>
  <c r="F1295" i="6"/>
  <c r="F1267" i="6"/>
  <c r="F1235" i="6"/>
  <c r="F1207" i="6"/>
  <c r="F1030" i="6"/>
  <c r="F1577" i="6"/>
  <c r="F1549" i="6"/>
  <c r="F1508" i="6"/>
  <c r="F1464" i="6"/>
  <c r="F807" i="6"/>
  <c r="F715" i="6"/>
  <c r="F1237" i="6"/>
  <c r="F755" i="6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4" i="11"/>
  <c r="E343" i="11"/>
  <c r="E342" i="11"/>
  <c r="E341" i="11"/>
  <c r="E340" i="11"/>
  <c r="E339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82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3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B9" i="13" s="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D11" i="13" l="1"/>
  <c r="B18" i="13" a="1"/>
  <c r="B18" i="13" s="1"/>
  <c r="B108" i="13" a="1"/>
  <c r="B108" i="13" s="1"/>
  <c r="B92" i="13" a="1"/>
  <c r="B92" i="13" s="1"/>
  <c r="B76" i="13" a="1"/>
  <c r="B76" i="13" s="1"/>
  <c r="B60" i="13" a="1"/>
  <c r="B60" i="13" s="1"/>
  <c r="B44" i="13" a="1"/>
  <c r="B44" i="13" s="1"/>
  <c r="B28" i="13" a="1"/>
  <c r="B28" i="13" s="1"/>
  <c r="B123" i="13" a="1"/>
  <c r="B123" i="13" s="1"/>
  <c r="B107" i="13" a="1"/>
  <c r="B107" i="13" s="1"/>
  <c r="B91" i="13" a="1"/>
  <c r="B91" i="13" s="1"/>
  <c r="B75" i="13" a="1"/>
  <c r="B75" i="13" s="1"/>
  <c r="B59" i="13" a="1"/>
  <c r="B59" i="13" s="1"/>
  <c r="B43" i="13" a="1"/>
  <c r="B43" i="13" s="1"/>
  <c r="B27" i="13" a="1"/>
  <c r="B27" i="13" s="1"/>
  <c r="B122" i="13" a="1"/>
  <c r="B122" i="13" s="1"/>
  <c r="B106" i="13" a="1"/>
  <c r="B106" i="13" s="1"/>
  <c r="B90" i="13" a="1"/>
  <c r="B90" i="13" s="1"/>
  <c r="B74" i="13" a="1"/>
  <c r="B74" i="13" s="1"/>
  <c r="B58" i="13" a="1"/>
  <c r="B58" i="13" s="1"/>
  <c r="B42" i="13" a="1"/>
  <c r="B42" i="13" s="1"/>
  <c r="B26" i="13" a="1"/>
  <c r="B26" i="13" s="1"/>
  <c r="B45" i="13" a="1"/>
  <c r="B45" i="13" s="1"/>
  <c r="B121" i="13" a="1"/>
  <c r="B121" i="13" s="1"/>
  <c r="B105" i="13" a="1"/>
  <c r="B105" i="13" s="1"/>
  <c r="B89" i="13" a="1"/>
  <c r="B89" i="13" s="1"/>
  <c r="B73" i="13" a="1"/>
  <c r="B73" i="13" s="1"/>
  <c r="B57" i="13" a="1"/>
  <c r="B57" i="13" s="1"/>
  <c r="B41" i="13" a="1"/>
  <c r="B41" i="13" s="1"/>
  <c r="B25" i="13" a="1"/>
  <c r="B25" i="13" s="1"/>
  <c r="B120" i="13" a="1"/>
  <c r="B120" i="13" s="1"/>
  <c r="B104" i="13" a="1"/>
  <c r="B104" i="13" s="1"/>
  <c r="B88" i="13" a="1"/>
  <c r="B88" i="13" s="1"/>
  <c r="B72" i="13" a="1"/>
  <c r="B72" i="13" s="1"/>
  <c r="B56" i="13" a="1"/>
  <c r="B56" i="13" s="1"/>
  <c r="B40" i="13" a="1"/>
  <c r="B40" i="13" s="1"/>
  <c r="B24" i="13" a="1"/>
  <c r="B24" i="13" s="1"/>
  <c r="B119" i="13" a="1"/>
  <c r="B119" i="13" s="1"/>
  <c r="B103" i="13" a="1"/>
  <c r="B103" i="13" s="1"/>
  <c r="B87" i="13" a="1"/>
  <c r="B87" i="13" s="1"/>
  <c r="B71" i="13" a="1"/>
  <c r="B71" i="13" s="1"/>
  <c r="B55" i="13" a="1"/>
  <c r="B55" i="13" s="1"/>
  <c r="B39" i="13" a="1"/>
  <c r="B39" i="13" s="1"/>
  <c r="B23" i="13" a="1"/>
  <c r="B23" i="13" s="1"/>
  <c r="B118" i="13" a="1"/>
  <c r="B118" i="13" s="1"/>
  <c r="B102" i="13" a="1"/>
  <c r="B102" i="13" s="1"/>
  <c r="B86" i="13" a="1"/>
  <c r="B86" i="13" s="1"/>
  <c r="B70" i="13" a="1"/>
  <c r="B70" i="13" s="1"/>
  <c r="B54" i="13" a="1"/>
  <c r="B54" i="13" s="1"/>
  <c r="B38" i="13" a="1"/>
  <c r="B38" i="13" s="1"/>
  <c r="B22" i="13" a="1"/>
  <c r="B22" i="13" s="1"/>
  <c r="B117" i="13" a="1"/>
  <c r="B117" i="13" s="1"/>
  <c r="B101" i="13" a="1"/>
  <c r="B101" i="13" s="1"/>
  <c r="B85" i="13" a="1"/>
  <c r="B85" i="13" s="1"/>
  <c r="B69" i="13" a="1"/>
  <c r="B69" i="13" s="1"/>
  <c r="B53" i="13" a="1"/>
  <c r="B53" i="13" s="1"/>
  <c r="B37" i="13" a="1"/>
  <c r="B37" i="13" s="1"/>
  <c r="B21" i="13" a="1"/>
  <c r="B21" i="13" s="1"/>
  <c r="B116" i="13" a="1"/>
  <c r="B116" i="13" s="1"/>
  <c r="B100" i="13" a="1"/>
  <c r="B100" i="13" s="1"/>
  <c r="B84" i="13" a="1"/>
  <c r="B84" i="13" s="1"/>
  <c r="B68" i="13" a="1"/>
  <c r="B68" i="13" s="1"/>
  <c r="B52" i="13" a="1"/>
  <c r="B52" i="13" s="1"/>
  <c r="B36" i="13" a="1"/>
  <c r="B36" i="13" s="1"/>
  <c r="B20" i="13" a="1"/>
  <c r="B20" i="13" s="1"/>
  <c r="B115" i="13" a="1"/>
  <c r="B115" i="13" s="1"/>
  <c r="B99" i="13" a="1"/>
  <c r="B99" i="13" s="1"/>
  <c r="B83" i="13" a="1"/>
  <c r="B83" i="13" s="1"/>
  <c r="B67" i="13" a="1"/>
  <c r="B67" i="13" s="1"/>
  <c r="B51" i="13" a="1"/>
  <c r="B51" i="13" s="1"/>
  <c r="B35" i="13" a="1"/>
  <c r="B35" i="13" s="1"/>
  <c r="B19" i="13" a="1"/>
  <c r="B19" i="13" s="1"/>
  <c r="B114" i="13" a="1"/>
  <c r="B114" i="13" s="1"/>
  <c r="B98" i="13" a="1"/>
  <c r="B98" i="13" s="1"/>
  <c r="B82" i="13" a="1"/>
  <c r="B82" i="13" s="1"/>
  <c r="B66" i="13" a="1"/>
  <c r="B66" i="13" s="1"/>
  <c r="B50" i="13" a="1"/>
  <c r="B50" i="13" s="1"/>
  <c r="B34" i="13" a="1"/>
  <c r="B34" i="13" s="1"/>
  <c r="B61" i="13" a="1"/>
  <c r="B61" i="13" s="1"/>
  <c r="B113" i="13" a="1"/>
  <c r="B113" i="13" s="1"/>
  <c r="B97" i="13" a="1"/>
  <c r="B97" i="13" s="1"/>
  <c r="B81" i="13" a="1"/>
  <c r="B81" i="13" s="1"/>
  <c r="B65" i="13" a="1"/>
  <c r="B65" i="13" s="1"/>
  <c r="B49" i="13" a="1"/>
  <c r="B49" i="13" s="1"/>
  <c r="B33" i="13" a="1"/>
  <c r="B33" i="13" s="1"/>
  <c r="B29" i="13" a="1"/>
  <c r="B29" i="13" s="1"/>
  <c r="B112" i="13" a="1"/>
  <c r="B112" i="13" s="1"/>
  <c r="B96" i="13" a="1"/>
  <c r="B96" i="13" s="1"/>
  <c r="B80" i="13" a="1"/>
  <c r="B80" i="13" s="1"/>
  <c r="B64" i="13" a="1"/>
  <c r="B64" i="13" s="1"/>
  <c r="B48" i="13" a="1"/>
  <c r="B48" i="13" s="1"/>
  <c r="B32" i="13" a="1"/>
  <c r="B32" i="13" s="1"/>
  <c r="B77" i="13" a="1"/>
  <c r="B77" i="13" s="1"/>
  <c r="B111" i="13" a="1"/>
  <c r="B111" i="13" s="1"/>
  <c r="B95" i="13" a="1"/>
  <c r="B95" i="13" s="1"/>
  <c r="B79" i="13" a="1"/>
  <c r="B79" i="13" s="1"/>
  <c r="B63" i="13" a="1"/>
  <c r="B63" i="13" s="1"/>
  <c r="B47" i="13" a="1"/>
  <c r="B47" i="13" s="1"/>
  <c r="B31" i="13" a="1"/>
  <c r="B31" i="13" s="1"/>
  <c r="B109" i="13" a="1"/>
  <c r="B109" i="13" s="1"/>
  <c r="B110" i="13" a="1"/>
  <c r="B110" i="13" s="1"/>
  <c r="B94" i="13" a="1"/>
  <c r="B94" i="13" s="1"/>
  <c r="B78" i="13" a="1"/>
  <c r="B78" i="13" s="1"/>
  <c r="B62" i="13" a="1"/>
  <c r="B62" i="13" s="1"/>
  <c r="B46" i="13" a="1"/>
  <c r="B46" i="13" s="1"/>
  <c r="B30" i="13" a="1"/>
  <c r="B30" i="13" s="1"/>
  <c r="B93" i="13" a="1"/>
  <c r="B93" i="13" s="1"/>
  <c r="G10" i="6"/>
  <c r="J10" i="6" s="1"/>
  <c r="G17" i="6"/>
  <c r="J17" i="6" s="1"/>
  <c r="J1856" i="6"/>
  <c r="I1856" i="6"/>
  <c r="J2128" i="6"/>
  <c r="I2128" i="6"/>
  <c r="J2249" i="6"/>
  <c r="J835" i="6"/>
  <c r="J1385" i="6"/>
  <c r="J1780" i="6"/>
  <c r="J556" i="6"/>
  <c r="J2041" i="6"/>
  <c r="J305" i="6"/>
  <c r="I305" i="6"/>
  <c r="J218" i="6"/>
  <c r="J199" i="6"/>
  <c r="J2167" i="6"/>
  <c r="I2167" i="6"/>
  <c r="J57" i="6"/>
  <c r="I57" i="6"/>
  <c r="J2193" i="6"/>
  <c r="I2193" i="6"/>
  <c r="J500" i="6"/>
  <c r="I500" i="6"/>
  <c r="J459" i="6"/>
  <c r="J1405" i="6"/>
  <c r="J1154" i="6"/>
  <c r="I1154" i="6"/>
  <c r="J612" i="6"/>
  <c r="J919" i="6"/>
  <c r="I1082" i="6"/>
  <c r="J1082" i="6"/>
  <c r="J807" i="6"/>
  <c r="I807" i="6"/>
  <c r="J1408" i="6"/>
  <c r="J1524" i="6"/>
  <c r="J1478" i="6"/>
  <c r="J1737" i="6"/>
  <c r="I1737" i="6"/>
  <c r="J1589" i="6"/>
  <c r="I1589" i="6"/>
  <c r="J1583" i="6"/>
  <c r="J1280" i="6"/>
  <c r="I1280" i="6"/>
  <c r="J1517" i="6"/>
  <c r="I1517" i="6"/>
  <c r="J1872" i="6"/>
  <c r="J1316" i="6"/>
  <c r="I1316" i="6"/>
  <c r="J1584" i="6"/>
  <c r="J2180" i="6"/>
  <c r="I2180" i="6"/>
  <c r="J2244" i="6"/>
  <c r="J1715" i="6"/>
  <c r="I1403" i="6"/>
  <c r="J1403" i="6"/>
  <c r="J1674" i="6"/>
  <c r="J2036" i="6"/>
  <c r="I1519" i="6"/>
  <c r="J1519" i="6"/>
  <c r="J2136" i="6"/>
  <c r="J2227" i="6"/>
  <c r="I1960" i="6"/>
  <c r="J1960" i="6"/>
  <c r="J2140" i="6"/>
  <c r="J2270" i="6"/>
  <c r="I2270" i="6"/>
  <c r="J1916" i="6"/>
  <c r="J2144" i="6"/>
  <c r="I2144" i="6"/>
  <c r="J2290" i="6"/>
  <c r="J1342" i="6"/>
  <c r="J1662" i="6"/>
  <c r="J1621" i="6"/>
  <c r="J1555" i="6"/>
  <c r="J1285" i="6"/>
  <c r="J1254" i="6"/>
  <c r="I1254" i="6"/>
  <c r="J2341" i="6"/>
  <c r="I1507" i="6"/>
  <c r="J1507" i="6"/>
  <c r="J1643" i="6"/>
  <c r="I1643" i="6"/>
  <c r="J1620" i="6"/>
  <c r="J1432" i="6"/>
  <c r="J1288" i="6"/>
  <c r="J2266" i="6"/>
  <c r="J1632" i="6"/>
  <c r="I1632" i="6"/>
  <c r="J1466" i="6"/>
  <c r="I1466" i="6"/>
  <c r="J333" i="6"/>
  <c r="J1079" i="6"/>
  <c r="I175" i="6"/>
  <c r="J175" i="6"/>
  <c r="J1281" i="6"/>
  <c r="J302" i="6"/>
  <c r="I302" i="6"/>
  <c r="J1017" i="6"/>
  <c r="J207" i="6"/>
  <c r="J892" i="6"/>
  <c r="J322" i="6"/>
  <c r="J1933" i="6"/>
  <c r="J1452" i="6"/>
  <c r="I122" i="6"/>
  <c r="J122" i="6"/>
  <c r="J969" i="6"/>
  <c r="I969" i="6"/>
  <c r="J15" i="6"/>
  <c r="J164" i="6"/>
  <c r="J2243" i="6"/>
  <c r="J1404" i="6"/>
  <c r="I144" i="6"/>
  <c r="J144" i="6"/>
  <c r="I816" i="6"/>
  <c r="J816" i="6"/>
  <c r="J160" i="6"/>
  <c r="J269" i="6"/>
  <c r="I269" i="6"/>
  <c r="J1966" i="6"/>
  <c r="I1966" i="6"/>
  <c r="J98" i="6"/>
  <c r="I98" i="6"/>
  <c r="J2098" i="6"/>
  <c r="J1361" i="6"/>
  <c r="J1193" i="6"/>
  <c r="I132" i="6"/>
  <c r="J132" i="6"/>
  <c r="J18" i="6"/>
  <c r="I1520" i="6"/>
  <c r="J1520" i="6"/>
  <c r="J815" i="6"/>
  <c r="I815" i="6"/>
  <c r="J561" i="6"/>
  <c r="J973" i="6"/>
  <c r="I973" i="6"/>
  <c r="J2224" i="6"/>
  <c r="J59" i="6"/>
  <c r="J294" i="6"/>
  <c r="I294" i="6"/>
  <c r="J425" i="6"/>
  <c r="J684" i="6"/>
  <c r="J2237" i="6"/>
  <c r="J2147" i="6"/>
  <c r="I2147" i="6"/>
  <c r="J2043" i="6"/>
  <c r="J1418" i="6"/>
  <c r="J771" i="6"/>
  <c r="I569" i="6"/>
  <c r="J569" i="6"/>
  <c r="J2141" i="6"/>
  <c r="I2141" i="6"/>
  <c r="J645" i="6"/>
  <c r="J378" i="6"/>
  <c r="J1945" i="6"/>
  <c r="J198" i="6"/>
  <c r="I198" i="6"/>
  <c r="I950" i="6"/>
  <c r="J950" i="6"/>
  <c r="J730" i="6"/>
  <c r="J1898" i="6"/>
  <c r="I479" i="6"/>
  <c r="J479" i="6"/>
  <c r="J2320" i="6"/>
  <c r="I2320" i="6"/>
  <c r="J1084" i="6"/>
  <c r="I1084" i="6"/>
  <c r="J549" i="6"/>
  <c r="I921" i="6"/>
  <c r="J921" i="6"/>
  <c r="I1182" i="6"/>
  <c r="J1182" i="6"/>
  <c r="J722" i="6"/>
  <c r="J530" i="6"/>
  <c r="I530" i="6"/>
  <c r="J1165" i="6"/>
  <c r="J1056" i="6"/>
  <c r="J1184" i="6"/>
  <c r="J2031" i="6"/>
  <c r="J2107" i="6"/>
  <c r="I1879" i="6"/>
  <c r="J1879" i="6"/>
  <c r="J187" i="6"/>
  <c r="J2115" i="6"/>
  <c r="J2053" i="6"/>
  <c r="J841" i="6"/>
  <c r="J117" i="6"/>
  <c r="I117" i="6"/>
  <c r="J2352" i="6"/>
  <c r="J996" i="6"/>
  <c r="I996" i="6"/>
  <c r="J103" i="6"/>
  <c r="I103" i="6"/>
  <c r="J1070" i="6"/>
  <c r="J67" i="6"/>
  <c r="J1931" i="6"/>
  <c r="J1869" i="6"/>
  <c r="J945" i="6"/>
  <c r="I945" i="6"/>
  <c r="I987" i="6"/>
  <c r="J987" i="6"/>
  <c r="J375" i="6"/>
  <c r="J91" i="6"/>
  <c r="I91" i="6"/>
  <c r="J2155" i="6"/>
  <c r="J454" i="6"/>
  <c r="J493" i="6"/>
  <c r="J657" i="6"/>
  <c r="J282" i="6"/>
  <c r="J2358" i="6"/>
  <c r="J559" i="6"/>
  <c r="J702" i="6"/>
  <c r="J1887" i="6"/>
  <c r="I1887" i="6"/>
  <c r="J467" i="6"/>
  <c r="J1819" i="6"/>
  <c r="J748" i="6"/>
  <c r="I792" i="6"/>
  <c r="J792" i="6"/>
  <c r="J1759" i="6"/>
  <c r="I1759" i="6"/>
  <c r="J587" i="6"/>
  <c r="J460" i="6"/>
  <c r="I1769" i="6"/>
  <c r="J1769" i="6"/>
  <c r="J503" i="6"/>
  <c r="I503" i="6"/>
  <c r="J632" i="6"/>
  <c r="J588" i="6"/>
  <c r="J1903" i="6"/>
  <c r="J1699" i="6"/>
  <c r="J1326" i="6"/>
  <c r="I1326" i="6"/>
  <c r="J1009" i="6"/>
  <c r="J1528" i="6"/>
  <c r="I1528" i="6"/>
  <c r="I1830" i="6"/>
  <c r="J1830" i="6"/>
  <c r="J383" i="6"/>
  <c r="J938" i="6"/>
  <c r="I938" i="6"/>
  <c r="J1791" i="6"/>
  <c r="J1561" i="6"/>
  <c r="J1494" i="6"/>
  <c r="J718" i="6"/>
  <c r="J1677" i="6"/>
  <c r="I1677" i="6"/>
  <c r="J1594" i="6"/>
  <c r="J1296" i="6"/>
  <c r="I1296" i="6"/>
  <c r="J1533" i="6"/>
  <c r="I1533" i="6"/>
  <c r="J1888" i="6"/>
  <c r="I1888" i="6"/>
  <c r="J1332" i="6"/>
  <c r="I1332" i="6"/>
  <c r="J1608" i="6"/>
  <c r="J2196" i="6"/>
  <c r="J2261" i="6"/>
  <c r="J1731" i="6"/>
  <c r="J1419" i="6"/>
  <c r="J1690" i="6"/>
  <c r="I2052" i="6"/>
  <c r="J2052" i="6"/>
  <c r="J1535" i="6"/>
  <c r="I1535" i="6"/>
  <c r="J2152" i="6"/>
  <c r="J2248" i="6"/>
  <c r="I1976" i="6"/>
  <c r="J1976" i="6"/>
  <c r="J2156" i="6"/>
  <c r="J2286" i="6"/>
  <c r="I2286" i="6"/>
  <c r="J1932" i="6"/>
  <c r="J2160" i="6"/>
  <c r="J2306" i="6"/>
  <c r="I2306" i="6"/>
  <c r="J1358" i="6"/>
  <c r="I1678" i="6"/>
  <c r="J1678" i="6"/>
  <c r="J1637" i="6"/>
  <c r="I1637" i="6"/>
  <c r="I1571" i="6"/>
  <c r="J1571" i="6"/>
  <c r="J1291" i="6"/>
  <c r="I1291" i="6"/>
  <c r="J1270" i="6"/>
  <c r="I1249" i="6"/>
  <c r="J1249" i="6"/>
  <c r="J1431" i="6"/>
  <c r="J1659" i="6"/>
  <c r="I1659" i="6"/>
  <c r="J1636" i="6"/>
  <c r="I1636" i="6"/>
  <c r="J1449" i="6"/>
  <c r="J1304" i="6"/>
  <c r="I1304" i="6"/>
  <c r="J2342" i="6"/>
  <c r="J1648" i="6"/>
  <c r="J1215" i="6"/>
  <c r="J126" i="6"/>
  <c r="I126" i="6"/>
  <c r="I1854" i="6"/>
  <c r="J1854" i="6"/>
  <c r="J106" i="6"/>
  <c r="I106" i="6"/>
  <c r="J683" i="6"/>
  <c r="J30" i="6"/>
  <c r="J1087" i="6"/>
  <c r="J14" i="6"/>
  <c r="J957" i="6"/>
  <c r="I957" i="6"/>
  <c r="J295" i="6"/>
  <c r="J2014" i="6"/>
  <c r="J485" i="6"/>
  <c r="I485" i="6"/>
  <c r="I236" i="6"/>
  <c r="J236" i="6"/>
  <c r="J1103" i="6"/>
  <c r="I1103" i="6"/>
  <c r="J271" i="6"/>
  <c r="I271" i="6"/>
  <c r="J1301" i="6"/>
  <c r="I1301" i="6"/>
  <c r="J682" i="6"/>
  <c r="J1444" i="6"/>
  <c r="J113" i="6"/>
  <c r="I113" i="6"/>
  <c r="I943" i="6"/>
  <c r="J943" i="6"/>
  <c r="J129" i="6"/>
  <c r="I129" i="6"/>
  <c r="J264" i="6"/>
  <c r="J2046" i="6"/>
  <c r="J229" i="6"/>
  <c r="J2228" i="6"/>
  <c r="J1425" i="6"/>
  <c r="I1425" i="6"/>
  <c r="J1219" i="6"/>
  <c r="I124" i="6"/>
  <c r="J124" i="6"/>
  <c r="J355" i="6"/>
  <c r="I533" i="6"/>
  <c r="J533" i="6"/>
  <c r="J1013" i="6"/>
  <c r="J655" i="6"/>
  <c r="J1073" i="6"/>
  <c r="J307" i="6"/>
  <c r="I307" i="6"/>
  <c r="J1581" i="6"/>
  <c r="J111" i="6"/>
  <c r="I111" i="6"/>
  <c r="J37" i="6"/>
  <c r="I37" i="6"/>
  <c r="I43" i="6"/>
  <c r="J43" i="6"/>
  <c r="J1022" i="6"/>
  <c r="I105" i="6"/>
  <c r="J105" i="6"/>
  <c r="J145" i="6"/>
  <c r="I1003" i="6"/>
  <c r="J1003" i="6"/>
  <c r="J2157" i="6"/>
  <c r="I2157" i="6"/>
  <c r="J2171" i="6"/>
  <c r="J874" i="6"/>
  <c r="I874" i="6"/>
  <c r="J1765" i="6"/>
  <c r="J906" i="6"/>
  <c r="J2312" i="6"/>
  <c r="J228" i="6"/>
  <c r="J2104" i="6"/>
  <c r="J799" i="6"/>
  <c r="I799" i="6"/>
  <c r="J1962" i="6"/>
  <c r="J752" i="6"/>
  <c r="J475" i="6"/>
  <c r="J1231" i="6"/>
  <c r="J854" i="6"/>
  <c r="J1125" i="6"/>
  <c r="I1125" i="6"/>
  <c r="J901" i="6"/>
  <c r="J856" i="6"/>
  <c r="J547" i="6"/>
  <c r="J1786" i="6"/>
  <c r="J2169" i="6"/>
  <c r="I944" i="6"/>
  <c r="J944" i="6"/>
  <c r="I191" i="6"/>
  <c r="J191" i="6"/>
  <c r="I1836" i="6"/>
  <c r="J1836" i="6"/>
  <c r="J2353" i="6"/>
  <c r="J216" i="6"/>
  <c r="J2119" i="6"/>
  <c r="J963" i="6"/>
  <c r="I963" i="6"/>
  <c r="I327" i="6"/>
  <c r="J327" i="6"/>
  <c r="J2321" i="6"/>
  <c r="I2321" i="6"/>
  <c r="I1130" i="6"/>
  <c r="J1130" i="6"/>
  <c r="J599" i="6"/>
  <c r="J1135" i="6"/>
  <c r="J579" i="6"/>
  <c r="J2363" i="6"/>
  <c r="J2239" i="6"/>
  <c r="J776" i="6"/>
  <c r="J1065" i="6"/>
  <c r="J495" i="6"/>
  <c r="I495" i="6"/>
  <c r="J347" i="6"/>
  <c r="J2220" i="6"/>
  <c r="I2220" i="6"/>
  <c r="J697" i="6"/>
  <c r="J625" i="6"/>
  <c r="I935" i="6"/>
  <c r="J935" i="6"/>
  <c r="J154" i="6"/>
  <c r="J2033" i="6"/>
  <c r="J84" i="6"/>
  <c r="I84" i="6"/>
  <c r="J770" i="6"/>
  <c r="J508" i="6"/>
  <c r="J580" i="6"/>
  <c r="J1963" i="6"/>
  <c r="J911" i="6"/>
  <c r="J412" i="6"/>
  <c r="J946" i="6"/>
  <c r="I946" i="6"/>
  <c r="J2080" i="6"/>
  <c r="J845" i="6"/>
  <c r="J1593" i="6"/>
  <c r="I972" i="6"/>
  <c r="J972" i="6"/>
  <c r="J484" i="6"/>
  <c r="J837" i="6"/>
  <c r="I727" i="6"/>
  <c r="J727" i="6"/>
  <c r="J2164" i="6"/>
  <c r="I2164" i="6"/>
  <c r="J2274" i="6"/>
  <c r="J365" i="6"/>
  <c r="J1902" i="6"/>
  <c r="J522" i="6"/>
  <c r="J936" i="6"/>
  <c r="I936" i="6"/>
  <c r="J2255" i="6"/>
  <c r="J1454" i="6"/>
  <c r="J933" i="6"/>
  <c r="I933" i="6"/>
  <c r="J1312" i="6"/>
  <c r="I1312" i="6"/>
  <c r="J1550" i="6"/>
  <c r="J1904" i="6"/>
  <c r="J1348" i="6"/>
  <c r="I1624" i="6"/>
  <c r="J1624" i="6"/>
  <c r="J2217" i="6"/>
  <c r="J2278" i="6"/>
  <c r="J1204" i="6"/>
  <c r="J1441" i="6"/>
  <c r="J1706" i="6"/>
  <c r="J2069" i="6"/>
  <c r="J1556" i="6"/>
  <c r="J2168" i="6"/>
  <c r="J2265" i="6"/>
  <c r="J1992" i="6"/>
  <c r="J2172" i="6"/>
  <c r="J2302" i="6"/>
  <c r="J1948" i="6"/>
  <c r="J2176" i="6"/>
  <c r="J2323" i="6"/>
  <c r="I1374" i="6"/>
  <c r="J1374" i="6"/>
  <c r="J1694" i="6"/>
  <c r="J1653" i="6"/>
  <c r="J1587" i="6"/>
  <c r="I1587" i="6"/>
  <c r="J1307" i="6"/>
  <c r="I1307" i="6"/>
  <c r="J1514" i="6"/>
  <c r="I1514" i="6"/>
  <c r="J1323" i="6"/>
  <c r="I1323" i="6"/>
  <c r="J1277" i="6"/>
  <c r="J1675" i="6"/>
  <c r="I1675" i="6"/>
  <c r="J1652" i="6"/>
  <c r="I1465" i="6"/>
  <c r="J1465" i="6"/>
  <c r="I1513" i="6"/>
  <c r="J1513" i="6"/>
  <c r="J719" i="6"/>
  <c r="J1664" i="6"/>
  <c r="J615" i="6"/>
  <c r="I615" i="6"/>
  <c r="J159" i="6"/>
  <c r="I159" i="6"/>
  <c r="J1918" i="6"/>
  <c r="J158" i="6"/>
  <c r="I158" i="6"/>
  <c r="J879" i="6"/>
  <c r="J320" i="6"/>
  <c r="J1151" i="6"/>
  <c r="J270" i="6"/>
  <c r="J917" i="6"/>
  <c r="J230" i="6"/>
  <c r="I230" i="6"/>
  <c r="J2226" i="6"/>
  <c r="J1247" i="6"/>
  <c r="I100" i="6"/>
  <c r="J100" i="6"/>
  <c r="J1167" i="6"/>
  <c r="J1545" i="6"/>
  <c r="J1283" i="6"/>
  <c r="I1283" i="6"/>
  <c r="J878" i="6"/>
  <c r="J577" i="6"/>
  <c r="I577" i="6"/>
  <c r="J44" i="6"/>
  <c r="J1007" i="6"/>
  <c r="J99" i="6"/>
  <c r="I99" i="6"/>
  <c r="J192" i="6"/>
  <c r="J2125" i="6"/>
  <c r="J1345" i="6"/>
  <c r="J449" i="6"/>
  <c r="J606" i="6"/>
  <c r="J827" i="6"/>
  <c r="J184" i="6"/>
  <c r="J151" i="6"/>
  <c r="I151" i="6"/>
  <c r="I671" i="6"/>
  <c r="J671" i="6"/>
  <c r="J704" i="6"/>
  <c r="J791" i="6"/>
  <c r="I791" i="6"/>
  <c r="J1816" i="6"/>
  <c r="J1309" i="6"/>
  <c r="I1309" i="6"/>
  <c r="J473" i="6"/>
  <c r="I473" i="6"/>
  <c r="J240" i="6"/>
  <c r="J1943" i="6"/>
  <c r="J134" i="6"/>
  <c r="I134" i="6"/>
  <c r="J925" i="6"/>
  <c r="I925" i="6"/>
  <c r="J1233" i="6"/>
  <c r="J749" i="6"/>
  <c r="J2159" i="6"/>
  <c r="J1997" i="6"/>
  <c r="J85" i="6"/>
  <c r="I85" i="6"/>
  <c r="J359" i="6"/>
  <c r="J527" i="6"/>
  <c r="J32" i="6"/>
  <c r="I32" i="6"/>
  <c r="J95" i="6"/>
  <c r="I95" i="6"/>
  <c r="I1833" i="6"/>
  <c r="J1833" i="6"/>
  <c r="J2308" i="6"/>
  <c r="I2308" i="6"/>
  <c r="J868" i="6"/>
  <c r="J2050" i="6"/>
  <c r="J1227" i="6"/>
  <c r="J602" i="6"/>
  <c r="J1862" i="6"/>
  <c r="J1006" i="6"/>
  <c r="I1006" i="6"/>
  <c r="J1938" i="6"/>
  <c r="J1790" i="6"/>
  <c r="J1196" i="6"/>
  <c r="J1923" i="6"/>
  <c r="J1914" i="6"/>
  <c r="J2288" i="6"/>
  <c r="J1813" i="6"/>
  <c r="I254" i="6"/>
  <c r="J254" i="6"/>
  <c r="J222" i="6"/>
  <c r="J1911" i="6"/>
  <c r="J406" i="6"/>
  <c r="J417" i="6"/>
  <c r="I2183" i="6"/>
  <c r="J2183" i="6"/>
  <c r="J1041" i="6"/>
  <c r="I1041" i="6"/>
  <c r="J214" i="6"/>
  <c r="I2259" i="6"/>
  <c r="J2259" i="6"/>
  <c r="J1048" i="6"/>
  <c r="J861" i="6"/>
  <c r="J974" i="6"/>
  <c r="I974" i="6"/>
  <c r="J825" i="6"/>
  <c r="J435" i="6"/>
  <c r="J2009" i="6"/>
  <c r="J1060" i="6"/>
  <c r="J1543" i="6"/>
  <c r="J687" i="6"/>
  <c r="J379" i="6"/>
  <c r="J2096" i="6"/>
  <c r="I2096" i="6"/>
  <c r="J1767" i="6"/>
  <c r="I1767" i="6"/>
  <c r="J895" i="6"/>
  <c r="J1839" i="6"/>
  <c r="J1771" i="6"/>
  <c r="I1771" i="6"/>
  <c r="J2092" i="6"/>
  <c r="J731" i="6"/>
  <c r="J834" i="6"/>
  <c r="J757" i="6"/>
  <c r="J724" i="6"/>
  <c r="I724" i="6"/>
  <c r="J397" i="6"/>
  <c r="J1971" i="6"/>
  <c r="I1971" i="6"/>
  <c r="J628" i="6"/>
  <c r="J1128" i="6"/>
  <c r="I1128" i="6"/>
  <c r="J1106" i="6"/>
  <c r="I1106" i="6"/>
  <c r="J756" i="6"/>
  <c r="J1811" i="6"/>
  <c r="I1811" i="6"/>
  <c r="J1042" i="6"/>
  <c r="J796" i="6"/>
  <c r="I796" i="6"/>
  <c r="J887" i="6"/>
  <c r="J705" i="6"/>
  <c r="J1501" i="6"/>
  <c r="J2253" i="6"/>
  <c r="J1580" i="6"/>
  <c r="J318" i="6"/>
  <c r="J2329" i="6"/>
  <c r="J2262" i="6"/>
  <c r="J681" i="6"/>
  <c r="J1075" i="6"/>
  <c r="J421" i="6"/>
  <c r="I1464" i="6"/>
  <c r="J1464" i="6"/>
  <c r="J1223" i="6"/>
  <c r="I1223" i="6"/>
  <c r="J1693" i="6"/>
  <c r="J1251" i="6"/>
  <c r="I1251" i="6"/>
  <c r="I1317" i="6"/>
  <c r="J1317" i="6"/>
  <c r="J1709" i="6"/>
  <c r="I1709" i="6"/>
  <c r="J1286" i="6"/>
  <c r="I1286" i="6"/>
  <c r="J1920" i="6"/>
  <c r="J1364" i="6"/>
  <c r="J2063" i="6"/>
  <c r="J1220" i="6"/>
  <c r="J1457" i="6"/>
  <c r="J1722" i="6"/>
  <c r="J2085" i="6"/>
  <c r="J1572" i="6"/>
  <c r="J2184" i="6"/>
  <c r="J2282" i="6"/>
  <c r="J2008" i="6"/>
  <c r="J2188" i="6"/>
  <c r="J2318" i="6"/>
  <c r="J1964" i="6"/>
  <c r="I1964" i="6"/>
  <c r="J2192" i="6"/>
  <c r="J1205" i="6"/>
  <c r="J1390" i="6"/>
  <c r="J1710" i="6"/>
  <c r="I1710" i="6"/>
  <c r="J1669" i="6"/>
  <c r="I1669" i="6"/>
  <c r="J1607" i="6"/>
  <c r="I1607" i="6"/>
  <c r="J2234" i="6"/>
  <c r="I1328" i="6"/>
  <c r="J1328" i="6"/>
  <c r="I1339" i="6"/>
  <c r="J1339" i="6"/>
  <c r="J1381" i="6"/>
  <c r="J1691" i="6"/>
  <c r="J1668" i="6"/>
  <c r="J1481" i="6"/>
  <c r="I1529" i="6"/>
  <c r="J1529" i="6"/>
  <c r="J1299" i="6"/>
  <c r="I1299" i="6"/>
  <c r="J1680" i="6"/>
  <c r="J1456" i="6"/>
  <c r="J280" i="6"/>
  <c r="J1784" i="6"/>
  <c r="I1784" i="6"/>
  <c r="J368" i="6"/>
  <c r="J949" i="6"/>
  <c r="I949" i="6"/>
  <c r="J211" i="6"/>
  <c r="J643" i="6"/>
  <c r="J257" i="6"/>
  <c r="J1753" i="6"/>
  <c r="J298" i="6"/>
  <c r="J2328" i="6"/>
  <c r="J570" i="6"/>
  <c r="I570" i="6"/>
  <c r="J16" i="6"/>
  <c r="J991" i="6"/>
  <c r="I991" i="6"/>
  <c r="J204" i="6"/>
  <c r="J518" i="6"/>
  <c r="J1847" i="6"/>
  <c r="I1847" i="6"/>
  <c r="J646" i="6"/>
  <c r="J83" i="6"/>
  <c r="I83" i="6"/>
  <c r="J1145" i="6"/>
  <c r="J70" i="6"/>
  <c r="I70" i="6"/>
  <c r="J115" i="6"/>
  <c r="J2094" i="6"/>
  <c r="J447" i="6"/>
  <c r="J723" i="6"/>
  <c r="I1001" i="6"/>
  <c r="J1001" i="6"/>
  <c r="J896" i="6"/>
  <c r="J185" i="6"/>
  <c r="J1333" i="6"/>
  <c r="J245" i="6"/>
  <c r="J775" i="6"/>
  <c r="J1129" i="6"/>
  <c r="I1129" i="6"/>
  <c r="J2021" i="6"/>
  <c r="J431" i="6"/>
  <c r="J754" i="6"/>
  <c r="J131" i="6"/>
  <c r="J2034" i="6"/>
  <c r="J541" i="6"/>
  <c r="I541" i="6"/>
  <c r="J1133" i="6"/>
  <c r="I1133" i="6"/>
  <c r="J795" i="6"/>
  <c r="I795" i="6"/>
  <c r="J618" i="6"/>
  <c r="J1986" i="6"/>
  <c r="I1986" i="6"/>
  <c r="J784" i="6"/>
  <c r="J137" i="6"/>
  <c r="I137" i="6"/>
  <c r="J168" i="6"/>
  <c r="J167" i="6"/>
  <c r="I90" i="6"/>
  <c r="J90" i="6"/>
  <c r="J351" i="6"/>
  <c r="I243" i="6"/>
  <c r="J243" i="6"/>
  <c r="J436" i="6"/>
  <c r="J1890" i="6"/>
  <c r="J2337" i="6"/>
  <c r="J534" i="6"/>
  <c r="I534" i="6"/>
  <c r="J623" i="6"/>
  <c r="J1926" i="6"/>
  <c r="J708" i="6"/>
  <c r="J2026" i="6"/>
  <c r="J648" i="6"/>
  <c r="J1942" i="6"/>
  <c r="J1796" i="6"/>
  <c r="J585" i="6"/>
  <c r="J381" i="6"/>
  <c r="J382" i="6"/>
  <c r="J288" i="6"/>
  <c r="J241" i="6"/>
  <c r="I1969" i="6"/>
  <c r="J1969" i="6"/>
  <c r="J513" i="6"/>
  <c r="I513" i="6"/>
  <c r="J411" i="6"/>
  <c r="I2153" i="6"/>
  <c r="J2153" i="6"/>
  <c r="J362" i="6"/>
  <c r="J48" i="6"/>
  <c r="J1113" i="6"/>
  <c r="I1113" i="6"/>
  <c r="J617" i="6"/>
  <c r="J1053" i="6"/>
  <c r="J1746" i="6"/>
  <c r="J386" i="6"/>
  <c r="J2268" i="6"/>
  <c r="J1189" i="6"/>
  <c r="I1189" i="6"/>
  <c r="J1401" i="6"/>
  <c r="I819" i="6"/>
  <c r="J819" i="6"/>
  <c r="J428" i="6"/>
  <c r="I428" i="6"/>
  <c r="J2023" i="6"/>
  <c r="J961" i="6"/>
  <c r="I961" i="6"/>
  <c r="J224" i="6"/>
  <c r="I224" i="6"/>
  <c r="J387" i="6"/>
  <c r="J60" i="6"/>
  <c r="I1799" i="6"/>
  <c r="J1799" i="6"/>
  <c r="J903" i="6"/>
  <c r="J1793" i="6"/>
  <c r="J1016" i="6"/>
  <c r="I1002" i="6"/>
  <c r="J1002" i="6"/>
  <c r="J1014" i="6"/>
  <c r="J438" i="6"/>
  <c r="I438" i="6"/>
  <c r="I1825" i="6"/>
  <c r="J1825" i="6"/>
  <c r="J1172" i="6"/>
  <c r="J1935" i="6"/>
  <c r="J982" i="6"/>
  <c r="I982" i="6"/>
  <c r="I1108" i="6"/>
  <c r="J1108" i="6"/>
  <c r="J1110" i="6"/>
  <c r="I1110" i="6"/>
  <c r="J1036" i="6"/>
  <c r="J800" i="6"/>
  <c r="I800" i="6"/>
  <c r="J2114" i="6"/>
  <c r="J1900" i="6"/>
  <c r="J1616" i="6"/>
  <c r="I1616" i="6"/>
  <c r="J149" i="6"/>
  <c r="J545" i="6"/>
  <c r="J1161" i="6"/>
  <c r="J698" i="6"/>
  <c r="J2361" i="6"/>
  <c r="J353" i="6"/>
  <c r="J2025" i="6"/>
  <c r="J539" i="6"/>
  <c r="I21" i="6"/>
  <c r="J21" i="6"/>
  <c r="J1508" i="6"/>
  <c r="J1598" i="6"/>
  <c r="J1470" i="6"/>
  <c r="J423" i="6"/>
  <c r="J1615" i="6"/>
  <c r="J1566" i="6"/>
  <c r="J1640" i="6"/>
  <c r="I1640" i="6"/>
  <c r="I2294" i="6"/>
  <c r="J2294" i="6"/>
  <c r="J1577" i="6"/>
  <c r="J1502" i="6"/>
  <c r="J1287" i="6"/>
  <c r="I1287" i="6"/>
  <c r="J1440" i="6"/>
  <c r="J1245" i="6"/>
  <c r="J1725" i="6"/>
  <c r="I1631" i="6"/>
  <c r="J1631" i="6"/>
  <c r="J1302" i="6"/>
  <c r="I1302" i="6"/>
  <c r="J1582" i="6"/>
  <c r="J1936" i="6"/>
  <c r="J1380" i="6"/>
  <c r="J1656" i="6"/>
  <c r="J2100" i="6"/>
  <c r="J2310" i="6"/>
  <c r="J1236" i="6"/>
  <c r="J1473" i="6"/>
  <c r="J1844" i="6"/>
  <c r="I1844" i="6"/>
  <c r="J2101" i="6"/>
  <c r="J1588" i="6"/>
  <c r="J2204" i="6"/>
  <c r="I2298" i="6"/>
  <c r="J2298" i="6"/>
  <c r="J2024" i="6"/>
  <c r="J2209" i="6"/>
  <c r="J928" i="6"/>
  <c r="J1980" i="6"/>
  <c r="J2213" i="6"/>
  <c r="J1213" i="6"/>
  <c r="J1407" i="6"/>
  <c r="J1726" i="6"/>
  <c r="J1685" i="6"/>
  <c r="I1685" i="6"/>
  <c r="J1623" i="6"/>
  <c r="J2338" i="6"/>
  <c r="J1344" i="6"/>
  <c r="J1355" i="6"/>
  <c r="J1202" i="6"/>
  <c r="J1208" i="6"/>
  <c r="J1684" i="6"/>
  <c r="J1497" i="6"/>
  <c r="J1546" i="6"/>
  <c r="J1315" i="6"/>
  <c r="I1315" i="6"/>
  <c r="J1696" i="6"/>
  <c r="I1696" i="6"/>
  <c r="J1697" i="6"/>
  <c r="J110" i="6"/>
  <c r="I110" i="6"/>
  <c r="J1917" i="6"/>
  <c r="J225" i="6"/>
  <c r="J844" i="6"/>
  <c r="J53" i="6"/>
  <c r="J779" i="6"/>
  <c r="J370" i="6"/>
  <c r="J1866" i="6"/>
  <c r="I1866" i="6"/>
  <c r="J1436" i="6"/>
  <c r="J992" i="6"/>
  <c r="I992" i="6"/>
  <c r="J1353" i="6"/>
  <c r="I28" i="6"/>
  <c r="J28" i="6"/>
  <c r="J1749" i="6"/>
  <c r="I1749" i="6"/>
  <c r="J284" i="6"/>
  <c r="J582" i="6"/>
  <c r="J2039" i="6"/>
  <c r="I2039" i="6"/>
  <c r="J1755" i="6"/>
  <c r="J135" i="6"/>
  <c r="J1766" i="6"/>
  <c r="I1766" i="6"/>
  <c r="J249" i="6"/>
  <c r="I249" i="6"/>
  <c r="J371" i="6"/>
  <c r="J2295" i="6"/>
  <c r="J538" i="6"/>
  <c r="I538" i="6"/>
  <c r="J45" i="6"/>
  <c r="J1071" i="6"/>
  <c r="I983" i="6"/>
  <c r="J983" i="6"/>
  <c r="J1289" i="6"/>
  <c r="I439" i="6"/>
  <c r="J439" i="6"/>
  <c r="J46" i="6"/>
  <c r="I971" i="6"/>
  <c r="J971" i="6"/>
  <c r="J1878" i="6"/>
  <c r="I1878" i="6"/>
  <c r="I2086" i="6"/>
  <c r="J2086" i="6"/>
  <c r="J461" i="6"/>
  <c r="J828" i="6"/>
  <c r="J1540" i="6"/>
  <c r="J690" i="6"/>
  <c r="J1152" i="6"/>
  <c r="J273" i="6"/>
  <c r="J1092" i="6"/>
  <c r="I1092" i="6"/>
  <c r="J647" i="6"/>
  <c r="J311" i="6"/>
  <c r="J535" i="6"/>
  <c r="J203" i="6"/>
  <c r="J763" i="6"/>
  <c r="J2035" i="6"/>
  <c r="J829" i="6"/>
  <c r="J128" i="6"/>
  <c r="J526" i="6"/>
  <c r="J766" i="6"/>
  <c r="J1954" i="6"/>
  <c r="I1954" i="6"/>
  <c r="J986" i="6"/>
  <c r="I986" i="6"/>
  <c r="J598" i="6"/>
  <c r="J1034" i="6"/>
  <c r="J1989" i="6"/>
  <c r="I1121" i="6"/>
  <c r="J1121" i="6"/>
  <c r="J1134" i="6"/>
  <c r="J442" i="6"/>
  <c r="I442" i="6"/>
  <c r="J2030" i="6"/>
  <c r="J769" i="6"/>
  <c r="I794" i="6"/>
  <c r="J794" i="6"/>
  <c r="J751" i="6"/>
  <c r="J1804" i="6"/>
  <c r="J68" i="6"/>
  <c r="J258" i="6"/>
  <c r="J2355" i="6"/>
  <c r="J847" i="6"/>
  <c r="I517" i="6"/>
  <c r="J517" i="6"/>
  <c r="J2222" i="6"/>
  <c r="J235" i="6"/>
  <c r="I235" i="6"/>
  <c r="J65" i="6"/>
  <c r="J1177" i="6"/>
  <c r="J201" i="6"/>
  <c r="J1116" i="6"/>
  <c r="I1116" i="6"/>
  <c r="J2003" i="6"/>
  <c r="I2003" i="6"/>
  <c r="J537" i="6"/>
  <c r="I537" i="6"/>
  <c r="J2362" i="6"/>
  <c r="I2362" i="6"/>
  <c r="J1599" i="6"/>
  <c r="J1803" i="6"/>
  <c r="J1150" i="6"/>
  <c r="J691" i="6"/>
  <c r="J1837" i="6"/>
  <c r="J74" i="6"/>
  <c r="I74" i="6"/>
  <c r="J1024" i="6"/>
  <c r="J304" i="6"/>
  <c r="J464" i="6"/>
  <c r="J415" i="6"/>
  <c r="J2055" i="6"/>
  <c r="I2055" i="6"/>
  <c r="J1038" i="6"/>
  <c r="I1038" i="6"/>
  <c r="J777" i="6"/>
  <c r="J1146" i="6"/>
  <c r="J1781" i="6"/>
  <c r="I1781" i="6"/>
  <c r="J1789" i="6"/>
  <c r="I1789" i="6"/>
  <c r="J641" i="6"/>
  <c r="J2250" i="6"/>
  <c r="J624" i="6"/>
  <c r="J1809" i="6"/>
  <c r="J1919" i="6"/>
  <c r="J2015" i="6"/>
  <c r="J1955" i="6"/>
  <c r="I1955" i="6"/>
  <c r="J1423" i="6"/>
  <c r="I1090" i="6"/>
  <c r="J1090" i="6"/>
  <c r="J1568" i="6"/>
  <c r="J1491" i="6"/>
  <c r="J2195" i="6"/>
  <c r="J403" i="6"/>
  <c r="J429" i="6"/>
  <c r="J1987" i="6"/>
  <c r="J1438" i="6"/>
  <c r="J1259" i="6"/>
  <c r="J1549" i="6"/>
  <c r="J1030" i="6"/>
  <c r="I1030" i="6"/>
  <c r="J930" i="6"/>
  <c r="J1303" i="6"/>
  <c r="I1303" i="6"/>
  <c r="J1472" i="6"/>
  <c r="I1273" i="6"/>
  <c r="J1273" i="6"/>
  <c r="J1191" i="6"/>
  <c r="J1647" i="6"/>
  <c r="J1318" i="6"/>
  <c r="I1318" i="6"/>
  <c r="J1606" i="6"/>
  <c r="I1606" i="6"/>
  <c r="J1952" i="6"/>
  <c r="I1952" i="6"/>
  <c r="J1396" i="6"/>
  <c r="J1672" i="6"/>
  <c r="I1672" i="6"/>
  <c r="J2201" i="6"/>
  <c r="J2327" i="6"/>
  <c r="I1252" i="6"/>
  <c r="J1252" i="6"/>
  <c r="J1489" i="6"/>
  <c r="J1860" i="6"/>
  <c r="I1860" i="6"/>
  <c r="J2118" i="6"/>
  <c r="J1612" i="6"/>
  <c r="I1612" i="6"/>
  <c r="J2221" i="6"/>
  <c r="J2314" i="6"/>
  <c r="J2040" i="6"/>
  <c r="J2225" i="6"/>
  <c r="J931" i="6"/>
  <c r="J1996" i="6"/>
  <c r="J2289" i="6"/>
  <c r="I2289" i="6"/>
  <c r="J1212" i="6"/>
  <c r="J1445" i="6"/>
  <c r="J2102" i="6"/>
  <c r="J1701" i="6"/>
  <c r="J1639" i="6"/>
  <c r="I1639" i="6"/>
  <c r="J2242" i="6"/>
  <c r="J1360" i="6"/>
  <c r="J1371" i="6"/>
  <c r="I1371" i="6"/>
  <c r="J1218" i="6"/>
  <c r="J1224" i="6"/>
  <c r="I1224" i="6"/>
  <c r="J1700" i="6"/>
  <c r="J2339" i="6"/>
  <c r="J1562" i="6"/>
  <c r="J1331" i="6"/>
  <c r="J1712" i="6"/>
  <c r="J1195" i="6"/>
  <c r="J274" i="6"/>
  <c r="I274" i="6"/>
  <c r="J1981" i="6"/>
  <c r="J306" i="6"/>
  <c r="J1921" i="6"/>
  <c r="J309" i="6"/>
  <c r="J848" i="6"/>
  <c r="J290" i="6"/>
  <c r="J1930" i="6"/>
  <c r="J481" i="6"/>
  <c r="I481" i="6"/>
  <c r="J1140" i="6"/>
  <c r="J1681" i="6"/>
  <c r="I1681" i="6"/>
  <c r="I136" i="6"/>
  <c r="J136" i="6"/>
  <c r="J1814" i="6"/>
  <c r="I205" i="6"/>
  <c r="J205" i="6"/>
  <c r="J642" i="6"/>
  <c r="J220" i="6"/>
  <c r="J1077" i="6"/>
  <c r="J1553" i="6"/>
  <c r="J1893" i="6"/>
  <c r="J1565" i="6"/>
  <c r="I1337" i="6"/>
  <c r="J1337" i="6"/>
  <c r="J765" i="6"/>
  <c r="J1504" i="6"/>
  <c r="J301" i="6"/>
  <c r="J692" i="6"/>
  <c r="J1185" i="6"/>
  <c r="J1496" i="6"/>
  <c r="J1488" i="6"/>
  <c r="J328" i="6"/>
  <c r="I328" i="6"/>
  <c r="J1858" i="6"/>
  <c r="I1858" i="6"/>
  <c r="J1739" i="6"/>
  <c r="J2216" i="6"/>
  <c r="J1764" i="6"/>
  <c r="J897" i="6"/>
  <c r="J451" i="6"/>
  <c r="J143" i="6"/>
  <c r="J253" i="6"/>
  <c r="J573" i="6"/>
  <c r="I573" i="6"/>
  <c r="J345" i="6"/>
  <c r="I880" i="6"/>
  <c r="J880" i="6"/>
  <c r="J297" i="6"/>
  <c r="J452" i="6"/>
  <c r="J2319" i="6"/>
  <c r="J247" i="6"/>
  <c r="I247" i="6"/>
  <c r="J319" i="6"/>
  <c r="J265" i="6"/>
  <c r="I265" i="6"/>
  <c r="J51" i="6"/>
  <c r="J929" i="6"/>
  <c r="J2042" i="6"/>
  <c r="J610" i="6"/>
  <c r="J619" i="6"/>
  <c r="J482" i="6"/>
  <c r="I482" i="6"/>
  <c r="J2083" i="6"/>
  <c r="I2083" i="6"/>
  <c r="J1741" i="6"/>
  <c r="I1741" i="6"/>
  <c r="J962" i="6"/>
  <c r="I962" i="6"/>
  <c r="J600" i="6"/>
  <c r="J651" i="6"/>
  <c r="J2067" i="6"/>
  <c r="J1109" i="6"/>
  <c r="I1109" i="6"/>
  <c r="J1744" i="6"/>
  <c r="J2173" i="6"/>
  <c r="J330" i="6"/>
  <c r="J234" i="6"/>
  <c r="I234" i="6"/>
  <c r="J2045" i="6"/>
  <c r="J916" i="6"/>
  <c r="J650" i="6"/>
  <c r="J366" i="6"/>
  <c r="J422" i="6"/>
  <c r="I422" i="6"/>
  <c r="J321" i="6"/>
  <c r="J1600" i="6"/>
  <c r="J2072" i="6"/>
  <c r="I1180" i="6"/>
  <c r="J1180" i="6"/>
  <c r="J165" i="6"/>
  <c r="J675" i="6"/>
  <c r="I675" i="6"/>
  <c r="J2231" i="6"/>
  <c r="J2013" i="6"/>
  <c r="J2177" i="6"/>
  <c r="J713" i="6"/>
  <c r="J823" i="6"/>
  <c r="J640" i="6"/>
  <c r="J107" i="6"/>
  <c r="J1095" i="6"/>
  <c r="J276" i="6"/>
  <c r="I276" i="6"/>
  <c r="J433" i="6"/>
  <c r="J1855" i="6"/>
  <c r="I1855" i="6"/>
  <c r="J2350" i="6"/>
  <c r="J1102" i="6"/>
  <c r="I1102" i="6"/>
  <c r="J781" i="6"/>
  <c r="J1815" i="6"/>
  <c r="J595" i="6"/>
  <c r="J607" i="6"/>
  <c r="J842" i="6"/>
  <c r="J653" i="6"/>
  <c r="J504" i="6"/>
  <c r="J914" i="6"/>
  <c r="I914" i="6"/>
  <c r="J1805" i="6"/>
  <c r="J649" i="6"/>
  <c r="J662" i="6"/>
  <c r="I662" i="6"/>
  <c r="J1835" i="6"/>
  <c r="I1835" i="6"/>
  <c r="J515" i="6"/>
  <c r="I515" i="6"/>
  <c r="I1721" i="6"/>
  <c r="J1721" i="6"/>
  <c r="J2124" i="6"/>
  <c r="J1272" i="6"/>
  <c r="J1253" i="6"/>
  <c r="I1253" i="6"/>
  <c r="J2263" i="6"/>
  <c r="J1105" i="6"/>
  <c r="I1105" i="6"/>
  <c r="J2345" i="6"/>
  <c r="J1207" i="6"/>
  <c r="J1197" i="6"/>
  <c r="I1319" i="6"/>
  <c r="J1319" i="6"/>
  <c r="J1500" i="6"/>
  <c r="J1305" i="6"/>
  <c r="I1305" i="6"/>
  <c r="J1194" i="6"/>
  <c r="J1663" i="6"/>
  <c r="I1663" i="6"/>
  <c r="I1334" i="6"/>
  <c r="J1334" i="6"/>
  <c r="J1622" i="6"/>
  <c r="J1968" i="6"/>
  <c r="J1417" i="6"/>
  <c r="J1688" i="6"/>
  <c r="I1688" i="6"/>
  <c r="J2277" i="6"/>
  <c r="J2203" i="6"/>
  <c r="J1268" i="6"/>
  <c r="J1505" i="6"/>
  <c r="J1876" i="6"/>
  <c r="I1876" i="6"/>
  <c r="J1320" i="6"/>
  <c r="I1320" i="6"/>
  <c r="J1628" i="6"/>
  <c r="I1628" i="6"/>
  <c r="J2281" i="6"/>
  <c r="J2267" i="6"/>
  <c r="J2056" i="6"/>
  <c r="J2285" i="6"/>
  <c r="I2285" i="6"/>
  <c r="J1025" i="6"/>
  <c r="J2012" i="6"/>
  <c r="J2305" i="6"/>
  <c r="J1228" i="6"/>
  <c r="J1461" i="6"/>
  <c r="J2232" i="6"/>
  <c r="J1717" i="6"/>
  <c r="J1655" i="6"/>
  <c r="J1486" i="6"/>
  <c r="J1376" i="6"/>
  <c r="I1376" i="6"/>
  <c r="J1324" i="6"/>
  <c r="I1324" i="6"/>
  <c r="J1234" i="6"/>
  <c r="J1357" i="6"/>
  <c r="J1716" i="6"/>
  <c r="I1716" i="6"/>
  <c r="J2065" i="6"/>
  <c r="J1578" i="6"/>
  <c r="I1578" i="6"/>
  <c r="J1347" i="6"/>
  <c r="J1728" i="6"/>
  <c r="I1728" i="6"/>
  <c r="J753" i="6"/>
  <c r="J2062" i="6"/>
  <c r="J2206" i="6"/>
  <c r="J226" i="6"/>
  <c r="I226" i="6"/>
  <c r="I2145" i="6"/>
  <c r="J2145" i="6"/>
  <c r="J150" i="6"/>
  <c r="J1049" i="6"/>
  <c r="J69" i="6"/>
  <c r="J1993" i="6"/>
  <c r="J502" i="6"/>
  <c r="I502" i="6"/>
  <c r="J157" i="6"/>
  <c r="I497" i="6"/>
  <c r="J497" i="6"/>
  <c r="J275" i="6"/>
  <c r="I275" i="6"/>
  <c r="J1941" i="6"/>
  <c r="J372" i="6"/>
  <c r="J912" i="6"/>
  <c r="J316" i="6"/>
  <c r="J1762" i="6"/>
  <c r="J1239" i="6"/>
  <c r="J1957" i="6"/>
  <c r="J1255" i="6"/>
  <c r="J1271" i="6"/>
  <c r="J1158" i="6"/>
  <c r="I798" i="6"/>
  <c r="J798" i="6"/>
  <c r="J140" i="6"/>
  <c r="I140" i="6"/>
  <c r="J959" i="6"/>
  <c r="I959" i="6"/>
  <c r="J1806" i="6"/>
  <c r="J252" i="6"/>
  <c r="I252" i="6"/>
  <c r="J525" i="6"/>
  <c r="I88" i="6"/>
  <c r="J88" i="6"/>
  <c r="J1788" i="6"/>
  <c r="J1808" i="6"/>
  <c r="J2287" i="6"/>
  <c r="J2299" i="6"/>
  <c r="I2299" i="6"/>
  <c r="J1910" i="6"/>
  <c r="J546" i="6"/>
  <c r="J1171" i="6"/>
  <c r="I193" i="6"/>
  <c r="J193" i="6"/>
  <c r="J471" i="6"/>
  <c r="I803" i="6"/>
  <c r="J803" i="6"/>
  <c r="J202" i="6"/>
  <c r="I947" i="6"/>
  <c r="J947" i="6"/>
  <c r="J2300" i="6"/>
  <c r="J672" i="6"/>
  <c r="I672" i="6"/>
  <c r="J714" i="6"/>
  <c r="I440" i="6"/>
  <c r="J440" i="6"/>
  <c r="J82" i="6"/>
  <c r="I82" i="6"/>
  <c r="I410" i="6"/>
  <c r="J410" i="6"/>
  <c r="J312" i="6"/>
  <c r="J960" i="6"/>
  <c r="I960" i="6"/>
  <c r="J1064" i="6"/>
  <c r="J1011" i="6"/>
  <c r="J750" i="6"/>
  <c r="I750" i="6"/>
  <c r="J1269" i="6"/>
  <c r="I1269" i="6"/>
  <c r="J639" i="6"/>
  <c r="J1934" i="6"/>
  <c r="J668" i="6"/>
  <c r="J886" i="6"/>
  <c r="I1882" i="6"/>
  <c r="J1882" i="6"/>
  <c r="I1321" i="6"/>
  <c r="J1321" i="6"/>
  <c r="J1985" i="6"/>
  <c r="I1985" i="6"/>
  <c r="J858" i="6"/>
  <c r="J385" i="6"/>
  <c r="I155" i="6"/>
  <c r="J155" i="6"/>
  <c r="J395" i="6"/>
  <c r="J2175" i="6"/>
  <c r="J1051" i="6"/>
  <c r="J786" i="6"/>
  <c r="J20" i="6"/>
  <c r="J2347" i="6"/>
  <c r="J469" i="6"/>
  <c r="I469" i="6"/>
  <c r="J87" i="6"/>
  <c r="I87" i="6"/>
  <c r="J1792" i="6"/>
  <c r="J11" i="6"/>
  <c r="J1398" i="6"/>
  <c r="J148" i="6"/>
  <c r="I148" i="6"/>
  <c r="J806" i="6"/>
  <c r="I806" i="6"/>
  <c r="J339" i="6"/>
  <c r="J2078" i="6"/>
  <c r="J2357" i="6"/>
  <c r="J1881" i="6"/>
  <c r="J1021" i="6"/>
  <c r="J918" i="6"/>
  <c r="J363" i="6"/>
  <c r="J1170" i="6"/>
  <c r="J162" i="6"/>
  <c r="I496" i="6"/>
  <c r="J496" i="6"/>
  <c r="J256" i="6"/>
  <c r="I256" i="6"/>
  <c r="J314" i="6"/>
  <c r="J1166" i="6"/>
  <c r="I1166" i="6"/>
  <c r="J1421" i="6"/>
  <c r="J389" i="6"/>
  <c r="J760" i="6"/>
  <c r="J772" i="6"/>
  <c r="J1078" i="6"/>
  <c r="J1086" i="6"/>
  <c r="I1086" i="6"/>
  <c r="J1114" i="6"/>
  <c r="J956" i="6"/>
  <c r="I956" i="6"/>
  <c r="J1190" i="6"/>
  <c r="J462" i="6"/>
  <c r="J970" i="6"/>
  <c r="I970" i="6"/>
  <c r="I1122" i="6"/>
  <c r="J1122" i="6"/>
  <c r="J1142" i="6"/>
  <c r="J1365" i="6"/>
  <c r="I1365" i="6"/>
  <c r="J2020" i="6"/>
  <c r="J1601" i="6"/>
  <c r="J1450" i="6"/>
  <c r="I1450" i="6"/>
  <c r="J189" i="6"/>
  <c r="J114" i="6"/>
  <c r="I114" i="6"/>
  <c r="J171" i="6"/>
  <c r="J1054" i="6"/>
  <c r="J733" i="6"/>
  <c r="J1795" i="6"/>
  <c r="I1795" i="6"/>
  <c r="J1235" i="6"/>
  <c r="J1335" i="6"/>
  <c r="I1335" i="6"/>
  <c r="J1532" i="6"/>
  <c r="I1532" i="6"/>
  <c r="J1393" i="6"/>
  <c r="J1210" i="6"/>
  <c r="J1679" i="6"/>
  <c r="J1350" i="6"/>
  <c r="J1638" i="6"/>
  <c r="I1638" i="6"/>
  <c r="J1984" i="6"/>
  <c r="J1434" i="6"/>
  <c r="J1704" i="6"/>
  <c r="I1704" i="6"/>
  <c r="J2293" i="6"/>
  <c r="J2340" i="6"/>
  <c r="J1284" i="6"/>
  <c r="I1284" i="6"/>
  <c r="J1521" i="6"/>
  <c r="I1521" i="6"/>
  <c r="J1892" i="6"/>
  <c r="J1336" i="6"/>
  <c r="J1644" i="6"/>
  <c r="I1644" i="6"/>
  <c r="J2297" i="6"/>
  <c r="I2297" i="6"/>
  <c r="J1542" i="6"/>
  <c r="J2073" i="6"/>
  <c r="I2073" i="6"/>
  <c r="J2301" i="6"/>
  <c r="I2301" i="6"/>
  <c r="J1028" i="6"/>
  <c r="I1028" i="6"/>
  <c r="J2028" i="6"/>
  <c r="J2322" i="6"/>
  <c r="J1244" i="6"/>
  <c r="J1477" i="6"/>
  <c r="J2233" i="6"/>
  <c r="J1733" i="6"/>
  <c r="I1733" i="6"/>
  <c r="J1671" i="6"/>
  <c r="I1671" i="6"/>
  <c r="J1349" i="6"/>
  <c r="I1392" i="6"/>
  <c r="J1392" i="6"/>
  <c r="J1340" i="6"/>
  <c r="J1250" i="6"/>
  <c r="I1250" i="6"/>
  <c r="J1516" i="6"/>
  <c r="I1516" i="6"/>
  <c r="J1732" i="6"/>
  <c r="J1329" i="6"/>
  <c r="I1329" i="6"/>
  <c r="J1602" i="6"/>
  <c r="J1363" i="6"/>
  <c r="J1412" i="6"/>
  <c r="J1713" i="6"/>
  <c r="I1713" i="6"/>
  <c r="J656" i="6"/>
  <c r="J2111" i="6"/>
  <c r="J195" i="6"/>
  <c r="J2280" i="6"/>
  <c r="I2280" i="6"/>
  <c r="J361" i="6"/>
  <c r="J2006" i="6"/>
  <c r="I2006" i="6"/>
  <c r="J325" i="6"/>
  <c r="J2010" i="6"/>
  <c r="J566" i="6"/>
  <c r="J142" i="6"/>
  <c r="J831" i="6"/>
  <c r="J373" i="6"/>
  <c r="I373" i="6"/>
  <c r="J1970" i="6"/>
  <c r="I1970" i="6"/>
  <c r="J31" i="6"/>
  <c r="I31" i="6"/>
  <c r="J977" i="6"/>
  <c r="I977" i="6"/>
  <c r="J221" i="6"/>
  <c r="J2113" i="6"/>
  <c r="J590" i="6"/>
  <c r="J1974" i="6"/>
  <c r="J594" i="6"/>
  <c r="J390" i="6"/>
  <c r="J788" i="6"/>
  <c r="J1067" i="6"/>
  <c r="J152" i="6"/>
  <c r="I152" i="6"/>
  <c r="J1782" i="6"/>
  <c r="J2336" i="6"/>
  <c r="J586" i="6"/>
  <c r="J589" i="6"/>
  <c r="J62" i="6"/>
  <c r="J1857" i="6"/>
  <c r="I1857" i="6"/>
  <c r="J1877" i="6"/>
  <c r="J71" i="6"/>
  <c r="I71" i="6"/>
  <c r="J112" i="6"/>
  <c r="I112" i="6"/>
  <c r="J1845" i="6"/>
  <c r="I1845" i="6"/>
  <c r="J1536" i="6"/>
  <c r="I1536" i="6"/>
  <c r="J1953" i="6"/>
  <c r="J260" i="6"/>
  <c r="I260" i="6"/>
  <c r="J860" i="6"/>
  <c r="I286" i="6"/>
  <c r="J286" i="6"/>
  <c r="J1743" i="6"/>
  <c r="J1901" i="6"/>
  <c r="J2139" i="6"/>
  <c r="I2139" i="6"/>
  <c r="J738" i="6"/>
  <c r="J181" i="6"/>
  <c r="J338" i="6"/>
  <c r="J1865" i="6"/>
  <c r="J1117" i="6"/>
  <c r="J1297" i="6"/>
  <c r="I1297" i="6"/>
  <c r="J1402" i="6"/>
  <c r="I1402" i="6"/>
  <c r="J636" i="6"/>
  <c r="I1774" i="6"/>
  <c r="J1774" i="6"/>
  <c r="J824" i="6"/>
  <c r="I824" i="6"/>
  <c r="J601" i="6"/>
  <c r="J913" i="6"/>
  <c r="J761" i="6"/>
  <c r="J734" i="6"/>
  <c r="J633" i="6"/>
  <c r="J2017" i="6"/>
  <c r="I2017" i="6"/>
  <c r="J564" i="6"/>
  <c r="J1590" i="6"/>
  <c r="J620" i="6"/>
  <c r="J608" i="6"/>
  <c r="I608" i="6"/>
  <c r="J398" i="6"/>
  <c r="I476" i="6"/>
  <c r="J476" i="6"/>
  <c r="J955" i="6"/>
  <c r="I955" i="6"/>
  <c r="J1183" i="6"/>
  <c r="J346" i="6"/>
  <c r="J2123" i="6"/>
  <c r="J1126" i="6"/>
  <c r="I1126" i="6"/>
  <c r="J343" i="6"/>
  <c r="J1861" i="6"/>
  <c r="I267" i="6"/>
  <c r="J267" i="6"/>
  <c r="J1597" i="6"/>
  <c r="J119" i="6"/>
  <c r="I119" i="6"/>
  <c r="J871" i="6"/>
  <c r="I871" i="6"/>
  <c r="J212" i="6"/>
  <c r="J2208" i="6"/>
  <c r="J146" i="6"/>
  <c r="I146" i="6"/>
  <c r="J2252" i="6"/>
  <c r="J1091" i="6"/>
  <c r="I1091" i="6"/>
  <c r="I1823" i="6"/>
  <c r="J1823" i="6"/>
  <c r="J865" i="6"/>
  <c r="J934" i="6"/>
  <c r="I934" i="6"/>
  <c r="J419" i="6"/>
  <c r="J630" i="6"/>
  <c r="J336" i="6"/>
  <c r="J170" i="6"/>
  <c r="I942" i="6"/>
  <c r="J942" i="6"/>
  <c r="J1841" i="6"/>
  <c r="I1841" i="6"/>
  <c r="J1132" i="6"/>
  <c r="I1132" i="6"/>
  <c r="J873" i="6"/>
  <c r="I873" i="6"/>
  <c r="J898" i="6"/>
  <c r="I898" i="6"/>
  <c r="J1742" i="6"/>
  <c r="J1763" i="6"/>
  <c r="J1548" i="6"/>
  <c r="J568" i="6"/>
  <c r="I568" i="6"/>
  <c r="J1807" i="6"/>
  <c r="J706" i="6"/>
  <c r="J424" i="6"/>
  <c r="I721" i="6"/>
  <c r="J721" i="6"/>
  <c r="J519" i="6"/>
  <c r="J1391" i="6"/>
  <c r="J1658" i="6"/>
  <c r="J1238" i="6"/>
  <c r="J554" i="6"/>
  <c r="J72" i="6"/>
  <c r="I72" i="6"/>
  <c r="J2315" i="6"/>
  <c r="J1834" i="6"/>
  <c r="I1834" i="6"/>
  <c r="J121" i="6"/>
  <c r="I121" i="6"/>
  <c r="J445" i="6"/>
  <c r="I1229" i="6"/>
  <c r="J1229" i="6"/>
  <c r="J1267" i="6"/>
  <c r="J1325" i="6"/>
  <c r="I1325" i="6"/>
  <c r="J1351" i="6"/>
  <c r="J1585" i="6"/>
  <c r="J1609" i="6"/>
  <c r="J1226" i="6"/>
  <c r="J1695" i="6"/>
  <c r="J1366" i="6"/>
  <c r="I1366" i="6"/>
  <c r="J1654" i="6"/>
  <c r="J2000" i="6"/>
  <c r="J1451" i="6"/>
  <c r="I1720" i="6"/>
  <c r="J1720" i="6"/>
  <c r="J2309" i="6"/>
  <c r="I2309" i="6"/>
  <c r="J2343" i="6"/>
  <c r="J1300" i="6"/>
  <c r="I1300" i="6"/>
  <c r="J1537" i="6"/>
  <c r="J1908" i="6"/>
  <c r="J1352" i="6"/>
  <c r="J1660" i="6"/>
  <c r="J2313" i="6"/>
  <c r="J1735" i="6"/>
  <c r="I2089" i="6"/>
  <c r="J2089" i="6"/>
  <c r="J2317" i="6"/>
  <c r="J1760" i="6"/>
  <c r="I1760" i="6"/>
  <c r="J2044" i="6"/>
  <c r="J2138" i="6"/>
  <c r="I2138" i="6"/>
  <c r="J1260" i="6"/>
  <c r="J1493" i="6"/>
  <c r="J1341" i="6"/>
  <c r="J1198" i="6"/>
  <c r="J1687" i="6"/>
  <c r="J1484" i="6"/>
  <c r="J1413" i="6"/>
  <c r="J1356" i="6"/>
  <c r="J1266" i="6"/>
  <c r="I1617" i="6"/>
  <c r="J1617" i="6"/>
  <c r="J2246" i="6"/>
  <c r="J1387" i="6"/>
  <c r="J1618" i="6"/>
  <c r="I1618" i="6"/>
  <c r="J1379" i="6"/>
  <c r="J1442" i="6"/>
  <c r="J1557" i="6"/>
  <c r="J1480" i="6"/>
  <c r="J2245" i="6"/>
  <c r="J293" i="6"/>
  <c r="I293" i="6"/>
  <c r="J2333" i="6"/>
  <c r="J1217" i="6"/>
  <c r="J2075" i="6"/>
  <c r="I2075" i="6"/>
  <c r="I279" i="6"/>
  <c r="J279" i="6"/>
  <c r="J2187" i="6"/>
  <c r="J557" i="6"/>
  <c r="I557" i="6"/>
  <c r="J33" i="6"/>
  <c r="I33" i="6"/>
  <c r="J900" i="6"/>
  <c r="J1261" i="6"/>
  <c r="J2022" i="6"/>
  <c r="J287" i="6"/>
  <c r="J1111" i="6"/>
  <c r="I118" i="6"/>
  <c r="J118" i="6"/>
  <c r="J268" i="6"/>
  <c r="I268" i="6"/>
  <c r="I1460" i="6"/>
  <c r="J1460" i="6"/>
  <c r="J2038" i="6"/>
  <c r="I989" i="6"/>
  <c r="J989" i="6"/>
  <c r="J663" i="6"/>
  <c r="J348" i="6"/>
  <c r="J1131" i="6"/>
  <c r="I1131" i="6"/>
  <c r="J127" i="6"/>
  <c r="I127" i="6"/>
  <c r="J1776" i="6"/>
  <c r="J78" i="6"/>
  <c r="I78" i="6"/>
  <c r="J1179" i="6"/>
  <c r="J889" i="6"/>
  <c r="J242" i="6"/>
  <c r="J2324" i="6"/>
  <c r="J2143" i="6"/>
  <c r="I2143" i="6"/>
  <c r="J169" i="6"/>
  <c r="J391" i="6"/>
  <c r="J2331" i="6"/>
  <c r="J696" i="6"/>
  <c r="I696" i="6"/>
  <c r="J2185" i="6"/>
  <c r="J979" i="6"/>
  <c r="I979" i="6"/>
  <c r="J2090" i="6"/>
  <c r="J489" i="6"/>
  <c r="I489" i="6"/>
  <c r="I501" i="6"/>
  <c r="J501" i="6"/>
  <c r="J744" i="6"/>
  <c r="J2198" i="6"/>
  <c r="J1828" i="6"/>
  <c r="J631" i="6"/>
  <c r="J711" i="6"/>
  <c r="J285" i="6"/>
  <c r="J2001" i="6"/>
  <c r="J596" i="6"/>
  <c r="J904" i="6"/>
  <c r="I904" i="6"/>
  <c r="J1164" i="6"/>
  <c r="I1164" i="6"/>
  <c r="J1990" i="6"/>
  <c r="J1846" i="6"/>
  <c r="I1846" i="6"/>
  <c r="J741" i="6"/>
  <c r="J1181" i="6"/>
  <c r="I958" i="6"/>
  <c r="J958" i="6"/>
  <c r="J1824" i="6"/>
  <c r="I1824" i="6"/>
  <c r="I491" i="6"/>
  <c r="J491" i="6"/>
  <c r="J629" i="6"/>
  <c r="J740" i="6"/>
  <c r="J863" i="6"/>
  <c r="J1163" i="6"/>
  <c r="J1978" i="6"/>
  <c r="J638" i="6"/>
  <c r="J448" i="6"/>
  <c r="J1019" i="6"/>
  <c r="J1020" i="6"/>
  <c r="J420" i="6"/>
  <c r="J2258" i="6"/>
  <c r="J759" i="6"/>
  <c r="J2241" i="6"/>
  <c r="J1925" i="6"/>
  <c r="J768" i="6"/>
  <c r="J1740" i="6"/>
  <c r="J616" i="6"/>
  <c r="J941" i="6"/>
  <c r="I941" i="6"/>
  <c r="I308" i="6"/>
  <c r="J308" i="6"/>
  <c r="J213" i="6"/>
  <c r="J2076" i="6"/>
  <c r="J720" i="6"/>
  <c r="J177" i="6"/>
  <c r="J2011" i="6"/>
  <c r="J998" i="6"/>
  <c r="I998" i="6"/>
  <c r="J661" i="6"/>
  <c r="J699" i="6"/>
  <c r="J209" i="6"/>
  <c r="I139" i="6"/>
  <c r="J139" i="6"/>
  <c r="I1149" i="6"/>
  <c r="J1149" i="6"/>
  <c r="J637" i="6"/>
  <c r="J1777" i="6"/>
  <c r="I1777" i="6"/>
  <c r="J384" i="6"/>
  <c r="J1435" i="6"/>
  <c r="J1991" i="6"/>
  <c r="J2027" i="6"/>
  <c r="J1875" i="6"/>
  <c r="J1068" i="6"/>
  <c r="J735" i="6"/>
  <c r="J813" i="6"/>
  <c r="I813" i="6"/>
  <c r="J1136" i="6"/>
  <c r="J1100" i="6"/>
  <c r="I1100" i="6"/>
  <c r="I990" i="6"/>
  <c r="J990" i="6"/>
  <c r="J2223" i="6"/>
  <c r="J1646" i="6"/>
  <c r="J94" i="6"/>
  <c r="I94" i="6"/>
  <c r="J178" i="6"/>
  <c r="J1069" i="6"/>
  <c r="J694" i="6"/>
  <c r="I1000" i="6"/>
  <c r="J1000" i="6"/>
  <c r="J1295" i="6"/>
  <c r="I1295" i="6"/>
  <c r="J1221" i="6"/>
  <c r="J1367" i="6"/>
  <c r="I1367" i="6"/>
  <c r="J1625" i="6"/>
  <c r="I1625" i="6"/>
  <c r="J1482" i="6"/>
  <c r="J1242" i="6"/>
  <c r="J1711" i="6"/>
  <c r="J1382" i="6"/>
  <c r="I1670" i="6"/>
  <c r="J1670" i="6"/>
  <c r="J2016" i="6"/>
  <c r="J1467" i="6"/>
  <c r="I1467" i="6"/>
  <c r="J1752" i="6"/>
  <c r="I1752" i="6"/>
  <c r="J2326" i="6"/>
  <c r="J1603" i="6"/>
  <c r="I1290" i="6"/>
  <c r="J1290" i="6"/>
  <c r="J1554" i="6"/>
  <c r="J1924" i="6"/>
  <c r="J1368" i="6"/>
  <c r="J1676" i="6"/>
  <c r="J2330" i="6"/>
  <c r="J1848" i="6"/>
  <c r="I1848" i="6"/>
  <c r="J2106" i="6"/>
  <c r="J2334" i="6"/>
  <c r="J1023" i="6"/>
  <c r="J2060" i="6"/>
  <c r="J2154" i="6"/>
  <c r="I1276" i="6"/>
  <c r="J1276" i="6"/>
  <c r="J1509" i="6"/>
  <c r="J1373" i="6"/>
  <c r="I1373" i="6"/>
  <c r="J1214" i="6"/>
  <c r="J1703" i="6"/>
  <c r="J1613" i="6"/>
  <c r="J1430" i="6"/>
  <c r="J1372" i="6"/>
  <c r="J1510" i="6"/>
  <c r="J1633" i="6"/>
  <c r="I1633" i="6"/>
  <c r="J1530" i="6"/>
  <c r="I1530" i="6"/>
  <c r="J1420" i="6"/>
  <c r="J1634" i="6"/>
  <c r="J1395" i="6"/>
  <c r="J1458" i="6"/>
  <c r="J1410" i="6"/>
  <c r="J1225" i="6"/>
  <c r="J846" i="6"/>
  <c r="I89" i="6"/>
  <c r="J89" i="6"/>
  <c r="J2179" i="6"/>
  <c r="J472" i="6"/>
  <c r="J2284" i="6"/>
  <c r="I2284" i="6"/>
  <c r="J266" i="6"/>
  <c r="I266" i="6"/>
  <c r="I104" i="6"/>
  <c r="J104" i="6"/>
  <c r="I695" i="6"/>
  <c r="J695" i="6"/>
  <c r="J289" i="6"/>
  <c r="J1061" i="6"/>
  <c r="J1263" i="6"/>
  <c r="J2091" i="6"/>
  <c r="J238" i="6"/>
  <c r="I238" i="6"/>
  <c r="J1175" i="6"/>
  <c r="J47" i="6"/>
  <c r="J364" i="6"/>
  <c r="J581" i="6"/>
  <c r="J2181" i="6"/>
  <c r="J1123" i="6"/>
  <c r="J729" i="6"/>
  <c r="I29" i="6"/>
  <c r="J29" i="6"/>
  <c r="J688" i="6"/>
  <c r="J38" i="6"/>
  <c r="I38" i="6"/>
  <c r="J2054" i="6"/>
  <c r="J1874" i="6"/>
  <c r="J1826" i="6"/>
  <c r="J2197" i="6"/>
  <c r="J163" i="6"/>
  <c r="J852" i="6"/>
  <c r="J1369" i="6"/>
  <c r="J1889" i="6"/>
  <c r="J465" i="6"/>
  <c r="J1801" i="6"/>
  <c r="J767" i="6"/>
  <c r="J709" i="6"/>
  <c r="J2279" i="6"/>
  <c r="J1115" i="6"/>
  <c r="J981" i="6"/>
  <c r="I981" i="6"/>
  <c r="J995" i="6"/>
  <c r="I995" i="6"/>
  <c r="J1059" i="6"/>
  <c r="J1951" i="6"/>
  <c r="J669" i="6"/>
  <c r="J197" i="6"/>
  <c r="J1783" i="6"/>
  <c r="I272" i="6"/>
  <c r="J272" i="6"/>
  <c r="J2019" i="6"/>
  <c r="J1867" i="6"/>
  <c r="I1867" i="6"/>
  <c r="J1596" i="6"/>
  <c r="I1596" i="6"/>
  <c r="J1958" i="6"/>
  <c r="J1094" i="6"/>
  <c r="I1094" i="6"/>
  <c r="J1998" i="6"/>
  <c r="J808" i="6"/>
  <c r="I808" i="6"/>
  <c r="J1802" i="6"/>
  <c r="J1040" i="6"/>
  <c r="I1040" i="6"/>
  <c r="J1756" i="6"/>
  <c r="I1756" i="6"/>
  <c r="J747" i="6"/>
  <c r="J830" i="6"/>
  <c r="J1141" i="6"/>
  <c r="J1062" i="6"/>
  <c r="J2260" i="6"/>
  <c r="J674" i="6"/>
  <c r="I674" i="6"/>
  <c r="I774" i="6"/>
  <c r="J774" i="6"/>
  <c r="J509" i="6"/>
  <c r="I509" i="6"/>
  <c r="J1734" i="6"/>
  <c r="J1101" i="6"/>
  <c r="I1101" i="6"/>
  <c r="J654" i="6"/>
  <c r="J2349" i="6"/>
  <c r="J967" i="6"/>
  <c r="I967" i="6"/>
  <c r="J392" i="6"/>
  <c r="J2356" i="6"/>
  <c r="J1915" i="6"/>
  <c r="I1915" i="6"/>
  <c r="J1907" i="6"/>
  <c r="J877" i="6"/>
  <c r="I877" i="6"/>
  <c r="J1005" i="6"/>
  <c r="J2346" i="6"/>
  <c r="I262" i="6"/>
  <c r="J262" i="6"/>
  <c r="J2151" i="6"/>
  <c r="J994" i="6"/>
  <c r="I994" i="6"/>
  <c r="J725" i="6"/>
  <c r="I725" i="6"/>
  <c r="J418" i="6"/>
  <c r="J1076" i="6"/>
  <c r="I922" i="6"/>
  <c r="J922" i="6"/>
  <c r="I965" i="6"/>
  <c r="J965" i="6"/>
  <c r="I1757" i="6"/>
  <c r="J1757" i="6"/>
  <c r="J890" i="6"/>
  <c r="J1895" i="6"/>
  <c r="J923" i="6"/>
  <c r="I923" i="6"/>
  <c r="J478" i="6"/>
  <c r="I478" i="6"/>
  <c r="J732" i="6"/>
  <c r="J396" i="6"/>
  <c r="I805" i="6"/>
  <c r="J805" i="6"/>
  <c r="J966" i="6"/>
  <c r="I966" i="6"/>
  <c r="J1176" i="6"/>
  <c r="J964" i="6"/>
  <c r="I964" i="6"/>
  <c r="J976" i="6"/>
  <c r="I976" i="6"/>
  <c r="J1160" i="6"/>
  <c r="J1736" i="6"/>
  <c r="I1736" i="6"/>
  <c r="J2047" i="6"/>
  <c r="J551" i="6"/>
  <c r="J715" i="6"/>
  <c r="J1386" i="6"/>
  <c r="J1346" i="6"/>
  <c r="J108" i="6"/>
  <c r="I108" i="6"/>
  <c r="J248" i="6"/>
  <c r="I248" i="6"/>
  <c r="J138" i="6"/>
  <c r="J2283" i="6"/>
  <c r="J2074" i="6"/>
  <c r="J875" i="6"/>
  <c r="J857" i="6"/>
  <c r="I1311" i="6"/>
  <c r="J1311" i="6"/>
  <c r="J1257" i="6"/>
  <c r="J1383" i="6"/>
  <c r="J1641" i="6"/>
  <c r="J1498" i="6"/>
  <c r="I1258" i="6"/>
  <c r="J1258" i="6"/>
  <c r="J1727" i="6"/>
  <c r="I1727" i="6"/>
  <c r="J1415" i="6"/>
  <c r="J1686" i="6"/>
  <c r="I1686" i="6"/>
  <c r="J2032" i="6"/>
  <c r="J1483" i="6"/>
  <c r="J2058" i="6"/>
  <c r="I2142" i="6"/>
  <c r="J2142" i="6"/>
  <c r="J1619" i="6"/>
  <c r="J1306" i="6"/>
  <c r="I1306" i="6"/>
  <c r="J1570" i="6"/>
  <c r="J1940" i="6"/>
  <c r="J1384" i="6"/>
  <c r="J1692" i="6"/>
  <c r="J2130" i="6"/>
  <c r="I2130" i="6"/>
  <c r="J1864" i="6"/>
  <c r="J2122" i="6"/>
  <c r="J2134" i="6"/>
  <c r="J1026" i="6"/>
  <c r="J2077" i="6"/>
  <c r="J2170" i="6"/>
  <c r="I2170" i="6"/>
  <c r="J1292" i="6"/>
  <c r="I1292" i="6"/>
  <c r="I1525" i="6"/>
  <c r="J1525" i="6"/>
  <c r="J1406" i="6"/>
  <c r="I1230" i="6"/>
  <c r="J1230" i="6"/>
  <c r="J1719" i="6"/>
  <c r="J1629" i="6"/>
  <c r="J1447" i="6"/>
  <c r="J1388" i="6"/>
  <c r="I1526" i="6"/>
  <c r="J1526" i="6"/>
  <c r="J1649" i="6"/>
  <c r="I1649" i="6"/>
  <c r="J1563" i="6"/>
  <c r="J1433" i="6"/>
  <c r="J1650" i="6"/>
  <c r="I1650" i="6"/>
  <c r="J1523" i="6"/>
  <c r="J1474" i="6"/>
  <c r="J1729" i="6"/>
  <c r="J486" i="6"/>
  <c r="I486" i="6"/>
  <c r="J907" i="6"/>
  <c r="J1241" i="6"/>
  <c r="I1241" i="6"/>
  <c r="J980" i="6"/>
  <c r="I980" i="6"/>
  <c r="J1203" i="6"/>
  <c r="J2254" i="6"/>
  <c r="J2099" i="6"/>
  <c r="J92" i="6"/>
  <c r="I92" i="6"/>
  <c r="J762" i="6"/>
  <c r="J42" i="6"/>
  <c r="I42" i="6"/>
  <c r="J1810" i="6"/>
  <c r="I1810" i="6"/>
  <c r="J510" i="6"/>
  <c r="J2165" i="6"/>
  <c r="J166" i="6"/>
  <c r="J872" i="6"/>
  <c r="J303" i="6"/>
  <c r="I303" i="6"/>
  <c r="J237" i="6"/>
  <c r="I237" i="6"/>
  <c r="J851" i="6"/>
  <c r="J2316" i="6"/>
  <c r="J1547" i="6"/>
  <c r="J859" i="6"/>
  <c r="J58" i="6"/>
  <c r="J893" i="6"/>
  <c r="J208" i="6"/>
  <c r="J773" i="6"/>
  <c r="I773" i="6"/>
  <c r="J2275" i="6"/>
  <c r="J1894" i="6"/>
  <c r="J2269" i="6"/>
  <c r="J885" i="6"/>
  <c r="I278" i="6"/>
  <c r="J278" i="6"/>
  <c r="J1818" i="6"/>
  <c r="J2291" i="6"/>
  <c r="J1089" i="6"/>
  <c r="I1089" i="6"/>
  <c r="I66" i="6"/>
  <c r="J66" i="6"/>
  <c r="J1169" i="6"/>
  <c r="J644" i="6"/>
  <c r="J2238" i="6"/>
  <c r="J324" i="6"/>
  <c r="J1999" i="6"/>
  <c r="J377" i="6"/>
  <c r="J997" i="6"/>
  <c r="I997" i="6"/>
  <c r="J466" i="6"/>
  <c r="J354" i="6"/>
  <c r="I120" i="6"/>
  <c r="J120" i="6"/>
  <c r="J1188" i="6"/>
  <c r="I41" i="6"/>
  <c r="J41" i="6"/>
  <c r="I277" i="6"/>
  <c r="J277" i="6"/>
  <c r="J988" i="6"/>
  <c r="I988" i="6"/>
  <c r="J660" i="6"/>
  <c r="I797" i="6"/>
  <c r="J797" i="6"/>
  <c r="J1853" i="6"/>
  <c r="I1853" i="6"/>
  <c r="J2202" i="6"/>
  <c r="J1794" i="6"/>
  <c r="J1929" i="6"/>
  <c r="J498" i="6"/>
  <c r="I498" i="6"/>
  <c r="J2133" i="6"/>
  <c r="J789" i="6"/>
  <c r="I789" i="6"/>
  <c r="J652" i="6"/>
  <c r="J1820" i="6"/>
  <c r="J627" i="6"/>
  <c r="J2163" i="6"/>
  <c r="J940" i="6"/>
  <c r="I940" i="6"/>
  <c r="J839" i="6"/>
  <c r="J778" i="6"/>
  <c r="J310" i="6"/>
  <c r="J1775" i="6"/>
  <c r="J1738" i="6"/>
  <c r="J790" i="6"/>
  <c r="I790" i="6"/>
  <c r="J26" i="6"/>
  <c r="J1173" i="6"/>
  <c r="J743" i="6"/>
  <c r="J2325" i="6"/>
  <c r="J532" i="6"/>
  <c r="I532" i="6"/>
  <c r="J1595" i="6"/>
  <c r="I1595" i="6"/>
  <c r="J1027" i="6"/>
  <c r="J1138" i="6"/>
  <c r="J374" i="6"/>
  <c r="J2082" i="6"/>
  <c r="I2082" i="6"/>
  <c r="J2364" i="6"/>
  <c r="J244" i="6"/>
  <c r="I1072" i="6"/>
  <c r="J1072" i="6"/>
  <c r="J36" i="6"/>
  <c r="I36" i="6"/>
  <c r="J1927" i="6"/>
  <c r="J261" i="6"/>
  <c r="I261" i="6"/>
  <c r="J1029" i="6"/>
  <c r="I1029" i="6"/>
  <c r="I22" i="6"/>
  <c r="J22" i="6"/>
  <c r="J1787" i="6"/>
  <c r="I1961" i="6"/>
  <c r="J1961" i="6"/>
  <c r="J927" i="6"/>
  <c r="J591" i="6"/>
  <c r="J1831" i="6"/>
  <c r="I1831" i="6"/>
  <c r="J621" i="6"/>
  <c r="J1124" i="6"/>
  <c r="I1124" i="6"/>
  <c r="J583" i="6"/>
  <c r="J1544" i="6"/>
  <c r="J717" i="6"/>
  <c r="J1541" i="6"/>
  <c r="I1541" i="6"/>
  <c r="J543" i="6"/>
  <c r="J1192" i="6"/>
  <c r="I572" i="6"/>
  <c r="J572" i="6"/>
  <c r="J780" i="6"/>
  <c r="J1567" i="6"/>
  <c r="J2120" i="6"/>
  <c r="J1538" i="6"/>
  <c r="I1538" i="6"/>
  <c r="I77" i="6"/>
  <c r="J77" i="6"/>
  <c r="J2105" i="6"/>
  <c r="I477" i="6"/>
  <c r="J477" i="6"/>
  <c r="I39" i="6"/>
  <c r="J39" i="6"/>
  <c r="J712" i="6"/>
  <c r="J685" i="6"/>
  <c r="I818" i="6"/>
  <c r="J818" i="6"/>
  <c r="J1327" i="6"/>
  <c r="I1327" i="6"/>
  <c r="J1039" i="6"/>
  <c r="I1039" i="6"/>
  <c r="I1274" i="6"/>
  <c r="J1274" i="6"/>
  <c r="J1200" i="6"/>
  <c r="J1437" i="6"/>
  <c r="I1702" i="6"/>
  <c r="J1702" i="6"/>
  <c r="J2048" i="6"/>
  <c r="I2048" i="6"/>
  <c r="I1499" i="6"/>
  <c r="J1499" i="6"/>
  <c r="J2095" i="6"/>
  <c r="J2158" i="6"/>
  <c r="J1635" i="6"/>
  <c r="I1635" i="6"/>
  <c r="J1322" i="6"/>
  <c r="I1322" i="6"/>
  <c r="J1586" i="6"/>
  <c r="J1956" i="6"/>
  <c r="J1439" i="6"/>
  <c r="J1708" i="6"/>
  <c r="I1708" i="6"/>
  <c r="J2146" i="6"/>
  <c r="I2146" i="6"/>
  <c r="J1880" i="6"/>
  <c r="J1422" i="6"/>
  <c r="J2150" i="6"/>
  <c r="J1758" i="6"/>
  <c r="I2093" i="6"/>
  <c r="J2093" i="6"/>
  <c r="J2186" i="6"/>
  <c r="J1308" i="6"/>
  <c r="I1308" i="6"/>
  <c r="J1558" i="6"/>
  <c r="J1243" i="6"/>
  <c r="J1246" i="6"/>
  <c r="J1282" i="6"/>
  <c r="J1645" i="6"/>
  <c r="J1463" i="6"/>
  <c r="I1463" i="6"/>
  <c r="J1409" i="6"/>
  <c r="J1559" i="6"/>
  <c r="J1665" i="6"/>
  <c r="J1579" i="6"/>
  <c r="J1707" i="6"/>
  <c r="I1707" i="6"/>
  <c r="J1666" i="6"/>
  <c r="J1539" i="6"/>
  <c r="I1539" i="6"/>
  <c r="J1490" i="6"/>
  <c r="J1427" i="6"/>
  <c r="J550" i="6"/>
  <c r="J340" i="6"/>
  <c r="J1201" i="6"/>
  <c r="J1883" i="6"/>
  <c r="I1883" i="6"/>
  <c r="J494" i="6"/>
  <c r="I494" i="6"/>
  <c r="I536" i="6"/>
  <c r="J536" i="6"/>
  <c r="J432" i="6"/>
  <c r="I432" i="6"/>
  <c r="I141" i="6"/>
  <c r="J141" i="6"/>
  <c r="J1159" i="6"/>
  <c r="I180" i="6"/>
  <c r="J180" i="6"/>
  <c r="J1873" i="6"/>
  <c r="J574" i="6"/>
  <c r="I574" i="6"/>
  <c r="J2229" i="6"/>
  <c r="J80" i="6"/>
  <c r="I80" i="6"/>
  <c r="J999" i="6"/>
  <c r="I999" i="6"/>
  <c r="J342" i="6"/>
  <c r="J246" i="6"/>
  <c r="J920" i="6"/>
  <c r="J2251" i="6"/>
  <c r="J1897" i="6"/>
  <c r="J1063" i="6"/>
  <c r="J367" i="6"/>
  <c r="J1842" i="6"/>
  <c r="I1842" i="6"/>
  <c r="J172" i="6"/>
  <c r="I172" i="6"/>
  <c r="J899" i="6"/>
  <c r="J239" i="6"/>
  <c r="I239" i="6"/>
  <c r="J1982" i="6"/>
  <c r="J2292" i="6"/>
  <c r="J804" i="6"/>
  <c r="I804" i="6"/>
  <c r="J626" i="6"/>
  <c r="J1946" i="6"/>
  <c r="J173" i="6"/>
  <c r="J548" i="6"/>
  <c r="J832" i="6"/>
  <c r="J2057" i="6"/>
  <c r="I939" i="6"/>
  <c r="J939" i="6"/>
  <c r="J2205" i="6"/>
  <c r="J232" i="6"/>
  <c r="I232" i="6"/>
  <c r="J2303" i="6"/>
  <c r="J1043" i="6"/>
  <c r="J1913" i="6"/>
  <c r="J739" i="6"/>
  <c r="J259" i="6"/>
  <c r="I259" i="6"/>
  <c r="J443" i="6"/>
  <c r="J19" i="6"/>
  <c r="J250" i="6"/>
  <c r="I231" i="6"/>
  <c r="J231" i="6"/>
  <c r="J1863" i="6"/>
  <c r="J1886" i="6"/>
  <c r="I1886" i="6"/>
  <c r="J480" i="6"/>
  <c r="J1211" i="6"/>
  <c r="I1211" i="6"/>
  <c r="J563" i="6"/>
  <c r="I1922" i="6"/>
  <c r="J1922" i="6"/>
  <c r="J2087" i="6"/>
  <c r="J562" i="6"/>
  <c r="I562" i="6"/>
  <c r="J1098" i="6"/>
  <c r="J542" i="6"/>
  <c r="J726" i="6"/>
  <c r="I726" i="6"/>
  <c r="J1209" i="6"/>
  <c r="J836" i="6"/>
  <c r="J876" i="6"/>
  <c r="J1074" i="6"/>
  <c r="J1107" i="6"/>
  <c r="I1107" i="6"/>
  <c r="J843" i="6"/>
  <c r="J352" i="6"/>
  <c r="J1773" i="6"/>
  <c r="I1773" i="6"/>
  <c r="J1977" i="6"/>
  <c r="J855" i="6"/>
  <c r="I855" i="6"/>
  <c r="J188" i="6"/>
  <c r="J1995" i="6"/>
  <c r="I1995" i="6"/>
  <c r="J427" i="6"/>
  <c r="J1400" i="6"/>
  <c r="J597" i="6"/>
  <c r="I597" i="6"/>
  <c r="J1975" i="6"/>
  <c r="I1975" i="6"/>
  <c r="J217" i="6"/>
  <c r="I978" i="6"/>
  <c r="J978" i="6"/>
  <c r="J299" i="6"/>
  <c r="J315" i="6"/>
  <c r="J186" i="6"/>
  <c r="J2359" i="6"/>
  <c r="J1885" i="6"/>
  <c r="I1885" i="6"/>
  <c r="J210" i="6"/>
  <c r="J2348" i="6"/>
  <c r="J2189" i="6"/>
  <c r="J1829" i="6"/>
  <c r="I1829" i="6"/>
  <c r="J1099" i="6"/>
  <c r="J194" i="6"/>
  <c r="I194" i="6"/>
  <c r="J393" i="6"/>
  <c r="J2037" i="6"/>
  <c r="I2037" i="6"/>
  <c r="J531" i="6"/>
  <c r="I531" i="6"/>
  <c r="J869" i="6"/>
  <c r="J1967" i="6"/>
  <c r="I1967" i="6"/>
  <c r="J915" i="6"/>
  <c r="I915" i="6"/>
  <c r="I1821" i="6"/>
  <c r="J1821" i="6"/>
  <c r="J2236" i="6"/>
  <c r="J1871" i="6"/>
  <c r="I1871" i="6"/>
  <c r="J1851" i="6"/>
  <c r="I1851" i="6"/>
  <c r="J441" i="6"/>
  <c r="I1959" i="6"/>
  <c r="J1959" i="6"/>
  <c r="J499" i="6"/>
  <c r="J952" i="6"/>
  <c r="I952" i="6"/>
  <c r="I1264" i="6"/>
  <c r="J1264" i="6"/>
  <c r="J1944" i="6"/>
  <c r="I1944" i="6"/>
  <c r="J1627" i="6"/>
  <c r="J622" i="6"/>
  <c r="J742" i="6"/>
  <c r="J908" i="6"/>
  <c r="J1772" i="6"/>
  <c r="J1148" i="6"/>
  <c r="J1031" i="6"/>
  <c r="J488" i="6"/>
  <c r="I488" i="6"/>
  <c r="J758" i="6"/>
  <c r="J1343" i="6"/>
  <c r="I1343" i="6"/>
  <c r="J802" i="6"/>
  <c r="I802" i="6"/>
  <c r="J1416" i="6"/>
  <c r="I1416" i="6"/>
  <c r="J1673" i="6"/>
  <c r="J1199" i="6"/>
  <c r="I1199" i="6"/>
  <c r="J1518" i="6"/>
  <c r="J1216" i="6"/>
  <c r="J1453" i="6"/>
  <c r="J1718" i="6"/>
  <c r="J2064" i="6"/>
  <c r="I1515" i="6"/>
  <c r="J1515" i="6"/>
  <c r="J2116" i="6"/>
  <c r="J2174" i="6"/>
  <c r="J1651" i="6"/>
  <c r="I1651" i="6"/>
  <c r="J1338" i="6"/>
  <c r="I1338" i="6"/>
  <c r="J1610" i="6"/>
  <c r="J1972" i="6"/>
  <c r="I1972" i="6"/>
  <c r="J1455" i="6"/>
  <c r="J1724" i="6"/>
  <c r="J2162" i="6"/>
  <c r="J1896" i="6"/>
  <c r="J1426" i="6"/>
  <c r="J2166" i="6"/>
  <c r="I2166" i="6"/>
  <c r="J1852" i="6"/>
  <c r="I1852" i="6"/>
  <c r="J2110" i="6"/>
  <c r="J2219" i="6"/>
  <c r="J1278" i="6"/>
  <c r="I1278" i="6"/>
  <c r="J1574" i="6"/>
  <c r="J1279" i="6"/>
  <c r="J1262" i="6"/>
  <c r="J1298" i="6"/>
  <c r="I1298" i="6"/>
  <c r="J1661" i="6"/>
  <c r="J1479" i="6"/>
  <c r="J1443" i="6"/>
  <c r="J1575" i="6"/>
  <c r="I2247" i="6"/>
  <c r="J2247" i="6"/>
  <c r="J1362" i="6"/>
  <c r="J1723" i="6"/>
  <c r="I1723" i="6"/>
  <c r="J1682" i="6"/>
  <c r="I1560" i="6"/>
  <c r="J1560" i="6"/>
  <c r="J2332" i="6"/>
  <c r="J1512" i="6"/>
  <c r="I1512" i="6"/>
  <c r="J1573" i="6"/>
  <c r="J86" i="6"/>
  <c r="I86" i="6"/>
  <c r="J1397" i="6"/>
  <c r="I1397" i="6"/>
  <c r="J1817" i="6"/>
  <c r="J558" i="6"/>
  <c r="J326" i="6"/>
  <c r="I326" i="6"/>
  <c r="I1313" i="6"/>
  <c r="J1313" i="6"/>
  <c r="J174" i="6"/>
  <c r="I174" i="6"/>
  <c r="J716" i="6"/>
  <c r="J101" i="6"/>
  <c r="I101" i="6"/>
  <c r="J2018" i="6"/>
  <c r="I565" i="6"/>
  <c r="J565" i="6"/>
  <c r="J2135" i="6"/>
  <c r="J81" i="6"/>
  <c r="I81" i="6"/>
  <c r="J1137" i="6"/>
  <c r="J97" i="6"/>
  <c r="I97" i="6"/>
  <c r="J52" i="6"/>
  <c r="J985" i="6"/>
  <c r="I985" i="6"/>
  <c r="I40" i="6"/>
  <c r="J40" i="6"/>
  <c r="J1168" i="6"/>
  <c r="J951" i="6"/>
  <c r="I951" i="6"/>
  <c r="J176" i="6"/>
  <c r="I176" i="6"/>
  <c r="J1906" i="6"/>
  <c r="J1751" i="6"/>
  <c r="I1751" i="6"/>
  <c r="J61" i="6"/>
  <c r="J49" i="6"/>
  <c r="J2272" i="6"/>
  <c r="I300" i="6"/>
  <c r="J300" i="6"/>
  <c r="I1377" i="6"/>
  <c r="J1377" i="6"/>
  <c r="J1745" i="6"/>
  <c r="J358" i="6"/>
  <c r="J35" i="6"/>
  <c r="I35" i="6"/>
  <c r="J233" i="6"/>
  <c r="I233" i="6"/>
  <c r="J1850" i="6"/>
  <c r="I1850" i="6"/>
  <c r="J313" i="6"/>
  <c r="J817" i="6"/>
  <c r="J444" i="6"/>
  <c r="J676" i="6"/>
  <c r="J2311" i="6"/>
  <c r="I2311" i="6"/>
  <c r="J2256" i="6"/>
  <c r="J380" i="6"/>
  <c r="J76" i="6"/>
  <c r="I76" i="6"/>
  <c r="J55" i="6"/>
  <c r="I55" i="6"/>
  <c r="J679" i="6"/>
  <c r="J680" i="6"/>
  <c r="J455" i="6"/>
  <c r="J329" i="6"/>
  <c r="J483" i="6"/>
  <c r="J2117" i="6"/>
  <c r="J812" i="6"/>
  <c r="I812" i="6"/>
  <c r="J1778" i="6"/>
  <c r="I1778" i="6"/>
  <c r="J1096" i="6"/>
  <c r="I1096" i="6"/>
  <c r="J2079" i="6"/>
  <c r="J2230" i="6"/>
  <c r="J881" i="6"/>
  <c r="J884" i="6"/>
  <c r="J840" i="6"/>
  <c r="J864" i="6"/>
  <c r="I864" i="6"/>
  <c r="J1052" i="6"/>
  <c r="J905" i="6"/>
  <c r="J782" i="6"/>
  <c r="J555" i="6"/>
  <c r="J1965" i="6"/>
  <c r="J1047" i="6"/>
  <c r="I24" i="6"/>
  <c r="J24" i="6"/>
  <c r="J1909" i="6"/>
  <c r="J2149" i="6"/>
  <c r="I2149" i="6"/>
  <c r="J924" i="6"/>
  <c r="I924" i="6"/>
  <c r="J334" i="6"/>
  <c r="J2061" i="6"/>
  <c r="J529" i="6"/>
  <c r="J337" i="6"/>
  <c r="J737" i="6"/>
  <c r="I2005" i="6"/>
  <c r="J2005" i="6"/>
  <c r="J102" i="6"/>
  <c r="I102" i="6"/>
  <c r="J1057" i="6"/>
  <c r="J399" i="6"/>
  <c r="J407" i="6"/>
  <c r="I407" i="6"/>
  <c r="J200" i="6"/>
  <c r="J183" i="6"/>
  <c r="I183" i="6"/>
  <c r="J1949" i="6"/>
  <c r="J147" i="6"/>
  <c r="I147" i="6"/>
  <c r="I801" i="6"/>
  <c r="J801" i="6"/>
  <c r="J2354" i="6"/>
  <c r="J215" i="6"/>
  <c r="I1081" i="6"/>
  <c r="J1081" i="6"/>
  <c r="J434" i="6"/>
  <c r="J468" i="6"/>
  <c r="J512" i="6"/>
  <c r="I512" i="6"/>
  <c r="J2007" i="6"/>
  <c r="J376" i="6"/>
  <c r="J1144" i="6"/>
  <c r="J1843" i="6"/>
  <c r="I1843" i="6"/>
  <c r="J571" i="6"/>
  <c r="J463" i="6"/>
  <c r="J689" i="6"/>
  <c r="J822" i="6"/>
  <c r="J1088" i="6"/>
  <c r="I1088" i="6"/>
  <c r="J575" i="6"/>
  <c r="J948" i="6"/>
  <c r="I948" i="6"/>
  <c r="J1104" i="6"/>
  <c r="I1104" i="6"/>
  <c r="J1748" i="6"/>
  <c r="I1748" i="6"/>
  <c r="J1492" i="6"/>
  <c r="J1503" i="6"/>
  <c r="J1527" i="6"/>
  <c r="I1527" i="6"/>
  <c r="I953" i="6"/>
  <c r="J953" i="6"/>
  <c r="J13" i="6"/>
  <c r="J521" i="6"/>
  <c r="I664" i="6"/>
  <c r="J664" i="6"/>
  <c r="J1157" i="6"/>
  <c r="J1761" i="6"/>
  <c r="J1657" i="6"/>
  <c r="J755" i="6"/>
  <c r="J1359" i="6"/>
  <c r="J1389" i="6"/>
  <c r="J1429" i="6"/>
  <c r="J1689" i="6"/>
  <c r="J1265" i="6"/>
  <c r="I1265" i="6"/>
  <c r="J1534" i="6"/>
  <c r="I1534" i="6"/>
  <c r="J1232" i="6"/>
  <c r="J1469" i="6"/>
  <c r="J1754" i="6"/>
  <c r="J2081" i="6"/>
  <c r="I2081" i="6"/>
  <c r="J1531" i="6"/>
  <c r="I1531" i="6"/>
  <c r="J2132" i="6"/>
  <c r="J2190" i="6"/>
  <c r="J1667" i="6"/>
  <c r="J1354" i="6"/>
  <c r="J1626" i="6"/>
  <c r="I1626" i="6"/>
  <c r="J1988" i="6"/>
  <c r="J1471" i="6"/>
  <c r="J2066" i="6"/>
  <c r="J2178" i="6"/>
  <c r="J1912" i="6"/>
  <c r="I1912" i="6"/>
  <c r="J2071" i="6"/>
  <c r="J2182" i="6"/>
  <c r="I1868" i="6"/>
  <c r="J1868" i="6"/>
  <c r="J2126" i="6"/>
  <c r="J2240" i="6"/>
  <c r="J1294" i="6"/>
  <c r="J1614" i="6"/>
  <c r="I1614" i="6"/>
  <c r="J1414" i="6"/>
  <c r="J1506" i="6"/>
  <c r="J1314" i="6"/>
  <c r="I1314" i="6"/>
  <c r="I1206" i="6"/>
  <c r="J1206" i="6"/>
  <c r="J1495" i="6"/>
  <c r="J1459" i="6"/>
  <c r="I1459" i="6"/>
  <c r="J1591" i="6"/>
  <c r="J2264" i="6"/>
  <c r="J1378" i="6"/>
  <c r="J1240" i="6"/>
  <c r="J1698" i="6"/>
  <c r="I1698" i="6"/>
  <c r="J1576" i="6"/>
  <c r="J1730" i="6"/>
  <c r="I116" i="6"/>
  <c r="J116" i="6"/>
  <c r="J745" i="6"/>
  <c r="I93" i="6"/>
  <c r="J93" i="6"/>
  <c r="J394" i="6"/>
  <c r="J182" i="6"/>
  <c r="I182" i="6"/>
  <c r="J613" i="6"/>
  <c r="I613" i="6"/>
  <c r="J296" i="6"/>
  <c r="J1605" i="6"/>
  <c r="J223" i="6"/>
  <c r="J787" i="6"/>
  <c r="J357" i="6"/>
  <c r="J2296" i="6"/>
  <c r="I2296" i="6"/>
  <c r="J634" i="6"/>
  <c r="J2271" i="6"/>
  <c r="J34" i="6"/>
  <c r="I34" i="6"/>
  <c r="I1822" i="6"/>
  <c r="J1822" i="6"/>
  <c r="J323" i="6"/>
  <c r="J63" i="6"/>
  <c r="J1055" i="6"/>
  <c r="J356" i="6"/>
  <c r="I356" i="6"/>
  <c r="J511" i="6"/>
  <c r="J1153" i="6"/>
  <c r="J12" i="6"/>
  <c r="J1905" i="6"/>
  <c r="J130" i="6"/>
  <c r="I130" i="6"/>
  <c r="J317" i="6"/>
  <c r="J1275" i="6"/>
  <c r="I1275" i="6"/>
  <c r="J79" i="6"/>
  <c r="I79" i="6"/>
  <c r="J593" i="6"/>
  <c r="J179" i="6"/>
  <c r="I179" i="6"/>
  <c r="J1937" i="6"/>
  <c r="I505" i="6"/>
  <c r="J505" i="6"/>
  <c r="J291" i="6"/>
  <c r="I291" i="6"/>
  <c r="I993" i="6"/>
  <c r="J993" i="6"/>
  <c r="I1849" i="6"/>
  <c r="J1849" i="6"/>
  <c r="J975" i="6"/>
  <c r="I975" i="6"/>
  <c r="J206" i="6"/>
  <c r="J2304" i="6"/>
  <c r="I2304" i="6"/>
  <c r="J1127" i="6"/>
  <c r="I1127" i="6"/>
  <c r="J1939" i="6"/>
  <c r="J968" i="6"/>
  <c r="I968" i="6"/>
  <c r="J369" i="6"/>
  <c r="I263" i="6"/>
  <c r="J263" i="6"/>
  <c r="J219" i="6"/>
  <c r="J1143" i="6"/>
  <c r="J746" i="6"/>
  <c r="I123" i="6"/>
  <c r="J123" i="6"/>
  <c r="J506" i="6"/>
  <c r="I506" i="6"/>
  <c r="J728" i="6"/>
  <c r="J514" i="6"/>
  <c r="I514" i="6"/>
  <c r="J1085" i="6"/>
  <c r="I1085" i="6"/>
  <c r="J1994" i="6"/>
  <c r="I1994" i="6"/>
  <c r="J1162" i="6"/>
  <c r="J736" i="6"/>
  <c r="J2276" i="6"/>
  <c r="I954" i="6"/>
  <c r="J954" i="6"/>
  <c r="J560" i="6"/>
  <c r="J909" i="6"/>
  <c r="J1768" i="6"/>
  <c r="I1768" i="6"/>
  <c r="J1097" i="6"/>
  <c r="I1097" i="6"/>
  <c r="J1139" i="6"/>
  <c r="J1004" i="6"/>
  <c r="J1045" i="6"/>
  <c r="J2366" i="6"/>
  <c r="J1015" i="6"/>
  <c r="J23" i="6"/>
  <c r="I23" i="6"/>
  <c r="J2214" i="6"/>
  <c r="J2218" i="6"/>
  <c r="J1187" i="6"/>
  <c r="J255" i="6"/>
  <c r="I2127" i="6"/>
  <c r="J2127" i="6"/>
  <c r="J592" i="6"/>
  <c r="J888" i="6"/>
  <c r="J866" i="6"/>
  <c r="J2199" i="6"/>
  <c r="I27" i="6"/>
  <c r="J27" i="6"/>
  <c r="J1120" i="6"/>
  <c r="J470" i="6"/>
  <c r="I470" i="6"/>
  <c r="J609" i="6"/>
  <c r="I609" i="6"/>
  <c r="J75" i="6"/>
  <c r="I75" i="6"/>
  <c r="I25" i="6"/>
  <c r="J25" i="6"/>
  <c r="J2121" i="6"/>
  <c r="J1827" i="6"/>
  <c r="J1428" i="6"/>
  <c r="I1428" i="6"/>
  <c r="J2029" i="6"/>
  <c r="J450" i="6"/>
  <c r="J1950" i="6"/>
  <c r="J677" i="6"/>
  <c r="J1035" i="6"/>
  <c r="J1979" i="6"/>
  <c r="J2068" i="6"/>
  <c r="J584" i="6"/>
  <c r="J603" i="6"/>
  <c r="J1018" i="6"/>
  <c r="I1018" i="6"/>
  <c r="J446" i="6"/>
  <c r="I446" i="6"/>
  <c r="J891" i="6"/>
  <c r="J413" i="6"/>
  <c r="I413" i="6"/>
  <c r="J838" i="6"/>
  <c r="J576" i="6"/>
  <c r="I576" i="6"/>
  <c r="J402" i="6"/>
  <c r="I1891" i="6"/>
  <c r="J1891" i="6"/>
  <c r="J814" i="6"/>
  <c r="I814" i="6"/>
  <c r="J1462" i="6"/>
  <c r="I1462" i="6"/>
  <c r="J2211" i="6"/>
  <c r="J1411" i="6"/>
  <c r="J1800" i="6"/>
  <c r="J350" i="6"/>
  <c r="J700" i="6"/>
  <c r="J1476" i="6"/>
  <c r="J1147" i="6"/>
  <c r="J785" i="6"/>
  <c r="J1399" i="6"/>
  <c r="J1237" i="6"/>
  <c r="J1375" i="6"/>
  <c r="I1375" i="6"/>
  <c r="J1448" i="6"/>
  <c r="J1446" i="6"/>
  <c r="I1705" i="6"/>
  <c r="J1705" i="6"/>
  <c r="J1293" i="6"/>
  <c r="J1551" i="6"/>
  <c r="J1248" i="6"/>
  <c r="I1248" i="6"/>
  <c r="J1485" i="6"/>
  <c r="I1840" i="6"/>
  <c r="J1840" i="6"/>
  <c r="I2097" i="6"/>
  <c r="J2097" i="6"/>
  <c r="J1552" i="6"/>
  <c r="J2148" i="6"/>
  <c r="I2148" i="6"/>
  <c r="J2207" i="6"/>
  <c r="J1683" i="6"/>
  <c r="I1683" i="6"/>
  <c r="J1370" i="6"/>
  <c r="I1370" i="6"/>
  <c r="I1642" i="6"/>
  <c r="J1642" i="6"/>
  <c r="J2004" i="6"/>
  <c r="J1487" i="6"/>
  <c r="J2103" i="6"/>
  <c r="I2194" i="6"/>
  <c r="J2194" i="6"/>
  <c r="J1928" i="6"/>
  <c r="J2108" i="6"/>
  <c r="J2215" i="6"/>
  <c r="J1884" i="6"/>
  <c r="J2112" i="6"/>
  <c r="J2257" i="6"/>
  <c r="I1310" i="6"/>
  <c r="J1310" i="6"/>
  <c r="J1630" i="6"/>
  <c r="I1630" i="6"/>
  <c r="J1569" i="6"/>
  <c r="J1522" i="6"/>
  <c r="I1522" i="6"/>
  <c r="J1330" i="6"/>
  <c r="I1330" i="6"/>
  <c r="J1222" i="6"/>
  <c r="J1511" i="6"/>
  <c r="I1511" i="6"/>
  <c r="J1475" i="6"/>
  <c r="I1475" i="6"/>
  <c r="J1611" i="6"/>
  <c r="J1564" i="6"/>
  <c r="J1394" i="6"/>
  <c r="J1256" i="6"/>
  <c r="I1256" i="6"/>
  <c r="J1714" i="6"/>
  <c r="J1592" i="6"/>
  <c r="J1468" i="6"/>
  <c r="I1468" i="6"/>
  <c r="J196" i="6"/>
  <c r="J811" i="6"/>
  <c r="I811" i="6"/>
  <c r="J349" i="6"/>
  <c r="J490" i="6"/>
  <c r="I490" i="6"/>
  <c r="J109" i="6"/>
  <c r="I109" i="6"/>
  <c r="J883" i="6"/>
  <c r="I883" i="6"/>
  <c r="J125" i="6"/>
  <c r="I125" i="6"/>
  <c r="J553" i="6"/>
  <c r="J2200" i="6"/>
  <c r="J1870" i="6"/>
  <c r="I1870" i="6"/>
  <c r="I153" i="6"/>
  <c r="J153" i="6"/>
  <c r="J2131" i="6"/>
  <c r="J703" i="6"/>
  <c r="J156" i="6"/>
  <c r="J344" i="6"/>
  <c r="J1747" i="6"/>
  <c r="J2335" i="6"/>
  <c r="J64" i="6"/>
  <c r="J1119" i="6"/>
  <c r="I1119" i="6"/>
  <c r="J335" i="6"/>
  <c r="I332" i="6"/>
  <c r="J332" i="6"/>
  <c r="J1838" i="6"/>
  <c r="J161" i="6"/>
  <c r="J2129" i="6"/>
  <c r="I2129" i="6"/>
  <c r="J457" i="6"/>
  <c r="I783" i="6"/>
  <c r="J783" i="6"/>
  <c r="J578" i="6"/>
  <c r="J96" i="6"/>
  <c r="I96" i="6"/>
  <c r="J360" i="6"/>
  <c r="J73" i="6"/>
  <c r="I73" i="6"/>
  <c r="J227" i="6"/>
  <c r="J707" i="6"/>
  <c r="I133" i="6"/>
  <c r="J133" i="6"/>
  <c r="J2137" i="6"/>
  <c r="J2049" i="6"/>
  <c r="I1798" i="6"/>
  <c r="J1798" i="6"/>
  <c r="J251" i="6"/>
  <c r="I251" i="6"/>
  <c r="J56" i="6"/>
  <c r="J2161" i="6"/>
  <c r="J50" i="6"/>
  <c r="J341" i="6"/>
  <c r="J867" i="6"/>
  <c r="J292" i="6"/>
  <c r="I292" i="6"/>
  <c r="J456" i="6"/>
  <c r="J635" i="6"/>
  <c r="I820" i="6"/>
  <c r="J820" i="6"/>
  <c r="J605" i="6"/>
  <c r="J1812" i="6"/>
  <c r="J1008" i="6"/>
  <c r="J1750" i="6"/>
  <c r="J1770" i="6"/>
  <c r="J2307" i="6"/>
  <c r="J1604" i="6"/>
  <c r="J826" i="6"/>
  <c r="J492" i="6"/>
  <c r="J1155" i="6"/>
  <c r="J2002" i="6"/>
  <c r="J2273" i="6"/>
  <c r="J1832" i="6"/>
  <c r="I1832" i="6"/>
  <c r="J1973" i="6"/>
  <c r="I1973" i="6"/>
  <c r="J2070" i="6"/>
  <c r="J870" i="6"/>
  <c r="J1033" i="6"/>
  <c r="J2344" i="6"/>
  <c r="J1093" i="6"/>
  <c r="I1093" i="6"/>
  <c r="J54" i="6"/>
  <c r="J2235" i="6"/>
  <c r="J614" i="6"/>
  <c r="I190" i="6"/>
  <c r="J190" i="6"/>
  <c r="J2191" i="6"/>
  <c r="J667" i="6"/>
  <c r="J809" i="6"/>
  <c r="I809" i="6"/>
  <c r="J937" i="6"/>
  <c r="I937" i="6"/>
  <c r="J2360" i="6"/>
  <c r="J283" i="6"/>
  <c r="J1174" i="6"/>
  <c r="J604" i="6"/>
  <c r="J1083" i="6"/>
  <c r="I1083" i="6"/>
  <c r="J331" i="6"/>
  <c r="I281" i="6"/>
  <c r="J281" i="6"/>
  <c r="J2351" i="6"/>
  <c r="J2084" i="6"/>
  <c r="J430" i="6"/>
  <c r="J2365" i="6"/>
  <c r="J2051" i="6"/>
  <c r="J1983" i="6"/>
  <c r="J1859" i="6"/>
  <c r="I1859" i="6"/>
  <c r="J437" i="6"/>
  <c r="J902" i="6"/>
  <c r="J793" i="6"/>
  <c r="I793" i="6"/>
  <c r="I882" i="6"/>
  <c r="J882" i="6"/>
  <c r="J764" i="6"/>
  <c r="J611" i="6"/>
  <c r="J850" i="6"/>
  <c r="J1779" i="6"/>
  <c r="J416" i="6"/>
  <c r="J552" i="6"/>
  <c r="J670" i="6"/>
  <c r="I670" i="6"/>
  <c r="J520" i="6"/>
  <c r="J821" i="6"/>
  <c r="I400" i="6"/>
  <c r="J400" i="6"/>
  <c r="C316" i="19"/>
  <c r="H316" i="19" s="1"/>
  <c r="C302" i="19"/>
  <c r="H302" i="19" s="1"/>
  <c r="C295" i="19"/>
  <c r="H295" i="19" s="1"/>
  <c r="C276" i="19"/>
  <c r="H276" i="19" s="1"/>
  <c r="C238" i="19"/>
  <c r="H238" i="19" s="1"/>
  <c r="C233" i="19"/>
  <c r="H233" i="19" s="1"/>
  <c r="C223" i="19"/>
  <c r="H223" i="19" s="1"/>
  <c r="C218" i="19"/>
  <c r="H218" i="19" s="1"/>
  <c r="C213" i="19"/>
  <c r="H213" i="19" s="1"/>
  <c r="C198" i="19"/>
  <c r="H198" i="19" s="1"/>
  <c r="C193" i="19"/>
  <c r="H193" i="19" s="1"/>
  <c r="C188" i="19"/>
  <c r="H188" i="19" s="1"/>
  <c r="C172" i="19"/>
  <c r="H172" i="19" s="1"/>
  <c r="C159" i="19"/>
  <c r="H159" i="19" s="1"/>
  <c r="C141" i="19"/>
  <c r="H141" i="19" s="1"/>
  <c r="C136" i="19"/>
  <c r="H136" i="19" s="1"/>
  <c r="C126" i="19"/>
  <c r="H126" i="19" s="1"/>
  <c r="C111" i="19"/>
  <c r="H111" i="19" s="1"/>
  <c r="C100" i="19"/>
  <c r="H100" i="19" s="1"/>
  <c r="C39" i="19"/>
  <c r="H39" i="19" s="1"/>
  <c r="C73" i="19"/>
  <c r="H73" i="19" s="1"/>
  <c r="C321" i="19"/>
  <c r="H321" i="19" s="1"/>
  <c r="C288" i="19"/>
  <c r="H288" i="19" s="1"/>
  <c r="C269" i="19"/>
  <c r="H269" i="19" s="1"/>
  <c r="C257" i="19"/>
  <c r="H257" i="19" s="1"/>
  <c r="C250" i="19"/>
  <c r="H250" i="19" s="1"/>
  <c r="C228" i="19"/>
  <c r="H228" i="19" s="1"/>
  <c r="C201" i="19"/>
  <c r="H201" i="19" s="1"/>
  <c r="C167" i="19"/>
  <c r="H167" i="19" s="1"/>
  <c r="C154" i="19"/>
  <c r="H154" i="19" s="1"/>
  <c r="C149" i="19"/>
  <c r="H149" i="19" s="1"/>
  <c r="C95" i="19"/>
  <c r="H95" i="19" s="1"/>
  <c r="C90" i="19"/>
  <c r="H90" i="19" s="1"/>
  <c r="C78" i="19"/>
  <c r="H78" i="19" s="1"/>
  <c r="C71" i="19"/>
  <c r="H71" i="19" s="1"/>
  <c r="C56" i="19"/>
  <c r="H56" i="19" s="1"/>
  <c r="C51" i="19"/>
  <c r="H51" i="19" s="1"/>
  <c r="C44" i="19"/>
  <c r="H44" i="19" s="1"/>
  <c r="C32" i="19"/>
  <c r="H32" i="19" s="1"/>
  <c r="C27" i="19"/>
  <c r="H27" i="19" s="1"/>
  <c r="C20" i="19"/>
  <c r="H20" i="19" s="1"/>
  <c r="C8" i="19"/>
  <c r="H8" i="19" s="1"/>
  <c r="C301" i="19"/>
  <c r="H301" i="19" s="1"/>
  <c r="C314" i="19"/>
  <c r="H314" i="19" s="1"/>
  <c r="C307" i="19"/>
  <c r="H307" i="19" s="1"/>
  <c r="C293" i="19"/>
  <c r="H293" i="19" s="1"/>
  <c r="C281" i="19"/>
  <c r="H281" i="19" s="1"/>
  <c r="C274" i="19"/>
  <c r="H274" i="19" s="1"/>
  <c r="C221" i="19"/>
  <c r="H221" i="19" s="1"/>
  <c r="C216" i="19"/>
  <c r="H216" i="19" s="1"/>
  <c r="C211" i="19"/>
  <c r="H211" i="19" s="1"/>
  <c r="C196" i="19"/>
  <c r="H196" i="19" s="1"/>
  <c r="C183" i="19"/>
  <c r="H183" i="19" s="1"/>
  <c r="C175" i="19"/>
  <c r="H175" i="19" s="1"/>
  <c r="C139" i="19"/>
  <c r="H139" i="19" s="1"/>
  <c r="C129" i="19"/>
  <c r="H129" i="19" s="1"/>
  <c r="C124" i="19"/>
  <c r="H124" i="19" s="1"/>
  <c r="C114" i="19"/>
  <c r="H114" i="19" s="1"/>
  <c r="C110" i="19"/>
  <c r="H110" i="19" s="1"/>
  <c r="C105" i="19"/>
  <c r="H105" i="19" s="1"/>
  <c r="C83" i="19"/>
  <c r="H83" i="19" s="1"/>
  <c r="C66" i="19"/>
  <c r="H66" i="19" s="1"/>
  <c r="C61" i="19"/>
  <c r="H61" i="19" s="1"/>
  <c r="C319" i="19"/>
  <c r="H319" i="19" s="1"/>
  <c r="C300" i="19"/>
  <c r="H300" i="19" s="1"/>
  <c r="C286" i="19"/>
  <c r="H286" i="19" s="1"/>
  <c r="C262" i="19"/>
  <c r="H262" i="19" s="1"/>
  <c r="C255" i="19"/>
  <c r="H255" i="19" s="1"/>
  <c r="C248" i="19"/>
  <c r="H248" i="19" s="1"/>
  <c r="C243" i="19"/>
  <c r="H243" i="19" s="1"/>
  <c r="C236" i="19"/>
  <c r="H236" i="19" s="1"/>
  <c r="C206" i="19"/>
  <c r="H206" i="19" s="1"/>
  <c r="C157" i="19"/>
  <c r="H157" i="19" s="1"/>
  <c r="C144" i="19"/>
  <c r="H144" i="19" s="1"/>
  <c r="C134" i="19"/>
  <c r="H134" i="19" s="1"/>
  <c r="C119" i="19"/>
  <c r="H119" i="19" s="1"/>
  <c r="C98" i="19"/>
  <c r="H98" i="19" s="1"/>
  <c r="C88" i="19"/>
  <c r="H88" i="19" s="1"/>
  <c r="C76" i="19"/>
  <c r="H76" i="19" s="1"/>
  <c r="C54" i="19"/>
  <c r="H54" i="19" s="1"/>
  <c r="C49" i="19"/>
  <c r="H49" i="19" s="1"/>
  <c r="C37" i="19"/>
  <c r="H37" i="19" s="1"/>
  <c r="C25" i="19"/>
  <c r="H25" i="19" s="1"/>
  <c r="C13" i="19"/>
  <c r="H13" i="19" s="1"/>
  <c r="C308" i="19"/>
  <c r="H308" i="19" s="1"/>
  <c r="C312" i="19"/>
  <c r="H312" i="19" s="1"/>
  <c r="C279" i="19"/>
  <c r="H279" i="19" s="1"/>
  <c r="C272" i="19"/>
  <c r="H272" i="19" s="1"/>
  <c r="C267" i="19"/>
  <c r="H267" i="19" s="1"/>
  <c r="C226" i="19"/>
  <c r="H226" i="19" s="1"/>
  <c r="C191" i="19"/>
  <c r="H191" i="19" s="1"/>
  <c r="C162" i="19"/>
  <c r="H162" i="19" s="1"/>
  <c r="C93" i="19"/>
  <c r="H93" i="19" s="1"/>
  <c r="C42" i="19"/>
  <c r="H42" i="19" s="1"/>
  <c r="C30" i="19"/>
  <c r="H30" i="19" s="1"/>
  <c r="C18" i="19"/>
  <c r="H18" i="19" s="1"/>
  <c r="C6" i="19"/>
  <c r="H6" i="19" s="1"/>
  <c r="C158" i="19"/>
  <c r="H158" i="19" s="1"/>
  <c r="C317" i="19"/>
  <c r="H317" i="19" s="1"/>
  <c r="C305" i="19"/>
  <c r="H305" i="19" s="1"/>
  <c r="C298" i="19"/>
  <c r="H298" i="19" s="1"/>
  <c r="C291" i="19"/>
  <c r="H291" i="19" s="1"/>
  <c r="C253" i="19"/>
  <c r="H253" i="19" s="1"/>
  <c r="C246" i="19"/>
  <c r="H246" i="19" s="1"/>
  <c r="C241" i="19"/>
  <c r="H241" i="19" s="1"/>
  <c r="C231" i="19"/>
  <c r="H231" i="19" s="1"/>
  <c r="C209" i="19"/>
  <c r="H209" i="19" s="1"/>
  <c r="C204" i="19"/>
  <c r="H204" i="19" s="1"/>
  <c r="C199" i="19"/>
  <c r="H199" i="19" s="1"/>
  <c r="C186" i="19"/>
  <c r="H186" i="19" s="1"/>
  <c r="C178" i="19"/>
  <c r="H178" i="19" s="1"/>
  <c r="C165" i="19"/>
  <c r="H165" i="19" s="1"/>
  <c r="C152" i="19"/>
  <c r="H152" i="19" s="1"/>
  <c r="C147" i="19"/>
  <c r="H147" i="19" s="1"/>
  <c r="C137" i="19"/>
  <c r="H137" i="19" s="1"/>
  <c r="C122" i="19"/>
  <c r="H122" i="19" s="1"/>
  <c r="C117" i="19"/>
  <c r="H117" i="19" s="1"/>
  <c r="C108" i="19"/>
  <c r="H108" i="19" s="1"/>
  <c r="C103" i="19"/>
  <c r="H103" i="19" s="1"/>
  <c r="C81" i="19"/>
  <c r="H81" i="19" s="1"/>
  <c r="C69" i="19"/>
  <c r="H69" i="19" s="1"/>
  <c r="C64" i="19"/>
  <c r="H64" i="19" s="1"/>
  <c r="C59" i="19"/>
  <c r="H59" i="19" s="1"/>
  <c r="C47" i="19"/>
  <c r="H47" i="19" s="1"/>
  <c r="C35" i="19"/>
  <c r="H35" i="19" s="1"/>
  <c r="C23" i="19"/>
  <c r="H23" i="19" s="1"/>
  <c r="C10" i="19"/>
  <c r="H10" i="19" s="1"/>
  <c r="C310" i="19"/>
  <c r="H310" i="19" s="1"/>
  <c r="C284" i="19"/>
  <c r="H284" i="19" s="1"/>
  <c r="C277" i="19"/>
  <c r="H277" i="19" s="1"/>
  <c r="C265" i="19"/>
  <c r="H265" i="19" s="1"/>
  <c r="C260" i="19"/>
  <c r="H260" i="19" s="1"/>
  <c r="C224" i="19"/>
  <c r="H224" i="19" s="1"/>
  <c r="C219" i="19"/>
  <c r="H219" i="19" s="1"/>
  <c r="C189" i="19"/>
  <c r="H189" i="19" s="1"/>
  <c r="C181" i="19"/>
  <c r="H181" i="19" s="1"/>
  <c r="C173" i="19"/>
  <c r="H173" i="19" s="1"/>
  <c r="C170" i="19"/>
  <c r="H170" i="19" s="1"/>
  <c r="C160" i="19"/>
  <c r="H160" i="19" s="1"/>
  <c r="C142" i="19"/>
  <c r="H142" i="19" s="1"/>
  <c r="C132" i="19"/>
  <c r="H132" i="19" s="1"/>
  <c r="C112" i="19"/>
  <c r="H112" i="19" s="1"/>
  <c r="C86" i="19"/>
  <c r="H86" i="19" s="1"/>
  <c r="C74" i="19"/>
  <c r="H74" i="19" s="1"/>
  <c r="C16" i="19"/>
  <c r="H16" i="19" s="1"/>
  <c r="C11" i="19"/>
  <c r="H11" i="19" s="1"/>
  <c r="C303" i="19"/>
  <c r="H303" i="19" s="1"/>
  <c r="C296" i="19"/>
  <c r="H296" i="19" s="1"/>
  <c r="C239" i="19"/>
  <c r="H239" i="19" s="1"/>
  <c r="C234" i="19"/>
  <c r="H234" i="19" s="1"/>
  <c r="C214" i="19"/>
  <c r="H214" i="19" s="1"/>
  <c r="C194" i="19"/>
  <c r="H194" i="19" s="1"/>
  <c r="C184" i="19"/>
  <c r="H184" i="19" s="1"/>
  <c r="C176" i="19"/>
  <c r="H176" i="19" s="1"/>
  <c r="C155" i="19"/>
  <c r="H155" i="19" s="1"/>
  <c r="C127" i="19"/>
  <c r="H127" i="19" s="1"/>
  <c r="C101" i="19"/>
  <c r="H101" i="19" s="1"/>
  <c r="C79" i="19"/>
  <c r="H79" i="19" s="1"/>
  <c r="C52" i="19"/>
  <c r="H52" i="19" s="1"/>
  <c r="C45" i="19"/>
  <c r="H45" i="19" s="1"/>
  <c r="C40" i="19"/>
  <c r="H40" i="19" s="1"/>
  <c r="C28" i="19"/>
  <c r="H28" i="19" s="1"/>
  <c r="C21" i="19"/>
  <c r="H21" i="19" s="1"/>
  <c r="D9" i="13"/>
  <c r="C322" i="19"/>
  <c r="H322" i="19" s="1"/>
  <c r="C289" i="19"/>
  <c r="H289" i="19" s="1"/>
  <c r="C270" i="19"/>
  <c r="H270" i="19" s="1"/>
  <c r="C258" i="19"/>
  <c r="H258" i="19" s="1"/>
  <c r="C251" i="19"/>
  <c r="H251" i="19" s="1"/>
  <c r="C229" i="19"/>
  <c r="H229" i="19" s="1"/>
  <c r="C207" i="19"/>
  <c r="H207" i="19" s="1"/>
  <c r="C202" i="19"/>
  <c r="H202" i="19" s="1"/>
  <c r="C168" i="19"/>
  <c r="H168" i="19" s="1"/>
  <c r="C150" i="19"/>
  <c r="H150" i="19" s="1"/>
  <c r="C145" i="19"/>
  <c r="H145" i="19" s="1"/>
  <c r="C115" i="19"/>
  <c r="H115" i="19" s="1"/>
  <c r="C106" i="19"/>
  <c r="H106" i="19" s="1"/>
  <c r="C96" i="19"/>
  <c r="H96" i="19" s="1"/>
  <c r="C91" i="19"/>
  <c r="H91" i="19" s="1"/>
  <c r="C84" i="19"/>
  <c r="H84" i="19" s="1"/>
  <c r="C72" i="19"/>
  <c r="H72" i="19" s="1"/>
  <c r="C62" i="19"/>
  <c r="H62" i="19" s="1"/>
  <c r="C57" i="19"/>
  <c r="H57" i="19" s="1"/>
  <c r="C33" i="19"/>
  <c r="H33" i="19" s="1"/>
  <c r="C9" i="19"/>
  <c r="H9" i="19" s="1"/>
  <c r="C315" i="19"/>
  <c r="H315" i="19" s="1"/>
  <c r="C294" i="19"/>
  <c r="H294" i="19" s="1"/>
  <c r="C282" i="19"/>
  <c r="H282" i="19" s="1"/>
  <c r="C275" i="19"/>
  <c r="H275" i="19" s="1"/>
  <c r="C244" i="19"/>
  <c r="H244" i="19" s="1"/>
  <c r="C237" i="19"/>
  <c r="H237" i="19" s="1"/>
  <c r="C222" i="19"/>
  <c r="H222" i="19" s="1"/>
  <c r="C217" i="19"/>
  <c r="H217" i="19" s="1"/>
  <c r="C212" i="19"/>
  <c r="H212" i="19" s="1"/>
  <c r="C197" i="19"/>
  <c r="H197" i="19" s="1"/>
  <c r="C192" i="19"/>
  <c r="H192" i="19" s="1"/>
  <c r="C163" i="19"/>
  <c r="H163" i="19" s="1"/>
  <c r="C140" i="19"/>
  <c r="H140" i="19" s="1"/>
  <c r="C130" i="19"/>
  <c r="H130" i="19" s="1"/>
  <c r="C125" i="19"/>
  <c r="H125" i="19" s="1"/>
  <c r="C120" i="19"/>
  <c r="H120" i="19" s="1"/>
  <c r="C67" i="19"/>
  <c r="H67" i="19" s="1"/>
  <c r="C38" i="19"/>
  <c r="H38" i="19" s="1"/>
  <c r="C320" i="19"/>
  <c r="H320" i="19" s="1"/>
  <c r="C287" i="19"/>
  <c r="H287" i="19" s="1"/>
  <c r="C263" i="19"/>
  <c r="H263" i="19" s="1"/>
  <c r="C256" i="19"/>
  <c r="H256" i="19" s="1"/>
  <c r="C249" i="19"/>
  <c r="H249" i="19" s="1"/>
  <c r="C227" i="19"/>
  <c r="H227" i="19" s="1"/>
  <c r="C200" i="19"/>
  <c r="H200" i="19" s="1"/>
  <c r="C179" i="19"/>
  <c r="H179" i="19" s="1"/>
  <c r="C153" i="19"/>
  <c r="H153" i="19" s="1"/>
  <c r="C148" i="19"/>
  <c r="H148" i="19" s="1"/>
  <c r="C135" i="19"/>
  <c r="H135" i="19" s="1"/>
  <c r="C99" i="19"/>
  <c r="H99" i="19" s="1"/>
  <c r="C89" i="19"/>
  <c r="H89" i="19" s="1"/>
  <c r="C77" i="19"/>
  <c r="H77" i="19" s="1"/>
  <c r="C55" i="19"/>
  <c r="H55" i="19" s="1"/>
  <c r="C50" i="19"/>
  <c r="H50" i="19" s="1"/>
  <c r="C31" i="19"/>
  <c r="H31" i="19" s="1"/>
  <c r="C26" i="19"/>
  <c r="H26" i="19" s="1"/>
  <c r="C14" i="19"/>
  <c r="H14" i="19" s="1"/>
  <c r="C7" i="19"/>
  <c r="H7" i="19" s="1"/>
  <c r="C65" i="19"/>
  <c r="H65" i="19" s="1"/>
  <c r="C48" i="19"/>
  <c r="H48" i="19" s="1"/>
  <c r="C36" i="19"/>
  <c r="H36" i="19" s="1"/>
  <c r="C24" i="19"/>
  <c r="H24" i="19" s="1"/>
  <c r="C12" i="19"/>
  <c r="H12" i="19" s="1"/>
  <c r="C313" i="19"/>
  <c r="H313" i="19" s="1"/>
  <c r="C280" i="19"/>
  <c r="H280" i="19" s="1"/>
  <c r="C273" i="19"/>
  <c r="H273" i="19" s="1"/>
  <c r="C268" i="19"/>
  <c r="H268" i="19" s="1"/>
  <c r="C232" i="19"/>
  <c r="H232" i="19" s="1"/>
  <c r="C220" i="19"/>
  <c r="H220" i="19" s="1"/>
  <c r="C187" i="19"/>
  <c r="H187" i="19" s="1"/>
  <c r="C171" i="19"/>
  <c r="H171" i="19" s="1"/>
  <c r="C123" i="19"/>
  <c r="H123" i="19" s="1"/>
  <c r="C113" i="19"/>
  <c r="H113" i="19" s="1"/>
  <c r="C109" i="19"/>
  <c r="H109" i="19" s="1"/>
  <c r="C94" i="19"/>
  <c r="H94" i="19" s="1"/>
  <c r="C82" i="19"/>
  <c r="H82" i="19" s="1"/>
  <c r="C60" i="19"/>
  <c r="H60" i="19" s="1"/>
  <c r="C43" i="19"/>
  <c r="H43" i="19" s="1"/>
  <c r="C19" i="19"/>
  <c r="H19" i="19" s="1"/>
  <c r="C318" i="19"/>
  <c r="H318" i="19" s="1"/>
  <c r="C306" i="19"/>
  <c r="H306" i="19" s="1"/>
  <c r="C299" i="19"/>
  <c r="H299" i="19" s="1"/>
  <c r="C292" i="19"/>
  <c r="H292" i="19" s="1"/>
  <c r="C285" i="19"/>
  <c r="H285" i="19" s="1"/>
  <c r="C261" i="19"/>
  <c r="H261" i="19" s="1"/>
  <c r="C254" i="19"/>
  <c r="H254" i="19" s="1"/>
  <c r="C247" i="19"/>
  <c r="H247" i="19" s="1"/>
  <c r="C242" i="19"/>
  <c r="H242" i="19" s="1"/>
  <c r="C235" i="19"/>
  <c r="H235" i="19" s="1"/>
  <c r="C215" i="19"/>
  <c r="H215" i="19" s="1"/>
  <c r="C210" i="19"/>
  <c r="H210" i="19" s="1"/>
  <c r="C205" i="19"/>
  <c r="H205" i="19" s="1"/>
  <c r="C166" i="19"/>
  <c r="H166" i="19" s="1"/>
  <c r="C156" i="19"/>
  <c r="H156" i="19" s="1"/>
  <c r="C138" i="19"/>
  <c r="H138" i="19" s="1"/>
  <c r="C118" i="19"/>
  <c r="H118" i="19" s="1"/>
  <c r="C104" i="19"/>
  <c r="H104" i="19" s="1"/>
  <c r="C87" i="19"/>
  <c r="H87" i="19" s="1"/>
  <c r="C70" i="19"/>
  <c r="H70" i="19" s="1"/>
  <c r="C311" i="19"/>
  <c r="H311" i="19" s="1"/>
  <c r="C278" i="19"/>
  <c r="H278" i="19" s="1"/>
  <c r="C266" i="19"/>
  <c r="H266" i="19" s="1"/>
  <c r="C225" i="19"/>
  <c r="H225" i="19" s="1"/>
  <c r="C195" i="19"/>
  <c r="H195" i="19" s="1"/>
  <c r="C190" i="19"/>
  <c r="H190" i="19" s="1"/>
  <c r="C182" i="19"/>
  <c r="H182" i="19" s="1"/>
  <c r="C174" i="19"/>
  <c r="H174" i="19" s="1"/>
  <c r="C161" i="19"/>
  <c r="H161" i="19" s="1"/>
  <c r="C143" i="19"/>
  <c r="H143" i="19" s="1"/>
  <c r="C133" i="19"/>
  <c r="H133" i="19" s="1"/>
  <c r="C128" i="19"/>
  <c r="H128" i="19" s="1"/>
  <c r="C75" i="19"/>
  <c r="H75" i="19" s="1"/>
  <c r="C53" i="19"/>
  <c r="H53" i="19" s="1"/>
  <c r="C29" i="19"/>
  <c r="H29" i="19" s="1"/>
  <c r="C17" i="19"/>
  <c r="H17" i="19" s="1"/>
  <c r="C5" i="19"/>
  <c r="H5" i="19" s="1"/>
  <c r="C309" i="19"/>
  <c r="H309" i="19" s="1"/>
  <c r="C283" i="19"/>
  <c r="H283" i="19" s="1"/>
  <c r="C271" i="19"/>
  <c r="H271" i="19" s="1"/>
  <c r="C264" i="19"/>
  <c r="H264" i="19" s="1"/>
  <c r="C259" i="19"/>
  <c r="H259" i="19" s="1"/>
  <c r="C252" i="19"/>
  <c r="H252" i="19" s="1"/>
  <c r="C169" i="19"/>
  <c r="H169" i="19" s="1"/>
  <c r="C107" i="19"/>
  <c r="H107" i="19" s="1"/>
  <c r="C92" i="19"/>
  <c r="H92" i="19" s="1"/>
  <c r="C85" i="19"/>
  <c r="H85" i="19" s="1"/>
  <c r="C68" i="19"/>
  <c r="H68" i="19" s="1"/>
  <c r="C15" i="19"/>
  <c r="H15" i="19" s="1"/>
  <c r="C304" i="19"/>
  <c r="H304" i="19" s="1"/>
  <c r="C297" i="19"/>
  <c r="H297" i="19" s="1"/>
  <c r="C240" i="19"/>
  <c r="H240" i="19" s="1"/>
  <c r="C230" i="19"/>
  <c r="H230" i="19" s="1"/>
  <c r="C208" i="19"/>
  <c r="H208" i="19" s="1"/>
  <c r="C203" i="19"/>
  <c r="H203" i="19" s="1"/>
  <c r="C185" i="19"/>
  <c r="H185" i="19" s="1"/>
  <c r="C177" i="19"/>
  <c r="H177" i="19" s="1"/>
  <c r="C164" i="19"/>
  <c r="H164" i="19" s="1"/>
  <c r="C121" i="19"/>
  <c r="H121" i="19" s="1"/>
  <c r="C116" i="19"/>
  <c r="H116" i="19" s="1"/>
  <c r="C102" i="19"/>
  <c r="H102" i="19" s="1"/>
  <c r="C97" i="19"/>
  <c r="H97" i="19" s="1"/>
  <c r="C80" i="19"/>
  <c r="H80" i="19" s="1"/>
  <c r="C63" i="19"/>
  <c r="H63" i="19" s="1"/>
  <c r="C58" i="19"/>
  <c r="H58" i="19" s="1"/>
  <c r="C46" i="19"/>
  <c r="H46" i="19" s="1"/>
  <c r="C41" i="19"/>
  <c r="H41" i="19" s="1"/>
  <c r="C34" i="19"/>
  <c r="H34" i="19" s="1"/>
  <c r="C22" i="19"/>
  <c r="H22" i="19" s="1"/>
  <c r="C290" i="19"/>
  <c r="H290" i="19" s="1"/>
  <c r="C245" i="19"/>
  <c r="H245" i="19" s="1"/>
  <c r="C180" i="19"/>
  <c r="H180" i="19" s="1"/>
  <c r="C151" i="19"/>
  <c r="H151" i="19" s="1"/>
  <c r="C146" i="19"/>
  <c r="H146" i="19" s="1"/>
  <c r="C131" i="19"/>
  <c r="H131" i="19" s="1"/>
  <c r="D12" i="13" l="1"/>
  <c r="I285" i="19"/>
  <c r="K285" i="19" s="1"/>
  <c r="N285" i="19" s="1"/>
  <c r="O285" i="19" s="1"/>
  <c r="I250" i="19"/>
  <c r="K250" i="19" s="1"/>
  <c r="N250" i="19" s="1"/>
  <c r="O250" i="19" s="1"/>
  <c r="I34" i="19"/>
  <c r="K34" i="19" s="1"/>
  <c r="N34" i="19" s="1"/>
  <c r="O34" i="19" s="1"/>
  <c r="I240" i="19"/>
  <c r="K240" i="19" s="1"/>
  <c r="N240" i="19" s="1"/>
  <c r="O240" i="19" s="1"/>
  <c r="I17" i="19"/>
  <c r="K17" i="19" s="1"/>
  <c r="N17" i="19" s="1"/>
  <c r="O17" i="19" s="1"/>
  <c r="I70" i="19"/>
  <c r="K70" i="19" s="1"/>
  <c r="N70" i="19" s="1"/>
  <c r="O70" i="19" s="1"/>
  <c r="I292" i="19"/>
  <c r="K292" i="19" s="1"/>
  <c r="N292" i="19" s="1"/>
  <c r="O292" i="19" s="1"/>
  <c r="I268" i="19"/>
  <c r="K268" i="19" s="1"/>
  <c r="N268" i="19" s="1"/>
  <c r="O268" i="19" s="1"/>
  <c r="I89" i="19"/>
  <c r="K89" i="19" s="1"/>
  <c r="N89" i="19" s="1"/>
  <c r="O89" i="19" s="1"/>
  <c r="R89" i="19" s="1"/>
  <c r="I125" i="19"/>
  <c r="K125" i="19" s="1"/>
  <c r="N125" i="19" s="1"/>
  <c r="O125" i="19" s="1"/>
  <c r="I33" i="19"/>
  <c r="K33" i="19" s="1"/>
  <c r="N33" i="19" s="1"/>
  <c r="O33" i="19" s="1"/>
  <c r="I258" i="19"/>
  <c r="K258" i="19" s="1"/>
  <c r="N258" i="19" s="1"/>
  <c r="O258" i="19" s="1"/>
  <c r="I194" i="19"/>
  <c r="K194" i="19" s="1"/>
  <c r="N194" i="19" s="1"/>
  <c r="O194" i="19" s="1"/>
  <c r="I173" i="19"/>
  <c r="K173" i="19" s="1"/>
  <c r="N173" i="19" s="1"/>
  <c r="O173" i="19" s="1"/>
  <c r="I69" i="19"/>
  <c r="K69" i="19" s="1"/>
  <c r="N69" i="19" s="1"/>
  <c r="O69" i="19" s="1"/>
  <c r="X69" i="19" s="1"/>
  <c r="Y69" i="19" s="1"/>
  <c r="Z69" i="19" s="1"/>
  <c r="I241" i="19"/>
  <c r="K241" i="19" s="1"/>
  <c r="N241" i="19" s="1"/>
  <c r="O241" i="19" s="1"/>
  <c r="I267" i="19"/>
  <c r="K267" i="19" s="1"/>
  <c r="N267" i="19" s="1"/>
  <c r="O267" i="19" s="1"/>
  <c r="I157" i="19"/>
  <c r="K157" i="19" s="1"/>
  <c r="N157" i="19" s="1"/>
  <c r="O157" i="19" s="1"/>
  <c r="I124" i="19"/>
  <c r="K124" i="19" s="1"/>
  <c r="N124" i="19" s="1"/>
  <c r="O124" i="19" s="1"/>
  <c r="I20" i="19"/>
  <c r="K20" i="19" s="1"/>
  <c r="N20" i="19" s="1"/>
  <c r="O20" i="19" s="1"/>
  <c r="I257" i="19"/>
  <c r="K257" i="19" s="1"/>
  <c r="N257" i="19" s="1"/>
  <c r="O257" i="19" s="1"/>
  <c r="I213" i="19"/>
  <c r="K213" i="19" s="1"/>
  <c r="N213" i="19" s="1"/>
  <c r="O213" i="19" s="1"/>
  <c r="X213" i="19" s="1"/>
  <c r="Y213" i="19" s="1"/>
  <c r="I120" i="19"/>
  <c r="K120" i="19" s="1"/>
  <c r="N120" i="19" s="1"/>
  <c r="O120" i="19" s="1"/>
  <c r="X120" i="19" s="1"/>
  <c r="Y120" i="19" s="1"/>
  <c r="I41" i="19"/>
  <c r="K41" i="19" s="1"/>
  <c r="N41" i="19" s="1"/>
  <c r="O41" i="19" s="1"/>
  <c r="I297" i="19"/>
  <c r="K297" i="19" s="1"/>
  <c r="N297" i="19" s="1"/>
  <c r="O297" i="19" s="1"/>
  <c r="I29" i="19"/>
  <c r="K29" i="19" s="1"/>
  <c r="N29" i="19" s="1"/>
  <c r="O29" i="19" s="1"/>
  <c r="I87" i="19"/>
  <c r="K87" i="19" s="1"/>
  <c r="N87" i="19" s="1"/>
  <c r="O87" i="19" s="1"/>
  <c r="I299" i="19"/>
  <c r="K299" i="19" s="1"/>
  <c r="N299" i="19" s="1"/>
  <c r="O299" i="19" s="1"/>
  <c r="I273" i="19"/>
  <c r="K273" i="19" s="1"/>
  <c r="N273" i="19" s="1"/>
  <c r="O273" i="19" s="1"/>
  <c r="I99" i="19"/>
  <c r="K99" i="19" s="1"/>
  <c r="N99" i="19" s="1"/>
  <c r="O99" i="19" s="1"/>
  <c r="I130" i="19"/>
  <c r="K130" i="19" s="1"/>
  <c r="N130" i="19" s="1"/>
  <c r="O130" i="19" s="1"/>
  <c r="R130" i="19" s="1"/>
  <c r="I57" i="19"/>
  <c r="K57" i="19" s="1"/>
  <c r="N57" i="19" s="1"/>
  <c r="O57" i="19" s="1"/>
  <c r="I270" i="19"/>
  <c r="K270" i="19" s="1"/>
  <c r="N270" i="19" s="1"/>
  <c r="O270" i="19" s="1"/>
  <c r="I214" i="19"/>
  <c r="K214" i="19" s="1"/>
  <c r="N214" i="19" s="1"/>
  <c r="O214" i="19" s="1"/>
  <c r="I181" i="19"/>
  <c r="K181" i="19" s="1"/>
  <c r="N181" i="19" s="1"/>
  <c r="O181" i="19" s="1"/>
  <c r="I81" i="19"/>
  <c r="K81" i="19" s="1"/>
  <c r="N81" i="19" s="1"/>
  <c r="O81" i="19" s="1"/>
  <c r="I246" i="19"/>
  <c r="K246" i="19" s="1"/>
  <c r="N246" i="19" s="1"/>
  <c r="O246" i="19" s="1"/>
  <c r="X246" i="19" s="1"/>
  <c r="Y246" i="19" s="1"/>
  <c r="I272" i="19"/>
  <c r="K272" i="19" s="1"/>
  <c r="N272" i="19" s="1"/>
  <c r="O272" i="19" s="1"/>
  <c r="I206" i="19"/>
  <c r="K206" i="19" s="1"/>
  <c r="N206" i="19" s="1"/>
  <c r="O206" i="19" s="1"/>
  <c r="I129" i="19"/>
  <c r="K129" i="19" s="1"/>
  <c r="N129" i="19" s="1"/>
  <c r="O129" i="19" s="1"/>
  <c r="I27" i="19"/>
  <c r="K27" i="19" s="1"/>
  <c r="N27" i="19" s="1"/>
  <c r="O27" i="19" s="1"/>
  <c r="I269" i="19"/>
  <c r="K269" i="19" s="1"/>
  <c r="N269" i="19" s="1"/>
  <c r="O269" i="19" s="1"/>
  <c r="I218" i="19"/>
  <c r="K218" i="19" s="1"/>
  <c r="N218" i="19" s="1"/>
  <c r="O218" i="19" s="1"/>
  <c r="I5" i="19"/>
  <c r="K5" i="19" s="1"/>
  <c r="N5" i="19" s="1"/>
  <c r="O5" i="19" s="1"/>
  <c r="X5" i="19" s="1"/>
  <c r="Y5" i="19" s="1"/>
  <c r="Z5" i="19" s="1"/>
  <c r="I114" i="19"/>
  <c r="K114" i="19" s="1"/>
  <c r="N114" i="19" s="1"/>
  <c r="O114" i="19" s="1"/>
  <c r="I46" i="19"/>
  <c r="K46" i="19" s="1"/>
  <c r="N46" i="19" s="1"/>
  <c r="O46" i="19" s="1"/>
  <c r="I304" i="19"/>
  <c r="K304" i="19" s="1"/>
  <c r="N304" i="19" s="1"/>
  <c r="O304" i="19" s="1"/>
  <c r="I53" i="19"/>
  <c r="K53" i="19" s="1"/>
  <c r="N53" i="19" s="1"/>
  <c r="O53" i="19" s="1"/>
  <c r="R53" i="19" s="1"/>
  <c r="I104" i="19"/>
  <c r="K104" i="19" s="1"/>
  <c r="N104" i="19" s="1"/>
  <c r="O104" i="19" s="1"/>
  <c r="I306" i="19"/>
  <c r="K306" i="19" s="1"/>
  <c r="N306" i="19" s="1"/>
  <c r="O306" i="19" s="1"/>
  <c r="I280" i="19"/>
  <c r="K280" i="19" s="1"/>
  <c r="N280" i="19" s="1"/>
  <c r="O280" i="19" s="1"/>
  <c r="I135" i="19"/>
  <c r="K135" i="19" s="1"/>
  <c r="N135" i="19" s="1"/>
  <c r="O135" i="19" s="1"/>
  <c r="I140" i="19"/>
  <c r="K140" i="19" s="1"/>
  <c r="N140" i="19" s="1"/>
  <c r="O140" i="19" s="1"/>
  <c r="I62" i="19"/>
  <c r="K62" i="19" s="1"/>
  <c r="N62" i="19" s="1"/>
  <c r="O62" i="19" s="1"/>
  <c r="I289" i="19"/>
  <c r="K289" i="19" s="1"/>
  <c r="N289" i="19" s="1"/>
  <c r="O289" i="19" s="1"/>
  <c r="I234" i="19"/>
  <c r="K234" i="19" s="1"/>
  <c r="N234" i="19" s="1"/>
  <c r="O234" i="19" s="1"/>
  <c r="X234" i="19" s="1"/>
  <c r="Y234" i="19" s="1"/>
  <c r="I189" i="19"/>
  <c r="K189" i="19" s="1"/>
  <c r="N189" i="19" s="1"/>
  <c r="O189" i="19" s="1"/>
  <c r="I103" i="19"/>
  <c r="K103" i="19" s="1"/>
  <c r="N103" i="19" s="1"/>
  <c r="O103" i="19" s="1"/>
  <c r="I253" i="19"/>
  <c r="K253" i="19" s="1"/>
  <c r="N253" i="19" s="1"/>
  <c r="O253" i="19" s="1"/>
  <c r="I279" i="19"/>
  <c r="K279" i="19" s="1"/>
  <c r="N279" i="19" s="1"/>
  <c r="O279" i="19" s="1"/>
  <c r="I236" i="19"/>
  <c r="K236" i="19" s="1"/>
  <c r="N236" i="19" s="1"/>
  <c r="O236" i="19" s="1"/>
  <c r="I139" i="19"/>
  <c r="K139" i="19" s="1"/>
  <c r="N139" i="19" s="1"/>
  <c r="O139" i="19" s="1"/>
  <c r="I32" i="19"/>
  <c r="K32" i="19" s="1"/>
  <c r="N32" i="19" s="1"/>
  <c r="O32" i="19" s="1"/>
  <c r="I288" i="19"/>
  <c r="K288" i="19" s="1"/>
  <c r="N288" i="19" s="1"/>
  <c r="O288" i="19" s="1"/>
  <c r="X288" i="19" s="1"/>
  <c r="Y288" i="19" s="1"/>
  <c r="I223" i="19"/>
  <c r="K223" i="19" s="1"/>
  <c r="N223" i="19" s="1"/>
  <c r="O223" i="19" s="1"/>
  <c r="I22" i="19"/>
  <c r="K22" i="19" s="1"/>
  <c r="N22" i="19" s="1"/>
  <c r="O22" i="19" s="1"/>
  <c r="I144" i="19"/>
  <c r="K144" i="19" s="1"/>
  <c r="N144" i="19" s="1"/>
  <c r="O144" i="19" s="1"/>
  <c r="R144" i="19" s="1"/>
  <c r="I58" i="19"/>
  <c r="K58" i="19" s="1"/>
  <c r="N58" i="19" s="1"/>
  <c r="O58" i="19" s="1"/>
  <c r="I15" i="19"/>
  <c r="K15" i="19" s="1"/>
  <c r="N15" i="19" s="1"/>
  <c r="O15" i="19" s="1"/>
  <c r="I75" i="19"/>
  <c r="K75" i="19" s="1"/>
  <c r="N75" i="19" s="1"/>
  <c r="O75" i="19" s="1"/>
  <c r="R75" i="19" s="1"/>
  <c r="I118" i="19"/>
  <c r="K118" i="19" s="1"/>
  <c r="N118" i="19" s="1"/>
  <c r="O118" i="19" s="1"/>
  <c r="I318" i="19"/>
  <c r="K318" i="19" s="1"/>
  <c r="N318" i="19" s="1"/>
  <c r="O318" i="19" s="1"/>
  <c r="I313" i="19"/>
  <c r="K313" i="19" s="1"/>
  <c r="N313" i="19" s="1"/>
  <c r="O313" i="19" s="1"/>
  <c r="I148" i="19"/>
  <c r="K148" i="19" s="1"/>
  <c r="N148" i="19" s="1"/>
  <c r="O148" i="19" s="1"/>
  <c r="I163" i="19"/>
  <c r="K163" i="19" s="1"/>
  <c r="N163" i="19" s="1"/>
  <c r="O163" i="19" s="1"/>
  <c r="I72" i="19"/>
  <c r="K72" i="19" s="1"/>
  <c r="N72" i="19" s="1"/>
  <c r="O72" i="19" s="1"/>
  <c r="R72" i="19" s="1"/>
  <c r="I322" i="19"/>
  <c r="K322" i="19" s="1"/>
  <c r="N322" i="19" s="1"/>
  <c r="O322" i="19" s="1"/>
  <c r="I239" i="19"/>
  <c r="K239" i="19" s="1"/>
  <c r="N239" i="19" s="1"/>
  <c r="O239" i="19" s="1"/>
  <c r="I219" i="19"/>
  <c r="K219" i="19" s="1"/>
  <c r="N219" i="19" s="1"/>
  <c r="O219" i="19" s="1"/>
  <c r="I108" i="19"/>
  <c r="K108" i="19" s="1"/>
  <c r="N108" i="19" s="1"/>
  <c r="O108" i="19" s="1"/>
  <c r="I291" i="19"/>
  <c r="K291" i="19" s="1"/>
  <c r="N291" i="19" s="1"/>
  <c r="O291" i="19" s="1"/>
  <c r="I312" i="19"/>
  <c r="K312" i="19" s="1"/>
  <c r="N312" i="19" s="1"/>
  <c r="O312" i="19" s="1"/>
  <c r="I243" i="19"/>
  <c r="K243" i="19" s="1"/>
  <c r="N243" i="19" s="1"/>
  <c r="O243" i="19" s="1"/>
  <c r="X243" i="19" s="1"/>
  <c r="Y243" i="19" s="1"/>
  <c r="I175" i="19"/>
  <c r="K175" i="19" s="1"/>
  <c r="N175" i="19" s="1"/>
  <c r="O175" i="19" s="1"/>
  <c r="I44" i="19"/>
  <c r="K44" i="19" s="1"/>
  <c r="N44" i="19" s="1"/>
  <c r="O44" i="19" s="1"/>
  <c r="I321" i="19"/>
  <c r="K321" i="19" s="1"/>
  <c r="N321" i="19" s="1"/>
  <c r="O321" i="19" s="1"/>
  <c r="I233" i="19"/>
  <c r="K233" i="19" s="1"/>
  <c r="N233" i="19" s="1"/>
  <c r="O233" i="19" s="1"/>
  <c r="I8" i="19"/>
  <c r="K8" i="19" s="1"/>
  <c r="N8" i="19" s="1"/>
  <c r="O8" i="19" s="1"/>
  <c r="I296" i="19"/>
  <c r="K296" i="19" s="1"/>
  <c r="N296" i="19" s="1"/>
  <c r="O296" i="19" s="1"/>
  <c r="I224" i="19"/>
  <c r="K224" i="19" s="1"/>
  <c r="N224" i="19" s="1"/>
  <c r="O224" i="19" s="1"/>
  <c r="I117" i="19"/>
  <c r="K117" i="19" s="1"/>
  <c r="N117" i="19" s="1"/>
  <c r="O117" i="19" s="1"/>
  <c r="R117" i="19" s="1"/>
  <c r="S117" i="19" s="1"/>
  <c r="W117" i="19" s="1"/>
  <c r="I298" i="19"/>
  <c r="K298" i="19" s="1"/>
  <c r="N298" i="19" s="1"/>
  <c r="O298" i="19" s="1"/>
  <c r="I308" i="19"/>
  <c r="K308" i="19" s="1"/>
  <c r="N308" i="19" s="1"/>
  <c r="O308" i="19" s="1"/>
  <c r="I248" i="19"/>
  <c r="K248" i="19" s="1"/>
  <c r="N248" i="19" s="1"/>
  <c r="O248" i="19" s="1"/>
  <c r="I183" i="19"/>
  <c r="K183" i="19" s="1"/>
  <c r="N183" i="19" s="1"/>
  <c r="O183" i="19" s="1"/>
  <c r="I51" i="19"/>
  <c r="K51" i="19" s="1"/>
  <c r="N51" i="19" s="1"/>
  <c r="O51" i="19" s="1"/>
  <c r="I73" i="19"/>
  <c r="K73" i="19" s="1"/>
  <c r="N73" i="19" s="1"/>
  <c r="O73" i="19" s="1"/>
  <c r="I238" i="19"/>
  <c r="K238" i="19" s="1"/>
  <c r="N238" i="19" s="1"/>
  <c r="O238" i="19" s="1"/>
  <c r="I68" i="19"/>
  <c r="K68" i="19" s="1"/>
  <c r="N68" i="19" s="1"/>
  <c r="O68" i="19" s="1"/>
  <c r="I192" i="19"/>
  <c r="K192" i="19" s="1"/>
  <c r="N192" i="19" s="1"/>
  <c r="O192" i="19" s="1"/>
  <c r="I84" i="19"/>
  <c r="K84" i="19" s="1"/>
  <c r="N84" i="19" s="1"/>
  <c r="O84" i="19" s="1"/>
  <c r="I80" i="19"/>
  <c r="K80" i="19" s="1"/>
  <c r="N80" i="19" s="1"/>
  <c r="O80" i="19" s="1"/>
  <c r="I85" i="19"/>
  <c r="K85" i="19" s="1"/>
  <c r="N85" i="19" s="1"/>
  <c r="O85" i="19" s="1"/>
  <c r="I133" i="19"/>
  <c r="K133" i="19" s="1"/>
  <c r="N133" i="19" s="1"/>
  <c r="O133" i="19" s="1"/>
  <c r="I156" i="19"/>
  <c r="K156" i="19" s="1"/>
  <c r="N156" i="19" s="1"/>
  <c r="O156" i="19" s="1"/>
  <c r="I43" i="19"/>
  <c r="K43" i="19" s="1"/>
  <c r="N43" i="19" s="1"/>
  <c r="O43" i="19" s="1"/>
  <c r="I24" i="19"/>
  <c r="K24" i="19" s="1"/>
  <c r="N24" i="19" s="1"/>
  <c r="O24" i="19" s="1"/>
  <c r="I179" i="19"/>
  <c r="K179" i="19" s="1"/>
  <c r="N179" i="19" s="1"/>
  <c r="O179" i="19" s="1"/>
  <c r="I197" i="19"/>
  <c r="K197" i="19" s="1"/>
  <c r="N197" i="19" s="1"/>
  <c r="O197" i="19" s="1"/>
  <c r="I91" i="19"/>
  <c r="K91" i="19" s="1"/>
  <c r="N91" i="19" s="1"/>
  <c r="O91" i="19" s="1"/>
  <c r="R91" i="19" s="1"/>
  <c r="I21" i="19"/>
  <c r="K21" i="19" s="1"/>
  <c r="N21" i="19" s="1"/>
  <c r="O21" i="19" s="1"/>
  <c r="I303" i="19"/>
  <c r="K303" i="19" s="1"/>
  <c r="N303" i="19" s="1"/>
  <c r="O303" i="19" s="1"/>
  <c r="X303" i="19" s="1"/>
  <c r="Y303" i="19" s="1"/>
  <c r="I260" i="19"/>
  <c r="K260" i="19" s="1"/>
  <c r="N260" i="19" s="1"/>
  <c r="O260" i="19" s="1"/>
  <c r="I122" i="19"/>
  <c r="K122" i="19" s="1"/>
  <c r="N122" i="19" s="1"/>
  <c r="O122" i="19" s="1"/>
  <c r="I305" i="19"/>
  <c r="K305" i="19" s="1"/>
  <c r="N305" i="19" s="1"/>
  <c r="O305" i="19" s="1"/>
  <c r="I13" i="19"/>
  <c r="K13" i="19" s="1"/>
  <c r="N13" i="19" s="1"/>
  <c r="O13" i="19" s="1"/>
  <c r="I255" i="19"/>
  <c r="K255" i="19" s="1"/>
  <c r="N255" i="19" s="1"/>
  <c r="O255" i="19" s="1"/>
  <c r="I196" i="19"/>
  <c r="K196" i="19" s="1"/>
  <c r="N196" i="19" s="1"/>
  <c r="O196" i="19" s="1"/>
  <c r="I56" i="19"/>
  <c r="K56" i="19" s="1"/>
  <c r="N56" i="19" s="1"/>
  <c r="O56" i="19" s="1"/>
  <c r="I39" i="19"/>
  <c r="K39" i="19" s="1"/>
  <c r="N39" i="19" s="1"/>
  <c r="O39" i="19" s="1"/>
  <c r="I276" i="19"/>
  <c r="K276" i="19" s="1"/>
  <c r="N276" i="19" s="1"/>
  <c r="O276" i="19" s="1"/>
  <c r="I226" i="19"/>
  <c r="K226" i="19" s="1"/>
  <c r="N226" i="19" s="1"/>
  <c r="O226" i="19" s="1"/>
  <c r="I265" i="19"/>
  <c r="K265" i="19" s="1"/>
  <c r="N265" i="19" s="1"/>
  <c r="O265" i="19" s="1"/>
  <c r="I137" i="19"/>
  <c r="K137" i="19" s="1"/>
  <c r="N137" i="19" s="1"/>
  <c r="O137" i="19" s="1"/>
  <c r="I317" i="19"/>
  <c r="K317" i="19" s="1"/>
  <c r="N317" i="19" s="1"/>
  <c r="O317" i="19" s="1"/>
  <c r="I25" i="19"/>
  <c r="K25" i="19" s="1"/>
  <c r="N25" i="19" s="1"/>
  <c r="O25" i="19" s="1"/>
  <c r="I262" i="19"/>
  <c r="K262" i="19" s="1"/>
  <c r="N262" i="19" s="1"/>
  <c r="O262" i="19" s="1"/>
  <c r="I211" i="19"/>
  <c r="K211" i="19" s="1"/>
  <c r="N211" i="19" s="1"/>
  <c r="O211" i="19" s="1"/>
  <c r="I71" i="19"/>
  <c r="K71" i="19" s="1"/>
  <c r="N71" i="19" s="1"/>
  <c r="O71" i="19" s="1"/>
  <c r="I100" i="19"/>
  <c r="K100" i="19" s="1"/>
  <c r="N100" i="19" s="1"/>
  <c r="O100" i="19" s="1"/>
  <c r="I295" i="19"/>
  <c r="K295" i="19" s="1"/>
  <c r="N295" i="19" s="1"/>
  <c r="O295" i="19" s="1"/>
  <c r="I232" i="19"/>
  <c r="K232" i="19" s="1"/>
  <c r="N232" i="19" s="1"/>
  <c r="O232" i="19" s="1"/>
  <c r="I198" i="19"/>
  <c r="K198" i="19" s="1"/>
  <c r="N198" i="19" s="1"/>
  <c r="O198" i="19" s="1"/>
  <c r="I128" i="19"/>
  <c r="K128" i="19" s="1"/>
  <c r="N128" i="19" s="1"/>
  <c r="O128" i="19" s="1"/>
  <c r="I28" i="19"/>
  <c r="K28" i="19" s="1"/>
  <c r="N28" i="19" s="1"/>
  <c r="O28" i="19" s="1"/>
  <c r="I102" i="19"/>
  <c r="K102" i="19" s="1"/>
  <c r="N102" i="19" s="1"/>
  <c r="O102" i="19" s="1"/>
  <c r="I107" i="19"/>
  <c r="K107" i="19" s="1"/>
  <c r="N107" i="19" s="1"/>
  <c r="O107" i="19" s="1"/>
  <c r="I161" i="19"/>
  <c r="K161" i="19" s="1"/>
  <c r="N161" i="19" s="1"/>
  <c r="O161" i="19" s="1"/>
  <c r="I205" i="19"/>
  <c r="K205" i="19" s="1"/>
  <c r="N205" i="19" s="1"/>
  <c r="O205" i="19" s="1"/>
  <c r="I82" i="19"/>
  <c r="K82" i="19" s="1"/>
  <c r="N82" i="19" s="1"/>
  <c r="O82" i="19" s="1"/>
  <c r="I48" i="19"/>
  <c r="K48" i="19" s="1"/>
  <c r="N48" i="19" s="1"/>
  <c r="O48" i="19" s="1"/>
  <c r="R48" i="19" s="1"/>
  <c r="I227" i="19"/>
  <c r="K227" i="19" s="1"/>
  <c r="N227" i="19" s="1"/>
  <c r="O227" i="19" s="1"/>
  <c r="I217" i="19"/>
  <c r="K217" i="19" s="1"/>
  <c r="N217" i="19" s="1"/>
  <c r="O217" i="19" s="1"/>
  <c r="I106" i="19"/>
  <c r="K106" i="19" s="1"/>
  <c r="N106" i="19" s="1"/>
  <c r="O106" i="19" s="1"/>
  <c r="I40" i="19"/>
  <c r="K40" i="19" s="1"/>
  <c r="N40" i="19" s="1"/>
  <c r="O40" i="19" s="1"/>
  <c r="I11" i="19"/>
  <c r="K11" i="19" s="1"/>
  <c r="N11" i="19" s="1"/>
  <c r="O11" i="19" s="1"/>
  <c r="I277" i="19"/>
  <c r="K277" i="19" s="1"/>
  <c r="N277" i="19" s="1"/>
  <c r="O277" i="19" s="1"/>
  <c r="I147" i="19"/>
  <c r="K147" i="19" s="1"/>
  <c r="N147" i="19" s="1"/>
  <c r="O147" i="19" s="1"/>
  <c r="R147" i="19" s="1"/>
  <c r="I158" i="19"/>
  <c r="K158" i="19" s="1"/>
  <c r="N158" i="19" s="1"/>
  <c r="O158" i="19" s="1"/>
  <c r="I37" i="19"/>
  <c r="K37" i="19" s="1"/>
  <c r="N37" i="19" s="1"/>
  <c r="O37" i="19" s="1"/>
  <c r="I286" i="19"/>
  <c r="K286" i="19" s="1"/>
  <c r="N286" i="19" s="1"/>
  <c r="O286" i="19" s="1"/>
  <c r="I216" i="19"/>
  <c r="K216" i="19" s="1"/>
  <c r="N216" i="19" s="1"/>
  <c r="O216" i="19" s="1"/>
  <c r="I78" i="19"/>
  <c r="K78" i="19" s="1"/>
  <c r="N78" i="19" s="1"/>
  <c r="O78" i="19" s="1"/>
  <c r="I111" i="19"/>
  <c r="K111" i="19" s="1"/>
  <c r="N111" i="19" s="1"/>
  <c r="O111" i="19" s="1"/>
  <c r="I302" i="19"/>
  <c r="K302" i="19" s="1"/>
  <c r="N302" i="19" s="1"/>
  <c r="O302" i="19" s="1"/>
  <c r="I9" i="19"/>
  <c r="K9" i="19" s="1"/>
  <c r="N9" i="19" s="1"/>
  <c r="O9" i="19" s="1"/>
  <c r="I96" i="19"/>
  <c r="K96" i="19" s="1"/>
  <c r="N96" i="19" s="1"/>
  <c r="O96" i="19" s="1"/>
  <c r="R96" i="19" s="1"/>
  <c r="I116" i="19"/>
  <c r="K116" i="19" s="1"/>
  <c r="N116" i="19" s="1"/>
  <c r="O116" i="19" s="1"/>
  <c r="I169" i="19"/>
  <c r="K169" i="19" s="1"/>
  <c r="N169" i="19" s="1"/>
  <c r="O169" i="19" s="1"/>
  <c r="I174" i="19"/>
  <c r="K174" i="19" s="1"/>
  <c r="N174" i="19" s="1"/>
  <c r="O174" i="19" s="1"/>
  <c r="R174" i="19" s="1"/>
  <c r="I210" i="19"/>
  <c r="K210" i="19" s="1"/>
  <c r="N210" i="19" s="1"/>
  <c r="O210" i="19" s="1"/>
  <c r="I94" i="19"/>
  <c r="K94" i="19" s="1"/>
  <c r="N94" i="19" s="1"/>
  <c r="O94" i="19" s="1"/>
  <c r="I65" i="19"/>
  <c r="K65" i="19" s="1"/>
  <c r="N65" i="19" s="1"/>
  <c r="O65" i="19" s="1"/>
  <c r="I249" i="19"/>
  <c r="K249" i="19" s="1"/>
  <c r="N249" i="19" s="1"/>
  <c r="O249" i="19" s="1"/>
  <c r="I222" i="19"/>
  <c r="K222" i="19" s="1"/>
  <c r="N222" i="19" s="1"/>
  <c r="O222" i="19" s="1"/>
  <c r="I115" i="19"/>
  <c r="K115" i="19" s="1"/>
  <c r="N115" i="19" s="1"/>
  <c r="O115" i="19" s="1"/>
  <c r="I45" i="19"/>
  <c r="K45" i="19" s="1"/>
  <c r="N45" i="19" s="1"/>
  <c r="O45" i="19" s="1"/>
  <c r="I16" i="19"/>
  <c r="K16" i="19" s="1"/>
  <c r="N16" i="19" s="1"/>
  <c r="O16" i="19" s="1"/>
  <c r="I284" i="19"/>
  <c r="K284" i="19" s="1"/>
  <c r="N284" i="19" s="1"/>
  <c r="O284" i="19" s="1"/>
  <c r="I152" i="19"/>
  <c r="K152" i="19" s="1"/>
  <c r="N152" i="19" s="1"/>
  <c r="O152" i="19" s="1"/>
  <c r="I6" i="19"/>
  <c r="K6" i="19" s="1"/>
  <c r="N6" i="19" s="1"/>
  <c r="O6" i="19" s="1"/>
  <c r="I49" i="19"/>
  <c r="K49" i="19" s="1"/>
  <c r="N49" i="19" s="1"/>
  <c r="O49" i="19" s="1"/>
  <c r="I300" i="19"/>
  <c r="K300" i="19" s="1"/>
  <c r="N300" i="19" s="1"/>
  <c r="O300" i="19" s="1"/>
  <c r="I221" i="19"/>
  <c r="K221" i="19" s="1"/>
  <c r="N221" i="19" s="1"/>
  <c r="O221" i="19" s="1"/>
  <c r="I90" i="19"/>
  <c r="K90" i="19" s="1"/>
  <c r="N90" i="19" s="1"/>
  <c r="O90" i="19" s="1"/>
  <c r="R90" i="19" s="1"/>
  <c r="I126" i="19"/>
  <c r="K126" i="19" s="1"/>
  <c r="N126" i="19" s="1"/>
  <c r="O126" i="19" s="1"/>
  <c r="I316" i="19"/>
  <c r="K316" i="19" s="1"/>
  <c r="N316" i="19" s="1"/>
  <c r="O316" i="19" s="1"/>
  <c r="I311" i="19"/>
  <c r="K311" i="19" s="1"/>
  <c r="N311" i="19" s="1"/>
  <c r="O311" i="19" s="1"/>
  <c r="I231" i="19"/>
  <c r="K231" i="19" s="1"/>
  <c r="N231" i="19" s="1"/>
  <c r="O231" i="19" s="1"/>
  <c r="I19" i="19"/>
  <c r="K19" i="19" s="1"/>
  <c r="N19" i="19" s="1"/>
  <c r="O19" i="19" s="1"/>
  <c r="X19" i="19" s="1"/>
  <c r="Y19" i="19" s="1"/>
  <c r="I36" i="19"/>
  <c r="K36" i="19" s="1"/>
  <c r="N36" i="19" s="1"/>
  <c r="O36" i="19" s="1"/>
  <c r="I131" i="19"/>
  <c r="K131" i="19" s="1"/>
  <c r="N131" i="19" s="1"/>
  <c r="O131" i="19" s="1"/>
  <c r="I121" i="19"/>
  <c r="K121" i="19" s="1"/>
  <c r="N121" i="19" s="1"/>
  <c r="O121" i="19" s="1"/>
  <c r="I252" i="19"/>
  <c r="K252" i="19" s="1"/>
  <c r="N252" i="19" s="1"/>
  <c r="O252" i="19" s="1"/>
  <c r="X252" i="19" s="1"/>
  <c r="Y252" i="19" s="1"/>
  <c r="I182" i="19"/>
  <c r="K182" i="19" s="1"/>
  <c r="N182" i="19" s="1"/>
  <c r="O182" i="19" s="1"/>
  <c r="I215" i="19"/>
  <c r="K215" i="19" s="1"/>
  <c r="N215" i="19" s="1"/>
  <c r="O215" i="19" s="1"/>
  <c r="I109" i="19"/>
  <c r="K109" i="19" s="1"/>
  <c r="N109" i="19" s="1"/>
  <c r="O109" i="19" s="1"/>
  <c r="I7" i="19"/>
  <c r="K7" i="19" s="1"/>
  <c r="N7" i="19" s="1"/>
  <c r="O7" i="19" s="1"/>
  <c r="I256" i="19"/>
  <c r="K256" i="19" s="1"/>
  <c r="N256" i="19" s="1"/>
  <c r="O256" i="19" s="1"/>
  <c r="I237" i="19"/>
  <c r="K237" i="19" s="1"/>
  <c r="N237" i="19" s="1"/>
  <c r="O237" i="19" s="1"/>
  <c r="I145" i="19"/>
  <c r="K145" i="19" s="1"/>
  <c r="N145" i="19" s="1"/>
  <c r="O145" i="19" s="1"/>
  <c r="R145" i="19" s="1"/>
  <c r="I52" i="19"/>
  <c r="K52" i="19" s="1"/>
  <c r="N52" i="19" s="1"/>
  <c r="O52" i="19" s="1"/>
  <c r="I74" i="19"/>
  <c r="K74" i="19" s="1"/>
  <c r="N74" i="19" s="1"/>
  <c r="O74" i="19" s="1"/>
  <c r="I310" i="19"/>
  <c r="K310" i="19" s="1"/>
  <c r="N310" i="19" s="1"/>
  <c r="O310" i="19" s="1"/>
  <c r="I165" i="19"/>
  <c r="K165" i="19" s="1"/>
  <c r="N165" i="19" s="1"/>
  <c r="O165" i="19" s="1"/>
  <c r="I18" i="19"/>
  <c r="K18" i="19" s="1"/>
  <c r="N18" i="19" s="1"/>
  <c r="O18" i="19" s="1"/>
  <c r="I54" i="19"/>
  <c r="K54" i="19" s="1"/>
  <c r="N54" i="19" s="1"/>
  <c r="O54" i="19" s="1"/>
  <c r="I319" i="19"/>
  <c r="K319" i="19" s="1"/>
  <c r="N319" i="19" s="1"/>
  <c r="O319" i="19" s="1"/>
  <c r="I274" i="19"/>
  <c r="K274" i="19" s="1"/>
  <c r="N274" i="19" s="1"/>
  <c r="O274" i="19" s="1"/>
  <c r="I95" i="19"/>
  <c r="K95" i="19" s="1"/>
  <c r="N95" i="19" s="1"/>
  <c r="O95" i="19" s="1"/>
  <c r="I136" i="19"/>
  <c r="K136" i="19" s="1"/>
  <c r="N136" i="19" s="1"/>
  <c r="O136" i="19" s="1"/>
  <c r="I184" i="19"/>
  <c r="K184" i="19" s="1"/>
  <c r="N184" i="19" s="1"/>
  <c r="O184" i="19" s="1"/>
  <c r="I63" i="19"/>
  <c r="K63" i="19" s="1"/>
  <c r="N63" i="19" s="1"/>
  <c r="O63" i="19" s="1"/>
  <c r="I97" i="19"/>
  <c r="K97" i="19" s="1"/>
  <c r="N97" i="19" s="1"/>
  <c r="O97" i="19" s="1"/>
  <c r="I60" i="19"/>
  <c r="K60" i="19" s="1"/>
  <c r="N60" i="19" s="1"/>
  <c r="O60" i="19" s="1"/>
  <c r="I146" i="19"/>
  <c r="K146" i="19" s="1"/>
  <c r="N146" i="19" s="1"/>
  <c r="O146" i="19" s="1"/>
  <c r="R146" i="19" s="1"/>
  <c r="I164" i="19"/>
  <c r="K164" i="19" s="1"/>
  <c r="N164" i="19" s="1"/>
  <c r="O164" i="19" s="1"/>
  <c r="I259" i="19"/>
  <c r="K259" i="19" s="1"/>
  <c r="N259" i="19" s="1"/>
  <c r="O259" i="19" s="1"/>
  <c r="I190" i="19"/>
  <c r="K190" i="19" s="1"/>
  <c r="N190" i="19" s="1"/>
  <c r="O190" i="19" s="1"/>
  <c r="I235" i="19"/>
  <c r="K235" i="19" s="1"/>
  <c r="N235" i="19" s="1"/>
  <c r="O235" i="19" s="1"/>
  <c r="I113" i="19"/>
  <c r="K113" i="19" s="1"/>
  <c r="N113" i="19" s="1"/>
  <c r="O113" i="19" s="1"/>
  <c r="I14" i="19"/>
  <c r="K14" i="19" s="1"/>
  <c r="N14" i="19" s="1"/>
  <c r="O14" i="19" s="1"/>
  <c r="I263" i="19"/>
  <c r="K263" i="19" s="1"/>
  <c r="N263" i="19" s="1"/>
  <c r="O263" i="19" s="1"/>
  <c r="R263" i="19" s="1"/>
  <c r="I244" i="19"/>
  <c r="K244" i="19" s="1"/>
  <c r="N244" i="19" s="1"/>
  <c r="O244" i="19" s="1"/>
  <c r="I150" i="19"/>
  <c r="K150" i="19" s="1"/>
  <c r="N150" i="19" s="1"/>
  <c r="O150" i="19" s="1"/>
  <c r="I79" i="19"/>
  <c r="K79" i="19" s="1"/>
  <c r="N79" i="19" s="1"/>
  <c r="O79" i="19" s="1"/>
  <c r="I86" i="19"/>
  <c r="K86" i="19" s="1"/>
  <c r="N86" i="19" s="1"/>
  <c r="O86" i="19" s="1"/>
  <c r="I10" i="19"/>
  <c r="K10" i="19" s="1"/>
  <c r="N10" i="19" s="1"/>
  <c r="O10" i="19" s="1"/>
  <c r="I178" i="19"/>
  <c r="K178" i="19" s="1"/>
  <c r="N178" i="19" s="1"/>
  <c r="O178" i="19" s="1"/>
  <c r="I30" i="19"/>
  <c r="K30" i="19" s="1"/>
  <c r="N30" i="19" s="1"/>
  <c r="O30" i="19" s="1"/>
  <c r="X30" i="19" s="1"/>
  <c r="Y30" i="19" s="1"/>
  <c r="I76" i="19"/>
  <c r="K76" i="19" s="1"/>
  <c r="N76" i="19" s="1"/>
  <c r="O76" i="19" s="1"/>
  <c r="I61" i="19"/>
  <c r="K61" i="19" s="1"/>
  <c r="N61" i="19" s="1"/>
  <c r="O61" i="19" s="1"/>
  <c r="I281" i="19"/>
  <c r="K281" i="19" s="1"/>
  <c r="N281" i="19" s="1"/>
  <c r="O281" i="19" s="1"/>
  <c r="I149" i="19"/>
  <c r="K149" i="19" s="1"/>
  <c r="N149" i="19" s="1"/>
  <c r="O149" i="19" s="1"/>
  <c r="I141" i="19"/>
  <c r="K141" i="19" s="1"/>
  <c r="N141" i="19" s="1"/>
  <c r="O141" i="19" s="1"/>
  <c r="I230" i="19"/>
  <c r="K230" i="19" s="1"/>
  <c r="N230" i="19" s="1"/>
  <c r="O230" i="19" s="1"/>
  <c r="I251" i="19"/>
  <c r="K251" i="19" s="1"/>
  <c r="N251" i="19" s="1"/>
  <c r="O251" i="19" s="1"/>
  <c r="I138" i="19"/>
  <c r="K138" i="19" s="1"/>
  <c r="N138" i="19" s="1"/>
  <c r="O138" i="19" s="1"/>
  <c r="I212" i="19"/>
  <c r="K212" i="19" s="1"/>
  <c r="N212" i="19" s="1"/>
  <c r="O212" i="19" s="1"/>
  <c r="I151" i="19"/>
  <c r="K151" i="19" s="1"/>
  <c r="N151" i="19" s="1"/>
  <c r="O151" i="19" s="1"/>
  <c r="I177" i="19"/>
  <c r="K177" i="19" s="1"/>
  <c r="N177" i="19" s="1"/>
  <c r="O177" i="19" s="1"/>
  <c r="X177" i="19" s="1"/>
  <c r="Y177" i="19" s="1"/>
  <c r="I264" i="19"/>
  <c r="K264" i="19" s="1"/>
  <c r="N264" i="19" s="1"/>
  <c r="O264" i="19" s="1"/>
  <c r="I195" i="19"/>
  <c r="K195" i="19" s="1"/>
  <c r="N195" i="19" s="1"/>
  <c r="O195" i="19" s="1"/>
  <c r="I242" i="19"/>
  <c r="K242" i="19" s="1"/>
  <c r="N242" i="19" s="1"/>
  <c r="O242" i="19" s="1"/>
  <c r="I123" i="19"/>
  <c r="K123" i="19" s="1"/>
  <c r="N123" i="19" s="1"/>
  <c r="O123" i="19" s="1"/>
  <c r="I26" i="19"/>
  <c r="K26" i="19" s="1"/>
  <c r="N26" i="19" s="1"/>
  <c r="O26" i="19" s="1"/>
  <c r="I287" i="19"/>
  <c r="K287" i="19" s="1"/>
  <c r="N287" i="19" s="1"/>
  <c r="O287" i="19" s="1"/>
  <c r="I275" i="19"/>
  <c r="K275" i="19" s="1"/>
  <c r="N275" i="19" s="1"/>
  <c r="O275" i="19" s="1"/>
  <c r="X275" i="19" s="1"/>
  <c r="Y275" i="19" s="1"/>
  <c r="I168" i="19"/>
  <c r="K168" i="19" s="1"/>
  <c r="N168" i="19" s="1"/>
  <c r="O168" i="19" s="1"/>
  <c r="I101" i="19"/>
  <c r="K101" i="19" s="1"/>
  <c r="N101" i="19" s="1"/>
  <c r="O101" i="19" s="1"/>
  <c r="I112" i="19"/>
  <c r="K112" i="19" s="1"/>
  <c r="N112" i="19" s="1"/>
  <c r="O112" i="19" s="1"/>
  <c r="I23" i="19"/>
  <c r="K23" i="19" s="1"/>
  <c r="N23" i="19" s="1"/>
  <c r="O23" i="19" s="1"/>
  <c r="I186" i="19"/>
  <c r="K186" i="19" s="1"/>
  <c r="N186" i="19" s="1"/>
  <c r="O186" i="19" s="1"/>
  <c r="I42" i="19"/>
  <c r="K42" i="19" s="1"/>
  <c r="N42" i="19" s="1"/>
  <c r="O42" i="19" s="1"/>
  <c r="I88" i="19"/>
  <c r="K88" i="19" s="1"/>
  <c r="N88" i="19" s="1"/>
  <c r="O88" i="19" s="1"/>
  <c r="R88" i="19" s="1"/>
  <c r="I66" i="19"/>
  <c r="K66" i="19" s="1"/>
  <c r="N66" i="19" s="1"/>
  <c r="O66" i="19" s="1"/>
  <c r="I293" i="19"/>
  <c r="K293" i="19" s="1"/>
  <c r="N293" i="19" s="1"/>
  <c r="O293" i="19" s="1"/>
  <c r="I154" i="19"/>
  <c r="K154" i="19" s="1"/>
  <c r="N154" i="19" s="1"/>
  <c r="O154" i="19" s="1"/>
  <c r="I159" i="19"/>
  <c r="K159" i="19" s="1"/>
  <c r="N159" i="19" s="1"/>
  <c r="O159" i="19" s="1"/>
  <c r="I64" i="19"/>
  <c r="K64" i="19" s="1"/>
  <c r="N64" i="19" s="1"/>
  <c r="O64" i="19" s="1"/>
  <c r="I92" i="19"/>
  <c r="K92" i="19" s="1"/>
  <c r="N92" i="19" s="1"/>
  <c r="O92" i="19" s="1"/>
  <c r="X92" i="19" s="1"/>
  <c r="Y92" i="19" s="1"/>
  <c r="I200" i="19"/>
  <c r="K200" i="19" s="1"/>
  <c r="N200" i="19" s="1"/>
  <c r="O200" i="19" s="1"/>
  <c r="I180" i="19"/>
  <c r="K180" i="19" s="1"/>
  <c r="N180" i="19" s="1"/>
  <c r="O180" i="19" s="1"/>
  <c r="I185" i="19"/>
  <c r="K185" i="19" s="1"/>
  <c r="N185" i="19" s="1"/>
  <c r="O185" i="19" s="1"/>
  <c r="I271" i="19"/>
  <c r="K271" i="19" s="1"/>
  <c r="N271" i="19" s="1"/>
  <c r="O271" i="19" s="1"/>
  <c r="I225" i="19"/>
  <c r="K225" i="19" s="1"/>
  <c r="N225" i="19" s="1"/>
  <c r="O225" i="19" s="1"/>
  <c r="I247" i="19"/>
  <c r="K247" i="19" s="1"/>
  <c r="N247" i="19" s="1"/>
  <c r="O247" i="19" s="1"/>
  <c r="I171" i="19"/>
  <c r="K171" i="19" s="1"/>
  <c r="N171" i="19" s="1"/>
  <c r="O171" i="19" s="1"/>
  <c r="I31" i="19"/>
  <c r="K31" i="19" s="1"/>
  <c r="N31" i="19" s="1"/>
  <c r="O31" i="19" s="1"/>
  <c r="R31" i="19" s="1"/>
  <c r="I320" i="19"/>
  <c r="K320" i="19" s="1"/>
  <c r="N320" i="19" s="1"/>
  <c r="O320" i="19" s="1"/>
  <c r="I282" i="19"/>
  <c r="K282" i="19" s="1"/>
  <c r="N282" i="19" s="1"/>
  <c r="O282" i="19" s="1"/>
  <c r="I202" i="19"/>
  <c r="K202" i="19" s="1"/>
  <c r="N202" i="19" s="1"/>
  <c r="O202" i="19" s="1"/>
  <c r="I127" i="19"/>
  <c r="K127" i="19" s="1"/>
  <c r="N127" i="19" s="1"/>
  <c r="O127" i="19" s="1"/>
  <c r="I132" i="19"/>
  <c r="K132" i="19" s="1"/>
  <c r="N132" i="19" s="1"/>
  <c r="O132" i="19" s="1"/>
  <c r="I35" i="19"/>
  <c r="K35" i="19" s="1"/>
  <c r="N35" i="19" s="1"/>
  <c r="O35" i="19" s="1"/>
  <c r="I199" i="19"/>
  <c r="K199" i="19" s="1"/>
  <c r="N199" i="19" s="1"/>
  <c r="O199" i="19" s="1"/>
  <c r="X199" i="19" s="1"/>
  <c r="Y199" i="19" s="1"/>
  <c r="I93" i="19"/>
  <c r="K93" i="19" s="1"/>
  <c r="N93" i="19" s="1"/>
  <c r="O93" i="19" s="1"/>
  <c r="I98" i="19"/>
  <c r="K98" i="19" s="1"/>
  <c r="N98" i="19" s="1"/>
  <c r="O98" i="19" s="1"/>
  <c r="I83" i="19"/>
  <c r="K83" i="19" s="1"/>
  <c r="N83" i="19" s="1"/>
  <c r="O83" i="19" s="1"/>
  <c r="I307" i="19"/>
  <c r="K307" i="19" s="1"/>
  <c r="N307" i="19" s="1"/>
  <c r="O307" i="19" s="1"/>
  <c r="I167" i="19"/>
  <c r="K167" i="19" s="1"/>
  <c r="N167" i="19" s="1"/>
  <c r="O167" i="19" s="1"/>
  <c r="I172" i="19"/>
  <c r="K172" i="19" s="1"/>
  <c r="N172" i="19" s="1"/>
  <c r="O172" i="19" s="1"/>
  <c r="I170" i="19"/>
  <c r="K170" i="19" s="1"/>
  <c r="N170" i="19" s="1"/>
  <c r="O170" i="19" s="1"/>
  <c r="I153" i="19"/>
  <c r="K153" i="19" s="1"/>
  <c r="N153" i="19" s="1"/>
  <c r="O153" i="19" s="1"/>
  <c r="I143" i="19"/>
  <c r="K143" i="19" s="1"/>
  <c r="N143" i="19" s="1"/>
  <c r="O143" i="19" s="1"/>
  <c r="I245" i="19"/>
  <c r="K245" i="19" s="1"/>
  <c r="N245" i="19" s="1"/>
  <c r="O245" i="19" s="1"/>
  <c r="I203" i="19"/>
  <c r="K203" i="19" s="1"/>
  <c r="N203" i="19" s="1"/>
  <c r="O203" i="19" s="1"/>
  <c r="I283" i="19"/>
  <c r="K283" i="19" s="1"/>
  <c r="N283" i="19" s="1"/>
  <c r="O283" i="19" s="1"/>
  <c r="R283" i="19" s="1"/>
  <c r="S283" i="19" s="1"/>
  <c r="W283" i="19" s="1"/>
  <c r="I266" i="19"/>
  <c r="K266" i="19" s="1"/>
  <c r="N266" i="19" s="1"/>
  <c r="O266" i="19" s="1"/>
  <c r="I254" i="19"/>
  <c r="K254" i="19" s="1"/>
  <c r="N254" i="19" s="1"/>
  <c r="O254" i="19" s="1"/>
  <c r="I187" i="19"/>
  <c r="K187" i="19" s="1"/>
  <c r="N187" i="19" s="1"/>
  <c r="O187" i="19" s="1"/>
  <c r="I50" i="19"/>
  <c r="K50" i="19" s="1"/>
  <c r="N50" i="19" s="1"/>
  <c r="O50" i="19" s="1"/>
  <c r="I38" i="19"/>
  <c r="K38" i="19" s="1"/>
  <c r="N38" i="19" s="1"/>
  <c r="O38" i="19" s="1"/>
  <c r="I294" i="19"/>
  <c r="K294" i="19" s="1"/>
  <c r="N294" i="19" s="1"/>
  <c r="O294" i="19" s="1"/>
  <c r="I207" i="19"/>
  <c r="K207" i="19" s="1"/>
  <c r="N207" i="19" s="1"/>
  <c r="O207" i="19" s="1"/>
  <c r="I155" i="19"/>
  <c r="K155" i="19" s="1"/>
  <c r="N155" i="19" s="1"/>
  <c r="O155" i="19" s="1"/>
  <c r="I142" i="19"/>
  <c r="K142" i="19" s="1"/>
  <c r="N142" i="19" s="1"/>
  <c r="O142" i="19" s="1"/>
  <c r="I47" i="19"/>
  <c r="K47" i="19" s="1"/>
  <c r="N47" i="19" s="1"/>
  <c r="O47" i="19" s="1"/>
  <c r="R47" i="19" s="1"/>
  <c r="I204" i="19"/>
  <c r="K204" i="19" s="1"/>
  <c r="N204" i="19" s="1"/>
  <c r="O204" i="19" s="1"/>
  <c r="I162" i="19"/>
  <c r="K162" i="19" s="1"/>
  <c r="N162" i="19" s="1"/>
  <c r="O162" i="19" s="1"/>
  <c r="I119" i="19"/>
  <c r="K119" i="19" s="1"/>
  <c r="N119" i="19" s="1"/>
  <c r="O119" i="19" s="1"/>
  <c r="I105" i="19"/>
  <c r="K105" i="19" s="1"/>
  <c r="N105" i="19" s="1"/>
  <c r="O105" i="19" s="1"/>
  <c r="I314" i="19"/>
  <c r="K314" i="19" s="1"/>
  <c r="N314" i="19" s="1"/>
  <c r="O314" i="19" s="1"/>
  <c r="I201" i="19"/>
  <c r="K201" i="19" s="1"/>
  <c r="N201" i="19" s="1"/>
  <c r="O201" i="19" s="1"/>
  <c r="R201" i="19" s="1"/>
  <c r="I188" i="19"/>
  <c r="K188" i="19" s="1"/>
  <c r="N188" i="19" s="1"/>
  <c r="O188" i="19" s="1"/>
  <c r="I77" i="19"/>
  <c r="K77" i="19" s="1"/>
  <c r="N77" i="19" s="1"/>
  <c r="O77" i="19" s="1"/>
  <c r="I12" i="19"/>
  <c r="K12" i="19" s="1"/>
  <c r="N12" i="19" s="1"/>
  <c r="O12" i="19" s="1"/>
  <c r="I166" i="19"/>
  <c r="K166" i="19" s="1"/>
  <c r="N166" i="19" s="1"/>
  <c r="O166" i="19" s="1"/>
  <c r="I290" i="19"/>
  <c r="K290" i="19" s="1"/>
  <c r="N290" i="19" s="1"/>
  <c r="O290" i="19" s="1"/>
  <c r="I208" i="19"/>
  <c r="K208" i="19" s="1"/>
  <c r="N208" i="19" s="1"/>
  <c r="O208" i="19" s="1"/>
  <c r="R208" i="19" s="1"/>
  <c r="I309" i="19"/>
  <c r="K309" i="19" s="1"/>
  <c r="N309" i="19" s="1"/>
  <c r="O309" i="19" s="1"/>
  <c r="I278" i="19"/>
  <c r="K278" i="19" s="1"/>
  <c r="N278" i="19" s="1"/>
  <c r="O278" i="19" s="1"/>
  <c r="I261" i="19"/>
  <c r="K261" i="19" s="1"/>
  <c r="N261" i="19" s="1"/>
  <c r="O261" i="19" s="1"/>
  <c r="I220" i="19"/>
  <c r="K220" i="19" s="1"/>
  <c r="N220" i="19" s="1"/>
  <c r="O220" i="19" s="1"/>
  <c r="I55" i="19"/>
  <c r="K55" i="19" s="1"/>
  <c r="N55" i="19" s="1"/>
  <c r="O55" i="19" s="1"/>
  <c r="I67" i="19"/>
  <c r="K67" i="19" s="1"/>
  <c r="N67" i="19" s="1"/>
  <c r="O67" i="19" s="1"/>
  <c r="I315" i="19"/>
  <c r="K315" i="19" s="1"/>
  <c r="N315" i="19" s="1"/>
  <c r="O315" i="19" s="1"/>
  <c r="I229" i="19"/>
  <c r="K229" i="19" s="1"/>
  <c r="N229" i="19" s="1"/>
  <c r="O229" i="19" s="1"/>
  <c r="I176" i="19"/>
  <c r="K176" i="19" s="1"/>
  <c r="N176" i="19" s="1"/>
  <c r="O176" i="19" s="1"/>
  <c r="I160" i="19"/>
  <c r="K160" i="19" s="1"/>
  <c r="N160" i="19" s="1"/>
  <c r="O160" i="19" s="1"/>
  <c r="I59" i="19"/>
  <c r="K59" i="19" s="1"/>
  <c r="N59" i="19" s="1"/>
  <c r="O59" i="19" s="1"/>
  <c r="I209" i="19"/>
  <c r="K209" i="19" s="1"/>
  <c r="N209" i="19" s="1"/>
  <c r="O209" i="19" s="1"/>
  <c r="R209" i="19" s="1"/>
  <c r="I191" i="19"/>
  <c r="K191" i="19" s="1"/>
  <c r="N191" i="19" s="1"/>
  <c r="O191" i="19" s="1"/>
  <c r="R191" i="19" s="1"/>
  <c r="I134" i="19"/>
  <c r="K134" i="19" s="1"/>
  <c r="N134" i="19" s="1"/>
  <c r="O134" i="19" s="1"/>
  <c r="R134" i="19" s="1"/>
  <c r="I110" i="19"/>
  <c r="K110" i="19" s="1"/>
  <c r="N110" i="19" s="1"/>
  <c r="O110" i="19" s="1"/>
  <c r="R110" i="19" s="1"/>
  <c r="I301" i="19"/>
  <c r="K301" i="19" s="1"/>
  <c r="N301" i="19" s="1"/>
  <c r="O301" i="19" s="1"/>
  <c r="R301" i="19" s="1"/>
  <c r="S301" i="19" s="1"/>
  <c r="W301" i="19" s="1"/>
  <c r="I228" i="19"/>
  <c r="K228" i="19" s="1"/>
  <c r="N228" i="19" s="1"/>
  <c r="O228" i="19" s="1"/>
  <c r="R228" i="19" s="1"/>
  <c r="S228" i="19" s="1"/>
  <c r="I193" i="19"/>
  <c r="K193" i="19" s="1"/>
  <c r="N193" i="19" s="1"/>
  <c r="O193" i="19" s="1"/>
  <c r="X193" i="19" s="1"/>
  <c r="X226" i="19"/>
  <c r="Y226" i="19" s="1"/>
  <c r="X111" i="19"/>
  <c r="Y111" i="19" s="1"/>
  <c r="M2362" i="6"/>
  <c r="M2299" i="6"/>
  <c r="M2304" i="6"/>
  <c r="M2301" i="6"/>
  <c r="M2298" i="6"/>
  <c r="R234" i="19" l="1"/>
  <c r="S234" i="19" s="1"/>
  <c r="R199" i="19"/>
  <c r="X283" i="19"/>
  <c r="Y283" i="19" s="1"/>
  <c r="Z243" i="19"/>
  <c r="X31" i="19"/>
  <c r="Y31" i="19" s="1"/>
  <c r="R243" i="19"/>
  <c r="Z213" i="19"/>
  <c r="R213" i="19"/>
  <c r="X117" i="19"/>
  <c r="Y117" i="19" s="1"/>
  <c r="X146" i="19"/>
  <c r="Y146" i="19" s="1"/>
  <c r="X48" i="19"/>
  <c r="Y48" i="19" s="1"/>
  <c r="Z275" i="19"/>
  <c r="Z177" i="19"/>
  <c r="R177" i="19"/>
  <c r="X228" i="19"/>
  <c r="Y228" i="19" s="1"/>
  <c r="X134" i="19"/>
  <c r="Y134" i="19" s="1"/>
  <c r="X145" i="19"/>
  <c r="Y145" i="19" s="1"/>
  <c r="X191" i="19"/>
  <c r="Y191" i="19" s="1"/>
  <c r="X130" i="19"/>
  <c r="Y130" i="19" s="1"/>
  <c r="R69" i="19"/>
  <c r="S69" i="19" s="1"/>
  <c r="X201" i="19"/>
  <c r="Y201" i="19" s="1"/>
  <c r="Z252" i="19"/>
  <c r="R19" i="19"/>
  <c r="S19" i="19" s="1"/>
  <c r="W19" i="19" s="1"/>
  <c r="X72" i="19"/>
  <c r="Y72" i="19" s="1"/>
  <c r="R30" i="19"/>
  <c r="R5" i="19"/>
  <c r="Z246" i="19"/>
  <c r="Z30" i="19"/>
  <c r="Z19" i="19"/>
  <c r="Z234" i="19"/>
  <c r="Z120" i="19"/>
  <c r="Z111" i="19"/>
  <c r="Z283" i="19"/>
  <c r="AA283" i="19" s="1"/>
  <c r="R193" i="19"/>
  <c r="S193" i="19" s="1"/>
  <c r="W193" i="19" s="1"/>
  <c r="Z226" i="19"/>
  <c r="Y193" i="19"/>
  <c r="Z193" i="19" s="1"/>
  <c r="R241" i="19"/>
  <c r="S241" i="19" s="1"/>
  <c r="W241" i="19" s="1"/>
  <c r="X241" i="19"/>
  <c r="R261" i="19"/>
  <c r="S261" i="19" s="1"/>
  <c r="W261" i="19" s="1"/>
  <c r="X261" i="19"/>
  <c r="Y261" i="19" s="1"/>
  <c r="R142" i="19"/>
  <c r="S142" i="19" s="1"/>
  <c r="X142" i="19"/>
  <c r="X167" i="19"/>
  <c r="Y167" i="19" s="1"/>
  <c r="R167" i="19"/>
  <c r="X271" i="19"/>
  <c r="R271" i="19"/>
  <c r="S271" i="19" s="1"/>
  <c r="W271" i="19" s="1"/>
  <c r="R168" i="19"/>
  <c r="S168" i="19" s="1"/>
  <c r="X168" i="19"/>
  <c r="R281" i="19"/>
  <c r="S281" i="19" s="1"/>
  <c r="W281" i="19" s="1"/>
  <c r="X281" i="19"/>
  <c r="X164" i="19"/>
  <c r="R164" i="19"/>
  <c r="S164" i="19" s="1"/>
  <c r="W164" i="19" s="1"/>
  <c r="X90" i="19"/>
  <c r="S90" i="19"/>
  <c r="W90" i="19" s="1"/>
  <c r="R169" i="19"/>
  <c r="S169" i="19" s="1"/>
  <c r="W169" i="19" s="1"/>
  <c r="X169" i="19"/>
  <c r="R217" i="19"/>
  <c r="X217" i="19"/>
  <c r="R262" i="19"/>
  <c r="S262" i="19" s="1"/>
  <c r="W262" i="19" s="1"/>
  <c r="X262" i="19"/>
  <c r="R21" i="19"/>
  <c r="S21" i="19" s="1"/>
  <c r="W21" i="19" s="1"/>
  <c r="X21" i="19"/>
  <c r="Y21" i="19" s="1"/>
  <c r="R183" i="19"/>
  <c r="S183" i="19" s="1"/>
  <c r="X183" i="19"/>
  <c r="X219" i="19"/>
  <c r="Y219" i="19" s="1"/>
  <c r="R219" i="19"/>
  <c r="S219" i="19" s="1"/>
  <c r="W219" i="19" s="1"/>
  <c r="X32" i="19"/>
  <c r="R32" i="19"/>
  <c r="S32" i="19" s="1"/>
  <c r="W32" i="19" s="1"/>
  <c r="R304" i="19"/>
  <c r="S304" i="19" s="1"/>
  <c r="W304" i="19" s="1"/>
  <c r="X304" i="19"/>
  <c r="R172" i="19"/>
  <c r="S172" i="19" s="1"/>
  <c r="W172" i="19" s="1"/>
  <c r="X172" i="19"/>
  <c r="R57" i="19"/>
  <c r="S57" i="19" s="1"/>
  <c r="W57" i="19" s="1"/>
  <c r="X57" i="19"/>
  <c r="R278" i="19"/>
  <c r="S278" i="19" s="1"/>
  <c r="W278" i="19" s="1"/>
  <c r="X278" i="19"/>
  <c r="R155" i="19"/>
  <c r="S155" i="19" s="1"/>
  <c r="W155" i="19" s="1"/>
  <c r="X155" i="19"/>
  <c r="R307" i="19"/>
  <c r="S307" i="19" s="1"/>
  <c r="W307" i="19" s="1"/>
  <c r="X307" i="19"/>
  <c r="R185" i="19"/>
  <c r="S185" i="19" s="1"/>
  <c r="W185" i="19" s="1"/>
  <c r="X185" i="19"/>
  <c r="X61" i="19"/>
  <c r="Y61" i="19" s="1"/>
  <c r="R61" i="19"/>
  <c r="S61" i="19" s="1"/>
  <c r="W61" i="19" s="1"/>
  <c r="R237" i="19"/>
  <c r="S237" i="19" s="1"/>
  <c r="W237" i="19" s="1"/>
  <c r="X237" i="19"/>
  <c r="R221" i="19"/>
  <c r="S221" i="19" s="1"/>
  <c r="W221" i="19" s="1"/>
  <c r="X221" i="19"/>
  <c r="X116" i="19"/>
  <c r="R116" i="19"/>
  <c r="S116" i="19" s="1"/>
  <c r="W116" i="19" s="1"/>
  <c r="R227" i="19"/>
  <c r="S227" i="19" s="1"/>
  <c r="X227" i="19"/>
  <c r="R25" i="19"/>
  <c r="S25" i="19" s="1"/>
  <c r="W25" i="19" s="1"/>
  <c r="X25" i="19"/>
  <c r="S91" i="19"/>
  <c r="W91" i="19" s="1"/>
  <c r="X91" i="19"/>
  <c r="X248" i="19"/>
  <c r="R248" i="19"/>
  <c r="S248" i="19" s="1"/>
  <c r="W248" i="19" s="1"/>
  <c r="X239" i="19"/>
  <c r="R239" i="19"/>
  <c r="S239" i="19" s="1"/>
  <c r="W239" i="19" s="1"/>
  <c r="R139" i="19"/>
  <c r="S139" i="19" s="1"/>
  <c r="W139" i="19" s="1"/>
  <c r="X139" i="19"/>
  <c r="R46" i="19"/>
  <c r="S46" i="19" s="1"/>
  <c r="W46" i="19" s="1"/>
  <c r="X46" i="19"/>
  <c r="R99" i="19"/>
  <c r="S99" i="19" s="1"/>
  <c r="W99" i="19" s="1"/>
  <c r="X99" i="19"/>
  <c r="X173" i="19"/>
  <c r="R173" i="19"/>
  <c r="S173" i="19" s="1"/>
  <c r="W173" i="19" s="1"/>
  <c r="R309" i="19"/>
  <c r="S309" i="19" s="1"/>
  <c r="W309" i="19" s="1"/>
  <c r="X309" i="19"/>
  <c r="Y309" i="19" s="1"/>
  <c r="X207" i="19"/>
  <c r="R207" i="19"/>
  <c r="S207" i="19" s="1"/>
  <c r="W207" i="19" s="1"/>
  <c r="R83" i="19"/>
  <c r="S83" i="19" s="1"/>
  <c r="W83" i="19" s="1"/>
  <c r="X83" i="19"/>
  <c r="R180" i="19"/>
  <c r="S180" i="19" s="1"/>
  <c r="W180" i="19" s="1"/>
  <c r="X180" i="19"/>
  <c r="Y180" i="19" s="1"/>
  <c r="R287" i="19"/>
  <c r="S287" i="19" s="1"/>
  <c r="W287" i="19" s="1"/>
  <c r="X287" i="19"/>
  <c r="X76" i="19"/>
  <c r="R76" i="19"/>
  <c r="S76" i="19" s="1"/>
  <c r="R60" i="19"/>
  <c r="S60" i="19" s="1"/>
  <c r="W60" i="19" s="1"/>
  <c r="X60" i="19"/>
  <c r="R256" i="19"/>
  <c r="S256" i="19" s="1"/>
  <c r="W256" i="19" s="1"/>
  <c r="X256" i="19"/>
  <c r="R300" i="19"/>
  <c r="S300" i="19" s="1"/>
  <c r="W300" i="19" s="1"/>
  <c r="X300" i="19"/>
  <c r="X96" i="19"/>
  <c r="S96" i="19"/>
  <c r="W96" i="19" s="1"/>
  <c r="X317" i="19"/>
  <c r="R317" i="19"/>
  <c r="S317" i="19" s="1"/>
  <c r="W317" i="19" s="1"/>
  <c r="R197" i="19"/>
  <c r="S197" i="19" s="1"/>
  <c r="W197" i="19" s="1"/>
  <c r="X197" i="19"/>
  <c r="R308" i="19"/>
  <c r="S308" i="19" s="1"/>
  <c r="W308" i="19" s="1"/>
  <c r="X308" i="19"/>
  <c r="R322" i="19"/>
  <c r="S322" i="19" s="1"/>
  <c r="W322" i="19" s="1"/>
  <c r="X322" i="19"/>
  <c r="X236" i="19"/>
  <c r="Y236" i="19" s="1"/>
  <c r="R236" i="19"/>
  <c r="S236" i="19" s="1"/>
  <c r="R114" i="19"/>
  <c r="S114" i="19" s="1"/>
  <c r="W114" i="19" s="1"/>
  <c r="X114" i="19"/>
  <c r="R273" i="19"/>
  <c r="S273" i="19" s="1"/>
  <c r="X273" i="19"/>
  <c r="R194" i="19"/>
  <c r="S194" i="19" s="1"/>
  <c r="W194" i="19" s="1"/>
  <c r="X194" i="19"/>
  <c r="X209" i="19"/>
  <c r="X208" i="19"/>
  <c r="Y208" i="19" s="1"/>
  <c r="S208" i="19"/>
  <c r="W208" i="19" s="1"/>
  <c r="R294" i="19"/>
  <c r="S294" i="19" s="1"/>
  <c r="W294" i="19" s="1"/>
  <c r="X294" i="19"/>
  <c r="Y294" i="19" s="1"/>
  <c r="R98" i="19"/>
  <c r="S98" i="19" s="1"/>
  <c r="W98" i="19" s="1"/>
  <c r="X98" i="19"/>
  <c r="R200" i="19"/>
  <c r="S200" i="19" s="1"/>
  <c r="W200" i="19" s="1"/>
  <c r="X200" i="19"/>
  <c r="X26" i="19"/>
  <c r="R26" i="19"/>
  <c r="X97" i="19"/>
  <c r="R97" i="19"/>
  <c r="S97" i="19" s="1"/>
  <c r="W97" i="19" s="1"/>
  <c r="R7" i="19"/>
  <c r="S7" i="19" s="1"/>
  <c r="W7" i="19" s="1"/>
  <c r="X7" i="19"/>
  <c r="R49" i="19"/>
  <c r="S49" i="19" s="1"/>
  <c r="W49" i="19" s="1"/>
  <c r="X49" i="19"/>
  <c r="X9" i="19"/>
  <c r="R9" i="19"/>
  <c r="S9" i="19" s="1"/>
  <c r="W9" i="19" s="1"/>
  <c r="X82" i="19"/>
  <c r="R82" i="19"/>
  <c r="S82" i="19" s="1"/>
  <c r="W82" i="19" s="1"/>
  <c r="R137" i="19"/>
  <c r="S137" i="19" s="1"/>
  <c r="W137" i="19" s="1"/>
  <c r="X137" i="19"/>
  <c r="R179" i="19"/>
  <c r="S179" i="19" s="1"/>
  <c r="W179" i="19" s="1"/>
  <c r="X179" i="19"/>
  <c r="X298" i="19"/>
  <c r="R298" i="19"/>
  <c r="S298" i="19" s="1"/>
  <c r="W298" i="19" s="1"/>
  <c r="R279" i="19"/>
  <c r="S279" i="19" s="1"/>
  <c r="X279" i="19"/>
  <c r="R299" i="19"/>
  <c r="S299" i="19" s="1"/>
  <c r="W299" i="19" s="1"/>
  <c r="X299" i="19"/>
  <c r="R258" i="19"/>
  <c r="S258" i="19" s="1"/>
  <c r="X258" i="19"/>
  <c r="R220" i="19"/>
  <c r="S220" i="19" s="1"/>
  <c r="W220" i="19" s="1"/>
  <c r="X220" i="19"/>
  <c r="R51" i="19"/>
  <c r="S51" i="19" s="1"/>
  <c r="W51" i="19" s="1"/>
  <c r="X51" i="19"/>
  <c r="Y51" i="19" s="1"/>
  <c r="R290" i="19"/>
  <c r="S290" i="19" s="1"/>
  <c r="W290" i="19" s="1"/>
  <c r="X290" i="19"/>
  <c r="Y290" i="19" s="1"/>
  <c r="X38" i="19"/>
  <c r="R38" i="19"/>
  <c r="S38" i="19" s="1"/>
  <c r="W38" i="19" s="1"/>
  <c r="R93" i="19"/>
  <c r="S93" i="19" s="1"/>
  <c r="W93" i="19" s="1"/>
  <c r="X93" i="19"/>
  <c r="R92" i="19"/>
  <c r="R123" i="19"/>
  <c r="S123" i="19" s="1"/>
  <c r="X123" i="19"/>
  <c r="Y123" i="19" s="1"/>
  <c r="X178" i="19"/>
  <c r="R178" i="19"/>
  <c r="S178" i="19" s="1"/>
  <c r="W178" i="19" s="1"/>
  <c r="R63" i="19"/>
  <c r="S63" i="19" s="1"/>
  <c r="W63" i="19" s="1"/>
  <c r="X63" i="19"/>
  <c r="R109" i="19"/>
  <c r="S109" i="19" s="1"/>
  <c r="W109" i="19" s="1"/>
  <c r="X109" i="19"/>
  <c r="X6" i="19"/>
  <c r="R6" i="19"/>
  <c r="S6" i="19" s="1"/>
  <c r="W6" i="19" s="1"/>
  <c r="R302" i="19"/>
  <c r="S302" i="19" s="1"/>
  <c r="W302" i="19" s="1"/>
  <c r="X302" i="19"/>
  <c r="R205" i="19"/>
  <c r="S205" i="19" s="1"/>
  <c r="W205" i="19" s="1"/>
  <c r="X205" i="19"/>
  <c r="R265" i="19"/>
  <c r="S265" i="19" s="1"/>
  <c r="W265" i="19" s="1"/>
  <c r="X265" i="19"/>
  <c r="R24" i="19"/>
  <c r="S24" i="19" s="1"/>
  <c r="W24" i="19" s="1"/>
  <c r="X24" i="19"/>
  <c r="R163" i="19"/>
  <c r="S163" i="19" s="1"/>
  <c r="W163" i="19" s="1"/>
  <c r="X163" i="19"/>
  <c r="R253" i="19"/>
  <c r="S253" i="19" s="1"/>
  <c r="X253" i="19"/>
  <c r="R218" i="19"/>
  <c r="S218" i="19" s="1"/>
  <c r="W218" i="19" s="1"/>
  <c r="X218" i="19"/>
  <c r="R87" i="19"/>
  <c r="S87" i="19" s="1"/>
  <c r="X87" i="19"/>
  <c r="R33" i="19"/>
  <c r="S33" i="19" s="1"/>
  <c r="W33" i="19" s="1"/>
  <c r="X33" i="19"/>
  <c r="R108" i="19"/>
  <c r="S108" i="19" s="1"/>
  <c r="W108" i="19" s="1"/>
  <c r="X108" i="19"/>
  <c r="R166" i="19"/>
  <c r="S166" i="19" s="1"/>
  <c r="X166" i="19"/>
  <c r="R50" i="19"/>
  <c r="S50" i="19" s="1"/>
  <c r="W50" i="19" s="1"/>
  <c r="X50" i="19"/>
  <c r="X64" i="19"/>
  <c r="R64" i="19"/>
  <c r="S64" i="19" s="1"/>
  <c r="W64" i="19" s="1"/>
  <c r="X242" i="19"/>
  <c r="R242" i="19"/>
  <c r="S242" i="19" s="1"/>
  <c r="R10" i="19"/>
  <c r="S10" i="19" s="1"/>
  <c r="W10" i="19" s="1"/>
  <c r="X10" i="19"/>
  <c r="X184" i="19"/>
  <c r="R184" i="19"/>
  <c r="S184" i="19" s="1"/>
  <c r="W184" i="19" s="1"/>
  <c r="R215" i="19"/>
  <c r="S215" i="19" s="1"/>
  <c r="W215" i="19" s="1"/>
  <c r="X215" i="19"/>
  <c r="R152" i="19"/>
  <c r="S152" i="19" s="1"/>
  <c r="W152" i="19" s="1"/>
  <c r="X152" i="19"/>
  <c r="R111" i="19"/>
  <c r="S111" i="19" s="1"/>
  <c r="W111" i="19" s="1"/>
  <c r="X161" i="19"/>
  <c r="R161" i="19"/>
  <c r="S161" i="19" s="1"/>
  <c r="R226" i="19"/>
  <c r="S226" i="19" s="1"/>
  <c r="W226" i="19" s="1"/>
  <c r="R43" i="19"/>
  <c r="S43" i="19" s="1"/>
  <c r="W43" i="19" s="1"/>
  <c r="X43" i="19"/>
  <c r="R224" i="19"/>
  <c r="S224" i="19" s="1"/>
  <c r="X224" i="19"/>
  <c r="R148" i="19"/>
  <c r="S148" i="19" s="1"/>
  <c r="W148" i="19" s="1"/>
  <c r="X148" i="19"/>
  <c r="X103" i="19"/>
  <c r="Y103" i="19" s="1"/>
  <c r="R103" i="19"/>
  <c r="S103" i="19" s="1"/>
  <c r="W103" i="19" s="1"/>
  <c r="R269" i="19"/>
  <c r="S269" i="19" s="1"/>
  <c r="W269" i="19" s="1"/>
  <c r="X269" i="19"/>
  <c r="X29" i="19"/>
  <c r="R29" i="19"/>
  <c r="S29" i="19" s="1"/>
  <c r="W29" i="19" s="1"/>
  <c r="R125" i="19"/>
  <c r="S125" i="19" s="1"/>
  <c r="W125" i="19" s="1"/>
  <c r="X125" i="19"/>
  <c r="R126" i="19"/>
  <c r="S126" i="19" s="1"/>
  <c r="W126" i="19" s="1"/>
  <c r="X126" i="19"/>
  <c r="Z92" i="19"/>
  <c r="X12" i="19"/>
  <c r="Y12" i="19" s="1"/>
  <c r="R12" i="19"/>
  <c r="S12" i="19" s="1"/>
  <c r="W12" i="19" s="1"/>
  <c r="X187" i="19"/>
  <c r="Y187" i="19" s="1"/>
  <c r="R187" i="19"/>
  <c r="S187" i="19" s="1"/>
  <c r="W187" i="19" s="1"/>
  <c r="X35" i="19"/>
  <c r="Y35" i="19" s="1"/>
  <c r="R35" i="19"/>
  <c r="S35" i="19" s="1"/>
  <c r="W35" i="19" s="1"/>
  <c r="R159" i="19"/>
  <c r="S159" i="19" s="1"/>
  <c r="W159" i="19" s="1"/>
  <c r="X159" i="19"/>
  <c r="Y159" i="19" s="1"/>
  <c r="R195" i="19"/>
  <c r="S195" i="19" s="1"/>
  <c r="W195" i="19" s="1"/>
  <c r="X195" i="19"/>
  <c r="R86" i="19"/>
  <c r="S86" i="19" s="1"/>
  <c r="X86" i="19"/>
  <c r="R136" i="19"/>
  <c r="S136" i="19" s="1"/>
  <c r="X136" i="19"/>
  <c r="Y136" i="19" s="1"/>
  <c r="R182" i="19"/>
  <c r="S182" i="19" s="1"/>
  <c r="W182" i="19" s="1"/>
  <c r="X182" i="19"/>
  <c r="R284" i="19"/>
  <c r="S284" i="19" s="1"/>
  <c r="W284" i="19" s="1"/>
  <c r="X284" i="19"/>
  <c r="R78" i="19"/>
  <c r="S78" i="19" s="1"/>
  <c r="W78" i="19" s="1"/>
  <c r="X78" i="19"/>
  <c r="R107" i="19"/>
  <c r="S107" i="19" s="1"/>
  <c r="W107" i="19" s="1"/>
  <c r="X107" i="19"/>
  <c r="R276" i="19"/>
  <c r="S276" i="19" s="1"/>
  <c r="W276" i="19" s="1"/>
  <c r="X276" i="19"/>
  <c r="R156" i="19"/>
  <c r="S156" i="19" s="1"/>
  <c r="X156" i="19"/>
  <c r="R296" i="19"/>
  <c r="S296" i="19" s="1"/>
  <c r="X296" i="19"/>
  <c r="R313" i="19"/>
  <c r="S313" i="19" s="1"/>
  <c r="W313" i="19" s="1"/>
  <c r="X313" i="19"/>
  <c r="R189" i="19"/>
  <c r="S189" i="19" s="1"/>
  <c r="W189" i="19" s="1"/>
  <c r="X189" i="19"/>
  <c r="R27" i="19"/>
  <c r="S27" i="19" s="1"/>
  <c r="X27" i="19"/>
  <c r="R297" i="19"/>
  <c r="S297" i="19" s="1"/>
  <c r="W297" i="19" s="1"/>
  <c r="X297" i="19"/>
  <c r="X89" i="19"/>
  <c r="S89" i="19"/>
  <c r="W89" i="19" s="1"/>
  <c r="X225" i="19"/>
  <c r="R225" i="19"/>
  <c r="S225" i="19" s="1"/>
  <c r="W225" i="19" s="1"/>
  <c r="X52" i="19"/>
  <c r="Y52" i="19" s="1"/>
  <c r="R52" i="19"/>
  <c r="S52" i="19" s="1"/>
  <c r="W52" i="19" s="1"/>
  <c r="X47" i="19"/>
  <c r="Y47" i="19" s="1"/>
  <c r="R288" i="19"/>
  <c r="S288" i="19" s="1"/>
  <c r="W288" i="19" s="1"/>
  <c r="R77" i="19"/>
  <c r="S77" i="19" s="1"/>
  <c r="W77" i="19" s="1"/>
  <c r="X77" i="19"/>
  <c r="X254" i="19"/>
  <c r="R254" i="19"/>
  <c r="S254" i="19" s="1"/>
  <c r="W254" i="19" s="1"/>
  <c r="R132" i="19"/>
  <c r="S132" i="19" s="1"/>
  <c r="X132" i="19"/>
  <c r="R154" i="19"/>
  <c r="S154" i="19" s="1"/>
  <c r="X154" i="19"/>
  <c r="R264" i="19"/>
  <c r="S264" i="19" s="1"/>
  <c r="W264" i="19" s="1"/>
  <c r="X264" i="19"/>
  <c r="X79" i="19"/>
  <c r="Y79" i="19" s="1"/>
  <c r="R79" i="19"/>
  <c r="S79" i="19" s="1"/>
  <c r="W79" i="19" s="1"/>
  <c r="R95" i="19"/>
  <c r="S95" i="19" s="1"/>
  <c r="W95" i="19" s="1"/>
  <c r="X95" i="19"/>
  <c r="R252" i="19"/>
  <c r="R16" i="19"/>
  <c r="S16" i="19" s="1"/>
  <c r="W16" i="19" s="1"/>
  <c r="X16" i="19"/>
  <c r="X216" i="19"/>
  <c r="R216" i="19"/>
  <c r="S216" i="19" s="1"/>
  <c r="W216" i="19" s="1"/>
  <c r="R102" i="19"/>
  <c r="S102" i="19" s="1"/>
  <c r="W102" i="19" s="1"/>
  <c r="X102" i="19"/>
  <c r="R39" i="19"/>
  <c r="S39" i="19" s="1"/>
  <c r="W39" i="19" s="1"/>
  <c r="X39" i="19"/>
  <c r="X133" i="19"/>
  <c r="R133" i="19"/>
  <c r="S133" i="19" s="1"/>
  <c r="W133" i="19" s="1"/>
  <c r="R8" i="19"/>
  <c r="S8" i="19" s="1"/>
  <c r="W8" i="19" s="1"/>
  <c r="X8" i="19"/>
  <c r="R318" i="19"/>
  <c r="S318" i="19" s="1"/>
  <c r="W318" i="19" s="1"/>
  <c r="X318" i="19"/>
  <c r="R129" i="19"/>
  <c r="S129" i="19" s="1"/>
  <c r="W129" i="19" s="1"/>
  <c r="X129" i="19"/>
  <c r="X41" i="19"/>
  <c r="R41" i="19"/>
  <c r="S41" i="19" s="1"/>
  <c r="W41" i="19" s="1"/>
  <c r="X268" i="19"/>
  <c r="Y268" i="19" s="1"/>
  <c r="R268" i="19"/>
  <c r="S268" i="19" s="1"/>
  <c r="W268" i="19" s="1"/>
  <c r="R149" i="19"/>
  <c r="S149" i="19" s="1"/>
  <c r="W149" i="19" s="1"/>
  <c r="X149" i="19"/>
  <c r="Y149" i="19" s="1"/>
  <c r="R59" i="19"/>
  <c r="S59" i="19" s="1"/>
  <c r="W59" i="19" s="1"/>
  <c r="X59" i="19"/>
  <c r="R188" i="19"/>
  <c r="S188" i="19" s="1"/>
  <c r="W188" i="19" s="1"/>
  <c r="X188" i="19"/>
  <c r="R266" i="19"/>
  <c r="S266" i="19" s="1"/>
  <c r="W266" i="19" s="1"/>
  <c r="X266" i="19"/>
  <c r="Y266" i="19" s="1"/>
  <c r="X127" i="19"/>
  <c r="Y127" i="19" s="1"/>
  <c r="R127" i="19"/>
  <c r="S127" i="19" s="1"/>
  <c r="W127" i="19" s="1"/>
  <c r="R293" i="19"/>
  <c r="S293" i="19" s="1"/>
  <c r="W293" i="19" s="1"/>
  <c r="X293" i="19"/>
  <c r="Y293" i="19" s="1"/>
  <c r="X150" i="19"/>
  <c r="R150" i="19"/>
  <c r="S150" i="19" s="1"/>
  <c r="W150" i="19" s="1"/>
  <c r="X274" i="19"/>
  <c r="R274" i="19"/>
  <c r="S274" i="19" s="1"/>
  <c r="R121" i="19"/>
  <c r="S121" i="19" s="1"/>
  <c r="W121" i="19" s="1"/>
  <c r="X121" i="19"/>
  <c r="R45" i="19"/>
  <c r="S45" i="19" s="1"/>
  <c r="W45" i="19" s="1"/>
  <c r="X45" i="19"/>
  <c r="X286" i="19"/>
  <c r="R286" i="19"/>
  <c r="S286" i="19" s="1"/>
  <c r="W286" i="19" s="1"/>
  <c r="R28" i="19"/>
  <c r="S28" i="19" s="1"/>
  <c r="X28" i="19"/>
  <c r="R56" i="19"/>
  <c r="S56" i="19" s="1"/>
  <c r="W56" i="19" s="1"/>
  <c r="X56" i="19"/>
  <c r="X85" i="19"/>
  <c r="R85" i="19"/>
  <c r="S85" i="19" s="1"/>
  <c r="W85" i="19" s="1"/>
  <c r="R233" i="19"/>
  <c r="S233" i="19" s="1"/>
  <c r="W233" i="19" s="1"/>
  <c r="X233" i="19"/>
  <c r="R118" i="19"/>
  <c r="S118" i="19" s="1"/>
  <c r="X118" i="19"/>
  <c r="X289" i="19"/>
  <c r="R289" i="19"/>
  <c r="S289" i="19" s="1"/>
  <c r="W289" i="19" s="1"/>
  <c r="R206" i="19"/>
  <c r="S206" i="19" s="1"/>
  <c r="W206" i="19" s="1"/>
  <c r="X206" i="19"/>
  <c r="R120" i="19"/>
  <c r="S120" i="19" s="1"/>
  <c r="W120" i="19" s="1"/>
  <c r="X292" i="19"/>
  <c r="Y292" i="19" s="1"/>
  <c r="R292" i="19"/>
  <c r="S292" i="19" s="1"/>
  <c r="W292" i="19" s="1"/>
  <c r="R259" i="19"/>
  <c r="S259" i="19" s="1"/>
  <c r="W259" i="19" s="1"/>
  <c r="X259" i="19"/>
  <c r="X53" i="19"/>
  <c r="R160" i="19"/>
  <c r="S160" i="19" s="1"/>
  <c r="W160" i="19" s="1"/>
  <c r="X160" i="19"/>
  <c r="Y160" i="19" s="1"/>
  <c r="R202" i="19"/>
  <c r="S202" i="19" s="1"/>
  <c r="X202" i="19"/>
  <c r="R66" i="19"/>
  <c r="S66" i="19" s="1"/>
  <c r="W66" i="19" s="1"/>
  <c r="X66" i="19"/>
  <c r="R151" i="19"/>
  <c r="S151" i="19" s="1"/>
  <c r="W151" i="19" s="1"/>
  <c r="X151" i="19"/>
  <c r="R244" i="19"/>
  <c r="S244" i="19" s="1"/>
  <c r="W244" i="19" s="1"/>
  <c r="X244" i="19"/>
  <c r="Y244" i="19" s="1"/>
  <c r="R319" i="19"/>
  <c r="S319" i="19" s="1"/>
  <c r="W319" i="19" s="1"/>
  <c r="X319" i="19"/>
  <c r="R131" i="19"/>
  <c r="S131" i="19" s="1"/>
  <c r="W131" i="19" s="1"/>
  <c r="X131" i="19"/>
  <c r="R115" i="19"/>
  <c r="S115" i="19" s="1"/>
  <c r="W115" i="19" s="1"/>
  <c r="X115" i="19"/>
  <c r="R37" i="19"/>
  <c r="S37" i="19" s="1"/>
  <c r="W37" i="19" s="1"/>
  <c r="X37" i="19"/>
  <c r="R128" i="19"/>
  <c r="S128" i="19" s="1"/>
  <c r="X128" i="19"/>
  <c r="X196" i="19"/>
  <c r="R196" i="19"/>
  <c r="S196" i="19" s="1"/>
  <c r="W196" i="19" s="1"/>
  <c r="R80" i="19"/>
  <c r="S80" i="19" s="1"/>
  <c r="W80" i="19" s="1"/>
  <c r="X80" i="19"/>
  <c r="R321" i="19"/>
  <c r="S321" i="19" s="1"/>
  <c r="X321" i="19"/>
  <c r="X75" i="19"/>
  <c r="S75" i="19"/>
  <c r="W75" i="19" s="1"/>
  <c r="R62" i="19"/>
  <c r="S62" i="19" s="1"/>
  <c r="W62" i="19" s="1"/>
  <c r="X62" i="19"/>
  <c r="R272" i="19"/>
  <c r="S272" i="19" s="1"/>
  <c r="W272" i="19" s="1"/>
  <c r="X272" i="19"/>
  <c r="X70" i="19"/>
  <c r="R70" i="19"/>
  <c r="S70" i="19" s="1"/>
  <c r="W70" i="19" s="1"/>
  <c r="R101" i="19"/>
  <c r="S101" i="19" s="1"/>
  <c r="W101" i="19" s="1"/>
  <c r="X101" i="19"/>
  <c r="X301" i="19"/>
  <c r="R176" i="19"/>
  <c r="S176" i="19" s="1"/>
  <c r="W176" i="19" s="1"/>
  <c r="X176" i="19"/>
  <c r="Y176" i="19" s="1"/>
  <c r="X314" i="19"/>
  <c r="Y314" i="19" s="1"/>
  <c r="R314" i="19"/>
  <c r="S314" i="19" s="1"/>
  <c r="W314" i="19" s="1"/>
  <c r="R203" i="19"/>
  <c r="S203" i="19" s="1"/>
  <c r="W203" i="19" s="1"/>
  <c r="X203" i="19"/>
  <c r="R282" i="19"/>
  <c r="S282" i="19" s="1"/>
  <c r="W282" i="19" s="1"/>
  <c r="X282" i="19"/>
  <c r="S88" i="19"/>
  <c r="W88" i="19" s="1"/>
  <c r="X88" i="19"/>
  <c r="Y88" i="19" s="1"/>
  <c r="R212" i="19"/>
  <c r="S212" i="19" s="1"/>
  <c r="W212" i="19" s="1"/>
  <c r="X212" i="19"/>
  <c r="S263" i="19"/>
  <c r="W263" i="19" s="1"/>
  <c r="X263" i="19"/>
  <c r="R54" i="19"/>
  <c r="S54" i="19" s="1"/>
  <c r="W54" i="19" s="1"/>
  <c r="X54" i="19"/>
  <c r="R36" i="19"/>
  <c r="S36" i="19" s="1"/>
  <c r="W36" i="19" s="1"/>
  <c r="X36" i="19"/>
  <c r="X222" i="19"/>
  <c r="Y222" i="19" s="1"/>
  <c r="R222" i="19"/>
  <c r="S222" i="19" s="1"/>
  <c r="W222" i="19" s="1"/>
  <c r="X158" i="19"/>
  <c r="R158" i="19"/>
  <c r="S158" i="19" s="1"/>
  <c r="W158" i="19" s="1"/>
  <c r="R198" i="19"/>
  <c r="S198" i="19" s="1"/>
  <c r="W198" i="19" s="1"/>
  <c r="X198" i="19"/>
  <c r="R255" i="19"/>
  <c r="S255" i="19" s="1"/>
  <c r="W255" i="19" s="1"/>
  <c r="X255" i="19"/>
  <c r="R84" i="19"/>
  <c r="S84" i="19" s="1"/>
  <c r="W84" i="19" s="1"/>
  <c r="X84" i="19"/>
  <c r="X44" i="19"/>
  <c r="R44" i="19"/>
  <c r="S44" i="19" s="1"/>
  <c r="W44" i="19" s="1"/>
  <c r="X15" i="19"/>
  <c r="R15" i="19"/>
  <c r="S15" i="19" s="1"/>
  <c r="W15" i="19" s="1"/>
  <c r="R140" i="19"/>
  <c r="S140" i="19" s="1"/>
  <c r="W140" i="19" s="1"/>
  <c r="X140" i="19"/>
  <c r="R246" i="19"/>
  <c r="S246" i="19" s="1"/>
  <c r="W246" i="19" s="1"/>
  <c r="X257" i="19"/>
  <c r="R257" i="19"/>
  <c r="S257" i="19" s="1"/>
  <c r="R17" i="19"/>
  <c r="S17" i="19" s="1"/>
  <c r="W17" i="19" s="1"/>
  <c r="X17" i="19"/>
  <c r="S174" i="19"/>
  <c r="W174" i="19" s="1"/>
  <c r="X174" i="19"/>
  <c r="Z288" i="19"/>
  <c r="R229" i="19"/>
  <c r="S229" i="19" s="1"/>
  <c r="W229" i="19" s="1"/>
  <c r="X229" i="19"/>
  <c r="R105" i="19"/>
  <c r="S105" i="19" s="1"/>
  <c r="W105" i="19" s="1"/>
  <c r="X105" i="19"/>
  <c r="X245" i="19"/>
  <c r="R245" i="19"/>
  <c r="S245" i="19" s="1"/>
  <c r="W245" i="19" s="1"/>
  <c r="X320" i="19"/>
  <c r="Y320" i="19" s="1"/>
  <c r="R320" i="19"/>
  <c r="S320" i="19" s="1"/>
  <c r="W320" i="19" s="1"/>
  <c r="R42" i="19"/>
  <c r="S42" i="19" s="1"/>
  <c r="W42" i="19" s="1"/>
  <c r="X42" i="19"/>
  <c r="R138" i="19"/>
  <c r="S138" i="19" s="1"/>
  <c r="X138" i="19"/>
  <c r="R14" i="19"/>
  <c r="S14" i="19" s="1"/>
  <c r="W14" i="19" s="1"/>
  <c r="X14" i="19"/>
  <c r="R18" i="19"/>
  <c r="S18" i="19" s="1"/>
  <c r="W18" i="19" s="1"/>
  <c r="X18" i="19"/>
  <c r="R249" i="19"/>
  <c r="S249" i="19" s="1"/>
  <c r="W249" i="19" s="1"/>
  <c r="X249" i="19"/>
  <c r="S147" i="19"/>
  <c r="W147" i="19" s="1"/>
  <c r="X147" i="19"/>
  <c r="R232" i="19"/>
  <c r="S232" i="19" s="1"/>
  <c r="W232" i="19" s="1"/>
  <c r="X232" i="19"/>
  <c r="R13" i="19"/>
  <c r="S13" i="19" s="1"/>
  <c r="W13" i="19" s="1"/>
  <c r="X13" i="19"/>
  <c r="Y13" i="19" s="1"/>
  <c r="R192" i="19"/>
  <c r="S192" i="19" s="1"/>
  <c r="W192" i="19" s="1"/>
  <c r="X192" i="19"/>
  <c r="X175" i="19"/>
  <c r="R175" i="19"/>
  <c r="S175" i="19" s="1"/>
  <c r="W175" i="19" s="1"/>
  <c r="X58" i="19"/>
  <c r="R58" i="19"/>
  <c r="S58" i="19" s="1"/>
  <c r="W58" i="19" s="1"/>
  <c r="R135" i="19"/>
  <c r="S135" i="19" s="1"/>
  <c r="W135" i="19" s="1"/>
  <c r="X135" i="19"/>
  <c r="R81" i="19"/>
  <c r="S81" i="19" s="1"/>
  <c r="W81" i="19" s="1"/>
  <c r="X81" i="19"/>
  <c r="R20" i="19"/>
  <c r="S20" i="19" s="1"/>
  <c r="W20" i="19" s="1"/>
  <c r="X20" i="19"/>
  <c r="R240" i="19"/>
  <c r="S240" i="19" s="1"/>
  <c r="W240" i="19" s="1"/>
  <c r="X240" i="19"/>
  <c r="X106" i="19"/>
  <c r="R106" i="19"/>
  <c r="S106" i="19" s="1"/>
  <c r="W106" i="19" s="1"/>
  <c r="S110" i="19"/>
  <c r="W110" i="19" s="1"/>
  <c r="R303" i="19"/>
  <c r="S303" i="19" s="1"/>
  <c r="R315" i="19"/>
  <c r="S315" i="19" s="1"/>
  <c r="X315" i="19"/>
  <c r="Y315" i="19" s="1"/>
  <c r="X119" i="19"/>
  <c r="Y119" i="19" s="1"/>
  <c r="R119" i="19"/>
  <c r="S119" i="19" s="1"/>
  <c r="R143" i="19"/>
  <c r="S143" i="19" s="1"/>
  <c r="W143" i="19" s="1"/>
  <c r="X143" i="19"/>
  <c r="R186" i="19"/>
  <c r="S186" i="19" s="1"/>
  <c r="W186" i="19" s="1"/>
  <c r="X186" i="19"/>
  <c r="X251" i="19"/>
  <c r="R251" i="19"/>
  <c r="S251" i="19" s="1"/>
  <c r="W251" i="19" s="1"/>
  <c r="R113" i="19"/>
  <c r="S113" i="19" s="1"/>
  <c r="X113" i="19"/>
  <c r="Y113" i="19" s="1"/>
  <c r="R165" i="19"/>
  <c r="S165" i="19" s="1"/>
  <c r="W165" i="19" s="1"/>
  <c r="X165" i="19"/>
  <c r="Y165" i="19" s="1"/>
  <c r="X231" i="19"/>
  <c r="R231" i="19"/>
  <c r="S231" i="19" s="1"/>
  <c r="R65" i="19"/>
  <c r="S65" i="19" s="1"/>
  <c r="W65" i="19" s="1"/>
  <c r="X65" i="19"/>
  <c r="X277" i="19"/>
  <c r="R277" i="19"/>
  <c r="S277" i="19" s="1"/>
  <c r="W277" i="19" s="1"/>
  <c r="X295" i="19"/>
  <c r="Y295" i="19" s="1"/>
  <c r="R295" i="19"/>
  <c r="S295" i="19" s="1"/>
  <c r="W295" i="19" s="1"/>
  <c r="R305" i="19"/>
  <c r="S305" i="19" s="1"/>
  <c r="W305" i="19" s="1"/>
  <c r="X305" i="19"/>
  <c r="R68" i="19"/>
  <c r="S68" i="19" s="1"/>
  <c r="W68" i="19" s="1"/>
  <c r="X68" i="19"/>
  <c r="S144" i="19"/>
  <c r="W144" i="19" s="1"/>
  <c r="X144" i="19"/>
  <c r="X280" i="19"/>
  <c r="R280" i="19"/>
  <c r="S280" i="19" s="1"/>
  <c r="W280" i="19" s="1"/>
  <c r="X181" i="19"/>
  <c r="R181" i="19"/>
  <c r="S181" i="19" s="1"/>
  <c r="W181" i="19" s="1"/>
  <c r="X124" i="19"/>
  <c r="R124" i="19"/>
  <c r="S124" i="19" s="1"/>
  <c r="R34" i="19"/>
  <c r="S34" i="19" s="1"/>
  <c r="W34" i="19" s="1"/>
  <c r="X34" i="19"/>
  <c r="R211" i="19"/>
  <c r="S211" i="19" s="1"/>
  <c r="W211" i="19" s="1"/>
  <c r="X211" i="19"/>
  <c r="Z303" i="19"/>
  <c r="X110" i="19"/>
  <c r="X67" i="19"/>
  <c r="Y67" i="19" s="1"/>
  <c r="R67" i="19"/>
  <c r="S67" i="19" s="1"/>
  <c r="W67" i="19" s="1"/>
  <c r="R162" i="19"/>
  <c r="S162" i="19" s="1"/>
  <c r="W162" i="19" s="1"/>
  <c r="X162" i="19"/>
  <c r="Y162" i="19" s="1"/>
  <c r="X153" i="19"/>
  <c r="R153" i="19"/>
  <c r="S153" i="19" s="1"/>
  <c r="W153" i="19" s="1"/>
  <c r="R171" i="19"/>
  <c r="S171" i="19" s="1"/>
  <c r="W171" i="19" s="1"/>
  <c r="X171" i="19"/>
  <c r="X23" i="19"/>
  <c r="R23" i="19"/>
  <c r="S23" i="19" s="1"/>
  <c r="W23" i="19" s="1"/>
  <c r="R230" i="19"/>
  <c r="X230" i="19"/>
  <c r="Y230" i="19" s="1"/>
  <c r="R235" i="19"/>
  <c r="S235" i="19" s="1"/>
  <c r="W235" i="19" s="1"/>
  <c r="X235" i="19"/>
  <c r="R310" i="19"/>
  <c r="S310" i="19" s="1"/>
  <c r="W310" i="19" s="1"/>
  <c r="X310" i="19"/>
  <c r="X311" i="19"/>
  <c r="R311" i="19"/>
  <c r="S311" i="19" s="1"/>
  <c r="W311" i="19" s="1"/>
  <c r="X94" i="19"/>
  <c r="R94" i="19"/>
  <c r="S94" i="19" s="1"/>
  <c r="W94" i="19" s="1"/>
  <c r="R11" i="19"/>
  <c r="S11" i="19" s="1"/>
  <c r="W11" i="19" s="1"/>
  <c r="X11" i="19"/>
  <c r="X100" i="19"/>
  <c r="Y100" i="19" s="1"/>
  <c r="R100" i="19"/>
  <c r="S100" i="19" s="1"/>
  <c r="W100" i="19" s="1"/>
  <c r="R122" i="19"/>
  <c r="X122" i="19"/>
  <c r="R238" i="19"/>
  <c r="S238" i="19" s="1"/>
  <c r="W238" i="19" s="1"/>
  <c r="X238" i="19"/>
  <c r="R312" i="19"/>
  <c r="S312" i="19" s="1"/>
  <c r="W312" i="19" s="1"/>
  <c r="X312" i="19"/>
  <c r="R22" i="19"/>
  <c r="S22" i="19" s="1"/>
  <c r="W22" i="19" s="1"/>
  <c r="X22" i="19"/>
  <c r="R306" i="19"/>
  <c r="S306" i="19" s="1"/>
  <c r="W306" i="19" s="1"/>
  <c r="X306" i="19"/>
  <c r="R214" i="19"/>
  <c r="S214" i="19" s="1"/>
  <c r="W214" i="19" s="1"/>
  <c r="X214" i="19"/>
  <c r="R157" i="19"/>
  <c r="S157" i="19" s="1"/>
  <c r="W157" i="19" s="1"/>
  <c r="X157" i="19"/>
  <c r="Y157" i="19" s="1"/>
  <c r="R250" i="19"/>
  <c r="S250" i="19" s="1"/>
  <c r="W250" i="19" s="1"/>
  <c r="X250" i="19"/>
  <c r="Y250" i="19" s="1"/>
  <c r="R275" i="19"/>
  <c r="S275" i="19" s="1"/>
  <c r="R55" i="19"/>
  <c r="S55" i="19" s="1"/>
  <c r="W55" i="19" s="1"/>
  <c r="X55" i="19"/>
  <c r="X204" i="19"/>
  <c r="R204" i="19"/>
  <c r="S204" i="19" s="1"/>
  <c r="W204" i="19" s="1"/>
  <c r="X170" i="19"/>
  <c r="R170" i="19"/>
  <c r="S170" i="19" s="1"/>
  <c r="W170" i="19" s="1"/>
  <c r="R247" i="19"/>
  <c r="S247" i="19" s="1"/>
  <c r="W247" i="19" s="1"/>
  <c r="X247" i="19"/>
  <c r="R112" i="19"/>
  <c r="S112" i="19" s="1"/>
  <c r="W112" i="19" s="1"/>
  <c r="X112" i="19"/>
  <c r="X141" i="19"/>
  <c r="Y141" i="19" s="1"/>
  <c r="R141" i="19"/>
  <c r="S141" i="19" s="1"/>
  <c r="X190" i="19"/>
  <c r="R190" i="19"/>
  <c r="S190" i="19" s="1"/>
  <c r="W190" i="19" s="1"/>
  <c r="R74" i="19"/>
  <c r="S74" i="19" s="1"/>
  <c r="W74" i="19" s="1"/>
  <c r="X74" i="19"/>
  <c r="Y74" i="19" s="1"/>
  <c r="R316" i="19"/>
  <c r="S316" i="19" s="1"/>
  <c r="X316" i="19"/>
  <c r="X210" i="19"/>
  <c r="R210" i="19"/>
  <c r="S210" i="19" s="1"/>
  <c r="W210" i="19" s="1"/>
  <c r="R40" i="19"/>
  <c r="S40" i="19" s="1"/>
  <c r="W40" i="19" s="1"/>
  <c r="X40" i="19"/>
  <c r="R71" i="19"/>
  <c r="S71" i="19" s="1"/>
  <c r="X71" i="19"/>
  <c r="X260" i="19"/>
  <c r="R260" i="19"/>
  <c r="S260" i="19" s="1"/>
  <c r="W260" i="19" s="1"/>
  <c r="X73" i="19"/>
  <c r="Y73" i="19" s="1"/>
  <c r="R73" i="19"/>
  <c r="S73" i="19" s="1"/>
  <c r="W73" i="19" s="1"/>
  <c r="R291" i="19"/>
  <c r="S291" i="19" s="1"/>
  <c r="W291" i="19" s="1"/>
  <c r="X291" i="19"/>
  <c r="R223" i="19"/>
  <c r="S223" i="19" s="1"/>
  <c r="W223" i="19" s="1"/>
  <c r="X223" i="19"/>
  <c r="R104" i="19"/>
  <c r="S104" i="19" s="1"/>
  <c r="W104" i="19" s="1"/>
  <c r="X104" i="19"/>
  <c r="R270" i="19"/>
  <c r="S270" i="19" s="1"/>
  <c r="W270" i="19" s="1"/>
  <c r="X270" i="19"/>
  <c r="R267" i="19"/>
  <c r="S267" i="19" s="1"/>
  <c r="W267" i="19" s="1"/>
  <c r="X267" i="19"/>
  <c r="R285" i="19"/>
  <c r="S285" i="19" s="1"/>
  <c r="X285" i="19"/>
  <c r="Y285" i="19" s="1"/>
  <c r="O2301" i="6"/>
  <c r="R2301" i="6" s="1"/>
  <c r="S2301" i="6" s="1"/>
  <c r="AB2301" i="6" s="1"/>
  <c r="AC2301" i="6" s="1"/>
  <c r="O2304" i="6"/>
  <c r="R2304" i="6" s="1"/>
  <c r="S2304" i="6" s="1"/>
  <c r="AB2304" i="6" s="1"/>
  <c r="AC2304" i="6" s="1"/>
  <c r="O2299" i="6"/>
  <c r="R2299" i="6" s="1"/>
  <c r="S2299" i="6" s="1"/>
  <c r="AB2299" i="6" s="1"/>
  <c r="AC2299" i="6" s="1"/>
  <c r="O2362" i="6"/>
  <c r="R2362" i="6" s="1"/>
  <c r="S2362" i="6" s="1"/>
  <c r="AB2362" i="6" s="1"/>
  <c r="AC2362" i="6" s="1"/>
  <c r="O2298" i="6"/>
  <c r="R2298" i="6" s="1"/>
  <c r="S2298" i="6" s="1"/>
  <c r="AB2298" i="6" s="1"/>
  <c r="AC2298" i="6" s="1"/>
  <c r="S31" i="19"/>
  <c r="W31" i="19" s="1"/>
  <c r="Z79" i="19"/>
  <c r="S209" i="19"/>
  <c r="W209" i="19" s="1"/>
  <c r="S48" i="19"/>
  <c r="W48" i="19" s="1"/>
  <c r="S53" i="19"/>
  <c r="W53" i="19" s="1"/>
  <c r="S130" i="19"/>
  <c r="W130" i="19" s="1"/>
  <c r="Z31" i="19"/>
  <c r="S146" i="19"/>
  <c r="W146" i="19" s="1"/>
  <c r="Z236" i="19"/>
  <c r="W228" i="19"/>
  <c r="S47" i="19"/>
  <c r="W47" i="19" s="1"/>
  <c r="S243" i="19"/>
  <c r="W243" i="19" s="1"/>
  <c r="AA243" i="19" s="1"/>
  <c r="S201" i="19"/>
  <c r="W201" i="19" s="1"/>
  <c r="S213" i="19"/>
  <c r="W213" i="19" s="1"/>
  <c r="AA213" i="19" s="1"/>
  <c r="S72" i="19"/>
  <c r="W72" i="19" s="1"/>
  <c r="W128" i="19"/>
  <c r="W69" i="19"/>
  <c r="AA69" i="19" s="1"/>
  <c r="W142" i="19"/>
  <c r="Z199" i="19"/>
  <c r="S177" i="19"/>
  <c r="W177" i="19" s="1"/>
  <c r="AA177" i="19" s="1"/>
  <c r="S145" i="19"/>
  <c r="W145" i="19" s="1"/>
  <c r="Z293" i="19"/>
  <c r="Z180" i="19"/>
  <c r="S199" i="19"/>
  <c r="W199" i="19" s="1"/>
  <c r="S26" i="19"/>
  <c r="W26" i="19" s="1"/>
  <c r="S191" i="19"/>
  <c r="W191" i="19" s="1"/>
  <c r="S134" i="19"/>
  <c r="W134" i="19" s="1"/>
  <c r="S30" i="19"/>
  <c r="W30" i="19" s="1"/>
  <c r="S217" i="19"/>
  <c r="W217" i="19" s="1"/>
  <c r="W234" i="19"/>
  <c r="S167" i="19"/>
  <c r="W167" i="19" s="1"/>
  <c r="W236" i="19"/>
  <c r="S5" i="19"/>
  <c r="W5" i="19" s="1"/>
  <c r="AA5" i="19" s="1"/>
  <c r="Z48" i="19" l="1"/>
  <c r="Z117" i="19"/>
  <c r="AA117" i="19" s="1"/>
  <c r="Z309" i="19"/>
  <c r="AA309" i="19" s="1"/>
  <c r="AA234" i="19"/>
  <c r="AA48" i="19"/>
  <c r="Z134" i="19"/>
  <c r="AA134" i="19" s="1"/>
  <c r="Z103" i="19"/>
  <c r="Z51" i="19"/>
  <c r="Z191" i="19"/>
  <c r="AA191" i="19" s="1"/>
  <c r="W279" i="19"/>
  <c r="Z320" i="19"/>
  <c r="Z35" i="19"/>
  <c r="AA35" i="19" s="1"/>
  <c r="Z228" i="19"/>
  <c r="AA228" i="19" s="1"/>
  <c r="Z145" i="19"/>
  <c r="AA145" i="19" s="1"/>
  <c r="Z146" i="19"/>
  <c r="AA146" i="19" s="1"/>
  <c r="Z160" i="19"/>
  <c r="AA160" i="19" s="1"/>
  <c r="Z219" i="19"/>
  <c r="AA219" i="19" s="1"/>
  <c r="W257" i="19"/>
  <c r="W224" i="19"/>
  <c r="AA226" i="19"/>
  <c r="Z61" i="19"/>
  <c r="AA61" i="19" s="1"/>
  <c r="Z222" i="19"/>
  <c r="AA222" i="19" s="1"/>
  <c r="W315" i="19"/>
  <c r="Z130" i="19"/>
  <c r="AA130" i="19" s="1"/>
  <c r="Z244" i="19"/>
  <c r="AA246" i="19"/>
  <c r="W132" i="19"/>
  <c r="Z149" i="19"/>
  <c r="AA149" i="19" s="1"/>
  <c r="Z12" i="19"/>
  <c r="AA12" i="19" s="1"/>
  <c r="W156" i="19"/>
  <c r="Z72" i="19"/>
  <c r="AA72" i="19" s="1"/>
  <c r="Z290" i="19"/>
  <c r="AA290" i="19" s="1"/>
  <c r="Z127" i="19"/>
  <c r="AA127" i="19" s="1"/>
  <c r="Z261" i="19"/>
  <c r="AA261" i="19" s="1"/>
  <c r="Z159" i="19"/>
  <c r="AA159" i="19" s="1"/>
  <c r="AA30" i="19"/>
  <c r="Z266" i="19"/>
  <c r="AA266" i="19" s="1"/>
  <c r="Z201" i="19"/>
  <c r="AA201" i="19" s="1"/>
  <c r="AA19" i="19"/>
  <c r="Z52" i="19"/>
  <c r="AA52" i="19" s="1"/>
  <c r="Z295" i="19"/>
  <c r="Z67" i="19"/>
  <c r="AA67" i="19" s="1"/>
  <c r="AA244" i="19"/>
  <c r="W321" i="19"/>
  <c r="Z113" i="19"/>
  <c r="Z47" i="19"/>
  <c r="AA47" i="19" s="1"/>
  <c r="Z162" i="19"/>
  <c r="AA162" i="19" s="1"/>
  <c r="AA120" i="19"/>
  <c r="W119" i="19"/>
  <c r="W296" i="19"/>
  <c r="AA193" i="19"/>
  <c r="AA199" i="19"/>
  <c r="Z314" i="19"/>
  <c r="AA314" i="19" s="1"/>
  <c r="W154" i="19"/>
  <c r="Z141" i="19"/>
  <c r="Z119" i="19"/>
  <c r="AA111" i="19"/>
  <c r="W87" i="19"/>
  <c r="W253" i="19"/>
  <c r="W168" i="19"/>
  <c r="Z294" i="19"/>
  <c r="AA294" i="19" s="1"/>
  <c r="W316" i="19"/>
  <c r="Z167" i="19"/>
  <c r="AA167" i="19" s="1"/>
  <c r="W273" i="19"/>
  <c r="W161" i="19"/>
  <c r="Z21" i="19"/>
  <c r="AA21" i="19" s="1"/>
  <c r="Z123" i="19"/>
  <c r="Z165" i="19"/>
  <c r="AA165" i="19" s="1"/>
  <c r="Z208" i="19"/>
  <c r="Z268" i="19"/>
  <c r="Z285" i="19"/>
  <c r="Z88" i="19"/>
  <c r="AA88" i="19" s="1"/>
  <c r="Z315" i="19"/>
  <c r="AA320" i="19"/>
  <c r="W124" i="19"/>
  <c r="Z136" i="19"/>
  <c r="Z292" i="19"/>
  <c r="AA292" i="19" s="1"/>
  <c r="Z176" i="19"/>
  <c r="AA176" i="19" s="1"/>
  <c r="Z74" i="19"/>
  <c r="AA74" i="19" s="1"/>
  <c r="W242" i="19"/>
  <c r="Z187" i="19"/>
  <c r="AA187" i="19" s="1"/>
  <c r="W285" i="19"/>
  <c r="W71" i="19"/>
  <c r="W136" i="19"/>
  <c r="AA288" i="19"/>
  <c r="W28" i="19"/>
  <c r="AA293" i="19"/>
  <c r="S122" i="19"/>
  <c r="W122" i="19" s="1"/>
  <c r="W86" i="19"/>
  <c r="W231" i="19"/>
  <c r="W303" i="19"/>
  <c r="AA303" i="19" s="1"/>
  <c r="Z157" i="19"/>
  <c r="AA157" i="19" s="1"/>
  <c r="Z100" i="19"/>
  <c r="AA100" i="19" s="1"/>
  <c r="W275" i="19"/>
  <c r="AA275" i="19" s="1"/>
  <c r="Z13" i="19"/>
  <c r="AA13" i="19" s="1"/>
  <c r="AA79" i="19"/>
  <c r="W274" i="19"/>
  <c r="W138" i="19"/>
  <c r="Y235" i="19"/>
  <c r="Z235" i="19" s="1"/>
  <c r="AA235" i="19" s="1"/>
  <c r="Y254" i="19"/>
  <c r="Z254" i="19" s="1"/>
  <c r="AA254" i="19" s="1"/>
  <c r="Y192" i="19"/>
  <c r="Z192" i="19" s="1"/>
  <c r="AA192" i="19" s="1"/>
  <c r="Y168" i="19"/>
  <c r="Z168" i="19" s="1"/>
  <c r="W118" i="19"/>
  <c r="Y122" i="19"/>
  <c r="Z122" i="19" s="1"/>
  <c r="S230" i="19"/>
  <c r="W230" i="19" s="1"/>
  <c r="Y211" i="19"/>
  <c r="Z211" i="19" s="1"/>
  <c r="AA211" i="19" s="1"/>
  <c r="Y251" i="19"/>
  <c r="Z251" i="19" s="1"/>
  <c r="AA251" i="19" s="1"/>
  <c r="Y42" i="19"/>
  <c r="Z42" i="19" s="1"/>
  <c r="AA42" i="19" s="1"/>
  <c r="Y282" i="19"/>
  <c r="Z282" i="19" s="1"/>
  <c r="AA282" i="19" s="1"/>
  <c r="Y274" i="19"/>
  <c r="Z274" i="19" s="1"/>
  <c r="Y77" i="19"/>
  <c r="Z77" i="19" s="1"/>
  <c r="AA77" i="19" s="1"/>
  <c r="Y284" i="19"/>
  <c r="Z284" i="19" s="1"/>
  <c r="AA284" i="19" s="1"/>
  <c r="Y215" i="19"/>
  <c r="Z215" i="19" s="1"/>
  <c r="AA215" i="19" s="1"/>
  <c r="S92" i="19"/>
  <c r="W92" i="19" s="1"/>
  <c r="AA92" i="19" s="1"/>
  <c r="Y299" i="19"/>
  <c r="Z299" i="19" s="1"/>
  <c r="AA299" i="19" s="1"/>
  <c r="Y49" i="19"/>
  <c r="Z49" i="19" s="1"/>
  <c r="AA49" i="19" s="1"/>
  <c r="Y197" i="19"/>
  <c r="Z197" i="19" s="1"/>
  <c r="AA197" i="19" s="1"/>
  <c r="Y99" i="19"/>
  <c r="Z99" i="19" s="1"/>
  <c r="AA99" i="19" s="1"/>
  <c r="Y278" i="19"/>
  <c r="Z278" i="19" s="1"/>
  <c r="AA278" i="19" s="1"/>
  <c r="Y155" i="19"/>
  <c r="Z155" i="19" s="1"/>
  <c r="AA155" i="19" s="1"/>
  <c r="Y318" i="19"/>
  <c r="Z318" i="19" s="1"/>
  <c r="AA318" i="19" s="1"/>
  <c r="Y189" i="19"/>
  <c r="Z189" i="19" s="1"/>
  <c r="AA189" i="19" s="1"/>
  <c r="Y260" i="19"/>
  <c r="Z260" i="19" s="1"/>
  <c r="AA260" i="19" s="1"/>
  <c r="Y112" i="19"/>
  <c r="Z112" i="19" s="1"/>
  <c r="AA112" i="19" s="1"/>
  <c r="Y240" i="19"/>
  <c r="Z240" i="19" s="1"/>
  <c r="AA240" i="19" s="1"/>
  <c r="Y257" i="19"/>
  <c r="Z257" i="19" s="1"/>
  <c r="Y158" i="19"/>
  <c r="Z158" i="19" s="1"/>
  <c r="AA158" i="19" s="1"/>
  <c r="Y62" i="19"/>
  <c r="Z62" i="19" s="1"/>
  <c r="AA62" i="19" s="1"/>
  <c r="Y115" i="19"/>
  <c r="Z115" i="19" s="1"/>
  <c r="AA115" i="19" s="1"/>
  <c r="Y53" i="19"/>
  <c r="Z53" i="19" s="1"/>
  <c r="AA53" i="19" s="1"/>
  <c r="Y59" i="19"/>
  <c r="Z59" i="19" s="1"/>
  <c r="AA59" i="19" s="1"/>
  <c r="Y8" i="19"/>
  <c r="Z8" i="19" s="1"/>
  <c r="AA8" i="19" s="1"/>
  <c r="Y95" i="19"/>
  <c r="Z95" i="19" s="1"/>
  <c r="AA95" i="19" s="1"/>
  <c r="Y313" i="19"/>
  <c r="Z313" i="19" s="1"/>
  <c r="AA313" i="19" s="1"/>
  <c r="Y148" i="19"/>
  <c r="Z148" i="19" s="1"/>
  <c r="AA148" i="19" s="1"/>
  <c r="Y33" i="19"/>
  <c r="Z33" i="19" s="1"/>
  <c r="AA33" i="19" s="1"/>
  <c r="Y302" i="19"/>
  <c r="Z302" i="19" s="1"/>
  <c r="AA302" i="19" s="1"/>
  <c r="Y209" i="19"/>
  <c r="Z209" i="19" s="1"/>
  <c r="AA209" i="19" s="1"/>
  <c r="Y287" i="19"/>
  <c r="Z287" i="19" s="1"/>
  <c r="AA287" i="19" s="1"/>
  <c r="Y108" i="19"/>
  <c r="Z108" i="19" s="1"/>
  <c r="AA108" i="19" s="1"/>
  <c r="Z250" i="19"/>
  <c r="AA250" i="19" s="1"/>
  <c r="W202" i="19"/>
  <c r="W183" i="19"/>
  <c r="Y71" i="19"/>
  <c r="Z71" i="19" s="1"/>
  <c r="Y34" i="19"/>
  <c r="Z34" i="19" s="1"/>
  <c r="AA34" i="19" s="1"/>
  <c r="Y186" i="19"/>
  <c r="Z186" i="19" s="1"/>
  <c r="AA186" i="19" s="1"/>
  <c r="Y203" i="19"/>
  <c r="Z203" i="19" s="1"/>
  <c r="AA203" i="19" s="1"/>
  <c r="Y259" i="19"/>
  <c r="Z259" i="19" s="1"/>
  <c r="AA259" i="19" s="1"/>
  <c r="Y85" i="19"/>
  <c r="Z85" i="19" s="1"/>
  <c r="AA85" i="19" s="1"/>
  <c r="Y182" i="19"/>
  <c r="Z182" i="19" s="1"/>
  <c r="AA182" i="19" s="1"/>
  <c r="Y93" i="19"/>
  <c r="Z93" i="19" s="1"/>
  <c r="AA93" i="19" s="1"/>
  <c r="Y279" i="19"/>
  <c r="Z279" i="19" s="1"/>
  <c r="AA279" i="19" s="1"/>
  <c r="Y7" i="19"/>
  <c r="Z7" i="19" s="1"/>
  <c r="AA7" i="19" s="1"/>
  <c r="Y194" i="19"/>
  <c r="Z194" i="19" s="1"/>
  <c r="AA194" i="19" s="1"/>
  <c r="Y46" i="19"/>
  <c r="Z46" i="19" s="1"/>
  <c r="AA46" i="19" s="1"/>
  <c r="Y116" i="19"/>
  <c r="Z116" i="19" s="1"/>
  <c r="AA116" i="19" s="1"/>
  <c r="Y262" i="19"/>
  <c r="Z262" i="19" s="1"/>
  <c r="AA262" i="19" s="1"/>
  <c r="Y271" i="19"/>
  <c r="Z271" i="19" s="1"/>
  <c r="AA271" i="19" s="1"/>
  <c r="Y198" i="19"/>
  <c r="Z198" i="19" s="1"/>
  <c r="AA198" i="19" s="1"/>
  <c r="Y183" i="19"/>
  <c r="Z183" i="19" s="1"/>
  <c r="Y233" i="19"/>
  <c r="Z233" i="19" s="1"/>
  <c r="AA233" i="19" s="1"/>
  <c r="S252" i="19"/>
  <c r="W252" i="19" s="1"/>
  <c r="AA252" i="19" s="1"/>
  <c r="Y267" i="19"/>
  <c r="Z267" i="19" s="1"/>
  <c r="AA267" i="19" s="1"/>
  <c r="Y247" i="19"/>
  <c r="Z247" i="19" s="1"/>
  <c r="AA247" i="19" s="1"/>
  <c r="Y20" i="19"/>
  <c r="Z20" i="19" s="1"/>
  <c r="AA20" i="19" s="1"/>
  <c r="Y232" i="19"/>
  <c r="Z232" i="19" s="1"/>
  <c r="AA232" i="19" s="1"/>
  <c r="Y131" i="19"/>
  <c r="Z131" i="19" s="1"/>
  <c r="AA131" i="19" s="1"/>
  <c r="Y56" i="19"/>
  <c r="Z56" i="19" s="1"/>
  <c r="AA56" i="19" s="1"/>
  <c r="Y150" i="19"/>
  <c r="Z150" i="19" s="1"/>
  <c r="AA150" i="19" s="1"/>
  <c r="Y296" i="19"/>
  <c r="Z296" i="19" s="1"/>
  <c r="Y224" i="19"/>
  <c r="Z224" i="19" s="1"/>
  <c r="Y87" i="19"/>
  <c r="Z87" i="19" s="1"/>
  <c r="Y221" i="19"/>
  <c r="Z221" i="19" s="1"/>
  <c r="AA221" i="19" s="1"/>
  <c r="Y57" i="19"/>
  <c r="Z57" i="19" s="1"/>
  <c r="AA57" i="19" s="1"/>
  <c r="W166" i="19"/>
  <c r="Y40" i="19"/>
  <c r="Z40" i="19" s="1"/>
  <c r="AA40" i="19" s="1"/>
  <c r="Y214" i="19"/>
  <c r="Z214" i="19" s="1"/>
  <c r="AA214" i="19" s="1"/>
  <c r="Y11" i="19"/>
  <c r="Z11" i="19" s="1"/>
  <c r="AA11" i="19" s="1"/>
  <c r="Y23" i="19"/>
  <c r="Z23" i="19" s="1"/>
  <c r="AA23" i="19" s="1"/>
  <c r="Y143" i="19"/>
  <c r="Z143" i="19" s="1"/>
  <c r="AA143" i="19" s="1"/>
  <c r="Y140" i="19"/>
  <c r="Z140" i="19" s="1"/>
  <c r="AA140" i="19" s="1"/>
  <c r="Y36" i="19"/>
  <c r="Z36" i="19" s="1"/>
  <c r="AA36" i="19" s="1"/>
  <c r="Y75" i="19"/>
  <c r="Z75" i="19" s="1"/>
  <c r="AA75" i="19" s="1"/>
  <c r="Y133" i="19"/>
  <c r="Z133" i="19" s="1"/>
  <c r="AA133" i="19" s="1"/>
  <c r="Y184" i="19"/>
  <c r="Z184" i="19" s="1"/>
  <c r="AA184" i="19" s="1"/>
  <c r="Y6" i="19"/>
  <c r="Z6" i="19" s="1"/>
  <c r="AA6" i="19" s="1"/>
  <c r="Y273" i="19"/>
  <c r="Z273" i="19" s="1"/>
  <c r="Y317" i="19"/>
  <c r="Z317" i="19" s="1"/>
  <c r="AA317" i="19" s="1"/>
  <c r="Y139" i="19"/>
  <c r="Z139" i="19" s="1"/>
  <c r="AA139" i="19" s="1"/>
  <c r="Y217" i="19"/>
  <c r="Z217" i="19" s="1"/>
  <c r="AA217" i="19" s="1"/>
  <c r="Y305" i="19"/>
  <c r="Z305" i="19" s="1"/>
  <c r="AA305" i="19" s="1"/>
  <c r="Y173" i="19"/>
  <c r="Z173" i="19" s="1"/>
  <c r="AA173" i="19" s="1"/>
  <c r="Y272" i="19"/>
  <c r="Z272" i="19" s="1"/>
  <c r="AA272" i="19" s="1"/>
  <c r="AA180" i="19"/>
  <c r="W113" i="19"/>
  <c r="Z230" i="19"/>
  <c r="Y270" i="19"/>
  <c r="Z270" i="19" s="1"/>
  <c r="AA270" i="19" s="1"/>
  <c r="Y171" i="19"/>
  <c r="Z171" i="19" s="1"/>
  <c r="AA171" i="19" s="1"/>
  <c r="Y124" i="19"/>
  <c r="Z124" i="19" s="1"/>
  <c r="Y277" i="19"/>
  <c r="Z277" i="19" s="1"/>
  <c r="AA277" i="19" s="1"/>
  <c r="Y147" i="19"/>
  <c r="Z147" i="19" s="1"/>
  <c r="AA147" i="19" s="1"/>
  <c r="Y245" i="19"/>
  <c r="Z245" i="19" s="1"/>
  <c r="AA245" i="19" s="1"/>
  <c r="Y321" i="19"/>
  <c r="Z321" i="19" s="1"/>
  <c r="Y319" i="19"/>
  <c r="Z319" i="19" s="1"/>
  <c r="AA319" i="19" s="1"/>
  <c r="Y28" i="19"/>
  <c r="Z28" i="19" s="1"/>
  <c r="Y39" i="19"/>
  <c r="Z39" i="19" s="1"/>
  <c r="AA39" i="19" s="1"/>
  <c r="Y156" i="19"/>
  <c r="Z156" i="19" s="1"/>
  <c r="Y126" i="19"/>
  <c r="Z126" i="19" s="1"/>
  <c r="AA126" i="19" s="1"/>
  <c r="Y43" i="19"/>
  <c r="Z43" i="19" s="1"/>
  <c r="AA43" i="19" s="1"/>
  <c r="Y10" i="19"/>
  <c r="Z10" i="19" s="1"/>
  <c r="AA10" i="19" s="1"/>
  <c r="Y218" i="19"/>
  <c r="Z218" i="19" s="1"/>
  <c r="AA218" i="19" s="1"/>
  <c r="Y38" i="19"/>
  <c r="Z38" i="19" s="1"/>
  <c r="AA38" i="19" s="1"/>
  <c r="Y83" i="19"/>
  <c r="Z83" i="19" s="1"/>
  <c r="AA83" i="19" s="1"/>
  <c r="Y237" i="19"/>
  <c r="Z237" i="19" s="1"/>
  <c r="AA237" i="19" s="1"/>
  <c r="Y172" i="19"/>
  <c r="Z172" i="19" s="1"/>
  <c r="AA172" i="19" s="1"/>
  <c r="Y142" i="19"/>
  <c r="Z142" i="19" s="1"/>
  <c r="AA142" i="19" s="1"/>
  <c r="Y238" i="19"/>
  <c r="Z238" i="19" s="1"/>
  <c r="AA238" i="19" s="1"/>
  <c r="Y227" i="19"/>
  <c r="Z227" i="19" s="1"/>
  <c r="Y9" i="19"/>
  <c r="Z9" i="19" s="1"/>
  <c r="AA9" i="19" s="1"/>
  <c r="W227" i="19"/>
  <c r="AA31" i="19"/>
  <c r="Y81" i="19"/>
  <c r="Z81" i="19" s="1"/>
  <c r="AA81" i="19" s="1"/>
  <c r="Y54" i="19"/>
  <c r="Z54" i="19" s="1"/>
  <c r="AA54" i="19" s="1"/>
  <c r="Y109" i="19"/>
  <c r="Z109" i="19" s="1"/>
  <c r="AA109" i="19" s="1"/>
  <c r="Y298" i="19"/>
  <c r="Z298" i="19" s="1"/>
  <c r="AA298" i="19" s="1"/>
  <c r="Y97" i="19"/>
  <c r="Z97" i="19" s="1"/>
  <c r="AA97" i="19" s="1"/>
  <c r="Y96" i="19"/>
  <c r="Z96" i="19" s="1"/>
  <c r="AA96" i="19" s="1"/>
  <c r="Y169" i="19"/>
  <c r="Z169" i="19" s="1"/>
  <c r="AA169" i="19" s="1"/>
  <c r="Y110" i="19"/>
  <c r="Z110" i="19" s="1"/>
  <c r="AA110" i="19" s="1"/>
  <c r="Y104" i="19"/>
  <c r="Z104" i="19" s="1"/>
  <c r="AA104" i="19" s="1"/>
  <c r="Y210" i="19"/>
  <c r="Z210" i="19" s="1"/>
  <c r="AA210" i="19" s="1"/>
  <c r="Y170" i="19"/>
  <c r="Z170" i="19" s="1"/>
  <c r="AA170" i="19" s="1"/>
  <c r="Y306" i="19"/>
  <c r="Z306" i="19" s="1"/>
  <c r="AA306" i="19" s="1"/>
  <c r="Y94" i="19"/>
  <c r="Z94" i="19" s="1"/>
  <c r="AA94" i="19" s="1"/>
  <c r="Y181" i="19"/>
  <c r="Z181" i="19" s="1"/>
  <c r="AA181" i="19" s="1"/>
  <c r="Y65" i="19"/>
  <c r="Z65" i="19" s="1"/>
  <c r="AA65" i="19" s="1"/>
  <c r="Y249" i="19"/>
  <c r="Z249" i="19" s="1"/>
  <c r="AA249" i="19" s="1"/>
  <c r="Y105" i="19"/>
  <c r="Z105" i="19" s="1"/>
  <c r="AA105" i="19" s="1"/>
  <c r="Y15" i="19"/>
  <c r="Z15" i="19" s="1"/>
  <c r="AA15" i="19" s="1"/>
  <c r="Y102" i="19"/>
  <c r="Z102" i="19" s="1"/>
  <c r="AA102" i="19" s="1"/>
  <c r="Y264" i="19"/>
  <c r="Z264" i="19" s="1"/>
  <c r="AA264" i="19" s="1"/>
  <c r="Y225" i="19"/>
  <c r="Z225" i="19" s="1"/>
  <c r="AA225" i="19" s="1"/>
  <c r="Y276" i="19"/>
  <c r="Z276" i="19" s="1"/>
  <c r="AA276" i="19" s="1"/>
  <c r="Y86" i="19"/>
  <c r="Z86" i="19" s="1"/>
  <c r="Y125" i="19"/>
  <c r="Z125" i="19" s="1"/>
  <c r="AA125" i="19" s="1"/>
  <c r="Y253" i="19"/>
  <c r="Z253" i="19" s="1"/>
  <c r="Y179" i="19"/>
  <c r="Z179" i="19" s="1"/>
  <c r="AA179" i="19" s="1"/>
  <c r="Y114" i="19"/>
  <c r="Z114" i="19" s="1"/>
  <c r="AA114" i="19" s="1"/>
  <c r="Y300" i="19"/>
  <c r="Z300" i="19" s="1"/>
  <c r="AA300" i="19" s="1"/>
  <c r="Y239" i="19"/>
  <c r="Z239" i="19" s="1"/>
  <c r="AA239" i="19" s="1"/>
  <c r="Y17" i="19"/>
  <c r="Z17" i="19" s="1"/>
  <c r="AA17" i="19" s="1"/>
  <c r="W76" i="19"/>
  <c r="AA236" i="19"/>
  <c r="W258" i="19"/>
  <c r="W123" i="19"/>
  <c r="Y316" i="19"/>
  <c r="Z316" i="19" s="1"/>
  <c r="Y153" i="19"/>
  <c r="Z153" i="19" s="1"/>
  <c r="AA153" i="19" s="1"/>
  <c r="Y135" i="19"/>
  <c r="Z135" i="19" s="1"/>
  <c r="AA135" i="19" s="1"/>
  <c r="Y263" i="19"/>
  <c r="Z263" i="19" s="1"/>
  <c r="AA263" i="19" s="1"/>
  <c r="Y80" i="19"/>
  <c r="Z80" i="19" s="1"/>
  <c r="AA80" i="19" s="1"/>
  <c r="Y206" i="19"/>
  <c r="Z206" i="19" s="1"/>
  <c r="AA206" i="19" s="1"/>
  <c r="Y242" i="19"/>
  <c r="Z242" i="19" s="1"/>
  <c r="Y26" i="19"/>
  <c r="Z26" i="19" s="1"/>
  <c r="AA26" i="19" s="1"/>
  <c r="Y207" i="19"/>
  <c r="Z207" i="19" s="1"/>
  <c r="AA207" i="19" s="1"/>
  <c r="Y304" i="19"/>
  <c r="Z304" i="19" s="1"/>
  <c r="AA304" i="19" s="1"/>
  <c r="Y106" i="19"/>
  <c r="Z106" i="19" s="1"/>
  <c r="AA106" i="19" s="1"/>
  <c r="Z73" i="19"/>
  <c r="AA73" i="19" s="1"/>
  <c r="Y223" i="19"/>
  <c r="Z223" i="19" s="1"/>
  <c r="AA223" i="19" s="1"/>
  <c r="Y22" i="19"/>
  <c r="Z22" i="19" s="1"/>
  <c r="AA22" i="19" s="1"/>
  <c r="Y280" i="19"/>
  <c r="Z280" i="19" s="1"/>
  <c r="AA280" i="19" s="1"/>
  <c r="Y18" i="19"/>
  <c r="Z18" i="19" s="1"/>
  <c r="AA18" i="19" s="1"/>
  <c r="Y229" i="19"/>
  <c r="Z229" i="19" s="1"/>
  <c r="AA229" i="19" s="1"/>
  <c r="Y44" i="19"/>
  <c r="Z44" i="19" s="1"/>
  <c r="AA44" i="19" s="1"/>
  <c r="Y301" i="19"/>
  <c r="Z301" i="19" s="1"/>
  <c r="AA301" i="19" s="1"/>
  <c r="Y151" i="19"/>
  <c r="Z151" i="19" s="1"/>
  <c r="AA151" i="19" s="1"/>
  <c r="Y286" i="19"/>
  <c r="Z286" i="19" s="1"/>
  <c r="AA286" i="19" s="1"/>
  <c r="Y154" i="19"/>
  <c r="Z154" i="19" s="1"/>
  <c r="Y89" i="19"/>
  <c r="Z89" i="19" s="1"/>
  <c r="AA89" i="19" s="1"/>
  <c r="Y195" i="19"/>
  <c r="Z195" i="19" s="1"/>
  <c r="AA195" i="19" s="1"/>
  <c r="Y163" i="19"/>
  <c r="Z163" i="19" s="1"/>
  <c r="AA163" i="19" s="1"/>
  <c r="Y63" i="19"/>
  <c r="Z63" i="19" s="1"/>
  <c r="AA63" i="19" s="1"/>
  <c r="Y137" i="19"/>
  <c r="Z137" i="19" s="1"/>
  <c r="AA137" i="19" s="1"/>
  <c r="Y200" i="19"/>
  <c r="Z200" i="19" s="1"/>
  <c r="AA200" i="19" s="1"/>
  <c r="Y256" i="19"/>
  <c r="Z256" i="19" s="1"/>
  <c r="AA256" i="19" s="1"/>
  <c r="Y248" i="19"/>
  <c r="Z248" i="19" s="1"/>
  <c r="AA248" i="19" s="1"/>
  <c r="Y90" i="19"/>
  <c r="Z90" i="19" s="1"/>
  <c r="AA90" i="19" s="1"/>
  <c r="Y190" i="19"/>
  <c r="Z190" i="19" s="1"/>
  <c r="AA190" i="19" s="1"/>
  <c r="Y37" i="19"/>
  <c r="Z37" i="19" s="1"/>
  <c r="AA37" i="19" s="1"/>
  <c r="Y308" i="19"/>
  <c r="Z308" i="19" s="1"/>
  <c r="AA308" i="19" s="1"/>
  <c r="Y205" i="19"/>
  <c r="Z205" i="19" s="1"/>
  <c r="AA205" i="19" s="1"/>
  <c r="W141" i="19"/>
  <c r="Y204" i="19"/>
  <c r="Z204" i="19" s="1"/>
  <c r="AA204" i="19" s="1"/>
  <c r="Y311" i="19"/>
  <c r="Z311" i="19" s="1"/>
  <c r="AA311" i="19" s="1"/>
  <c r="Y144" i="19"/>
  <c r="Z144" i="19" s="1"/>
  <c r="AA144" i="19" s="1"/>
  <c r="Y231" i="19"/>
  <c r="Z231" i="19" s="1"/>
  <c r="Y84" i="19"/>
  <c r="Z84" i="19" s="1"/>
  <c r="AA84" i="19" s="1"/>
  <c r="Y101" i="19"/>
  <c r="Z101" i="19" s="1"/>
  <c r="AA101" i="19" s="1"/>
  <c r="Y45" i="19"/>
  <c r="Z45" i="19" s="1"/>
  <c r="AA45" i="19" s="1"/>
  <c r="Y107" i="19"/>
  <c r="Z107" i="19" s="1"/>
  <c r="AA107" i="19" s="1"/>
  <c r="Y161" i="19"/>
  <c r="Z161" i="19" s="1"/>
  <c r="Y64" i="19"/>
  <c r="Z64" i="19" s="1"/>
  <c r="AA64" i="19" s="1"/>
  <c r="Y91" i="19"/>
  <c r="Z91" i="19" s="1"/>
  <c r="AA91" i="19" s="1"/>
  <c r="Y185" i="19"/>
  <c r="Z185" i="19" s="1"/>
  <c r="AA185" i="19" s="1"/>
  <c r="Y241" i="19"/>
  <c r="Z241" i="19" s="1"/>
  <c r="AA241" i="19" s="1"/>
  <c r="Y76" i="19"/>
  <c r="Z76" i="19" s="1"/>
  <c r="W27" i="19"/>
  <c r="Y55" i="19"/>
  <c r="Z55" i="19" s="1"/>
  <c r="AA55" i="19" s="1"/>
  <c r="Y58" i="19"/>
  <c r="Z58" i="19" s="1"/>
  <c r="AA58" i="19" s="1"/>
  <c r="Y14" i="19"/>
  <c r="Z14" i="19" s="1"/>
  <c r="AA14" i="19" s="1"/>
  <c r="Y212" i="19"/>
  <c r="Z212" i="19" s="1"/>
  <c r="AA212" i="19" s="1"/>
  <c r="Y196" i="19"/>
  <c r="Z196" i="19" s="1"/>
  <c r="AA196" i="19" s="1"/>
  <c r="Y66" i="19"/>
  <c r="Z66" i="19" s="1"/>
  <c r="AA66" i="19" s="1"/>
  <c r="Y289" i="19"/>
  <c r="Z289" i="19" s="1"/>
  <c r="AA289" i="19" s="1"/>
  <c r="Y41" i="19"/>
  <c r="Z41" i="19" s="1"/>
  <c r="AA41" i="19" s="1"/>
  <c r="Y216" i="19"/>
  <c r="Z216" i="19" s="1"/>
  <c r="AA216" i="19" s="1"/>
  <c r="Y132" i="19"/>
  <c r="Z132" i="19" s="1"/>
  <c r="Y297" i="19"/>
  <c r="Z297" i="19" s="1"/>
  <c r="AA297" i="19" s="1"/>
  <c r="Y29" i="19"/>
  <c r="Z29" i="19" s="1"/>
  <c r="AA29" i="19" s="1"/>
  <c r="Y50" i="19"/>
  <c r="Z50" i="19" s="1"/>
  <c r="AA50" i="19" s="1"/>
  <c r="Y24" i="19"/>
  <c r="Z24" i="19" s="1"/>
  <c r="AA24" i="19" s="1"/>
  <c r="Y220" i="19"/>
  <c r="Z220" i="19" s="1"/>
  <c r="AA220" i="19" s="1"/>
  <c r="Y98" i="19"/>
  <c r="Z98" i="19" s="1"/>
  <c r="AA98" i="19" s="1"/>
  <c r="Y60" i="19"/>
  <c r="Z60" i="19" s="1"/>
  <c r="AA60" i="19" s="1"/>
  <c r="Y32" i="19"/>
  <c r="Z32" i="19" s="1"/>
  <c r="AA32" i="19" s="1"/>
  <c r="Y291" i="19"/>
  <c r="Z291" i="19" s="1"/>
  <c r="AA291" i="19" s="1"/>
  <c r="Y312" i="19"/>
  <c r="Z312" i="19" s="1"/>
  <c r="AA312" i="19" s="1"/>
  <c r="Y310" i="19"/>
  <c r="Z310" i="19" s="1"/>
  <c r="AA310" i="19" s="1"/>
  <c r="Y68" i="19"/>
  <c r="Z68" i="19" s="1"/>
  <c r="AA68" i="19" s="1"/>
  <c r="Y174" i="19"/>
  <c r="Z174" i="19" s="1"/>
  <c r="AA174" i="19" s="1"/>
  <c r="Y255" i="19"/>
  <c r="Z255" i="19" s="1"/>
  <c r="AA255" i="19" s="1"/>
  <c r="Y128" i="19"/>
  <c r="Z128" i="19" s="1"/>
  <c r="AA128" i="19" s="1"/>
  <c r="Y121" i="19"/>
  <c r="Z121" i="19" s="1"/>
  <c r="AA121" i="19" s="1"/>
  <c r="Y129" i="19"/>
  <c r="Z129" i="19" s="1"/>
  <c r="AA129" i="19" s="1"/>
  <c r="Y16" i="19"/>
  <c r="Z16" i="19" s="1"/>
  <c r="AA16" i="19" s="1"/>
  <c r="Y178" i="19"/>
  <c r="Z178" i="19" s="1"/>
  <c r="AA178" i="19" s="1"/>
  <c r="Y322" i="19"/>
  <c r="Z322" i="19" s="1"/>
  <c r="AA322" i="19" s="1"/>
  <c r="Y25" i="19"/>
  <c r="Z25" i="19" s="1"/>
  <c r="AA25" i="19" s="1"/>
  <c r="Y307" i="19"/>
  <c r="Z307" i="19" s="1"/>
  <c r="AA307" i="19" s="1"/>
  <c r="Y164" i="19"/>
  <c r="Z164" i="19" s="1"/>
  <c r="AA164" i="19" s="1"/>
  <c r="Y188" i="19"/>
  <c r="Z188" i="19" s="1"/>
  <c r="AA188" i="19" s="1"/>
  <c r="Y258" i="19"/>
  <c r="Z258" i="19" s="1"/>
  <c r="Y175" i="19"/>
  <c r="Z175" i="19" s="1"/>
  <c r="AA175" i="19" s="1"/>
  <c r="Y138" i="19"/>
  <c r="Z138" i="19" s="1"/>
  <c r="Y70" i="19"/>
  <c r="Z70" i="19" s="1"/>
  <c r="AA70" i="19" s="1"/>
  <c r="Y202" i="19"/>
  <c r="Z202" i="19" s="1"/>
  <c r="Y118" i="19"/>
  <c r="Z118" i="19" s="1"/>
  <c r="Y27" i="19"/>
  <c r="Z27" i="19" s="1"/>
  <c r="Y78" i="19"/>
  <c r="Z78" i="19" s="1"/>
  <c r="AA78" i="19" s="1"/>
  <c r="Y269" i="19"/>
  <c r="Z269" i="19" s="1"/>
  <c r="AA269" i="19" s="1"/>
  <c r="Y152" i="19"/>
  <c r="Z152" i="19" s="1"/>
  <c r="AA152" i="19" s="1"/>
  <c r="Y166" i="19"/>
  <c r="Z166" i="19" s="1"/>
  <c r="Y265" i="19"/>
  <c r="Z265" i="19" s="1"/>
  <c r="AA265" i="19" s="1"/>
  <c r="Y82" i="19"/>
  <c r="Z82" i="19" s="1"/>
  <c r="AA82" i="19" s="1"/>
  <c r="Y281" i="19"/>
  <c r="Z281" i="19" s="1"/>
  <c r="AA281" i="19" s="1"/>
  <c r="V2298" i="6"/>
  <c r="V2362" i="6"/>
  <c r="V2299" i="6"/>
  <c r="AD2304" i="6"/>
  <c r="V2304" i="6"/>
  <c r="W2304" i="6" s="1"/>
  <c r="V2301" i="6"/>
  <c r="AD2301" i="6"/>
  <c r="AD2298" i="6"/>
  <c r="AD2362" i="6"/>
  <c r="AD2299" i="6"/>
  <c r="AA51" i="19"/>
  <c r="AA208" i="19"/>
  <c r="AA295" i="19"/>
  <c r="AA268" i="19"/>
  <c r="AA103" i="19"/>
  <c r="AA257" i="19" l="1"/>
  <c r="AA315" i="19"/>
  <c r="AA154" i="19"/>
  <c r="AA123" i="19"/>
  <c r="AA28" i="19"/>
  <c r="AA224" i="19"/>
  <c r="AA316" i="19"/>
  <c r="AA156" i="19"/>
  <c r="AA132" i="19"/>
  <c r="AA87" i="19"/>
  <c r="AA253" i="19"/>
  <c r="I11" i="13"/>
  <c r="AA138" i="19"/>
  <c r="AA168" i="19"/>
  <c r="AA113" i="19"/>
  <c r="AA119" i="19"/>
  <c r="AA274" i="19"/>
  <c r="AA231" i="19"/>
  <c r="AA321" i="19"/>
  <c r="AA273" i="19"/>
  <c r="AA242" i="19"/>
  <c r="AA296" i="19"/>
  <c r="AA124" i="19"/>
  <c r="AA136" i="19"/>
  <c r="AA141" i="19"/>
  <c r="AA86" i="19"/>
  <c r="AA285" i="19"/>
  <c r="AA71" i="19"/>
  <c r="AA161" i="19"/>
  <c r="AA122" i="19"/>
  <c r="AA230" i="19"/>
  <c r="AA258" i="19"/>
  <c r="AA76" i="19"/>
  <c r="AA166" i="19"/>
  <c r="AA227" i="19"/>
  <c r="AA183" i="19"/>
  <c r="AA27" i="19"/>
  <c r="AA202" i="19"/>
  <c r="AA118" i="19"/>
  <c r="W2301" i="6"/>
  <c r="AA2301" i="6" s="1"/>
  <c r="AE2301" i="6" s="1"/>
  <c r="AA2304" i="6"/>
  <c r="AE2304" i="6" s="1"/>
  <c r="W2299" i="6"/>
  <c r="W2362" i="6"/>
  <c r="W2298" i="6"/>
  <c r="B1" i="13"/>
  <c r="AA3" i="19" l="1"/>
  <c r="AA2298" i="6"/>
  <c r="AE2298" i="6" s="1"/>
  <c r="AA2362" i="6"/>
  <c r="AE2362" i="6" s="1"/>
  <c r="AA2299" i="6"/>
  <c r="AE2299" i="6" s="1"/>
  <c r="E1" i="6"/>
  <c r="F1" i="6"/>
  <c r="F1" i="10"/>
  <c r="M924" i="6" l="1"/>
  <c r="M23" i="6"/>
  <c r="M955" i="6"/>
  <c r="M82" i="6"/>
  <c r="M27" i="6"/>
  <c r="M73" i="6"/>
  <c r="M226" i="6"/>
  <c r="M77" i="6"/>
  <c r="M1741" i="6"/>
  <c r="M70" i="6"/>
  <c r="M938" i="6"/>
  <c r="M941" i="6"/>
  <c r="O77" i="6" l="1"/>
  <c r="O938" i="6"/>
  <c r="O82" i="6"/>
  <c r="O941" i="6"/>
  <c r="O1741" i="6"/>
  <c r="O73" i="6"/>
  <c r="O23" i="6"/>
  <c r="O70" i="6"/>
  <c r="O226" i="6"/>
  <c r="O27" i="6"/>
  <c r="O955" i="6"/>
  <c r="O924" i="6"/>
  <c r="M1080" i="6"/>
  <c r="M947" i="6"/>
  <c r="M1081" i="6"/>
  <c r="M1856" i="6"/>
  <c r="M1767" i="6"/>
  <c r="M2170" i="6"/>
  <c r="M230" i="6"/>
  <c r="M248" i="6"/>
  <c r="M946" i="6"/>
  <c r="M42" i="6"/>
  <c r="M34" i="6"/>
  <c r="M943" i="6"/>
  <c r="M1854" i="6"/>
  <c r="M37" i="6"/>
  <c r="M155" i="6"/>
  <c r="M72" i="6"/>
  <c r="M1829" i="6"/>
  <c r="M936" i="6"/>
  <c r="M104" i="6"/>
  <c r="M38" i="6"/>
  <c r="M92" i="6"/>
  <c r="M101" i="6"/>
  <c r="M1248" i="6"/>
  <c r="M117" i="6"/>
  <c r="M1327" i="6"/>
  <c r="M481" i="6"/>
  <c r="M1882" i="6"/>
  <c r="M976" i="6"/>
  <c r="M1781" i="6"/>
  <c r="M41" i="6"/>
  <c r="M1525" i="6"/>
  <c r="M1799" i="6"/>
  <c r="M292" i="6"/>
  <c r="M478" i="6"/>
  <c r="M1083" i="6"/>
  <c r="M949" i="6"/>
  <c r="M75" i="6"/>
  <c r="M505" i="6"/>
  <c r="M78" i="6"/>
  <c r="M937" i="6"/>
  <c r="M274" i="6"/>
  <c r="M950" i="6"/>
  <c r="M1303" i="6"/>
  <c r="M269" i="6"/>
  <c r="M121" i="6"/>
  <c r="M102" i="6"/>
  <c r="M939" i="6"/>
  <c r="M948" i="6"/>
  <c r="M932" i="6"/>
  <c r="M76" i="6"/>
  <c r="M90" i="6"/>
  <c r="M953" i="6"/>
  <c r="M410" i="6"/>
  <c r="M91" i="6"/>
  <c r="M2286" i="6"/>
  <c r="M1292" i="6"/>
  <c r="M1723" i="6"/>
  <c r="M1642" i="6"/>
  <c r="M84" i="6"/>
  <c r="M1967" i="6"/>
  <c r="M1688" i="6"/>
  <c r="M935" i="6"/>
  <c r="M1710" i="6"/>
  <c r="M22" i="6"/>
  <c r="M1671" i="6"/>
  <c r="M952" i="6"/>
  <c r="M1326" i="6"/>
  <c r="M86" i="6"/>
  <c r="M956" i="6"/>
  <c r="M975" i="6"/>
  <c r="M94" i="6"/>
  <c r="M954" i="6"/>
  <c r="M89" i="6"/>
  <c r="M35" i="6"/>
  <c r="M494" i="6"/>
  <c r="M281" i="6"/>
  <c r="M951" i="6"/>
  <c r="M925" i="6"/>
  <c r="M940" i="6"/>
  <c r="M1072" i="6"/>
  <c r="M24" i="6"/>
  <c r="M1291" i="6"/>
  <c r="M74" i="6"/>
  <c r="M486" i="6"/>
  <c r="O954" i="6" l="1"/>
  <c r="O1767" i="6"/>
  <c r="O937" i="6"/>
  <c r="O949" i="6"/>
  <c r="O1081" i="6"/>
  <c r="O101" i="6"/>
  <c r="O478" i="6"/>
  <c r="O947" i="6"/>
  <c r="O117" i="6"/>
  <c r="O91" i="6"/>
  <c r="O953" i="6"/>
  <c r="O1829" i="6"/>
  <c r="O1080" i="6"/>
  <c r="O1248" i="6"/>
  <c r="O38" i="6"/>
  <c r="O1291" i="6"/>
  <c r="O72" i="6"/>
  <c r="O94" i="6"/>
  <c r="O1856" i="6"/>
  <c r="O952" i="6"/>
  <c r="O1525" i="6"/>
  <c r="O155" i="6"/>
  <c r="O2170" i="6"/>
  <c r="O86" i="6"/>
  <c r="O74" i="6"/>
  <c r="O76" i="6"/>
  <c r="O935" i="6"/>
  <c r="O41" i="6"/>
  <c r="O37" i="6"/>
  <c r="O230" i="6"/>
  <c r="O75" i="6"/>
  <c r="O1326" i="6"/>
  <c r="O932" i="6"/>
  <c r="O1781" i="6"/>
  <c r="O1854" i="6"/>
  <c r="O2286" i="6"/>
  <c r="R2286" i="6" s="1"/>
  <c r="S2286" i="6" s="1"/>
  <c r="AB2286" i="6" s="1"/>
  <c r="AC2286" i="6" s="1"/>
  <c r="O410" i="6"/>
  <c r="R410" i="6" s="1"/>
  <c r="S410" i="6" s="1"/>
  <c r="AB410" i="6" s="1"/>
  <c r="AC410" i="6" s="1"/>
  <c r="O104" i="6"/>
  <c r="O24" i="6"/>
  <c r="O1799" i="6"/>
  <c r="O102" i="6"/>
  <c r="O1967" i="6"/>
  <c r="O269" i="6"/>
  <c r="O976" i="6"/>
  <c r="R976" i="6" s="1"/>
  <c r="S976" i="6" s="1"/>
  <c r="AB976" i="6" s="1"/>
  <c r="AC976" i="6" s="1"/>
  <c r="O943" i="6"/>
  <c r="O78" i="6"/>
  <c r="O92" i="6"/>
  <c r="O90" i="6"/>
  <c r="O292" i="6"/>
  <c r="O948" i="6"/>
  <c r="O1710" i="6"/>
  <c r="O121" i="6"/>
  <c r="O494" i="6"/>
  <c r="O84" i="6"/>
  <c r="O1303" i="6"/>
  <c r="O1882" i="6"/>
  <c r="O34" i="6"/>
  <c r="O1292" i="6"/>
  <c r="O975" i="6"/>
  <c r="O956" i="6"/>
  <c r="O1083" i="6"/>
  <c r="O1671" i="6"/>
  <c r="O1072" i="6"/>
  <c r="O939" i="6"/>
  <c r="O951" i="6"/>
  <c r="O35" i="6"/>
  <c r="O1642" i="6"/>
  <c r="O950" i="6"/>
  <c r="O481" i="6"/>
  <c r="O42" i="6"/>
  <c r="O248" i="6"/>
  <c r="O505" i="6"/>
  <c r="O486" i="6"/>
  <c r="O936" i="6"/>
  <c r="O22" i="6"/>
  <c r="O940" i="6"/>
  <c r="O925" i="6"/>
  <c r="O1688" i="6"/>
  <c r="R1688" i="6" s="1"/>
  <c r="S1688" i="6" s="1"/>
  <c r="AB1688" i="6" s="1"/>
  <c r="AC1688" i="6" s="1"/>
  <c r="O281" i="6"/>
  <c r="O89" i="6"/>
  <c r="O1723" i="6"/>
  <c r="O274" i="6"/>
  <c r="O1327" i="6"/>
  <c r="O946" i="6"/>
  <c r="M944" i="6"/>
  <c r="M1450" i="6"/>
  <c r="M923" i="6"/>
  <c r="M243" i="6"/>
  <c r="M97" i="6"/>
  <c r="M921" i="6"/>
  <c r="M979" i="6"/>
  <c r="M957" i="6"/>
  <c r="M915" i="6"/>
  <c r="M109" i="6"/>
  <c r="M31" i="6"/>
  <c r="M1721" i="6"/>
  <c r="M1618" i="6"/>
  <c r="M71" i="6"/>
  <c r="M1708" i="6"/>
  <c r="M176" i="6"/>
  <c r="M124" i="6"/>
  <c r="M958" i="6"/>
  <c r="M1713" i="6"/>
  <c r="M263" i="6"/>
  <c r="M33" i="6"/>
  <c r="M914" i="6"/>
  <c r="M968" i="6"/>
  <c r="M2285" i="6"/>
  <c r="M1097" i="6"/>
  <c r="M83" i="6"/>
  <c r="M1189" i="6"/>
  <c r="M237" i="6"/>
  <c r="M945" i="6"/>
  <c r="M1249" i="6"/>
  <c r="M85" i="6"/>
  <c r="M934" i="6"/>
  <c r="M1082" i="6"/>
  <c r="M942" i="6"/>
  <c r="M1752" i="6"/>
  <c r="M57" i="6"/>
  <c r="M933" i="6"/>
  <c r="V410" i="6" l="1"/>
  <c r="W410" i="6" s="1"/>
  <c r="V2286" i="6"/>
  <c r="V1688" i="6"/>
  <c r="W1688" i="6" s="1"/>
  <c r="V976" i="6"/>
  <c r="AD1688" i="6"/>
  <c r="O914" i="6"/>
  <c r="O979" i="6"/>
  <c r="O933" i="6"/>
  <c r="O923" i="6"/>
  <c r="O921" i="6"/>
  <c r="O243" i="6"/>
  <c r="O944" i="6"/>
  <c r="O934" i="6"/>
  <c r="O1249" i="6"/>
  <c r="O71" i="6"/>
  <c r="AD2286" i="6"/>
  <c r="O1082" i="6"/>
  <c r="O1618" i="6"/>
  <c r="O1713" i="6"/>
  <c r="O1450" i="6"/>
  <c r="O85" i="6"/>
  <c r="O237" i="6"/>
  <c r="O31" i="6"/>
  <c r="O957" i="6"/>
  <c r="O263" i="6"/>
  <c r="O1752" i="6"/>
  <c r="O942" i="6"/>
  <c r="O958" i="6"/>
  <c r="O124" i="6"/>
  <c r="O1721" i="6"/>
  <c r="O1097" i="6"/>
  <c r="O109" i="6"/>
  <c r="R109" i="6" s="1"/>
  <c r="O33" i="6"/>
  <c r="O1189" i="6"/>
  <c r="O2285" i="6"/>
  <c r="R2285" i="6" s="1"/>
  <c r="O57" i="6"/>
  <c r="O97" i="6"/>
  <c r="O176" i="6"/>
  <c r="O1708" i="6"/>
  <c r="O945" i="6"/>
  <c r="O83" i="6"/>
  <c r="O968" i="6"/>
  <c r="R968" i="6" s="1"/>
  <c r="S968" i="6" s="1"/>
  <c r="AB968" i="6" s="1"/>
  <c r="AC968" i="6" s="1"/>
  <c r="O915" i="6"/>
  <c r="E3" i="11"/>
  <c r="W976" i="6" l="1"/>
  <c r="AA976" i="6" s="1"/>
  <c r="AA1688" i="6"/>
  <c r="AE1688" i="6" s="1"/>
  <c r="AA410" i="6"/>
  <c r="W2286" i="6"/>
  <c r="V968" i="6"/>
  <c r="S2285" i="6"/>
  <c r="AB2285" i="6" s="1"/>
  <c r="AC2285" i="6" s="1"/>
  <c r="S109" i="6"/>
  <c r="AB109" i="6" s="1"/>
  <c r="AC109" i="6" s="1"/>
  <c r="W968" i="6" l="1"/>
  <c r="AA968" i="6" s="1"/>
  <c r="AA2286" i="6"/>
  <c r="AE2286" i="6" s="1"/>
  <c r="V109" i="6"/>
  <c r="W109" i="6" s="1"/>
  <c r="V2285" i="6"/>
  <c r="AD2285" i="6"/>
  <c r="AA1" i="10"/>
  <c r="W1" i="10"/>
  <c r="V1" i="10"/>
  <c r="U1" i="10"/>
  <c r="T1" i="10"/>
  <c r="S1" i="10"/>
  <c r="R1" i="10"/>
  <c r="Q1" i="10"/>
  <c r="P1" i="10"/>
  <c r="O1" i="10"/>
  <c r="N1" i="10"/>
  <c r="M1" i="10"/>
  <c r="L1" i="10"/>
  <c r="K1" i="10"/>
  <c r="J1" i="10"/>
  <c r="I1" i="10"/>
  <c r="H1" i="10"/>
  <c r="G1" i="10"/>
  <c r="E1" i="10"/>
  <c r="D1" i="10"/>
  <c r="C1" i="10"/>
  <c r="B1" i="10"/>
  <c r="A1" i="10"/>
  <c r="D1" i="6"/>
  <c r="C1" i="6"/>
  <c r="AA109" i="6" l="1"/>
  <c r="W2285" i="6"/>
  <c r="AA2285" i="6" s="1"/>
  <c r="AE2285" i="6" s="1"/>
  <c r="C320" i="10"/>
  <c r="H320" i="10" s="1"/>
  <c r="C322" i="10"/>
  <c r="H322" i="10" s="1"/>
  <c r="C321" i="10"/>
  <c r="H321" i="10" s="1"/>
  <c r="E19" i="13"/>
  <c r="E23" i="13"/>
  <c r="E27" i="13"/>
  <c r="E31" i="13"/>
  <c r="E35" i="13"/>
  <c r="E39" i="13"/>
  <c r="E43" i="13"/>
  <c r="E47" i="13"/>
  <c r="E51" i="13"/>
  <c r="E55" i="13"/>
  <c r="E59" i="13"/>
  <c r="E63" i="13"/>
  <c r="E67" i="13"/>
  <c r="E71" i="13"/>
  <c r="E75" i="13"/>
  <c r="E79" i="13"/>
  <c r="E83" i="13"/>
  <c r="E87" i="13"/>
  <c r="E91" i="13"/>
  <c r="E95" i="13"/>
  <c r="E99" i="13"/>
  <c r="E103" i="13"/>
  <c r="E107" i="13"/>
  <c r="E111" i="13"/>
  <c r="E115" i="13"/>
  <c r="E119" i="13"/>
  <c r="E123" i="13"/>
  <c r="E38" i="13"/>
  <c r="E46" i="13"/>
  <c r="E62" i="13"/>
  <c r="E74" i="13"/>
  <c r="E82" i="13"/>
  <c r="E98" i="13"/>
  <c r="E110" i="13"/>
  <c r="E122" i="13"/>
  <c r="E20" i="13"/>
  <c r="E24" i="13"/>
  <c r="E28" i="13"/>
  <c r="E32" i="13"/>
  <c r="E36" i="13"/>
  <c r="E40" i="13"/>
  <c r="E44" i="13"/>
  <c r="E48" i="13"/>
  <c r="E52" i="13"/>
  <c r="E56" i="13"/>
  <c r="E60" i="13"/>
  <c r="E64" i="13"/>
  <c r="E68" i="13"/>
  <c r="E72" i="13"/>
  <c r="E76" i="13"/>
  <c r="E80" i="13"/>
  <c r="E84" i="13"/>
  <c r="E88" i="13"/>
  <c r="E92" i="13"/>
  <c r="E96" i="13"/>
  <c r="E100" i="13"/>
  <c r="E104" i="13"/>
  <c r="E108" i="13"/>
  <c r="E112" i="13"/>
  <c r="E116" i="13"/>
  <c r="E120" i="13"/>
  <c r="E34" i="13"/>
  <c r="E50" i="13"/>
  <c r="E58" i="13"/>
  <c r="E70" i="13"/>
  <c r="E86" i="13"/>
  <c r="E94" i="13"/>
  <c r="E106" i="13"/>
  <c r="E118" i="13"/>
  <c r="E21" i="13"/>
  <c r="E25" i="13"/>
  <c r="E29" i="13"/>
  <c r="E33" i="13"/>
  <c r="E37" i="13"/>
  <c r="E41" i="13"/>
  <c r="E45" i="13"/>
  <c r="E49" i="13"/>
  <c r="E53" i="13"/>
  <c r="E57" i="13"/>
  <c r="E61" i="13"/>
  <c r="E65" i="13"/>
  <c r="E69" i="13"/>
  <c r="E73" i="13"/>
  <c r="E77" i="13"/>
  <c r="E81" i="13"/>
  <c r="E85" i="13"/>
  <c r="E89" i="13"/>
  <c r="E93" i="13"/>
  <c r="E97" i="13"/>
  <c r="E101" i="13"/>
  <c r="E105" i="13"/>
  <c r="E109" i="13"/>
  <c r="E113" i="13"/>
  <c r="E117" i="13"/>
  <c r="E121" i="13"/>
  <c r="E22" i="13"/>
  <c r="E26" i="13"/>
  <c r="E30" i="13"/>
  <c r="E42" i="13"/>
  <c r="E54" i="13"/>
  <c r="E66" i="13"/>
  <c r="E78" i="13"/>
  <c r="E90" i="13"/>
  <c r="E102" i="13"/>
  <c r="E114" i="13"/>
  <c r="F23" i="13"/>
  <c r="C75" i="13"/>
  <c r="C29" i="10"/>
  <c r="H29" i="10" s="1"/>
  <c r="C33" i="10"/>
  <c r="H33" i="10" s="1"/>
  <c r="C109" i="10"/>
  <c r="H109" i="10" s="1"/>
  <c r="C34" i="10"/>
  <c r="H34" i="10" s="1"/>
  <c r="C136" i="10"/>
  <c r="H136" i="10" s="1"/>
  <c r="C304" i="10"/>
  <c r="H304" i="10" s="1"/>
  <c r="C5" i="10"/>
  <c r="H5" i="10" s="1"/>
  <c r="I5" i="10" s="1"/>
  <c r="D27" i="13"/>
  <c r="C39" i="13"/>
  <c r="C43" i="13"/>
  <c r="F9" i="13"/>
  <c r="C316" i="10"/>
  <c r="H316" i="10" s="1"/>
  <c r="C41" i="10"/>
  <c r="H41" i="10" s="1"/>
  <c r="C290" i="10"/>
  <c r="H290" i="10" s="1"/>
  <c r="C21" i="10"/>
  <c r="H21" i="10" s="1"/>
  <c r="C39" i="10"/>
  <c r="H39" i="10" s="1"/>
  <c r="C56" i="10"/>
  <c r="H56" i="10" s="1"/>
  <c r="C72" i="10"/>
  <c r="H72" i="10" s="1"/>
  <c r="C87" i="10"/>
  <c r="H87" i="10" s="1"/>
  <c r="C102" i="10"/>
  <c r="H102" i="10" s="1"/>
  <c r="C118" i="10"/>
  <c r="H118" i="10" s="1"/>
  <c r="C134" i="10"/>
  <c r="H134" i="10" s="1"/>
  <c r="C151" i="10"/>
  <c r="H151" i="10" s="1"/>
  <c r="C167" i="10"/>
  <c r="H167" i="10" s="1"/>
  <c r="C183" i="10"/>
  <c r="H183" i="10" s="1"/>
  <c r="C199" i="10"/>
  <c r="H199" i="10" s="1"/>
  <c r="C215" i="10"/>
  <c r="H215" i="10" s="1"/>
  <c r="C231" i="10"/>
  <c r="H231" i="10" s="1"/>
  <c r="C247" i="10"/>
  <c r="H247" i="10" s="1"/>
  <c r="C262" i="10"/>
  <c r="H262" i="10" s="1"/>
  <c r="C278" i="10"/>
  <c r="H278" i="10" s="1"/>
  <c r="C295" i="10"/>
  <c r="H295" i="10" s="1"/>
  <c r="C312" i="10"/>
  <c r="H312" i="10" s="1"/>
  <c r="C6" i="10"/>
  <c r="H6" i="10" s="1"/>
  <c r="C22" i="10"/>
  <c r="H22" i="10" s="1"/>
  <c r="C40" i="10"/>
  <c r="H40" i="10" s="1"/>
  <c r="C57" i="10"/>
  <c r="H57" i="10" s="1"/>
  <c r="C73" i="10"/>
  <c r="H73" i="10" s="1"/>
  <c r="C88" i="10"/>
  <c r="H88" i="10" s="1"/>
  <c r="C103" i="10"/>
  <c r="H103" i="10" s="1"/>
  <c r="C119" i="10"/>
  <c r="H119" i="10" s="1"/>
  <c r="C135" i="10"/>
  <c r="H135" i="10" s="1"/>
  <c r="C152" i="10"/>
  <c r="H152" i="10" s="1"/>
  <c r="C168" i="10"/>
  <c r="H168" i="10" s="1"/>
  <c r="C184" i="10"/>
  <c r="H184" i="10" s="1"/>
  <c r="C200" i="10"/>
  <c r="H200" i="10" s="1"/>
  <c r="C216" i="10"/>
  <c r="H216" i="10" s="1"/>
  <c r="C232" i="10"/>
  <c r="H232" i="10" s="1"/>
  <c r="C263" i="10"/>
  <c r="H263" i="10" s="1"/>
  <c r="C279" i="10"/>
  <c r="H279" i="10" s="1"/>
  <c r="C296" i="10"/>
  <c r="H296" i="10" s="1"/>
  <c r="C313" i="10"/>
  <c r="H313" i="10" s="1"/>
  <c r="C38" i="10"/>
  <c r="H38" i="10" s="1"/>
  <c r="C7" i="10"/>
  <c r="H7" i="10" s="1"/>
  <c r="C23" i="10"/>
  <c r="H23" i="10" s="1"/>
  <c r="C42" i="10"/>
  <c r="H42" i="10" s="1"/>
  <c r="C58" i="10"/>
  <c r="H58" i="10" s="1"/>
  <c r="C74" i="10"/>
  <c r="H74" i="10" s="1"/>
  <c r="C89" i="10"/>
  <c r="H89" i="10" s="1"/>
  <c r="C104" i="10"/>
  <c r="H104" i="10" s="1"/>
  <c r="C120" i="10"/>
  <c r="H120" i="10" s="1"/>
  <c r="C137" i="10"/>
  <c r="H137" i="10" s="1"/>
  <c r="C153" i="10"/>
  <c r="H153" i="10" s="1"/>
  <c r="C169" i="10"/>
  <c r="H169" i="10" s="1"/>
  <c r="C185" i="10"/>
  <c r="H185" i="10" s="1"/>
  <c r="C201" i="10"/>
  <c r="H201" i="10" s="1"/>
  <c r="C217" i="10"/>
  <c r="H217" i="10" s="1"/>
  <c r="C233" i="10"/>
  <c r="H233" i="10" s="1"/>
  <c r="C248" i="10"/>
  <c r="H248" i="10" s="1"/>
  <c r="C264" i="10"/>
  <c r="H264" i="10" s="1"/>
  <c r="C280" i="10"/>
  <c r="H280" i="10" s="1"/>
  <c r="C25" i="10"/>
  <c r="H25" i="10" s="1"/>
  <c r="C48" i="10"/>
  <c r="H48" i="10" s="1"/>
  <c r="C68" i="10"/>
  <c r="H68" i="10" s="1"/>
  <c r="C91" i="10"/>
  <c r="H91" i="10" s="1"/>
  <c r="C130" i="10"/>
  <c r="H130" i="10" s="1"/>
  <c r="C155" i="10"/>
  <c r="H155" i="10" s="1"/>
  <c r="C175" i="10"/>
  <c r="H175" i="10" s="1"/>
  <c r="C195" i="10"/>
  <c r="H195" i="10" s="1"/>
  <c r="C219" i="10"/>
  <c r="H219" i="10" s="1"/>
  <c r="C239" i="10"/>
  <c r="H239" i="10" s="1"/>
  <c r="C258" i="10"/>
  <c r="H258" i="10" s="1"/>
  <c r="C282" i="10"/>
  <c r="H282" i="10" s="1"/>
  <c r="C303" i="10"/>
  <c r="H303" i="10" s="1"/>
  <c r="C63" i="10"/>
  <c r="H63" i="10" s="1"/>
  <c r="C26" i="10"/>
  <c r="H26" i="10" s="1"/>
  <c r="C49" i="10"/>
  <c r="H49" i="10" s="1"/>
  <c r="C69" i="10"/>
  <c r="H69" i="10" s="1"/>
  <c r="C92" i="10"/>
  <c r="H92" i="10" s="1"/>
  <c r="C111" i="10"/>
  <c r="H111" i="10" s="1"/>
  <c r="C131" i="10"/>
  <c r="H131" i="10" s="1"/>
  <c r="C156" i="10"/>
  <c r="H156" i="10" s="1"/>
  <c r="C176" i="10"/>
  <c r="H176" i="10" s="1"/>
  <c r="C196" i="10"/>
  <c r="H196" i="10" s="1"/>
  <c r="C220" i="10"/>
  <c r="H220" i="10" s="1"/>
  <c r="C240" i="10"/>
  <c r="H240" i="10" s="1"/>
  <c r="C259" i="10"/>
  <c r="H259" i="10" s="1"/>
  <c r="C283" i="10"/>
  <c r="H283" i="10" s="1"/>
  <c r="C305" i="10"/>
  <c r="H305" i="10" s="1"/>
  <c r="C28" i="10"/>
  <c r="H28" i="10" s="1"/>
  <c r="C11" i="10"/>
  <c r="H11" i="10" s="1"/>
  <c r="C32" i="10"/>
  <c r="H32" i="10" s="1"/>
  <c r="C54" i="10"/>
  <c r="H54" i="10" s="1"/>
  <c r="C78" i="10"/>
  <c r="H78" i="10" s="1"/>
  <c r="C97" i="10"/>
  <c r="H97" i="10" s="1"/>
  <c r="C116" i="10"/>
  <c r="H116" i="10" s="1"/>
  <c r="C141" i="10"/>
  <c r="H141" i="10" s="1"/>
  <c r="C161" i="10"/>
  <c r="H161" i="10" s="1"/>
  <c r="C181" i="10"/>
  <c r="H181" i="10" s="1"/>
  <c r="C205" i="10"/>
  <c r="H205" i="10" s="1"/>
  <c r="C225" i="10"/>
  <c r="H225" i="10" s="1"/>
  <c r="C245" i="10"/>
  <c r="H245" i="10" s="1"/>
  <c r="C268" i="10"/>
  <c r="H268" i="10" s="1"/>
  <c r="C288" i="10"/>
  <c r="H288" i="10" s="1"/>
  <c r="C306" i="10"/>
  <c r="H306" i="10" s="1"/>
  <c r="C8" i="10"/>
  <c r="H8" i="10" s="1"/>
  <c r="C43" i="10"/>
  <c r="H43" i="10" s="1"/>
  <c r="C86" i="10"/>
  <c r="H86" i="10" s="1"/>
  <c r="C150" i="10"/>
  <c r="H150" i="10" s="1"/>
  <c r="C214" i="10"/>
  <c r="H214" i="10" s="1"/>
  <c r="C277" i="10"/>
  <c r="H277" i="10" s="1"/>
  <c r="C234" i="10"/>
  <c r="H234" i="10" s="1"/>
  <c r="C83" i="10"/>
  <c r="H83" i="10" s="1"/>
  <c r="C242" i="10"/>
  <c r="H242" i="10" s="1"/>
  <c r="C105" i="10"/>
  <c r="H105" i="10" s="1"/>
  <c r="C170" i="10"/>
  <c r="H170" i="10" s="1"/>
  <c r="C281" i="10"/>
  <c r="H281" i="10" s="1"/>
  <c r="C226" i="10"/>
  <c r="H226" i="10" s="1"/>
  <c r="C110" i="10"/>
  <c r="H110" i="10" s="1"/>
  <c r="C174" i="10"/>
  <c r="H174" i="10" s="1"/>
  <c r="C238" i="10"/>
  <c r="H238" i="10" s="1"/>
  <c r="C302" i="10"/>
  <c r="H302" i="10" s="1"/>
  <c r="C273" i="10"/>
  <c r="H273" i="10" s="1"/>
  <c r="C191" i="10"/>
  <c r="H191" i="10" s="1"/>
  <c r="C254" i="10"/>
  <c r="H254" i="10" s="1"/>
  <c r="C24" i="10"/>
  <c r="H24" i="10" s="1"/>
  <c r="C45" i="10"/>
  <c r="H45" i="10" s="1"/>
  <c r="C84" i="10"/>
  <c r="H84" i="10" s="1"/>
  <c r="C127" i="10"/>
  <c r="H127" i="10" s="1"/>
  <c r="C9" i="10"/>
  <c r="H9" i="10" s="1"/>
  <c r="C30" i="10"/>
  <c r="H30" i="10" s="1"/>
  <c r="C52" i="10"/>
  <c r="H52" i="10" s="1"/>
  <c r="C76" i="10"/>
  <c r="H76" i="10" s="1"/>
  <c r="C95" i="10"/>
  <c r="H95" i="10" s="1"/>
  <c r="C114" i="10"/>
  <c r="H114" i="10" s="1"/>
  <c r="C139" i="10"/>
  <c r="H139" i="10" s="1"/>
  <c r="C159" i="10"/>
  <c r="H159" i="10" s="1"/>
  <c r="C179" i="10"/>
  <c r="H179" i="10" s="1"/>
  <c r="C203" i="10"/>
  <c r="H203" i="10" s="1"/>
  <c r="C223" i="10"/>
  <c r="H223" i="10" s="1"/>
  <c r="C243" i="10"/>
  <c r="H243" i="10" s="1"/>
  <c r="C266" i="10"/>
  <c r="H266" i="10" s="1"/>
  <c r="C286" i="10"/>
  <c r="H286" i="10" s="1"/>
  <c r="C308" i="10"/>
  <c r="H308" i="10" s="1"/>
  <c r="C10" i="10"/>
  <c r="H10" i="10" s="1"/>
  <c r="C31" i="10"/>
  <c r="H31" i="10" s="1"/>
  <c r="C53" i="10"/>
  <c r="H53" i="10" s="1"/>
  <c r="C77" i="10"/>
  <c r="H77" i="10" s="1"/>
  <c r="C96" i="10"/>
  <c r="H96" i="10" s="1"/>
  <c r="C115" i="10"/>
  <c r="H115" i="10" s="1"/>
  <c r="C140" i="10"/>
  <c r="H140" i="10" s="1"/>
  <c r="C160" i="10"/>
  <c r="H160" i="10" s="1"/>
  <c r="C180" i="10"/>
  <c r="H180" i="10" s="1"/>
  <c r="C204" i="10"/>
  <c r="H204" i="10" s="1"/>
  <c r="C224" i="10"/>
  <c r="H224" i="10" s="1"/>
  <c r="C244" i="10"/>
  <c r="H244" i="10" s="1"/>
  <c r="C267" i="10"/>
  <c r="H267" i="10" s="1"/>
  <c r="C287" i="10"/>
  <c r="H287" i="10" s="1"/>
  <c r="C309" i="10"/>
  <c r="H309" i="10" s="1"/>
  <c r="C47" i="10"/>
  <c r="H47" i="10" s="1"/>
  <c r="C15" i="10"/>
  <c r="H15" i="10" s="1"/>
  <c r="C37" i="10"/>
  <c r="H37" i="10" s="1"/>
  <c r="C62" i="10"/>
  <c r="H62" i="10" s="1"/>
  <c r="C82" i="10"/>
  <c r="H82" i="10" s="1"/>
  <c r="C100" i="10"/>
  <c r="H100" i="10" s="1"/>
  <c r="C124" i="10"/>
  <c r="H124" i="10" s="1"/>
  <c r="C145" i="10"/>
  <c r="H145" i="10" s="1"/>
  <c r="C165" i="10"/>
  <c r="H165" i="10" s="1"/>
  <c r="C189" i="10"/>
  <c r="H189" i="10" s="1"/>
  <c r="C209" i="10"/>
  <c r="H209" i="10" s="1"/>
  <c r="C229" i="10"/>
  <c r="H229" i="10" s="1"/>
  <c r="C252" i="10"/>
  <c r="H252" i="10" s="1"/>
  <c r="C272" i="10"/>
  <c r="H272" i="10" s="1"/>
  <c r="C293" i="10"/>
  <c r="H293" i="10" s="1"/>
  <c r="C310" i="10"/>
  <c r="H310" i="10" s="1"/>
  <c r="C16" i="10"/>
  <c r="H16" i="10" s="1"/>
  <c r="C51" i="10"/>
  <c r="H51" i="10" s="1"/>
  <c r="C101" i="10"/>
  <c r="H101" i="10" s="1"/>
  <c r="C166" i="10"/>
  <c r="H166" i="10" s="1"/>
  <c r="C230" i="10"/>
  <c r="H230" i="10" s="1"/>
  <c r="C294" i="10"/>
  <c r="H294" i="10" s="1"/>
  <c r="C265" i="10"/>
  <c r="H265" i="10" s="1"/>
  <c r="C129" i="10"/>
  <c r="H129" i="10" s="1"/>
  <c r="C289" i="10"/>
  <c r="H289" i="10" s="1"/>
  <c r="C121" i="10"/>
  <c r="H121" i="10" s="1"/>
  <c r="C186" i="10"/>
  <c r="H186" i="10" s="1"/>
  <c r="C98" i="10"/>
  <c r="H98" i="10" s="1"/>
  <c r="C257" i="10"/>
  <c r="H257" i="10" s="1"/>
  <c r="C125" i="10"/>
  <c r="H125" i="10" s="1"/>
  <c r="C190" i="10"/>
  <c r="H190" i="10" s="1"/>
  <c r="C253" i="10"/>
  <c r="H253" i="10" s="1"/>
  <c r="C307" i="10"/>
  <c r="H307" i="10" s="1"/>
  <c r="C13" i="10"/>
  <c r="H13" i="10" s="1"/>
  <c r="C35" i="10"/>
  <c r="H35" i="10" s="1"/>
  <c r="C60" i="10"/>
  <c r="H60" i="10" s="1"/>
  <c r="C80" i="10"/>
  <c r="H80" i="10" s="1"/>
  <c r="C99" i="10"/>
  <c r="H99" i="10" s="1"/>
  <c r="C122" i="10"/>
  <c r="H122" i="10" s="1"/>
  <c r="C143" i="10"/>
  <c r="H143" i="10" s="1"/>
  <c r="C163" i="10"/>
  <c r="H163" i="10" s="1"/>
  <c r="C187" i="10"/>
  <c r="H187" i="10" s="1"/>
  <c r="C207" i="10"/>
  <c r="H207" i="10" s="1"/>
  <c r="C227" i="10"/>
  <c r="H227" i="10" s="1"/>
  <c r="C250" i="10"/>
  <c r="H250" i="10" s="1"/>
  <c r="C270" i="10"/>
  <c r="H270" i="10" s="1"/>
  <c r="C291" i="10"/>
  <c r="H291" i="10" s="1"/>
  <c r="C317" i="10"/>
  <c r="H317" i="10" s="1"/>
  <c r="C14" i="10"/>
  <c r="H14" i="10" s="1"/>
  <c r="C36" i="10"/>
  <c r="H36" i="10" s="1"/>
  <c r="C61" i="10"/>
  <c r="H61" i="10" s="1"/>
  <c r="C81" i="10"/>
  <c r="H81" i="10" s="1"/>
  <c r="C123" i="10"/>
  <c r="H123" i="10" s="1"/>
  <c r="C144" i="10"/>
  <c r="H144" i="10" s="1"/>
  <c r="C164" i="10"/>
  <c r="H164" i="10" s="1"/>
  <c r="C188" i="10"/>
  <c r="H188" i="10" s="1"/>
  <c r="C208" i="10"/>
  <c r="H208" i="10" s="1"/>
  <c r="C228" i="10"/>
  <c r="H228" i="10" s="1"/>
  <c r="C251" i="10"/>
  <c r="H251" i="10" s="1"/>
  <c r="C271" i="10"/>
  <c r="H271" i="10" s="1"/>
  <c r="C292" i="10"/>
  <c r="H292" i="10" s="1"/>
  <c r="C318" i="10"/>
  <c r="H318" i="10" s="1"/>
  <c r="C55" i="10"/>
  <c r="H55" i="10" s="1"/>
  <c r="C19" i="10"/>
  <c r="H19" i="10" s="1"/>
  <c r="C46" i="10"/>
  <c r="H46" i="10" s="1"/>
  <c r="C66" i="10"/>
  <c r="H66" i="10" s="1"/>
  <c r="C85" i="10"/>
  <c r="H85" i="10" s="1"/>
  <c r="C108" i="10"/>
  <c r="H108" i="10" s="1"/>
  <c r="C128" i="10"/>
  <c r="H128" i="10" s="1"/>
  <c r="C149" i="10"/>
  <c r="H149" i="10" s="1"/>
  <c r="C173" i="10"/>
  <c r="H173" i="10" s="1"/>
  <c r="C193" i="10"/>
  <c r="H193" i="10" s="1"/>
  <c r="C213" i="10"/>
  <c r="H213" i="10" s="1"/>
  <c r="C237" i="10"/>
  <c r="H237" i="10" s="1"/>
  <c r="C256" i="10"/>
  <c r="H256" i="10" s="1"/>
  <c r="C276" i="10"/>
  <c r="H276" i="10" s="1"/>
  <c r="C297" i="10"/>
  <c r="H297" i="10" s="1"/>
  <c r="C314" i="10"/>
  <c r="H314" i="10" s="1"/>
  <c r="C20" i="10"/>
  <c r="H20" i="10" s="1"/>
  <c r="C59" i="10"/>
  <c r="H59" i="10" s="1"/>
  <c r="C117" i="10"/>
  <c r="H117" i="10" s="1"/>
  <c r="C182" i="10"/>
  <c r="H182" i="10" s="1"/>
  <c r="C246" i="10"/>
  <c r="H246" i="10" s="1"/>
  <c r="C311" i="10"/>
  <c r="H311" i="10" s="1"/>
  <c r="C298" i="10"/>
  <c r="H298" i="10" s="1"/>
  <c r="C178" i="10"/>
  <c r="H178" i="10" s="1"/>
  <c r="C75" i="10"/>
  <c r="H75" i="10" s="1"/>
  <c r="C138" i="10"/>
  <c r="H138" i="10" s="1"/>
  <c r="C202" i="10"/>
  <c r="H202" i="10" s="1"/>
  <c r="C113" i="10"/>
  <c r="H113" i="10" s="1"/>
  <c r="C79" i="10"/>
  <c r="H79" i="10" s="1"/>
  <c r="C142" i="10"/>
  <c r="H142" i="10" s="1"/>
  <c r="C206" i="10"/>
  <c r="H206" i="10" s="1"/>
  <c r="C269" i="10"/>
  <c r="H269" i="10" s="1"/>
  <c r="C162" i="10"/>
  <c r="H162" i="10" s="1"/>
  <c r="C17" i="10"/>
  <c r="H17" i="10" s="1"/>
  <c r="C44" i="10"/>
  <c r="H44" i="10" s="1"/>
  <c r="C64" i="10"/>
  <c r="H64" i="10" s="1"/>
  <c r="C106" i="10"/>
  <c r="H106" i="10" s="1"/>
  <c r="C126" i="10"/>
  <c r="H126" i="10" s="1"/>
  <c r="C147" i="10"/>
  <c r="H147" i="10" s="1"/>
  <c r="C171" i="10"/>
  <c r="H171" i="10" s="1"/>
  <c r="C211" i="10"/>
  <c r="H211" i="10" s="1"/>
  <c r="C235" i="10"/>
  <c r="H235" i="10" s="1"/>
  <c r="C274" i="10"/>
  <c r="H274" i="10" s="1"/>
  <c r="C299" i="10"/>
  <c r="H299" i="10" s="1"/>
  <c r="C18" i="10"/>
  <c r="H18" i="10" s="1"/>
  <c r="C65" i="10"/>
  <c r="H65" i="10" s="1"/>
  <c r="C107" i="10"/>
  <c r="H107" i="10" s="1"/>
  <c r="C148" i="10"/>
  <c r="H148" i="10" s="1"/>
  <c r="C172" i="10"/>
  <c r="H172" i="10" s="1"/>
  <c r="C255" i="10"/>
  <c r="H255" i="10" s="1"/>
  <c r="C67" i="10"/>
  <c r="H67" i="10" s="1"/>
  <c r="C93" i="10"/>
  <c r="H93" i="10" s="1"/>
  <c r="C177" i="10"/>
  <c r="H177" i="10" s="1"/>
  <c r="C260" i="10"/>
  <c r="H260" i="10" s="1"/>
  <c r="C261" i="10"/>
  <c r="H261" i="10" s="1"/>
  <c r="C90" i="10"/>
  <c r="H90" i="10" s="1"/>
  <c r="C94" i="10"/>
  <c r="H94" i="10" s="1"/>
  <c r="C210" i="10"/>
  <c r="H210" i="10" s="1"/>
  <c r="C70" i="10"/>
  <c r="H70" i="10" s="1"/>
  <c r="C192" i="10"/>
  <c r="H192" i="10" s="1"/>
  <c r="C275" i="10"/>
  <c r="H275" i="10" s="1"/>
  <c r="C27" i="10"/>
  <c r="H27" i="10" s="1"/>
  <c r="C112" i="10"/>
  <c r="H112" i="10" s="1"/>
  <c r="C197" i="10"/>
  <c r="H197" i="10" s="1"/>
  <c r="C284" i="10"/>
  <c r="H284" i="10" s="1"/>
  <c r="C71" i="10"/>
  <c r="H71" i="10" s="1"/>
  <c r="C218" i="10"/>
  <c r="H218" i="10" s="1"/>
  <c r="C154" i="10"/>
  <c r="H154" i="10" s="1"/>
  <c r="C158" i="10"/>
  <c r="H158" i="10" s="1"/>
  <c r="C236" i="10"/>
  <c r="H236" i="10" s="1"/>
  <c r="C157" i="10"/>
  <c r="H157" i="10" s="1"/>
  <c r="C241" i="10"/>
  <c r="H241" i="10" s="1"/>
  <c r="C319" i="10"/>
  <c r="H319" i="10" s="1"/>
  <c r="C198" i="10"/>
  <c r="H198" i="10" s="1"/>
  <c r="C194" i="10"/>
  <c r="H194" i="10" s="1"/>
  <c r="C146" i="10"/>
  <c r="H146" i="10" s="1"/>
  <c r="C285" i="10"/>
  <c r="H285" i="10" s="1"/>
  <c r="C212" i="10"/>
  <c r="H212" i="10" s="1"/>
  <c r="C300" i="10"/>
  <c r="H300" i="10" s="1"/>
  <c r="C50" i="10"/>
  <c r="H50" i="10" s="1"/>
  <c r="C132" i="10"/>
  <c r="H132" i="10" s="1"/>
  <c r="C221" i="10"/>
  <c r="H221" i="10" s="1"/>
  <c r="C301" i="10"/>
  <c r="H301" i="10" s="1"/>
  <c r="C133" i="10"/>
  <c r="H133" i="10" s="1"/>
  <c r="C315" i="10"/>
  <c r="H315" i="10" s="1"/>
  <c r="C249" i="10"/>
  <c r="H249" i="10" s="1"/>
  <c r="C222" i="10"/>
  <c r="H222" i="10" s="1"/>
  <c r="C12" i="10"/>
  <c r="H12" i="10" s="1"/>
  <c r="I1894" i="6" l="1"/>
  <c r="M1894" i="6" s="1"/>
  <c r="O1894" i="6" s="1"/>
  <c r="I309" i="6"/>
  <c r="I12" i="10"/>
  <c r="K12" i="10" s="1"/>
  <c r="N12" i="10" s="1"/>
  <c r="O12" i="10" s="1"/>
  <c r="I241" i="10"/>
  <c r="K241" i="10" s="1"/>
  <c r="N241" i="10" s="1"/>
  <c r="O241" i="10" s="1"/>
  <c r="I90" i="10"/>
  <c r="K90" i="10" s="1"/>
  <c r="N90" i="10" s="1"/>
  <c r="O90" i="10" s="1"/>
  <c r="I171" i="10"/>
  <c r="K171" i="10" s="1"/>
  <c r="N171" i="10" s="1"/>
  <c r="O171" i="10" s="1"/>
  <c r="I178" i="10"/>
  <c r="K178" i="10" s="1"/>
  <c r="N178" i="10" s="1"/>
  <c r="O178" i="10" s="1"/>
  <c r="I149" i="10"/>
  <c r="K149" i="10" s="1"/>
  <c r="N149" i="10" s="1"/>
  <c r="O149" i="10" s="1"/>
  <c r="I144" i="10"/>
  <c r="K144" i="10" s="1"/>
  <c r="N144" i="10" s="1"/>
  <c r="O144" i="10" s="1"/>
  <c r="I99" i="10"/>
  <c r="K99" i="10" s="1"/>
  <c r="N99" i="10" s="1"/>
  <c r="O99" i="10" s="1"/>
  <c r="I294" i="10"/>
  <c r="K294" i="10" s="1"/>
  <c r="N294" i="10" s="1"/>
  <c r="O294" i="10" s="1"/>
  <c r="I100" i="10"/>
  <c r="K100" i="10" s="1"/>
  <c r="N100" i="10" s="1"/>
  <c r="O100" i="10" s="1"/>
  <c r="I96" i="10"/>
  <c r="K96" i="10" s="1"/>
  <c r="N96" i="10" s="1"/>
  <c r="O96" i="10" s="1"/>
  <c r="I76" i="10"/>
  <c r="K76" i="10" s="1"/>
  <c r="N76" i="10" s="1"/>
  <c r="O76" i="10" s="1"/>
  <c r="I281" i="10"/>
  <c r="K281" i="10" s="1"/>
  <c r="N281" i="10" s="1"/>
  <c r="O281" i="10" s="1"/>
  <c r="I225" i="10"/>
  <c r="K225" i="10" s="1"/>
  <c r="N225" i="10" s="1"/>
  <c r="O225" i="10" s="1"/>
  <c r="I220" i="10"/>
  <c r="K220" i="10" s="1"/>
  <c r="N220" i="10" s="1"/>
  <c r="O220" i="10" s="1"/>
  <c r="I195" i="10"/>
  <c r="K195" i="10" s="1"/>
  <c r="N195" i="10" s="1"/>
  <c r="O195" i="10" s="1"/>
  <c r="I153" i="10"/>
  <c r="K153" i="10" s="1"/>
  <c r="N153" i="10" s="1"/>
  <c r="O153" i="10" s="1"/>
  <c r="I216" i="10"/>
  <c r="K216" i="10" s="1"/>
  <c r="N216" i="10" s="1"/>
  <c r="O216" i="10" s="1"/>
  <c r="I278" i="10"/>
  <c r="K278" i="10" s="1"/>
  <c r="N278" i="10" s="1"/>
  <c r="O278" i="10" s="1"/>
  <c r="I21" i="10"/>
  <c r="K21" i="10" s="1"/>
  <c r="N21" i="10" s="1"/>
  <c r="O21" i="10" s="1"/>
  <c r="I222" i="10"/>
  <c r="K222" i="10" s="1"/>
  <c r="N222" i="10" s="1"/>
  <c r="O222" i="10" s="1"/>
  <c r="I157" i="10"/>
  <c r="K157" i="10" s="1"/>
  <c r="N157" i="10" s="1"/>
  <c r="O157" i="10" s="1"/>
  <c r="I261" i="10"/>
  <c r="K261" i="10" s="1"/>
  <c r="N261" i="10" s="1"/>
  <c r="O261" i="10" s="1"/>
  <c r="I147" i="10"/>
  <c r="K147" i="10" s="1"/>
  <c r="N147" i="10" s="1"/>
  <c r="O147" i="10" s="1"/>
  <c r="I298" i="10"/>
  <c r="K298" i="10" s="1"/>
  <c r="N298" i="10" s="1"/>
  <c r="O298" i="10" s="1"/>
  <c r="I128" i="10"/>
  <c r="K128" i="10" s="1"/>
  <c r="N128" i="10" s="1"/>
  <c r="O128" i="10" s="1"/>
  <c r="I123" i="10"/>
  <c r="K123" i="10" s="1"/>
  <c r="N123" i="10" s="1"/>
  <c r="O123" i="10" s="1"/>
  <c r="I80" i="10"/>
  <c r="K80" i="10" s="1"/>
  <c r="N80" i="10" s="1"/>
  <c r="O80" i="10" s="1"/>
  <c r="I230" i="10"/>
  <c r="K230" i="10" s="1"/>
  <c r="N230" i="10" s="1"/>
  <c r="O230" i="10" s="1"/>
  <c r="I82" i="10"/>
  <c r="K82" i="10" s="1"/>
  <c r="N82" i="10" s="1"/>
  <c r="O82" i="10" s="1"/>
  <c r="I77" i="10"/>
  <c r="K77" i="10" s="1"/>
  <c r="N77" i="10" s="1"/>
  <c r="O77" i="10" s="1"/>
  <c r="I52" i="10"/>
  <c r="K52" i="10" s="1"/>
  <c r="N52" i="10" s="1"/>
  <c r="O52" i="10" s="1"/>
  <c r="I170" i="10"/>
  <c r="K170" i="10" s="1"/>
  <c r="N170" i="10" s="1"/>
  <c r="O170" i="10" s="1"/>
  <c r="I205" i="10"/>
  <c r="K205" i="10" s="1"/>
  <c r="N205" i="10" s="1"/>
  <c r="O205" i="10" s="1"/>
  <c r="I196" i="10"/>
  <c r="K196" i="10" s="1"/>
  <c r="N196" i="10" s="1"/>
  <c r="O196" i="10" s="1"/>
  <c r="I175" i="10"/>
  <c r="K175" i="10" s="1"/>
  <c r="N175" i="10" s="1"/>
  <c r="O175" i="10" s="1"/>
  <c r="I137" i="10"/>
  <c r="K137" i="10" s="1"/>
  <c r="N137" i="10" s="1"/>
  <c r="O137" i="10" s="1"/>
  <c r="I200" i="10"/>
  <c r="K200" i="10" s="1"/>
  <c r="N200" i="10" s="1"/>
  <c r="O200" i="10" s="1"/>
  <c r="I262" i="10"/>
  <c r="K262" i="10" s="1"/>
  <c r="N262" i="10" s="1"/>
  <c r="O262" i="10" s="1"/>
  <c r="I290" i="10"/>
  <c r="K290" i="10" s="1"/>
  <c r="N290" i="10" s="1"/>
  <c r="O290" i="10" s="1"/>
  <c r="I249" i="10"/>
  <c r="K249" i="10" s="1"/>
  <c r="N249" i="10" s="1"/>
  <c r="O249" i="10" s="1"/>
  <c r="I236" i="10"/>
  <c r="K236" i="10" s="1"/>
  <c r="N236" i="10" s="1"/>
  <c r="O236" i="10" s="1"/>
  <c r="I260" i="10"/>
  <c r="K260" i="10" s="1"/>
  <c r="N260" i="10" s="1"/>
  <c r="O260" i="10" s="1"/>
  <c r="I126" i="10"/>
  <c r="K126" i="10" s="1"/>
  <c r="N126" i="10" s="1"/>
  <c r="O126" i="10" s="1"/>
  <c r="I311" i="10"/>
  <c r="K311" i="10" s="1"/>
  <c r="N311" i="10" s="1"/>
  <c r="O311" i="10" s="1"/>
  <c r="I108" i="10"/>
  <c r="K108" i="10" s="1"/>
  <c r="N108" i="10" s="1"/>
  <c r="O108" i="10" s="1"/>
  <c r="I81" i="10"/>
  <c r="K81" i="10" s="1"/>
  <c r="N81" i="10" s="1"/>
  <c r="O81" i="10" s="1"/>
  <c r="I60" i="10"/>
  <c r="K60" i="10" s="1"/>
  <c r="N60" i="10" s="1"/>
  <c r="O60" i="10" s="1"/>
  <c r="I166" i="10"/>
  <c r="K166" i="10" s="1"/>
  <c r="N166" i="10" s="1"/>
  <c r="O166" i="10" s="1"/>
  <c r="I62" i="10"/>
  <c r="K62" i="10" s="1"/>
  <c r="N62" i="10" s="1"/>
  <c r="O62" i="10" s="1"/>
  <c r="I53" i="10"/>
  <c r="K53" i="10" s="1"/>
  <c r="N53" i="10" s="1"/>
  <c r="O53" i="10" s="1"/>
  <c r="I30" i="10"/>
  <c r="K30" i="10" s="1"/>
  <c r="N30" i="10" s="1"/>
  <c r="O30" i="10" s="1"/>
  <c r="I105" i="10"/>
  <c r="K105" i="10" s="1"/>
  <c r="N105" i="10" s="1"/>
  <c r="O105" i="10" s="1"/>
  <c r="I181" i="10"/>
  <c r="K181" i="10" s="1"/>
  <c r="N181" i="10" s="1"/>
  <c r="O181" i="10" s="1"/>
  <c r="I176" i="10"/>
  <c r="K176" i="10" s="1"/>
  <c r="N176" i="10" s="1"/>
  <c r="O176" i="10" s="1"/>
  <c r="I155" i="10"/>
  <c r="K155" i="10" s="1"/>
  <c r="N155" i="10" s="1"/>
  <c r="O155" i="10" s="1"/>
  <c r="I120" i="10"/>
  <c r="K120" i="10" s="1"/>
  <c r="N120" i="10" s="1"/>
  <c r="O120" i="10" s="1"/>
  <c r="I184" i="10"/>
  <c r="K184" i="10" s="1"/>
  <c r="N184" i="10" s="1"/>
  <c r="O184" i="10" s="1"/>
  <c r="I247" i="10"/>
  <c r="K247" i="10" s="1"/>
  <c r="N247" i="10" s="1"/>
  <c r="O247" i="10" s="1"/>
  <c r="I41" i="10"/>
  <c r="K41" i="10" s="1"/>
  <c r="N41" i="10" s="1"/>
  <c r="O41" i="10" s="1"/>
  <c r="I315" i="10"/>
  <c r="K315" i="10" s="1"/>
  <c r="N315" i="10" s="1"/>
  <c r="O315" i="10" s="1"/>
  <c r="I158" i="10"/>
  <c r="K158" i="10" s="1"/>
  <c r="N158" i="10" s="1"/>
  <c r="O158" i="10" s="1"/>
  <c r="I177" i="10"/>
  <c r="K177" i="10" s="1"/>
  <c r="N177" i="10" s="1"/>
  <c r="O177" i="10" s="1"/>
  <c r="I106" i="10"/>
  <c r="K106" i="10" s="1"/>
  <c r="N106" i="10" s="1"/>
  <c r="O106" i="10" s="1"/>
  <c r="I246" i="10"/>
  <c r="K246" i="10" s="1"/>
  <c r="N246" i="10" s="1"/>
  <c r="O246" i="10" s="1"/>
  <c r="I85" i="10"/>
  <c r="K85" i="10" s="1"/>
  <c r="N85" i="10" s="1"/>
  <c r="O85" i="10" s="1"/>
  <c r="I61" i="10"/>
  <c r="K61" i="10" s="1"/>
  <c r="N61" i="10" s="1"/>
  <c r="O61" i="10" s="1"/>
  <c r="I35" i="10"/>
  <c r="K35" i="10" s="1"/>
  <c r="N35" i="10" s="1"/>
  <c r="O35" i="10" s="1"/>
  <c r="I101" i="10"/>
  <c r="K101" i="10" s="1"/>
  <c r="N101" i="10" s="1"/>
  <c r="O101" i="10" s="1"/>
  <c r="I37" i="10"/>
  <c r="K37" i="10" s="1"/>
  <c r="N37" i="10" s="1"/>
  <c r="O37" i="10" s="1"/>
  <c r="I31" i="10"/>
  <c r="K31" i="10" s="1"/>
  <c r="N31" i="10" s="1"/>
  <c r="O31" i="10" s="1"/>
  <c r="I9" i="10"/>
  <c r="K9" i="10" s="1"/>
  <c r="N9" i="10" s="1"/>
  <c r="O9" i="10" s="1"/>
  <c r="I242" i="10"/>
  <c r="K242" i="10" s="1"/>
  <c r="N242" i="10" s="1"/>
  <c r="O242" i="10" s="1"/>
  <c r="I161" i="10"/>
  <c r="K161" i="10" s="1"/>
  <c r="N161" i="10" s="1"/>
  <c r="O161" i="10" s="1"/>
  <c r="I156" i="10"/>
  <c r="K156" i="10" s="1"/>
  <c r="N156" i="10" s="1"/>
  <c r="O156" i="10" s="1"/>
  <c r="I130" i="10"/>
  <c r="K130" i="10" s="1"/>
  <c r="N130" i="10" s="1"/>
  <c r="O130" i="10" s="1"/>
  <c r="I104" i="10"/>
  <c r="K104" i="10" s="1"/>
  <c r="N104" i="10" s="1"/>
  <c r="O104" i="10" s="1"/>
  <c r="I168" i="10"/>
  <c r="K168" i="10" s="1"/>
  <c r="N168" i="10" s="1"/>
  <c r="O168" i="10" s="1"/>
  <c r="I231" i="10"/>
  <c r="K231" i="10" s="1"/>
  <c r="N231" i="10" s="1"/>
  <c r="O231" i="10" s="1"/>
  <c r="I316" i="10"/>
  <c r="K316" i="10" s="1"/>
  <c r="N316" i="10" s="1"/>
  <c r="O316" i="10" s="1"/>
  <c r="I133" i="10"/>
  <c r="K133" i="10" s="1"/>
  <c r="N133" i="10" s="1"/>
  <c r="O133" i="10" s="1"/>
  <c r="I154" i="10"/>
  <c r="K154" i="10" s="1"/>
  <c r="N154" i="10" s="1"/>
  <c r="O154" i="10" s="1"/>
  <c r="I93" i="10"/>
  <c r="K93" i="10" s="1"/>
  <c r="N93" i="10" s="1"/>
  <c r="O93" i="10" s="1"/>
  <c r="I64" i="10"/>
  <c r="K64" i="10" s="1"/>
  <c r="N64" i="10" s="1"/>
  <c r="O64" i="10" s="1"/>
  <c r="I182" i="10"/>
  <c r="K182" i="10" s="1"/>
  <c r="N182" i="10" s="1"/>
  <c r="O182" i="10" s="1"/>
  <c r="I66" i="10"/>
  <c r="K66" i="10" s="1"/>
  <c r="N66" i="10" s="1"/>
  <c r="O66" i="10" s="1"/>
  <c r="I36" i="10"/>
  <c r="K36" i="10" s="1"/>
  <c r="N36" i="10" s="1"/>
  <c r="O36" i="10" s="1"/>
  <c r="I13" i="10"/>
  <c r="K13" i="10" s="1"/>
  <c r="N13" i="10" s="1"/>
  <c r="O13" i="10" s="1"/>
  <c r="I51" i="10"/>
  <c r="K51" i="10" s="1"/>
  <c r="N51" i="10" s="1"/>
  <c r="O51" i="10" s="1"/>
  <c r="I15" i="10"/>
  <c r="K15" i="10" s="1"/>
  <c r="N15" i="10" s="1"/>
  <c r="O15" i="10" s="1"/>
  <c r="I10" i="10"/>
  <c r="K10" i="10" s="1"/>
  <c r="N10" i="10" s="1"/>
  <c r="O10" i="10" s="1"/>
  <c r="I127" i="10"/>
  <c r="K127" i="10" s="1"/>
  <c r="N127" i="10" s="1"/>
  <c r="O127" i="10" s="1"/>
  <c r="I83" i="10"/>
  <c r="K83" i="10" s="1"/>
  <c r="N83" i="10" s="1"/>
  <c r="O83" i="10" s="1"/>
  <c r="I141" i="10"/>
  <c r="K141" i="10" s="1"/>
  <c r="N141" i="10" s="1"/>
  <c r="O141" i="10" s="1"/>
  <c r="I131" i="10"/>
  <c r="K131" i="10" s="1"/>
  <c r="N131" i="10" s="1"/>
  <c r="O131" i="10" s="1"/>
  <c r="I91" i="10"/>
  <c r="K91" i="10" s="1"/>
  <c r="N91" i="10" s="1"/>
  <c r="O91" i="10" s="1"/>
  <c r="I89" i="10"/>
  <c r="K89" i="10" s="1"/>
  <c r="N89" i="10" s="1"/>
  <c r="O89" i="10" s="1"/>
  <c r="I152" i="10"/>
  <c r="K152" i="10" s="1"/>
  <c r="N152" i="10" s="1"/>
  <c r="O152" i="10" s="1"/>
  <c r="I215" i="10"/>
  <c r="K215" i="10" s="1"/>
  <c r="N215" i="10" s="1"/>
  <c r="O215" i="10" s="1"/>
  <c r="I301" i="10"/>
  <c r="K301" i="10" s="1"/>
  <c r="N301" i="10" s="1"/>
  <c r="O301" i="10" s="1"/>
  <c r="I218" i="10"/>
  <c r="K218" i="10" s="1"/>
  <c r="N218" i="10" s="1"/>
  <c r="O218" i="10" s="1"/>
  <c r="I67" i="10"/>
  <c r="K67" i="10" s="1"/>
  <c r="N67" i="10" s="1"/>
  <c r="O67" i="10" s="1"/>
  <c r="I44" i="10"/>
  <c r="K44" i="10" s="1"/>
  <c r="N44" i="10" s="1"/>
  <c r="O44" i="10" s="1"/>
  <c r="I117" i="10"/>
  <c r="K117" i="10" s="1"/>
  <c r="N117" i="10" s="1"/>
  <c r="O117" i="10" s="1"/>
  <c r="I46" i="10"/>
  <c r="K46" i="10" s="1"/>
  <c r="N46" i="10" s="1"/>
  <c r="O46" i="10" s="1"/>
  <c r="I14" i="10"/>
  <c r="K14" i="10" s="1"/>
  <c r="N14" i="10" s="1"/>
  <c r="O14" i="10" s="1"/>
  <c r="I307" i="10"/>
  <c r="K307" i="10" s="1"/>
  <c r="N307" i="10" s="1"/>
  <c r="O307" i="10" s="1"/>
  <c r="I16" i="10"/>
  <c r="K16" i="10" s="1"/>
  <c r="N16" i="10" s="1"/>
  <c r="O16" i="10" s="1"/>
  <c r="I47" i="10"/>
  <c r="K47" i="10" s="1"/>
  <c r="N47" i="10" s="1"/>
  <c r="O47" i="10" s="1"/>
  <c r="I308" i="10"/>
  <c r="K308" i="10" s="1"/>
  <c r="N308" i="10" s="1"/>
  <c r="O308" i="10" s="1"/>
  <c r="I84" i="10"/>
  <c r="K84" i="10" s="1"/>
  <c r="N84" i="10" s="1"/>
  <c r="O84" i="10" s="1"/>
  <c r="I234" i="10"/>
  <c r="K234" i="10" s="1"/>
  <c r="N234" i="10" s="1"/>
  <c r="O234" i="10" s="1"/>
  <c r="I116" i="10"/>
  <c r="K116" i="10" s="1"/>
  <c r="N116" i="10" s="1"/>
  <c r="O116" i="10" s="1"/>
  <c r="I111" i="10"/>
  <c r="K111" i="10" s="1"/>
  <c r="N111" i="10" s="1"/>
  <c r="O111" i="10" s="1"/>
  <c r="I68" i="10"/>
  <c r="K68" i="10" s="1"/>
  <c r="N68" i="10" s="1"/>
  <c r="O68" i="10" s="1"/>
  <c r="I74" i="10"/>
  <c r="K74" i="10" s="1"/>
  <c r="N74" i="10" s="1"/>
  <c r="O74" i="10" s="1"/>
  <c r="I135" i="10"/>
  <c r="K135" i="10" s="1"/>
  <c r="N135" i="10" s="1"/>
  <c r="O135" i="10" s="1"/>
  <c r="I199" i="10"/>
  <c r="K199" i="10" s="1"/>
  <c r="N199" i="10" s="1"/>
  <c r="O199" i="10" s="1"/>
  <c r="I221" i="10"/>
  <c r="K221" i="10" s="1"/>
  <c r="N221" i="10" s="1"/>
  <c r="O221" i="10" s="1"/>
  <c r="I71" i="10"/>
  <c r="K71" i="10" s="1"/>
  <c r="N71" i="10" s="1"/>
  <c r="O71" i="10" s="1"/>
  <c r="I255" i="10"/>
  <c r="K255" i="10" s="1"/>
  <c r="N255" i="10" s="1"/>
  <c r="O255" i="10" s="1"/>
  <c r="I17" i="10"/>
  <c r="K17" i="10" s="1"/>
  <c r="N17" i="10" s="1"/>
  <c r="O17" i="10" s="1"/>
  <c r="I59" i="10"/>
  <c r="K59" i="10" s="1"/>
  <c r="N59" i="10" s="1"/>
  <c r="O59" i="10" s="1"/>
  <c r="I19" i="10"/>
  <c r="K19" i="10" s="1"/>
  <c r="N19" i="10" s="1"/>
  <c r="O19" i="10" s="1"/>
  <c r="I317" i="10"/>
  <c r="K317" i="10" s="1"/>
  <c r="N317" i="10" s="1"/>
  <c r="O317" i="10" s="1"/>
  <c r="I253" i="10"/>
  <c r="K253" i="10" s="1"/>
  <c r="N253" i="10" s="1"/>
  <c r="O253" i="10" s="1"/>
  <c r="I310" i="10"/>
  <c r="K310" i="10" s="1"/>
  <c r="N310" i="10" s="1"/>
  <c r="O310" i="10" s="1"/>
  <c r="I309" i="10"/>
  <c r="K309" i="10" s="1"/>
  <c r="N309" i="10" s="1"/>
  <c r="O309" i="10" s="1"/>
  <c r="I286" i="10"/>
  <c r="K286" i="10" s="1"/>
  <c r="N286" i="10" s="1"/>
  <c r="O286" i="10" s="1"/>
  <c r="I45" i="10"/>
  <c r="K45" i="10" s="1"/>
  <c r="N45" i="10" s="1"/>
  <c r="O45" i="10" s="1"/>
  <c r="I277" i="10"/>
  <c r="K277" i="10" s="1"/>
  <c r="N277" i="10" s="1"/>
  <c r="O277" i="10" s="1"/>
  <c r="I97" i="10"/>
  <c r="K97" i="10" s="1"/>
  <c r="N97" i="10" s="1"/>
  <c r="O97" i="10" s="1"/>
  <c r="I92" i="10"/>
  <c r="K92" i="10" s="1"/>
  <c r="N92" i="10" s="1"/>
  <c r="O92" i="10" s="1"/>
  <c r="I48" i="10"/>
  <c r="K48" i="10" s="1"/>
  <c r="N48" i="10" s="1"/>
  <c r="O48" i="10" s="1"/>
  <c r="I58" i="10"/>
  <c r="K58" i="10" s="1"/>
  <c r="N58" i="10" s="1"/>
  <c r="O58" i="10" s="1"/>
  <c r="I119" i="10"/>
  <c r="K119" i="10" s="1"/>
  <c r="N119" i="10" s="1"/>
  <c r="O119" i="10" s="1"/>
  <c r="I183" i="10"/>
  <c r="K183" i="10" s="1"/>
  <c r="N183" i="10" s="1"/>
  <c r="O183" i="10" s="1"/>
  <c r="I132" i="10"/>
  <c r="K132" i="10" s="1"/>
  <c r="N132" i="10" s="1"/>
  <c r="O132" i="10" s="1"/>
  <c r="I284" i="10"/>
  <c r="K284" i="10" s="1"/>
  <c r="N284" i="10" s="1"/>
  <c r="O284" i="10" s="1"/>
  <c r="I172" i="10"/>
  <c r="K172" i="10" s="1"/>
  <c r="N172" i="10" s="1"/>
  <c r="O172" i="10" s="1"/>
  <c r="I162" i="10"/>
  <c r="K162" i="10" s="1"/>
  <c r="N162" i="10" s="1"/>
  <c r="O162" i="10" s="1"/>
  <c r="I20" i="10"/>
  <c r="K20" i="10" s="1"/>
  <c r="N20" i="10" s="1"/>
  <c r="O20" i="10" s="1"/>
  <c r="I55" i="10"/>
  <c r="K55" i="10" s="1"/>
  <c r="N55" i="10" s="1"/>
  <c r="O55" i="10" s="1"/>
  <c r="I291" i="10"/>
  <c r="K291" i="10" s="1"/>
  <c r="N291" i="10" s="1"/>
  <c r="O291" i="10" s="1"/>
  <c r="I190" i="10"/>
  <c r="K190" i="10" s="1"/>
  <c r="N190" i="10" s="1"/>
  <c r="O190" i="10" s="1"/>
  <c r="I293" i="10"/>
  <c r="K293" i="10" s="1"/>
  <c r="N293" i="10" s="1"/>
  <c r="O293" i="10" s="1"/>
  <c r="I287" i="10"/>
  <c r="K287" i="10" s="1"/>
  <c r="N287" i="10" s="1"/>
  <c r="O287" i="10" s="1"/>
  <c r="I266" i="10"/>
  <c r="K266" i="10" s="1"/>
  <c r="N266" i="10" s="1"/>
  <c r="O266" i="10" s="1"/>
  <c r="I24" i="10"/>
  <c r="K24" i="10" s="1"/>
  <c r="N24" i="10" s="1"/>
  <c r="O24" i="10" s="1"/>
  <c r="I214" i="10"/>
  <c r="K214" i="10" s="1"/>
  <c r="N214" i="10" s="1"/>
  <c r="O214" i="10" s="1"/>
  <c r="I78" i="10"/>
  <c r="K78" i="10" s="1"/>
  <c r="N78" i="10" s="1"/>
  <c r="O78" i="10" s="1"/>
  <c r="I69" i="10"/>
  <c r="K69" i="10" s="1"/>
  <c r="N69" i="10" s="1"/>
  <c r="O69" i="10" s="1"/>
  <c r="I25" i="10"/>
  <c r="K25" i="10" s="1"/>
  <c r="N25" i="10" s="1"/>
  <c r="O25" i="10" s="1"/>
  <c r="I42" i="10"/>
  <c r="K42" i="10" s="1"/>
  <c r="N42" i="10" s="1"/>
  <c r="O42" i="10" s="1"/>
  <c r="I103" i="10"/>
  <c r="K103" i="10" s="1"/>
  <c r="N103" i="10" s="1"/>
  <c r="O103" i="10" s="1"/>
  <c r="I167" i="10"/>
  <c r="K167" i="10" s="1"/>
  <c r="N167" i="10" s="1"/>
  <c r="O167" i="10" s="1"/>
  <c r="I300" i="10"/>
  <c r="K300" i="10" s="1"/>
  <c r="N300" i="10" s="1"/>
  <c r="O300" i="10" s="1"/>
  <c r="I112" i="10"/>
  <c r="K112" i="10" s="1"/>
  <c r="N112" i="10" s="1"/>
  <c r="O112" i="10" s="1"/>
  <c r="I107" i="10"/>
  <c r="K107" i="10" s="1"/>
  <c r="N107" i="10" s="1"/>
  <c r="O107" i="10" s="1"/>
  <c r="I206" i="10"/>
  <c r="K206" i="10" s="1"/>
  <c r="N206" i="10" s="1"/>
  <c r="O206" i="10" s="1"/>
  <c r="I297" i="10"/>
  <c r="K297" i="10" s="1"/>
  <c r="N297" i="10" s="1"/>
  <c r="O297" i="10" s="1"/>
  <c r="I292" i="10"/>
  <c r="K292" i="10" s="1"/>
  <c r="N292" i="10" s="1"/>
  <c r="O292" i="10" s="1"/>
  <c r="I250" i="10"/>
  <c r="K250" i="10" s="1"/>
  <c r="N250" i="10" s="1"/>
  <c r="O250" i="10" s="1"/>
  <c r="I257" i="10"/>
  <c r="K257" i="10" s="1"/>
  <c r="N257" i="10" s="1"/>
  <c r="O257" i="10" s="1"/>
  <c r="I252" i="10"/>
  <c r="K252" i="10" s="1"/>
  <c r="N252" i="10" s="1"/>
  <c r="O252" i="10" s="1"/>
  <c r="I244" i="10"/>
  <c r="K244" i="10" s="1"/>
  <c r="N244" i="10" s="1"/>
  <c r="O244" i="10" s="1"/>
  <c r="I223" i="10"/>
  <c r="K223" i="10" s="1"/>
  <c r="N223" i="10" s="1"/>
  <c r="O223" i="10" s="1"/>
  <c r="I191" i="10"/>
  <c r="K191" i="10" s="1"/>
  <c r="N191" i="10" s="1"/>
  <c r="O191" i="10" s="1"/>
  <c r="I86" i="10"/>
  <c r="K86" i="10" s="1"/>
  <c r="N86" i="10" s="1"/>
  <c r="O86" i="10" s="1"/>
  <c r="I32" i="10"/>
  <c r="K32" i="10" s="1"/>
  <c r="N32" i="10" s="1"/>
  <c r="O32" i="10" s="1"/>
  <c r="I26" i="10"/>
  <c r="K26" i="10" s="1"/>
  <c r="N26" i="10" s="1"/>
  <c r="O26" i="10" s="1"/>
  <c r="I264" i="10"/>
  <c r="K264" i="10" s="1"/>
  <c r="N264" i="10" s="1"/>
  <c r="O264" i="10" s="1"/>
  <c r="I7" i="10"/>
  <c r="K7" i="10" s="1"/>
  <c r="N7" i="10" s="1"/>
  <c r="O7" i="10" s="1"/>
  <c r="I73" i="10"/>
  <c r="K73" i="10" s="1"/>
  <c r="N73" i="10" s="1"/>
  <c r="O73" i="10" s="1"/>
  <c r="I134" i="10"/>
  <c r="K134" i="10" s="1"/>
  <c r="N134" i="10" s="1"/>
  <c r="O134" i="10" s="1"/>
  <c r="I304" i="10"/>
  <c r="K304" i="10" s="1"/>
  <c r="N304" i="10" s="1"/>
  <c r="O304" i="10" s="1"/>
  <c r="I212" i="10"/>
  <c r="K212" i="10" s="1"/>
  <c r="N212" i="10" s="1"/>
  <c r="O212" i="10" s="1"/>
  <c r="I27" i="10"/>
  <c r="K27" i="10" s="1"/>
  <c r="N27" i="10" s="1"/>
  <c r="O27" i="10" s="1"/>
  <c r="I65" i="10"/>
  <c r="K65" i="10" s="1"/>
  <c r="N65" i="10" s="1"/>
  <c r="O65" i="10" s="1"/>
  <c r="I142" i="10"/>
  <c r="K142" i="10" s="1"/>
  <c r="N142" i="10" s="1"/>
  <c r="O142" i="10" s="1"/>
  <c r="I276" i="10"/>
  <c r="K276" i="10" s="1"/>
  <c r="N276" i="10" s="1"/>
  <c r="O276" i="10" s="1"/>
  <c r="I271" i="10"/>
  <c r="K271" i="10" s="1"/>
  <c r="N271" i="10" s="1"/>
  <c r="O271" i="10" s="1"/>
  <c r="I227" i="10"/>
  <c r="K227" i="10" s="1"/>
  <c r="N227" i="10" s="1"/>
  <c r="O227" i="10" s="1"/>
  <c r="I98" i="10"/>
  <c r="K98" i="10" s="1"/>
  <c r="N98" i="10" s="1"/>
  <c r="O98" i="10" s="1"/>
  <c r="I229" i="10"/>
  <c r="K229" i="10" s="1"/>
  <c r="N229" i="10" s="1"/>
  <c r="O229" i="10" s="1"/>
  <c r="I224" i="10"/>
  <c r="K224" i="10" s="1"/>
  <c r="N224" i="10" s="1"/>
  <c r="O224" i="10" s="1"/>
  <c r="I203" i="10"/>
  <c r="K203" i="10" s="1"/>
  <c r="N203" i="10" s="1"/>
  <c r="O203" i="10" s="1"/>
  <c r="I273" i="10"/>
  <c r="K273" i="10" s="1"/>
  <c r="N273" i="10" s="1"/>
  <c r="O273" i="10" s="1"/>
  <c r="I43" i="10"/>
  <c r="K43" i="10" s="1"/>
  <c r="N43" i="10" s="1"/>
  <c r="O43" i="10" s="1"/>
  <c r="I11" i="10"/>
  <c r="K11" i="10" s="1"/>
  <c r="N11" i="10" s="1"/>
  <c r="O11" i="10" s="1"/>
  <c r="I63" i="10"/>
  <c r="K63" i="10" s="1"/>
  <c r="N63" i="10" s="1"/>
  <c r="O63" i="10" s="1"/>
  <c r="I248" i="10"/>
  <c r="K248" i="10" s="1"/>
  <c r="N248" i="10" s="1"/>
  <c r="O248" i="10" s="1"/>
  <c r="I38" i="10"/>
  <c r="K38" i="10" s="1"/>
  <c r="N38" i="10" s="1"/>
  <c r="O38" i="10" s="1"/>
  <c r="I57" i="10"/>
  <c r="K57" i="10" s="1"/>
  <c r="N57" i="10" s="1"/>
  <c r="O57" i="10" s="1"/>
  <c r="I118" i="10"/>
  <c r="K118" i="10" s="1"/>
  <c r="N118" i="10" s="1"/>
  <c r="O118" i="10" s="1"/>
  <c r="I136" i="10"/>
  <c r="K136" i="10" s="1"/>
  <c r="N136" i="10" s="1"/>
  <c r="O136" i="10" s="1"/>
  <c r="I321" i="10"/>
  <c r="K321" i="10" s="1"/>
  <c r="N321" i="10" s="1"/>
  <c r="O321" i="10" s="1"/>
  <c r="I285" i="10"/>
  <c r="K285" i="10" s="1"/>
  <c r="N285" i="10" s="1"/>
  <c r="O285" i="10" s="1"/>
  <c r="I275" i="10"/>
  <c r="K275" i="10" s="1"/>
  <c r="N275" i="10" s="1"/>
  <c r="O275" i="10" s="1"/>
  <c r="I18" i="10"/>
  <c r="K18" i="10" s="1"/>
  <c r="N18" i="10" s="1"/>
  <c r="O18" i="10" s="1"/>
  <c r="I79" i="10"/>
  <c r="K79" i="10" s="1"/>
  <c r="N79" i="10" s="1"/>
  <c r="O79" i="10" s="1"/>
  <c r="I256" i="10"/>
  <c r="K256" i="10" s="1"/>
  <c r="N256" i="10" s="1"/>
  <c r="O256" i="10" s="1"/>
  <c r="I251" i="10"/>
  <c r="K251" i="10" s="1"/>
  <c r="N251" i="10" s="1"/>
  <c r="O251" i="10" s="1"/>
  <c r="I207" i="10"/>
  <c r="K207" i="10" s="1"/>
  <c r="N207" i="10" s="1"/>
  <c r="O207" i="10" s="1"/>
  <c r="I186" i="10"/>
  <c r="K186" i="10" s="1"/>
  <c r="N186" i="10" s="1"/>
  <c r="O186" i="10" s="1"/>
  <c r="I209" i="10"/>
  <c r="K209" i="10" s="1"/>
  <c r="N209" i="10" s="1"/>
  <c r="O209" i="10" s="1"/>
  <c r="I204" i="10"/>
  <c r="K204" i="10" s="1"/>
  <c r="N204" i="10" s="1"/>
  <c r="O204" i="10" s="1"/>
  <c r="I179" i="10"/>
  <c r="K179" i="10" s="1"/>
  <c r="N179" i="10" s="1"/>
  <c r="O179" i="10" s="1"/>
  <c r="I302" i="10"/>
  <c r="K302" i="10" s="1"/>
  <c r="N302" i="10" s="1"/>
  <c r="O302" i="10" s="1"/>
  <c r="I8" i="10"/>
  <c r="K8" i="10" s="1"/>
  <c r="N8" i="10" s="1"/>
  <c r="O8" i="10" s="1"/>
  <c r="I28" i="10"/>
  <c r="K28" i="10" s="1"/>
  <c r="N28" i="10" s="1"/>
  <c r="O28" i="10" s="1"/>
  <c r="I303" i="10"/>
  <c r="K303" i="10" s="1"/>
  <c r="N303" i="10" s="1"/>
  <c r="O303" i="10" s="1"/>
  <c r="I233" i="10"/>
  <c r="K233" i="10" s="1"/>
  <c r="N233" i="10" s="1"/>
  <c r="O233" i="10" s="1"/>
  <c r="I313" i="10"/>
  <c r="K313" i="10" s="1"/>
  <c r="N313" i="10" s="1"/>
  <c r="O313" i="10" s="1"/>
  <c r="I40" i="10"/>
  <c r="K40" i="10" s="1"/>
  <c r="N40" i="10" s="1"/>
  <c r="O40" i="10" s="1"/>
  <c r="I102" i="10"/>
  <c r="K102" i="10" s="1"/>
  <c r="N102" i="10" s="1"/>
  <c r="O102" i="10" s="1"/>
  <c r="I34" i="10"/>
  <c r="K34" i="10" s="1"/>
  <c r="N34" i="10" s="1"/>
  <c r="O34" i="10" s="1"/>
  <c r="I146" i="10"/>
  <c r="K146" i="10" s="1"/>
  <c r="N146" i="10" s="1"/>
  <c r="O146" i="10" s="1"/>
  <c r="I192" i="10"/>
  <c r="K192" i="10" s="1"/>
  <c r="N192" i="10" s="1"/>
  <c r="O192" i="10" s="1"/>
  <c r="I299" i="10"/>
  <c r="K299" i="10" s="1"/>
  <c r="N299" i="10" s="1"/>
  <c r="O299" i="10" s="1"/>
  <c r="I113" i="10"/>
  <c r="K113" i="10" s="1"/>
  <c r="N113" i="10" s="1"/>
  <c r="O113" i="10" s="1"/>
  <c r="I237" i="10"/>
  <c r="K237" i="10" s="1"/>
  <c r="N237" i="10" s="1"/>
  <c r="O237" i="10" s="1"/>
  <c r="I228" i="10"/>
  <c r="K228" i="10" s="1"/>
  <c r="N228" i="10" s="1"/>
  <c r="O228" i="10" s="1"/>
  <c r="I187" i="10"/>
  <c r="K187" i="10" s="1"/>
  <c r="N187" i="10" s="1"/>
  <c r="O187" i="10" s="1"/>
  <c r="I121" i="10"/>
  <c r="K121" i="10" s="1"/>
  <c r="N121" i="10" s="1"/>
  <c r="O121" i="10" s="1"/>
  <c r="I189" i="10"/>
  <c r="K189" i="10" s="1"/>
  <c r="N189" i="10" s="1"/>
  <c r="O189" i="10" s="1"/>
  <c r="I180" i="10"/>
  <c r="K180" i="10" s="1"/>
  <c r="N180" i="10" s="1"/>
  <c r="O180" i="10" s="1"/>
  <c r="I159" i="10"/>
  <c r="K159" i="10" s="1"/>
  <c r="N159" i="10" s="1"/>
  <c r="O159" i="10" s="1"/>
  <c r="I238" i="10"/>
  <c r="K238" i="10" s="1"/>
  <c r="N238" i="10" s="1"/>
  <c r="O238" i="10" s="1"/>
  <c r="I306" i="10"/>
  <c r="K306" i="10" s="1"/>
  <c r="N306" i="10" s="1"/>
  <c r="O306" i="10" s="1"/>
  <c r="I305" i="10"/>
  <c r="K305" i="10" s="1"/>
  <c r="N305" i="10" s="1"/>
  <c r="O305" i="10" s="1"/>
  <c r="I282" i="10"/>
  <c r="K282" i="10" s="1"/>
  <c r="N282" i="10" s="1"/>
  <c r="O282" i="10" s="1"/>
  <c r="I217" i="10"/>
  <c r="K217" i="10" s="1"/>
  <c r="N217" i="10" s="1"/>
  <c r="O217" i="10" s="1"/>
  <c r="I296" i="10"/>
  <c r="K296" i="10" s="1"/>
  <c r="N296" i="10" s="1"/>
  <c r="O296" i="10" s="1"/>
  <c r="I22" i="10"/>
  <c r="K22" i="10" s="1"/>
  <c r="N22" i="10" s="1"/>
  <c r="O22" i="10" s="1"/>
  <c r="I87" i="10"/>
  <c r="K87" i="10" s="1"/>
  <c r="N87" i="10" s="1"/>
  <c r="O87" i="10" s="1"/>
  <c r="I109" i="10"/>
  <c r="K109" i="10" s="1"/>
  <c r="N109" i="10" s="1"/>
  <c r="O109" i="10" s="1"/>
  <c r="I322" i="10"/>
  <c r="K322" i="10" s="1"/>
  <c r="N322" i="10" s="1"/>
  <c r="O322" i="10" s="1"/>
  <c r="I320" i="10"/>
  <c r="K320" i="10" s="1"/>
  <c r="N320" i="10" s="1"/>
  <c r="O320" i="10" s="1"/>
  <c r="I198" i="10"/>
  <c r="K198" i="10" s="1"/>
  <c r="N198" i="10" s="1"/>
  <c r="O198" i="10" s="1"/>
  <c r="I210" i="10"/>
  <c r="K210" i="10" s="1"/>
  <c r="N210" i="10" s="1"/>
  <c r="O210" i="10" s="1"/>
  <c r="I235" i="10"/>
  <c r="K235" i="10" s="1"/>
  <c r="N235" i="10" s="1"/>
  <c r="O235" i="10" s="1"/>
  <c r="I138" i="10"/>
  <c r="K138" i="10" s="1"/>
  <c r="N138" i="10" s="1"/>
  <c r="O138" i="10" s="1"/>
  <c r="I193" i="10"/>
  <c r="K193" i="10" s="1"/>
  <c r="N193" i="10" s="1"/>
  <c r="O193" i="10" s="1"/>
  <c r="I188" i="10"/>
  <c r="K188" i="10" s="1"/>
  <c r="N188" i="10" s="1"/>
  <c r="O188" i="10" s="1"/>
  <c r="I143" i="10"/>
  <c r="K143" i="10" s="1"/>
  <c r="N143" i="10" s="1"/>
  <c r="O143" i="10" s="1"/>
  <c r="I129" i="10"/>
  <c r="K129" i="10" s="1"/>
  <c r="N129" i="10" s="1"/>
  <c r="O129" i="10" s="1"/>
  <c r="I145" i="10"/>
  <c r="K145" i="10" s="1"/>
  <c r="N145" i="10" s="1"/>
  <c r="O145" i="10" s="1"/>
  <c r="I140" i="10"/>
  <c r="K140" i="10" s="1"/>
  <c r="N140" i="10" s="1"/>
  <c r="O140" i="10" s="1"/>
  <c r="I114" i="10"/>
  <c r="K114" i="10" s="1"/>
  <c r="N114" i="10" s="1"/>
  <c r="O114" i="10" s="1"/>
  <c r="I110" i="10"/>
  <c r="K110" i="10" s="1"/>
  <c r="N110" i="10" s="1"/>
  <c r="O110" i="10" s="1"/>
  <c r="I268" i="10"/>
  <c r="K268" i="10" s="1"/>
  <c r="N268" i="10" s="1"/>
  <c r="O268" i="10" s="1"/>
  <c r="I259" i="10"/>
  <c r="K259" i="10" s="1"/>
  <c r="N259" i="10" s="1"/>
  <c r="O259" i="10" s="1"/>
  <c r="I239" i="10"/>
  <c r="K239" i="10" s="1"/>
  <c r="N239" i="10" s="1"/>
  <c r="O239" i="10" s="1"/>
  <c r="I185" i="10"/>
  <c r="K185" i="10" s="1"/>
  <c r="N185" i="10" s="1"/>
  <c r="O185" i="10" s="1"/>
  <c r="I263" i="10"/>
  <c r="K263" i="10" s="1"/>
  <c r="N263" i="10" s="1"/>
  <c r="O263" i="10" s="1"/>
  <c r="I312" i="10"/>
  <c r="K312" i="10" s="1"/>
  <c r="N312" i="10" s="1"/>
  <c r="O312" i="10" s="1"/>
  <c r="I56" i="10"/>
  <c r="K56" i="10" s="1"/>
  <c r="N56" i="10" s="1"/>
  <c r="O56" i="10" s="1"/>
  <c r="I29" i="10"/>
  <c r="K29" i="10" s="1"/>
  <c r="N29" i="10" s="1"/>
  <c r="O29" i="10" s="1"/>
  <c r="I319" i="10"/>
  <c r="K319" i="10" s="1"/>
  <c r="N319" i="10" s="1"/>
  <c r="O319" i="10" s="1"/>
  <c r="I94" i="10"/>
  <c r="K94" i="10" s="1"/>
  <c r="N94" i="10" s="1"/>
  <c r="O94" i="10" s="1"/>
  <c r="I211" i="10"/>
  <c r="K211" i="10" s="1"/>
  <c r="N211" i="10" s="1"/>
  <c r="O211" i="10" s="1"/>
  <c r="I75" i="10"/>
  <c r="K75" i="10" s="1"/>
  <c r="N75" i="10" s="1"/>
  <c r="O75" i="10" s="1"/>
  <c r="I173" i="10"/>
  <c r="K173" i="10" s="1"/>
  <c r="N173" i="10" s="1"/>
  <c r="O173" i="10" s="1"/>
  <c r="I164" i="10"/>
  <c r="K164" i="10" s="1"/>
  <c r="N164" i="10" s="1"/>
  <c r="O164" i="10" s="1"/>
  <c r="I122" i="10"/>
  <c r="K122" i="10" s="1"/>
  <c r="N122" i="10" s="1"/>
  <c r="O122" i="10" s="1"/>
  <c r="I265" i="10"/>
  <c r="K265" i="10" s="1"/>
  <c r="N265" i="10" s="1"/>
  <c r="O265" i="10" s="1"/>
  <c r="I124" i="10"/>
  <c r="K124" i="10" s="1"/>
  <c r="N124" i="10" s="1"/>
  <c r="O124" i="10" s="1"/>
  <c r="I115" i="10"/>
  <c r="K115" i="10" s="1"/>
  <c r="N115" i="10" s="1"/>
  <c r="O115" i="10" s="1"/>
  <c r="I95" i="10"/>
  <c r="K95" i="10" s="1"/>
  <c r="N95" i="10" s="1"/>
  <c r="O95" i="10" s="1"/>
  <c r="I226" i="10"/>
  <c r="K226" i="10" s="1"/>
  <c r="N226" i="10" s="1"/>
  <c r="O226" i="10" s="1"/>
  <c r="I245" i="10"/>
  <c r="K245" i="10" s="1"/>
  <c r="N245" i="10" s="1"/>
  <c r="O245" i="10" s="1"/>
  <c r="I240" i="10"/>
  <c r="K240" i="10" s="1"/>
  <c r="N240" i="10" s="1"/>
  <c r="O240" i="10" s="1"/>
  <c r="I219" i="10"/>
  <c r="K219" i="10" s="1"/>
  <c r="N219" i="10" s="1"/>
  <c r="O219" i="10" s="1"/>
  <c r="I169" i="10"/>
  <c r="K169" i="10" s="1"/>
  <c r="N169" i="10" s="1"/>
  <c r="O169" i="10" s="1"/>
  <c r="I232" i="10"/>
  <c r="K232" i="10" s="1"/>
  <c r="N232" i="10" s="1"/>
  <c r="O232" i="10" s="1"/>
  <c r="I295" i="10"/>
  <c r="K295" i="10" s="1"/>
  <c r="N295" i="10" s="1"/>
  <c r="O295" i="10" s="1"/>
  <c r="I39" i="10"/>
  <c r="K39" i="10" s="1"/>
  <c r="N39" i="10" s="1"/>
  <c r="O39" i="10" s="1"/>
  <c r="I50" i="10"/>
  <c r="K50" i="10" s="1"/>
  <c r="N50" i="10" s="1"/>
  <c r="O50" i="10" s="1"/>
  <c r="I197" i="10"/>
  <c r="K197" i="10" s="1"/>
  <c r="N197" i="10" s="1"/>
  <c r="O197" i="10" s="1"/>
  <c r="I148" i="10"/>
  <c r="K148" i="10" s="1"/>
  <c r="N148" i="10" s="1"/>
  <c r="O148" i="10" s="1"/>
  <c r="I269" i="10"/>
  <c r="K269" i="10" s="1"/>
  <c r="N269" i="10" s="1"/>
  <c r="O269" i="10" s="1"/>
  <c r="I314" i="10"/>
  <c r="K314" i="10" s="1"/>
  <c r="N314" i="10" s="1"/>
  <c r="O314" i="10" s="1"/>
  <c r="I318" i="10"/>
  <c r="K318" i="10" s="1"/>
  <c r="N318" i="10" s="1"/>
  <c r="O318" i="10" s="1"/>
  <c r="I270" i="10"/>
  <c r="K270" i="10" s="1"/>
  <c r="N270" i="10" s="1"/>
  <c r="O270" i="10" s="1"/>
  <c r="I125" i="10"/>
  <c r="K125" i="10" s="1"/>
  <c r="N125" i="10" s="1"/>
  <c r="O125" i="10" s="1"/>
  <c r="I272" i="10"/>
  <c r="K272" i="10" s="1"/>
  <c r="N272" i="10" s="1"/>
  <c r="O272" i="10" s="1"/>
  <c r="I267" i="10"/>
  <c r="K267" i="10" s="1"/>
  <c r="N267" i="10" s="1"/>
  <c r="O267" i="10" s="1"/>
  <c r="I243" i="10"/>
  <c r="K243" i="10" s="1"/>
  <c r="N243" i="10" s="1"/>
  <c r="O243" i="10" s="1"/>
  <c r="I254" i="10"/>
  <c r="K254" i="10" s="1"/>
  <c r="N254" i="10" s="1"/>
  <c r="O254" i="10" s="1"/>
  <c r="I150" i="10"/>
  <c r="K150" i="10" s="1"/>
  <c r="N150" i="10" s="1"/>
  <c r="O150" i="10" s="1"/>
  <c r="I54" i="10"/>
  <c r="K54" i="10" s="1"/>
  <c r="N54" i="10" s="1"/>
  <c r="O54" i="10" s="1"/>
  <c r="I49" i="10"/>
  <c r="K49" i="10" s="1"/>
  <c r="N49" i="10" s="1"/>
  <c r="O49" i="10" s="1"/>
  <c r="I280" i="10"/>
  <c r="K280" i="10" s="1"/>
  <c r="N280" i="10" s="1"/>
  <c r="O280" i="10" s="1"/>
  <c r="I23" i="10"/>
  <c r="K23" i="10" s="1"/>
  <c r="N23" i="10" s="1"/>
  <c r="O23" i="10" s="1"/>
  <c r="I88" i="10"/>
  <c r="K88" i="10" s="1"/>
  <c r="N88" i="10" s="1"/>
  <c r="O88" i="10" s="1"/>
  <c r="I151" i="10"/>
  <c r="K151" i="10" s="1"/>
  <c r="N151" i="10" s="1"/>
  <c r="O151" i="10" s="1"/>
  <c r="I194" i="10"/>
  <c r="K194" i="10" s="1"/>
  <c r="N194" i="10" s="1"/>
  <c r="O194" i="10" s="1"/>
  <c r="I70" i="10"/>
  <c r="K70" i="10" s="1"/>
  <c r="N70" i="10" s="1"/>
  <c r="O70" i="10" s="1"/>
  <c r="I274" i="10"/>
  <c r="K274" i="10" s="1"/>
  <c r="N274" i="10" s="1"/>
  <c r="O274" i="10" s="1"/>
  <c r="I202" i="10"/>
  <c r="K202" i="10" s="1"/>
  <c r="N202" i="10" s="1"/>
  <c r="O202" i="10" s="1"/>
  <c r="I213" i="10"/>
  <c r="K213" i="10" s="1"/>
  <c r="N213" i="10" s="1"/>
  <c r="O213" i="10" s="1"/>
  <c r="I208" i="10"/>
  <c r="K208" i="10" s="1"/>
  <c r="N208" i="10" s="1"/>
  <c r="O208" i="10" s="1"/>
  <c r="I163" i="10"/>
  <c r="K163" i="10" s="1"/>
  <c r="N163" i="10" s="1"/>
  <c r="O163" i="10" s="1"/>
  <c r="I289" i="10"/>
  <c r="K289" i="10" s="1"/>
  <c r="N289" i="10" s="1"/>
  <c r="O289" i="10" s="1"/>
  <c r="I165" i="10"/>
  <c r="K165" i="10" s="1"/>
  <c r="N165" i="10" s="1"/>
  <c r="O165" i="10" s="1"/>
  <c r="I160" i="10"/>
  <c r="K160" i="10" s="1"/>
  <c r="N160" i="10" s="1"/>
  <c r="O160" i="10" s="1"/>
  <c r="I139" i="10"/>
  <c r="K139" i="10" s="1"/>
  <c r="N139" i="10" s="1"/>
  <c r="O139" i="10" s="1"/>
  <c r="I174" i="10"/>
  <c r="K174" i="10" s="1"/>
  <c r="N174" i="10" s="1"/>
  <c r="O174" i="10" s="1"/>
  <c r="I288" i="10"/>
  <c r="K288" i="10" s="1"/>
  <c r="N288" i="10" s="1"/>
  <c r="O288" i="10" s="1"/>
  <c r="I283" i="10"/>
  <c r="K283" i="10" s="1"/>
  <c r="N283" i="10" s="1"/>
  <c r="O283" i="10" s="1"/>
  <c r="I258" i="10"/>
  <c r="K258" i="10" s="1"/>
  <c r="N258" i="10" s="1"/>
  <c r="O258" i="10" s="1"/>
  <c r="I201" i="10"/>
  <c r="K201" i="10" s="1"/>
  <c r="N201" i="10" s="1"/>
  <c r="O201" i="10" s="1"/>
  <c r="I279" i="10"/>
  <c r="K279" i="10" s="1"/>
  <c r="N279" i="10" s="1"/>
  <c r="O279" i="10" s="1"/>
  <c r="I6" i="10"/>
  <c r="K6" i="10" s="1"/>
  <c r="N6" i="10" s="1"/>
  <c r="O6" i="10" s="1"/>
  <c r="I72" i="10"/>
  <c r="K72" i="10" s="1"/>
  <c r="N72" i="10" s="1"/>
  <c r="O72" i="10" s="1"/>
  <c r="I33" i="10"/>
  <c r="K33" i="10" s="1"/>
  <c r="N33" i="10" s="1"/>
  <c r="O33" i="10" s="1"/>
  <c r="E18" i="13"/>
  <c r="I487" i="6"/>
  <c r="M487" i="6" s="1"/>
  <c r="I666" i="6"/>
  <c r="M666" i="6" s="1"/>
  <c r="I926" i="6"/>
  <c r="M926" i="6" s="1"/>
  <c r="I458" i="6"/>
  <c r="I1156" i="6"/>
  <c r="I2059" i="6"/>
  <c r="M2059" i="6" s="1"/>
  <c r="I833" i="6"/>
  <c r="I1899" i="6"/>
  <c r="I388" i="6"/>
  <c r="I678" i="6"/>
  <c r="M678" i="6" s="1"/>
  <c r="I665" i="6"/>
  <c r="I1288" i="6"/>
  <c r="M1288" i="6" s="1"/>
  <c r="I14" i="6"/>
  <c r="M14" i="6" s="1"/>
  <c r="I879" i="6"/>
  <c r="M879" i="6" s="1"/>
  <c r="I241" i="6"/>
  <c r="M241" i="6" s="1"/>
  <c r="I1900" i="6"/>
  <c r="M1900" i="6" s="1"/>
  <c r="I1508" i="6"/>
  <c r="M1508" i="6" s="1"/>
  <c r="I1202" i="6"/>
  <c r="M1202" i="6" s="1"/>
  <c r="I766" i="6"/>
  <c r="I143" i="6"/>
  <c r="I1067" i="6"/>
  <c r="I1634" i="6"/>
  <c r="M1634" i="6" s="1"/>
  <c r="I2197" i="6"/>
  <c r="I1383" i="6"/>
  <c r="M1383" i="6" s="1"/>
  <c r="I2095" i="6"/>
  <c r="I1913" i="6"/>
  <c r="I1400" i="6"/>
  <c r="I2273" i="6"/>
  <c r="I331" i="6"/>
  <c r="M331" i="6" s="1"/>
  <c r="I902" i="6"/>
  <c r="M902" i="6" s="1"/>
  <c r="I288" i="6"/>
  <c r="M288" i="6" s="1"/>
  <c r="I1724" i="6"/>
  <c r="M1724" i="6" s="1"/>
  <c r="I1662" i="6"/>
  <c r="I722" i="6"/>
  <c r="M722" i="6" s="1"/>
  <c r="I841" i="6"/>
  <c r="M841" i="6" s="1"/>
  <c r="I702" i="6"/>
  <c r="I1581" i="6"/>
  <c r="I1652" i="6"/>
  <c r="M1652" i="6" s="1"/>
  <c r="I2094" i="6"/>
  <c r="I1491" i="6"/>
  <c r="I848" i="6"/>
  <c r="I2277" i="6"/>
  <c r="M2277" i="6" s="1"/>
  <c r="I1025" i="6"/>
  <c r="I1398" i="6"/>
  <c r="I195" i="6"/>
  <c r="M195" i="6" s="1"/>
  <c r="I181" i="6"/>
  <c r="M181" i="6" s="1"/>
  <c r="I287" i="6"/>
  <c r="M287" i="6" s="1"/>
  <c r="I169" i="6"/>
  <c r="M169" i="6" s="1"/>
  <c r="I2016" i="6"/>
  <c r="I418" i="6"/>
  <c r="M418" i="6" s="1"/>
  <c r="I627" i="6"/>
  <c r="I591" i="6"/>
  <c r="I2150" i="6"/>
  <c r="I1409" i="6"/>
  <c r="M1409" i="6" s="1"/>
  <c r="I1896" i="6"/>
  <c r="I357" i="6"/>
  <c r="I511" i="6"/>
  <c r="I1979" i="6"/>
  <c r="M1979" i="6" s="1"/>
  <c r="I785" i="6"/>
  <c r="M785" i="6" s="1"/>
  <c r="I2335" i="6"/>
  <c r="M2335" i="6" s="1"/>
  <c r="I578" i="6"/>
  <c r="M578" i="6" s="1"/>
  <c r="I1187" i="6"/>
  <c r="M1187" i="6" s="1"/>
  <c r="I322" i="6"/>
  <c r="M322" i="6" s="1"/>
  <c r="I1791" i="6"/>
  <c r="M1791" i="6" s="1"/>
  <c r="I1648" i="6"/>
  <c r="I2363" i="6"/>
  <c r="M2363" i="6" s="1"/>
  <c r="I1943" i="6"/>
  <c r="I2009" i="6"/>
  <c r="I2092" i="6"/>
  <c r="I280" i="6"/>
  <c r="M280" i="6" s="1"/>
  <c r="I168" i="6"/>
  <c r="I1746" i="6"/>
  <c r="I1472" i="6"/>
  <c r="I1700" i="6"/>
  <c r="M1700" i="6" s="1"/>
  <c r="I51" i="6"/>
  <c r="I595" i="6"/>
  <c r="I2203" i="6"/>
  <c r="M2203" i="6" s="1"/>
  <c r="I1679" i="6"/>
  <c r="M1679" i="6" s="1"/>
  <c r="I1742" i="6"/>
  <c r="M1742" i="6" s="1"/>
  <c r="I391" i="6"/>
  <c r="M391" i="6" s="1"/>
  <c r="I1214" i="6"/>
  <c r="M1214" i="6" s="1"/>
  <c r="I2269" i="6"/>
  <c r="M2269" i="6" s="1"/>
  <c r="I2158" i="6"/>
  <c r="I2229" i="6"/>
  <c r="I173" i="6"/>
  <c r="M173" i="6" s="1"/>
  <c r="I1573" i="6"/>
  <c r="M1573" i="6" s="1"/>
  <c r="I529" i="6"/>
  <c r="I755" i="6"/>
  <c r="M755" i="6" s="1"/>
  <c r="I1139" i="6"/>
  <c r="I363" i="6"/>
  <c r="M363" i="6" s="1"/>
  <c r="I1192" i="6"/>
  <c r="I2227" i="6"/>
  <c r="I1621" i="6"/>
  <c r="M1621" i="6" s="1"/>
  <c r="I1933" i="6"/>
  <c r="M1933" i="6" s="1"/>
  <c r="I1898" i="6"/>
  <c r="M1898" i="6" s="1"/>
  <c r="I375" i="6"/>
  <c r="I2196" i="6"/>
  <c r="I2156" i="6"/>
  <c r="M2156" i="6" s="1"/>
  <c r="I1444" i="6"/>
  <c r="I1219" i="6"/>
  <c r="I154" i="6"/>
  <c r="M154" i="6" s="1"/>
  <c r="I1204" i="6"/>
  <c r="M1204" i="6" s="1"/>
  <c r="I1920" i="6"/>
  <c r="I754" i="6"/>
  <c r="M754" i="6" s="1"/>
  <c r="I1926" i="6"/>
  <c r="I1470" i="6"/>
  <c r="M1470" i="6" s="1"/>
  <c r="I1725" i="6"/>
  <c r="I1473" i="6"/>
  <c r="I46" i="6"/>
  <c r="M46" i="6" s="1"/>
  <c r="I2250" i="6"/>
  <c r="M2250" i="6" s="1"/>
  <c r="I290" i="6"/>
  <c r="M290" i="6" s="1"/>
  <c r="I1892" i="6"/>
  <c r="I1477" i="6"/>
  <c r="I1732" i="6"/>
  <c r="M1732" i="6" s="1"/>
  <c r="I761" i="6"/>
  <c r="I2246" i="6"/>
  <c r="I2198" i="6"/>
  <c r="I2106" i="6"/>
  <c r="M2106" i="6" s="1"/>
  <c r="I852" i="6"/>
  <c r="I2099" i="6"/>
  <c r="I548" i="6"/>
  <c r="I1426" i="6"/>
  <c r="M1426" i="6" s="1"/>
  <c r="I2018" i="6"/>
  <c r="I1495" i="6"/>
  <c r="I1399" i="6"/>
  <c r="M1399" i="6" s="1"/>
  <c r="I1592" i="6"/>
  <c r="M1592" i="6" s="1"/>
  <c r="I1653" i="6"/>
  <c r="M1653" i="6" s="1"/>
  <c r="I270" i="6"/>
  <c r="M270" i="6" s="1"/>
  <c r="I1060" i="6"/>
  <c r="M1060" i="6" s="1"/>
  <c r="I1042" i="6"/>
  <c r="M1042" i="6" s="1"/>
  <c r="I2318" i="6"/>
  <c r="I447" i="6"/>
  <c r="I1213" i="6"/>
  <c r="I751" i="6"/>
  <c r="M751" i="6" s="1"/>
  <c r="I1077" i="6"/>
  <c r="M1077" i="6" s="1"/>
  <c r="I1488" i="6"/>
  <c r="I107" i="6"/>
  <c r="M107" i="6" s="1"/>
  <c r="I2012" i="6"/>
  <c r="M2012" i="6" s="1"/>
  <c r="I1934" i="6"/>
  <c r="I630" i="6"/>
  <c r="I1111" i="6"/>
  <c r="M1111" i="6" s="1"/>
  <c r="I1776" i="6"/>
  <c r="M1776" i="6" s="1"/>
  <c r="I1181" i="6"/>
  <c r="M1181" i="6" s="1"/>
  <c r="I637" i="6"/>
  <c r="M637" i="6" s="1"/>
  <c r="I1703" i="6"/>
  <c r="I1410" i="6"/>
  <c r="M1410" i="6" s="1"/>
  <c r="I1951" i="6"/>
  <c r="I899" i="6"/>
  <c r="I1099" i="6"/>
  <c r="I358" i="6"/>
  <c r="M358" i="6" s="1"/>
  <c r="I555" i="6"/>
  <c r="I337" i="6"/>
  <c r="I1004" i="6"/>
  <c r="I553" i="6"/>
  <c r="M553" i="6" s="1"/>
  <c r="I360" i="6"/>
  <c r="I1750" i="6"/>
  <c r="M1750" i="6" s="1"/>
  <c r="I1890" i="6"/>
  <c r="M1890" i="6" s="1"/>
  <c r="I650" i="6"/>
  <c r="M650" i="6" s="1"/>
  <c r="I1427" i="6"/>
  <c r="M1427" i="6" s="1"/>
  <c r="I1408" i="6"/>
  <c r="M1408" i="6" s="1"/>
  <c r="I295" i="6"/>
  <c r="M295" i="6" s="1"/>
  <c r="I906" i="6"/>
  <c r="M906" i="6" s="1"/>
  <c r="I856" i="6"/>
  <c r="I1790" i="6"/>
  <c r="I518" i="6"/>
  <c r="I167" i="6"/>
  <c r="M167" i="6" s="1"/>
  <c r="I411" i="6"/>
  <c r="I2268" i="6"/>
  <c r="I311" i="6"/>
  <c r="I1331" i="6"/>
  <c r="M1331" i="6" s="1"/>
  <c r="I345" i="6"/>
  <c r="I1744" i="6"/>
  <c r="I1194" i="6"/>
  <c r="M1194" i="6" s="1"/>
  <c r="I150" i="6"/>
  <c r="M150" i="6" s="1"/>
  <c r="I1806" i="6"/>
  <c r="M1806" i="6" s="1"/>
  <c r="I1051" i="6"/>
  <c r="M1051" i="6" s="1"/>
  <c r="I171" i="6"/>
  <c r="I2336" i="6"/>
  <c r="M2336" i="6" s="1"/>
  <c r="I1865" i="6"/>
  <c r="M1865" i="6" s="1"/>
  <c r="I212" i="6"/>
  <c r="I2331" i="6"/>
  <c r="M2331" i="6" s="1"/>
  <c r="I1828" i="6"/>
  <c r="M1828" i="6" s="1"/>
  <c r="I1225" i="6"/>
  <c r="I289" i="6"/>
  <c r="I729" i="6"/>
  <c r="M729" i="6" s="1"/>
  <c r="I1889" i="6"/>
  <c r="M1889" i="6" s="1"/>
  <c r="I1579" i="6"/>
  <c r="I832" i="6"/>
  <c r="I352" i="6"/>
  <c r="M352" i="6" s="1"/>
  <c r="I394" i="6"/>
  <c r="M394" i="6" s="1"/>
  <c r="I603" i="6"/>
  <c r="M603" i="6" s="1"/>
  <c r="I2161" i="6"/>
  <c r="M2161" i="6" s="1"/>
  <c r="I930" i="6"/>
  <c r="M930" i="6" s="1"/>
  <c r="I1068" i="6"/>
  <c r="M1068" i="6" s="1"/>
  <c r="I2165" i="6"/>
  <c r="I836" i="6"/>
  <c r="I1524" i="6"/>
  <c r="M1524" i="6" s="1"/>
  <c r="I1056" i="6"/>
  <c r="M1056" i="6" s="1"/>
  <c r="I1731" i="6"/>
  <c r="M1731" i="6" s="1"/>
  <c r="I2014" i="6"/>
  <c r="I2312" i="6"/>
  <c r="I1543" i="6"/>
  <c r="M1543" i="6" s="1"/>
  <c r="I2063" i="6"/>
  <c r="M2063" i="6" s="1"/>
  <c r="I60" i="6"/>
  <c r="I1615" i="6"/>
  <c r="M1615" i="6" s="1"/>
  <c r="I598" i="6"/>
  <c r="M598" i="6" s="1"/>
  <c r="I1809" i="6"/>
  <c r="M1809" i="6" s="1"/>
  <c r="I1553" i="6"/>
  <c r="M1553" i="6" s="1"/>
  <c r="I2305" i="6"/>
  <c r="I471" i="6"/>
  <c r="M471" i="6" s="1"/>
  <c r="I346" i="6"/>
  <c r="I1226" i="6"/>
  <c r="I2334" i="6"/>
  <c r="M2334" i="6" s="1"/>
  <c r="I669" i="6"/>
  <c r="M669" i="6" s="1"/>
  <c r="I466" i="6"/>
  <c r="I2366" i="6"/>
  <c r="M2366" i="6" s="1"/>
  <c r="I866" i="6"/>
  <c r="I1827" i="6"/>
  <c r="M1827" i="6" s="1"/>
  <c r="I1552" i="6"/>
  <c r="I1770" i="6"/>
  <c r="I1826" i="6"/>
  <c r="M1826" i="6" s="1"/>
  <c r="I2249" i="6"/>
  <c r="M2249" i="6" s="1"/>
  <c r="I2155" i="6"/>
  <c r="M2155" i="6" s="1"/>
  <c r="I1007" i="6"/>
  <c r="M1007" i="6" s="1"/>
  <c r="I1381" i="6"/>
  <c r="M1381" i="6" s="1"/>
  <c r="I698" i="6"/>
  <c r="M698" i="6" s="1"/>
  <c r="I2101" i="6"/>
  <c r="I1647" i="6"/>
  <c r="I886" i="6"/>
  <c r="M886" i="6" s="1"/>
  <c r="I20" i="6"/>
  <c r="M20" i="6" s="1"/>
  <c r="I1984" i="6"/>
  <c r="I860" i="6"/>
  <c r="I2315" i="6"/>
  <c r="I1341" i="6"/>
  <c r="M1341" i="6" s="1"/>
  <c r="I2011" i="6"/>
  <c r="I1061" i="6"/>
  <c r="I250" i="6"/>
  <c r="M250" i="6" s="1"/>
  <c r="I742" i="6"/>
  <c r="M742" i="6" s="1"/>
  <c r="I1906" i="6"/>
  <c r="M1906" i="6" s="1"/>
  <c r="I1689" i="6"/>
  <c r="M1689" i="6" s="1"/>
  <c r="I2199" i="6"/>
  <c r="M2199" i="6" s="1"/>
  <c r="I1448" i="6"/>
  <c r="M1448" i="6" s="1"/>
  <c r="I2108" i="6"/>
  <c r="M2108" i="6" s="1"/>
  <c r="I196" i="6"/>
  <c r="M196" i="6" s="1"/>
  <c r="I2070" i="6"/>
  <c r="M2070" i="6" s="1"/>
  <c r="I2365" i="6"/>
  <c r="M2365" i="6" s="1"/>
  <c r="I2140" i="6"/>
  <c r="M2140" i="6" s="1"/>
  <c r="I2160" i="6"/>
  <c r="M2160" i="6" s="1"/>
  <c r="I347" i="6"/>
  <c r="M347" i="6" s="1"/>
  <c r="I508" i="6"/>
  <c r="M508" i="6" s="1"/>
  <c r="I1923" i="6"/>
  <c r="M1923" i="6" s="1"/>
  <c r="I1401" i="6"/>
  <c r="M1401" i="6" s="1"/>
  <c r="I1259" i="6"/>
  <c r="M1259" i="6" s="1"/>
  <c r="I1893" i="6"/>
  <c r="M1893" i="6" s="1"/>
  <c r="I2065" i="6"/>
  <c r="M2065" i="6" s="1"/>
  <c r="I2078" i="6"/>
  <c r="M2078" i="6" s="1"/>
  <c r="I1807" i="6"/>
  <c r="M1807" i="6" s="1"/>
  <c r="I1925" i="6"/>
  <c r="M1925" i="6" s="1"/>
  <c r="I1864" i="6"/>
  <c r="M1864" i="6" s="1"/>
  <c r="I1474" i="6"/>
  <c r="M1474" i="6" s="1"/>
  <c r="I310" i="6"/>
  <c r="M310" i="6" s="1"/>
  <c r="I583" i="6"/>
  <c r="M583" i="6" s="1"/>
  <c r="I1977" i="6"/>
  <c r="M1977" i="6" s="1"/>
  <c r="I1673" i="6"/>
  <c r="M1673" i="6" s="1"/>
  <c r="I2230" i="6"/>
  <c r="M2230" i="6" s="1"/>
  <c r="I2307" i="6"/>
  <c r="M2307" i="6" s="1"/>
  <c r="I1601" i="6"/>
  <c r="M1601" i="6" s="1"/>
  <c r="I900" i="6"/>
  <c r="M900" i="6" s="1"/>
  <c r="I2244" i="6"/>
  <c r="M2244" i="6" s="1"/>
  <c r="I493" i="6"/>
  <c r="M493" i="6" s="1"/>
  <c r="I1431" i="6"/>
  <c r="M1431" i="6" s="1"/>
  <c r="I1786" i="6"/>
  <c r="M1786" i="6" s="1"/>
  <c r="I1550" i="6"/>
  <c r="M1550" i="6" s="1"/>
  <c r="I2226" i="6"/>
  <c r="M2226" i="6" s="1"/>
  <c r="I749" i="6"/>
  <c r="M749" i="6" s="1"/>
  <c r="I1693" i="6"/>
  <c r="M1693" i="6" s="1"/>
  <c r="I1205" i="6"/>
  <c r="M1205" i="6" s="1"/>
  <c r="I646" i="6"/>
  <c r="M646" i="6" s="1"/>
  <c r="I1588" i="6"/>
  <c r="M1588" i="6" s="1"/>
  <c r="I2035" i="6"/>
  <c r="M2035" i="6" s="1"/>
  <c r="I2015" i="6"/>
  <c r="M2015" i="6" s="1"/>
  <c r="I1549" i="6"/>
  <c r="M1549" i="6" s="1"/>
  <c r="I1140" i="6"/>
  <c r="M1140" i="6" s="1"/>
  <c r="I1805" i="6"/>
  <c r="M1805" i="6" s="1"/>
  <c r="I312" i="6"/>
  <c r="M312" i="6" s="1"/>
  <c r="I2010" i="6"/>
  <c r="M2010" i="6" s="1"/>
  <c r="I1379" i="6"/>
  <c r="M1379" i="6" s="1"/>
  <c r="I889" i="6"/>
  <c r="M889" i="6" s="1"/>
  <c r="I2185" i="6"/>
  <c r="M2185" i="6" s="1"/>
  <c r="I1435" i="6"/>
  <c r="M1435" i="6" s="1"/>
  <c r="I1646" i="6"/>
  <c r="M1646" i="6" s="1"/>
  <c r="I1510" i="6"/>
  <c r="M1510" i="6" s="1"/>
  <c r="I1263" i="6"/>
  <c r="M1263" i="6" s="1"/>
  <c r="I1719" i="6"/>
  <c r="M1719" i="6" s="1"/>
  <c r="I1982" i="6"/>
  <c r="M1982" i="6" s="1"/>
  <c r="I1772" i="6"/>
  <c r="M1772" i="6" s="1"/>
  <c r="I1378" i="6"/>
  <c r="M1378" i="6" s="1"/>
  <c r="I1411" i="6"/>
  <c r="M1411" i="6" s="1"/>
  <c r="I1604" i="6"/>
  <c r="M1604" i="6" s="1"/>
  <c r="I870" i="6"/>
  <c r="M870" i="6" s="1"/>
  <c r="I1779" i="6"/>
  <c r="M1779" i="6" s="1"/>
  <c r="I209" i="6"/>
  <c r="M209" i="6" s="1"/>
  <c r="I59" i="6"/>
  <c r="M59" i="6" s="1"/>
  <c r="I1013" i="6"/>
  <c r="M1013" i="6" s="1"/>
  <c r="I868" i="6"/>
  <c r="M868" i="6" s="1"/>
  <c r="I1722" i="6"/>
  <c r="M1722" i="6" s="1"/>
  <c r="I257" i="6"/>
  <c r="M257" i="6" s="1"/>
  <c r="I362" i="6"/>
  <c r="M362" i="6" s="1"/>
  <c r="I1739" i="6"/>
  <c r="M1739" i="6" s="1"/>
  <c r="I1255" i="6"/>
  <c r="M1255" i="6" s="1"/>
  <c r="I389" i="6"/>
  <c r="M389" i="6" s="1"/>
  <c r="I1412" i="6"/>
  <c r="M1412" i="6" s="1"/>
  <c r="I1974" i="6"/>
  <c r="M1974" i="6" s="1"/>
  <c r="I706" i="6"/>
  <c r="M706" i="6" s="1"/>
  <c r="I2313" i="6"/>
  <c r="M2313" i="6" s="1"/>
  <c r="I2154" i="6"/>
  <c r="M2154" i="6" s="1"/>
  <c r="I1909" i="6"/>
  <c r="M1909" i="6" s="1"/>
  <c r="I2207" i="6"/>
  <c r="M2207" i="6" s="1"/>
  <c r="I1469" i="6"/>
  <c r="M1469" i="6" s="1"/>
  <c r="I2098" i="6"/>
  <c r="M2098" i="6" s="1"/>
  <c r="I378" i="6"/>
  <c r="M378" i="6" s="1"/>
  <c r="I549" i="6"/>
  <c r="M549" i="6" s="1"/>
  <c r="I2169" i="6"/>
  <c r="M2169" i="6" s="1"/>
  <c r="I2159" i="6"/>
  <c r="M2159" i="6" s="1"/>
  <c r="I2288" i="6"/>
  <c r="M2288" i="6" s="1"/>
  <c r="I1380" i="6"/>
  <c r="M1380" i="6" s="1"/>
  <c r="I2204" i="6"/>
  <c r="M2204" i="6" s="1"/>
  <c r="I1599" i="6"/>
  <c r="M1599" i="6" s="1"/>
  <c r="I2319" i="6"/>
  <c r="M2319" i="6" s="1"/>
  <c r="I1717" i="6"/>
  <c r="M1717" i="6" s="1"/>
  <c r="I202" i="6"/>
  <c r="M202" i="6" s="1"/>
  <c r="I566" i="6"/>
  <c r="M566" i="6" s="1"/>
  <c r="I1743" i="6"/>
  <c r="M1743" i="6" s="1"/>
  <c r="I1654" i="6"/>
  <c r="M1654" i="6" s="1"/>
  <c r="I1687" i="6"/>
  <c r="M1687" i="6" s="1"/>
  <c r="I1711" i="6"/>
  <c r="M1711" i="6" s="1"/>
  <c r="I2151" i="6"/>
  <c r="M2151" i="6" s="1"/>
  <c r="I2122" i="6"/>
  <c r="M2122" i="6" s="1"/>
  <c r="I1629" i="6"/>
  <c r="M1629" i="6" s="1"/>
  <c r="I1738" i="6"/>
  <c r="M1738" i="6" s="1"/>
  <c r="I2292" i="6"/>
  <c r="M2292" i="6" s="1"/>
  <c r="I2205" i="6"/>
  <c r="M2205" i="6" s="1"/>
  <c r="I1863" i="6"/>
  <c r="M1863" i="6" s="1"/>
  <c r="I49" i="6"/>
  <c r="M49" i="6" s="1"/>
  <c r="I313" i="6"/>
  <c r="M313" i="6" s="1"/>
  <c r="I884" i="6"/>
  <c r="M884" i="6" s="1"/>
  <c r="I1057" i="6"/>
  <c r="M1057" i="6" s="1"/>
  <c r="I1988" i="6"/>
  <c r="M1988" i="6" s="1"/>
  <c r="I1414" i="6"/>
  <c r="M1414" i="6" s="1"/>
  <c r="I560" i="6"/>
  <c r="M560" i="6" s="1"/>
  <c r="I1884" i="6"/>
  <c r="M1884" i="6" s="1"/>
  <c r="I1983" i="6"/>
  <c r="M1983" i="6" s="1"/>
  <c r="I416" i="6"/>
  <c r="M416" i="6" s="1"/>
  <c r="I2041" i="6"/>
  <c r="M2041" i="6" s="1"/>
  <c r="I1869" i="6"/>
  <c r="M1869" i="6" s="1"/>
  <c r="I587" i="6"/>
  <c r="M587" i="6" s="1"/>
  <c r="I1358" i="6"/>
  <c r="M1358" i="6" s="1"/>
  <c r="I264" i="6"/>
  <c r="M264" i="6" s="1"/>
  <c r="I697" i="6"/>
  <c r="M697" i="6" s="1"/>
  <c r="I1963" i="6"/>
  <c r="M1963" i="6" s="1"/>
  <c r="I628" i="6"/>
  <c r="M628" i="6" s="1"/>
  <c r="I1572" i="6"/>
  <c r="M1572" i="6" s="1"/>
  <c r="I436" i="6"/>
  <c r="M436" i="6" s="1"/>
  <c r="I48" i="6"/>
  <c r="M48" i="6" s="1"/>
  <c r="I539" i="6"/>
  <c r="M539" i="6" s="1"/>
  <c r="I1656" i="6"/>
  <c r="M1656" i="6" s="1"/>
  <c r="I1344" i="6"/>
  <c r="M1344" i="6" s="1"/>
  <c r="I1540" i="6"/>
  <c r="M1540" i="6" s="1"/>
  <c r="I1134" i="6"/>
  <c r="M1134" i="6" s="1"/>
  <c r="I2314" i="6"/>
  <c r="M2314" i="6" s="1"/>
  <c r="I1981" i="6"/>
  <c r="M1981" i="6" s="1"/>
  <c r="I916" i="6"/>
  <c r="M916" i="6" s="1"/>
  <c r="I157" i="6"/>
  <c r="M157" i="6" s="1"/>
  <c r="I1271" i="6"/>
  <c r="M1271" i="6" s="1"/>
  <c r="I2293" i="6"/>
  <c r="M2293" i="6" s="1"/>
  <c r="I1861" i="6"/>
  <c r="M1861" i="6" s="1"/>
  <c r="I424" i="6"/>
  <c r="M424" i="6" s="1"/>
  <c r="I242" i="6"/>
  <c r="M242" i="6" s="1"/>
  <c r="I1924" i="6"/>
  <c r="M1924" i="6" s="1"/>
  <c r="I1169" i="6"/>
  <c r="M1169" i="6" s="1"/>
  <c r="I2364" i="6"/>
  <c r="M2364" i="6" s="1"/>
  <c r="I1787" i="6"/>
  <c r="M1787" i="6" s="1"/>
  <c r="I1490" i="6"/>
  <c r="M1490" i="6" s="1"/>
  <c r="I1897" i="6"/>
  <c r="M1897" i="6" s="1"/>
  <c r="I1518" i="6"/>
  <c r="M1518" i="6" s="1"/>
  <c r="I575" i="6"/>
  <c r="M575" i="6" s="1"/>
  <c r="I593" i="6"/>
  <c r="M593" i="6" s="1"/>
  <c r="I1950" i="6"/>
  <c r="M1950" i="6" s="1"/>
  <c r="I156" i="6"/>
  <c r="M156" i="6" s="1"/>
  <c r="I456" i="6"/>
  <c r="M456" i="6" s="1"/>
  <c r="I1135" i="6"/>
  <c r="M1135" i="6" s="1"/>
  <c r="I1476" i="6"/>
  <c r="M1476" i="6" s="1"/>
  <c r="I2243" i="6"/>
  <c r="M2243" i="6" s="1"/>
  <c r="I460" i="6"/>
  <c r="M460" i="6" s="1"/>
  <c r="I30" i="6"/>
  <c r="M30" i="6" s="1"/>
  <c r="I1073" i="6"/>
  <c r="M1073" i="6" s="1"/>
  <c r="I1348" i="6"/>
  <c r="M1348" i="6" s="1"/>
  <c r="I1345" i="6"/>
  <c r="M1345" i="6" s="1"/>
  <c r="I1227" i="6"/>
  <c r="M1227" i="6" s="1"/>
  <c r="I1580" i="6"/>
  <c r="M1580" i="6" s="1"/>
  <c r="I775" i="6"/>
  <c r="M775" i="6" s="1"/>
  <c r="I1355" i="6"/>
  <c r="M1355" i="6" s="1"/>
  <c r="I128" i="6"/>
  <c r="M128" i="6" s="1"/>
  <c r="I1803" i="6"/>
  <c r="M1803" i="6" s="1"/>
  <c r="I765" i="6"/>
  <c r="M765" i="6" s="1"/>
  <c r="I2231" i="6"/>
  <c r="M2231" i="6" s="1"/>
  <c r="I1207" i="6"/>
  <c r="M1207" i="6" s="1"/>
  <c r="I1655" i="6"/>
  <c r="M1655" i="6" s="1"/>
  <c r="I1808" i="6"/>
  <c r="M1808" i="6" s="1"/>
  <c r="I1340" i="6"/>
  <c r="M1340" i="6" s="1"/>
  <c r="I142" i="6"/>
  <c r="M142" i="6" s="1"/>
  <c r="I1480" i="6"/>
  <c r="M1480" i="6" s="1"/>
  <c r="I1382" i="6"/>
  <c r="M1382" i="6" s="1"/>
  <c r="I1368" i="6"/>
  <c r="M1368" i="6" s="1"/>
  <c r="I1115" i="6"/>
  <c r="M1115" i="6" s="1"/>
  <c r="I830" i="6"/>
  <c r="M830" i="6" s="1"/>
  <c r="I1257" i="6"/>
  <c r="M1257" i="6" s="1"/>
  <c r="I499" i="6"/>
  <c r="M499" i="6" s="1"/>
  <c r="I1031" i="6"/>
  <c r="M1031" i="6" s="1"/>
  <c r="I2332" i="6"/>
  <c r="M2332" i="6" s="1"/>
  <c r="I329" i="6"/>
  <c r="M329" i="6" s="1"/>
  <c r="I840" i="6"/>
  <c r="M840" i="6" s="1"/>
  <c r="I1471" i="6"/>
  <c r="M1471" i="6" s="1"/>
  <c r="I1605" i="6"/>
  <c r="M1605" i="6" s="1"/>
  <c r="I728" i="6"/>
  <c r="M728" i="6" s="1"/>
  <c r="I457" i="6"/>
  <c r="M457" i="6" s="1"/>
  <c r="I2049" i="6"/>
  <c r="M2049" i="6" s="1"/>
  <c r="I492" i="6"/>
  <c r="M492" i="6" s="1"/>
  <c r="I865" i="6"/>
  <c r="M865" i="6" s="1"/>
  <c r="I1509" i="6"/>
  <c r="M1509" i="6" s="1"/>
  <c r="I444" i="6"/>
  <c r="M444" i="6" s="1"/>
  <c r="I677" i="6"/>
  <c r="M677" i="6" s="1"/>
  <c r="I2036" i="6"/>
  <c r="M2036" i="6" s="1"/>
  <c r="I1432" i="6"/>
  <c r="M1432" i="6" s="1"/>
  <c r="I2053" i="6"/>
  <c r="M2053" i="6" s="1"/>
  <c r="I2248" i="6"/>
  <c r="M2248" i="6" s="1"/>
  <c r="I1087" i="6"/>
  <c r="M1087" i="6" s="1"/>
  <c r="I475" i="6"/>
  <c r="M475" i="6" s="1"/>
  <c r="I625" i="6"/>
  <c r="M625" i="6" s="1"/>
  <c r="I412" i="6"/>
  <c r="M412" i="6" s="1"/>
  <c r="I1545" i="6"/>
  <c r="M1545" i="6" s="1"/>
  <c r="I606" i="6"/>
  <c r="M606" i="6" s="1"/>
  <c r="I240" i="6"/>
  <c r="M240" i="6" s="1"/>
  <c r="I1862" i="6"/>
  <c r="M1862" i="6" s="1"/>
  <c r="I435" i="6"/>
  <c r="M435" i="6" s="1"/>
  <c r="I2184" i="6"/>
  <c r="M2184" i="6" s="1"/>
  <c r="I2100" i="6"/>
  <c r="M2100" i="6" s="1"/>
  <c r="I1289" i="6"/>
  <c r="M1289" i="6" s="1"/>
  <c r="I2013" i="6"/>
  <c r="M2013" i="6" s="1"/>
  <c r="I1197" i="6"/>
  <c r="M1197" i="6" s="1"/>
  <c r="I2111" i="6"/>
  <c r="M2111" i="6" s="1"/>
  <c r="I2317" i="6"/>
  <c r="M2317" i="6" s="1"/>
  <c r="I1266" i="6"/>
  <c r="M1266" i="6" s="1"/>
  <c r="I47" i="6"/>
  <c r="M47" i="6" s="1"/>
  <c r="I626" i="6"/>
  <c r="M626" i="6" s="1"/>
  <c r="I2007" i="6"/>
  <c r="M2007" i="6" s="1"/>
  <c r="I1761" i="6"/>
  <c r="M1761" i="6" s="1"/>
  <c r="I1730" i="6"/>
  <c r="M1730" i="6" s="1"/>
  <c r="I223" i="6"/>
  <c r="M223" i="6" s="1"/>
  <c r="I255" i="6"/>
  <c r="M255" i="6" s="1"/>
  <c r="I520" i="6"/>
  <c r="M520" i="6" s="1"/>
  <c r="I559" i="6"/>
  <c r="M559" i="6" s="1"/>
  <c r="I2245" i="6"/>
  <c r="M2245" i="6" s="1"/>
  <c r="I910" i="6"/>
  <c r="M910" i="6" s="1"/>
  <c r="I516" i="6"/>
  <c r="M516" i="6" s="1"/>
  <c r="I405" i="6"/>
  <c r="M405" i="6" s="1"/>
  <c r="I1186" i="6"/>
  <c r="M1186" i="6" s="1"/>
  <c r="I1178" i="6"/>
  <c r="M1178" i="6" s="1"/>
  <c r="I1012" i="6"/>
  <c r="M1012" i="6" s="1"/>
  <c r="I710" i="6"/>
  <c r="M710" i="6" s="1"/>
  <c r="I1032" i="6"/>
  <c r="M1032" i="6" s="1"/>
  <c r="I853" i="6"/>
  <c r="M853" i="6" s="1"/>
  <c r="I701" i="6"/>
  <c r="M701" i="6" s="1"/>
  <c r="I404" i="6"/>
  <c r="M404" i="6" s="1"/>
  <c r="I567" i="6"/>
  <c r="M567" i="6" s="1"/>
  <c r="I1044" i="6"/>
  <c r="M1044" i="6" s="1"/>
  <c r="I2109" i="6"/>
  <c r="M2109" i="6" s="1"/>
  <c r="I686" i="6"/>
  <c r="M686" i="6" s="1"/>
  <c r="I1947" i="6"/>
  <c r="M1947" i="6" s="1"/>
  <c r="I528" i="6"/>
  <c r="M528" i="6" s="1"/>
  <c r="I1424" i="6"/>
  <c r="M1424" i="6" s="1"/>
  <c r="I453" i="6"/>
  <c r="M453" i="6" s="1"/>
  <c r="I693" i="6"/>
  <c r="M693" i="6" s="1"/>
  <c r="I414" i="6"/>
  <c r="M414" i="6" s="1"/>
  <c r="I523" i="6"/>
  <c r="M523" i="6" s="1"/>
  <c r="I1050" i="6"/>
  <c r="M1050" i="6" s="1"/>
  <c r="I474" i="6"/>
  <c r="M474" i="6" s="1"/>
  <c r="I849" i="6"/>
  <c r="M849" i="6" s="1"/>
  <c r="I544" i="6"/>
  <c r="M544" i="6" s="1"/>
  <c r="I1797" i="6"/>
  <c r="M1797" i="6" s="1"/>
  <c r="I2210" i="6"/>
  <c r="M2210" i="6" s="1"/>
  <c r="I401" i="6"/>
  <c r="M401" i="6" s="1"/>
  <c r="I1066" i="6"/>
  <c r="M1066" i="6" s="1"/>
  <c r="I524" i="6"/>
  <c r="M524" i="6" s="1"/>
  <c r="I658" i="6"/>
  <c r="M658" i="6" s="1"/>
  <c r="I2212" i="6"/>
  <c r="M2212" i="6" s="1"/>
  <c r="I1058" i="6"/>
  <c r="M1058" i="6" s="1"/>
  <c r="I1785" i="6"/>
  <c r="M1785" i="6" s="1"/>
  <c r="I540" i="6"/>
  <c r="M540" i="6" s="1"/>
  <c r="I1010" i="6"/>
  <c r="M1010" i="6" s="1"/>
  <c r="I1046" i="6"/>
  <c r="M1046" i="6" s="1"/>
  <c r="I507" i="6"/>
  <c r="M507" i="6" s="1"/>
  <c r="I862" i="6"/>
  <c r="M862" i="6" s="1"/>
  <c r="I1584" i="6"/>
  <c r="M1584" i="6" s="1"/>
  <c r="I730" i="6"/>
  <c r="M730" i="6" s="1"/>
  <c r="I187" i="6"/>
  <c r="M187" i="6" s="1"/>
  <c r="I1449" i="6"/>
  <c r="M1449" i="6" s="1"/>
  <c r="I1247" i="6"/>
  <c r="M1247" i="6" s="1"/>
  <c r="I825" i="6"/>
  <c r="M825" i="6" s="1"/>
  <c r="I204" i="6"/>
  <c r="M204" i="6" s="1"/>
  <c r="I1987" i="6"/>
  <c r="M1987" i="6" s="1"/>
  <c r="I306" i="6"/>
  <c r="M306" i="6" s="1"/>
  <c r="I165" i="6"/>
  <c r="M165" i="6" s="1"/>
  <c r="I2263" i="6"/>
  <c r="M2263" i="6" s="1"/>
  <c r="I1660" i="6"/>
  <c r="M1660" i="6" s="1"/>
  <c r="I1260" i="6"/>
  <c r="M1260" i="6" s="1"/>
  <c r="I177" i="6"/>
  <c r="M177" i="6" s="1"/>
  <c r="I767" i="6"/>
  <c r="M767" i="6" s="1"/>
  <c r="I654" i="6"/>
  <c r="M654" i="6" s="1"/>
  <c r="I1076" i="6"/>
  <c r="M1076" i="6" s="1"/>
  <c r="I732" i="6"/>
  <c r="M732" i="6" s="1"/>
  <c r="I1641" i="6"/>
  <c r="M1641" i="6" s="1"/>
  <c r="I2058" i="6"/>
  <c r="M2058" i="6" s="1"/>
  <c r="I1243" i="6"/>
  <c r="M1243" i="6" s="1"/>
  <c r="I2057" i="6"/>
  <c r="M2057" i="6" s="1"/>
  <c r="I1209" i="6"/>
  <c r="M1209" i="6" s="1"/>
  <c r="I1575" i="6"/>
  <c r="M1575" i="6" s="1"/>
  <c r="I52" i="6"/>
  <c r="M52" i="6" s="1"/>
  <c r="I737" i="6"/>
  <c r="M737" i="6" s="1"/>
  <c r="I296" i="6"/>
  <c r="M296" i="6" s="1"/>
  <c r="I1937" i="6"/>
  <c r="M1937" i="6" s="1"/>
  <c r="I1551" i="6"/>
  <c r="M1551" i="6" s="1"/>
  <c r="I703" i="6"/>
  <c r="M703" i="6" s="1"/>
  <c r="I635" i="6"/>
  <c r="M635" i="6" s="1"/>
  <c r="I1045" i="6"/>
  <c r="M1045" i="6" s="1"/>
  <c r="I614" i="6"/>
  <c r="M614" i="6" s="1"/>
  <c r="I821" i="6"/>
  <c r="M821" i="6" s="1"/>
  <c r="I56" i="6"/>
  <c r="M56" i="6" s="1"/>
  <c r="I604" i="6"/>
  <c r="M604" i="6" s="1"/>
  <c r="I1962" i="6"/>
  <c r="M1962" i="6" s="1"/>
  <c r="I651" i="6"/>
  <c r="M651" i="6" s="1"/>
  <c r="I846" i="6"/>
  <c r="M846" i="6" s="1"/>
  <c r="I1483" i="6"/>
  <c r="M1483" i="6" s="1"/>
  <c r="I689" i="6"/>
  <c r="M689" i="6" s="1"/>
  <c r="I1394" i="6"/>
  <c r="M1394" i="6" s="1"/>
  <c r="I1405" i="6"/>
  <c r="M1405" i="6" s="1"/>
  <c r="I1478" i="6"/>
  <c r="M1478" i="6" s="1"/>
  <c r="I2136" i="6"/>
  <c r="M2136" i="6" s="1"/>
  <c r="I1342" i="6"/>
  <c r="M1342" i="6" s="1"/>
  <c r="I1079" i="6"/>
  <c r="M1079" i="6" s="1"/>
  <c r="I1193" i="6"/>
  <c r="M1193" i="6" s="1"/>
  <c r="I771" i="6"/>
  <c r="M771" i="6" s="1"/>
  <c r="I1070" i="6"/>
  <c r="M1070" i="6" s="1"/>
  <c r="I2261" i="6"/>
  <c r="M2261" i="6" s="1"/>
  <c r="I683" i="6"/>
  <c r="M683" i="6" s="1"/>
  <c r="I355" i="6"/>
  <c r="M355" i="6" s="1"/>
  <c r="I752" i="6"/>
  <c r="M752" i="6" s="1"/>
  <c r="I2239" i="6"/>
  <c r="M2239" i="6" s="1"/>
  <c r="I911" i="6"/>
  <c r="M911" i="6" s="1"/>
  <c r="I837" i="6"/>
  <c r="M837" i="6" s="1"/>
  <c r="I2255" i="6"/>
  <c r="M2255" i="6" s="1"/>
  <c r="I2217" i="6"/>
  <c r="M2217" i="6" s="1"/>
  <c r="I2265" i="6"/>
  <c r="M2265" i="6" s="1"/>
  <c r="I1694" i="6"/>
  <c r="M1694" i="6" s="1"/>
  <c r="I184" i="6"/>
  <c r="M184" i="6" s="1"/>
  <c r="I2050" i="6"/>
  <c r="M2050" i="6" s="1"/>
  <c r="I417" i="6"/>
  <c r="M417" i="6" s="1"/>
  <c r="I2329" i="6"/>
  <c r="M2329" i="6" s="1"/>
  <c r="I1457" i="6"/>
  <c r="M1457" i="6" s="1"/>
  <c r="I2234" i="6"/>
  <c r="M2234" i="6" s="1"/>
  <c r="I643" i="6"/>
  <c r="M643" i="6" s="1"/>
  <c r="I382" i="6"/>
  <c r="M382" i="6" s="1"/>
  <c r="I2114" i="6"/>
  <c r="M2114" i="6" s="1"/>
  <c r="I353" i="6"/>
  <c r="M353" i="6" s="1"/>
  <c r="I1245" i="6"/>
  <c r="M1245" i="6" s="1"/>
  <c r="I1726" i="6"/>
  <c r="M1726" i="6" s="1"/>
  <c r="I1684" i="6"/>
  <c r="M1684" i="6" s="1"/>
  <c r="I225" i="6"/>
  <c r="M225" i="6" s="1"/>
  <c r="I1353" i="6"/>
  <c r="M1353" i="6" s="1"/>
  <c r="I203" i="6"/>
  <c r="M203" i="6" s="1"/>
  <c r="I769" i="6"/>
  <c r="M769" i="6" s="1"/>
  <c r="I1024" i="6"/>
  <c r="M1024" i="6" s="1"/>
  <c r="I2201" i="6"/>
  <c r="M2201" i="6" s="1"/>
  <c r="I2102" i="6"/>
  <c r="M2102" i="6" s="1"/>
  <c r="I1496" i="6"/>
  <c r="M1496" i="6" s="1"/>
  <c r="I451" i="6"/>
  <c r="M451" i="6" s="1"/>
  <c r="I452" i="6"/>
  <c r="M452" i="6" s="1"/>
  <c r="I610" i="6"/>
  <c r="M610" i="6" s="1"/>
  <c r="I2067" i="6"/>
  <c r="M2067" i="6" s="1"/>
  <c r="I1815" i="6"/>
  <c r="M1815" i="6" s="1"/>
  <c r="I649" i="6"/>
  <c r="M649" i="6" s="1"/>
  <c r="I2056" i="6"/>
  <c r="M2056" i="6" s="1"/>
  <c r="I525" i="6"/>
  <c r="M525" i="6" s="1"/>
  <c r="I1171" i="6"/>
  <c r="M1171" i="6" s="1"/>
  <c r="I714" i="6"/>
  <c r="M714" i="6" s="1"/>
  <c r="I1170" i="6"/>
  <c r="M1170" i="6" s="1"/>
  <c r="I760" i="6"/>
  <c r="M760" i="6" s="1"/>
  <c r="I1393" i="6"/>
  <c r="M1393" i="6" s="1"/>
  <c r="I1542" i="6"/>
  <c r="M1542" i="6" s="1"/>
  <c r="I2233" i="6"/>
  <c r="M2233" i="6" s="1"/>
  <c r="I831" i="6"/>
  <c r="M831" i="6" s="1"/>
  <c r="I586" i="6"/>
  <c r="M586" i="6" s="1"/>
  <c r="I738" i="6"/>
  <c r="M738" i="6" s="1"/>
  <c r="I564" i="6"/>
  <c r="M564" i="6" s="1"/>
  <c r="I1183" i="6"/>
  <c r="M1183" i="6" s="1"/>
  <c r="I1351" i="6"/>
  <c r="M1351" i="6" s="1"/>
  <c r="I1451" i="6"/>
  <c r="M1451" i="6" s="1"/>
  <c r="I744" i="6"/>
  <c r="M744" i="6" s="1"/>
  <c r="I1019" i="6"/>
  <c r="M1019" i="6" s="1"/>
  <c r="I1740" i="6"/>
  <c r="M1740" i="6" s="1"/>
  <c r="I735" i="6"/>
  <c r="M735" i="6" s="1"/>
  <c r="I178" i="6"/>
  <c r="M178" i="6" s="1"/>
  <c r="I1482" i="6"/>
  <c r="M1482" i="6" s="1"/>
  <c r="I2326" i="6"/>
  <c r="M2326" i="6" s="1"/>
  <c r="I2181" i="6"/>
  <c r="M2181" i="6" s="1"/>
  <c r="I1141" i="6"/>
  <c r="M1141" i="6" s="1"/>
  <c r="I1005" i="6"/>
  <c r="M1005" i="6" s="1"/>
  <c r="I138" i="6"/>
  <c r="M138" i="6" s="1"/>
  <c r="I907" i="6"/>
  <c r="M907" i="6" s="1"/>
  <c r="I851" i="6"/>
  <c r="M851" i="6" s="1"/>
  <c r="I2275" i="6"/>
  <c r="M2275" i="6" s="1"/>
  <c r="I652" i="6"/>
  <c r="M652" i="6" s="1"/>
  <c r="I1775" i="6"/>
  <c r="M1775" i="6" s="1"/>
  <c r="I927" i="6"/>
  <c r="M927" i="6" s="1"/>
  <c r="I1880" i="6"/>
  <c r="M1880" i="6" s="1"/>
  <c r="I1201" i="6"/>
  <c r="M1201" i="6" s="1"/>
  <c r="I1873" i="6"/>
  <c r="M1873" i="6" s="1"/>
  <c r="I2251" i="6"/>
  <c r="M2251" i="6" s="1"/>
  <c r="I217" i="6"/>
  <c r="M217" i="6" s="1"/>
  <c r="I2348" i="6"/>
  <c r="M2348" i="6" s="1"/>
  <c r="I869" i="6"/>
  <c r="M869" i="6" s="1"/>
  <c r="I908" i="6"/>
  <c r="M908" i="6" s="1"/>
  <c r="I716" i="6"/>
  <c r="M716" i="6" s="1"/>
  <c r="I61" i="6"/>
  <c r="M61" i="6" s="1"/>
  <c r="I380" i="6"/>
  <c r="M380" i="6" s="1"/>
  <c r="I2117" i="6"/>
  <c r="M2117" i="6" s="1"/>
  <c r="I1949" i="6"/>
  <c r="M1949" i="6" s="1"/>
  <c r="I822" i="6"/>
  <c r="M822" i="6" s="1"/>
  <c r="I1576" i="6"/>
  <c r="M1576" i="6" s="1"/>
  <c r="I12" i="6"/>
  <c r="I2276" i="6"/>
  <c r="M2276" i="6" s="1"/>
  <c r="I1174" i="6"/>
  <c r="M1174" i="6" s="1"/>
  <c r="I764" i="6"/>
  <c r="M764" i="6" s="1"/>
  <c r="I1352" i="6"/>
  <c r="M1352" i="6" s="1"/>
  <c r="I1874" i="6"/>
  <c r="M1874" i="6" s="1"/>
  <c r="I1569" i="6"/>
  <c r="M1569" i="6" s="1"/>
  <c r="I67" i="6"/>
  <c r="M67" i="6" s="1"/>
  <c r="I467" i="6"/>
  <c r="M467" i="6" s="1"/>
  <c r="I351" i="6"/>
  <c r="M351" i="6" s="1"/>
  <c r="I2025" i="6"/>
  <c r="M2025" i="6" s="1"/>
  <c r="I1566" i="6"/>
  <c r="M1566" i="6" s="1"/>
  <c r="I844" i="6"/>
  <c r="M844" i="6" s="1"/>
  <c r="I690" i="6"/>
  <c r="M690" i="6" s="1"/>
  <c r="I1438" i="6"/>
  <c r="M1438" i="6" s="1"/>
  <c r="I1191" i="6"/>
  <c r="M1191" i="6" s="1"/>
  <c r="I2327" i="6"/>
  <c r="M2327" i="6" s="1"/>
  <c r="I366" i="6"/>
  <c r="M366" i="6" s="1"/>
  <c r="I1268" i="6"/>
  <c r="M1268" i="6" s="1"/>
  <c r="I858" i="6"/>
  <c r="M858" i="6" s="1"/>
  <c r="I339" i="6"/>
  <c r="M339" i="6" s="1"/>
  <c r="I162" i="6"/>
  <c r="M162" i="6" s="1"/>
  <c r="I589" i="6"/>
  <c r="M589" i="6" s="1"/>
  <c r="I1069" i="6"/>
  <c r="M1069" i="6" s="1"/>
  <c r="I1603" i="6"/>
  <c r="M1603" i="6" s="1"/>
  <c r="I1420" i="6"/>
  <c r="M1420" i="6" s="1"/>
  <c r="I1123" i="6"/>
  <c r="M1123" i="6" s="1"/>
  <c r="I1998" i="6"/>
  <c r="M1998" i="6" s="1"/>
  <c r="I2047" i="6"/>
  <c r="M2047" i="6" s="1"/>
  <c r="I1498" i="6"/>
  <c r="M1498" i="6" s="1"/>
  <c r="I354" i="6"/>
  <c r="M354" i="6" s="1"/>
  <c r="I2105" i="6"/>
  <c r="M2105" i="6" s="1"/>
  <c r="I1574" i="6"/>
  <c r="M1574" i="6" s="1"/>
  <c r="I592" i="6"/>
  <c r="M592" i="6" s="1"/>
  <c r="I2211" i="6"/>
  <c r="M2211" i="6" s="1"/>
  <c r="I2051" i="6"/>
  <c r="M2051" i="6" s="1"/>
  <c r="I1714" i="6"/>
  <c r="M1714" i="6" s="1"/>
  <c r="I826" i="6"/>
  <c r="M826" i="6" s="1"/>
  <c r="I611" i="6"/>
  <c r="M611" i="6" s="1"/>
  <c r="I623" i="6"/>
  <c r="M623" i="6" s="1"/>
  <c r="I1185" i="6"/>
  <c r="M1185" i="6" s="1"/>
  <c r="I2232" i="6"/>
  <c r="M2232" i="6" s="1"/>
  <c r="I554" i="6"/>
  <c r="M554" i="6" s="1"/>
  <c r="I720" i="6"/>
  <c r="M720" i="6" s="1"/>
  <c r="I1958" i="6"/>
  <c r="M1958" i="6" s="1"/>
  <c r="I218" i="6"/>
  <c r="M218" i="6" s="1"/>
  <c r="I1620" i="6"/>
  <c r="M1620" i="6" s="1"/>
  <c r="I1452" i="6"/>
  <c r="M1452" i="6" s="1"/>
  <c r="I2115" i="6"/>
  <c r="M2115" i="6" s="1"/>
  <c r="I454" i="6"/>
  <c r="M454" i="6" s="1"/>
  <c r="I1594" i="6"/>
  <c r="M1594" i="6" s="1"/>
  <c r="I1765" i="6"/>
  <c r="M1765" i="6" s="1"/>
  <c r="I776" i="6"/>
  <c r="M776" i="6" s="1"/>
  <c r="I1454" i="6"/>
  <c r="M1454" i="6" s="1"/>
  <c r="I2278" i="6"/>
  <c r="M2278" i="6" s="1"/>
  <c r="I1992" i="6"/>
  <c r="M1992" i="6" s="1"/>
  <c r="I359" i="6"/>
  <c r="M359" i="6" s="1"/>
  <c r="I1914" i="6"/>
  <c r="M1914" i="6" s="1"/>
  <c r="I895" i="6"/>
  <c r="M895" i="6" s="1"/>
  <c r="I397" i="6"/>
  <c r="M397" i="6" s="1"/>
  <c r="I2262" i="6"/>
  <c r="M2262" i="6" s="1"/>
  <c r="I1680" i="6"/>
  <c r="M1680" i="6" s="1"/>
  <c r="I708" i="6"/>
  <c r="M708" i="6" s="1"/>
  <c r="I1172" i="6"/>
  <c r="M1172" i="6" s="1"/>
  <c r="I2310" i="6"/>
  <c r="M2310" i="6" s="1"/>
  <c r="I2024" i="6"/>
  <c r="M2024" i="6" s="1"/>
  <c r="I1497" i="6"/>
  <c r="M1497" i="6" s="1"/>
  <c r="I763" i="6"/>
  <c r="M763" i="6" s="1"/>
  <c r="I2222" i="6"/>
  <c r="M2222" i="6" s="1"/>
  <c r="I304" i="6"/>
  <c r="M304" i="6" s="1"/>
  <c r="I1423" i="6"/>
  <c r="M1423" i="6" s="1"/>
  <c r="I2040" i="6"/>
  <c r="M2040" i="6" s="1"/>
  <c r="I1701" i="6"/>
  <c r="M1701" i="6" s="1"/>
  <c r="I2339" i="6"/>
  <c r="M2339" i="6" s="1"/>
  <c r="I1921" i="6"/>
  <c r="M1921" i="6" s="1"/>
  <c r="I1565" i="6"/>
  <c r="M1565" i="6" s="1"/>
  <c r="I17" i="6"/>
  <c r="I619" i="6"/>
  <c r="M619" i="6" s="1"/>
  <c r="I1095" i="6"/>
  <c r="M1095" i="6" s="1"/>
  <c r="I1941" i="6"/>
  <c r="M1941" i="6" s="1"/>
  <c r="I2347" i="6"/>
  <c r="M2347" i="6" s="1"/>
  <c r="I772" i="6"/>
  <c r="M772" i="6" s="1"/>
  <c r="I1210" i="6"/>
  <c r="M1210" i="6" s="1"/>
  <c r="I2340" i="6"/>
  <c r="M2340" i="6" s="1"/>
  <c r="I594" i="6"/>
  <c r="M594" i="6" s="1"/>
  <c r="I1953" i="6"/>
  <c r="M1953" i="6" s="1"/>
  <c r="I1590" i="6"/>
  <c r="M1590" i="6" s="1"/>
  <c r="I1585" i="6"/>
  <c r="M1585" i="6" s="1"/>
  <c r="I1493" i="6"/>
  <c r="M1493" i="6" s="1"/>
  <c r="I629" i="6"/>
  <c r="M629" i="6" s="1"/>
  <c r="I1020" i="6"/>
  <c r="M1020" i="6" s="1"/>
  <c r="I616" i="6"/>
  <c r="M616" i="6" s="1"/>
  <c r="I1242" i="6"/>
  <c r="M1242" i="6" s="1"/>
  <c r="I2179" i="6"/>
  <c r="M2179" i="6" s="1"/>
  <c r="I709" i="6"/>
  <c r="M709" i="6" s="1"/>
  <c r="I197" i="6"/>
  <c r="M197" i="6" s="1"/>
  <c r="I1062" i="6"/>
  <c r="M1062" i="6" s="1"/>
  <c r="I2349" i="6"/>
  <c r="M2349" i="6" s="1"/>
  <c r="I10" i="6"/>
  <c r="I396" i="6"/>
  <c r="M396" i="6" s="1"/>
  <c r="I2283" i="6"/>
  <c r="M2283" i="6" s="1"/>
  <c r="I1406" i="6"/>
  <c r="M1406" i="6" s="1"/>
  <c r="I1563" i="6"/>
  <c r="M1563" i="6" s="1"/>
  <c r="I2316" i="6"/>
  <c r="M2316" i="6" s="1"/>
  <c r="I1820" i="6"/>
  <c r="M1820" i="6" s="1"/>
  <c r="I1027" i="6"/>
  <c r="M1027" i="6" s="1"/>
  <c r="I543" i="6"/>
  <c r="M543" i="6" s="1"/>
  <c r="I1422" i="6"/>
  <c r="M1422" i="6" s="1"/>
  <c r="I1246" i="6"/>
  <c r="M1246" i="6" s="1"/>
  <c r="I443" i="6"/>
  <c r="M443" i="6" s="1"/>
  <c r="I563" i="6"/>
  <c r="M563" i="6" s="1"/>
  <c r="I2189" i="6"/>
  <c r="M2189" i="6" s="1"/>
  <c r="I2116" i="6"/>
  <c r="M2116" i="6" s="1"/>
  <c r="I2162" i="6"/>
  <c r="M2162" i="6" s="1"/>
  <c r="I1359" i="6"/>
  <c r="M1359" i="6" s="1"/>
  <c r="I1754" i="6"/>
  <c r="M1754" i="6" s="1"/>
  <c r="I2126" i="6"/>
  <c r="M2126" i="6" s="1"/>
  <c r="I1905" i="6"/>
  <c r="M1905" i="6" s="1"/>
  <c r="I1939" i="6"/>
  <c r="M1939" i="6" s="1"/>
  <c r="I891" i="6"/>
  <c r="M891" i="6" s="1"/>
  <c r="I2215" i="6"/>
  <c r="M2215" i="6" s="1"/>
  <c r="I1838" i="6"/>
  <c r="M1838" i="6" s="1"/>
  <c r="I547" i="6"/>
  <c r="M547" i="6" s="1"/>
  <c r="I1445" i="6"/>
  <c r="M1445" i="6" s="1"/>
  <c r="I596" i="6"/>
  <c r="M596" i="6" s="1"/>
  <c r="I739" i="6"/>
  <c r="M739" i="6" s="1"/>
  <c r="I2219" i="6"/>
  <c r="M2219" i="6" s="1"/>
  <c r="I1503" i="6"/>
  <c r="M1503" i="6" s="1"/>
  <c r="I1147" i="6"/>
  <c r="M1147" i="6" s="1"/>
  <c r="I199" i="6"/>
  <c r="M199" i="6" s="1"/>
  <c r="I612" i="6"/>
  <c r="M612" i="6" s="1"/>
  <c r="I425" i="6"/>
  <c r="M425" i="6" s="1"/>
  <c r="I1819" i="6"/>
  <c r="M1819" i="6" s="1"/>
  <c r="I2342" i="6"/>
  <c r="M2342" i="6" s="1"/>
  <c r="I2046" i="6"/>
  <c r="M2046" i="6" s="1"/>
  <c r="I1022" i="6"/>
  <c r="M1022" i="6" s="1"/>
  <c r="I1065" i="6"/>
  <c r="M1065" i="6" s="1"/>
  <c r="I2172" i="6"/>
  <c r="M2172" i="6" s="1"/>
  <c r="I192" i="6"/>
  <c r="M192" i="6" s="1"/>
  <c r="I527" i="6"/>
  <c r="M527" i="6" s="1"/>
  <c r="I602" i="6"/>
  <c r="M602" i="6" s="1"/>
  <c r="I1839" i="6"/>
  <c r="M1839" i="6" s="1"/>
  <c r="I1456" i="6"/>
  <c r="M1456" i="6" s="1"/>
  <c r="I723" i="6"/>
  <c r="M723" i="6" s="1"/>
  <c r="I618" i="6"/>
  <c r="M618" i="6" s="1"/>
  <c r="I53" i="6"/>
  <c r="M53" i="6" s="1"/>
  <c r="I1152" i="6"/>
  <c r="M1152" i="6" s="1"/>
  <c r="I464" i="6"/>
  <c r="M464" i="6" s="1"/>
  <c r="I2225" i="6"/>
  <c r="M2225" i="6" s="1"/>
  <c r="I1814" i="6"/>
  <c r="M1814" i="6" s="1"/>
  <c r="I1158" i="6"/>
  <c r="M1158" i="6" s="1"/>
  <c r="I639" i="6"/>
  <c r="M639" i="6" s="1"/>
  <c r="I1078" i="6"/>
  <c r="M1078" i="6" s="1"/>
  <c r="I1142" i="6"/>
  <c r="M1142" i="6" s="1"/>
  <c r="I1054" i="6"/>
  <c r="M1054" i="6" s="1"/>
  <c r="I361" i="6"/>
  <c r="M361" i="6" s="1"/>
  <c r="I390" i="6"/>
  <c r="M390" i="6" s="1"/>
  <c r="I62" i="6"/>
  <c r="M62" i="6" s="1"/>
  <c r="I1735" i="6"/>
  <c r="M1735" i="6" s="1"/>
  <c r="I1179" i="6"/>
  <c r="M1179" i="6" s="1"/>
  <c r="I1136" i="6"/>
  <c r="M1136" i="6" s="1"/>
  <c r="I2074" i="6"/>
  <c r="M2074" i="6" s="1"/>
  <c r="I1927" i="6"/>
  <c r="M1927" i="6" s="1"/>
  <c r="I1200" i="6"/>
  <c r="M1200" i="6" s="1"/>
  <c r="I1063" i="6"/>
  <c r="M1063" i="6" s="1"/>
  <c r="I376" i="6"/>
  <c r="M376" i="6" s="1"/>
  <c r="I1015" i="6"/>
  <c r="M1015" i="6" s="1"/>
  <c r="I227" i="6"/>
  <c r="M227" i="6" s="1"/>
  <c r="I605" i="6"/>
  <c r="M605" i="6" s="1"/>
  <c r="I1033" i="6"/>
  <c r="M1033" i="6" s="1"/>
  <c r="I850" i="6"/>
  <c r="M850" i="6" s="1"/>
  <c r="I387" i="6"/>
  <c r="M387" i="6" s="1"/>
  <c r="I636" i="6"/>
  <c r="M636" i="6" s="1"/>
  <c r="I480" i="6"/>
  <c r="M480" i="6" s="1"/>
  <c r="I736" i="6"/>
  <c r="M736" i="6" s="1"/>
  <c r="I1281" i="6"/>
  <c r="M1281" i="6" s="1"/>
  <c r="I160" i="6"/>
  <c r="M160" i="6" s="1"/>
  <c r="I18" i="6"/>
  <c r="I1165" i="6"/>
  <c r="M1165" i="6" s="1"/>
  <c r="I1931" i="6"/>
  <c r="M1931" i="6" s="1"/>
  <c r="I632" i="6"/>
  <c r="M632" i="6" s="1"/>
  <c r="I383" i="6"/>
  <c r="M383" i="6" s="1"/>
  <c r="I1419" i="6"/>
  <c r="M1419" i="6" s="1"/>
  <c r="I1231" i="6"/>
  <c r="M1231" i="6" s="1"/>
  <c r="I2033" i="6"/>
  <c r="M2033" i="6" s="1"/>
  <c r="I320" i="6"/>
  <c r="M320" i="6" s="1"/>
  <c r="I1167" i="6"/>
  <c r="M1167" i="6" s="1"/>
  <c r="I887" i="6"/>
  <c r="M887" i="6" s="1"/>
  <c r="I681" i="6"/>
  <c r="M681" i="6" s="1"/>
  <c r="I2085" i="6"/>
  <c r="M2085" i="6" s="1"/>
  <c r="I2192" i="6"/>
  <c r="M2192" i="6" s="1"/>
  <c r="I1753" i="6"/>
  <c r="M1753" i="6" s="1"/>
  <c r="I2021" i="6"/>
  <c r="M2021" i="6" s="1"/>
  <c r="I2026" i="6"/>
  <c r="M2026" i="6" s="1"/>
  <c r="I617" i="6"/>
  <c r="M617" i="6" s="1"/>
  <c r="I903" i="6"/>
  <c r="M903" i="6" s="1"/>
  <c r="I1935" i="6"/>
  <c r="M1935" i="6" s="1"/>
  <c r="I1236" i="6"/>
  <c r="M1236" i="6" s="1"/>
  <c r="I2209" i="6"/>
  <c r="M2209" i="6" s="1"/>
  <c r="I1623" i="6"/>
  <c r="M1623" i="6" s="1"/>
  <c r="I1546" i="6"/>
  <c r="M1546" i="6" s="1"/>
  <c r="I371" i="6"/>
  <c r="M371" i="6" s="1"/>
  <c r="I1034" i="6"/>
  <c r="M1034" i="6" s="1"/>
  <c r="I641" i="6"/>
  <c r="M641" i="6" s="1"/>
  <c r="I1562" i="6"/>
  <c r="M1562" i="6" s="1"/>
  <c r="I607" i="6"/>
  <c r="M607" i="6" s="1"/>
  <c r="I2345" i="6"/>
  <c r="M2345" i="6" s="1"/>
  <c r="I1505" i="6"/>
  <c r="M1505" i="6" s="1"/>
  <c r="I1486" i="6"/>
  <c r="M1486" i="6" s="1"/>
  <c r="I1347" i="6"/>
  <c r="M1347" i="6" s="1"/>
  <c r="I1049" i="6"/>
  <c r="M1049" i="6" s="1"/>
  <c r="I372" i="6"/>
  <c r="M372" i="6" s="1"/>
  <c r="I1788" i="6"/>
  <c r="M1788" i="6" s="1"/>
  <c r="I385" i="6"/>
  <c r="M385" i="6" s="1"/>
  <c r="I1602" i="6"/>
  <c r="M1602" i="6" s="1"/>
  <c r="I338" i="6"/>
  <c r="M338" i="6" s="1"/>
  <c r="I601" i="6"/>
  <c r="M601" i="6" s="1"/>
  <c r="I620" i="6"/>
  <c r="M620" i="6" s="1"/>
  <c r="I2123" i="6"/>
  <c r="M2123" i="6" s="1"/>
  <c r="I419" i="6"/>
  <c r="M419" i="6" s="1"/>
  <c r="I1609" i="6"/>
  <c r="M1609" i="6" s="1"/>
  <c r="I2038" i="6"/>
  <c r="M2038" i="6" s="1"/>
  <c r="I1990" i="6"/>
  <c r="M1990" i="6" s="1"/>
  <c r="I740" i="6"/>
  <c r="M740" i="6" s="1"/>
  <c r="I420" i="6"/>
  <c r="M420" i="6" s="1"/>
  <c r="I384" i="6"/>
  <c r="M384" i="6" s="1"/>
  <c r="I694" i="6"/>
  <c r="M694" i="6" s="1"/>
  <c r="I472" i="6"/>
  <c r="M472" i="6" s="1"/>
  <c r="I2091" i="6"/>
  <c r="M2091" i="6" s="1"/>
  <c r="I163" i="6"/>
  <c r="M163" i="6" s="1"/>
  <c r="I2279" i="6"/>
  <c r="M2279" i="6" s="1"/>
  <c r="I1783" i="6"/>
  <c r="M1783" i="6" s="1"/>
  <c r="I2260" i="6"/>
  <c r="M2260" i="6" s="1"/>
  <c r="I2346" i="6"/>
  <c r="M2346" i="6" s="1"/>
  <c r="I551" i="6"/>
  <c r="M551" i="6" s="1"/>
  <c r="I1619" i="6"/>
  <c r="M1619" i="6" s="1"/>
  <c r="I1433" i="6"/>
  <c r="M1433" i="6" s="1"/>
  <c r="I510" i="6"/>
  <c r="M510" i="6" s="1"/>
  <c r="I1547" i="6"/>
  <c r="M1547" i="6" s="1"/>
  <c r="I644" i="6"/>
  <c r="M644" i="6" s="1"/>
  <c r="I2202" i="6"/>
  <c r="M2202" i="6" s="1"/>
  <c r="I1138" i="6"/>
  <c r="M1138" i="6" s="1"/>
  <c r="I1282" i="6"/>
  <c r="M1282" i="6" s="1"/>
  <c r="I1666" i="6"/>
  <c r="M1666" i="6" s="1"/>
  <c r="I19" i="6"/>
  <c r="I876" i="6"/>
  <c r="M876" i="6" s="1"/>
  <c r="I188" i="6"/>
  <c r="M188" i="6" s="1"/>
  <c r="I299" i="6"/>
  <c r="M299" i="6" s="1"/>
  <c r="I1148" i="6"/>
  <c r="M1148" i="6" s="1"/>
  <c r="I2174" i="6"/>
  <c r="M2174" i="6" s="1"/>
  <c r="I1279" i="6"/>
  <c r="M1279" i="6" s="1"/>
  <c r="I1362" i="6"/>
  <c r="M1362" i="6" s="1"/>
  <c r="I2272" i="6"/>
  <c r="M2272" i="6" s="1"/>
  <c r="I1052" i="6"/>
  <c r="M1052" i="6" s="1"/>
  <c r="I13" i="6"/>
  <c r="I1389" i="6"/>
  <c r="M1389" i="6" s="1"/>
  <c r="I2240" i="6"/>
  <c r="M2240" i="6" s="1"/>
  <c r="I323" i="6"/>
  <c r="M323" i="6" s="1"/>
  <c r="I888" i="6"/>
  <c r="M888" i="6" s="1"/>
  <c r="I1035" i="6"/>
  <c r="M1035" i="6" s="1"/>
  <c r="I1237" i="6"/>
  <c r="M1237" i="6" s="1"/>
  <c r="I1485" i="6"/>
  <c r="M1485" i="6" s="1"/>
  <c r="I1222" i="6"/>
  <c r="M1222" i="6" s="1"/>
  <c r="I344" i="6"/>
  <c r="M344" i="6" s="1"/>
  <c r="I161" i="6"/>
  <c r="M161" i="6" s="1"/>
  <c r="I2191" i="6"/>
  <c r="M2191" i="6" s="1"/>
  <c r="I2361" i="6"/>
  <c r="M2361" i="6" s="1"/>
  <c r="I847" i="6"/>
  <c r="M847" i="6" s="1"/>
  <c r="I462" i="6"/>
  <c r="M462" i="6" s="1"/>
  <c r="I1557" i="6"/>
  <c r="M1557" i="6" s="1"/>
  <c r="I835" i="6"/>
  <c r="M835" i="6" s="1"/>
  <c r="I657" i="6"/>
  <c r="M657" i="6" s="1"/>
  <c r="I1690" i="6"/>
  <c r="M1690" i="6" s="1"/>
  <c r="I1932" i="6"/>
  <c r="M1932" i="6" s="1"/>
  <c r="I1441" i="6"/>
  <c r="M1441" i="6" s="1"/>
  <c r="I2302" i="6"/>
  <c r="M2302" i="6" s="1"/>
  <c r="I719" i="6"/>
  <c r="M719" i="6" s="1"/>
  <c r="I1151" i="6"/>
  <c r="M1151" i="6" s="1"/>
  <c r="I2125" i="6"/>
  <c r="M2125" i="6" s="1"/>
  <c r="I1075" i="6"/>
  <c r="M1075" i="6" s="1"/>
  <c r="I1793" i="6"/>
  <c r="M1793" i="6" s="1"/>
  <c r="I149" i="6"/>
  <c r="M149" i="6" s="1"/>
  <c r="I928" i="6"/>
  <c r="M928" i="6" s="1"/>
  <c r="I779" i="6"/>
  <c r="M779" i="6" s="1"/>
  <c r="I1804" i="6"/>
  <c r="M1804" i="6" s="1"/>
  <c r="I1489" i="6"/>
  <c r="M1489" i="6" s="1"/>
  <c r="I2173" i="6"/>
  <c r="M2173" i="6" s="1"/>
  <c r="I69" i="6"/>
  <c r="M69" i="6" s="1"/>
  <c r="I631" i="6"/>
  <c r="M631" i="6" s="1"/>
  <c r="I875" i="6"/>
  <c r="M875" i="6" s="1"/>
  <c r="I26" i="6"/>
  <c r="M26" i="6" s="1"/>
  <c r="I1758" i="6"/>
  <c r="M1758" i="6" s="1"/>
  <c r="I2087" i="6"/>
  <c r="M2087" i="6" s="1"/>
  <c r="I315" i="6"/>
  <c r="M315" i="6" s="1"/>
  <c r="I905" i="6"/>
  <c r="M905" i="6" s="1"/>
  <c r="I745" i="6"/>
  <c r="M745" i="6" s="1"/>
  <c r="I369" i="6"/>
  <c r="M369" i="6" s="1"/>
  <c r="I1747" i="6"/>
  <c r="M1747" i="6" s="1"/>
  <c r="I1155" i="6"/>
  <c r="M1155" i="6" s="1"/>
  <c r="I50" i="6"/>
  <c r="M50" i="6" s="1"/>
  <c r="I1812" i="6"/>
  <c r="M1812" i="6" s="1"/>
  <c r="I667" i="6"/>
  <c r="M667" i="6" s="1"/>
  <c r="I828" i="6"/>
  <c r="M828" i="6" s="1"/>
  <c r="I768" i="6"/>
  <c r="M768" i="6" s="1"/>
  <c r="I1801" i="6"/>
  <c r="M1801" i="6" s="1"/>
  <c r="I1558" i="6"/>
  <c r="M1558" i="6" s="1"/>
  <c r="I919" i="6"/>
  <c r="M919" i="6" s="1"/>
  <c r="I1583" i="6"/>
  <c r="M1583" i="6" s="1"/>
  <c r="I1715" i="6"/>
  <c r="M1715" i="6" s="1"/>
  <c r="I1555" i="6"/>
  <c r="M1555" i="6" s="1"/>
  <c r="I684" i="6"/>
  <c r="M684" i="6" s="1"/>
  <c r="I645" i="6"/>
  <c r="M645" i="6" s="1"/>
  <c r="I748" i="6"/>
  <c r="M748" i="6" s="1"/>
  <c r="I588" i="6"/>
  <c r="M588" i="6" s="1"/>
  <c r="I1270" i="6"/>
  <c r="M1270" i="6" s="1"/>
  <c r="I229" i="6"/>
  <c r="M229" i="6" s="1"/>
  <c r="I655" i="6"/>
  <c r="M655" i="6" s="1"/>
  <c r="I854" i="6"/>
  <c r="M854" i="6" s="1"/>
  <c r="I2080" i="6"/>
  <c r="M2080" i="6" s="1"/>
  <c r="I2274" i="6"/>
  <c r="M2274" i="6" s="1"/>
  <c r="I704" i="6"/>
  <c r="M704" i="6" s="1"/>
  <c r="I1813" i="6"/>
  <c r="M1813" i="6" s="1"/>
  <c r="I214" i="6"/>
  <c r="M214" i="6" s="1"/>
  <c r="I705" i="6"/>
  <c r="M705" i="6" s="1"/>
  <c r="I298" i="6"/>
  <c r="M298" i="6" s="1"/>
  <c r="I431" i="6"/>
  <c r="M431" i="6" s="1"/>
  <c r="I648" i="6"/>
  <c r="M648" i="6" s="1"/>
  <c r="I1053" i="6"/>
  <c r="M1053" i="6" s="1"/>
  <c r="I2338" i="6"/>
  <c r="M2338" i="6" s="1"/>
  <c r="I284" i="6"/>
  <c r="M284" i="6" s="1"/>
  <c r="I2295" i="6"/>
  <c r="M2295" i="6" s="1"/>
  <c r="I273" i="6"/>
  <c r="M273" i="6" s="1"/>
  <c r="I829" i="6"/>
  <c r="M829" i="6" s="1"/>
  <c r="I1989" i="6"/>
  <c r="M1989" i="6" s="1"/>
  <c r="I65" i="6"/>
  <c r="M65" i="6" s="1"/>
  <c r="I415" i="6"/>
  <c r="M415" i="6" s="1"/>
  <c r="I1568" i="6"/>
  <c r="M1568" i="6" s="1"/>
  <c r="I931" i="6"/>
  <c r="M931" i="6" s="1"/>
  <c r="I2242" i="6"/>
  <c r="M2242" i="6" s="1"/>
  <c r="I253" i="6"/>
  <c r="M253" i="6" s="1"/>
  <c r="I319" i="6"/>
  <c r="M319" i="6" s="1"/>
  <c r="I433" i="6"/>
  <c r="M433" i="6" s="1"/>
  <c r="I842" i="6"/>
  <c r="M842" i="6" s="1"/>
  <c r="I1622" i="6"/>
  <c r="M1622" i="6" s="1"/>
  <c r="I912" i="6"/>
  <c r="M912" i="6" s="1"/>
  <c r="I2357" i="6"/>
  <c r="M2357" i="6" s="1"/>
  <c r="I733" i="6"/>
  <c r="M733" i="6" s="1"/>
  <c r="I1350" i="6"/>
  <c r="M1350" i="6" s="1"/>
  <c r="I1349" i="6"/>
  <c r="M1349" i="6" s="1"/>
  <c r="I1363" i="6"/>
  <c r="M1363" i="6" s="1"/>
  <c r="I788" i="6"/>
  <c r="M788" i="6" s="1"/>
  <c r="I913" i="6"/>
  <c r="M913" i="6" s="1"/>
  <c r="I2208" i="6"/>
  <c r="M2208" i="6" s="1"/>
  <c r="I519" i="6"/>
  <c r="M519" i="6" s="1"/>
  <c r="I2343" i="6"/>
  <c r="M2343" i="6" s="1"/>
  <c r="I1198" i="6"/>
  <c r="M1198" i="6" s="1"/>
  <c r="I1387" i="6"/>
  <c r="M1387" i="6" s="1"/>
  <c r="I2333" i="6"/>
  <c r="M2333" i="6" s="1"/>
  <c r="I1261" i="6"/>
  <c r="M1261" i="6" s="1"/>
  <c r="I863" i="6"/>
  <c r="M863" i="6" s="1"/>
  <c r="I2258" i="6"/>
  <c r="M2258" i="6" s="1"/>
  <c r="I661" i="6"/>
  <c r="M661" i="6" s="1"/>
  <c r="I1554" i="6"/>
  <c r="M1554" i="6" s="1"/>
  <c r="I1023" i="6"/>
  <c r="M1023" i="6" s="1"/>
  <c r="I1613" i="6"/>
  <c r="M1613" i="6" s="1"/>
  <c r="I1395" i="6"/>
  <c r="M1395" i="6" s="1"/>
  <c r="I1802" i="6"/>
  <c r="M1802" i="6" s="1"/>
  <c r="I392" i="6"/>
  <c r="M392" i="6" s="1"/>
  <c r="I715" i="6"/>
  <c r="M715" i="6" s="1"/>
  <c r="I2134" i="6"/>
  <c r="M2134" i="6" s="1"/>
  <c r="I1203" i="6"/>
  <c r="M1203" i="6" s="1"/>
  <c r="I859" i="6"/>
  <c r="M859" i="6" s="1"/>
  <c r="I885" i="6"/>
  <c r="M885" i="6" s="1"/>
  <c r="I2238" i="6"/>
  <c r="M2238" i="6" s="1"/>
  <c r="I1188" i="6"/>
  <c r="M1188" i="6" s="1"/>
  <c r="I1794" i="6"/>
  <c r="M1794" i="6" s="1"/>
  <c r="I2163" i="6"/>
  <c r="M2163" i="6" s="1"/>
  <c r="I374" i="6"/>
  <c r="M374" i="6" s="1"/>
  <c r="I621" i="6"/>
  <c r="M621" i="6" s="1"/>
  <c r="I1437" i="6"/>
  <c r="M1437" i="6" s="1"/>
  <c r="I1586" i="6"/>
  <c r="M1586" i="6" s="1"/>
  <c r="I1645" i="6"/>
  <c r="M1645" i="6" s="1"/>
  <c r="I367" i="6"/>
  <c r="M367" i="6" s="1"/>
  <c r="I1074" i="6"/>
  <c r="M1074" i="6" s="1"/>
  <c r="I1262" i="6"/>
  <c r="M1262" i="6" s="1"/>
  <c r="I1817" i="6"/>
  <c r="M1817" i="6" s="1"/>
  <c r="I1168" i="6"/>
  <c r="M1168" i="6" s="1"/>
  <c r="I817" i="6"/>
  <c r="M817" i="6" s="1"/>
  <c r="I679" i="6"/>
  <c r="M679" i="6" s="1"/>
  <c r="I2354" i="6"/>
  <c r="M2354" i="6" s="1"/>
  <c r="I1144" i="6"/>
  <c r="M1144" i="6" s="1"/>
  <c r="I521" i="6"/>
  <c r="M521" i="6" s="1"/>
  <c r="I1429" i="6"/>
  <c r="M1429" i="6" s="1"/>
  <c r="I2066" i="6"/>
  <c r="M2066" i="6" s="1"/>
  <c r="I1294" i="6"/>
  <c r="M1294" i="6" s="1"/>
  <c r="I1591" i="6"/>
  <c r="M1591" i="6" s="1"/>
  <c r="I787" i="6"/>
  <c r="M787" i="6" s="1"/>
  <c r="I63" i="6"/>
  <c r="M63" i="6" s="1"/>
  <c r="I317" i="6"/>
  <c r="M317" i="6" s="1"/>
  <c r="I909" i="6"/>
  <c r="M909" i="6" s="1"/>
  <c r="I2121" i="6"/>
  <c r="M2121" i="6" s="1"/>
  <c r="I838" i="6"/>
  <c r="M838" i="6" s="1"/>
  <c r="I1800" i="6"/>
  <c r="M1800" i="6" s="1"/>
  <c r="I2004" i="6"/>
  <c r="M2004" i="6" s="1"/>
  <c r="I2112" i="6"/>
  <c r="M2112" i="6" s="1"/>
  <c r="I707" i="6"/>
  <c r="M707" i="6" s="1"/>
  <c r="I2344" i="6"/>
  <c r="M2344" i="6" s="1"/>
  <c r="I2171" i="6"/>
  <c r="M2171" i="6" s="1"/>
  <c r="I1440" i="6"/>
  <c r="M1440" i="6" s="1"/>
  <c r="I210" i="6"/>
  <c r="M210" i="6" s="1"/>
  <c r="I483" i="6"/>
  <c r="M483" i="6" s="1"/>
  <c r="I1153" i="6"/>
  <c r="M1153" i="6" s="1"/>
  <c r="I1385" i="6"/>
  <c r="M1385" i="6" s="1"/>
  <c r="I1017" i="6"/>
  <c r="M1017" i="6" s="1"/>
  <c r="I282" i="6"/>
  <c r="M282" i="6" s="1"/>
  <c r="I1903" i="6"/>
  <c r="M1903" i="6" s="1"/>
  <c r="I228" i="6"/>
  <c r="M228" i="6" s="1"/>
  <c r="I599" i="6"/>
  <c r="M599" i="6" s="1"/>
  <c r="I845" i="6"/>
  <c r="M845" i="6" s="1"/>
  <c r="I1233" i="6"/>
  <c r="M1233" i="6" s="1"/>
  <c r="I1501" i="6"/>
  <c r="M1501" i="6" s="1"/>
  <c r="I1016" i="6"/>
  <c r="M1016" i="6" s="1"/>
  <c r="I1577" i="6"/>
  <c r="M1577" i="6" s="1"/>
  <c r="I370" i="6"/>
  <c r="M370" i="6" s="1"/>
  <c r="I582" i="6"/>
  <c r="M582" i="6" s="1"/>
  <c r="I1996" i="6"/>
  <c r="M1996" i="6" s="1"/>
  <c r="I1712" i="6"/>
  <c r="M1712" i="6" s="1"/>
  <c r="I330" i="6"/>
  <c r="M330" i="6" s="1"/>
  <c r="I321" i="6"/>
  <c r="M321" i="6" s="1"/>
  <c r="I653" i="6"/>
  <c r="M653" i="6" s="1"/>
  <c r="I1968" i="6"/>
  <c r="M1968" i="6" s="1"/>
  <c r="I1114" i="6"/>
  <c r="M1114" i="6" s="1"/>
  <c r="I1877" i="6"/>
  <c r="M1877" i="6" s="1"/>
  <c r="I336" i="6"/>
  <c r="M336" i="6" s="1"/>
  <c r="I1391" i="6"/>
  <c r="M1391" i="6" s="1"/>
  <c r="I1217" i="6"/>
  <c r="M1217" i="6" s="1"/>
  <c r="I759" i="6"/>
  <c r="M759" i="6" s="1"/>
  <c r="I688" i="6"/>
  <c r="M688" i="6" s="1"/>
  <c r="I2019" i="6"/>
  <c r="M2019" i="6" s="1"/>
  <c r="I324" i="6"/>
  <c r="M324" i="6" s="1"/>
  <c r="I427" i="6"/>
  <c r="M427" i="6" s="1"/>
  <c r="I186" i="6"/>
  <c r="M186" i="6" s="1"/>
  <c r="I558" i="6"/>
  <c r="M558" i="6" s="1"/>
  <c r="I782" i="6"/>
  <c r="M782" i="6" s="1"/>
  <c r="I1008" i="6"/>
  <c r="M1008" i="6" s="1"/>
  <c r="I2002" i="6"/>
  <c r="M2002" i="6" s="1"/>
  <c r="I437" i="6"/>
  <c r="M437" i="6" s="1"/>
  <c r="I215" i="6"/>
  <c r="M215" i="6" s="1"/>
  <c r="I1055" i="6"/>
  <c r="M1055" i="6" s="1"/>
  <c r="I2214" i="6"/>
  <c r="M2214" i="6" s="1"/>
  <c r="I2068" i="6"/>
  <c r="M2068" i="6" s="1"/>
  <c r="I1487" i="6"/>
  <c r="M1487" i="6" s="1"/>
  <c r="I341" i="6"/>
  <c r="M341" i="6" s="1"/>
  <c r="I786" i="6"/>
  <c r="M786" i="6" s="1"/>
  <c r="I1354" i="6"/>
  <c r="M1354" i="6" s="1"/>
  <c r="I335" i="6"/>
  <c r="M335" i="6" s="1"/>
  <c r="I1285" i="6"/>
  <c r="M1285" i="6" s="1"/>
  <c r="I2266" i="6"/>
  <c r="M2266" i="6" s="1"/>
  <c r="I15" i="6"/>
  <c r="M15" i="6" s="1"/>
  <c r="I2237" i="6"/>
  <c r="M2237" i="6" s="1"/>
  <c r="I1184" i="6"/>
  <c r="M1184" i="6" s="1"/>
  <c r="I1215" i="6"/>
  <c r="M1215" i="6" s="1"/>
  <c r="I682" i="6"/>
  <c r="M682" i="6" s="1"/>
  <c r="I2228" i="6"/>
  <c r="M2228" i="6" s="1"/>
  <c r="I145" i="6"/>
  <c r="M145" i="6" s="1"/>
  <c r="I770" i="6"/>
  <c r="M770" i="6" s="1"/>
  <c r="I365" i="6"/>
  <c r="M365" i="6" s="1"/>
  <c r="I1706" i="6"/>
  <c r="M1706" i="6" s="1"/>
  <c r="I1948" i="6"/>
  <c r="M1948" i="6" s="1"/>
  <c r="I1664" i="6"/>
  <c r="M1664" i="6" s="1"/>
  <c r="I421" i="6"/>
  <c r="M421" i="6" s="1"/>
  <c r="I1390" i="6"/>
  <c r="M1390" i="6" s="1"/>
  <c r="I1691" i="6"/>
  <c r="M1691" i="6" s="1"/>
  <c r="I2328" i="6"/>
  <c r="M2328" i="6" s="1"/>
  <c r="I896" i="6"/>
  <c r="M896" i="6" s="1"/>
  <c r="I784" i="6"/>
  <c r="M784" i="6" s="1"/>
  <c r="I1942" i="6"/>
  <c r="M1942" i="6" s="1"/>
  <c r="I2023" i="6"/>
  <c r="M2023" i="6" s="1"/>
  <c r="I545" i="6"/>
  <c r="M545" i="6" s="1"/>
  <c r="I1582" i="6"/>
  <c r="M1582" i="6" s="1"/>
  <c r="I1980" i="6"/>
  <c r="M1980" i="6" s="1"/>
  <c r="I68" i="6"/>
  <c r="M68" i="6" s="1"/>
  <c r="I1177" i="6"/>
  <c r="M1177" i="6" s="1"/>
  <c r="I1150" i="6"/>
  <c r="M1150" i="6" s="1"/>
  <c r="I624" i="6"/>
  <c r="M624" i="6" s="1"/>
  <c r="I1360" i="6"/>
  <c r="M1360" i="6" s="1"/>
  <c r="I642" i="6"/>
  <c r="M642" i="6" s="1"/>
  <c r="I1504" i="6"/>
  <c r="M1504" i="6" s="1"/>
  <c r="I2177" i="6"/>
  <c r="M2177" i="6" s="1"/>
  <c r="I753" i="6"/>
  <c r="M753" i="6" s="1"/>
  <c r="I1993" i="6"/>
  <c r="M1993" i="6" s="1"/>
  <c r="I316" i="6"/>
  <c r="M316" i="6" s="1"/>
  <c r="I2287" i="6"/>
  <c r="M2287" i="6" s="1"/>
  <c r="I668" i="6"/>
  <c r="M668" i="6" s="1"/>
  <c r="I395" i="6"/>
  <c r="M395" i="6" s="1"/>
  <c r="I1792" i="6"/>
  <c r="M1792" i="6" s="1"/>
  <c r="I1881" i="6"/>
  <c r="M1881" i="6" s="1"/>
  <c r="I314" i="6"/>
  <c r="M314" i="6" s="1"/>
  <c r="I2020" i="6"/>
  <c r="M2020" i="6" s="1"/>
  <c r="I2028" i="6"/>
  <c r="M2028" i="6" s="1"/>
  <c r="I325" i="6"/>
  <c r="M325" i="6" s="1"/>
  <c r="I1117" i="6"/>
  <c r="M1117" i="6" s="1"/>
  <c r="I398" i="6"/>
  <c r="M398" i="6" s="1"/>
  <c r="I343" i="6"/>
  <c r="M343" i="6" s="1"/>
  <c r="I1763" i="6"/>
  <c r="M1763" i="6" s="1"/>
  <c r="I445" i="6"/>
  <c r="M445" i="6" s="1"/>
  <c r="I1695" i="6"/>
  <c r="M1695" i="6" s="1"/>
  <c r="I2022" i="6"/>
  <c r="M2022" i="6" s="1"/>
  <c r="I663" i="6"/>
  <c r="M663" i="6" s="1"/>
  <c r="I711" i="6"/>
  <c r="M711" i="6" s="1"/>
  <c r="I741" i="6"/>
  <c r="M741" i="6" s="1"/>
  <c r="I1163" i="6"/>
  <c r="M1163" i="6" s="1"/>
  <c r="I699" i="6"/>
  <c r="M699" i="6" s="1"/>
  <c r="I1991" i="6"/>
  <c r="M1991" i="6" s="1"/>
  <c r="I2060" i="6"/>
  <c r="M2060" i="6" s="1"/>
  <c r="I1430" i="6"/>
  <c r="M1430" i="6" s="1"/>
  <c r="I1458" i="6"/>
  <c r="M1458" i="6" s="1"/>
  <c r="I1175" i="6"/>
  <c r="M1175" i="6" s="1"/>
  <c r="I1369" i="6"/>
  <c r="M1369" i="6" s="1"/>
  <c r="I2356" i="6"/>
  <c r="M2356" i="6" s="1"/>
  <c r="I890" i="6"/>
  <c r="M890" i="6" s="1"/>
  <c r="I1176" i="6"/>
  <c r="M1176" i="6" s="1"/>
  <c r="I1386" i="6"/>
  <c r="M1386" i="6" s="1"/>
  <c r="I857" i="6"/>
  <c r="M857" i="6" s="1"/>
  <c r="I1415" i="6"/>
  <c r="M1415" i="6" s="1"/>
  <c r="I1570" i="6"/>
  <c r="M1570" i="6" s="1"/>
  <c r="I1026" i="6"/>
  <c r="M1026" i="6" s="1"/>
  <c r="I1523" i="6"/>
  <c r="M1523" i="6" s="1"/>
  <c r="I2254" i="6"/>
  <c r="M2254" i="6" s="1"/>
  <c r="I166" i="6"/>
  <c r="M166" i="6" s="1"/>
  <c r="I58" i="6"/>
  <c r="M58" i="6" s="1"/>
  <c r="I1929" i="6"/>
  <c r="M1929" i="6" s="1"/>
  <c r="I1173" i="6"/>
  <c r="M1173" i="6" s="1"/>
  <c r="I780" i="6"/>
  <c r="M780" i="6" s="1"/>
  <c r="I712" i="6"/>
  <c r="M712" i="6" s="1"/>
  <c r="I1956" i="6"/>
  <c r="M1956" i="6" s="1"/>
  <c r="I1946" i="6"/>
  <c r="M1946" i="6" s="1"/>
  <c r="I2303" i="6"/>
  <c r="M2303" i="6" s="1"/>
  <c r="I2236" i="6"/>
  <c r="M2236" i="6" s="1"/>
  <c r="I1216" i="6"/>
  <c r="M1216" i="6" s="1"/>
  <c r="I1682" i="6"/>
  <c r="M1682" i="6" s="1"/>
  <c r="I2135" i="6"/>
  <c r="M2135" i="6" s="1"/>
  <c r="I680" i="6"/>
  <c r="M680" i="6" s="1"/>
  <c r="I2079" i="6"/>
  <c r="M2079" i="6" s="1"/>
  <c r="I334" i="6"/>
  <c r="M334" i="6" s="1"/>
  <c r="I399" i="6"/>
  <c r="M399" i="6" s="1"/>
  <c r="I2132" i="6"/>
  <c r="M2132" i="6" s="1"/>
  <c r="I2178" i="6"/>
  <c r="M2178" i="6" s="1"/>
  <c r="I2264" i="6"/>
  <c r="M2264" i="6" s="1"/>
  <c r="I350" i="6"/>
  <c r="M350" i="6" s="1"/>
  <c r="I2257" i="6"/>
  <c r="M2257" i="6" s="1"/>
  <c r="I2200" i="6"/>
  <c r="M2200" i="6" s="1"/>
  <c r="I2358" i="6"/>
  <c r="M2358" i="6" s="1"/>
  <c r="I901" i="6"/>
  <c r="M901" i="6" s="1"/>
  <c r="I1593" i="6"/>
  <c r="M1593" i="6" s="1"/>
  <c r="I1902" i="6"/>
  <c r="M1902" i="6" s="1"/>
  <c r="I1904" i="6"/>
  <c r="M1904" i="6" s="1"/>
  <c r="I687" i="6"/>
  <c r="M687" i="6" s="1"/>
  <c r="I2253" i="6"/>
  <c r="M2253" i="6" s="1"/>
  <c r="I1145" i="6"/>
  <c r="M1145" i="6" s="1"/>
  <c r="I386" i="6"/>
  <c r="M386" i="6" s="1"/>
  <c r="I258" i="6"/>
  <c r="M258" i="6" s="1"/>
  <c r="I201" i="6"/>
  <c r="M201" i="6" s="1"/>
  <c r="I2195" i="6"/>
  <c r="M2195" i="6" s="1"/>
  <c r="I2118" i="6"/>
  <c r="M2118" i="6" s="1"/>
  <c r="I301" i="6"/>
  <c r="M301" i="6" s="1"/>
  <c r="I2216" i="6"/>
  <c r="M2216" i="6" s="1"/>
  <c r="I504" i="6"/>
  <c r="M504" i="6" s="1"/>
  <c r="I1548" i="6"/>
  <c r="M1548" i="6" s="1"/>
  <c r="I1537" i="6"/>
  <c r="M1537" i="6" s="1"/>
  <c r="I213" i="6"/>
  <c r="M213" i="6" s="1"/>
  <c r="I1372" i="6"/>
  <c r="M1372" i="6" s="1"/>
  <c r="I1447" i="6"/>
  <c r="M1447" i="6" s="1"/>
  <c r="I1818" i="6"/>
  <c r="M1818" i="6" s="1"/>
  <c r="I1043" i="6"/>
  <c r="M1043" i="6" s="1"/>
  <c r="I758" i="6"/>
  <c r="M758" i="6" s="1"/>
  <c r="I1610" i="6"/>
  <c r="M1610" i="6" s="1"/>
  <c r="I455" i="6"/>
  <c r="M455" i="6" s="1"/>
  <c r="I584" i="6"/>
  <c r="M584" i="6" s="1"/>
  <c r="I64" i="6"/>
  <c r="M64" i="6" s="1"/>
  <c r="I867" i="6"/>
  <c r="M867" i="6" s="1"/>
  <c r="I1567" i="6"/>
  <c r="M1567" i="6" s="1"/>
  <c r="I393" i="6"/>
  <c r="M393" i="6" s="1"/>
  <c r="I1745" i="6"/>
  <c r="M1745" i="6" s="1"/>
  <c r="I571" i="6"/>
  <c r="M571" i="6" s="1"/>
  <c r="I2218" i="6"/>
  <c r="M2218" i="6" s="1"/>
  <c r="I700" i="6"/>
  <c r="M700" i="6" s="1"/>
  <c r="I2351" i="6"/>
  <c r="M2351" i="6" s="1"/>
  <c r="I2000" i="6"/>
  <c r="M2000" i="6" s="1"/>
  <c r="I1455" i="6"/>
  <c r="M1455" i="6" s="1"/>
  <c r="I1232" i="6"/>
  <c r="M1232" i="6" s="1"/>
  <c r="I1928" i="6"/>
  <c r="M1928" i="6" s="1"/>
  <c r="I1780" i="6"/>
  <c r="M1780" i="6" s="1"/>
  <c r="I1674" i="6"/>
  <c r="M1674" i="6" s="1"/>
  <c r="I1916" i="6"/>
  <c r="M1916" i="6" s="1"/>
  <c r="I207" i="6"/>
  <c r="M207" i="6" s="1"/>
  <c r="I164" i="6"/>
  <c r="M164" i="6" s="1"/>
  <c r="I561" i="6"/>
  <c r="M561" i="6" s="1"/>
  <c r="I1945" i="6"/>
  <c r="M1945" i="6" s="1"/>
  <c r="I2031" i="6"/>
  <c r="M2031" i="6" s="1"/>
  <c r="I2352" i="6"/>
  <c r="M2352" i="6" s="1"/>
  <c r="I1699" i="6"/>
  <c r="M1699" i="6" s="1"/>
  <c r="I1561" i="6"/>
  <c r="M1561" i="6" s="1"/>
  <c r="I2104" i="6"/>
  <c r="M2104" i="6" s="1"/>
  <c r="I2353" i="6"/>
  <c r="M2353" i="6" s="1"/>
  <c r="I2069" i="6"/>
  <c r="M2069" i="6" s="1"/>
  <c r="I2176" i="6"/>
  <c r="M2176" i="6" s="1"/>
  <c r="I917" i="6"/>
  <c r="M917" i="6" s="1"/>
  <c r="I878" i="6"/>
  <c r="M878" i="6" s="1"/>
  <c r="I449" i="6"/>
  <c r="M449" i="6" s="1"/>
  <c r="I1816" i="6"/>
  <c r="M1816" i="6" s="1"/>
  <c r="I1938" i="6"/>
  <c r="M1938" i="6" s="1"/>
  <c r="I222" i="6"/>
  <c r="M222" i="6" s="1"/>
  <c r="I1048" i="6"/>
  <c r="M1048" i="6" s="1"/>
  <c r="I731" i="6"/>
  <c r="M731" i="6" s="1"/>
  <c r="I1364" i="6"/>
  <c r="M1364" i="6" s="1"/>
  <c r="I2282" i="6"/>
  <c r="M2282" i="6" s="1"/>
  <c r="I1668" i="6"/>
  <c r="M1668" i="6" s="1"/>
  <c r="I368" i="6"/>
  <c r="M368" i="6" s="1"/>
  <c r="I185" i="6"/>
  <c r="M185" i="6" s="1"/>
  <c r="I131" i="6"/>
  <c r="M131" i="6" s="1"/>
  <c r="I2337" i="6"/>
  <c r="M2337" i="6" s="1"/>
  <c r="I1796" i="6"/>
  <c r="M1796" i="6" s="1"/>
  <c r="I1161" i="6"/>
  <c r="M1161" i="6" s="1"/>
  <c r="I1598" i="6"/>
  <c r="M1598" i="6" s="1"/>
  <c r="I1502" i="6"/>
  <c r="M1502" i="6" s="1"/>
  <c r="I1936" i="6"/>
  <c r="M1936" i="6" s="1"/>
  <c r="I2213" i="6"/>
  <c r="M2213" i="6" s="1"/>
  <c r="I1697" i="6"/>
  <c r="M1697" i="6" s="1"/>
  <c r="I45" i="6"/>
  <c r="M45" i="6" s="1"/>
  <c r="I647" i="6"/>
  <c r="M647" i="6" s="1"/>
  <c r="I526" i="6"/>
  <c r="M526" i="6" s="1"/>
  <c r="I691" i="6"/>
  <c r="M691" i="6" s="1"/>
  <c r="I1195" i="6"/>
  <c r="M1195" i="6" s="1"/>
  <c r="I1930" i="6"/>
  <c r="M1930" i="6" s="1"/>
  <c r="I220" i="6"/>
  <c r="M220" i="6" s="1"/>
  <c r="I1600" i="6"/>
  <c r="M1600" i="6" s="1"/>
  <c r="I713" i="6"/>
  <c r="M713" i="6" s="1"/>
  <c r="I2350" i="6"/>
  <c r="M2350" i="6" s="1"/>
  <c r="I2124" i="6"/>
  <c r="M2124" i="6" s="1"/>
  <c r="I1417" i="6"/>
  <c r="M1417" i="6" s="1"/>
  <c r="I1228" i="6"/>
  <c r="M1228" i="6" s="1"/>
  <c r="I1234" i="6"/>
  <c r="M1234" i="6" s="1"/>
  <c r="I2062" i="6"/>
  <c r="M2062" i="6" s="1"/>
  <c r="I1762" i="6"/>
  <c r="M1762" i="6" s="1"/>
  <c r="I2175" i="6"/>
  <c r="M2175" i="6" s="1"/>
  <c r="I11" i="6"/>
  <c r="I1021" i="6"/>
  <c r="M1021" i="6" s="1"/>
  <c r="I1235" i="6"/>
  <c r="M1235" i="6" s="1"/>
  <c r="I1336" i="6"/>
  <c r="M1336" i="6" s="1"/>
  <c r="I2322" i="6"/>
  <c r="M2322" i="6" s="1"/>
  <c r="I221" i="6"/>
  <c r="M221" i="6" s="1"/>
  <c r="I734" i="6"/>
  <c r="M734" i="6" s="1"/>
  <c r="I2252" i="6"/>
  <c r="M2252" i="6" s="1"/>
  <c r="I170" i="6"/>
  <c r="M170" i="6" s="1"/>
  <c r="I1658" i="6"/>
  <c r="M1658" i="6" s="1"/>
  <c r="I1484" i="6"/>
  <c r="M1484" i="6" s="1"/>
  <c r="I348" i="6"/>
  <c r="M348" i="6" s="1"/>
  <c r="I2324" i="6"/>
  <c r="M2324" i="6" s="1"/>
  <c r="I2090" i="6"/>
  <c r="M2090" i="6" s="1"/>
  <c r="I285" i="6"/>
  <c r="M285" i="6" s="1"/>
  <c r="I1978" i="6"/>
  <c r="M1978" i="6" s="1"/>
  <c r="I2241" i="6"/>
  <c r="M2241" i="6" s="1"/>
  <c r="I2027" i="6"/>
  <c r="M2027" i="6" s="1"/>
  <c r="I2223" i="6"/>
  <c r="M2223" i="6" s="1"/>
  <c r="I1221" i="6"/>
  <c r="M1221" i="6" s="1"/>
  <c r="I1895" i="6"/>
  <c r="M1895" i="6" s="1"/>
  <c r="I1346" i="6"/>
  <c r="M1346" i="6" s="1"/>
  <c r="I1940" i="6"/>
  <c r="M1940" i="6" s="1"/>
  <c r="I2077" i="6"/>
  <c r="M2077" i="6" s="1"/>
  <c r="I872" i="6"/>
  <c r="M872" i="6" s="1"/>
  <c r="I893" i="6"/>
  <c r="M893" i="6" s="1"/>
  <c r="I1999" i="6"/>
  <c r="M1999" i="6" s="1"/>
  <c r="I839" i="6"/>
  <c r="M839" i="6" s="1"/>
  <c r="I743" i="6"/>
  <c r="M743" i="6" s="1"/>
  <c r="I685" i="6"/>
  <c r="M685" i="6" s="1"/>
  <c r="I1439" i="6"/>
  <c r="M1439" i="6" s="1"/>
  <c r="I2186" i="6"/>
  <c r="M2186" i="6" s="1"/>
  <c r="I342" i="6"/>
  <c r="M342" i="6" s="1"/>
  <c r="I1098" i="6"/>
  <c r="M1098" i="6" s="1"/>
  <c r="I843" i="6"/>
  <c r="M843" i="6" s="1"/>
  <c r="I2359" i="6"/>
  <c r="M2359" i="6" s="1"/>
  <c r="I1627" i="6"/>
  <c r="M1627" i="6" s="1"/>
  <c r="I1453" i="6"/>
  <c r="M1453" i="6" s="1"/>
  <c r="I1661" i="6"/>
  <c r="M1661" i="6" s="1"/>
  <c r="I676" i="6"/>
  <c r="M676" i="6" s="1"/>
  <c r="I2061" i="6"/>
  <c r="M2061" i="6" s="1"/>
  <c r="I1157" i="6"/>
  <c r="M1157" i="6" s="1"/>
  <c r="I2190" i="6"/>
  <c r="M2190" i="6" s="1"/>
  <c r="I219" i="6"/>
  <c r="M219" i="6" s="1"/>
  <c r="I402" i="6"/>
  <c r="M402" i="6" s="1"/>
  <c r="I1446" i="6"/>
  <c r="M1446" i="6" s="1"/>
  <c r="I2103" i="6"/>
  <c r="M2103" i="6" s="1"/>
  <c r="I1611" i="6"/>
  <c r="M1611" i="6" s="1"/>
  <c r="I2137" i="6"/>
  <c r="M2137" i="6" s="1"/>
  <c r="I54" i="6"/>
  <c r="M54" i="6" s="1"/>
  <c r="I552" i="6"/>
  <c r="M552" i="6" s="1"/>
  <c r="I2360" i="6"/>
  <c r="M2360" i="6" s="1"/>
  <c r="I429" i="6"/>
  <c r="M429" i="6" s="1"/>
  <c r="I897" i="6"/>
  <c r="M897" i="6" s="1"/>
  <c r="I2267" i="6"/>
  <c r="M2267" i="6" s="1"/>
  <c r="I189" i="6"/>
  <c r="M189" i="6" s="1"/>
  <c r="I448" i="6"/>
  <c r="M448" i="6" s="1"/>
  <c r="I340" i="6"/>
  <c r="M340" i="6" s="1"/>
  <c r="I1443" i="6"/>
  <c r="M1443" i="6" s="1"/>
  <c r="I556" i="6"/>
  <c r="M556" i="6" s="1"/>
  <c r="I579" i="6"/>
  <c r="M579" i="6" s="1"/>
  <c r="I1556" i="6"/>
  <c r="M1556" i="6" s="1"/>
  <c r="I756" i="6"/>
  <c r="M756" i="6" s="1"/>
  <c r="I1014" i="6"/>
  <c r="M1014" i="6" s="1"/>
  <c r="I1036" i="6"/>
  <c r="M1036" i="6" s="1"/>
  <c r="I1436" i="6"/>
  <c r="M1436" i="6" s="1"/>
  <c r="I1071" i="6"/>
  <c r="M1071" i="6" s="1"/>
  <c r="I1396" i="6"/>
  <c r="M1396" i="6" s="1"/>
  <c r="I692" i="6"/>
  <c r="M692" i="6" s="1"/>
  <c r="I823" i="6"/>
  <c r="M823" i="6" s="1"/>
  <c r="I1500" i="6"/>
  <c r="M1500" i="6" s="1"/>
  <c r="I2300" i="6"/>
  <c r="M2300" i="6" s="1"/>
  <c r="I918" i="6"/>
  <c r="M918" i="6" s="1"/>
  <c r="I1421" i="6"/>
  <c r="M1421" i="6" s="1"/>
  <c r="I656" i="6"/>
  <c r="M656" i="6" s="1"/>
  <c r="I2113" i="6"/>
  <c r="M2113" i="6" s="1"/>
  <c r="I633" i="6"/>
  <c r="M633" i="6" s="1"/>
  <c r="I1238" i="6"/>
  <c r="M1238" i="6" s="1"/>
  <c r="I2054" i="6"/>
  <c r="M2054" i="6" s="1"/>
  <c r="I1729" i="6"/>
  <c r="M1729" i="6" s="1"/>
  <c r="I2291" i="6"/>
  <c r="M2291" i="6" s="1"/>
  <c r="I377" i="6"/>
  <c r="M377" i="6" s="1"/>
  <c r="I2133" i="6"/>
  <c r="M2133" i="6" s="1"/>
  <c r="I2325" i="6"/>
  <c r="M2325" i="6" s="1"/>
  <c r="I1965" i="6"/>
  <c r="M1965" i="6" s="1"/>
  <c r="I1492" i="6"/>
  <c r="M1492" i="6" s="1"/>
  <c r="I1162" i="6"/>
  <c r="M1162" i="6" s="1"/>
  <c r="I2084" i="6"/>
  <c r="M2084" i="6" s="1"/>
  <c r="I1917" i="6"/>
  <c r="M1917" i="6" s="1"/>
  <c r="I1146" i="6"/>
  <c r="M1146" i="6" s="1"/>
  <c r="I1957" i="6"/>
  <c r="M1957" i="6" s="1"/>
  <c r="I2187" i="6"/>
  <c r="M2187" i="6" s="1"/>
  <c r="I2330" i="6"/>
  <c r="M2330" i="6" s="1"/>
  <c r="I1692" i="6"/>
  <c r="M1692" i="6" s="1"/>
  <c r="I2256" i="6"/>
  <c r="M2256" i="6" s="1"/>
  <c r="I450" i="6"/>
  <c r="M450" i="6" s="1"/>
  <c r="I1872" i="6"/>
  <c r="M1872" i="6" s="1"/>
  <c r="I2341" i="6"/>
  <c r="M2341" i="6" s="1"/>
  <c r="I892" i="6"/>
  <c r="M892" i="6" s="1"/>
  <c r="I2043" i="6"/>
  <c r="M2043" i="6" s="1"/>
  <c r="I2107" i="6"/>
  <c r="M2107" i="6" s="1"/>
  <c r="I1494" i="6"/>
  <c r="M1494" i="6" s="1"/>
  <c r="I1608" i="6"/>
  <c r="M1608" i="6" s="1"/>
  <c r="I2152" i="6"/>
  <c r="M2152" i="6" s="1"/>
  <c r="I216" i="6"/>
  <c r="M216" i="6" s="1"/>
  <c r="I580" i="6"/>
  <c r="M580" i="6" s="1"/>
  <c r="I522" i="6"/>
  <c r="M522" i="6" s="1"/>
  <c r="I2323" i="6"/>
  <c r="M2323" i="6" s="1"/>
  <c r="I1277" i="6"/>
  <c r="M1277" i="6" s="1"/>
  <c r="I1911" i="6"/>
  <c r="M1911" i="6" s="1"/>
  <c r="I861" i="6"/>
  <c r="M861" i="6" s="1"/>
  <c r="I379" i="6"/>
  <c r="M379" i="6" s="1"/>
  <c r="I834" i="6"/>
  <c r="M834" i="6" s="1"/>
  <c r="I2008" i="6"/>
  <c r="M2008" i="6" s="1"/>
  <c r="I1481" i="6"/>
  <c r="M1481" i="6" s="1"/>
  <c r="I16" i="6"/>
  <c r="I1333" i="6"/>
  <c r="M1333" i="6" s="1"/>
  <c r="I2034" i="6"/>
  <c r="M2034" i="6" s="1"/>
  <c r="I585" i="6"/>
  <c r="M585" i="6" s="1"/>
  <c r="I1755" i="6"/>
  <c r="M1755" i="6" s="1"/>
  <c r="I461" i="6"/>
  <c r="M461" i="6" s="1"/>
  <c r="I2355" i="6"/>
  <c r="M2355" i="6" s="1"/>
  <c r="I1837" i="6"/>
  <c r="M1837" i="6" s="1"/>
  <c r="I777" i="6"/>
  <c r="M777" i="6" s="1"/>
  <c r="I1919" i="6"/>
  <c r="M1919" i="6" s="1"/>
  <c r="I403" i="6"/>
  <c r="M403" i="6" s="1"/>
  <c r="I1212" i="6"/>
  <c r="M1212" i="6" s="1"/>
  <c r="I1218" i="6"/>
  <c r="M1218" i="6" s="1"/>
  <c r="I1764" i="6"/>
  <c r="M1764" i="6" s="1"/>
  <c r="I929" i="6"/>
  <c r="M929" i="6" s="1"/>
  <c r="I600" i="6"/>
  <c r="M600" i="6" s="1"/>
  <c r="I2045" i="6"/>
  <c r="M2045" i="6" s="1"/>
  <c r="I2072" i="6"/>
  <c r="M2072" i="6" s="1"/>
  <c r="I1272" i="6"/>
  <c r="M1272" i="6" s="1"/>
  <c r="I2281" i="6"/>
  <c r="M2281" i="6" s="1"/>
  <c r="I1461" i="6"/>
  <c r="M1461" i="6" s="1"/>
  <c r="I1357" i="6"/>
  <c r="M1357" i="6" s="1"/>
  <c r="I2206" i="6"/>
  <c r="M2206" i="6" s="1"/>
  <c r="I1239" i="6"/>
  <c r="M1239" i="6" s="1"/>
  <c r="I1910" i="6"/>
  <c r="M1910" i="6" s="1"/>
  <c r="I1064" i="6"/>
  <c r="M1064" i="6" s="1"/>
  <c r="I1190" i="6"/>
  <c r="M1190" i="6" s="1"/>
  <c r="I1434" i="6"/>
  <c r="M1434" i="6" s="1"/>
  <c r="I1244" i="6"/>
  <c r="M1244" i="6" s="1"/>
  <c r="I1782" i="6"/>
  <c r="M1782" i="6" s="1"/>
  <c r="I1901" i="6"/>
  <c r="M1901" i="6" s="1"/>
  <c r="I1267" i="6"/>
  <c r="M1267" i="6" s="1"/>
  <c r="I1908" i="6"/>
  <c r="M1908" i="6" s="1"/>
  <c r="I2044" i="6"/>
  <c r="M2044" i="6" s="1"/>
  <c r="I1413" i="6"/>
  <c r="M1413" i="6" s="1"/>
  <c r="I1442" i="6"/>
  <c r="M1442" i="6" s="1"/>
  <c r="I2001" i="6"/>
  <c r="M2001" i="6" s="1"/>
  <c r="I638" i="6"/>
  <c r="M638" i="6" s="1"/>
  <c r="I2076" i="6"/>
  <c r="M2076" i="6" s="1"/>
  <c r="I1875" i="6"/>
  <c r="M1875" i="6" s="1"/>
  <c r="I1676" i="6"/>
  <c r="M1676" i="6" s="1"/>
  <c r="I364" i="6"/>
  <c r="M364" i="6" s="1"/>
  <c r="I465" i="6"/>
  <c r="M465" i="6" s="1"/>
  <c r="I1059" i="6"/>
  <c r="M1059" i="6" s="1"/>
  <c r="I747" i="6"/>
  <c r="M747" i="6" s="1"/>
  <c r="I1734" i="6"/>
  <c r="M1734" i="6" s="1"/>
  <c r="I1907" i="6"/>
  <c r="M1907" i="6" s="1"/>
  <c r="I2032" i="6"/>
  <c r="M2032" i="6" s="1"/>
  <c r="I1384" i="6"/>
  <c r="M1384" i="6" s="1"/>
  <c r="I1388" i="6"/>
  <c r="M1388" i="6" s="1"/>
  <c r="I208" i="6"/>
  <c r="M208" i="6" s="1"/>
  <c r="I778" i="6"/>
  <c r="M778" i="6" s="1"/>
  <c r="I244" i="6"/>
  <c r="M244" i="6" s="1"/>
  <c r="I1544" i="6"/>
  <c r="M1544" i="6" s="1"/>
  <c r="I2120" i="6"/>
  <c r="M2120" i="6" s="1"/>
  <c r="I1559" i="6"/>
  <c r="M1559" i="6" s="1"/>
  <c r="I550" i="6"/>
  <c r="M550" i="6" s="1"/>
  <c r="I1159" i="6"/>
  <c r="M1159" i="6" s="1"/>
  <c r="I246" i="6"/>
  <c r="M246" i="6" s="1"/>
  <c r="I542" i="6"/>
  <c r="M542" i="6" s="1"/>
  <c r="I622" i="6"/>
  <c r="M622" i="6" s="1"/>
  <c r="I1718" i="6"/>
  <c r="M1718" i="6" s="1"/>
  <c r="I2110" i="6"/>
  <c r="M2110" i="6" s="1"/>
  <c r="I1479" i="6"/>
  <c r="M1479" i="6" s="1"/>
  <c r="I1137" i="6"/>
  <c r="M1137" i="6" s="1"/>
  <c r="I881" i="6"/>
  <c r="M881" i="6" s="1"/>
  <c r="I200" i="6"/>
  <c r="M200" i="6" s="1"/>
  <c r="I434" i="6"/>
  <c r="M434" i="6" s="1"/>
  <c r="I463" i="6"/>
  <c r="M463" i="6" s="1"/>
  <c r="I1667" i="6"/>
  <c r="M1667" i="6" s="1"/>
  <c r="I2071" i="6"/>
  <c r="M2071" i="6" s="1"/>
  <c r="I1506" i="6"/>
  <c r="M1506" i="6" s="1"/>
  <c r="I1240" i="6"/>
  <c r="M1240" i="6" s="1"/>
  <c r="I634" i="6"/>
  <c r="M634" i="6" s="1"/>
  <c r="I206" i="6"/>
  <c r="M206" i="6" s="1"/>
  <c r="I1143" i="6"/>
  <c r="M1143" i="6" s="1"/>
  <c r="I1120" i="6"/>
  <c r="M1120" i="6" s="1"/>
  <c r="I2029" i="6"/>
  <c r="M2029" i="6" s="1"/>
  <c r="I1564" i="6"/>
  <c r="M1564" i="6" s="1"/>
  <c r="I349" i="6"/>
  <c r="M349" i="6" s="1"/>
  <c r="I2235" i="6"/>
  <c r="M2235" i="6" s="1"/>
  <c r="I2030" i="6"/>
  <c r="M2030" i="6" s="1"/>
  <c r="I640" i="6"/>
  <c r="M640" i="6" s="1"/>
  <c r="I546" i="6"/>
  <c r="M546" i="6" s="1"/>
  <c r="I1597" i="6"/>
  <c r="M1597" i="6" s="1"/>
  <c r="I660" i="6"/>
  <c r="M660" i="6" s="1"/>
  <c r="I2064" i="6"/>
  <c r="M2064" i="6" s="1"/>
  <c r="I468" i="6"/>
  <c r="M468" i="6" s="1"/>
  <c r="I2131" i="6"/>
  <c r="M2131" i="6" s="1"/>
  <c r="I459" i="6"/>
  <c r="M459" i="6" s="1"/>
  <c r="I1997" i="6"/>
  <c r="M1997" i="6" s="1"/>
  <c r="I757" i="6"/>
  <c r="M757" i="6" s="1"/>
  <c r="I211" i="6"/>
  <c r="M211" i="6" s="1"/>
  <c r="I115" i="6"/>
  <c r="M115" i="6" s="1"/>
  <c r="I381" i="6"/>
  <c r="M381" i="6" s="1"/>
  <c r="I1407" i="6"/>
  <c r="M1407" i="6" s="1"/>
  <c r="I1208" i="6"/>
  <c r="M1208" i="6" s="1"/>
  <c r="I135" i="6"/>
  <c r="M135" i="6" s="1"/>
  <c r="I2221" i="6"/>
  <c r="M2221" i="6" s="1"/>
  <c r="I297" i="6"/>
  <c r="M297" i="6" s="1"/>
  <c r="I2042" i="6"/>
  <c r="M2042" i="6" s="1"/>
  <c r="I781" i="6"/>
  <c r="M781" i="6" s="1"/>
  <c r="I1011" i="6"/>
  <c r="M1011" i="6" s="1"/>
  <c r="I590" i="6"/>
  <c r="M590" i="6" s="1"/>
  <c r="I581" i="6"/>
  <c r="M581" i="6" s="1"/>
  <c r="I1160" i="6"/>
  <c r="M1160" i="6" s="1"/>
  <c r="I762" i="6"/>
  <c r="M762" i="6" s="1"/>
  <c r="I717" i="6"/>
  <c r="M717" i="6" s="1"/>
  <c r="I1665" i="6"/>
  <c r="M1665" i="6" s="1"/>
  <c r="I920" i="6"/>
  <c r="M920" i="6" s="1"/>
  <c r="I441" i="6"/>
  <c r="M441" i="6" s="1"/>
  <c r="I1657" i="6"/>
  <c r="M1657" i="6" s="1"/>
  <c r="I2182" i="6"/>
  <c r="M2182" i="6" s="1"/>
  <c r="I2271" i="6"/>
  <c r="M2271" i="6" s="1"/>
  <c r="I1293" i="6"/>
  <c r="M1293" i="6" s="1"/>
  <c r="I283" i="6"/>
  <c r="M283" i="6" s="1"/>
  <c r="I430" i="6"/>
  <c r="M430" i="6" s="1"/>
  <c r="I2290" i="6"/>
  <c r="M2290" i="6" s="1"/>
  <c r="I333" i="6"/>
  <c r="M333" i="6" s="1"/>
  <c r="I1404" i="6"/>
  <c r="M1404" i="6" s="1"/>
  <c r="I1361" i="6"/>
  <c r="M1361" i="6" s="1"/>
  <c r="I2224" i="6"/>
  <c r="M2224" i="6" s="1"/>
  <c r="I1418" i="6"/>
  <c r="M1418" i="6" s="1"/>
  <c r="I1009" i="6"/>
  <c r="M1009" i="6" s="1"/>
  <c r="I718" i="6"/>
  <c r="M718" i="6" s="1"/>
  <c r="I2119" i="6"/>
  <c r="M2119" i="6" s="1"/>
  <c r="I484" i="6"/>
  <c r="M484" i="6" s="1"/>
  <c r="I2168" i="6"/>
  <c r="M2168" i="6" s="1"/>
  <c r="I1918" i="6"/>
  <c r="M1918" i="6" s="1"/>
  <c r="I44" i="6"/>
  <c r="M44" i="6" s="1"/>
  <c r="I827" i="6"/>
  <c r="M827" i="6" s="1"/>
  <c r="I1196" i="6"/>
  <c r="M1196" i="6" s="1"/>
  <c r="I406" i="6"/>
  <c r="M406" i="6" s="1"/>
  <c r="I318" i="6"/>
  <c r="M318" i="6" s="1"/>
  <c r="I1220" i="6"/>
  <c r="M1220" i="6" s="1"/>
  <c r="I2188" i="6"/>
  <c r="M2188" i="6" s="1"/>
  <c r="I245" i="6"/>
  <c r="M245" i="6" s="1"/>
  <c r="I423" i="6"/>
  <c r="M423" i="6" s="1"/>
  <c r="I535" i="6"/>
  <c r="M535" i="6" s="1"/>
  <c r="I1356" i="6"/>
  <c r="M1356" i="6" s="1"/>
  <c r="I1047" i="6"/>
  <c r="M1047" i="6" s="1"/>
  <c r="I746" i="6"/>
  <c r="M746" i="6" s="1"/>
  <c r="C74" i="13"/>
  <c r="C45" i="13"/>
  <c r="F41" i="13"/>
  <c r="D38" i="13"/>
  <c r="D30" i="13"/>
  <c r="F22" i="13"/>
  <c r="C19" i="13"/>
  <c r="F57" i="13"/>
  <c r="C54" i="13"/>
  <c r="C49" i="13"/>
  <c r="D71" i="13"/>
  <c r="M2320" i="6"/>
  <c r="M2297" i="6"/>
  <c r="M1852" i="6"/>
  <c r="M1499" i="6"/>
  <c r="M1252" i="6"/>
  <c r="M1334" i="6"/>
  <c r="M2229" i="6"/>
  <c r="M477" i="6"/>
  <c r="M1532" i="6"/>
  <c r="M1256" i="6"/>
  <c r="M1771" i="6"/>
  <c r="M66" i="6"/>
  <c r="M1324" i="6"/>
  <c r="M238" i="6"/>
  <c r="M1061" i="6"/>
  <c r="M898" i="6"/>
  <c r="M773" i="6"/>
  <c r="M113" i="6"/>
  <c r="M2311" i="6"/>
  <c r="M2315" i="6"/>
  <c r="M2306" i="6"/>
  <c r="M548" i="6"/>
  <c r="M143" i="6"/>
  <c r="M922" i="6"/>
  <c r="M832" i="6"/>
  <c r="M174" i="6"/>
  <c r="M1166" i="6"/>
  <c r="M1213" i="6"/>
  <c r="M1219" i="6"/>
  <c r="M411" i="6"/>
  <c r="M1891" i="6"/>
  <c r="M1663" i="6"/>
  <c r="M818" i="6"/>
  <c r="M239" i="6"/>
  <c r="M537" i="6"/>
  <c r="M2321" i="6"/>
  <c r="M2011" i="6"/>
  <c r="M1866" i="6"/>
  <c r="M224" i="6"/>
  <c r="M1366" i="6"/>
  <c r="M357" i="6"/>
  <c r="M1329" i="6"/>
  <c r="M168" i="6"/>
  <c r="M1067" i="6"/>
  <c r="M1229" i="6"/>
  <c r="M1337" i="6"/>
  <c r="M515" i="6"/>
  <c r="M1784" i="6"/>
  <c r="M266" i="6"/>
  <c r="M476" i="6"/>
  <c r="M1571" i="6"/>
  <c r="M1464" i="6"/>
  <c r="M2312" i="6"/>
  <c r="M2309" i="6"/>
  <c r="M2308" i="6"/>
  <c r="M2305" i="6"/>
  <c r="M2052" i="6"/>
  <c r="M1526" i="6"/>
  <c r="M1617" i="6"/>
  <c r="M136" i="6"/>
  <c r="M1377" i="6"/>
  <c r="M1912" i="6"/>
  <c r="M1477" i="6"/>
  <c r="M1367" i="6"/>
  <c r="M541" i="6"/>
  <c r="M1529" i="6"/>
  <c r="M534" i="6"/>
  <c r="M573" i="6"/>
  <c r="M1318" i="6"/>
  <c r="M2318" i="6"/>
  <c r="M440" i="6"/>
  <c r="M808" i="6"/>
  <c r="M2180" i="6"/>
  <c r="M1846" i="6"/>
  <c r="M1126" i="6"/>
  <c r="M1749" i="6"/>
  <c r="M511" i="6"/>
  <c r="M1698" i="6"/>
  <c r="M249" i="6"/>
  <c r="M1677" i="6"/>
  <c r="M1876" i="6"/>
  <c r="M1770" i="6"/>
  <c r="M761" i="6"/>
  <c r="M1225" i="6"/>
  <c r="M1686" i="6"/>
  <c r="M1130" i="6"/>
  <c r="M1521" i="6"/>
  <c r="M127" i="6"/>
  <c r="M696" i="6"/>
  <c r="M1325" i="6"/>
  <c r="M1403" i="6"/>
  <c r="M2294" i="6"/>
  <c r="M1132" i="6"/>
  <c r="M883" i="6"/>
  <c r="M1841" i="6"/>
  <c r="M904" i="6"/>
  <c r="M1528" i="6"/>
  <c r="M1164" i="6"/>
  <c r="M373" i="6"/>
  <c r="M1308" i="6"/>
  <c r="M995" i="6"/>
  <c r="M212" i="6"/>
  <c r="M179" i="6"/>
  <c r="M1522" i="6"/>
  <c r="M1533" i="6"/>
  <c r="M1616" i="6"/>
  <c r="M1530" i="6"/>
  <c r="M1736" i="6"/>
  <c r="M576" i="6"/>
  <c r="M569" i="6"/>
  <c r="M1319" i="6"/>
  <c r="M1709" i="6"/>
  <c r="M766" i="6"/>
  <c r="M811" i="6"/>
  <c r="M1192" i="6"/>
  <c r="M25" i="6"/>
  <c r="M1025" i="6"/>
  <c r="M2164" i="6"/>
  <c r="M234" i="6"/>
  <c r="M2273" i="6"/>
  <c r="M1733" i="6"/>
  <c r="M180" i="6"/>
  <c r="M1768" i="6"/>
  <c r="M820" i="6"/>
  <c r="M894" i="6"/>
  <c r="M2247" i="6"/>
  <c r="M1867" i="6"/>
  <c r="M1514" i="6"/>
  <c r="M2048" i="6"/>
  <c r="M1037" i="6"/>
  <c r="M1254" i="6"/>
  <c r="M2259" i="6"/>
  <c r="M1696" i="6"/>
  <c r="M1595" i="6"/>
  <c r="M2165" i="6"/>
  <c r="M985" i="6"/>
  <c r="M536" i="6"/>
  <c r="M1851" i="6"/>
  <c r="M992" i="6"/>
  <c r="M1040" i="6"/>
  <c r="M1650" i="6"/>
  <c r="M2146" i="6"/>
  <c r="M1328" i="6"/>
  <c r="M695" i="6"/>
  <c r="M1972" i="6"/>
  <c r="M982" i="6"/>
  <c r="M1182" i="6"/>
  <c r="M1296" i="6"/>
  <c r="M2157" i="6"/>
  <c r="M627" i="6"/>
  <c r="M2246" i="6"/>
  <c r="M236" i="6"/>
  <c r="M1495" i="6"/>
  <c r="M1744" i="6"/>
  <c r="M1860" i="6"/>
  <c r="M2289" i="6"/>
  <c r="M1317" i="6"/>
  <c r="M512" i="6"/>
  <c r="M572" i="6"/>
  <c r="M1885" i="6"/>
  <c r="M1444" i="6"/>
  <c r="M2138" i="6"/>
  <c r="M235" i="6"/>
  <c r="M1870" i="6"/>
  <c r="M2149" i="6"/>
  <c r="M2270" i="6"/>
  <c r="M1307" i="6"/>
  <c r="M1720" i="6"/>
  <c r="M506" i="6"/>
  <c r="M191" i="6"/>
  <c r="M996" i="6"/>
  <c r="M1879" i="6"/>
  <c r="M2016" i="6"/>
  <c r="M1578" i="6"/>
  <c r="M1531" i="6"/>
  <c r="M2196" i="6"/>
  <c r="M2280" i="6"/>
  <c r="M198" i="6"/>
  <c r="M1113" i="6"/>
  <c r="M1030" i="6"/>
  <c r="M1843" i="6"/>
  <c r="M1716" i="6"/>
  <c r="M132" i="6"/>
  <c r="M1108" i="6"/>
  <c r="M470" i="6"/>
  <c r="M1428" i="6"/>
  <c r="M2268" i="6"/>
  <c r="M2284" i="6"/>
  <c r="C18" i="13"/>
  <c r="M665" i="6"/>
  <c r="M1951" i="6"/>
  <c r="M1491" i="6"/>
  <c r="M1311" i="6"/>
  <c r="M1868" i="6"/>
  <c r="M2128" i="6"/>
  <c r="M466" i="6"/>
  <c r="M182" i="6"/>
  <c r="M819" i="6"/>
  <c r="D57" i="13"/>
  <c r="F39" i="13"/>
  <c r="M792" i="6"/>
  <c r="M1107" i="6"/>
  <c r="M2158" i="6"/>
  <c r="M997" i="6"/>
  <c r="M1995" i="6"/>
  <c r="M1994" i="6"/>
  <c r="M675" i="6"/>
  <c r="M1106" i="6"/>
  <c r="M1899" i="6"/>
  <c r="M1105" i="6"/>
  <c r="M674" i="6"/>
  <c r="M998" i="6"/>
  <c r="M1519" i="6"/>
  <c r="M1400" i="6"/>
  <c r="M1468" i="6"/>
  <c r="M1100" i="6"/>
  <c r="M193" i="6"/>
  <c r="M2193" i="6"/>
  <c r="M613" i="6"/>
  <c r="M724" i="6"/>
  <c r="M1488" i="6"/>
  <c r="M103" i="6"/>
  <c r="M2003" i="6"/>
  <c r="M1373" i="6"/>
  <c r="M702" i="6"/>
  <c r="M1000" i="6"/>
  <c r="M1283" i="6"/>
  <c r="M609" i="6"/>
  <c r="M967" i="6"/>
  <c r="M2139" i="6"/>
  <c r="M2037" i="6"/>
  <c r="M562" i="6"/>
  <c r="M1290" i="6"/>
  <c r="M1915" i="6"/>
  <c r="M1926" i="6"/>
  <c r="M139" i="6"/>
  <c r="M1512" i="6"/>
  <c r="M2083" i="6"/>
  <c r="M673" i="6"/>
  <c r="M496" i="6"/>
  <c r="M1651" i="6"/>
  <c r="M1649" i="6"/>
  <c r="M2167" i="6"/>
  <c r="M300" i="6"/>
  <c r="M1703" i="6"/>
  <c r="M1704" i="6"/>
  <c r="M1954" i="6"/>
  <c r="M1871" i="6"/>
  <c r="M1878" i="6"/>
  <c r="M1398" i="6"/>
  <c r="M1527" i="6"/>
  <c r="M1343" i="6"/>
  <c r="M2220" i="6"/>
  <c r="M978" i="6"/>
  <c r="M1507" i="6"/>
  <c r="M824" i="6"/>
  <c r="M1821" i="6"/>
  <c r="M2086" i="6"/>
  <c r="M860" i="6"/>
  <c r="M1102" i="6"/>
  <c r="M159" i="6"/>
  <c r="M533" i="6"/>
  <c r="M488" i="6"/>
  <c r="M2096" i="6"/>
  <c r="M1589" i="6"/>
  <c r="M1314" i="6"/>
  <c r="M1119" i="6"/>
  <c r="M795" i="6"/>
  <c r="M1090" i="6"/>
  <c r="M1275" i="6"/>
  <c r="M1330" i="6"/>
  <c r="M502" i="6"/>
  <c r="M2147" i="6"/>
  <c r="M880" i="6"/>
  <c r="M1287" i="6"/>
  <c r="M965" i="6"/>
  <c r="M1096" i="6"/>
  <c r="M1539" i="6"/>
  <c r="M570" i="6"/>
  <c r="M801" i="6"/>
  <c r="M529" i="6"/>
  <c r="M1612" i="6"/>
  <c r="M302" i="6"/>
  <c r="M1312" i="6"/>
  <c r="M1286" i="6"/>
  <c r="M205" i="6"/>
  <c r="M1371" i="6"/>
  <c r="M1280" i="6"/>
  <c r="M400" i="6"/>
  <c r="M1109" i="6"/>
  <c r="M961" i="6"/>
  <c r="M1313" i="6"/>
  <c r="M816" i="6"/>
  <c r="M328" i="6"/>
  <c r="M498" i="6"/>
  <c r="M988" i="6"/>
  <c r="M1116" i="6"/>
  <c r="M1028" i="6"/>
  <c r="M55" i="6"/>
  <c r="M2141" i="6"/>
  <c r="M964" i="6"/>
  <c r="M966" i="6"/>
  <c r="M791" i="6"/>
  <c r="M1913" i="6"/>
  <c r="M233" i="6"/>
  <c r="M1823" i="6"/>
  <c r="M672" i="6"/>
  <c r="M2130" i="6"/>
  <c r="M1323" i="6"/>
  <c r="M1462" i="6"/>
  <c r="M1516" i="6"/>
  <c r="M158" i="6"/>
  <c r="M514" i="6"/>
  <c r="M1110" i="6"/>
  <c r="M1986" i="6"/>
  <c r="M1223" i="6"/>
  <c r="M1300" i="6"/>
  <c r="M311" i="6"/>
  <c r="M1835" i="6"/>
  <c r="M1520" i="6"/>
  <c r="M1425" i="6"/>
  <c r="M1001" i="6"/>
  <c r="M568" i="6"/>
  <c r="M1466" i="6"/>
  <c r="M557" i="6"/>
  <c r="M152" i="6"/>
  <c r="M2166" i="6"/>
  <c r="M980" i="6"/>
  <c r="M1626" i="6"/>
  <c r="M803" i="6"/>
  <c r="M969" i="6"/>
  <c r="M812" i="6"/>
  <c r="M1472" i="6"/>
  <c r="M1002" i="6"/>
  <c r="M866" i="6"/>
  <c r="M972" i="6"/>
  <c r="M664" i="6"/>
  <c r="M1003" i="6"/>
  <c r="M1475" i="6"/>
  <c r="M871" i="6"/>
  <c r="M356" i="6"/>
  <c r="M574" i="6"/>
  <c r="M671" i="6"/>
  <c r="M1810" i="6"/>
  <c r="M1127" i="6"/>
  <c r="M190" i="6"/>
  <c r="M1640" i="6"/>
  <c r="M1515" i="6"/>
  <c r="M1517" i="6"/>
  <c r="M577" i="6"/>
  <c r="M1211" i="6"/>
  <c r="M346" i="6"/>
  <c r="M194" i="6"/>
  <c r="M1129" i="6"/>
  <c r="M332" i="6"/>
  <c r="M2127" i="6"/>
  <c r="M1845" i="6"/>
  <c r="M439" i="6"/>
  <c r="M530" i="6"/>
  <c r="M670" i="6"/>
  <c r="M276" i="6"/>
  <c r="M151" i="6"/>
  <c r="M806" i="6"/>
  <c r="M1707" i="6"/>
  <c r="M29" i="6"/>
  <c r="M513" i="6"/>
  <c r="M796" i="6"/>
  <c r="M1112" i="6"/>
  <c r="M271" i="6"/>
  <c r="M426" i="6"/>
  <c r="M810" i="6"/>
  <c r="M503" i="6"/>
  <c r="M797" i="6"/>
  <c r="M1094" i="6"/>
  <c r="M1678" i="6"/>
  <c r="M1332" i="6"/>
  <c r="M1976" i="6"/>
  <c r="M1006" i="6"/>
  <c r="M630" i="6"/>
  <c r="M1952" i="6"/>
  <c r="M1702" i="6"/>
  <c r="M1316" i="6"/>
  <c r="M1955" i="6"/>
  <c r="M137" i="6"/>
  <c r="M275" i="6"/>
  <c r="M345" i="6"/>
  <c r="M1315" i="6"/>
  <c r="M1944" i="6"/>
  <c r="M1131" i="6"/>
  <c r="M1206" i="6"/>
  <c r="M1832" i="6"/>
  <c r="M469" i="6"/>
  <c r="M1725" i="6"/>
  <c r="M987" i="6"/>
  <c r="M2093" i="6"/>
  <c r="M1278" i="6"/>
  <c r="M428" i="6"/>
  <c r="M804" i="6"/>
  <c r="M783" i="6"/>
  <c r="M999" i="6"/>
  <c r="M1859" i="6"/>
  <c r="M500" i="6"/>
  <c r="M1265" i="6"/>
  <c r="M1643" i="6"/>
  <c r="M1644" i="6"/>
  <c r="M1632" i="6"/>
  <c r="M1338" i="6"/>
  <c r="M1463" i="6"/>
  <c r="M88" i="6"/>
  <c r="M977" i="6"/>
  <c r="M1092" i="6"/>
  <c r="M1670" i="6"/>
  <c r="M793" i="6"/>
  <c r="M1099" i="6"/>
  <c r="M497" i="6"/>
  <c r="M809" i="6"/>
  <c r="M973" i="6"/>
  <c r="M2194" i="6"/>
  <c r="M2081" i="6"/>
  <c r="M1759" i="6"/>
  <c r="M517" i="6"/>
  <c r="M1276" i="6"/>
  <c r="M1402" i="6"/>
  <c r="M1675" i="6"/>
  <c r="M725" i="6"/>
  <c r="M118" i="6"/>
  <c r="M116" i="6"/>
  <c r="M259" i="6"/>
  <c r="M1778" i="6"/>
  <c r="M247" i="6"/>
  <c r="M662" i="6"/>
  <c r="M148" i="6"/>
  <c r="M721" i="6"/>
  <c r="M106" i="6"/>
  <c r="M98" i="6"/>
  <c r="M856" i="6"/>
  <c r="M1230" i="6"/>
  <c r="M254" i="6"/>
  <c r="M873" i="6"/>
  <c r="M990" i="6"/>
  <c r="M1922" i="6"/>
  <c r="M1834" i="6"/>
  <c r="M114" i="6"/>
  <c r="M495" i="6"/>
  <c r="M1295" i="6"/>
  <c r="M1647" i="6"/>
  <c r="M1970" i="6"/>
  <c r="M265" i="6"/>
  <c r="M1154" i="6"/>
  <c r="M1789" i="6"/>
  <c r="M2148" i="6"/>
  <c r="M1084" i="6"/>
  <c r="M305" i="6"/>
  <c r="M1705" i="6"/>
  <c r="M1896" i="6"/>
  <c r="M1375" i="6"/>
  <c r="M1858" i="6"/>
  <c r="M1842" i="6"/>
  <c r="M294" i="6"/>
  <c r="M794" i="6"/>
  <c r="M1460" i="6"/>
  <c r="M877" i="6"/>
  <c r="M87" i="6"/>
  <c r="M2082" i="6"/>
  <c r="M1086" i="6"/>
  <c r="M1966" i="6"/>
  <c r="M1628" i="6"/>
  <c r="M805" i="6"/>
  <c r="M555" i="6"/>
  <c r="M81" i="6"/>
  <c r="M981" i="6"/>
  <c r="M2197" i="6"/>
  <c r="M1513" i="6"/>
  <c r="M1093" i="6"/>
  <c r="M1596" i="6"/>
  <c r="M1633" i="6"/>
  <c r="M608" i="6"/>
  <c r="M815" i="6"/>
  <c r="M232" i="6"/>
  <c r="M93" i="6"/>
  <c r="M408" i="6"/>
  <c r="M1511" i="6"/>
  <c r="M1088" i="6"/>
  <c r="M326" i="6"/>
  <c r="M1581" i="6"/>
  <c r="M1639" i="6"/>
  <c r="M1538" i="6"/>
  <c r="M799" i="6"/>
  <c r="M80" i="6"/>
  <c r="M1370" i="6"/>
  <c r="M1473" i="6"/>
  <c r="M1264" i="6"/>
  <c r="M1635" i="6"/>
  <c r="M726" i="6"/>
  <c r="M2075" i="6"/>
  <c r="M95" i="6"/>
  <c r="M1756" i="6"/>
  <c r="M855" i="6"/>
  <c r="M1250" i="6"/>
  <c r="M1773" i="6"/>
  <c r="M146" i="6"/>
  <c r="M2073" i="6"/>
  <c r="M123" i="6"/>
  <c r="M100" i="6"/>
  <c r="M1552" i="6"/>
  <c r="M1971" i="6"/>
  <c r="M833" i="6"/>
  <c r="M1258" i="6"/>
  <c r="M1251" i="6"/>
  <c r="M1681" i="6"/>
  <c r="M509" i="6"/>
  <c r="M108" i="6"/>
  <c r="M1973" i="6"/>
  <c r="M774" i="6"/>
  <c r="M836" i="6"/>
  <c r="M252" i="6"/>
  <c r="M1104" i="6"/>
  <c r="M119" i="6"/>
  <c r="M491" i="6"/>
  <c r="M2183" i="6"/>
  <c r="M1836" i="6"/>
  <c r="M2099" i="6"/>
  <c r="M1984" i="6"/>
  <c r="M1959" i="6"/>
  <c r="M1964" i="6"/>
  <c r="M1961" i="6"/>
  <c r="M1335" i="6"/>
  <c r="M175" i="6"/>
  <c r="M1122" i="6"/>
  <c r="M36" i="6"/>
  <c r="M1811" i="6"/>
  <c r="M1825" i="6"/>
  <c r="M140" i="6"/>
  <c r="M1309" i="6"/>
  <c r="M2018" i="6"/>
  <c r="M1541" i="6"/>
  <c r="M422" i="6"/>
  <c r="M1849" i="6"/>
  <c r="M479" i="6"/>
  <c r="M501" i="6"/>
  <c r="M2094" i="6"/>
  <c r="M1795" i="6"/>
  <c r="M1737" i="6"/>
  <c r="M984" i="6"/>
  <c r="M447" i="6"/>
  <c r="M1224" i="6"/>
  <c r="M308" i="6"/>
  <c r="M489" i="6"/>
  <c r="M153" i="6"/>
  <c r="M659" i="6"/>
  <c r="M1892" i="6"/>
  <c r="M1920" i="6"/>
  <c r="M994" i="6"/>
  <c r="M1302" i="6"/>
  <c r="M2142" i="6"/>
  <c r="M1038" i="6"/>
  <c r="M1121" i="6"/>
  <c r="M1004" i="6"/>
  <c r="M1320" i="6"/>
  <c r="M1310" i="6"/>
  <c r="M1831" i="6"/>
  <c r="M125" i="6"/>
  <c r="M1297" i="6"/>
  <c r="M2227" i="6"/>
  <c r="M2150" i="6"/>
  <c r="M286" i="6"/>
  <c r="M291" i="6"/>
  <c r="M1853" i="6"/>
  <c r="M32" i="6"/>
  <c r="M2198" i="6"/>
  <c r="M183" i="6"/>
  <c r="M1301" i="6"/>
  <c r="M864" i="6"/>
  <c r="M2143" i="6"/>
  <c r="M1039" i="6"/>
  <c r="M1830" i="6"/>
  <c r="M1139" i="6"/>
  <c r="M993" i="6"/>
  <c r="M147" i="6"/>
  <c r="M1306" i="6"/>
  <c r="M279" i="6"/>
  <c r="M1855" i="6"/>
  <c r="M1128" i="6"/>
  <c r="M532" i="6"/>
  <c r="M28" i="6"/>
  <c r="M172" i="6"/>
  <c r="M1322" i="6"/>
  <c r="M1118" i="6"/>
  <c r="M1284" i="6"/>
  <c r="M2101" i="6"/>
  <c r="M1416" i="6"/>
  <c r="M1299" i="6"/>
  <c r="M267" i="6"/>
  <c r="M277" i="6"/>
  <c r="M1840" i="6"/>
  <c r="M960" i="6"/>
  <c r="M482" i="6"/>
  <c r="M134" i="6"/>
  <c r="M1298" i="6"/>
  <c r="M1226" i="6"/>
  <c r="M2153" i="6"/>
  <c r="M1029" i="6"/>
  <c r="M485" i="6"/>
  <c r="M538" i="6"/>
  <c r="M1683" i="6"/>
  <c r="M432" i="6"/>
  <c r="M2088" i="6"/>
  <c r="M2014" i="6"/>
  <c r="M2144" i="6"/>
  <c r="M289" i="6"/>
  <c r="M1018" i="6"/>
  <c r="M1149" i="6"/>
  <c r="M1985" i="6"/>
  <c r="M130" i="6"/>
  <c r="M2009" i="6"/>
  <c r="M458" i="6"/>
  <c r="M1685" i="6"/>
  <c r="M1273" i="6"/>
  <c r="M991" i="6"/>
  <c r="M126" i="6"/>
  <c r="M133" i="6"/>
  <c r="M2092" i="6"/>
  <c r="M1304" i="6"/>
  <c r="M963" i="6"/>
  <c r="M309" i="6"/>
  <c r="M272" i="6"/>
  <c r="M1798" i="6"/>
  <c r="M1727" i="6"/>
  <c r="M1274" i="6"/>
  <c r="M882" i="6"/>
  <c r="M2095" i="6"/>
  <c r="M1883" i="6"/>
  <c r="M962" i="6"/>
  <c r="M278" i="6"/>
  <c r="M1833" i="6"/>
  <c r="M1850" i="6"/>
  <c r="M39" i="6"/>
  <c r="M1133" i="6"/>
  <c r="M171" i="6"/>
  <c r="M1847" i="6"/>
  <c r="M144" i="6"/>
  <c r="M2097" i="6"/>
  <c r="M2017" i="6"/>
  <c r="M375" i="6"/>
  <c r="M1124" i="6"/>
  <c r="M1888" i="6"/>
  <c r="M1934" i="6"/>
  <c r="M1943" i="6"/>
  <c r="M1156" i="6"/>
  <c r="M303" i="6"/>
  <c r="M2089" i="6"/>
  <c r="M413" i="6"/>
  <c r="M293" i="6"/>
  <c r="M1790" i="6"/>
  <c r="M1848" i="6"/>
  <c r="M473" i="6"/>
  <c r="M899" i="6"/>
  <c r="M1376" i="6"/>
  <c r="M307" i="6"/>
  <c r="M1085" i="6"/>
  <c r="M129" i="6"/>
  <c r="M1339" i="6"/>
  <c r="M2129" i="6"/>
  <c r="M2055" i="6"/>
  <c r="M1536" i="6"/>
  <c r="M442" i="6"/>
  <c r="M1180" i="6"/>
  <c r="M1091" i="6"/>
  <c r="M327" i="6"/>
  <c r="M1662" i="6"/>
  <c r="M1587" i="6"/>
  <c r="M798" i="6"/>
  <c r="M565" i="6"/>
  <c r="M1534" i="6"/>
  <c r="M970" i="6"/>
  <c r="M790" i="6"/>
  <c r="M1624" i="6"/>
  <c r="M1636" i="6"/>
  <c r="M802" i="6"/>
  <c r="M1465" i="6"/>
  <c r="M974" i="6"/>
  <c r="M518" i="6"/>
  <c r="M1607" i="6"/>
  <c r="M813" i="6"/>
  <c r="M2039" i="6"/>
  <c r="M1467" i="6"/>
  <c r="M1101" i="6"/>
  <c r="M1625" i="6"/>
  <c r="M1606" i="6"/>
  <c r="M1648" i="6"/>
  <c r="M112" i="6"/>
  <c r="M1969" i="6"/>
  <c r="M490" i="6"/>
  <c r="M989" i="6"/>
  <c r="M1887" i="6"/>
  <c r="M1857" i="6"/>
  <c r="M1630" i="6"/>
  <c r="M122" i="6"/>
  <c r="M1975" i="6"/>
  <c r="M1241" i="6"/>
  <c r="M261" i="6"/>
  <c r="M874" i="6"/>
  <c r="M983" i="6"/>
  <c r="M96" i="6"/>
  <c r="M2005" i="6"/>
  <c r="M1746" i="6"/>
  <c r="M750" i="6"/>
  <c r="M256" i="6"/>
  <c r="M21" i="6"/>
  <c r="M1886" i="6"/>
  <c r="M2145" i="6"/>
  <c r="M141" i="6"/>
  <c r="M591" i="6"/>
  <c r="M105" i="6"/>
  <c r="M43" i="6"/>
  <c r="M260" i="6"/>
  <c r="M1766" i="6"/>
  <c r="M1321" i="6"/>
  <c r="M1199" i="6"/>
  <c r="M986" i="6"/>
  <c r="M1125" i="6"/>
  <c r="M531" i="6"/>
  <c r="M971" i="6"/>
  <c r="M789" i="6"/>
  <c r="M438" i="6"/>
  <c r="M1365" i="6"/>
  <c r="M1760" i="6"/>
  <c r="M1614" i="6"/>
  <c r="M1637" i="6"/>
  <c r="M1672" i="6"/>
  <c r="M807" i="6"/>
  <c r="M231" i="6"/>
  <c r="M409" i="6"/>
  <c r="M800" i="6"/>
  <c r="M1397" i="6"/>
  <c r="M1459" i="6"/>
  <c r="M79" i="6"/>
  <c r="M1269" i="6"/>
  <c r="M1579" i="6"/>
  <c r="M1631" i="6"/>
  <c r="M814" i="6"/>
  <c r="M1535" i="6"/>
  <c r="M1392" i="6"/>
  <c r="M1089" i="6"/>
  <c r="M388" i="6"/>
  <c r="M1669" i="6"/>
  <c r="M1659" i="6"/>
  <c r="M595" i="6"/>
  <c r="M120" i="6"/>
  <c r="M110" i="6"/>
  <c r="M51" i="6"/>
  <c r="M1751" i="6"/>
  <c r="M852" i="6"/>
  <c r="M251" i="6"/>
  <c r="M1769" i="6"/>
  <c r="M337" i="6"/>
  <c r="M1103" i="6"/>
  <c r="M446" i="6"/>
  <c r="M1822" i="6"/>
  <c r="M1638" i="6"/>
  <c r="M597" i="6"/>
  <c r="M727" i="6"/>
  <c r="M111" i="6"/>
  <c r="M60" i="6"/>
  <c r="M1757" i="6"/>
  <c r="M1777" i="6"/>
  <c r="M1844" i="6"/>
  <c r="M1960" i="6"/>
  <c r="M1728" i="6"/>
  <c r="M99" i="6"/>
  <c r="M2006" i="6"/>
  <c r="M1748" i="6"/>
  <c r="M1560" i="6"/>
  <c r="M1041" i="6"/>
  <c r="M615" i="6"/>
  <c r="M848" i="6"/>
  <c r="M1253" i="6"/>
  <c r="M262" i="6"/>
  <c r="M1774" i="6"/>
  <c r="M40" i="6"/>
  <c r="M1374" i="6"/>
  <c r="M407" i="6"/>
  <c r="M360" i="6"/>
  <c r="M959" i="6"/>
  <c r="M1824" i="6"/>
  <c r="M268" i="6"/>
  <c r="M1305" i="6"/>
  <c r="K5" i="10"/>
  <c r="N5" i="10" s="1"/>
  <c r="O5" i="10" s="1"/>
  <c r="C29" i="13"/>
  <c r="D22" i="13"/>
  <c r="F43" i="13"/>
  <c r="F63" i="13"/>
  <c r="C57" i="13"/>
  <c r="F18" i="13"/>
  <c r="C25" i="13"/>
  <c r="F76" i="13"/>
  <c r="F26" i="13"/>
  <c r="C44" i="13"/>
  <c r="F28" i="13"/>
  <c r="F70" i="13"/>
  <c r="F54" i="13"/>
  <c r="C38" i="13"/>
  <c r="C22" i="13"/>
  <c r="C71" i="13"/>
  <c r="D63" i="13"/>
  <c r="F29" i="13"/>
  <c r="D41" i="13"/>
  <c r="C32" i="13"/>
  <c r="D42" i="13"/>
  <c r="C65" i="13"/>
  <c r="F72" i="13"/>
  <c r="F56" i="13"/>
  <c r="C24" i="13"/>
  <c r="F66" i="13"/>
  <c r="D34" i="13"/>
  <c r="F77" i="13"/>
  <c r="F69" i="13"/>
  <c r="C35" i="13"/>
  <c r="C53" i="13"/>
  <c r="D21" i="13"/>
  <c r="F48" i="13"/>
  <c r="F58" i="13"/>
  <c r="C73" i="13"/>
  <c r="C51" i="13"/>
  <c r="C52" i="13"/>
  <c r="D36" i="13"/>
  <c r="D62" i="13"/>
  <c r="C46" i="13"/>
  <c r="D67" i="13"/>
  <c r="D59" i="13"/>
  <c r="F45" i="13"/>
  <c r="D55" i="13"/>
  <c r="F49" i="13"/>
  <c r="C23" i="13"/>
  <c r="C33" i="13"/>
  <c r="C61" i="13"/>
  <c r="D61" i="13"/>
  <c r="D103" i="13"/>
  <c r="C103" i="13"/>
  <c r="F103" i="13"/>
  <c r="C113" i="13"/>
  <c r="F113" i="13"/>
  <c r="D113" i="13"/>
  <c r="F105" i="13"/>
  <c r="C105" i="13"/>
  <c r="D105" i="13"/>
  <c r="D74" i="13"/>
  <c r="D25" i="13"/>
  <c r="F100" i="13"/>
  <c r="C100" i="13"/>
  <c r="D100" i="13"/>
  <c r="F106" i="13"/>
  <c r="D106" i="13"/>
  <c r="C106" i="13"/>
  <c r="D123" i="13"/>
  <c r="F123" i="13"/>
  <c r="C123" i="13"/>
  <c r="D112" i="13"/>
  <c r="F112" i="13"/>
  <c r="C112" i="13"/>
  <c r="F96" i="13"/>
  <c r="C96" i="13"/>
  <c r="D96" i="13"/>
  <c r="D117" i="13"/>
  <c r="C117" i="13"/>
  <c r="F117" i="13"/>
  <c r="F102" i="13"/>
  <c r="C102" i="13"/>
  <c r="D102" i="13"/>
  <c r="F118" i="13"/>
  <c r="C118" i="13"/>
  <c r="D118" i="13"/>
  <c r="C99" i="13"/>
  <c r="D99" i="13"/>
  <c r="F99" i="13"/>
  <c r="F74" i="13"/>
  <c r="D114" i="13"/>
  <c r="C114" i="13"/>
  <c r="F114" i="13"/>
  <c r="C95" i="13"/>
  <c r="F95" i="13"/>
  <c r="D95" i="13"/>
  <c r="F101" i="13"/>
  <c r="D101" i="13"/>
  <c r="C101" i="13"/>
  <c r="D119" i="13"/>
  <c r="F119" i="13"/>
  <c r="C119" i="13"/>
  <c r="C107" i="13"/>
  <c r="D107" i="13"/>
  <c r="F107" i="13"/>
  <c r="C122" i="13"/>
  <c r="F122" i="13"/>
  <c r="D122" i="13"/>
  <c r="D116" i="13"/>
  <c r="F116" i="13"/>
  <c r="C116" i="13"/>
  <c r="F97" i="13"/>
  <c r="D97" i="13"/>
  <c r="C97" i="13"/>
  <c r="F109" i="13"/>
  <c r="C109" i="13"/>
  <c r="D109" i="13"/>
  <c r="D120" i="13"/>
  <c r="F120" i="13"/>
  <c r="C120" i="13"/>
  <c r="C47" i="13"/>
  <c r="F108" i="13"/>
  <c r="D108" i="13"/>
  <c r="C108" i="13"/>
  <c r="F111" i="13"/>
  <c r="D111" i="13"/>
  <c r="C111" i="13"/>
  <c r="F98" i="13"/>
  <c r="D98" i="13"/>
  <c r="C98" i="13"/>
  <c r="D115" i="13"/>
  <c r="F115" i="13"/>
  <c r="C115" i="13"/>
  <c r="F104" i="13"/>
  <c r="D104" i="13"/>
  <c r="C104" i="13"/>
  <c r="D121" i="13"/>
  <c r="C121" i="13"/>
  <c r="F121" i="13"/>
  <c r="F110" i="13"/>
  <c r="C110" i="13"/>
  <c r="D110" i="13"/>
  <c r="F94" i="13"/>
  <c r="D94" i="13"/>
  <c r="C94" i="13"/>
  <c r="F46" i="13"/>
  <c r="F25" i="13"/>
  <c r="D73" i="13"/>
  <c r="D19" i="13"/>
  <c r="D51" i="13"/>
  <c r="C37" i="13"/>
  <c r="F21" i="13"/>
  <c r="D53" i="13"/>
  <c r="D35" i="13"/>
  <c r="C31" i="13"/>
  <c r="F67" i="13"/>
  <c r="F59" i="13"/>
  <c r="F55" i="13"/>
  <c r="D23" i="13"/>
  <c r="F62" i="13"/>
  <c r="D46" i="13"/>
  <c r="C30" i="13"/>
  <c r="C27" i="13"/>
  <c r="F75" i="13"/>
  <c r="C67" i="13"/>
  <c r="C59" i="13"/>
  <c r="C55" i="13"/>
  <c r="D49" i="13"/>
  <c r="D45" i="13"/>
  <c r="F30" i="13"/>
  <c r="F27" i="13"/>
  <c r="D75" i="13"/>
  <c r="C20" i="13"/>
  <c r="D33" i="13"/>
  <c r="D31" i="13"/>
  <c r="F53" i="13"/>
  <c r="F33" i="13"/>
  <c r="C77" i="13"/>
  <c r="F35" i="13"/>
  <c r="F31" i="13"/>
  <c r="C21" i="13"/>
  <c r="D50" i="13"/>
  <c r="F24" i="13"/>
  <c r="F20" i="13"/>
  <c r="D65" i="13"/>
  <c r="D44" i="13"/>
  <c r="C28" i="13"/>
  <c r="C70" i="13"/>
  <c r="C40" i="13"/>
  <c r="D39" i="13"/>
  <c r="D29" i="13"/>
  <c r="D70" i="13"/>
  <c r="C60" i="13"/>
  <c r="D54" i="13"/>
  <c r="C48" i="13"/>
  <c r="F38" i="13"/>
  <c r="D28" i="13"/>
  <c r="F71" i="13"/>
  <c r="D43" i="13"/>
  <c r="C63" i="13"/>
  <c r="C41" i="13"/>
  <c r="D60" i="13"/>
  <c r="F44" i="13"/>
  <c r="F60" i="13"/>
  <c r="F19" i="13"/>
  <c r="C76" i="13"/>
  <c r="F68" i="13"/>
  <c r="F64" i="13"/>
  <c r="C62" i="13"/>
  <c r="C58" i="13"/>
  <c r="D52" i="13"/>
  <c r="D48" i="13"/>
  <c r="F42" i="13"/>
  <c r="F36" i="13"/>
  <c r="C26" i="13"/>
  <c r="F51" i="13"/>
  <c r="D47" i="13"/>
  <c r="D37" i="13"/>
  <c r="F73" i="13"/>
  <c r="D76" i="13"/>
  <c r="C68" i="13"/>
  <c r="C64" i="13"/>
  <c r="D58" i="13"/>
  <c r="C42" i="13"/>
  <c r="F32" i="13"/>
  <c r="D26" i="13"/>
  <c r="D18" i="13"/>
  <c r="F65" i="13"/>
  <c r="F47" i="13"/>
  <c r="F37" i="13"/>
  <c r="D32" i="13"/>
  <c r="C56" i="13"/>
  <c r="D40" i="13"/>
  <c r="F34" i="13"/>
  <c r="D24" i="13"/>
  <c r="D77" i="13"/>
  <c r="C69" i="13"/>
  <c r="C72" i="13"/>
  <c r="D68" i="13"/>
  <c r="D66" i="13"/>
  <c r="D56" i="13"/>
  <c r="F52" i="13"/>
  <c r="F50" i="13"/>
  <c r="F40" i="13"/>
  <c r="C36" i="13"/>
  <c r="C34" i="13"/>
  <c r="D20" i="13"/>
  <c r="F61" i="13"/>
  <c r="D69" i="13"/>
  <c r="D72" i="13"/>
  <c r="C66" i="13"/>
  <c r="C50" i="13"/>
  <c r="D64" i="13"/>
  <c r="H104" i="13"/>
  <c r="F81" i="13"/>
  <c r="D81" i="13"/>
  <c r="C81" i="13"/>
  <c r="F92" i="13"/>
  <c r="D92" i="13"/>
  <c r="C92" i="13"/>
  <c r="F88" i="13"/>
  <c r="D88" i="13"/>
  <c r="C88" i="13"/>
  <c r="F84" i="13"/>
  <c r="D84" i="13"/>
  <c r="C84" i="13"/>
  <c r="F80" i="13"/>
  <c r="D80" i="13"/>
  <c r="C80" i="13"/>
  <c r="H85" i="13"/>
  <c r="H101" i="13"/>
  <c r="H113" i="13"/>
  <c r="F93" i="13"/>
  <c r="D93" i="13"/>
  <c r="C93" i="13"/>
  <c r="F85" i="13"/>
  <c r="D85" i="13"/>
  <c r="C85" i="13"/>
  <c r="F91" i="13"/>
  <c r="D91" i="13"/>
  <c r="C91" i="13"/>
  <c r="F87" i="13"/>
  <c r="D87" i="13"/>
  <c r="C87" i="13"/>
  <c r="F83" i="13"/>
  <c r="D83" i="13"/>
  <c r="C83" i="13"/>
  <c r="F79" i="13"/>
  <c r="D79" i="13"/>
  <c r="C79" i="13"/>
  <c r="H82" i="13"/>
  <c r="H98" i="13"/>
  <c r="H114" i="13"/>
  <c r="F89" i="13"/>
  <c r="D89" i="13"/>
  <c r="C89" i="13"/>
  <c r="F90" i="13"/>
  <c r="D90" i="13"/>
  <c r="C90" i="13"/>
  <c r="F86" i="13"/>
  <c r="D86" i="13"/>
  <c r="C86" i="13"/>
  <c r="F82" i="13"/>
  <c r="D82" i="13"/>
  <c r="C82" i="13"/>
  <c r="F78" i="13"/>
  <c r="D78" i="13"/>
  <c r="C78" i="13"/>
  <c r="H99" i="13"/>
  <c r="F17" i="13" l="1"/>
  <c r="X220" i="10"/>
  <c r="Y220" i="10" s="1"/>
  <c r="R220" i="10"/>
  <c r="X213" i="10"/>
  <c r="Y213" i="10" s="1"/>
  <c r="R213" i="10"/>
  <c r="R125" i="10"/>
  <c r="X125" i="10"/>
  <c r="Y125" i="10" s="1"/>
  <c r="X95" i="10"/>
  <c r="Y95" i="10" s="1"/>
  <c r="R95" i="10"/>
  <c r="S95" i="10" s="1"/>
  <c r="X239" i="10"/>
  <c r="Y239" i="10" s="1"/>
  <c r="R239" i="10"/>
  <c r="S239" i="10" s="1"/>
  <c r="X322" i="10"/>
  <c r="R322" i="10"/>
  <c r="S322" i="10" s="1"/>
  <c r="X237" i="10"/>
  <c r="Y237" i="10" s="1"/>
  <c r="R237" i="10"/>
  <c r="X209" i="10"/>
  <c r="Y209" i="10" s="1"/>
  <c r="R209" i="10"/>
  <c r="S209" i="10" s="1"/>
  <c r="X11" i="10"/>
  <c r="Y11" i="10" s="1"/>
  <c r="R11" i="10"/>
  <c r="X73" i="10"/>
  <c r="Y73" i="10" s="1"/>
  <c r="R73" i="10"/>
  <c r="S73" i="10" s="1"/>
  <c r="X112" i="10"/>
  <c r="Y112" i="10" s="1"/>
  <c r="R112" i="10"/>
  <c r="S112" i="10" s="1"/>
  <c r="R20" i="10"/>
  <c r="X20" i="10"/>
  <c r="Y20" i="10" s="1"/>
  <c r="X253" i="10"/>
  <c r="Y253" i="10" s="1"/>
  <c r="R253" i="10"/>
  <c r="R308" i="10"/>
  <c r="S308" i="10" s="1"/>
  <c r="X308" i="10"/>
  <c r="Y308" i="10" s="1"/>
  <c r="R141" i="10"/>
  <c r="X141" i="10"/>
  <c r="Y141" i="10" s="1"/>
  <c r="R168" i="10"/>
  <c r="X168" i="10"/>
  <c r="Y168" i="10" s="1"/>
  <c r="R158" i="10"/>
  <c r="X158" i="10"/>
  <c r="Y158" i="10" s="1"/>
  <c r="X108" i="10"/>
  <c r="R108" i="10"/>
  <c r="S108" i="10" s="1"/>
  <c r="X82" i="10"/>
  <c r="Y82" i="10" s="1"/>
  <c r="R82" i="10"/>
  <c r="X225" i="10"/>
  <c r="Y225" i="10" s="1"/>
  <c r="R225" i="10"/>
  <c r="S225" i="10" s="1"/>
  <c r="X55" i="10"/>
  <c r="Y55" i="10" s="1"/>
  <c r="R55" i="10"/>
  <c r="X84" i="10"/>
  <c r="Y84" i="10" s="1"/>
  <c r="R84" i="10"/>
  <c r="S84" i="10" s="1"/>
  <c r="R77" i="10"/>
  <c r="X77" i="10"/>
  <c r="Y77" i="10" s="1"/>
  <c r="X33" i="10"/>
  <c r="R33" i="10"/>
  <c r="S33" i="10" s="1"/>
  <c r="X202" i="10"/>
  <c r="Y202" i="10" s="1"/>
  <c r="R202" i="10"/>
  <c r="R270" i="10"/>
  <c r="S270" i="10" s="1"/>
  <c r="X270" i="10"/>
  <c r="Y270" i="10" s="1"/>
  <c r="X115" i="10"/>
  <c r="Y115" i="10" s="1"/>
  <c r="R115" i="10"/>
  <c r="S115" i="10" s="1"/>
  <c r="X259" i="10"/>
  <c r="Y259" i="10" s="1"/>
  <c r="R259" i="10"/>
  <c r="X109" i="10"/>
  <c r="R109" i="10"/>
  <c r="X113" i="10"/>
  <c r="Y113" i="10" s="1"/>
  <c r="R113" i="10"/>
  <c r="S113" i="10" s="1"/>
  <c r="X186" i="10"/>
  <c r="Y186" i="10" s="1"/>
  <c r="R186" i="10"/>
  <c r="S186" i="10" s="1"/>
  <c r="X43" i="10"/>
  <c r="Y43" i="10" s="1"/>
  <c r="R43" i="10"/>
  <c r="S43" i="10" s="1"/>
  <c r="X7" i="10"/>
  <c r="Y7" i="10" s="1"/>
  <c r="R7" i="10"/>
  <c r="R300" i="10"/>
  <c r="S300" i="10" s="1"/>
  <c r="X300" i="10"/>
  <c r="Y300" i="10" s="1"/>
  <c r="R162" i="10"/>
  <c r="S162" i="10" s="1"/>
  <c r="X162" i="10"/>
  <c r="Y162" i="10" s="1"/>
  <c r="X317" i="10"/>
  <c r="Y317" i="10" s="1"/>
  <c r="R317" i="10"/>
  <c r="X47" i="10"/>
  <c r="Y47" i="10" s="1"/>
  <c r="R47" i="10"/>
  <c r="S47" i="10" s="1"/>
  <c r="X83" i="10"/>
  <c r="Y83" i="10" s="1"/>
  <c r="R83" i="10"/>
  <c r="S83" i="10" s="1"/>
  <c r="R104" i="10"/>
  <c r="S104" i="10" s="1"/>
  <c r="X104" i="10"/>
  <c r="Y104" i="10" s="1"/>
  <c r="X315" i="10"/>
  <c r="Y315" i="10" s="1"/>
  <c r="R315" i="10"/>
  <c r="X311" i="10"/>
  <c r="Y311" i="10" s="1"/>
  <c r="R311" i="10"/>
  <c r="S311" i="10" s="1"/>
  <c r="X230" i="10"/>
  <c r="Y230" i="10" s="1"/>
  <c r="R230" i="10"/>
  <c r="S230" i="10" s="1"/>
  <c r="X281" i="10"/>
  <c r="Y281" i="10" s="1"/>
  <c r="R281" i="10"/>
  <c r="S281" i="10" s="1"/>
  <c r="X163" i="10"/>
  <c r="Y163" i="10" s="1"/>
  <c r="R163" i="10"/>
  <c r="S163" i="10" s="1"/>
  <c r="X263" i="10"/>
  <c r="Y263" i="10" s="1"/>
  <c r="R263" i="10"/>
  <c r="S263" i="10" s="1"/>
  <c r="X187" i="10"/>
  <c r="Y187" i="10" s="1"/>
  <c r="R187" i="10"/>
  <c r="S187" i="10" s="1"/>
  <c r="X195" i="10"/>
  <c r="Y195" i="10" s="1"/>
  <c r="R195" i="10"/>
  <c r="X208" i="10"/>
  <c r="Y208" i="10" s="1"/>
  <c r="R208" i="10"/>
  <c r="S208" i="10" s="1"/>
  <c r="R226" i="10"/>
  <c r="S226" i="10" s="1"/>
  <c r="X226" i="10"/>
  <c r="Y226" i="10" s="1"/>
  <c r="X320" i="10"/>
  <c r="R320" i="10"/>
  <c r="S320" i="10" s="1"/>
  <c r="X228" i="10"/>
  <c r="Y228" i="10" s="1"/>
  <c r="R228" i="10"/>
  <c r="S228" i="10" s="1"/>
  <c r="R204" i="10"/>
  <c r="S204" i="10" s="1"/>
  <c r="X204" i="10"/>
  <c r="Y204" i="10" s="1"/>
  <c r="X63" i="10"/>
  <c r="Y63" i="10" s="1"/>
  <c r="R63" i="10"/>
  <c r="S63" i="10" s="1"/>
  <c r="R134" i="10"/>
  <c r="X134" i="10"/>
  <c r="Y134" i="10" s="1"/>
  <c r="X107" i="10"/>
  <c r="Y107" i="10" s="1"/>
  <c r="R107" i="10"/>
  <c r="X310" i="10"/>
  <c r="R310" i="10"/>
  <c r="S310" i="10" s="1"/>
  <c r="X131" i="10"/>
  <c r="Y131" i="10" s="1"/>
  <c r="R131" i="10"/>
  <c r="S131" i="10" s="1"/>
  <c r="X231" i="10"/>
  <c r="Y231" i="10" s="1"/>
  <c r="R231" i="10"/>
  <c r="X81" i="10"/>
  <c r="Y81" i="10" s="1"/>
  <c r="R81" i="10"/>
  <c r="S81" i="10" s="1"/>
  <c r="X72" i="10"/>
  <c r="Y72" i="10" s="1"/>
  <c r="R72" i="10"/>
  <c r="S72" i="10" s="1"/>
  <c r="X274" i="10"/>
  <c r="Y274" i="10" s="1"/>
  <c r="R274" i="10"/>
  <c r="S274" i="10" s="1"/>
  <c r="X318" i="10"/>
  <c r="Y318" i="10" s="1"/>
  <c r="R318" i="10"/>
  <c r="S318" i="10" s="1"/>
  <c r="X124" i="10"/>
  <c r="Y124" i="10" s="1"/>
  <c r="R124" i="10"/>
  <c r="S124" i="10" s="1"/>
  <c r="R268" i="10"/>
  <c r="S268" i="10" s="1"/>
  <c r="X268" i="10"/>
  <c r="Y268" i="10" s="1"/>
  <c r="X87" i="10"/>
  <c r="Y87" i="10" s="1"/>
  <c r="R87" i="10"/>
  <c r="X299" i="10"/>
  <c r="Y299" i="10" s="1"/>
  <c r="R299" i="10"/>
  <c r="S299" i="10" s="1"/>
  <c r="X207" i="10"/>
  <c r="Y207" i="10" s="1"/>
  <c r="R207" i="10"/>
  <c r="X273" i="10"/>
  <c r="Y273" i="10" s="1"/>
  <c r="R273" i="10"/>
  <c r="S273" i="10" s="1"/>
  <c r="X264" i="10"/>
  <c r="Y264" i="10" s="1"/>
  <c r="R264" i="10"/>
  <c r="S264" i="10" s="1"/>
  <c r="X167" i="10"/>
  <c r="Y167" i="10" s="1"/>
  <c r="R167" i="10"/>
  <c r="S167" i="10" s="1"/>
  <c r="X172" i="10"/>
  <c r="Y172" i="10" s="1"/>
  <c r="R172" i="10"/>
  <c r="S172" i="10" s="1"/>
  <c r="X19" i="10"/>
  <c r="Y19" i="10" s="1"/>
  <c r="R19" i="10"/>
  <c r="S19" i="10" s="1"/>
  <c r="R16" i="10"/>
  <c r="S16" i="10" s="1"/>
  <c r="X16" i="10"/>
  <c r="Y16" i="10" s="1"/>
  <c r="X127" i="10"/>
  <c r="Y127" i="10" s="1"/>
  <c r="R127" i="10"/>
  <c r="R130" i="10"/>
  <c r="S130" i="10" s="1"/>
  <c r="X130" i="10"/>
  <c r="Y130" i="10" s="1"/>
  <c r="X41" i="10"/>
  <c r="R41" i="10"/>
  <c r="S41" i="10" s="1"/>
  <c r="R126" i="10"/>
  <c r="X126" i="10"/>
  <c r="Y126" i="10" s="1"/>
  <c r="R80" i="10"/>
  <c r="X80" i="10"/>
  <c r="Y80" i="10" s="1"/>
  <c r="X76" i="10"/>
  <c r="Y76" i="10" s="1"/>
  <c r="R76" i="10"/>
  <c r="S76" i="10" s="1"/>
  <c r="X248" i="10"/>
  <c r="Y248" i="10" s="1"/>
  <c r="R248" i="10"/>
  <c r="S248" i="10" s="1"/>
  <c r="X272" i="10"/>
  <c r="Y272" i="10" s="1"/>
  <c r="R272" i="10"/>
  <c r="S272" i="10" s="1"/>
  <c r="X185" i="10"/>
  <c r="Y185" i="10" s="1"/>
  <c r="R185" i="10"/>
  <c r="S185" i="10" s="1"/>
  <c r="X177" i="10"/>
  <c r="Y177" i="10" s="1"/>
  <c r="R177" i="10"/>
  <c r="S177" i="10" s="1"/>
  <c r="X6" i="10"/>
  <c r="Y6" i="10" s="1"/>
  <c r="R6" i="10"/>
  <c r="X70" i="10"/>
  <c r="Y70" i="10" s="1"/>
  <c r="R70" i="10"/>
  <c r="S70" i="10" s="1"/>
  <c r="X314" i="10"/>
  <c r="Y314" i="10" s="1"/>
  <c r="R314" i="10"/>
  <c r="S314" i="10" s="1"/>
  <c r="X265" i="10"/>
  <c r="Y265" i="10" s="1"/>
  <c r="R265" i="10"/>
  <c r="R110" i="10"/>
  <c r="X110" i="10"/>
  <c r="Y110" i="10" s="1"/>
  <c r="X22" i="10"/>
  <c r="Y22" i="10" s="1"/>
  <c r="R22" i="10"/>
  <c r="S22" i="10" s="1"/>
  <c r="R192" i="10"/>
  <c r="S192" i="10" s="1"/>
  <c r="X192" i="10"/>
  <c r="Y192" i="10" s="1"/>
  <c r="X251" i="10"/>
  <c r="Y251" i="10" s="1"/>
  <c r="R251" i="10"/>
  <c r="S251" i="10" s="1"/>
  <c r="X203" i="10"/>
  <c r="Y203" i="10" s="1"/>
  <c r="R203" i="10"/>
  <c r="S203" i="10" s="1"/>
  <c r="X26" i="10"/>
  <c r="Y26" i="10" s="1"/>
  <c r="R26" i="10"/>
  <c r="S26" i="10" s="1"/>
  <c r="X103" i="10"/>
  <c r="Y103" i="10" s="1"/>
  <c r="R103" i="10"/>
  <c r="S103" i="10" s="1"/>
  <c r="R284" i="10"/>
  <c r="S284" i="10" s="1"/>
  <c r="X284" i="10"/>
  <c r="Y284" i="10" s="1"/>
  <c r="X59" i="10"/>
  <c r="Y59" i="10" s="1"/>
  <c r="R59" i="10"/>
  <c r="X307" i="10"/>
  <c r="Y307" i="10" s="1"/>
  <c r="R307" i="10"/>
  <c r="S307" i="10" s="1"/>
  <c r="X10" i="10"/>
  <c r="Y10" i="10" s="1"/>
  <c r="R10" i="10"/>
  <c r="S10" i="10" s="1"/>
  <c r="X156" i="10"/>
  <c r="Y156" i="10" s="1"/>
  <c r="R156" i="10"/>
  <c r="S156" i="10" s="1"/>
  <c r="X247" i="10"/>
  <c r="Y247" i="10" s="1"/>
  <c r="R247" i="10"/>
  <c r="R260" i="10"/>
  <c r="X260" i="10"/>
  <c r="Y260" i="10" s="1"/>
  <c r="X123" i="10"/>
  <c r="Y123" i="10" s="1"/>
  <c r="R123" i="10"/>
  <c r="S123" i="10" s="1"/>
  <c r="R96" i="10"/>
  <c r="S96" i="10" s="1"/>
  <c r="X96" i="10"/>
  <c r="Y96" i="10" s="1"/>
  <c r="R52" i="10"/>
  <c r="S52" i="10" s="1"/>
  <c r="X52" i="10"/>
  <c r="Y52" i="10" s="1"/>
  <c r="X245" i="10"/>
  <c r="Y245" i="10" s="1"/>
  <c r="R245" i="10"/>
  <c r="X198" i="10"/>
  <c r="Y198" i="10" s="1"/>
  <c r="R198" i="10"/>
  <c r="S198" i="10" s="1"/>
  <c r="X179" i="10"/>
  <c r="Y179" i="10" s="1"/>
  <c r="R179" i="10"/>
  <c r="S179" i="10" s="1"/>
  <c r="R206" i="10"/>
  <c r="X206" i="10"/>
  <c r="Y206" i="10" s="1"/>
  <c r="R114" i="10"/>
  <c r="X114" i="10"/>
  <c r="Y114" i="10" s="1"/>
  <c r="X42" i="10"/>
  <c r="Y42" i="10" s="1"/>
  <c r="R42" i="10"/>
  <c r="S42" i="10" s="1"/>
  <c r="X100" i="10"/>
  <c r="Y100" i="10" s="1"/>
  <c r="R100" i="10"/>
  <c r="X201" i="10"/>
  <c r="Y201" i="10" s="1"/>
  <c r="R201" i="10"/>
  <c r="S201" i="10" s="1"/>
  <c r="X151" i="10"/>
  <c r="Y151" i="10" s="1"/>
  <c r="R151" i="10"/>
  <c r="X148" i="10"/>
  <c r="Y148" i="10" s="1"/>
  <c r="R148" i="10"/>
  <c r="S148" i="10" s="1"/>
  <c r="X164" i="10"/>
  <c r="Y164" i="10" s="1"/>
  <c r="R164" i="10"/>
  <c r="S164" i="10" s="1"/>
  <c r="X140" i="10"/>
  <c r="Y140" i="10" s="1"/>
  <c r="R140" i="10"/>
  <c r="S140" i="10" s="1"/>
  <c r="X217" i="10"/>
  <c r="Y217" i="10" s="1"/>
  <c r="R217" i="10"/>
  <c r="S217" i="10" s="1"/>
  <c r="X34" i="10"/>
  <c r="Y34" i="10" s="1"/>
  <c r="R34" i="10"/>
  <c r="S34" i="10" s="1"/>
  <c r="X79" i="10"/>
  <c r="Y79" i="10" s="1"/>
  <c r="R79" i="10"/>
  <c r="S79" i="10" s="1"/>
  <c r="X229" i="10"/>
  <c r="Y229" i="10" s="1"/>
  <c r="R229" i="10"/>
  <c r="R86" i="10"/>
  <c r="X86" i="10"/>
  <c r="Y86" i="10" s="1"/>
  <c r="X25" i="10"/>
  <c r="Y25" i="10" s="1"/>
  <c r="R25" i="10"/>
  <c r="S25" i="10" s="1"/>
  <c r="X183" i="10"/>
  <c r="Y183" i="10" s="1"/>
  <c r="R183" i="10"/>
  <c r="S183" i="10" s="1"/>
  <c r="X255" i="10"/>
  <c r="Y255" i="10" s="1"/>
  <c r="R255" i="10"/>
  <c r="S255" i="10" s="1"/>
  <c r="X46" i="10"/>
  <c r="Y46" i="10" s="1"/>
  <c r="R46" i="10"/>
  <c r="S46" i="10" s="1"/>
  <c r="X51" i="10"/>
  <c r="Y51" i="10" s="1"/>
  <c r="R51" i="10"/>
  <c r="S51" i="10" s="1"/>
  <c r="X242" i="10"/>
  <c r="Y242" i="10" s="1"/>
  <c r="R242" i="10"/>
  <c r="X120" i="10"/>
  <c r="Y120" i="10" s="1"/>
  <c r="R120" i="10"/>
  <c r="S120" i="10" s="1"/>
  <c r="X249" i="10"/>
  <c r="Y249" i="10" s="1"/>
  <c r="R249" i="10"/>
  <c r="S249" i="10" s="1"/>
  <c r="X298" i="10"/>
  <c r="Y298" i="10" s="1"/>
  <c r="R298" i="10"/>
  <c r="S298" i="10" s="1"/>
  <c r="X294" i="10"/>
  <c r="Y294" i="10" s="1"/>
  <c r="R294" i="10"/>
  <c r="S294" i="10" s="1"/>
  <c r="R106" i="10"/>
  <c r="X106" i="10"/>
  <c r="Y106" i="10" s="1"/>
  <c r="R122" i="10"/>
  <c r="X122" i="10"/>
  <c r="Y122" i="10" s="1"/>
  <c r="X128" i="10"/>
  <c r="Y128" i="10" s="1"/>
  <c r="R128" i="10"/>
  <c r="X258" i="10"/>
  <c r="Y258" i="10" s="1"/>
  <c r="R258" i="10"/>
  <c r="S258" i="10" s="1"/>
  <c r="X88" i="10"/>
  <c r="Y88" i="10" s="1"/>
  <c r="R88" i="10"/>
  <c r="S88" i="10" s="1"/>
  <c r="R197" i="10"/>
  <c r="X197" i="10"/>
  <c r="Y197" i="10" s="1"/>
  <c r="X173" i="10"/>
  <c r="Y173" i="10" s="1"/>
  <c r="R173" i="10"/>
  <c r="X145" i="10"/>
  <c r="Y145" i="10" s="1"/>
  <c r="R145" i="10"/>
  <c r="S145" i="10" s="1"/>
  <c r="X282" i="10"/>
  <c r="Y282" i="10" s="1"/>
  <c r="R282" i="10"/>
  <c r="R102" i="10"/>
  <c r="X102" i="10"/>
  <c r="Y102" i="10" s="1"/>
  <c r="X18" i="10"/>
  <c r="Y18" i="10" s="1"/>
  <c r="R18" i="10"/>
  <c r="S18" i="10" s="1"/>
  <c r="R98" i="10"/>
  <c r="S98" i="10" s="1"/>
  <c r="X98" i="10"/>
  <c r="Y98" i="10" s="1"/>
  <c r="X191" i="10"/>
  <c r="Y191" i="10" s="1"/>
  <c r="R191" i="10"/>
  <c r="R69" i="10"/>
  <c r="X69" i="10"/>
  <c r="Y69" i="10" s="1"/>
  <c r="X119" i="10"/>
  <c r="Y119" i="10" s="1"/>
  <c r="R119" i="10"/>
  <c r="X71" i="10"/>
  <c r="Y71" i="10" s="1"/>
  <c r="R71" i="10"/>
  <c r="S71" i="10" s="1"/>
  <c r="R117" i="10"/>
  <c r="X117" i="10"/>
  <c r="Y117" i="10" s="1"/>
  <c r="X13" i="10"/>
  <c r="Y13" i="10" s="1"/>
  <c r="R13" i="10"/>
  <c r="X9" i="10"/>
  <c r="Y9" i="10" s="1"/>
  <c r="R9" i="10"/>
  <c r="S9" i="10" s="1"/>
  <c r="X155" i="10"/>
  <c r="Y155" i="10" s="1"/>
  <c r="R155" i="10"/>
  <c r="S155" i="10" s="1"/>
  <c r="X290" i="10"/>
  <c r="Y290" i="10" s="1"/>
  <c r="R290" i="10"/>
  <c r="X147" i="10"/>
  <c r="Y147" i="10" s="1"/>
  <c r="R147" i="10"/>
  <c r="S147" i="10" s="1"/>
  <c r="X99" i="10"/>
  <c r="R99" i="10"/>
  <c r="X304" i="10"/>
  <c r="Y304" i="10" s="1"/>
  <c r="R304" i="10"/>
  <c r="S304" i="10" s="1"/>
  <c r="X161" i="10"/>
  <c r="Y161" i="10" s="1"/>
  <c r="R161" i="10"/>
  <c r="S161" i="10" s="1"/>
  <c r="X283" i="10"/>
  <c r="Y283" i="10" s="1"/>
  <c r="R283" i="10"/>
  <c r="S283" i="10" s="1"/>
  <c r="X23" i="10"/>
  <c r="Y23" i="10" s="1"/>
  <c r="R23" i="10"/>
  <c r="R50" i="10"/>
  <c r="X50" i="10"/>
  <c r="Y50" i="10" s="1"/>
  <c r="X75" i="10"/>
  <c r="Y75" i="10" s="1"/>
  <c r="R75" i="10"/>
  <c r="S75" i="10" s="1"/>
  <c r="X129" i="10"/>
  <c r="Y129" i="10" s="1"/>
  <c r="R129" i="10"/>
  <c r="X305" i="10"/>
  <c r="Y305" i="10" s="1"/>
  <c r="R305" i="10"/>
  <c r="S305" i="10" s="1"/>
  <c r="X40" i="10"/>
  <c r="Y40" i="10" s="1"/>
  <c r="R40" i="10"/>
  <c r="S40" i="10" s="1"/>
  <c r="X275" i="10"/>
  <c r="Y275" i="10" s="1"/>
  <c r="R275" i="10"/>
  <c r="S275" i="10" s="1"/>
  <c r="X227" i="10"/>
  <c r="Y227" i="10" s="1"/>
  <c r="R227" i="10"/>
  <c r="X223" i="10"/>
  <c r="Y223" i="10" s="1"/>
  <c r="R223" i="10"/>
  <c r="S223" i="10" s="1"/>
  <c r="R78" i="10"/>
  <c r="X78" i="10"/>
  <c r="Y78" i="10" s="1"/>
  <c r="R58" i="10"/>
  <c r="S58" i="10" s="1"/>
  <c r="X58" i="10"/>
  <c r="Y58" i="10" s="1"/>
  <c r="X221" i="10"/>
  <c r="Y221" i="10" s="1"/>
  <c r="R221" i="10"/>
  <c r="X44" i="10"/>
  <c r="Y44" i="10" s="1"/>
  <c r="R44" i="10"/>
  <c r="S44" i="10" s="1"/>
  <c r="X36" i="10"/>
  <c r="Y36" i="10" s="1"/>
  <c r="R36" i="10"/>
  <c r="X31" i="10"/>
  <c r="Y31" i="10" s="1"/>
  <c r="R31" i="10"/>
  <c r="S31" i="10" s="1"/>
  <c r="X176" i="10"/>
  <c r="Y176" i="10" s="1"/>
  <c r="R176" i="10"/>
  <c r="S176" i="10" s="1"/>
  <c r="X262" i="10"/>
  <c r="Y262" i="10" s="1"/>
  <c r="R262" i="10"/>
  <c r="X261" i="10"/>
  <c r="Y261" i="10" s="1"/>
  <c r="R261" i="10"/>
  <c r="R144" i="10"/>
  <c r="X144" i="10"/>
  <c r="Y144" i="10" s="1"/>
  <c r="X309" i="10"/>
  <c r="Y309" i="10" s="1"/>
  <c r="R309" i="10"/>
  <c r="X194" i="10"/>
  <c r="Y194" i="10" s="1"/>
  <c r="R194" i="10"/>
  <c r="S194" i="10" s="1"/>
  <c r="X224" i="10"/>
  <c r="Y224" i="10" s="1"/>
  <c r="R224" i="10"/>
  <c r="S224" i="10" s="1"/>
  <c r="X184" i="10"/>
  <c r="Y184" i="10" s="1"/>
  <c r="R184" i="10"/>
  <c r="S184" i="10" s="1"/>
  <c r="X288" i="10"/>
  <c r="Y288" i="10" s="1"/>
  <c r="R288" i="10"/>
  <c r="S288" i="10" s="1"/>
  <c r="X280" i="10"/>
  <c r="Y280" i="10" s="1"/>
  <c r="R280" i="10"/>
  <c r="S280" i="10" s="1"/>
  <c r="X39" i="10"/>
  <c r="Y39" i="10" s="1"/>
  <c r="R39" i="10"/>
  <c r="S39" i="10" s="1"/>
  <c r="X211" i="10"/>
  <c r="Y211" i="10" s="1"/>
  <c r="R211" i="10"/>
  <c r="X143" i="10"/>
  <c r="Y143" i="10" s="1"/>
  <c r="R143" i="10"/>
  <c r="S143" i="10" s="1"/>
  <c r="X306" i="10"/>
  <c r="Y306" i="10" s="1"/>
  <c r="R306" i="10"/>
  <c r="S306" i="10" s="1"/>
  <c r="X313" i="10"/>
  <c r="Y313" i="10" s="1"/>
  <c r="R313" i="10"/>
  <c r="S313" i="10" s="1"/>
  <c r="X285" i="10"/>
  <c r="Y285" i="10" s="1"/>
  <c r="R285" i="10"/>
  <c r="X271" i="10"/>
  <c r="Y271" i="10" s="1"/>
  <c r="R271" i="10"/>
  <c r="S271" i="10" s="1"/>
  <c r="X244" i="10"/>
  <c r="Y244" i="10" s="1"/>
  <c r="R244" i="10"/>
  <c r="S244" i="10" s="1"/>
  <c r="X214" i="10"/>
  <c r="Y214" i="10" s="1"/>
  <c r="R214" i="10"/>
  <c r="S214" i="10" s="1"/>
  <c r="R48" i="10"/>
  <c r="S48" i="10" s="1"/>
  <c r="X48" i="10"/>
  <c r="Y48" i="10" s="1"/>
  <c r="X199" i="10"/>
  <c r="Y199" i="10" s="1"/>
  <c r="R199" i="10"/>
  <c r="S199" i="10" s="1"/>
  <c r="X67" i="10"/>
  <c r="Y67" i="10" s="1"/>
  <c r="R67" i="10"/>
  <c r="S67" i="10" s="1"/>
  <c r="X66" i="10"/>
  <c r="Y66" i="10" s="1"/>
  <c r="R66" i="10"/>
  <c r="X37" i="10"/>
  <c r="Y37" i="10" s="1"/>
  <c r="R37" i="10"/>
  <c r="R181" i="10"/>
  <c r="X181" i="10"/>
  <c r="Y181" i="10" s="1"/>
  <c r="R200" i="10"/>
  <c r="S200" i="10" s="1"/>
  <c r="X200" i="10"/>
  <c r="Y200" i="10" s="1"/>
  <c r="X157" i="10"/>
  <c r="Y157" i="10" s="1"/>
  <c r="R157" i="10"/>
  <c r="X149" i="10"/>
  <c r="Y149" i="10" s="1"/>
  <c r="R149" i="10"/>
  <c r="X91" i="10"/>
  <c r="Y91" i="10" s="1"/>
  <c r="R91" i="10"/>
  <c r="S91" i="10" s="1"/>
  <c r="R146" i="10"/>
  <c r="S146" i="10" s="1"/>
  <c r="X146" i="10"/>
  <c r="Y146" i="10" s="1"/>
  <c r="X236" i="10"/>
  <c r="Y236" i="10" s="1"/>
  <c r="R236" i="10"/>
  <c r="S236" i="10" s="1"/>
  <c r="R174" i="10"/>
  <c r="X174" i="10"/>
  <c r="Y174" i="10" s="1"/>
  <c r="X49" i="10"/>
  <c r="Y49" i="10" s="1"/>
  <c r="R49" i="10"/>
  <c r="S49" i="10" s="1"/>
  <c r="X295" i="10"/>
  <c r="Y295" i="10" s="1"/>
  <c r="R295" i="10"/>
  <c r="X94" i="10"/>
  <c r="Y94" i="10" s="1"/>
  <c r="R94" i="10"/>
  <c r="S94" i="10" s="1"/>
  <c r="X188" i="10"/>
  <c r="Y188" i="10" s="1"/>
  <c r="R188" i="10"/>
  <c r="S188" i="10" s="1"/>
  <c r="R238" i="10"/>
  <c r="S238" i="10" s="1"/>
  <c r="X238" i="10"/>
  <c r="Y238" i="10" s="1"/>
  <c r="X233" i="10"/>
  <c r="Y233" i="10" s="1"/>
  <c r="R233" i="10"/>
  <c r="S233" i="10" s="1"/>
  <c r="X321" i="10"/>
  <c r="R321" i="10"/>
  <c r="S321" i="10" s="1"/>
  <c r="R276" i="10"/>
  <c r="S276" i="10" s="1"/>
  <c r="X276" i="10"/>
  <c r="Y276" i="10" s="1"/>
  <c r="X252" i="10"/>
  <c r="Y252" i="10" s="1"/>
  <c r="R252" i="10"/>
  <c r="R24" i="10"/>
  <c r="S24" i="10" s="1"/>
  <c r="X24" i="10"/>
  <c r="Y24" i="10" s="1"/>
  <c r="X92" i="10"/>
  <c r="Y92" i="10" s="1"/>
  <c r="R92" i="10"/>
  <c r="X135" i="10"/>
  <c r="Y135" i="10" s="1"/>
  <c r="R135" i="10"/>
  <c r="S135" i="10" s="1"/>
  <c r="X218" i="10"/>
  <c r="Y218" i="10" s="1"/>
  <c r="R218" i="10"/>
  <c r="X182" i="10"/>
  <c r="Y182" i="10" s="1"/>
  <c r="R182" i="10"/>
  <c r="S182" i="10" s="1"/>
  <c r="X101" i="10"/>
  <c r="Y101" i="10" s="1"/>
  <c r="R101" i="10"/>
  <c r="S101" i="10" s="1"/>
  <c r="X105" i="10"/>
  <c r="Y105" i="10" s="1"/>
  <c r="R105" i="10"/>
  <c r="S105" i="10" s="1"/>
  <c r="X137" i="10"/>
  <c r="Y137" i="10" s="1"/>
  <c r="R137" i="10"/>
  <c r="S137" i="10" s="1"/>
  <c r="X222" i="10"/>
  <c r="Y222" i="10" s="1"/>
  <c r="R222" i="10"/>
  <c r="S222" i="10" s="1"/>
  <c r="X178" i="10"/>
  <c r="Y178" i="10" s="1"/>
  <c r="R178" i="10"/>
  <c r="S178" i="10" s="1"/>
  <c r="X267" i="10"/>
  <c r="Y267" i="10" s="1"/>
  <c r="R267" i="10"/>
  <c r="S267" i="10" s="1"/>
  <c r="X60" i="10"/>
  <c r="Y60" i="10" s="1"/>
  <c r="R60" i="10"/>
  <c r="X132" i="10"/>
  <c r="Y132" i="10" s="1"/>
  <c r="R132" i="10"/>
  <c r="S132" i="10" s="1"/>
  <c r="X139" i="10"/>
  <c r="Y139" i="10" s="1"/>
  <c r="R139" i="10"/>
  <c r="S139" i="10" s="1"/>
  <c r="X54" i="10"/>
  <c r="Y54" i="10" s="1"/>
  <c r="R54" i="10"/>
  <c r="S54" i="10" s="1"/>
  <c r="X232" i="10"/>
  <c r="Y232" i="10" s="1"/>
  <c r="R232" i="10"/>
  <c r="S232" i="10" s="1"/>
  <c r="X319" i="10"/>
  <c r="Y319" i="10" s="1"/>
  <c r="R319" i="10"/>
  <c r="S319" i="10" s="1"/>
  <c r="X193" i="10"/>
  <c r="Y193" i="10" s="1"/>
  <c r="R193" i="10"/>
  <c r="S193" i="10" s="1"/>
  <c r="X159" i="10"/>
  <c r="Y159" i="10" s="1"/>
  <c r="R159" i="10"/>
  <c r="S159" i="10" s="1"/>
  <c r="X303" i="10"/>
  <c r="Y303" i="10" s="1"/>
  <c r="R303" i="10"/>
  <c r="S303" i="10" s="1"/>
  <c r="R136" i="10"/>
  <c r="X136" i="10"/>
  <c r="R142" i="10"/>
  <c r="X142" i="10"/>
  <c r="Y142" i="10" s="1"/>
  <c r="X257" i="10"/>
  <c r="Y257" i="10" s="1"/>
  <c r="R257" i="10"/>
  <c r="S257" i="10" s="1"/>
  <c r="X266" i="10"/>
  <c r="R266" i="10"/>
  <c r="S266" i="10" s="1"/>
  <c r="X97" i="10"/>
  <c r="Y97" i="10" s="1"/>
  <c r="R97" i="10"/>
  <c r="S97" i="10" s="1"/>
  <c r="X74" i="10"/>
  <c r="Y74" i="10" s="1"/>
  <c r="R74" i="10"/>
  <c r="X301" i="10"/>
  <c r="Y301" i="10" s="1"/>
  <c r="R301" i="10"/>
  <c r="X64" i="10"/>
  <c r="Y64" i="10" s="1"/>
  <c r="R64" i="10"/>
  <c r="S64" i="10" s="1"/>
  <c r="X35" i="10"/>
  <c r="Y35" i="10" s="1"/>
  <c r="R35" i="10"/>
  <c r="R30" i="10"/>
  <c r="S30" i="10" s="1"/>
  <c r="X30" i="10"/>
  <c r="Y30" i="10" s="1"/>
  <c r="X175" i="10"/>
  <c r="Y175" i="10" s="1"/>
  <c r="R175" i="10"/>
  <c r="X21" i="10"/>
  <c r="Y21" i="10" s="1"/>
  <c r="R21" i="10"/>
  <c r="X171" i="10"/>
  <c r="Y171" i="10" s="1"/>
  <c r="R171" i="10"/>
  <c r="S171" i="10" s="1"/>
  <c r="R316" i="10"/>
  <c r="S316" i="10" s="1"/>
  <c r="X316" i="10"/>
  <c r="R296" i="10"/>
  <c r="S296" i="10" s="1"/>
  <c r="X296" i="10"/>
  <c r="Y296" i="10" s="1"/>
  <c r="X17" i="10"/>
  <c r="Y17" i="10" s="1"/>
  <c r="R17" i="10"/>
  <c r="S17" i="10" s="1"/>
  <c r="R160" i="10"/>
  <c r="S160" i="10" s="1"/>
  <c r="X160" i="10"/>
  <c r="Y160" i="10" s="1"/>
  <c r="R150" i="10"/>
  <c r="X150" i="10"/>
  <c r="Y150" i="10" s="1"/>
  <c r="X169" i="10"/>
  <c r="Y169" i="10" s="1"/>
  <c r="R169" i="10"/>
  <c r="X29" i="10"/>
  <c r="R29" i="10"/>
  <c r="R138" i="10"/>
  <c r="S138" i="10" s="1"/>
  <c r="X138" i="10"/>
  <c r="Y138" i="10" s="1"/>
  <c r="X180" i="10"/>
  <c r="Y180" i="10" s="1"/>
  <c r="R180" i="10"/>
  <c r="S180" i="10" s="1"/>
  <c r="X28" i="10"/>
  <c r="Y28" i="10" s="1"/>
  <c r="R28" i="10"/>
  <c r="R118" i="10"/>
  <c r="X118" i="10"/>
  <c r="Y118" i="10" s="1"/>
  <c r="X65" i="10"/>
  <c r="Y65" i="10" s="1"/>
  <c r="R65" i="10"/>
  <c r="X250" i="10"/>
  <c r="Y250" i="10" s="1"/>
  <c r="R250" i="10"/>
  <c r="X287" i="10"/>
  <c r="Y287" i="10" s="1"/>
  <c r="R287" i="10"/>
  <c r="X277" i="10"/>
  <c r="Y277" i="10" s="1"/>
  <c r="R277" i="10"/>
  <c r="X68" i="10"/>
  <c r="Y68" i="10" s="1"/>
  <c r="R68" i="10"/>
  <c r="X215" i="10"/>
  <c r="Y215" i="10" s="1"/>
  <c r="R215" i="10"/>
  <c r="S215" i="10" s="1"/>
  <c r="X93" i="10"/>
  <c r="Y93" i="10" s="1"/>
  <c r="R93" i="10"/>
  <c r="R61" i="10"/>
  <c r="S61" i="10" s="1"/>
  <c r="X61" i="10"/>
  <c r="Y61" i="10" s="1"/>
  <c r="R53" i="10"/>
  <c r="X53" i="10"/>
  <c r="Y53" i="10" s="1"/>
  <c r="R196" i="10"/>
  <c r="S196" i="10" s="1"/>
  <c r="X196" i="10"/>
  <c r="Y196" i="10" s="1"/>
  <c r="X278" i="10"/>
  <c r="Y278" i="10" s="1"/>
  <c r="R278" i="10"/>
  <c r="S278" i="10" s="1"/>
  <c r="X90" i="10"/>
  <c r="Y90" i="10" s="1"/>
  <c r="R90" i="10"/>
  <c r="S90" i="10" s="1"/>
  <c r="X291" i="10"/>
  <c r="Y291" i="10" s="1"/>
  <c r="R291" i="10"/>
  <c r="S291" i="10" s="1"/>
  <c r="X269" i="10"/>
  <c r="Y269" i="10" s="1"/>
  <c r="R269" i="10"/>
  <c r="X32" i="10"/>
  <c r="Y32" i="10" s="1"/>
  <c r="R32" i="10"/>
  <c r="S32" i="10" s="1"/>
  <c r="X15" i="10"/>
  <c r="Y15" i="10" s="1"/>
  <c r="R15" i="10"/>
  <c r="S15" i="10" s="1"/>
  <c r="X165" i="10"/>
  <c r="Y165" i="10" s="1"/>
  <c r="R165" i="10"/>
  <c r="X254" i="10"/>
  <c r="Y254" i="10" s="1"/>
  <c r="R254" i="10"/>
  <c r="S254" i="10" s="1"/>
  <c r="X219" i="10"/>
  <c r="Y219" i="10" s="1"/>
  <c r="R219" i="10"/>
  <c r="S219" i="10" s="1"/>
  <c r="R56" i="10"/>
  <c r="S56" i="10" s="1"/>
  <c r="X56" i="10"/>
  <c r="Y56" i="10" s="1"/>
  <c r="X235" i="10"/>
  <c r="Y235" i="10" s="1"/>
  <c r="R235" i="10"/>
  <c r="S235" i="10" s="1"/>
  <c r="X189" i="10"/>
  <c r="Y189" i="10" s="1"/>
  <c r="R189" i="10"/>
  <c r="R8" i="10"/>
  <c r="S8" i="10" s="1"/>
  <c r="X8" i="10"/>
  <c r="Y8" i="10" s="1"/>
  <c r="X57" i="10"/>
  <c r="Y57" i="10" s="1"/>
  <c r="R57" i="10"/>
  <c r="X27" i="10"/>
  <c r="Y27" i="10" s="1"/>
  <c r="R27" i="10"/>
  <c r="R292" i="10"/>
  <c r="S292" i="10" s="1"/>
  <c r="X292" i="10"/>
  <c r="Y292" i="10" s="1"/>
  <c r="X293" i="10"/>
  <c r="Y293" i="10" s="1"/>
  <c r="R293" i="10"/>
  <c r="X45" i="10"/>
  <c r="Y45" i="10" s="1"/>
  <c r="R45" i="10"/>
  <c r="S45" i="10" s="1"/>
  <c r="X111" i="10"/>
  <c r="Y111" i="10" s="1"/>
  <c r="R111" i="10"/>
  <c r="S111" i="10" s="1"/>
  <c r="R152" i="10"/>
  <c r="X152" i="10"/>
  <c r="Y152" i="10" s="1"/>
  <c r="R154" i="10"/>
  <c r="S154" i="10" s="1"/>
  <c r="X154" i="10"/>
  <c r="Y154" i="10" s="1"/>
  <c r="R85" i="10"/>
  <c r="X85" i="10"/>
  <c r="Y85" i="10" s="1"/>
  <c r="X62" i="10"/>
  <c r="Y62" i="10" s="1"/>
  <c r="R62" i="10"/>
  <c r="S62" i="10" s="1"/>
  <c r="X205" i="10"/>
  <c r="Y205" i="10" s="1"/>
  <c r="R205" i="10"/>
  <c r="X216" i="10"/>
  <c r="Y216" i="10" s="1"/>
  <c r="R216" i="10"/>
  <c r="S216" i="10" s="1"/>
  <c r="X241" i="10"/>
  <c r="Y241" i="10" s="1"/>
  <c r="R241" i="10"/>
  <c r="S241" i="10" s="1"/>
  <c r="X234" i="10"/>
  <c r="Y234" i="10" s="1"/>
  <c r="R234" i="10"/>
  <c r="S234" i="10" s="1"/>
  <c r="X279" i="10"/>
  <c r="Y279" i="10" s="1"/>
  <c r="R279" i="10"/>
  <c r="S279" i="10" s="1"/>
  <c r="X256" i="10"/>
  <c r="Y256" i="10" s="1"/>
  <c r="R256" i="10"/>
  <c r="S256" i="10" s="1"/>
  <c r="X14" i="10"/>
  <c r="Y14" i="10" s="1"/>
  <c r="R14" i="10"/>
  <c r="X289" i="10"/>
  <c r="Y289" i="10" s="1"/>
  <c r="R289" i="10"/>
  <c r="S289" i="10" s="1"/>
  <c r="X243" i="10"/>
  <c r="Y243" i="10" s="1"/>
  <c r="R243" i="10"/>
  <c r="S243" i="10" s="1"/>
  <c r="X240" i="10"/>
  <c r="Y240" i="10" s="1"/>
  <c r="R240" i="10"/>
  <c r="S240" i="10" s="1"/>
  <c r="X312" i="10"/>
  <c r="Y312" i="10" s="1"/>
  <c r="R312" i="10"/>
  <c r="S312" i="10" s="1"/>
  <c r="X210" i="10"/>
  <c r="Y210" i="10" s="1"/>
  <c r="R210" i="10"/>
  <c r="S210" i="10" s="1"/>
  <c r="X121" i="10"/>
  <c r="Y121" i="10" s="1"/>
  <c r="R121" i="10"/>
  <c r="S121" i="10" s="1"/>
  <c r="R302" i="10"/>
  <c r="S302" i="10" s="1"/>
  <c r="X302" i="10"/>
  <c r="Y302" i="10" s="1"/>
  <c r="X38" i="10"/>
  <c r="Y38" i="10" s="1"/>
  <c r="R38" i="10"/>
  <c r="S38" i="10" s="1"/>
  <c r="X212" i="10"/>
  <c r="Y212" i="10" s="1"/>
  <c r="R212" i="10"/>
  <c r="S212" i="10" s="1"/>
  <c r="X297" i="10"/>
  <c r="Y297" i="10" s="1"/>
  <c r="R297" i="10"/>
  <c r="S297" i="10" s="1"/>
  <c r="X190" i="10"/>
  <c r="Y190" i="10" s="1"/>
  <c r="R190" i="10"/>
  <c r="S190" i="10" s="1"/>
  <c r="X286" i="10"/>
  <c r="Y286" i="10" s="1"/>
  <c r="R286" i="10"/>
  <c r="S286" i="10" s="1"/>
  <c r="X116" i="10"/>
  <c r="Y116" i="10" s="1"/>
  <c r="R116" i="10"/>
  <c r="S116" i="10" s="1"/>
  <c r="X89" i="10"/>
  <c r="Y89" i="10" s="1"/>
  <c r="R89" i="10"/>
  <c r="S89" i="10" s="1"/>
  <c r="R133" i="10"/>
  <c r="X133" i="10"/>
  <c r="Y133" i="10" s="1"/>
  <c r="X246" i="10"/>
  <c r="Y246" i="10" s="1"/>
  <c r="R246" i="10"/>
  <c r="S246" i="10" s="1"/>
  <c r="R166" i="10"/>
  <c r="X166" i="10"/>
  <c r="Y166" i="10" s="1"/>
  <c r="X170" i="10"/>
  <c r="Y170" i="10" s="1"/>
  <c r="R170" i="10"/>
  <c r="S170" i="10" s="1"/>
  <c r="X153" i="10"/>
  <c r="Y153" i="10" s="1"/>
  <c r="R153" i="10"/>
  <c r="S153" i="10" s="1"/>
  <c r="X12" i="10"/>
  <c r="Y12" i="10" s="1"/>
  <c r="R12" i="10"/>
  <c r="S12" i="10" s="1"/>
  <c r="R5" i="10"/>
  <c r="S5" i="10" s="1"/>
  <c r="X5" i="10"/>
  <c r="Y5" i="10" s="1"/>
  <c r="O114" i="6"/>
  <c r="R114" i="6" s="1"/>
  <c r="S114" i="6" s="1"/>
  <c r="AB114" i="6" s="1"/>
  <c r="AC114" i="6" s="1"/>
  <c r="O628" i="6"/>
  <c r="R628" i="6" s="1"/>
  <c r="S628" i="6" s="1"/>
  <c r="AB628" i="6" s="1"/>
  <c r="AC628" i="6" s="1"/>
  <c r="O40" i="6"/>
  <c r="R40" i="6" s="1"/>
  <c r="S40" i="6" s="1"/>
  <c r="AB40" i="6" s="1"/>
  <c r="AC40" i="6" s="1"/>
  <c r="O1757" i="6"/>
  <c r="R1757" i="6" s="1"/>
  <c r="S1757" i="6" s="1"/>
  <c r="AB1757" i="6" s="1"/>
  <c r="AC1757" i="6" s="1"/>
  <c r="O120" i="6"/>
  <c r="R120" i="6" s="1"/>
  <c r="S120" i="6" s="1"/>
  <c r="AB120" i="6" s="1"/>
  <c r="AC120" i="6" s="1"/>
  <c r="O409" i="6"/>
  <c r="R409" i="6" s="1"/>
  <c r="S409" i="6" s="1"/>
  <c r="AB409" i="6" s="1"/>
  <c r="AC409" i="6" s="1"/>
  <c r="O1766" i="6"/>
  <c r="O874" i="6"/>
  <c r="O1101" i="6"/>
  <c r="O798" i="6"/>
  <c r="R798" i="6" s="1"/>
  <c r="S798" i="6" s="1"/>
  <c r="AB798" i="6" s="1"/>
  <c r="AC798" i="6" s="1"/>
  <c r="O167" i="6"/>
  <c r="R167" i="6" s="1"/>
  <c r="S167" i="6" s="1"/>
  <c r="AB167" i="6" s="1"/>
  <c r="AC167" i="6" s="1"/>
  <c r="O2097" i="6"/>
  <c r="O272" i="6"/>
  <c r="R272" i="6" s="1"/>
  <c r="S272" i="6" s="1"/>
  <c r="AB272" i="6" s="1"/>
  <c r="AC272" i="6" s="1"/>
  <c r="O1985" i="6"/>
  <c r="R1985" i="6" s="1"/>
  <c r="S1985" i="6" s="1"/>
  <c r="AB1985" i="6" s="1"/>
  <c r="AC1985" i="6" s="1"/>
  <c r="O1226" i="6"/>
  <c r="R1226" i="6" s="1"/>
  <c r="S1226" i="6" s="1"/>
  <c r="AB1226" i="6" s="1"/>
  <c r="AC1226" i="6" s="1"/>
  <c r="O532" i="6"/>
  <c r="R532" i="6" s="1"/>
  <c r="S532" i="6" s="1"/>
  <c r="AB532" i="6" s="1"/>
  <c r="AC532" i="6" s="1"/>
  <c r="O32" i="6"/>
  <c r="R32" i="6" s="1"/>
  <c r="S32" i="6" s="1"/>
  <c r="AB32" i="6" s="1"/>
  <c r="AC32" i="6" s="1"/>
  <c r="O1302" i="6"/>
  <c r="R1302" i="6" s="1"/>
  <c r="S1302" i="6" s="1"/>
  <c r="AB1302" i="6" s="1"/>
  <c r="AC1302" i="6" s="1"/>
  <c r="O2094" i="6"/>
  <c r="R2094" i="6" s="1"/>
  <c r="S2094" i="6" s="1"/>
  <c r="AB2094" i="6" s="1"/>
  <c r="AC2094" i="6" s="1"/>
  <c r="O1961" i="6"/>
  <c r="R1961" i="6" s="1"/>
  <c r="S1961" i="6" s="1"/>
  <c r="AB1961" i="6" s="1"/>
  <c r="AC1961" i="6" s="1"/>
  <c r="O1681" i="6"/>
  <c r="R1681" i="6" s="1"/>
  <c r="S1681" i="6" s="1"/>
  <c r="AB1681" i="6" s="1"/>
  <c r="AC1681" i="6" s="1"/>
  <c r="O232" i="6"/>
  <c r="R232" i="6" s="1"/>
  <c r="S232" i="6" s="1"/>
  <c r="AB232" i="6" s="1"/>
  <c r="AC232" i="6" s="1"/>
  <c r="O1086" i="6"/>
  <c r="O1154" i="6"/>
  <c r="O721" i="6"/>
  <c r="R721" i="6" s="1"/>
  <c r="S721" i="6" s="1"/>
  <c r="AB721" i="6" s="1"/>
  <c r="AC721" i="6" s="1"/>
  <c r="O973" i="6"/>
  <c r="O1265" i="6"/>
  <c r="R1265" i="6" s="1"/>
  <c r="S1265" i="6" s="1"/>
  <c r="AB1265" i="6" s="1"/>
  <c r="AC1265" i="6" s="1"/>
  <c r="O1131" i="6"/>
  <c r="O797" i="6"/>
  <c r="R797" i="6" s="1"/>
  <c r="S797" i="6" s="1"/>
  <c r="AB797" i="6" s="1"/>
  <c r="AC797" i="6" s="1"/>
  <c r="O439" i="6"/>
  <c r="R439" i="6" s="1"/>
  <c r="S439" i="6" s="1"/>
  <c r="AB439" i="6" s="1"/>
  <c r="AC439" i="6" s="1"/>
  <c r="O671" i="6"/>
  <c r="R671" i="6" s="1"/>
  <c r="S671" i="6" s="1"/>
  <c r="AB671" i="6" s="1"/>
  <c r="AC671" i="6" s="1"/>
  <c r="O980" i="6"/>
  <c r="R980" i="6" s="1"/>
  <c r="S980" i="6" s="1"/>
  <c r="AB980" i="6" s="1"/>
  <c r="AC980" i="6" s="1"/>
  <c r="O514" i="6"/>
  <c r="R514" i="6" s="1"/>
  <c r="S514" i="6" s="1"/>
  <c r="AB514" i="6" s="1"/>
  <c r="AC514" i="6" s="1"/>
  <c r="O1028" i="6"/>
  <c r="R1028" i="6" s="1"/>
  <c r="S1028" i="6" s="1"/>
  <c r="AB1028" i="6" s="1"/>
  <c r="AC1028" i="6" s="1"/>
  <c r="O1612" i="6"/>
  <c r="R1612" i="6" s="1"/>
  <c r="S1612" i="6" s="1"/>
  <c r="AB1612" i="6" s="1"/>
  <c r="AC1612" i="6" s="1"/>
  <c r="O1090" i="6"/>
  <c r="R1090" i="6" s="1"/>
  <c r="S1090" i="6" s="1"/>
  <c r="AB1090" i="6" s="1"/>
  <c r="AC1090" i="6" s="1"/>
  <c r="O978" i="6"/>
  <c r="R978" i="6" s="1"/>
  <c r="S978" i="6" s="1"/>
  <c r="AB978" i="6" s="1"/>
  <c r="AC978" i="6" s="1"/>
  <c r="O2083" i="6"/>
  <c r="R2083" i="6" s="1"/>
  <c r="S2083" i="6" s="1"/>
  <c r="AB2083" i="6" s="1"/>
  <c r="AC2083" i="6" s="1"/>
  <c r="O2003" i="6"/>
  <c r="O182" i="6"/>
  <c r="O1108" i="6"/>
  <c r="R1108" i="6" s="1"/>
  <c r="S1108" i="6" s="1"/>
  <c r="AB1108" i="6" s="1"/>
  <c r="AC1108" i="6" s="1"/>
  <c r="O506" i="6"/>
  <c r="R506" i="6" s="1"/>
  <c r="S506" i="6" s="1"/>
  <c r="AB506" i="6" s="1"/>
  <c r="AC506" i="6" s="1"/>
  <c r="O1328" i="6"/>
  <c r="R1328" i="6" s="1"/>
  <c r="S1328" i="6" s="1"/>
  <c r="AB1328" i="6" s="1"/>
  <c r="AC1328" i="6" s="1"/>
  <c r="O2048" i="6"/>
  <c r="O1192" i="6"/>
  <c r="O373" i="6"/>
  <c r="R373" i="6" s="1"/>
  <c r="S373" i="6" s="1"/>
  <c r="AB373" i="6" s="1"/>
  <c r="AC373" i="6" s="1"/>
  <c r="O1225" i="6"/>
  <c r="R1225" i="6" s="1"/>
  <c r="S1225" i="6" s="1"/>
  <c r="AB1225" i="6" s="1"/>
  <c r="AC1225" i="6" s="1"/>
  <c r="O906" i="6"/>
  <c r="R906" i="6" s="1"/>
  <c r="S906" i="6" s="1"/>
  <c r="AB906" i="6" s="1"/>
  <c r="AC906" i="6" s="1"/>
  <c r="O2052" i="6"/>
  <c r="R2052" i="6" s="1"/>
  <c r="S2052" i="6" s="1"/>
  <c r="AB2052" i="6" s="1"/>
  <c r="AC2052" i="6" s="1"/>
  <c r="O357" i="6"/>
  <c r="R357" i="6" s="1"/>
  <c r="S357" i="6" s="1"/>
  <c r="AB357" i="6" s="1"/>
  <c r="AC357" i="6" s="1"/>
  <c r="O1060" i="6"/>
  <c r="R1060" i="6" s="1"/>
  <c r="S1060" i="6" s="1"/>
  <c r="AB1060" i="6" s="1"/>
  <c r="AC1060" i="6" s="1"/>
  <c r="O1771" i="6"/>
  <c r="R1771" i="6" s="1"/>
  <c r="S1771" i="6" s="1"/>
  <c r="AB1771" i="6" s="1"/>
  <c r="AC1771" i="6" s="1"/>
  <c r="O1220" i="6"/>
  <c r="R1220" i="6" s="1"/>
  <c r="S1220" i="6" s="1"/>
  <c r="AB1220" i="6" s="1"/>
  <c r="AC1220" i="6" s="1"/>
  <c r="O333" i="6"/>
  <c r="R333" i="6" s="1"/>
  <c r="S333" i="6" s="1"/>
  <c r="AB333" i="6" s="1"/>
  <c r="AC333" i="6" s="1"/>
  <c r="O1011" i="6"/>
  <c r="O2064" i="6"/>
  <c r="O2071" i="6"/>
  <c r="R2071" i="6" s="1"/>
  <c r="S2071" i="6" s="1"/>
  <c r="AB2071" i="6" s="1"/>
  <c r="AC2071" i="6" s="1"/>
  <c r="O2120" i="6"/>
  <c r="R2120" i="6" s="1"/>
  <c r="S2120" i="6" s="1"/>
  <c r="AB2120" i="6" s="1"/>
  <c r="AC2120" i="6" s="1"/>
  <c r="O2076" i="6"/>
  <c r="R2076" i="6" s="1"/>
  <c r="S2076" i="6" s="1"/>
  <c r="AB2076" i="6" s="1"/>
  <c r="AC2076" i="6" s="1"/>
  <c r="O2206" i="6"/>
  <c r="O2355" i="6"/>
  <c r="R2355" i="6" s="1"/>
  <c r="S2355" i="6" s="1"/>
  <c r="AB2355" i="6" s="1"/>
  <c r="AC2355" i="6" s="1"/>
  <c r="O580" i="6"/>
  <c r="O1146" i="6"/>
  <c r="R1146" i="6" s="1"/>
  <c r="S1146" i="6" s="1"/>
  <c r="AB1146" i="6" s="1"/>
  <c r="AC1146" i="6" s="1"/>
  <c r="O1421" i="6"/>
  <c r="R1421" i="6" s="1"/>
  <c r="S1421" i="6" s="1"/>
  <c r="AB1421" i="6" s="1"/>
  <c r="AC1421" i="6" s="1"/>
  <c r="O340" i="6"/>
  <c r="R340" i="6" s="1"/>
  <c r="S340" i="6" s="1"/>
  <c r="AB340" i="6" s="1"/>
  <c r="AC340" i="6" s="1"/>
  <c r="O1157" i="6"/>
  <c r="R1157" i="6" s="1"/>
  <c r="S1157" i="6" s="1"/>
  <c r="AB1157" i="6" s="1"/>
  <c r="AC1157" i="6" s="1"/>
  <c r="O893" i="6"/>
  <c r="R893" i="6" s="1"/>
  <c r="S893" i="6" s="1"/>
  <c r="AB893" i="6" s="1"/>
  <c r="AC893" i="6" s="1"/>
  <c r="O1658" i="6"/>
  <c r="R1658" i="6" s="1"/>
  <c r="S1658" i="6" s="1"/>
  <c r="AB1658" i="6" s="1"/>
  <c r="AC1658" i="6" s="1"/>
  <c r="O2124" i="6"/>
  <c r="R2124" i="6" s="1"/>
  <c r="S2124" i="6" s="1"/>
  <c r="AB2124" i="6" s="1"/>
  <c r="AC2124" i="6" s="1"/>
  <c r="O1161" i="6"/>
  <c r="R1161" i="6" s="1"/>
  <c r="S1161" i="6" s="1"/>
  <c r="AB1161" i="6" s="1"/>
  <c r="AC1161" i="6" s="1"/>
  <c r="O917" i="6"/>
  <c r="O1928" i="6"/>
  <c r="O758" i="6"/>
  <c r="O1145" i="6"/>
  <c r="R1145" i="6" s="1"/>
  <c r="S1145" i="6" s="1"/>
  <c r="AB1145" i="6" s="1"/>
  <c r="AC1145" i="6" s="1"/>
  <c r="O2079" i="6"/>
  <c r="R2079" i="6" s="1"/>
  <c r="S2079" i="6" s="1"/>
  <c r="AB2079" i="6" s="1"/>
  <c r="AC2079" i="6" s="1"/>
  <c r="O1523" i="6"/>
  <c r="O1163" i="6"/>
  <c r="R1163" i="6" s="1"/>
  <c r="S1163" i="6" s="1"/>
  <c r="AB1163" i="6" s="1"/>
  <c r="AC1163" i="6" s="1"/>
  <c r="O1792" i="6"/>
  <c r="R1792" i="6" s="1"/>
  <c r="S1792" i="6" s="1"/>
  <c r="AB1792" i="6" s="1"/>
  <c r="AC1792" i="6" s="1"/>
  <c r="O1582" i="6"/>
  <c r="R1582" i="6" s="1"/>
  <c r="S1582" i="6" s="1"/>
  <c r="AB1582" i="6" s="1"/>
  <c r="AC1582" i="6" s="1"/>
  <c r="O2228" i="6"/>
  <c r="R2228" i="6" s="1"/>
  <c r="S2228" i="6" s="1"/>
  <c r="AB2228" i="6" s="1"/>
  <c r="AC2228" i="6" s="1"/>
  <c r="O215" i="6"/>
  <c r="R215" i="6" s="1"/>
  <c r="S215" i="6" s="1"/>
  <c r="AB215" i="6" s="1"/>
  <c r="AC215" i="6" s="1"/>
  <c r="O1114" i="6"/>
  <c r="R1114" i="6" s="1"/>
  <c r="S1114" i="6" s="1"/>
  <c r="AB1114" i="6" s="1"/>
  <c r="AC1114" i="6" s="1"/>
  <c r="O1903" i="6"/>
  <c r="R1903" i="6" s="1"/>
  <c r="S1903" i="6" s="1"/>
  <c r="AB1903" i="6" s="1"/>
  <c r="AC1903" i="6" s="1"/>
  <c r="O909" i="6"/>
  <c r="R909" i="6" s="1"/>
  <c r="S909" i="6" s="1"/>
  <c r="AB909" i="6" s="1"/>
  <c r="AC909" i="6" s="1"/>
  <c r="O1074" i="6"/>
  <c r="R1074" i="6" s="1"/>
  <c r="S1074" i="6" s="1"/>
  <c r="AB1074" i="6" s="1"/>
  <c r="AC1074" i="6" s="1"/>
  <c r="O392" i="6"/>
  <c r="R392" i="6" s="1"/>
  <c r="S392" i="6" s="1"/>
  <c r="AB392" i="6" s="1"/>
  <c r="AC392" i="6" s="1"/>
  <c r="O913" i="6"/>
  <c r="O415" i="6"/>
  <c r="O2274" i="6"/>
  <c r="R2274" i="6" s="1"/>
  <c r="S2274" i="6" s="1"/>
  <c r="AB2274" i="6" s="1"/>
  <c r="AC2274" i="6" s="1"/>
  <c r="O768" i="6"/>
  <c r="R768" i="6" s="1"/>
  <c r="S768" i="6" s="1"/>
  <c r="AB768" i="6" s="1"/>
  <c r="AC768" i="6" s="1"/>
  <c r="O69" i="6"/>
  <c r="R69" i="6" s="1"/>
  <c r="S69" i="6" s="1"/>
  <c r="AB69" i="6" s="1"/>
  <c r="AC69" i="6" s="1"/>
  <c r="O657" i="6"/>
  <c r="O1389" i="6"/>
  <c r="R1389" i="6" s="1"/>
  <c r="S1389" i="6" s="1"/>
  <c r="AB1389" i="6" s="1"/>
  <c r="AC1389" i="6" s="1"/>
  <c r="O644" i="6"/>
  <c r="R644" i="6" s="1"/>
  <c r="S644" i="6" s="1"/>
  <c r="AB644" i="6" s="1"/>
  <c r="AC644" i="6" s="1"/>
  <c r="O740" i="6"/>
  <c r="R740" i="6" s="1"/>
  <c r="S740" i="6" s="1"/>
  <c r="AB740" i="6" s="1"/>
  <c r="AC740" i="6" s="1"/>
  <c r="O1505" i="6"/>
  <c r="R1505" i="6" s="1"/>
  <c r="S1505" i="6" s="1"/>
  <c r="AB1505" i="6" s="1"/>
  <c r="AC1505" i="6" s="1"/>
  <c r="O1753" i="6"/>
  <c r="R1753" i="6" s="1"/>
  <c r="S1753" i="6" s="1"/>
  <c r="AB1753" i="6" s="1"/>
  <c r="AC1753" i="6" s="1"/>
  <c r="O1281" i="6"/>
  <c r="R1281" i="6" s="1"/>
  <c r="S1281" i="6" s="1"/>
  <c r="AB1281" i="6" s="1"/>
  <c r="AC1281" i="6" s="1"/>
  <c r="O1179" i="6"/>
  <c r="R1179" i="6" s="1"/>
  <c r="S1179" i="6" s="1"/>
  <c r="AB1179" i="6" s="1"/>
  <c r="AC1179" i="6" s="1"/>
  <c r="O723" i="6"/>
  <c r="R723" i="6" s="1"/>
  <c r="S723" i="6" s="1"/>
  <c r="AB723" i="6" s="1"/>
  <c r="AC723" i="6" s="1"/>
  <c r="O1503" i="6"/>
  <c r="R1503" i="6" s="1"/>
  <c r="S1503" i="6" s="1"/>
  <c r="AB1503" i="6" s="1"/>
  <c r="AC1503" i="6" s="1"/>
  <c r="O2189" i="6"/>
  <c r="R2189" i="6" s="1"/>
  <c r="S2189" i="6" s="1"/>
  <c r="AB2189" i="6" s="1"/>
  <c r="AC2189" i="6" s="1"/>
  <c r="O197" i="6"/>
  <c r="O1941" i="6"/>
  <c r="O1172" i="6"/>
  <c r="R1172" i="6" s="1"/>
  <c r="S1172" i="6" s="1"/>
  <c r="AB1172" i="6" s="1"/>
  <c r="AC1172" i="6" s="1"/>
  <c r="O1452" i="6"/>
  <c r="R1452" i="6" s="1"/>
  <c r="S1452" i="6" s="1"/>
  <c r="AB1452" i="6" s="1"/>
  <c r="AC1452" i="6" s="1"/>
  <c r="O2105" i="6"/>
  <c r="R2105" i="6" s="1"/>
  <c r="S2105" i="6" s="1"/>
  <c r="AB2105" i="6" s="1"/>
  <c r="AC2105" i="6" s="1"/>
  <c r="O1191" i="6"/>
  <c r="O1576" i="6"/>
  <c r="R1576" i="6" s="1"/>
  <c r="S1576" i="6" s="1"/>
  <c r="AB1576" i="6" s="1"/>
  <c r="AC1576" i="6" s="1"/>
  <c r="O1775" i="6"/>
  <c r="R1775" i="6" s="1"/>
  <c r="S1775" i="6" s="1"/>
  <c r="AB1775" i="6" s="1"/>
  <c r="AC1775" i="6" s="1"/>
  <c r="O1451" i="6"/>
  <c r="R1451" i="6" s="1"/>
  <c r="S1451" i="6" s="1"/>
  <c r="AB1451" i="6" s="1"/>
  <c r="AC1451" i="6" s="1"/>
  <c r="O649" i="6"/>
  <c r="R649" i="6" s="1"/>
  <c r="S649" i="6" s="1"/>
  <c r="AB649" i="6" s="1"/>
  <c r="AC649" i="6" s="1"/>
  <c r="O1245" i="6"/>
  <c r="R1245" i="6" s="1"/>
  <c r="S1245" i="6" s="1"/>
  <c r="AB1245" i="6" s="1"/>
  <c r="AC1245" i="6" s="1"/>
  <c r="O911" i="6"/>
  <c r="R911" i="6" s="1"/>
  <c r="S911" i="6" s="1"/>
  <c r="AB911" i="6" s="1"/>
  <c r="AC911" i="6" s="1"/>
  <c r="O1483" i="6"/>
  <c r="R1483" i="6" s="1"/>
  <c r="S1483" i="6" s="1"/>
  <c r="AB1483" i="6" s="1"/>
  <c r="AC1483" i="6" s="1"/>
  <c r="O1575" i="6"/>
  <c r="R1575" i="6" s="1"/>
  <c r="S1575" i="6" s="1"/>
  <c r="AB1575" i="6" s="1"/>
  <c r="AC1575" i="6" s="1"/>
  <c r="O1987" i="6"/>
  <c r="R1987" i="6" s="1"/>
  <c r="S1987" i="6" s="1"/>
  <c r="AB1987" i="6" s="1"/>
  <c r="AC1987" i="6" s="1"/>
  <c r="O658" i="6"/>
  <c r="O1947" i="6"/>
  <c r="O2245" i="6"/>
  <c r="R2245" i="6" s="1"/>
  <c r="S2245" i="6" s="1"/>
  <c r="AB2245" i="6" s="1"/>
  <c r="AC2245" i="6" s="1"/>
  <c r="O2100" i="6"/>
  <c r="R2100" i="6" s="1"/>
  <c r="S2100" i="6" s="1"/>
  <c r="AB2100" i="6" s="1"/>
  <c r="AC2100" i="6" s="1"/>
  <c r="O444" i="6"/>
  <c r="R444" i="6" s="1"/>
  <c r="S444" i="6" s="1"/>
  <c r="AB444" i="6" s="1"/>
  <c r="AC444" i="6" s="1"/>
  <c r="O1115" i="6"/>
  <c r="R1115" i="6" s="1"/>
  <c r="S1115" i="6" s="1"/>
  <c r="AB1115" i="6" s="1"/>
  <c r="AC1115" i="6" s="1"/>
  <c r="O1227" i="6"/>
  <c r="O1490" i="6"/>
  <c r="R1490" i="6" s="1"/>
  <c r="S1490" i="6" s="1"/>
  <c r="AB1490" i="6" s="1"/>
  <c r="AC1490" i="6" s="1"/>
  <c r="O1344" i="6"/>
  <c r="R1344" i="6" s="1"/>
  <c r="S1344" i="6" s="1"/>
  <c r="AB1344" i="6" s="1"/>
  <c r="AC1344" i="6" s="1"/>
  <c r="O1884" i="6"/>
  <c r="R1884" i="6" s="1"/>
  <c r="S1884" i="6" s="1"/>
  <c r="AB1884" i="6" s="1"/>
  <c r="AC1884" i="6" s="1"/>
  <c r="O1687" i="6"/>
  <c r="R1687" i="6" s="1"/>
  <c r="O1469" i="6"/>
  <c r="R1469" i="6" s="1"/>
  <c r="S1469" i="6" s="1"/>
  <c r="AB1469" i="6" s="1"/>
  <c r="AC1469" i="6" s="1"/>
  <c r="O59" i="6"/>
  <c r="R59" i="6" s="1"/>
  <c r="S59" i="6" s="1"/>
  <c r="AB59" i="6" s="1"/>
  <c r="AC59" i="6" s="1"/>
  <c r="O1379" i="6"/>
  <c r="R1379" i="6" s="1"/>
  <c r="S1379" i="6" s="1"/>
  <c r="AB1379" i="6" s="1"/>
  <c r="AC1379" i="6" s="1"/>
  <c r="O1431" i="6"/>
  <c r="R1431" i="6" s="1"/>
  <c r="S1431" i="6" s="1"/>
  <c r="AB1431" i="6" s="1"/>
  <c r="AC1431" i="6" s="1"/>
  <c r="O2065" i="6"/>
  <c r="O1906" i="6"/>
  <c r="R1906" i="6" s="1"/>
  <c r="S1906" i="6" s="1"/>
  <c r="AB1906" i="6" s="1"/>
  <c r="AC1906" i="6" s="1"/>
  <c r="O2155" i="6"/>
  <c r="R2155" i="6" s="1"/>
  <c r="O1809" i="6"/>
  <c r="O603" i="6"/>
  <c r="R603" i="6" s="1"/>
  <c r="S603" i="6" s="1"/>
  <c r="AB603" i="6" s="1"/>
  <c r="AC603" i="6" s="1"/>
  <c r="O1806" i="6"/>
  <c r="O1427" i="6"/>
  <c r="R1427" i="6" s="1"/>
  <c r="S1427" i="6" s="1"/>
  <c r="AB1427" i="6" s="1"/>
  <c r="AC1427" i="6" s="1"/>
  <c r="O1181" i="6"/>
  <c r="O1653" i="6"/>
  <c r="R1653" i="6" s="1"/>
  <c r="S1653" i="6" s="1"/>
  <c r="AB1653" i="6" s="1"/>
  <c r="AC1653" i="6" s="1"/>
  <c r="O290" i="6"/>
  <c r="R290" i="6" s="1"/>
  <c r="S290" i="6" s="1"/>
  <c r="AB290" i="6" s="1"/>
  <c r="AC290" i="6" s="1"/>
  <c r="O1898" i="6"/>
  <c r="R1898" i="6" s="1"/>
  <c r="O1742" i="6"/>
  <c r="R1742" i="6" s="1"/>
  <c r="S1742" i="6" s="1"/>
  <c r="AB1742" i="6" s="1"/>
  <c r="AC1742" i="6" s="1"/>
  <c r="O322" i="6"/>
  <c r="R322" i="6" s="1"/>
  <c r="S322" i="6" s="1"/>
  <c r="AB322" i="6" s="1"/>
  <c r="AC322" i="6" s="1"/>
  <c r="O287" i="6"/>
  <c r="R287" i="6" s="1"/>
  <c r="S287" i="6" s="1"/>
  <c r="AB287" i="6" s="1"/>
  <c r="AC287" i="6" s="1"/>
  <c r="O288" i="6"/>
  <c r="R288" i="6" s="1"/>
  <c r="S288" i="6" s="1"/>
  <c r="AB288" i="6" s="1"/>
  <c r="AC288" i="6" s="1"/>
  <c r="O241" i="6"/>
  <c r="R241" i="6" s="1"/>
  <c r="S241" i="6" s="1"/>
  <c r="AB241" i="6" s="1"/>
  <c r="AC241" i="6" s="1"/>
  <c r="O141" i="6"/>
  <c r="R141" i="6" s="1"/>
  <c r="S141" i="6" s="1"/>
  <c r="AB141" i="6" s="1"/>
  <c r="AC141" i="6" s="1"/>
  <c r="O993" i="6"/>
  <c r="R993" i="6" s="1"/>
  <c r="S993" i="6" s="1"/>
  <c r="AB993" i="6" s="1"/>
  <c r="AC993" i="6" s="1"/>
  <c r="O116" i="6"/>
  <c r="O965" i="6"/>
  <c r="O1851" i="6"/>
  <c r="R1851" i="6" s="1"/>
  <c r="S1851" i="6" s="1"/>
  <c r="AB1851" i="6" s="1"/>
  <c r="AC1851" i="6" s="1"/>
  <c r="O1918" i="6"/>
  <c r="O1195" i="6"/>
  <c r="R1195" i="6" s="1"/>
  <c r="S1195" i="6" s="1"/>
  <c r="AB1195" i="6" s="1"/>
  <c r="AC1195" i="6" s="1"/>
  <c r="O2303" i="6"/>
  <c r="R2303" i="6" s="1"/>
  <c r="S2303" i="6" s="1"/>
  <c r="AB2303" i="6" s="1"/>
  <c r="AC2303" i="6" s="1"/>
  <c r="O186" i="6"/>
  <c r="R186" i="6" s="1"/>
  <c r="S186" i="6" s="1"/>
  <c r="AB186" i="6" s="1"/>
  <c r="AC186" i="6" s="1"/>
  <c r="O588" i="6"/>
  <c r="R588" i="6" s="1"/>
  <c r="S588" i="6" s="1"/>
  <c r="AB588" i="6" s="1"/>
  <c r="AC588" i="6" s="1"/>
  <c r="O149" i="6"/>
  <c r="R149" i="6" s="1"/>
  <c r="S149" i="6" s="1"/>
  <c r="AB149" i="6" s="1"/>
  <c r="AC149" i="6" s="1"/>
  <c r="O620" i="6"/>
  <c r="R620" i="6" s="1"/>
  <c r="S620" i="6" s="1"/>
  <c r="AB620" i="6" s="1"/>
  <c r="AC620" i="6" s="1"/>
  <c r="O1142" i="6"/>
  <c r="R1142" i="6" s="1"/>
  <c r="S1142" i="6" s="1"/>
  <c r="AB1142" i="6" s="1"/>
  <c r="AC1142" i="6" s="1"/>
  <c r="O629" i="6"/>
  <c r="R629" i="6" s="1"/>
  <c r="S629" i="6" s="1"/>
  <c r="AB629" i="6" s="1"/>
  <c r="AC629" i="6" s="1"/>
  <c r="O1420" i="6"/>
  <c r="R1420" i="6" s="1"/>
  <c r="S1420" i="6" s="1"/>
  <c r="AB1420" i="6" s="1"/>
  <c r="AC1420" i="6" s="1"/>
  <c r="O716" i="6"/>
  <c r="R716" i="6" s="1"/>
  <c r="S716" i="6" s="1"/>
  <c r="AB716" i="6" s="1"/>
  <c r="AC716" i="6" s="1"/>
  <c r="O1496" i="6"/>
  <c r="R1496" i="6" s="1"/>
  <c r="S1496" i="6" s="1"/>
  <c r="AB1496" i="6" s="1"/>
  <c r="AC1496" i="6" s="1"/>
  <c r="O1070" i="6"/>
  <c r="R1070" i="6" s="1"/>
  <c r="S1070" i="6" s="1"/>
  <c r="AB1070" i="6" s="1"/>
  <c r="AC1070" i="6" s="1"/>
  <c r="O732" i="6"/>
  <c r="O544" i="6"/>
  <c r="O1761" i="6"/>
  <c r="R1761" i="6" s="1"/>
  <c r="S1761" i="6" s="1"/>
  <c r="AB1761" i="6" s="1"/>
  <c r="AC1761" i="6" s="1"/>
  <c r="O728" i="6"/>
  <c r="R728" i="6" s="1"/>
  <c r="S728" i="6" s="1"/>
  <c r="AB728" i="6" s="1"/>
  <c r="AC728" i="6" s="1"/>
  <c r="O1974" i="6"/>
  <c r="R1974" i="6" s="1"/>
  <c r="S1974" i="6" s="1"/>
  <c r="AB1974" i="6" s="1"/>
  <c r="AC1974" i="6" s="1"/>
  <c r="O666" i="6"/>
  <c r="O60" i="6"/>
  <c r="R60" i="6" s="1"/>
  <c r="S60" i="6" s="1"/>
  <c r="AB60" i="6" s="1"/>
  <c r="AC60" i="6" s="1"/>
  <c r="O595" i="6"/>
  <c r="R595" i="6" s="1"/>
  <c r="S595" i="6" s="1"/>
  <c r="AB595" i="6" s="1"/>
  <c r="AC595" i="6" s="1"/>
  <c r="O231" i="6"/>
  <c r="R231" i="6" s="1"/>
  <c r="S231" i="6" s="1"/>
  <c r="AB231" i="6" s="1"/>
  <c r="AC231" i="6" s="1"/>
  <c r="O260" i="6"/>
  <c r="R260" i="6" s="1"/>
  <c r="S260" i="6" s="1"/>
  <c r="AB260" i="6" s="1"/>
  <c r="AC260" i="6" s="1"/>
  <c r="O261" i="6"/>
  <c r="R261" i="6" s="1"/>
  <c r="S261" i="6" s="1"/>
  <c r="AB261" i="6" s="1"/>
  <c r="AC261" i="6" s="1"/>
  <c r="O1467" i="6"/>
  <c r="R1467" i="6" s="1"/>
  <c r="S1467" i="6" s="1"/>
  <c r="AB1467" i="6" s="1"/>
  <c r="AC1467" i="6" s="1"/>
  <c r="O1587" i="6"/>
  <c r="R1587" i="6" s="1"/>
  <c r="S1587" i="6" s="1"/>
  <c r="AB1587" i="6" s="1"/>
  <c r="AC1587" i="6" s="1"/>
  <c r="O899" i="6"/>
  <c r="R899" i="6" s="1"/>
  <c r="S899" i="6" s="1"/>
  <c r="AB899" i="6" s="1"/>
  <c r="AC899" i="6" s="1"/>
  <c r="O144" i="6"/>
  <c r="R144" i="6" s="1"/>
  <c r="S144" i="6" s="1"/>
  <c r="AB144" i="6" s="1"/>
  <c r="AC144" i="6" s="1"/>
  <c r="O309" i="6"/>
  <c r="R309" i="6" s="1"/>
  <c r="S309" i="6" s="1"/>
  <c r="AB309" i="6" s="1"/>
  <c r="AC309" i="6" s="1"/>
  <c r="O1149" i="6"/>
  <c r="O1298" i="6"/>
  <c r="O1128" i="6"/>
  <c r="R1128" i="6" s="1"/>
  <c r="S1128" i="6" s="1"/>
  <c r="AB1128" i="6" s="1"/>
  <c r="AC1128" i="6" s="1"/>
  <c r="O1853" i="6"/>
  <c r="R1853" i="6" s="1"/>
  <c r="S1853" i="6" s="1"/>
  <c r="AB1853" i="6" s="1"/>
  <c r="AC1853" i="6" s="1"/>
  <c r="O994" i="6"/>
  <c r="R994" i="6" s="1"/>
  <c r="S994" i="6" s="1"/>
  <c r="AB994" i="6" s="1"/>
  <c r="AC994" i="6" s="1"/>
  <c r="O501" i="6"/>
  <c r="O1964" i="6"/>
  <c r="R1964" i="6" s="1"/>
  <c r="S1964" i="6" s="1"/>
  <c r="AB1964" i="6" s="1"/>
  <c r="AC1964" i="6" s="1"/>
  <c r="O1251" i="6"/>
  <c r="R1251" i="6" s="1"/>
  <c r="S1251" i="6" s="1"/>
  <c r="AB1251" i="6" s="1"/>
  <c r="AC1251" i="6" s="1"/>
  <c r="O726" i="6"/>
  <c r="R726" i="6" s="1"/>
  <c r="S726" i="6" s="1"/>
  <c r="AB726" i="6" s="1"/>
  <c r="AC726" i="6" s="1"/>
  <c r="O815" i="6"/>
  <c r="R815" i="6" s="1"/>
  <c r="S815" i="6" s="1"/>
  <c r="AB815" i="6" s="1"/>
  <c r="AC815" i="6" s="1"/>
  <c r="O2082" i="6"/>
  <c r="R2082" i="6" s="1"/>
  <c r="S2082" i="6" s="1"/>
  <c r="AB2082" i="6" s="1"/>
  <c r="AC2082" i="6" s="1"/>
  <c r="O265" i="6"/>
  <c r="R265" i="6" s="1"/>
  <c r="S265" i="6" s="1"/>
  <c r="AB265" i="6" s="1"/>
  <c r="AC265" i="6" s="1"/>
  <c r="O148" i="6"/>
  <c r="R148" i="6" s="1"/>
  <c r="S148" i="6" s="1"/>
  <c r="AB148" i="6" s="1"/>
  <c r="AC148" i="6" s="1"/>
  <c r="O809" i="6"/>
  <c r="R809" i="6" s="1"/>
  <c r="S809" i="6" s="1"/>
  <c r="AB809" i="6" s="1"/>
  <c r="AC809" i="6" s="1"/>
  <c r="O500" i="6"/>
  <c r="R500" i="6" s="1"/>
  <c r="S500" i="6" s="1"/>
  <c r="AB500" i="6" s="1"/>
  <c r="AC500" i="6" s="1"/>
  <c r="O1944" i="6"/>
  <c r="R1944" i="6" s="1"/>
  <c r="S1944" i="6" s="1"/>
  <c r="AB1944" i="6" s="1"/>
  <c r="AC1944" i="6" s="1"/>
  <c r="O503" i="6"/>
  <c r="O1845" i="6"/>
  <c r="O574" i="6"/>
  <c r="R574" i="6" s="1"/>
  <c r="S574" i="6" s="1"/>
  <c r="AB574" i="6" s="1"/>
  <c r="AC574" i="6" s="1"/>
  <c r="O2166" i="6"/>
  <c r="R2166" i="6" s="1"/>
  <c r="S2166" i="6" s="1"/>
  <c r="AB2166" i="6" s="1"/>
  <c r="AC2166" i="6" s="1"/>
  <c r="O158" i="6"/>
  <c r="R158" i="6" s="1"/>
  <c r="S158" i="6" s="1"/>
  <c r="AB158" i="6" s="1"/>
  <c r="AC158" i="6" s="1"/>
  <c r="O1116" i="6"/>
  <c r="O529" i="6"/>
  <c r="R529" i="6" s="1"/>
  <c r="S529" i="6" s="1"/>
  <c r="AB529" i="6" s="1"/>
  <c r="AC529" i="6" s="1"/>
  <c r="O795" i="6"/>
  <c r="R795" i="6" s="1"/>
  <c r="S795" i="6" s="1"/>
  <c r="AB795" i="6" s="1"/>
  <c r="AC795" i="6" s="1"/>
  <c r="O2220" i="6"/>
  <c r="R2220" i="6" s="1"/>
  <c r="O1512" i="6"/>
  <c r="R1512" i="6" s="1"/>
  <c r="S1512" i="6" s="1"/>
  <c r="AB1512" i="6" s="1"/>
  <c r="AC1512" i="6" s="1"/>
  <c r="O103" i="6"/>
  <c r="R103" i="6" s="1"/>
  <c r="S103" i="6" s="1"/>
  <c r="AB103" i="6" s="1"/>
  <c r="AC103" i="6" s="1"/>
  <c r="O466" i="6"/>
  <c r="R466" i="6" s="1"/>
  <c r="S466" i="6" s="1"/>
  <c r="AB466" i="6" s="1"/>
  <c r="AC466" i="6" s="1"/>
  <c r="O132" i="6"/>
  <c r="R132" i="6" s="1"/>
  <c r="S132" i="6" s="1"/>
  <c r="AB132" i="6" s="1"/>
  <c r="AC132" i="6" s="1"/>
  <c r="O1720" i="6"/>
  <c r="R1720" i="6" s="1"/>
  <c r="S1720" i="6" s="1"/>
  <c r="AB1720" i="6" s="1"/>
  <c r="AC1720" i="6" s="1"/>
  <c r="O1744" i="6"/>
  <c r="O2146" i="6"/>
  <c r="R2146" i="6" s="1"/>
  <c r="S2146" i="6" s="1"/>
  <c r="AB2146" i="6" s="1"/>
  <c r="AC2146" i="6" s="1"/>
  <c r="O1514" i="6"/>
  <c r="R1514" i="6" s="1"/>
  <c r="S1514" i="6" s="1"/>
  <c r="AB1514" i="6" s="1"/>
  <c r="AC1514" i="6" s="1"/>
  <c r="O811" i="6"/>
  <c r="O1164" i="6"/>
  <c r="R1164" i="6" s="1"/>
  <c r="S1164" i="6" s="1"/>
  <c r="AB1164" i="6" s="1"/>
  <c r="AC1164" i="6" s="1"/>
  <c r="O761" i="6"/>
  <c r="R761" i="6" s="1"/>
  <c r="S761" i="6" s="1"/>
  <c r="AB761" i="6" s="1"/>
  <c r="AC761" i="6" s="1"/>
  <c r="O2336" i="6"/>
  <c r="R2336" i="6" s="1"/>
  <c r="S2336" i="6" s="1"/>
  <c r="AB2336" i="6" s="1"/>
  <c r="AC2336" i="6" s="1"/>
  <c r="O1366" i="6"/>
  <c r="O174" i="6"/>
  <c r="R174" i="6" s="1"/>
  <c r="S174" i="6" s="1"/>
  <c r="AB174" i="6" s="1"/>
  <c r="AC174" i="6" s="1"/>
  <c r="O1256" i="6"/>
  <c r="R1256" i="6" s="1"/>
  <c r="S1256" i="6" s="1"/>
  <c r="AB1256" i="6" s="1"/>
  <c r="AC1256" i="6" s="1"/>
  <c r="O318" i="6"/>
  <c r="R318" i="6" s="1"/>
  <c r="S318" i="6" s="1"/>
  <c r="AB318" i="6" s="1"/>
  <c r="AC318" i="6" s="1"/>
  <c r="O2290" i="6"/>
  <c r="R2290" i="6" s="1"/>
  <c r="S2290" i="6" s="1"/>
  <c r="AB2290" i="6" s="1"/>
  <c r="AC2290" i="6" s="1"/>
  <c r="O781" i="6"/>
  <c r="R781" i="6" s="1"/>
  <c r="S781" i="6" s="1"/>
  <c r="AB781" i="6" s="1"/>
  <c r="AC781" i="6" s="1"/>
  <c r="O660" i="6"/>
  <c r="R660" i="6" s="1"/>
  <c r="S660" i="6" s="1"/>
  <c r="AB660" i="6" s="1"/>
  <c r="AC660" i="6" s="1"/>
  <c r="O1667" i="6"/>
  <c r="R1667" i="6" s="1"/>
  <c r="S1667" i="6" s="1"/>
  <c r="AB1667" i="6" s="1"/>
  <c r="AC1667" i="6" s="1"/>
  <c r="O1544" i="6"/>
  <c r="R1544" i="6" s="1"/>
  <c r="S1544" i="6" s="1"/>
  <c r="AB1544" i="6" s="1"/>
  <c r="AC1544" i="6" s="1"/>
  <c r="O638" i="6"/>
  <c r="R638" i="6" s="1"/>
  <c r="S638" i="6" s="1"/>
  <c r="AB638" i="6" s="1"/>
  <c r="AC638" i="6" s="1"/>
  <c r="O1357" i="6"/>
  <c r="R1357" i="6" s="1"/>
  <c r="S1357" i="6" s="1"/>
  <c r="AB1357" i="6" s="1"/>
  <c r="AC1357" i="6" s="1"/>
  <c r="O461" i="6"/>
  <c r="O216" i="6"/>
  <c r="O1917" i="6"/>
  <c r="R1917" i="6" s="1"/>
  <c r="S1917" i="6" s="1"/>
  <c r="AB1917" i="6" s="1"/>
  <c r="AC1917" i="6" s="1"/>
  <c r="O918" i="6"/>
  <c r="R918" i="6" s="1"/>
  <c r="S918" i="6" s="1"/>
  <c r="AB918" i="6" s="1"/>
  <c r="AC918" i="6" s="1"/>
  <c r="O448" i="6"/>
  <c r="R448" i="6" s="1"/>
  <c r="S448" i="6" s="1"/>
  <c r="AB448" i="6" s="1"/>
  <c r="AC448" i="6" s="1"/>
  <c r="O2061" i="6"/>
  <c r="O872" i="6"/>
  <c r="O170" i="6"/>
  <c r="R170" i="6" s="1"/>
  <c r="S170" i="6" s="1"/>
  <c r="AB170" i="6" s="1"/>
  <c r="AC170" i="6" s="1"/>
  <c r="O2350" i="6"/>
  <c r="R2350" i="6" s="1"/>
  <c r="S2350" i="6" s="1"/>
  <c r="AB2350" i="6" s="1"/>
  <c r="AC2350" i="6" s="1"/>
  <c r="O1796" i="6"/>
  <c r="R1796" i="6" s="1"/>
  <c r="S1796" i="6" s="1"/>
  <c r="AB1796" i="6" s="1"/>
  <c r="AC1796" i="6" s="1"/>
  <c r="O2176" i="6"/>
  <c r="R2176" i="6" s="1"/>
  <c r="S2176" i="6" s="1"/>
  <c r="AB2176" i="6" s="1"/>
  <c r="AC2176" i="6" s="1"/>
  <c r="O1232" i="6"/>
  <c r="R1232" i="6" s="1"/>
  <c r="S1232" i="6" s="1"/>
  <c r="AB1232" i="6" s="1"/>
  <c r="AC1232" i="6" s="1"/>
  <c r="O1043" i="6"/>
  <c r="R1043" i="6" s="1"/>
  <c r="S1043" i="6" s="1"/>
  <c r="AB1043" i="6" s="1"/>
  <c r="AC1043" i="6" s="1"/>
  <c r="O680" i="6"/>
  <c r="R680" i="6" s="1"/>
  <c r="S680" i="6" s="1"/>
  <c r="AB680" i="6" s="1"/>
  <c r="AC680" i="6" s="1"/>
  <c r="O1026" i="6"/>
  <c r="R1026" i="6" s="1"/>
  <c r="S1026" i="6" s="1"/>
  <c r="AB1026" i="6" s="1"/>
  <c r="AC1026" i="6" s="1"/>
  <c r="O741" i="6"/>
  <c r="O395" i="6"/>
  <c r="O545" i="6"/>
  <c r="O682" i="6"/>
  <c r="R682" i="6" s="1"/>
  <c r="S682" i="6" s="1"/>
  <c r="AB682" i="6" s="1"/>
  <c r="AC682" i="6" s="1"/>
  <c r="O437" i="6"/>
  <c r="R437" i="6" s="1"/>
  <c r="S437" i="6" s="1"/>
  <c r="AB437" i="6" s="1"/>
  <c r="AC437" i="6" s="1"/>
  <c r="O1968" i="6"/>
  <c r="R1968" i="6" s="1"/>
  <c r="S1968" i="6" s="1"/>
  <c r="AB1968" i="6" s="1"/>
  <c r="AC1968" i="6" s="1"/>
  <c r="O282" i="6"/>
  <c r="O317" i="6"/>
  <c r="O367" i="6"/>
  <c r="O1802" i="6"/>
  <c r="R1802" i="6" s="1"/>
  <c r="S1802" i="6" s="1"/>
  <c r="AB1802" i="6" s="1"/>
  <c r="AC1802" i="6" s="1"/>
  <c r="O788" i="6"/>
  <c r="R788" i="6" s="1"/>
  <c r="S788" i="6" s="1"/>
  <c r="AB788" i="6" s="1"/>
  <c r="AC788" i="6" s="1"/>
  <c r="O65" i="6"/>
  <c r="R65" i="6" s="1"/>
  <c r="S65" i="6" s="1"/>
  <c r="AB65" i="6" s="1"/>
  <c r="AC65" i="6" s="1"/>
  <c r="O2080" i="6"/>
  <c r="R2080" i="6" s="1"/>
  <c r="S2080" i="6" s="1"/>
  <c r="AB2080" i="6" s="1"/>
  <c r="AC2080" i="6" s="1"/>
  <c r="O828" i="6"/>
  <c r="R828" i="6" s="1"/>
  <c r="S828" i="6" s="1"/>
  <c r="AB828" i="6" s="1"/>
  <c r="AC828" i="6" s="1"/>
  <c r="O2173" i="6"/>
  <c r="R2173" i="6" s="1"/>
  <c r="S2173" i="6" s="1"/>
  <c r="AB2173" i="6" s="1"/>
  <c r="AC2173" i="6" s="1"/>
  <c r="O835" i="6"/>
  <c r="R835" i="6" s="1"/>
  <c r="S835" i="6" s="1"/>
  <c r="AB835" i="6" s="1"/>
  <c r="AC835" i="6" s="1"/>
  <c r="O1547" i="6"/>
  <c r="R1547" i="6" s="1"/>
  <c r="S1547" i="6" s="1"/>
  <c r="AB1547" i="6" s="1"/>
  <c r="AC1547" i="6" s="1"/>
  <c r="O1990" i="6"/>
  <c r="R1990" i="6" s="1"/>
  <c r="S1990" i="6" s="1"/>
  <c r="AB1990" i="6" s="1"/>
  <c r="AC1990" i="6" s="1"/>
  <c r="O2345" i="6"/>
  <c r="R2345" i="6" s="1"/>
  <c r="S2345" i="6" s="1"/>
  <c r="AB2345" i="6" s="1"/>
  <c r="AC2345" i="6" s="1"/>
  <c r="O2192" i="6"/>
  <c r="O736" i="6"/>
  <c r="R736" i="6" s="1"/>
  <c r="S736" i="6" s="1"/>
  <c r="AB736" i="6" s="1"/>
  <c r="AC736" i="6" s="1"/>
  <c r="O1735" i="6"/>
  <c r="R1735" i="6" s="1"/>
  <c r="S1735" i="6" s="1"/>
  <c r="AB1735" i="6" s="1"/>
  <c r="AC1735" i="6" s="1"/>
  <c r="O1456" i="6"/>
  <c r="O2219" i="6"/>
  <c r="R2219" i="6" s="1"/>
  <c r="O563" i="6"/>
  <c r="R563" i="6" s="1"/>
  <c r="S563" i="6" s="1"/>
  <c r="AB563" i="6" s="1"/>
  <c r="AC563" i="6" s="1"/>
  <c r="O709" i="6"/>
  <c r="R709" i="6" s="1"/>
  <c r="S709" i="6" s="1"/>
  <c r="AB709" i="6" s="1"/>
  <c r="AC709" i="6" s="1"/>
  <c r="O1095" i="6"/>
  <c r="R1095" i="6" s="1"/>
  <c r="S1095" i="6" s="1"/>
  <c r="AB1095" i="6" s="1"/>
  <c r="AC1095" i="6" s="1"/>
  <c r="O708" i="6"/>
  <c r="R708" i="6" s="1"/>
  <c r="S708" i="6" s="1"/>
  <c r="AB708" i="6" s="1"/>
  <c r="AC708" i="6" s="1"/>
  <c r="O1620" i="6"/>
  <c r="R1620" i="6" s="1"/>
  <c r="S1620" i="6" s="1"/>
  <c r="AB1620" i="6" s="1"/>
  <c r="AC1620" i="6" s="1"/>
  <c r="O354" i="6"/>
  <c r="R354" i="6" s="1"/>
  <c r="S354" i="6" s="1"/>
  <c r="AB354" i="6" s="1"/>
  <c r="AC354" i="6" s="1"/>
  <c r="O1438" i="6"/>
  <c r="R1438" i="6" s="1"/>
  <c r="S1438" i="6" s="1"/>
  <c r="AB1438" i="6" s="1"/>
  <c r="AC1438" i="6" s="1"/>
  <c r="O822" i="6"/>
  <c r="O652" i="6"/>
  <c r="R652" i="6" s="1"/>
  <c r="S652" i="6" s="1"/>
  <c r="AB652" i="6" s="1"/>
  <c r="AC652" i="6" s="1"/>
  <c r="O1351" i="6"/>
  <c r="O1815" i="6"/>
  <c r="O353" i="6"/>
  <c r="R353" i="6" s="1"/>
  <c r="S353" i="6" s="1"/>
  <c r="AB353" i="6" s="1"/>
  <c r="AC353" i="6" s="1"/>
  <c r="O2239" i="6"/>
  <c r="R2239" i="6" s="1"/>
  <c r="S2239" i="6" s="1"/>
  <c r="AB2239" i="6" s="1"/>
  <c r="AC2239" i="6" s="1"/>
  <c r="O846" i="6"/>
  <c r="R846" i="6" s="1"/>
  <c r="S846" i="6" s="1"/>
  <c r="AB846" i="6" s="1"/>
  <c r="AC846" i="6" s="1"/>
  <c r="O1209" i="6"/>
  <c r="O204" i="6"/>
  <c r="R204" i="6" s="1"/>
  <c r="S204" i="6" s="1"/>
  <c r="AB204" i="6" s="1"/>
  <c r="AC204" i="6" s="1"/>
  <c r="O524" i="6"/>
  <c r="R524" i="6" s="1"/>
  <c r="S524" i="6" s="1"/>
  <c r="AB524" i="6" s="1"/>
  <c r="AC524" i="6" s="1"/>
  <c r="O559" i="6"/>
  <c r="R559" i="6" s="1"/>
  <c r="S559" i="6" s="1"/>
  <c r="AB559" i="6" s="1"/>
  <c r="AC559" i="6" s="1"/>
  <c r="O2184" i="6"/>
  <c r="R2184" i="6" s="1"/>
  <c r="S2184" i="6" s="1"/>
  <c r="AB2184" i="6" s="1"/>
  <c r="AC2184" i="6" s="1"/>
  <c r="O1509" i="6"/>
  <c r="R1509" i="6" s="1"/>
  <c r="S1509" i="6" s="1"/>
  <c r="AB1509" i="6" s="1"/>
  <c r="AC1509" i="6" s="1"/>
  <c r="O1368" i="6"/>
  <c r="R1368" i="6" s="1"/>
  <c r="S1368" i="6" s="1"/>
  <c r="AB1368" i="6" s="1"/>
  <c r="AC1368" i="6" s="1"/>
  <c r="O1345" i="6"/>
  <c r="R1345" i="6" s="1"/>
  <c r="S1345" i="6" s="1"/>
  <c r="AB1345" i="6" s="1"/>
  <c r="AC1345" i="6" s="1"/>
  <c r="O1787" i="6"/>
  <c r="R1787" i="6" s="1"/>
  <c r="S1787" i="6" s="1"/>
  <c r="AB1787" i="6" s="1"/>
  <c r="AC1787" i="6" s="1"/>
  <c r="O1656" i="6"/>
  <c r="O560" i="6"/>
  <c r="O1654" i="6"/>
  <c r="O2207" i="6"/>
  <c r="R2207" i="6" s="1"/>
  <c r="O209" i="6"/>
  <c r="R209" i="6" s="1"/>
  <c r="S209" i="6" s="1"/>
  <c r="AB209" i="6" s="1"/>
  <c r="AC209" i="6" s="1"/>
  <c r="O2010" i="6"/>
  <c r="R2010" i="6" s="1"/>
  <c r="S2010" i="6" s="1"/>
  <c r="AB2010" i="6" s="1"/>
  <c r="AC2010" i="6" s="1"/>
  <c r="O493" i="6"/>
  <c r="R493" i="6" s="1"/>
  <c r="S493" i="6" s="1"/>
  <c r="AB493" i="6" s="1"/>
  <c r="AC493" i="6" s="1"/>
  <c r="O1893" i="6"/>
  <c r="O742" i="6"/>
  <c r="R742" i="6" s="1"/>
  <c r="S742" i="6" s="1"/>
  <c r="AB742" i="6" s="1"/>
  <c r="AC742" i="6" s="1"/>
  <c r="O2249" i="6"/>
  <c r="R2249" i="6" s="1"/>
  <c r="S2249" i="6" s="1"/>
  <c r="AB2249" i="6" s="1"/>
  <c r="AC2249" i="6" s="1"/>
  <c r="O598" i="6"/>
  <c r="R598" i="6" s="1"/>
  <c r="S598" i="6" s="1"/>
  <c r="AB598" i="6" s="1"/>
  <c r="AC598" i="6" s="1"/>
  <c r="O394" i="6"/>
  <c r="R394" i="6" s="1"/>
  <c r="S394" i="6" s="1"/>
  <c r="AB394" i="6" s="1"/>
  <c r="AC394" i="6" s="1"/>
  <c r="O150" i="6"/>
  <c r="R150" i="6" s="1"/>
  <c r="S150" i="6" s="1"/>
  <c r="AB150" i="6" s="1"/>
  <c r="AC150" i="6" s="1"/>
  <c r="O650" i="6"/>
  <c r="R650" i="6" s="1"/>
  <c r="S650" i="6" s="1"/>
  <c r="AB650" i="6" s="1"/>
  <c r="AC650" i="6" s="1"/>
  <c r="O1776" i="6"/>
  <c r="R1776" i="6" s="1"/>
  <c r="S1776" i="6" s="1"/>
  <c r="AB1776" i="6" s="1"/>
  <c r="AC1776" i="6" s="1"/>
  <c r="O1592" i="6"/>
  <c r="R1592" i="6" s="1"/>
  <c r="S1592" i="6" s="1"/>
  <c r="AB1592" i="6" s="1"/>
  <c r="AC1592" i="6" s="1"/>
  <c r="O2250" i="6"/>
  <c r="R2250" i="6" s="1"/>
  <c r="S2250" i="6" s="1"/>
  <c r="AB2250" i="6" s="1"/>
  <c r="AC2250" i="6" s="1"/>
  <c r="O1933" i="6"/>
  <c r="R1933" i="6" s="1"/>
  <c r="S1933" i="6" s="1"/>
  <c r="AB1933" i="6" s="1"/>
  <c r="AC1933" i="6" s="1"/>
  <c r="O1679" i="6"/>
  <c r="R1679" i="6" s="1"/>
  <c r="S1679" i="6" s="1"/>
  <c r="AB1679" i="6" s="1"/>
  <c r="AC1679" i="6" s="1"/>
  <c r="O1187" i="6"/>
  <c r="O181" i="6"/>
  <c r="R181" i="6" s="1"/>
  <c r="S181" i="6" s="1"/>
  <c r="AB181" i="6" s="1"/>
  <c r="AC181" i="6" s="1"/>
  <c r="O902" i="6"/>
  <c r="R902" i="6" s="1"/>
  <c r="S902" i="6" s="1"/>
  <c r="AB902" i="6" s="1"/>
  <c r="AC902" i="6" s="1"/>
  <c r="O879" i="6"/>
  <c r="R879" i="6" s="1"/>
  <c r="S879" i="6" s="1"/>
  <c r="AB879" i="6" s="1"/>
  <c r="AC879" i="6" s="1"/>
  <c r="O1760" i="6"/>
  <c r="O1850" i="6"/>
  <c r="R1850" i="6" s="1"/>
  <c r="S1850" i="6" s="1"/>
  <c r="AB1850" i="6" s="1"/>
  <c r="AC1850" i="6" s="1"/>
  <c r="O1297" i="6"/>
  <c r="O1093" i="6"/>
  <c r="R1093" i="6" s="1"/>
  <c r="S1093" i="6" s="1"/>
  <c r="AB1093" i="6" s="1"/>
  <c r="AC1093" i="6" s="1"/>
  <c r="O1955" i="6"/>
  <c r="R1955" i="6" s="1"/>
  <c r="S1955" i="6" s="1"/>
  <c r="AB1955" i="6" s="1"/>
  <c r="AC1955" i="6" s="1"/>
  <c r="O1313" i="6"/>
  <c r="R1313" i="6" s="1"/>
  <c r="S1313" i="6" s="1"/>
  <c r="AB1313" i="6" s="1"/>
  <c r="AC1313" i="6" s="1"/>
  <c r="O1951" i="6"/>
  <c r="R1951" i="6" s="1"/>
  <c r="S1951" i="6" s="1"/>
  <c r="AB1951" i="6" s="1"/>
  <c r="AC1951" i="6" s="1"/>
  <c r="O820" i="6"/>
  <c r="R820" i="6" s="1"/>
  <c r="S820" i="6" s="1"/>
  <c r="AB820" i="6" s="1"/>
  <c r="AC820" i="6" s="1"/>
  <c r="O1698" i="6"/>
  <c r="R1698" i="6" s="1"/>
  <c r="S1698" i="6" s="1"/>
  <c r="AB1698" i="6" s="1"/>
  <c r="AC1698" i="6" s="1"/>
  <c r="O1252" i="6"/>
  <c r="O1384" i="6"/>
  <c r="R1384" i="6" s="1"/>
  <c r="S1384" i="6" s="1"/>
  <c r="AB1384" i="6" s="1"/>
  <c r="AC1384" i="6" s="1"/>
  <c r="O1396" i="6"/>
  <c r="O1699" i="6"/>
  <c r="O2328" i="6"/>
  <c r="R2328" i="6" s="1"/>
  <c r="S2328" i="6" s="1"/>
  <c r="AB2328" i="6" s="1"/>
  <c r="AC2328" i="6" s="1"/>
  <c r="O374" i="6"/>
  <c r="R374" i="6" s="1"/>
  <c r="S374" i="6" s="1"/>
  <c r="AB374" i="6" s="1"/>
  <c r="AC374" i="6" s="1"/>
  <c r="O2191" i="6"/>
  <c r="R2191" i="6" s="1"/>
  <c r="S2191" i="6" s="1"/>
  <c r="AB2191" i="6" s="1"/>
  <c r="AC2191" i="6" s="1"/>
  <c r="O1027" i="6"/>
  <c r="O2015" i="6"/>
  <c r="R2015" i="6" s="1"/>
  <c r="S2015" i="6" s="1"/>
  <c r="AB2015" i="6" s="1"/>
  <c r="AC2015" i="6" s="1"/>
  <c r="O1774" i="6"/>
  <c r="R1774" i="6" s="1"/>
  <c r="S1774" i="6" s="1"/>
  <c r="AB1774" i="6" s="1"/>
  <c r="AC1774" i="6" s="1"/>
  <c r="O111" i="6"/>
  <c r="R111" i="6" s="1"/>
  <c r="S111" i="6" s="1"/>
  <c r="AB111" i="6" s="1"/>
  <c r="AC111" i="6" s="1"/>
  <c r="O1659" i="6"/>
  <c r="R1659" i="6" s="1"/>
  <c r="S1659" i="6" s="1"/>
  <c r="AB1659" i="6" s="1"/>
  <c r="AC1659" i="6" s="1"/>
  <c r="O807" i="6"/>
  <c r="R807" i="6" s="1"/>
  <c r="S807" i="6" s="1"/>
  <c r="AB807" i="6" s="1"/>
  <c r="AC807" i="6" s="1"/>
  <c r="O43" i="6"/>
  <c r="R43" i="6" s="1"/>
  <c r="S43" i="6" s="1"/>
  <c r="AB43" i="6" s="1"/>
  <c r="AC43" i="6" s="1"/>
  <c r="O1241" i="6"/>
  <c r="R1241" i="6" s="1"/>
  <c r="S1241" i="6" s="1"/>
  <c r="AB1241" i="6" s="1"/>
  <c r="AC1241" i="6" s="1"/>
  <c r="O2039" i="6"/>
  <c r="R2039" i="6" s="1"/>
  <c r="S2039" i="6" s="1"/>
  <c r="AB2039" i="6" s="1"/>
  <c r="AC2039" i="6" s="1"/>
  <c r="O1662" i="6"/>
  <c r="R1662" i="6" s="1"/>
  <c r="S1662" i="6" s="1"/>
  <c r="AB1662" i="6" s="1"/>
  <c r="AC1662" i="6" s="1"/>
  <c r="O473" i="6"/>
  <c r="R473" i="6" s="1"/>
  <c r="S473" i="6" s="1"/>
  <c r="AB473" i="6" s="1"/>
  <c r="AC473" i="6" s="1"/>
  <c r="O1847" i="6"/>
  <c r="O963" i="6"/>
  <c r="O1018" i="6"/>
  <c r="R1018" i="6" s="1"/>
  <c r="S1018" i="6" s="1"/>
  <c r="AB1018" i="6" s="1"/>
  <c r="AC1018" i="6" s="1"/>
  <c r="O134" i="6"/>
  <c r="R134" i="6" s="1"/>
  <c r="S134" i="6" s="1"/>
  <c r="AB134" i="6" s="1"/>
  <c r="AC134" i="6" s="1"/>
  <c r="O1855" i="6"/>
  <c r="R1855" i="6" s="1"/>
  <c r="S1855" i="6" s="1"/>
  <c r="AB1855" i="6" s="1"/>
  <c r="AC1855" i="6" s="1"/>
  <c r="O291" i="6"/>
  <c r="R291" i="6" s="1"/>
  <c r="S291" i="6" s="1"/>
  <c r="AB291" i="6" s="1"/>
  <c r="AC291" i="6" s="1"/>
  <c r="O20" i="6"/>
  <c r="R20" i="6" s="1"/>
  <c r="S20" i="6" s="1"/>
  <c r="AB20" i="6" s="1"/>
  <c r="AC20" i="6" s="1"/>
  <c r="O479" i="6"/>
  <c r="R479" i="6" s="1"/>
  <c r="S479" i="6" s="1"/>
  <c r="AB479" i="6" s="1"/>
  <c r="AC479" i="6" s="1"/>
  <c r="O1959" i="6"/>
  <c r="R1959" i="6" s="1"/>
  <c r="S1959" i="6" s="1"/>
  <c r="AB1959" i="6" s="1"/>
  <c r="AC1959" i="6" s="1"/>
  <c r="O1258" i="6"/>
  <c r="R1258" i="6" s="1"/>
  <c r="S1258" i="6" s="1"/>
  <c r="AB1258" i="6" s="1"/>
  <c r="AC1258" i="6" s="1"/>
  <c r="O1635" i="6"/>
  <c r="R1635" i="6" s="1"/>
  <c r="S1635" i="6" s="1"/>
  <c r="AB1635" i="6" s="1"/>
  <c r="AC1635" i="6" s="1"/>
  <c r="O608" i="6"/>
  <c r="R608" i="6" s="1"/>
  <c r="S608" i="6" s="1"/>
  <c r="AB608" i="6" s="1"/>
  <c r="AC608" i="6" s="1"/>
  <c r="O87" i="6"/>
  <c r="R87" i="6" s="1"/>
  <c r="S87" i="6" s="1"/>
  <c r="AB87" i="6" s="1"/>
  <c r="AC87" i="6" s="1"/>
  <c r="O1970" i="6"/>
  <c r="O662" i="6"/>
  <c r="R662" i="6" s="1"/>
  <c r="S662" i="6" s="1"/>
  <c r="AB662" i="6" s="1"/>
  <c r="AC662" i="6" s="1"/>
  <c r="O1652" i="6"/>
  <c r="R1652" i="6" s="1"/>
  <c r="S1652" i="6" s="1"/>
  <c r="AB1652" i="6" s="1"/>
  <c r="AC1652" i="6" s="1"/>
  <c r="O1859" i="6"/>
  <c r="O1315" i="6"/>
  <c r="O810" i="6"/>
  <c r="R810" i="6" s="1"/>
  <c r="S810" i="6" s="1"/>
  <c r="AB810" i="6" s="1"/>
  <c r="AC810" i="6" s="1"/>
  <c r="O2127" i="6"/>
  <c r="O356" i="6"/>
  <c r="R356" i="6" s="1"/>
  <c r="S356" i="6" s="1"/>
  <c r="AB356" i="6" s="1"/>
  <c r="AC356" i="6" s="1"/>
  <c r="O152" i="6"/>
  <c r="O1516" i="6"/>
  <c r="R1516" i="6" s="1"/>
  <c r="S1516" i="6" s="1"/>
  <c r="AB1516" i="6" s="1"/>
  <c r="AC1516" i="6" s="1"/>
  <c r="O988" i="6"/>
  <c r="R988" i="6" s="1"/>
  <c r="S988" i="6" s="1"/>
  <c r="AB988" i="6" s="1"/>
  <c r="AC988" i="6" s="1"/>
  <c r="O801" i="6"/>
  <c r="R801" i="6" s="1"/>
  <c r="S801" i="6" s="1"/>
  <c r="AB801" i="6" s="1"/>
  <c r="AC801" i="6" s="1"/>
  <c r="O1119" i="6"/>
  <c r="R1119" i="6" s="1"/>
  <c r="S1119" i="6" s="1"/>
  <c r="AB1119" i="6" s="1"/>
  <c r="AC1119" i="6" s="1"/>
  <c r="O1343" i="6"/>
  <c r="R1343" i="6" s="1"/>
  <c r="S1343" i="6" s="1"/>
  <c r="AB1343" i="6" s="1"/>
  <c r="AC1343" i="6" s="1"/>
  <c r="O139" i="6"/>
  <c r="R139" i="6" s="1"/>
  <c r="S139" i="6" s="1"/>
  <c r="AB139" i="6" s="1"/>
  <c r="AC139" i="6" s="1"/>
  <c r="O1488" i="6"/>
  <c r="R1488" i="6" s="1"/>
  <c r="S1488" i="6" s="1"/>
  <c r="AB1488" i="6" s="1"/>
  <c r="AC1488" i="6" s="1"/>
  <c r="O1899" i="6"/>
  <c r="R1899" i="6" s="1"/>
  <c r="S1899" i="6" s="1"/>
  <c r="AB1899" i="6" s="1"/>
  <c r="AC1899" i="6" s="1"/>
  <c r="O2128" i="6"/>
  <c r="R2128" i="6" s="1"/>
  <c r="S2128" i="6" s="1"/>
  <c r="AB2128" i="6" s="1"/>
  <c r="AC2128" i="6" s="1"/>
  <c r="O1716" i="6"/>
  <c r="R1716" i="6" s="1"/>
  <c r="S1716" i="6" s="1"/>
  <c r="AB1716" i="6" s="1"/>
  <c r="AC1716" i="6" s="1"/>
  <c r="O1307" i="6"/>
  <c r="O1495" i="6"/>
  <c r="R1495" i="6" s="1"/>
  <c r="S1495" i="6" s="1"/>
  <c r="AB1495" i="6" s="1"/>
  <c r="AC1495" i="6" s="1"/>
  <c r="O1650" i="6"/>
  <c r="O1867" i="6"/>
  <c r="R1867" i="6" s="1"/>
  <c r="S1867" i="6" s="1"/>
  <c r="AB1867" i="6" s="1"/>
  <c r="AC1867" i="6" s="1"/>
  <c r="O766" i="6"/>
  <c r="R766" i="6" s="1"/>
  <c r="S766" i="6" s="1"/>
  <c r="AB766" i="6" s="1"/>
  <c r="AC766" i="6" s="1"/>
  <c r="O1528" i="6"/>
  <c r="R1528" i="6" s="1"/>
  <c r="S1528" i="6" s="1"/>
  <c r="AB1528" i="6" s="1"/>
  <c r="AC1528" i="6" s="1"/>
  <c r="O1770" i="6"/>
  <c r="R1770" i="6" s="1"/>
  <c r="S1770" i="6" s="1"/>
  <c r="AB1770" i="6" s="1"/>
  <c r="AC1770" i="6" s="1"/>
  <c r="O2318" i="6"/>
  <c r="R2318" i="6" s="1"/>
  <c r="S2318" i="6" s="1"/>
  <c r="AB2318" i="6" s="1"/>
  <c r="AC2318" i="6" s="1"/>
  <c r="O2308" i="6"/>
  <c r="R2308" i="6" s="1"/>
  <c r="S2308" i="6" s="1"/>
  <c r="AB2308" i="6" s="1"/>
  <c r="AC2308" i="6" s="1"/>
  <c r="O224" i="6"/>
  <c r="R224" i="6" s="1"/>
  <c r="S224" i="6" s="1"/>
  <c r="AB224" i="6" s="1"/>
  <c r="AC224" i="6" s="1"/>
  <c r="O832" i="6"/>
  <c r="R832" i="6" s="1"/>
  <c r="S832" i="6" s="1"/>
  <c r="AB832" i="6" s="1"/>
  <c r="AC832" i="6" s="1"/>
  <c r="O1532" i="6"/>
  <c r="R1532" i="6" s="1"/>
  <c r="S1532" i="6" s="1"/>
  <c r="AB1532" i="6" s="1"/>
  <c r="AC1532" i="6" s="1"/>
  <c r="O406" i="6"/>
  <c r="R406" i="6" s="1"/>
  <c r="S406" i="6" s="1"/>
  <c r="AB406" i="6" s="1"/>
  <c r="AC406" i="6" s="1"/>
  <c r="O430" i="6"/>
  <c r="R430" i="6" s="1"/>
  <c r="S430" i="6" s="1"/>
  <c r="AB430" i="6" s="1"/>
  <c r="AC430" i="6" s="1"/>
  <c r="O2042" i="6"/>
  <c r="O1597" i="6"/>
  <c r="R1597" i="6" s="1"/>
  <c r="S1597" i="6" s="1"/>
  <c r="AB1597" i="6" s="1"/>
  <c r="AC1597" i="6" s="1"/>
  <c r="O463" i="6"/>
  <c r="R463" i="6" s="1"/>
  <c r="S463" i="6" s="1"/>
  <c r="AB463" i="6" s="1"/>
  <c r="AC463" i="6" s="1"/>
  <c r="O244" i="6"/>
  <c r="R244" i="6" s="1"/>
  <c r="S244" i="6" s="1"/>
  <c r="AB244" i="6" s="1"/>
  <c r="AC244" i="6" s="1"/>
  <c r="O2001" i="6"/>
  <c r="R2001" i="6" s="1"/>
  <c r="S2001" i="6" s="1"/>
  <c r="AB2001" i="6" s="1"/>
  <c r="AC2001" i="6" s="1"/>
  <c r="O1461" i="6"/>
  <c r="R1461" i="6" s="1"/>
  <c r="S1461" i="6" s="1"/>
  <c r="AB1461" i="6" s="1"/>
  <c r="AC1461" i="6" s="1"/>
  <c r="O1755" i="6"/>
  <c r="R1755" i="6" s="1"/>
  <c r="S1755" i="6" s="1"/>
  <c r="AB1755" i="6" s="1"/>
  <c r="AC1755" i="6" s="1"/>
  <c r="O2152" i="6"/>
  <c r="O2084" i="6"/>
  <c r="O2300" i="6"/>
  <c r="R2300" i="6" s="1"/>
  <c r="S2300" i="6" s="1"/>
  <c r="AB2300" i="6" s="1"/>
  <c r="AC2300" i="6" s="1"/>
  <c r="O189" i="6"/>
  <c r="R189" i="6" s="1"/>
  <c r="S189" i="6" s="1"/>
  <c r="AB189" i="6" s="1"/>
  <c r="AC189" i="6" s="1"/>
  <c r="O676" i="6"/>
  <c r="R676" i="6" s="1"/>
  <c r="S676" i="6" s="1"/>
  <c r="AB676" i="6" s="1"/>
  <c r="AC676" i="6" s="1"/>
  <c r="O2077" i="6"/>
  <c r="R2077" i="6" s="1"/>
  <c r="S2077" i="6" s="1"/>
  <c r="AB2077" i="6" s="1"/>
  <c r="AC2077" i="6" s="1"/>
  <c r="O2252" i="6"/>
  <c r="R2252" i="6" s="1"/>
  <c r="S2252" i="6" s="1"/>
  <c r="AB2252" i="6" s="1"/>
  <c r="AC2252" i="6" s="1"/>
  <c r="O713" i="6"/>
  <c r="R713" i="6" s="1"/>
  <c r="S713" i="6" s="1"/>
  <c r="AB713" i="6" s="1"/>
  <c r="AC713" i="6" s="1"/>
  <c r="O2337" i="6"/>
  <c r="R2337" i="6" s="1"/>
  <c r="S2337" i="6" s="1"/>
  <c r="AB2337" i="6" s="1"/>
  <c r="AC2337" i="6" s="1"/>
  <c r="O2069" i="6"/>
  <c r="O1455" i="6"/>
  <c r="R1455" i="6" s="1"/>
  <c r="S1455" i="6" s="1"/>
  <c r="AB1455" i="6" s="1"/>
  <c r="AC1455" i="6" s="1"/>
  <c r="O1818" i="6"/>
  <c r="O687" i="6"/>
  <c r="O2135" i="6"/>
  <c r="R2135" i="6" s="1"/>
  <c r="S2135" i="6" s="1"/>
  <c r="AB2135" i="6" s="1"/>
  <c r="AC2135" i="6" s="1"/>
  <c r="O1570" i="6"/>
  <c r="R1570" i="6" s="1"/>
  <c r="S1570" i="6" s="1"/>
  <c r="AB1570" i="6" s="1"/>
  <c r="AC1570" i="6" s="1"/>
  <c r="O711" i="6"/>
  <c r="R711" i="6" s="1"/>
  <c r="S711" i="6" s="1"/>
  <c r="AB711" i="6" s="1"/>
  <c r="AC711" i="6" s="1"/>
  <c r="O668" i="6"/>
  <c r="R668" i="6" s="1"/>
  <c r="S668" i="6" s="1"/>
  <c r="AB668" i="6" s="1"/>
  <c r="AC668" i="6" s="1"/>
  <c r="O2023" i="6"/>
  <c r="R2023" i="6" s="1"/>
  <c r="S2023" i="6" s="1"/>
  <c r="AB2023" i="6" s="1"/>
  <c r="AC2023" i="6" s="1"/>
  <c r="O1215" i="6"/>
  <c r="R1215" i="6" s="1"/>
  <c r="S1215" i="6" s="1"/>
  <c r="AB1215" i="6" s="1"/>
  <c r="AC1215" i="6" s="1"/>
  <c r="O2002" i="6"/>
  <c r="R2002" i="6" s="1"/>
  <c r="S2002" i="6" s="1"/>
  <c r="AB2002" i="6" s="1"/>
  <c r="AC2002" i="6" s="1"/>
  <c r="O653" i="6"/>
  <c r="R653" i="6" s="1"/>
  <c r="S653" i="6" s="1"/>
  <c r="AB653" i="6" s="1"/>
  <c r="AC653" i="6" s="1"/>
  <c r="O1017" i="6"/>
  <c r="R1017" i="6" s="1"/>
  <c r="S1017" i="6" s="1"/>
  <c r="AB1017" i="6" s="1"/>
  <c r="AC1017" i="6" s="1"/>
  <c r="O63" i="6"/>
  <c r="R63" i="6" s="1"/>
  <c r="S63" i="6" s="1"/>
  <c r="AB63" i="6" s="1"/>
  <c r="AC63" i="6" s="1"/>
  <c r="O1645" i="6"/>
  <c r="R1645" i="6" s="1"/>
  <c r="S1645" i="6" s="1"/>
  <c r="AB1645" i="6" s="1"/>
  <c r="AC1645" i="6" s="1"/>
  <c r="O1395" i="6"/>
  <c r="R1395" i="6" s="1"/>
  <c r="S1395" i="6" s="1"/>
  <c r="AB1395" i="6" s="1"/>
  <c r="AC1395" i="6" s="1"/>
  <c r="O1363" i="6"/>
  <c r="R1363" i="6" s="1"/>
  <c r="S1363" i="6" s="1"/>
  <c r="AB1363" i="6" s="1"/>
  <c r="AC1363" i="6" s="1"/>
  <c r="O1989" i="6"/>
  <c r="R1989" i="6" s="1"/>
  <c r="S1989" i="6" s="1"/>
  <c r="AB1989" i="6" s="1"/>
  <c r="AC1989" i="6" s="1"/>
  <c r="O854" i="6"/>
  <c r="R854" i="6" s="1"/>
  <c r="S854" i="6" s="1"/>
  <c r="AB854" i="6" s="1"/>
  <c r="AC854" i="6" s="1"/>
  <c r="O667" i="6"/>
  <c r="O1489" i="6"/>
  <c r="R1489" i="6" s="1"/>
  <c r="S1489" i="6" s="1"/>
  <c r="AB1489" i="6" s="1"/>
  <c r="AC1489" i="6" s="1"/>
  <c r="O1557" i="6"/>
  <c r="R1557" i="6" s="1"/>
  <c r="S1557" i="6" s="1"/>
  <c r="AB1557" i="6" s="1"/>
  <c r="AC1557" i="6" s="1"/>
  <c r="O1052" i="6"/>
  <c r="R1052" i="6" s="1"/>
  <c r="S1052" i="6" s="1"/>
  <c r="AB1052" i="6" s="1"/>
  <c r="AC1052" i="6" s="1"/>
  <c r="O510" i="6"/>
  <c r="R510" i="6" s="1"/>
  <c r="S510" i="6" s="1"/>
  <c r="AB510" i="6" s="1"/>
  <c r="AC510" i="6" s="1"/>
  <c r="O2038" i="6"/>
  <c r="R2038" i="6" s="1"/>
  <c r="S2038" i="6" s="1"/>
  <c r="AB2038" i="6" s="1"/>
  <c r="AC2038" i="6" s="1"/>
  <c r="O607" i="6"/>
  <c r="R607" i="6" s="1"/>
  <c r="S607" i="6" s="1"/>
  <c r="AB607" i="6" s="1"/>
  <c r="AC607" i="6" s="1"/>
  <c r="O2085" i="6"/>
  <c r="R2085" i="6" s="1"/>
  <c r="S2085" i="6" s="1"/>
  <c r="AB2085" i="6" s="1"/>
  <c r="AC2085" i="6" s="1"/>
  <c r="O480" i="6"/>
  <c r="R480" i="6" s="1"/>
  <c r="S480" i="6" s="1"/>
  <c r="AB480" i="6" s="1"/>
  <c r="AC480" i="6" s="1"/>
  <c r="O62" i="6"/>
  <c r="R62" i="6" s="1"/>
  <c r="S62" i="6" s="1"/>
  <c r="AB62" i="6" s="1"/>
  <c r="AC62" i="6" s="1"/>
  <c r="O1839" i="6"/>
  <c r="R1839" i="6" s="1"/>
  <c r="S1839" i="6" s="1"/>
  <c r="AB1839" i="6" s="1"/>
  <c r="AC1839" i="6" s="1"/>
  <c r="O739" i="6"/>
  <c r="R739" i="6" s="1"/>
  <c r="S739" i="6" s="1"/>
  <c r="AB739" i="6" s="1"/>
  <c r="AC739" i="6" s="1"/>
  <c r="O443" i="6"/>
  <c r="R443" i="6" s="1"/>
  <c r="S443" i="6" s="1"/>
  <c r="AB443" i="6" s="1"/>
  <c r="AC443" i="6" s="1"/>
  <c r="O2179" i="6"/>
  <c r="R2179" i="6" s="1"/>
  <c r="S2179" i="6" s="1"/>
  <c r="AB2179" i="6" s="1"/>
  <c r="AC2179" i="6" s="1"/>
  <c r="O619" i="6"/>
  <c r="R619" i="6" s="1"/>
  <c r="S619" i="6" s="1"/>
  <c r="AB619" i="6" s="1"/>
  <c r="AC619" i="6" s="1"/>
  <c r="O1680" i="6"/>
  <c r="R1680" i="6" s="1"/>
  <c r="S1680" i="6" s="1"/>
  <c r="AB1680" i="6" s="1"/>
  <c r="AC1680" i="6" s="1"/>
  <c r="O218" i="6"/>
  <c r="O1498" i="6"/>
  <c r="R1498" i="6" s="1"/>
  <c r="S1498" i="6" s="1"/>
  <c r="AB1498" i="6" s="1"/>
  <c r="AC1498" i="6" s="1"/>
  <c r="O690" i="6"/>
  <c r="R690" i="6" s="1"/>
  <c r="S690" i="6" s="1"/>
  <c r="AB690" i="6" s="1"/>
  <c r="AC690" i="6" s="1"/>
  <c r="O1949" i="6"/>
  <c r="R1949" i="6" s="1"/>
  <c r="S1949" i="6" s="1"/>
  <c r="AB1949" i="6" s="1"/>
  <c r="AC1949" i="6" s="1"/>
  <c r="O2275" i="6"/>
  <c r="R2275" i="6" s="1"/>
  <c r="S2275" i="6" s="1"/>
  <c r="AB2275" i="6" s="1"/>
  <c r="AC2275" i="6" s="1"/>
  <c r="O1183" i="6"/>
  <c r="R1183" i="6" s="1"/>
  <c r="S1183" i="6" s="1"/>
  <c r="AB1183" i="6" s="1"/>
  <c r="AC1183" i="6" s="1"/>
  <c r="O2067" i="6"/>
  <c r="O2114" i="6"/>
  <c r="R2114" i="6" s="1"/>
  <c r="S2114" i="6" s="1"/>
  <c r="AB2114" i="6" s="1"/>
  <c r="AC2114" i="6" s="1"/>
  <c r="O752" i="6"/>
  <c r="R752" i="6" s="1"/>
  <c r="S752" i="6" s="1"/>
  <c r="AB752" i="6" s="1"/>
  <c r="AC752" i="6" s="1"/>
  <c r="O651" i="6"/>
  <c r="R651" i="6" s="1"/>
  <c r="S651" i="6" s="1"/>
  <c r="AB651" i="6" s="1"/>
  <c r="AC651" i="6" s="1"/>
  <c r="O2057" i="6"/>
  <c r="R2057" i="6" s="1"/>
  <c r="S2057" i="6" s="1"/>
  <c r="AB2057" i="6" s="1"/>
  <c r="AC2057" i="6" s="1"/>
  <c r="O825" i="6"/>
  <c r="R825" i="6" s="1"/>
  <c r="S825" i="6" s="1"/>
  <c r="AB825" i="6" s="1"/>
  <c r="AC825" i="6" s="1"/>
  <c r="O1066" i="6"/>
  <c r="R1066" i="6" s="1"/>
  <c r="S1066" i="6" s="1"/>
  <c r="AB1066" i="6" s="1"/>
  <c r="AC1066" i="6" s="1"/>
  <c r="O2109" i="6"/>
  <c r="R2109" i="6" s="1"/>
  <c r="S2109" i="6" s="1"/>
  <c r="AB2109" i="6" s="1"/>
  <c r="AC2109" i="6" s="1"/>
  <c r="O520" i="6"/>
  <c r="R520" i="6" s="1"/>
  <c r="S520" i="6" s="1"/>
  <c r="AB520" i="6" s="1"/>
  <c r="AC520" i="6" s="1"/>
  <c r="O435" i="6"/>
  <c r="O865" i="6"/>
  <c r="O1382" i="6"/>
  <c r="R1382" i="6" s="1"/>
  <c r="S1382" i="6" s="1"/>
  <c r="AB1382" i="6" s="1"/>
  <c r="AC1382" i="6" s="1"/>
  <c r="O1348" i="6"/>
  <c r="R1348" i="6" s="1"/>
  <c r="S1348" i="6" s="1"/>
  <c r="AB1348" i="6" s="1"/>
  <c r="AC1348" i="6" s="1"/>
  <c r="O2364" i="6"/>
  <c r="R2364" i="6" s="1"/>
  <c r="O539" i="6"/>
  <c r="O1414" i="6"/>
  <c r="R1414" i="6" s="1"/>
  <c r="S1414" i="6" s="1"/>
  <c r="AB1414" i="6" s="1"/>
  <c r="AC1414" i="6" s="1"/>
  <c r="O1743" i="6"/>
  <c r="O1909" i="6"/>
  <c r="R1909" i="6" s="1"/>
  <c r="S1909" i="6" s="1"/>
  <c r="AB1909" i="6" s="1"/>
  <c r="AC1909" i="6" s="1"/>
  <c r="O1779" i="6"/>
  <c r="R1779" i="6" s="1"/>
  <c r="S1779" i="6" s="1"/>
  <c r="AB1779" i="6" s="1"/>
  <c r="AC1779" i="6" s="1"/>
  <c r="O312" i="6"/>
  <c r="R312" i="6" s="1"/>
  <c r="S312" i="6" s="1"/>
  <c r="AB312" i="6" s="1"/>
  <c r="AC312" i="6" s="1"/>
  <c r="O2244" i="6"/>
  <c r="R2244" i="6" s="1"/>
  <c r="S2244" i="6" s="1"/>
  <c r="AB2244" i="6" s="1"/>
  <c r="AC2244" i="6" s="1"/>
  <c r="O1259" i="6"/>
  <c r="R1259" i="6" s="1"/>
  <c r="S1259" i="6" s="1"/>
  <c r="AB1259" i="6" s="1"/>
  <c r="AC1259" i="6" s="1"/>
  <c r="O250" i="6"/>
  <c r="R250" i="6" s="1"/>
  <c r="S250" i="6" s="1"/>
  <c r="AB250" i="6" s="1"/>
  <c r="AC250" i="6" s="1"/>
  <c r="O1826" i="6"/>
  <c r="R1826" i="6" s="1"/>
  <c r="S1826" i="6" s="1"/>
  <c r="AB1826" i="6" s="1"/>
  <c r="AC1826" i="6" s="1"/>
  <c r="O1615" i="6"/>
  <c r="O352" i="6"/>
  <c r="O1194" i="6"/>
  <c r="O1890" i="6"/>
  <c r="R1890" i="6" s="1"/>
  <c r="S1890" i="6" s="1"/>
  <c r="AB1890" i="6" s="1"/>
  <c r="AC1890" i="6" s="1"/>
  <c r="O1111" i="6"/>
  <c r="R1111" i="6" s="1"/>
  <c r="S1111" i="6" s="1"/>
  <c r="AB1111" i="6" s="1"/>
  <c r="AC1111" i="6" s="1"/>
  <c r="O1399" i="6"/>
  <c r="R1399" i="6" s="1"/>
  <c r="S1399" i="6" s="1"/>
  <c r="AB1399" i="6" s="1"/>
  <c r="AC1399" i="6" s="1"/>
  <c r="O46" i="6"/>
  <c r="O1621" i="6"/>
  <c r="R1621" i="6" s="1"/>
  <c r="S1621" i="6" s="1"/>
  <c r="AB1621" i="6" s="1"/>
  <c r="AC1621" i="6" s="1"/>
  <c r="O2203" i="6"/>
  <c r="R2203" i="6" s="1"/>
  <c r="O578" i="6"/>
  <c r="R578" i="6" s="1"/>
  <c r="S578" i="6" s="1"/>
  <c r="AB578" i="6" s="1"/>
  <c r="AC578" i="6" s="1"/>
  <c r="O195" i="6"/>
  <c r="R195" i="6" s="1"/>
  <c r="S195" i="6" s="1"/>
  <c r="AB195" i="6" s="1"/>
  <c r="AC195" i="6" s="1"/>
  <c r="O331" i="6"/>
  <c r="R331" i="6" s="1"/>
  <c r="S331" i="6" s="1"/>
  <c r="AB331" i="6" s="1"/>
  <c r="AC331" i="6" s="1"/>
  <c r="O14" i="6"/>
  <c r="R14" i="6" s="1"/>
  <c r="S14" i="6" s="1"/>
  <c r="AB14" i="6" s="1"/>
  <c r="AC14" i="6" s="1"/>
  <c r="O1857" i="6"/>
  <c r="R1857" i="6" s="1"/>
  <c r="S1857" i="6" s="1"/>
  <c r="AB1857" i="6" s="1"/>
  <c r="AC1857" i="6" s="1"/>
  <c r="O100" i="6"/>
  <c r="R100" i="6" s="1"/>
  <c r="S100" i="6" s="1"/>
  <c r="AB100" i="6" s="1"/>
  <c r="AC100" i="6" s="1"/>
  <c r="O270" i="6"/>
  <c r="R270" i="6" s="1"/>
  <c r="S270" i="6" s="1"/>
  <c r="AB270" i="6" s="1"/>
  <c r="AC270" i="6" s="1"/>
  <c r="O537" i="6"/>
  <c r="R537" i="6" s="1"/>
  <c r="S537" i="6" s="1"/>
  <c r="AB537" i="6" s="1"/>
  <c r="AC537" i="6" s="1"/>
  <c r="O1668" i="6"/>
  <c r="O831" i="6"/>
  <c r="O262" i="6"/>
  <c r="R262" i="6" s="1"/>
  <c r="S262" i="6" s="1"/>
  <c r="AB262" i="6" s="1"/>
  <c r="AC262" i="6" s="1"/>
  <c r="O727" i="6"/>
  <c r="R727" i="6" s="1"/>
  <c r="S727" i="6" s="1"/>
  <c r="AB727" i="6" s="1"/>
  <c r="AC727" i="6" s="1"/>
  <c r="O1669" i="6"/>
  <c r="R1669" i="6" s="1"/>
  <c r="S1669" i="6" s="1"/>
  <c r="AB1669" i="6" s="1"/>
  <c r="AC1669" i="6" s="1"/>
  <c r="O1672" i="6"/>
  <c r="O105" i="6"/>
  <c r="R105" i="6" s="1"/>
  <c r="S105" i="6" s="1"/>
  <c r="AB105" i="6" s="1"/>
  <c r="AC105" i="6" s="1"/>
  <c r="O1975" i="6"/>
  <c r="R1975" i="6" s="1"/>
  <c r="S1975" i="6" s="1"/>
  <c r="AB1975" i="6" s="1"/>
  <c r="AC1975" i="6" s="1"/>
  <c r="O813" i="6"/>
  <c r="R813" i="6" s="1"/>
  <c r="S813" i="6" s="1"/>
  <c r="AB813" i="6" s="1"/>
  <c r="AC813" i="6" s="1"/>
  <c r="O327" i="6"/>
  <c r="R327" i="6" s="1"/>
  <c r="S327" i="6" s="1"/>
  <c r="AB327" i="6" s="1"/>
  <c r="AC327" i="6" s="1"/>
  <c r="O1848" i="6"/>
  <c r="R1848" i="6" s="1"/>
  <c r="S1848" i="6" s="1"/>
  <c r="AB1848" i="6" s="1"/>
  <c r="AC1848" i="6" s="1"/>
  <c r="O171" i="6"/>
  <c r="R171" i="6" s="1"/>
  <c r="S171" i="6" s="1"/>
  <c r="AB171" i="6" s="1"/>
  <c r="AC171" i="6" s="1"/>
  <c r="O1304" i="6"/>
  <c r="R1304" i="6" s="1"/>
  <c r="S1304" i="6" s="1"/>
  <c r="AB1304" i="6" s="1"/>
  <c r="AC1304" i="6" s="1"/>
  <c r="O289" i="6"/>
  <c r="R289" i="6" s="1"/>
  <c r="S289" i="6" s="1"/>
  <c r="AB289" i="6" s="1"/>
  <c r="AC289" i="6" s="1"/>
  <c r="O482" i="6"/>
  <c r="R482" i="6" s="1"/>
  <c r="S482" i="6" s="1"/>
  <c r="AB482" i="6" s="1"/>
  <c r="AC482" i="6" s="1"/>
  <c r="O279" i="6"/>
  <c r="R279" i="6" s="1"/>
  <c r="S279" i="6" s="1"/>
  <c r="AB279" i="6" s="1"/>
  <c r="AC279" i="6" s="1"/>
  <c r="O286" i="6"/>
  <c r="O1426" i="6"/>
  <c r="O1849" i="6"/>
  <c r="R1849" i="6" s="1"/>
  <c r="S1849" i="6" s="1"/>
  <c r="AB1849" i="6" s="1"/>
  <c r="AC1849" i="6" s="1"/>
  <c r="O1984" i="6"/>
  <c r="R1984" i="6" s="1"/>
  <c r="S1984" i="6" s="1"/>
  <c r="AB1984" i="6" s="1"/>
  <c r="AC1984" i="6" s="1"/>
  <c r="O833" i="6"/>
  <c r="R833" i="6" s="1"/>
  <c r="S833" i="6" s="1"/>
  <c r="AB833" i="6" s="1"/>
  <c r="AC833" i="6" s="1"/>
  <c r="O1264" i="6"/>
  <c r="O1633" i="6"/>
  <c r="R1633" i="6" s="1"/>
  <c r="S1633" i="6" s="1"/>
  <c r="AB1633" i="6" s="1"/>
  <c r="AC1633" i="6" s="1"/>
  <c r="O877" i="6"/>
  <c r="O247" i="6"/>
  <c r="R247" i="6" s="1"/>
  <c r="S247" i="6" s="1"/>
  <c r="AB247" i="6" s="1"/>
  <c r="AC247" i="6" s="1"/>
  <c r="O497" i="6"/>
  <c r="R497" i="6" s="1"/>
  <c r="S497" i="6" s="1"/>
  <c r="AB497" i="6" s="1"/>
  <c r="AC497" i="6" s="1"/>
  <c r="O999" i="6"/>
  <c r="R999" i="6" s="1"/>
  <c r="S999" i="6" s="1"/>
  <c r="AB999" i="6" s="1"/>
  <c r="AC999" i="6" s="1"/>
  <c r="O345" i="6"/>
  <c r="R345" i="6" s="1"/>
  <c r="S345" i="6" s="1"/>
  <c r="AB345" i="6" s="1"/>
  <c r="AC345" i="6" s="1"/>
  <c r="O426" i="6"/>
  <c r="R426" i="6" s="1"/>
  <c r="S426" i="6" s="1"/>
  <c r="AB426" i="6" s="1"/>
  <c r="AC426" i="6" s="1"/>
  <c r="O1470" i="6"/>
  <c r="R1470" i="6" s="1"/>
  <c r="S1470" i="6" s="1"/>
  <c r="AB1470" i="6" s="1"/>
  <c r="AC1470" i="6" s="1"/>
  <c r="O871" i="6"/>
  <c r="R871" i="6" s="1"/>
  <c r="S871" i="6" s="1"/>
  <c r="AB871" i="6" s="1"/>
  <c r="AC871" i="6" s="1"/>
  <c r="O557" i="6"/>
  <c r="R557" i="6" s="1"/>
  <c r="S557" i="6" s="1"/>
  <c r="AB557" i="6" s="1"/>
  <c r="AC557" i="6" s="1"/>
  <c r="O1462" i="6"/>
  <c r="O498" i="6"/>
  <c r="O570" i="6"/>
  <c r="R570" i="6" s="1"/>
  <c r="S570" i="6" s="1"/>
  <c r="AB570" i="6" s="1"/>
  <c r="AC570" i="6" s="1"/>
  <c r="O1314" i="6"/>
  <c r="R1314" i="6" s="1"/>
  <c r="S1314" i="6" s="1"/>
  <c r="AB1314" i="6" s="1"/>
  <c r="AC1314" i="6" s="1"/>
  <c r="O1527" i="6"/>
  <c r="R1527" i="6" s="1"/>
  <c r="S1527" i="6" s="1"/>
  <c r="AB1527" i="6" s="1"/>
  <c r="AC1527" i="6" s="1"/>
  <c r="O1926" i="6"/>
  <c r="O724" i="6"/>
  <c r="R724" i="6" s="1"/>
  <c r="S724" i="6" s="1"/>
  <c r="AB724" i="6" s="1"/>
  <c r="AC724" i="6" s="1"/>
  <c r="O1106" i="6"/>
  <c r="R1106" i="6" s="1"/>
  <c r="S1106" i="6" s="1"/>
  <c r="AB1106" i="6" s="1"/>
  <c r="AC1106" i="6" s="1"/>
  <c r="O1868" i="6"/>
  <c r="R1868" i="6" s="1"/>
  <c r="S1868" i="6" s="1"/>
  <c r="AB1868" i="6" s="1"/>
  <c r="AC1868" i="6" s="1"/>
  <c r="O1843" i="6"/>
  <c r="R1843" i="6" s="1"/>
  <c r="S1843" i="6" s="1"/>
  <c r="AB1843" i="6" s="1"/>
  <c r="AC1843" i="6" s="1"/>
  <c r="O2270" i="6"/>
  <c r="R2270" i="6" s="1"/>
  <c r="S2270" i="6" s="1"/>
  <c r="AB2270" i="6" s="1"/>
  <c r="AC2270" i="6" s="1"/>
  <c r="O236" i="6"/>
  <c r="R236" i="6" s="1"/>
  <c r="S236" i="6" s="1"/>
  <c r="AB236" i="6" s="1"/>
  <c r="AC236" i="6" s="1"/>
  <c r="O1040" i="6"/>
  <c r="R1040" i="6" s="1"/>
  <c r="S1040" i="6" s="1"/>
  <c r="AB1040" i="6" s="1"/>
  <c r="AC1040" i="6" s="1"/>
  <c r="O1709" i="6"/>
  <c r="R1709" i="6" s="1"/>
  <c r="S1709" i="6" s="1"/>
  <c r="AB1709" i="6" s="1"/>
  <c r="AC1709" i="6" s="1"/>
  <c r="O637" i="6"/>
  <c r="R637" i="6" s="1"/>
  <c r="S637" i="6" s="1"/>
  <c r="AB637" i="6" s="1"/>
  <c r="AC637" i="6" s="1"/>
  <c r="O1876" i="6"/>
  <c r="O1318" i="6"/>
  <c r="O1866" i="6"/>
  <c r="O922" i="6"/>
  <c r="R922" i="6" s="1"/>
  <c r="S922" i="6" s="1"/>
  <c r="AB922" i="6" s="1"/>
  <c r="AC922" i="6" s="1"/>
  <c r="O477" i="6"/>
  <c r="R477" i="6" s="1"/>
  <c r="S477" i="6" s="1"/>
  <c r="AB477" i="6" s="1"/>
  <c r="AC477" i="6" s="1"/>
  <c r="O1196" i="6"/>
  <c r="R1196" i="6" s="1"/>
  <c r="S1196" i="6" s="1"/>
  <c r="AB1196" i="6" s="1"/>
  <c r="AC1196" i="6" s="1"/>
  <c r="O283" i="6"/>
  <c r="O297" i="6"/>
  <c r="R297" i="6" s="1"/>
  <c r="S297" i="6" s="1"/>
  <c r="AB297" i="6" s="1"/>
  <c r="AC297" i="6" s="1"/>
  <c r="O546" i="6"/>
  <c r="R546" i="6" s="1"/>
  <c r="S546" i="6" s="1"/>
  <c r="AB546" i="6" s="1"/>
  <c r="AC546" i="6" s="1"/>
  <c r="O434" i="6"/>
  <c r="R434" i="6" s="1"/>
  <c r="S434" i="6" s="1"/>
  <c r="AB434" i="6" s="1"/>
  <c r="AC434" i="6" s="1"/>
  <c r="O778" i="6"/>
  <c r="R778" i="6" s="1"/>
  <c r="S778" i="6" s="1"/>
  <c r="AB778" i="6" s="1"/>
  <c r="AC778" i="6" s="1"/>
  <c r="O1442" i="6"/>
  <c r="R1442" i="6" s="1"/>
  <c r="S1442" i="6" s="1"/>
  <c r="AB1442" i="6" s="1"/>
  <c r="AC1442" i="6" s="1"/>
  <c r="O2281" i="6"/>
  <c r="R2281" i="6" s="1"/>
  <c r="S2281" i="6" s="1"/>
  <c r="AB2281" i="6" s="1"/>
  <c r="AC2281" i="6" s="1"/>
  <c r="O585" i="6"/>
  <c r="R585" i="6" s="1"/>
  <c r="S585" i="6" s="1"/>
  <c r="AB585" i="6" s="1"/>
  <c r="AC585" i="6" s="1"/>
  <c r="O1608" i="6"/>
  <c r="O1162" i="6"/>
  <c r="R1162" i="6" s="1"/>
  <c r="S1162" i="6" s="1"/>
  <c r="AB1162" i="6" s="1"/>
  <c r="AC1162" i="6" s="1"/>
  <c r="O1500" i="6"/>
  <c r="R1500" i="6" s="1"/>
  <c r="S1500" i="6" s="1"/>
  <c r="AB1500" i="6" s="1"/>
  <c r="AC1500" i="6" s="1"/>
  <c r="O2267" i="6"/>
  <c r="R2267" i="6" s="1"/>
  <c r="S2267" i="6" s="1"/>
  <c r="AB2267" i="6" s="1"/>
  <c r="AC2267" i="6" s="1"/>
  <c r="O1661" i="6"/>
  <c r="O1940" i="6"/>
  <c r="R1940" i="6" s="1"/>
  <c r="S1940" i="6" s="1"/>
  <c r="AB1940" i="6" s="1"/>
  <c r="AC1940" i="6" s="1"/>
  <c r="O734" i="6"/>
  <c r="R734" i="6" s="1"/>
  <c r="S734" i="6" s="1"/>
  <c r="AB734" i="6" s="1"/>
  <c r="AC734" i="6" s="1"/>
  <c r="O1600" i="6"/>
  <c r="R1600" i="6" s="1"/>
  <c r="S1600" i="6" s="1"/>
  <c r="AB1600" i="6" s="1"/>
  <c r="AC1600" i="6" s="1"/>
  <c r="O131" i="6"/>
  <c r="R131" i="6" s="1"/>
  <c r="S131" i="6" s="1"/>
  <c r="AB131" i="6" s="1"/>
  <c r="AC131" i="6" s="1"/>
  <c r="O2353" i="6"/>
  <c r="R2353" i="6" s="1"/>
  <c r="S2353" i="6" s="1"/>
  <c r="AB2353" i="6" s="1"/>
  <c r="AC2353" i="6" s="1"/>
  <c r="O2000" i="6"/>
  <c r="R2000" i="6" s="1"/>
  <c r="S2000" i="6" s="1"/>
  <c r="AB2000" i="6" s="1"/>
  <c r="AC2000" i="6" s="1"/>
  <c r="O1447" i="6"/>
  <c r="R1447" i="6" s="1"/>
  <c r="S1447" i="6" s="1"/>
  <c r="AB1447" i="6" s="1"/>
  <c r="AC1447" i="6" s="1"/>
  <c r="O1904" i="6"/>
  <c r="R1904" i="6" s="1"/>
  <c r="S1904" i="6" s="1"/>
  <c r="AB1904" i="6" s="1"/>
  <c r="AC1904" i="6" s="1"/>
  <c r="O1682" i="6"/>
  <c r="R1682" i="6" s="1"/>
  <c r="S1682" i="6" s="1"/>
  <c r="AB1682" i="6" s="1"/>
  <c r="AC1682" i="6" s="1"/>
  <c r="O1415" i="6"/>
  <c r="R1415" i="6" s="1"/>
  <c r="S1415" i="6" s="1"/>
  <c r="AB1415" i="6" s="1"/>
  <c r="AC1415" i="6" s="1"/>
  <c r="O663" i="6"/>
  <c r="R663" i="6" s="1"/>
  <c r="S663" i="6" s="1"/>
  <c r="AB663" i="6" s="1"/>
  <c r="AC663" i="6" s="1"/>
  <c r="O2287" i="6"/>
  <c r="R2287" i="6" s="1"/>
  <c r="S2287" i="6" s="1"/>
  <c r="AB2287" i="6" s="1"/>
  <c r="AC2287" i="6" s="1"/>
  <c r="O1942" i="6"/>
  <c r="R1942" i="6" s="1"/>
  <c r="S1942" i="6" s="1"/>
  <c r="AB1942" i="6" s="1"/>
  <c r="AC1942" i="6" s="1"/>
  <c r="O1184" i="6"/>
  <c r="R1184" i="6" s="1"/>
  <c r="S1184" i="6" s="1"/>
  <c r="AB1184" i="6" s="1"/>
  <c r="AC1184" i="6" s="1"/>
  <c r="O1008" i="6"/>
  <c r="O321" i="6"/>
  <c r="O1385" i="6"/>
  <c r="R1385" i="6" s="1"/>
  <c r="S1385" i="6" s="1"/>
  <c r="AB1385" i="6" s="1"/>
  <c r="AC1385" i="6" s="1"/>
  <c r="O787" i="6"/>
  <c r="R787" i="6" s="1"/>
  <c r="S787" i="6" s="1"/>
  <c r="AB787" i="6" s="1"/>
  <c r="AC787" i="6" s="1"/>
  <c r="O1586" i="6"/>
  <c r="R1586" i="6" s="1"/>
  <c r="S1586" i="6" s="1"/>
  <c r="AB1586" i="6" s="1"/>
  <c r="AC1586" i="6" s="1"/>
  <c r="O1613" i="6"/>
  <c r="O1349" i="6"/>
  <c r="R1349" i="6" s="1"/>
  <c r="S1349" i="6" s="1"/>
  <c r="AB1349" i="6" s="1"/>
  <c r="AC1349" i="6" s="1"/>
  <c r="O655" i="6"/>
  <c r="R655" i="6" s="1"/>
  <c r="S655" i="6" s="1"/>
  <c r="AB655" i="6" s="1"/>
  <c r="AC655" i="6" s="1"/>
  <c r="O1812" i="6"/>
  <c r="R1812" i="6" s="1"/>
  <c r="S1812" i="6" s="1"/>
  <c r="AB1812" i="6" s="1"/>
  <c r="AC1812" i="6" s="1"/>
  <c r="O1804" i="6"/>
  <c r="R1804" i="6" s="1"/>
  <c r="S1804" i="6" s="1"/>
  <c r="AB1804" i="6" s="1"/>
  <c r="AC1804" i="6" s="1"/>
  <c r="O462" i="6"/>
  <c r="R462" i="6" s="1"/>
  <c r="S462" i="6" s="1"/>
  <c r="AB462" i="6" s="1"/>
  <c r="AC462" i="6" s="1"/>
  <c r="O2272" i="6"/>
  <c r="R2272" i="6" s="1"/>
  <c r="S2272" i="6" s="1"/>
  <c r="AB2272" i="6" s="1"/>
  <c r="AC2272" i="6" s="1"/>
  <c r="O1433" i="6"/>
  <c r="R1433" i="6" s="1"/>
  <c r="S1433" i="6" s="1"/>
  <c r="AB1433" i="6" s="1"/>
  <c r="AC1433" i="6" s="1"/>
  <c r="O1609" i="6"/>
  <c r="R1609" i="6" s="1"/>
  <c r="S1609" i="6" s="1"/>
  <c r="AB1609" i="6" s="1"/>
  <c r="AC1609" i="6" s="1"/>
  <c r="O1562" i="6"/>
  <c r="R1562" i="6" s="1"/>
  <c r="S1562" i="6" s="1"/>
  <c r="AB1562" i="6" s="1"/>
  <c r="AC1562" i="6" s="1"/>
  <c r="O681" i="6"/>
  <c r="R681" i="6" s="1"/>
  <c r="O636" i="6"/>
  <c r="R636" i="6" s="1"/>
  <c r="S636" i="6" s="1"/>
  <c r="AB636" i="6" s="1"/>
  <c r="AC636" i="6" s="1"/>
  <c r="O390" i="6"/>
  <c r="O602" i="6"/>
  <c r="R602" i="6" s="1"/>
  <c r="S602" i="6" s="1"/>
  <c r="AB602" i="6" s="1"/>
  <c r="AC602" i="6" s="1"/>
  <c r="O596" i="6"/>
  <c r="R596" i="6" s="1"/>
  <c r="S596" i="6" s="1"/>
  <c r="AB596" i="6" s="1"/>
  <c r="AC596" i="6" s="1"/>
  <c r="O1246" i="6"/>
  <c r="R1246" i="6" s="1"/>
  <c r="S1246" i="6" s="1"/>
  <c r="AB1246" i="6" s="1"/>
  <c r="AC1246" i="6" s="1"/>
  <c r="O1242" i="6"/>
  <c r="O2262" i="6"/>
  <c r="R2262" i="6" s="1"/>
  <c r="S2262" i="6" s="1"/>
  <c r="AB2262" i="6" s="1"/>
  <c r="AC2262" i="6" s="1"/>
  <c r="O1958" i="6"/>
  <c r="R1958" i="6" s="1"/>
  <c r="S1958" i="6" s="1"/>
  <c r="AB1958" i="6" s="1"/>
  <c r="AC1958" i="6" s="1"/>
  <c r="O2047" i="6"/>
  <c r="R2047" i="6" s="1"/>
  <c r="S2047" i="6" s="1"/>
  <c r="AB2047" i="6" s="1"/>
  <c r="AC2047" i="6" s="1"/>
  <c r="O844" i="6"/>
  <c r="R844" i="6" s="1"/>
  <c r="S844" i="6" s="1"/>
  <c r="AB844" i="6" s="1"/>
  <c r="AC844" i="6" s="1"/>
  <c r="O2117" i="6"/>
  <c r="R2117" i="6" s="1"/>
  <c r="S2117" i="6" s="1"/>
  <c r="AB2117" i="6" s="1"/>
  <c r="AC2117" i="6" s="1"/>
  <c r="O851" i="6"/>
  <c r="R851" i="6" s="1"/>
  <c r="S851" i="6" s="1"/>
  <c r="AB851" i="6" s="1"/>
  <c r="AC851" i="6" s="1"/>
  <c r="O564" i="6"/>
  <c r="R564" i="6" s="1"/>
  <c r="S564" i="6" s="1"/>
  <c r="AB564" i="6" s="1"/>
  <c r="AC564" i="6" s="1"/>
  <c r="O610" i="6"/>
  <c r="R610" i="6" s="1"/>
  <c r="S610" i="6" s="1"/>
  <c r="AB610" i="6" s="1"/>
  <c r="AC610" i="6" s="1"/>
  <c r="O382" i="6"/>
  <c r="R382" i="6" s="1"/>
  <c r="S382" i="6" s="1"/>
  <c r="AB382" i="6" s="1"/>
  <c r="AC382" i="6" s="1"/>
  <c r="O355" i="6"/>
  <c r="R355" i="6" s="1"/>
  <c r="S355" i="6" s="1"/>
  <c r="AB355" i="6" s="1"/>
  <c r="AC355" i="6" s="1"/>
  <c r="O1962" i="6"/>
  <c r="O1243" i="6"/>
  <c r="O1247" i="6"/>
  <c r="R1247" i="6" s="1"/>
  <c r="S1247" i="6" s="1"/>
  <c r="AB1247" i="6" s="1"/>
  <c r="AC1247" i="6" s="1"/>
  <c r="O401" i="6"/>
  <c r="O1044" i="6"/>
  <c r="R1044" i="6" s="1"/>
  <c r="S1044" i="6" s="1"/>
  <c r="AB1044" i="6" s="1"/>
  <c r="AC1044" i="6" s="1"/>
  <c r="O255" i="6"/>
  <c r="O1862" i="6"/>
  <c r="R1862" i="6" s="1"/>
  <c r="S1862" i="6" s="1"/>
  <c r="AB1862" i="6" s="1"/>
  <c r="AC1862" i="6" s="1"/>
  <c r="O492" i="6"/>
  <c r="R492" i="6" s="1"/>
  <c r="S492" i="6" s="1"/>
  <c r="AB492" i="6" s="1"/>
  <c r="AC492" i="6" s="1"/>
  <c r="O1480" i="6"/>
  <c r="R1480" i="6" s="1"/>
  <c r="S1480" i="6" s="1"/>
  <c r="AB1480" i="6" s="1"/>
  <c r="AC1480" i="6" s="1"/>
  <c r="O1073" i="6"/>
  <c r="R1073" i="6" s="1"/>
  <c r="S1073" i="6" s="1"/>
  <c r="AB1073" i="6" s="1"/>
  <c r="AC1073" i="6" s="1"/>
  <c r="O1169" i="6"/>
  <c r="R1169" i="6" s="1"/>
  <c r="S1169" i="6" s="1"/>
  <c r="AB1169" i="6" s="1"/>
  <c r="AC1169" i="6" s="1"/>
  <c r="O48" i="6"/>
  <c r="R48" i="6" s="1"/>
  <c r="S48" i="6" s="1"/>
  <c r="AB48" i="6" s="1"/>
  <c r="AC48" i="6" s="1"/>
  <c r="O1988" i="6"/>
  <c r="R1988" i="6" s="1"/>
  <c r="S1988" i="6" s="1"/>
  <c r="AB1988" i="6" s="1"/>
  <c r="AC1988" i="6" s="1"/>
  <c r="O566" i="6"/>
  <c r="R566" i="6" s="1"/>
  <c r="S566" i="6" s="1"/>
  <c r="AB566" i="6" s="1"/>
  <c r="AC566" i="6" s="1"/>
  <c r="O2154" i="6"/>
  <c r="R2154" i="6" s="1"/>
  <c r="S2154" i="6" s="1"/>
  <c r="AB2154" i="6" s="1"/>
  <c r="AC2154" i="6" s="1"/>
  <c r="O870" i="6"/>
  <c r="R870" i="6" s="1"/>
  <c r="S870" i="6" s="1"/>
  <c r="AB870" i="6" s="1"/>
  <c r="AC870" i="6" s="1"/>
  <c r="O1805" i="6"/>
  <c r="O900" i="6"/>
  <c r="O1401" i="6"/>
  <c r="O1750" i="6"/>
  <c r="R1750" i="6" s="1"/>
  <c r="S1750" i="6" s="1"/>
  <c r="AB1750" i="6" s="1"/>
  <c r="AC1750" i="6" s="1"/>
  <c r="O2335" i="6"/>
  <c r="R2335" i="6" s="1"/>
  <c r="S2335" i="6" s="1"/>
  <c r="AB2335" i="6" s="1"/>
  <c r="AC2335" i="6" s="1"/>
  <c r="O1288" i="6"/>
  <c r="R1288" i="6" s="1"/>
  <c r="S1288" i="6" s="1"/>
  <c r="AB1288" i="6" s="1"/>
  <c r="AC1288" i="6" s="1"/>
  <c r="O1253" i="6"/>
  <c r="R1253" i="6" s="1"/>
  <c r="S1253" i="6" s="1"/>
  <c r="AB1253" i="6" s="1"/>
  <c r="AC1253" i="6" s="1"/>
  <c r="O597" i="6"/>
  <c r="R597" i="6" s="1"/>
  <c r="S597" i="6" s="1"/>
  <c r="AB597" i="6" s="1"/>
  <c r="AC597" i="6" s="1"/>
  <c r="O388" i="6"/>
  <c r="R388" i="6" s="1"/>
  <c r="S388" i="6" s="1"/>
  <c r="AB388" i="6" s="1"/>
  <c r="AC388" i="6" s="1"/>
  <c r="O1637" i="6"/>
  <c r="R1637" i="6" s="1"/>
  <c r="S1637" i="6" s="1"/>
  <c r="AB1637" i="6" s="1"/>
  <c r="AC1637" i="6" s="1"/>
  <c r="O1056" i="6"/>
  <c r="R1056" i="6" s="1"/>
  <c r="S1056" i="6" s="1"/>
  <c r="AB1056" i="6" s="1"/>
  <c r="AC1056" i="6" s="1"/>
  <c r="O122" i="6"/>
  <c r="R122" i="6" s="1"/>
  <c r="S122" i="6" s="1"/>
  <c r="AB122" i="6" s="1"/>
  <c r="AC122" i="6" s="1"/>
  <c r="O1607" i="6"/>
  <c r="R1607" i="6" s="1"/>
  <c r="S1607" i="6" s="1"/>
  <c r="AB1607" i="6" s="1"/>
  <c r="AC1607" i="6" s="1"/>
  <c r="O1091" i="6"/>
  <c r="R1091" i="6" s="1"/>
  <c r="S1091" i="6" s="1"/>
  <c r="AB1091" i="6" s="1"/>
  <c r="AC1091" i="6" s="1"/>
  <c r="O1790" i="6"/>
  <c r="O1133" i="6"/>
  <c r="O2092" i="6"/>
  <c r="O2144" i="6"/>
  <c r="O960" i="6"/>
  <c r="R960" i="6" s="1"/>
  <c r="S960" i="6" s="1"/>
  <c r="AB960" i="6" s="1"/>
  <c r="AC960" i="6" s="1"/>
  <c r="O1306" i="6"/>
  <c r="O2150" i="6"/>
  <c r="R2150" i="6" s="1"/>
  <c r="S2150" i="6" s="1"/>
  <c r="AB2150" i="6" s="1"/>
  <c r="AC2150" i="6" s="1"/>
  <c r="O1920" i="6"/>
  <c r="R1920" i="6" s="1"/>
  <c r="S1920" i="6" s="1"/>
  <c r="AB1920" i="6" s="1"/>
  <c r="AC1920" i="6" s="1"/>
  <c r="O1828" i="6"/>
  <c r="R1828" i="6" s="1"/>
  <c r="S1828" i="6" s="1"/>
  <c r="AB1828" i="6" s="1"/>
  <c r="AC1828" i="6" s="1"/>
  <c r="O2099" i="6"/>
  <c r="R2099" i="6" s="1"/>
  <c r="S2099" i="6" s="1"/>
  <c r="AB2099" i="6" s="1"/>
  <c r="AC2099" i="6" s="1"/>
  <c r="O1971" i="6"/>
  <c r="R1971" i="6" s="1"/>
  <c r="S1971" i="6" s="1"/>
  <c r="AB1971" i="6" s="1"/>
  <c r="AC1971" i="6" s="1"/>
  <c r="O1473" i="6"/>
  <c r="R1473" i="6" s="1"/>
  <c r="S1473" i="6" s="1"/>
  <c r="AB1473" i="6" s="1"/>
  <c r="AC1473" i="6" s="1"/>
  <c r="O1596" i="6"/>
  <c r="R1596" i="6" s="1"/>
  <c r="S1596" i="6" s="1"/>
  <c r="AB1596" i="6" s="1"/>
  <c r="AC1596" i="6" s="1"/>
  <c r="O1460" i="6"/>
  <c r="R1460" i="6" s="1"/>
  <c r="S1460" i="6" s="1"/>
  <c r="AB1460" i="6" s="1"/>
  <c r="AC1460" i="6" s="1"/>
  <c r="O1295" i="6"/>
  <c r="R1295" i="6" s="1"/>
  <c r="S1295" i="6" s="1"/>
  <c r="AB1295" i="6" s="1"/>
  <c r="AC1295" i="6" s="1"/>
  <c r="O1778" i="6"/>
  <c r="R1778" i="6" s="1"/>
  <c r="S1778" i="6" s="1"/>
  <c r="AB1778" i="6" s="1"/>
  <c r="AC1778" i="6" s="1"/>
  <c r="O1099" i="6"/>
  <c r="R1099" i="6" s="1"/>
  <c r="S1099" i="6" s="1"/>
  <c r="AB1099" i="6" s="1"/>
  <c r="AC1099" i="6" s="1"/>
  <c r="O783" i="6"/>
  <c r="O275" i="6"/>
  <c r="O271" i="6"/>
  <c r="O332" i="6"/>
  <c r="R332" i="6" s="1"/>
  <c r="S332" i="6" s="1"/>
  <c r="AB332" i="6" s="1"/>
  <c r="AC332" i="6" s="1"/>
  <c r="O1475" i="6"/>
  <c r="R1475" i="6" s="1"/>
  <c r="S1475" i="6" s="1"/>
  <c r="AB1475" i="6" s="1"/>
  <c r="AC1475" i="6" s="1"/>
  <c r="O1466" i="6"/>
  <c r="R1466" i="6" s="1"/>
  <c r="S1466" i="6" s="1"/>
  <c r="AB1466" i="6" s="1"/>
  <c r="AC1466" i="6" s="1"/>
  <c r="O886" i="6"/>
  <c r="R886" i="6" s="1"/>
  <c r="S886" i="6" s="1"/>
  <c r="AB886" i="6" s="1"/>
  <c r="AC886" i="6" s="1"/>
  <c r="O328" i="6"/>
  <c r="R328" i="6" s="1"/>
  <c r="S328" i="6" s="1"/>
  <c r="AB328" i="6" s="1"/>
  <c r="AC328" i="6" s="1"/>
  <c r="O1539" i="6"/>
  <c r="O1589" i="6"/>
  <c r="R1589" i="6" s="1"/>
  <c r="S1589" i="6" s="1"/>
  <c r="AB1589" i="6" s="1"/>
  <c r="AC1589" i="6" s="1"/>
  <c r="O1398" i="6"/>
  <c r="R1398" i="6" s="1"/>
  <c r="S1398" i="6" s="1"/>
  <c r="AB1398" i="6" s="1"/>
  <c r="AC1398" i="6" s="1"/>
  <c r="O1915" i="6"/>
  <c r="R1915" i="6" s="1"/>
  <c r="S1915" i="6" s="1"/>
  <c r="AB1915" i="6" s="1"/>
  <c r="AC1915" i="6" s="1"/>
  <c r="O613" i="6"/>
  <c r="R613" i="6" s="1"/>
  <c r="S613" i="6" s="1"/>
  <c r="AB613" i="6" s="1"/>
  <c r="AC613" i="6" s="1"/>
  <c r="O675" i="6"/>
  <c r="R675" i="6" s="1"/>
  <c r="S675" i="6" s="1"/>
  <c r="AB675" i="6" s="1"/>
  <c r="AC675" i="6" s="1"/>
  <c r="O1311" i="6"/>
  <c r="R1311" i="6" s="1"/>
  <c r="S1311" i="6" s="1"/>
  <c r="AB1311" i="6" s="1"/>
  <c r="AC1311" i="6" s="1"/>
  <c r="O1030" i="6"/>
  <c r="R1030" i="6" s="1"/>
  <c r="S1030" i="6" s="1"/>
  <c r="AB1030" i="6" s="1"/>
  <c r="AC1030" i="6" s="1"/>
  <c r="O391" i="6"/>
  <c r="R391" i="6" s="1"/>
  <c r="S391" i="6" s="1"/>
  <c r="AB391" i="6" s="1"/>
  <c r="AC391" i="6" s="1"/>
  <c r="O2246" i="6"/>
  <c r="R2246" i="6" s="1"/>
  <c r="S2246" i="6" s="1"/>
  <c r="AB2246" i="6" s="1"/>
  <c r="AC2246" i="6" s="1"/>
  <c r="O1732" i="6"/>
  <c r="O2247" i="6"/>
  <c r="R2247" i="6" s="1"/>
  <c r="S2247" i="6" s="1"/>
  <c r="AB2247" i="6" s="1"/>
  <c r="AC2247" i="6" s="1"/>
  <c r="O1319" i="6"/>
  <c r="R1319" i="6" s="1"/>
  <c r="S1319" i="6" s="1"/>
  <c r="AB1319" i="6" s="1"/>
  <c r="AC1319" i="6" s="1"/>
  <c r="O904" i="6"/>
  <c r="R904" i="6" s="1"/>
  <c r="S904" i="6" s="1"/>
  <c r="AB904" i="6" s="1"/>
  <c r="AC904" i="6" s="1"/>
  <c r="O1677" i="6"/>
  <c r="R1677" i="6" s="1"/>
  <c r="S1677" i="6" s="1"/>
  <c r="AB1677" i="6" s="1"/>
  <c r="AC1677" i="6" s="1"/>
  <c r="O573" i="6"/>
  <c r="R573" i="6" s="1"/>
  <c r="S573" i="6" s="1"/>
  <c r="AB573" i="6" s="1"/>
  <c r="AC573" i="6" s="1"/>
  <c r="O2011" i="6"/>
  <c r="R2011" i="6" s="1"/>
  <c r="S2011" i="6" s="1"/>
  <c r="AB2011" i="6" s="1"/>
  <c r="AC2011" i="6" s="1"/>
  <c r="O143" i="6"/>
  <c r="R143" i="6" s="1"/>
  <c r="S143" i="6" s="1"/>
  <c r="AB143" i="6" s="1"/>
  <c r="AC143" i="6" s="1"/>
  <c r="O2229" i="6"/>
  <c r="R2229" i="6" s="1"/>
  <c r="S2229" i="6" s="1"/>
  <c r="AB2229" i="6" s="1"/>
  <c r="AC2229" i="6" s="1"/>
  <c r="O827" i="6"/>
  <c r="R827" i="6" s="1"/>
  <c r="S827" i="6" s="1"/>
  <c r="AB827" i="6" s="1"/>
  <c r="AC827" i="6" s="1"/>
  <c r="O1293" i="6"/>
  <c r="R1293" i="6" s="1"/>
  <c r="S1293" i="6" s="1"/>
  <c r="AB1293" i="6" s="1"/>
  <c r="AC1293" i="6" s="1"/>
  <c r="O2221" i="6"/>
  <c r="R2221" i="6" s="1"/>
  <c r="O640" i="6"/>
  <c r="R640" i="6" s="1"/>
  <c r="S640" i="6" s="1"/>
  <c r="AB640" i="6" s="1"/>
  <c r="AC640" i="6" s="1"/>
  <c r="O200" i="6"/>
  <c r="R200" i="6" s="1"/>
  <c r="S200" i="6" s="1"/>
  <c r="AB200" i="6" s="1"/>
  <c r="AC200" i="6" s="1"/>
  <c r="O208" i="6"/>
  <c r="R208" i="6" s="1"/>
  <c r="S208" i="6" s="1"/>
  <c r="AB208" i="6" s="1"/>
  <c r="AC208" i="6" s="1"/>
  <c r="O1413" i="6"/>
  <c r="R1413" i="6" s="1"/>
  <c r="S1413" i="6" s="1"/>
  <c r="AB1413" i="6" s="1"/>
  <c r="AC1413" i="6" s="1"/>
  <c r="O1272" i="6"/>
  <c r="O2034" i="6"/>
  <c r="R2034" i="6" s="1"/>
  <c r="S2034" i="6" s="1"/>
  <c r="AB2034" i="6" s="1"/>
  <c r="AC2034" i="6" s="1"/>
  <c r="O1494" i="6"/>
  <c r="O1492" i="6"/>
  <c r="R1492" i="6" s="1"/>
  <c r="S1492" i="6" s="1"/>
  <c r="AB1492" i="6" s="1"/>
  <c r="AC1492" i="6" s="1"/>
  <c r="O823" i="6"/>
  <c r="O897" i="6"/>
  <c r="O1453" i="6"/>
  <c r="R1453" i="6" s="1"/>
  <c r="S1453" i="6" s="1"/>
  <c r="AB1453" i="6" s="1"/>
  <c r="AC1453" i="6" s="1"/>
  <c r="O1346" i="6"/>
  <c r="R1346" i="6" s="1"/>
  <c r="S1346" i="6" s="1"/>
  <c r="AB1346" i="6" s="1"/>
  <c r="AC1346" i="6" s="1"/>
  <c r="O221" i="6"/>
  <c r="R221" i="6" s="1"/>
  <c r="S221" i="6" s="1"/>
  <c r="AB221" i="6" s="1"/>
  <c r="AC221" i="6" s="1"/>
  <c r="O220" i="6"/>
  <c r="R220" i="6" s="1"/>
  <c r="S220" i="6" s="1"/>
  <c r="AB220" i="6" s="1"/>
  <c r="AC220" i="6" s="1"/>
  <c r="O185" i="6"/>
  <c r="R185" i="6" s="1"/>
  <c r="S185" i="6" s="1"/>
  <c r="AB185" i="6" s="1"/>
  <c r="AC185" i="6" s="1"/>
  <c r="O2104" i="6"/>
  <c r="R2104" i="6" s="1"/>
  <c r="S2104" i="6" s="1"/>
  <c r="AB2104" i="6" s="1"/>
  <c r="AC2104" i="6" s="1"/>
  <c r="O2351" i="6"/>
  <c r="R2351" i="6" s="1"/>
  <c r="S2351" i="6" s="1"/>
  <c r="AB2351" i="6" s="1"/>
  <c r="AC2351" i="6" s="1"/>
  <c r="O1372" i="6"/>
  <c r="R1372" i="6" s="1"/>
  <c r="S1372" i="6" s="1"/>
  <c r="AB1372" i="6" s="1"/>
  <c r="AC1372" i="6" s="1"/>
  <c r="O1902" i="6"/>
  <c r="R1902" i="6" s="1"/>
  <c r="S1902" i="6" s="1"/>
  <c r="AB1902" i="6" s="1"/>
  <c r="AC1902" i="6" s="1"/>
  <c r="O1216" i="6"/>
  <c r="R1216" i="6" s="1"/>
  <c r="S1216" i="6" s="1"/>
  <c r="AB1216" i="6" s="1"/>
  <c r="AC1216" i="6" s="1"/>
  <c r="O857" i="6"/>
  <c r="O2022" i="6"/>
  <c r="R2022" i="6" s="1"/>
  <c r="O316" i="6"/>
  <c r="R316" i="6" s="1"/>
  <c r="S316" i="6" s="1"/>
  <c r="AB316" i="6" s="1"/>
  <c r="AC316" i="6" s="1"/>
  <c r="O784" i="6"/>
  <c r="R784" i="6" s="1"/>
  <c r="S784" i="6" s="1"/>
  <c r="AB784" i="6" s="1"/>
  <c r="AC784" i="6" s="1"/>
  <c r="O2237" i="6"/>
  <c r="R2237" i="6" s="1"/>
  <c r="S2237" i="6" s="1"/>
  <c r="AB2237" i="6" s="1"/>
  <c r="AC2237" i="6" s="1"/>
  <c r="O782" i="6"/>
  <c r="R782" i="6" s="1"/>
  <c r="S782" i="6" s="1"/>
  <c r="AB782" i="6" s="1"/>
  <c r="AC782" i="6" s="1"/>
  <c r="O330" i="6"/>
  <c r="R330" i="6" s="1"/>
  <c r="S330" i="6" s="1"/>
  <c r="AB330" i="6" s="1"/>
  <c r="AC330" i="6" s="1"/>
  <c r="O1153" i="6"/>
  <c r="R1153" i="6" s="1"/>
  <c r="S1153" i="6" s="1"/>
  <c r="AB1153" i="6" s="1"/>
  <c r="AC1153" i="6" s="1"/>
  <c r="O1591" i="6"/>
  <c r="R1591" i="6" s="1"/>
  <c r="S1591" i="6" s="1"/>
  <c r="AB1591" i="6" s="1"/>
  <c r="AC1591" i="6" s="1"/>
  <c r="O1437" i="6"/>
  <c r="R1437" i="6" s="1"/>
  <c r="S1437" i="6" s="1"/>
  <c r="AB1437" i="6" s="1"/>
  <c r="AC1437" i="6" s="1"/>
  <c r="O1023" i="6"/>
  <c r="R1023" i="6" s="1"/>
  <c r="S1023" i="6" s="1"/>
  <c r="AB1023" i="6" s="1"/>
  <c r="AC1023" i="6" s="1"/>
  <c r="O1350" i="6"/>
  <c r="R1350" i="6" s="1"/>
  <c r="S1350" i="6" s="1"/>
  <c r="AB1350" i="6" s="1"/>
  <c r="AC1350" i="6" s="1"/>
  <c r="O273" i="6"/>
  <c r="R273" i="6" s="1"/>
  <c r="S273" i="6" s="1"/>
  <c r="AB273" i="6" s="1"/>
  <c r="AC273" i="6" s="1"/>
  <c r="O229" i="6"/>
  <c r="R229" i="6" s="1"/>
  <c r="S229" i="6" s="1"/>
  <c r="AB229" i="6" s="1"/>
  <c r="AC229" i="6" s="1"/>
  <c r="O50" i="6"/>
  <c r="R50" i="6" s="1"/>
  <c r="S50" i="6" s="1"/>
  <c r="AB50" i="6" s="1"/>
  <c r="AC50" i="6" s="1"/>
  <c r="O779" i="6"/>
  <c r="R779" i="6" s="1"/>
  <c r="S779" i="6" s="1"/>
  <c r="AB779" i="6" s="1"/>
  <c r="AC779" i="6" s="1"/>
  <c r="O847" i="6"/>
  <c r="O1362" i="6"/>
  <c r="R1362" i="6" s="1"/>
  <c r="S1362" i="6" s="1"/>
  <c r="AB1362" i="6" s="1"/>
  <c r="AC1362" i="6" s="1"/>
  <c r="O1619" i="6"/>
  <c r="R1619" i="6" s="1"/>
  <c r="S1619" i="6" s="1"/>
  <c r="AB1619" i="6" s="1"/>
  <c r="AC1619" i="6" s="1"/>
  <c r="O419" i="6"/>
  <c r="R419" i="6" s="1"/>
  <c r="S419" i="6" s="1"/>
  <c r="AB419" i="6" s="1"/>
  <c r="AC419" i="6" s="1"/>
  <c r="O641" i="6"/>
  <c r="O887" i="6"/>
  <c r="R887" i="6" s="1"/>
  <c r="S887" i="6" s="1"/>
  <c r="AB887" i="6" s="1"/>
  <c r="AC887" i="6" s="1"/>
  <c r="O387" i="6"/>
  <c r="R387" i="6" s="1"/>
  <c r="S387" i="6" s="1"/>
  <c r="AB387" i="6" s="1"/>
  <c r="AC387" i="6" s="1"/>
  <c r="O361" i="6"/>
  <c r="R361" i="6" s="1"/>
  <c r="S361" i="6" s="1"/>
  <c r="AB361" i="6" s="1"/>
  <c r="AC361" i="6" s="1"/>
  <c r="O527" i="6"/>
  <c r="R527" i="6" s="1"/>
  <c r="S527" i="6" s="1"/>
  <c r="AB527" i="6" s="1"/>
  <c r="AC527" i="6" s="1"/>
  <c r="O1445" i="6"/>
  <c r="R1445" i="6" s="1"/>
  <c r="S1445" i="6" s="1"/>
  <c r="AB1445" i="6" s="1"/>
  <c r="AC1445" i="6" s="1"/>
  <c r="O1422" i="6"/>
  <c r="R1422" i="6" s="1"/>
  <c r="S1422" i="6" s="1"/>
  <c r="AB1422" i="6" s="1"/>
  <c r="AC1422" i="6" s="1"/>
  <c r="O616" i="6"/>
  <c r="R616" i="6" s="1"/>
  <c r="S616" i="6" s="1"/>
  <c r="AB616" i="6" s="1"/>
  <c r="AC616" i="6" s="1"/>
  <c r="O1565" i="6"/>
  <c r="R1565" i="6" s="1"/>
  <c r="S1565" i="6" s="1"/>
  <c r="AB1565" i="6" s="1"/>
  <c r="AC1565" i="6" s="1"/>
  <c r="O397" i="6"/>
  <c r="O720" i="6"/>
  <c r="R720" i="6" s="1"/>
  <c r="S720" i="6" s="1"/>
  <c r="AB720" i="6" s="1"/>
  <c r="AC720" i="6" s="1"/>
  <c r="O1998" i="6"/>
  <c r="R1998" i="6" s="1"/>
  <c r="S1998" i="6" s="1"/>
  <c r="AB1998" i="6" s="1"/>
  <c r="AC1998" i="6" s="1"/>
  <c r="O1566" i="6"/>
  <c r="O380" i="6"/>
  <c r="R380" i="6" s="1"/>
  <c r="S380" i="6" s="1"/>
  <c r="AB380" i="6" s="1"/>
  <c r="AC380" i="6" s="1"/>
  <c r="O907" i="6"/>
  <c r="O738" i="6"/>
  <c r="R738" i="6" s="1"/>
  <c r="S738" i="6" s="1"/>
  <c r="AB738" i="6" s="1"/>
  <c r="AC738" i="6" s="1"/>
  <c r="O452" i="6"/>
  <c r="R452" i="6" s="1"/>
  <c r="S452" i="6" s="1"/>
  <c r="AB452" i="6" s="1"/>
  <c r="AC452" i="6" s="1"/>
  <c r="O643" i="6"/>
  <c r="R643" i="6" s="1"/>
  <c r="S643" i="6" s="1"/>
  <c r="AB643" i="6" s="1"/>
  <c r="AC643" i="6" s="1"/>
  <c r="O604" i="6"/>
  <c r="R604" i="6" s="1"/>
  <c r="S604" i="6" s="1"/>
  <c r="AB604" i="6" s="1"/>
  <c r="AC604" i="6" s="1"/>
  <c r="O2058" i="6"/>
  <c r="R2058" i="6" s="1"/>
  <c r="S2058" i="6" s="1"/>
  <c r="AB2058" i="6" s="1"/>
  <c r="AC2058" i="6" s="1"/>
  <c r="O1449" i="6"/>
  <c r="R1449" i="6" s="1"/>
  <c r="S1449" i="6" s="1"/>
  <c r="AB1449" i="6" s="1"/>
  <c r="AC1449" i="6" s="1"/>
  <c r="O2210" i="6"/>
  <c r="R2210" i="6" s="1"/>
  <c r="O567" i="6"/>
  <c r="R567" i="6" s="1"/>
  <c r="S567" i="6" s="1"/>
  <c r="AB567" i="6" s="1"/>
  <c r="AC567" i="6" s="1"/>
  <c r="O223" i="6"/>
  <c r="R223" i="6" s="1"/>
  <c r="S223" i="6" s="1"/>
  <c r="AB223" i="6" s="1"/>
  <c r="AC223" i="6" s="1"/>
  <c r="O240" i="6"/>
  <c r="R240" i="6" s="1"/>
  <c r="S240" i="6" s="1"/>
  <c r="AB240" i="6" s="1"/>
  <c r="AC240" i="6" s="1"/>
  <c r="O2049" i="6"/>
  <c r="R2049" i="6" s="1"/>
  <c r="S2049" i="6" s="1"/>
  <c r="AB2049" i="6" s="1"/>
  <c r="AC2049" i="6" s="1"/>
  <c r="O142" i="6"/>
  <c r="R142" i="6" s="1"/>
  <c r="S142" i="6" s="1"/>
  <c r="AB142" i="6" s="1"/>
  <c r="AC142" i="6" s="1"/>
  <c r="O30" i="6"/>
  <c r="R30" i="6" s="1"/>
  <c r="S30" i="6" s="1"/>
  <c r="AB30" i="6" s="1"/>
  <c r="AC30" i="6" s="1"/>
  <c r="O1924" i="6"/>
  <c r="O436" i="6"/>
  <c r="R436" i="6" s="1"/>
  <c r="S436" i="6" s="1"/>
  <c r="AB436" i="6" s="1"/>
  <c r="AC436" i="6" s="1"/>
  <c r="O1057" i="6"/>
  <c r="R1057" i="6" s="1"/>
  <c r="S1057" i="6" s="1"/>
  <c r="AB1057" i="6" s="1"/>
  <c r="AC1057" i="6" s="1"/>
  <c r="O202" i="6"/>
  <c r="R202" i="6" s="1"/>
  <c r="S202" i="6" s="1"/>
  <c r="AB202" i="6" s="1"/>
  <c r="AC202" i="6" s="1"/>
  <c r="O2313" i="6"/>
  <c r="R2313" i="6" s="1"/>
  <c r="S2313" i="6" s="1"/>
  <c r="AB2313" i="6" s="1"/>
  <c r="O1604" i="6"/>
  <c r="R1604" i="6" s="1"/>
  <c r="S1604" i="6" s="1"/>
  <c r="AB1604" i="6" s="1"/>
  <c r="AC1604" i="6" s="1"/>
  <c r="O1140" i="6"/>
  <c r="R1140" i="6" s="1"/>
  <c r="S1140" i="6" s="1"/>
  <c r="AB1140" i="6" s="1"/>
  <c r="AC1140" i="6" s="1"/>
  <c r="O1601" i="6"/>
  <c r="R1601" i="6" s="1"/>
  <c r="S1601" i="6" s="1"/>
  <c r="AB1601" i="6" s="1"/>
  <c r="AC1601" i="6" s="1"/>
  <c r="O1923" i="6"/>
  <c r="R1923" i="6" s="1"/>
  <c r="S1923" i="6" s="1"/>
  <c r="AB1923" i="6" s="1"/>
  <c r="AC1923" i="6" s="1"/>
  <c r="O2063" i="6"/>
  <c r="R2063" i="6" s="1"/>
  <c r="S2063" i="6" s="1"/>
  <c r="AB2063" i="6" s="1"/>
  <c r="AC2063" i="6" s="1"/>
  <c r="O785" i="6"/>
  <c r="R785" i="6" s="1"/>
  <c r="S785" i="6" s="1"/>
  <c r="AB785" i="6" s="1"/>
  <c r="AC785" i="6" s="1"/>
  <c r="O659" i="6"/>
  <c r="R659" i="6" s="1"/>
  <c r="S659" i="6" s="1"/>
  <c r="AB659" i="6" s="1"/>
  <c r="AC659" i="6" s="1"/>
  <c r="O210" i="6"/>
  <c r="R210" i="6" s="1"/>
  <c r="S210" i="6" s="1"/>
  <c r="AB210" i="6" s="1"/>
  <c r="AC210" i="6" s="1"/>
  <c r="O848" i="6"/>
  <c r="R848" i="6" s="1"/>
  <c r="S848" i="6" s="1"/>
  <c r="AB848" i="6" s="1"/>
  <c r="AC848" i="6" s="1"/>
  <c r="O1638" i="6"/>
  <c r="R1638" i="6" s="1"/>
  <c r="S1638" i="6" s="1"/>
  <c r="AB1638" i="6" s="1"/>
  <c r="AC1638" i="6" s="1"/>
  <c r="O1089" i="6"/>
  <c r="R1089" i="6" s="1"/>
  <c r="S1089" i="6" s="1"/>
  <c r="AB1089" i="6" s="1"/>
  <c r="AC1089" i="6" s="1"/>
  <c r="O1614" i="6"/>
  <c r="O591" i="6"/>
  <c r="R591" i="6" s="1"/>
  <c r="S591" i="6" s="1"/>
  <c r="AB591" i="6" s="1"/>
  <c r="AC591" i="6" s="1"/>
  <c r="O1630" i="6"/>
  <c r="R1630" i="6" s="1"/>
  <c r="S1630" i="6" s="1"/>
  <c r="AB1630" i="6" s="1"/>
  <c r="AC1630" i="6" s="1"/>
  <c r="O518" i="6"/>
  <c r="R518" i="6" s="1"/>
  <c r="S518" i="6" s="1"/>
  <c r="AB518" i="6" s="1"/>
  <c r="AC518" i="6" s="1"/>
  <c r="O1180" i="6"/>
  <c r="R1180" i="6" s="1"/>
  <c r="S1180" i="6" s="1"/>
  <c r="AB1180" i="6" s="1"/>
  <c r="AC1180" i="6" s="1"/>
  <c r="O293" i="6"/>
  <c r="R293" i="6" s="1"/>
  <c r="S293" i="6" s="1"/>
  <c r="AB293" i="6" s="1"/>
  <c r="AC293" i="6" s="1"/>
  <c r="O39" i="6"/>
  <c r="R39" i="6" s="1"/>
  <c r="S39" i="6" s="1"/>
  <c r="AB39" i="6" s="1"/>
  <c r="AC39" i="6" s="1"/>
  <c r="O133" i="6"/>
  <c r="R133" i="6" s="1"/>
  <c r="S133" i="6" s="1"/>
  <c r="AB133" i="6" s="1"/>
  <c r="AC133" i="6" s="1"/>
  <c r="O1007" i="6"/>
  <c r="R1007" i="6" s="1"/>
  <c r="S1007" i="6" s="1"/>
  <c r="AB1007" i="6" s="1"/>
  <c r="AC1007" i="6" s="1"/>
  <c r="O1840" i="6"/>
  <c r="R1840" i="6" s="1"/>
  <c r="S1840" i="6" s="1"/>
  <c r="AB1840" i="6" s="1"/>
  <c r="AC1840" i="6" s="1"/>
  <c r="O147" i="6"/>
  <c r="R147" i="6" s="1"/>
  <c r="S147" i="6" s="1"/>
  <c r="AB147" i="6" s="1"/>
  <c r="AC147" i="6" s="1"/>
  <c r="O2227" i="6"/>
  <c r="R2227" i="6" s="1"/>
  <c r="S2227" i="6" s="1"/>
  <c r="AB2227" i="6" s="1"/>
  <c r="AC2227" i="6" s="1"/>
  <c r="O1892" i="6"/>
  <c r="R1892" i="6" s="1"/>
  <c r="S1892" i="6" s="1"/>
  <c r="AB1892" i="6" s="1"/>
  <c r="AC1892" i="6" s="1"/>
  <c r="O422" i="6"/>
  <c r="R422" i="6" s="1"/>
  <c r="S422" i="6" s="1"/>
  <c r="AB422" i="6" s="1"/>
  <c r="AC422" i="6" s="1"/>
  <c r="O1836" i="6"/>
  <c r="R1836" i="6" s="1"/>
  <c r="S1836" i="6" s="1"/>
  <c r="AB1836" i="6" s="1"/>
  <c r="AC1836" i="6" s="1"/>
  <c r="O1552" i="6"/>
  <c r="R1552" i="6" s="1"/>
  <c r="S1552" i="6" s="1"/>
  <c r="AB1552" i="6" s="1"/>
  <c r="AC1552" i="6" s="1"/>
  <c r="O1370" i="6"/>
  <c r="O1634" i="6"/>
  <c r="R1634" i="6" s="1"/>
  <c r="S1634" i="6" s="1"/>
  <c r="AB1634" i="6" s="1"/>
  <c r="AC1634" i="6" s="1"/>
  <c r="O794" i="6"/>
  <c r="R794" i="6" s="1"/>
  <c r="S794" i="6" s="1"/>
  <c r="AB794" i="6" s="1"/>
  <c r="AC794" i="6" s="1"/>
  <c r="O495" i="6"/>
  <c r="R495" i="6" s="1"/>
  <c r="S495" i="6" s="1"/>
  <c r="AB495" i="6" s="1"/>
  <c r="AC495" i="6" s="1"/>
  <c r="O259" i="6"/>
  <c r="R259" i="6" s="1"/>
  <c r="S259" i="6" s="1"/>
  <c r="AB259" i="6" s="1"/>
  <c r="AC259" i="6" s="1"/>
  <c r="O793" i="6"/>
  <c r="R793" i="6" s="1"/>
  <c r="S793" i="6" s="1"/>
  <c r="AB793" i="6" s="1"/>
  <c r="AC793" i="6" s="1"/>
  <c r="O804" i="6"/>
  <c r="R804" i="6" s="1"/>
  <c r="S804" i="6" s="1"/>
  <c r="AB804" i="6" s="1"/>
  <c r="AC804" i="6" s="1"/>
  <c r="O137" i="6"/>
  <c r="R137" i="6" s="1"/>
  <c r="S137" i="6" s="1"/>
  <c r="AB137" i="6" s="1"/>
  <c r="AC137" i="6" s="1"/>
  <c r="O1112" i="6"/>
  <c r="R1112" i="6" s="1"/>
  <c r="S1112" i="6" s="1"/>
  <c r="AB1112" i="6" s="1"/>
  <c r="AC1112" i="6" s="1"/>
  <c r="O1129" i="6"/>
  <c r="R1129" i="6" s="1"/>
  <c r="S1129" i="6" s="1"/>
  <c r="AB1129" i="6" s="1"/>
  <c r="AC1129" i="6" s="1"/>
  <c r="O1003" i="6"/>
  <c r="R1003" i="6" s="1"/>
  <c r="S1003" i="6" s="1"/>
  <c r="AB1003" i="6" s="1"/>
  <c r="AC1003" i="6" s="1"/>
  <c r="O1409" i="6"/>
  <c r="R1409" i="6" s="1"/>
  <c r="S1409" i="6" s="1"/>
  <c r="AB1409" i="6" s="1"/>
  <c r="AC1409" i="6" s="1"/>
  <c r="O1323" i="6"/>
  <c r="R1323" i="6" s="1"/>
  <c r="S1323" i="6" s="1"/>
  <c r="AB1323" i="6" s="1"/>
  <c r="AC1323" i="6" s="1"/>
  <c r="O816" i="6"/>
  <c r="R816" i="6" s="1"/>
  <c r="S816" i="6" s="1"/>
  <c r="AB816" i="6" s="1"/>
  <c r="AC816" i="6" s="1"/>
  <c r="O1096" i="6"/>
  <c r="R1096" i="6" s="1"/>
  <c r="S1096" i="6" s="1"/>
  <c r="AB1096" i="6" s="1"/>
  <c r="AC1096" i="6" s="1"/>
  <c r="O1878" i="6"/>
  <c r="O1290" i="6"/>
  <c r="O2193" i="6"/>
  <c r="R2193" i="6" s="1"/>
  <c r="S2193" i="6" s="1"/>
  <c r="AB2193" i="6" s="1"/>
  <c r="AC2193" i="6" s="1"/>
  <c r="O1994" i="6"/>
  <c r="R1994" i="6" s="1"/>
  <c r="S1994" i="6" s="1"/>
  <c r="AB1994" i="6" s="1"/>
  <c r="AC1994" i="6" s="1"/>
  <c r="O1491" i="6"/>
  <c r="R1491" i="6" s="1"/>
  <c r="S1491" i="6" s="1"/>
  <c r="AB1491" i="6" s="1"/>
  <c r="AC1491" i="6" s="1"/>
  <c r="O1113" i="6"/>
  <c r="R1113" i="6" s="1"/>
  <c r="S1113" i="6" s="1"/>
  <c r="AB1113" i="6" s="1"/>
  <c r="AC1113" i="6" s="1"/>
  <c r="O2149" i="6"/>
  <c r="R2149" i="6" s="1"/>
  <c r="S2149" i="6" s="1"/>
  <c r="AB2149" i="6" s="1"/>
  <c r="AC2149" i="6" s="1"/>
  <c r="O627" i="6"/>
  <c r="R627" i="6" s="1"/>
  <c r="S627" i="6" s="1"/>
  <c r="AB627" i="6" s="1"/>
  <c r="AC627" i="6" s="1"/>
  <c r="O992" i="6"/>
  <c r="R992" i="6" s="1"/>
  <c r="S992" i="6" s="1"/>
  <c r="AB992" i="6" s="1"/>
  <c r="AC992" i="6" s="1"/>
  <c r="O894" i="6"/>
  <c r="R894" i="6" s="1"/>
  <c r="S894" i="6" s="1"/>
  <c r="AB894" i="6" s="1"/>
  <c r="AC894" i="6" s="1"/>
  <c r="O569" i="6"/>
  <c r="R569" i="6" s="1"/>
  <c r="S569" i="6" s="1"/>
  <c r="AB569" i="6" s="1"/>
  <c r="AC569" i="6" s="1"/>
  <c r="O1841" i="6"/>
  <c r="R1841" i="6" s="1"/>
  <c r="S1841" i="6" s="1"/>
  <c r="AB1841" i="6" s="1"/>
  <c r="AC1841" i="6" s="1"/>
  <c r="O249" i="6"/>
  <c r="R249" i="6" s="1"/>
  <c r="S249" i="6" s="1"/>
  <c r="AB249" i="6" s="1"/>
  <c r="AC249" i="6" s="1"/>
  <c r="O534" i="6"/>
  <c r="R534" i="6" s="1"/>
  <c r="S534" i="6" s="1"/>
  <c r="AB534" i="6" s="1"/>
  <c r="AC534" i="6" s="1"/>
  <c r="O1464" i="6"/>
  <c r="R1464" i="6" s="1"/>
  <c r="S1464" i="6" s="1"/>
  <c r="AB1464" i="6" s="1"/>
  <c r="AC1464" i="6" s="1"/>
  <c r="O2321" i="6"/>
  <c r="R2321" i="6" s="1"/>
  <c r="S2321" i="6" s="1"/>
  <c r="AB2321" i="6" s="1"/>
  <c r="AC2321" i="6" s="1"/>
  <c r="O548" i="6"/>
  <c r="R548" i="6" s="1"/>
  <c r="S548" i="6" s="1"/>
  <c r="AB548" i="6" s="1"/>
  <c r="AC548" i="6" s="1"/>
  <c r="O1334" i="6"/>
  <c r="O44" i="6"/>
  <c r="R44" i="6" s="1"/>
  <c r="S44" i="6" s="1"/>
  <c r="AB44" i="6" s="1"/>
  <c r="AC44" i="6" s="1"/>
  <c r="O135" i="6"/>
  <c r="R135" i="6" s="1"/>
  <c r="S135" i="6" s="1"/>
  <c r="AB135" i="6" s="1"/>
  <c r="AC135" i="6" s="1"/>
  <c r="O2030" i="6"/>
  <c r="R2030" i="6" s="1"/>
  <c r="S2030" i="6" s="1"/>
  <c r="AB2030" i="6" s="1"/>
  <c r="AC2030" i="6" s="1"/>
  <c r="O881" i="6"/>
  <c r="R881" i="6" s="1"/>
  <c r="S881" i="6" s="1"/>
  <c r="AB881" i="6" s="1"/>
  <c r="AC881" i="6" s="1"/>
  <c r="O1388" i="6"/>
  <c r="R1388" i="6" s="1"/>
  <c r="S1388" i="6" s="1"/>
  <c r="AB1388" i="6" s="1"/>
  <c r="AC1388" i="6" s="1"/>
  <c r="O2044" i="6"/>
  <c r="R2044" i="6" s="1"/>
  <c r="S2044" i="6" s="1"/>
  <c r="AB2044" i="6" s="1"/>
  <c r="AC2044" i="6" s="1"/>
  <c r="O2072" i="6"/>
  <c r="R2072" i="6" s="1"/>
  <c r="S2072" i="6" s="1"/>
  <c r="AB2072" i="6" s="1"/>
  <c r="AC2072" i="6" s="1"/>
  <c r="O1333" i="6"/>
  <c r="R1333" i="6" s="1"/>
  <c r="S1333" i="6" s="1"/>
  <c r="AB1333" i="6" s="1"/>
  <c r="AC1333" i="6" s="1"/>
  <c r="O2107" i="6"/>
  <c r="R2107" i="6" s="1"/>
  <c r="S2107" i="6" s="1"/>
  <c r="AB2107" i="6" s="1"/>
  <c r="AC2107" i="6" s="1"/>
  <c r="O1965" i="6"/>
  <c r="R1965" i="6" s="1"/>
  <c r="S1965" i="6" s="1"/>
  <c r="AB1965" i="6" s="1"/>
  <c r="AC1965" i="6" s="1"/>
  <c r="O692" i="6"/>
  <c r="R692" i="6" s="1"/>
  <c r="S692" i="6" s="1"/>
  <c r="AB692" i="6" s="1"/>
  <c r="AC692" i="6" s="1"/>
  <c r="O429" i="6"/>
  <c r="R429" i="6" s="1"/>
  <c r="O1627" i="6"/>
  <c r="R1627" i="6" s="1"/>
  <c r="S1627" i="6" s="1"/>
  <c r="AB1627" i="6" s="1"/>
  <c r="AC1627" i="6" s="1"/>
  <c r="O1895" i="6"/>
  <c r="R1895" i="6" s="1"/>
  <c r="S1895" i="6" s="1"/>
  <c r="AB1895" i="6" s="1"/>
  <c r="AC1895" i="6" s="1"/>
  <c r="O2322" i="6"/>
  <c r="R2322" i="6" s="1"/>
  <c r="S2322" i="6" s="1"/>
  <c r="AB2322" i="6" s="1"/>
  <c r="AC2322" i="6" s="1"/>
  <c r="O1930" i="6"/>
  <c r="O368" i="6"/>
  <c r="R368" i="6" s="1"/>
  <c r="S368" i="6" s="1"/>
  <c r="AB368" i="6" s="1"/>
  <c r="AC368" i="6" s="1"/>
  <c r="O1561" i="6"/>
  <c r="R1561" i="6" s="1"/>
  <c r="S1561" i="6" s="1"/>
  <c r="AB1561" i="6" s="1"/>
  <c r="AC1561" i="6" s="1"/>
  <c r="O700" i="6"/>
  <c r="R700" i="6" s="1"/>
  <c r="S700" i="6" s="1"/>
  <c r="AB700" i="6" s="1"/>
  <c r="AC700" i="6" s="1"/>
  <c r="O213" i="6"/>
  <c r="R213" i="6" s="1"/>
  <c r="S213" i="6" s="1"/>
  <c r="AB213" i="6" s="1"/>
  <c r="AC213" i="6" s="1"/>
  <c r="O1593" i="6"/>
  <c r="R1593" i="6" s="1"/>
  <c r="S1593" i="6" s="1"/>
  <c r="AB1593" i="6" s="1"/>
  <c r="AC1593" i="6" s="1"/>
  <c r="O2236" i="6"/>
  <c r="R2236" i="6" s="1"/>
  <c r="S2236" i="6" s="1"/>
  <c r="AB2236" i="6" s="1"/>
  <c r="AC2236" i="6" s="1"/>
  <c r="O1386" i="6"/>
  <c r="R1386" i="6" s="1"/>
  <c r="S1386" i="6" s="1"/>
  <c r="AB1386" i="6" s="1"/>
  <c r="AC1386" i="6" s="1"/>
  <c r="O1695" i="6"/>
  <c r="R1695" i="6" s="1"/>
  <c r="S1695" i="6" s="1"/>
  <c r="AB1695" i="6" s="1"/>
  <c r="AC1695" i="6" s="1"/>
  <c r="O1993" i="6"/>
  <c r="R1993" i="6" s="1"/>
  <c r="S1993" i="6" s="1"/>
  <c r="AB1993" i="6" s="1"/>
  <c r="AC1993" i="6" s="1"/>
  <c r="O896" i="6"/>
  <c r="R896" i="6" s="1"/>
  <c r="S896" i="6" s="1"/>
  <c r="AB896" i="6" s="1"/>
  <c r="AC896" i="6" s="1"/>
  <c r="O15" i="6"/>
  <c r="R15" i="6" s="1"/>
  <c r="S15" i="6" s="1"/>
  <c r="AB15" i="6" s="1"/>
  <c r="AC15" i="6" s="1"/>
  <c r="O558" i="6"/>
  <c r="R558" i="6" s="1"/>
  <c r="S558" i="6" s="1"/>
  <c r="AB558" i="6" s="1"/>
  <c r="AC558" i="6" s="1"/>
  <c r="O1712" i="6"/>
  <c r="R1712" i="6" s="1"/>
  <c r="S1712" i="6" s="1"/>
  <c r="AB1712" i="6" s="1"/>
  <c r="AC1712" i="6" s="1"/>
  <c r="O483" i="6"/>
  <c r="R483" i="6" s="1"/>
  <c r="S483" i="6" s="1"/>
  <c r="AB483" i="6" s="1"/>
  <c r="AC483" i="6" s="1"/>
  <c r="O1294" i="6"/>
  <c r="R1294" i="6" s="1"/>
  <c r="S1294" i="6" s="1"/>
  <c r="AB1294" i="6" s="1"/>
  <c r="AC1294" i="6" s="1"/>
  <c r="O621" i="6"/>
  <c r="O1554" i="6"/>
  <c r="R1554" i="6" s="1"/>
  <c r="S1554" i="6" s="1"/>
  <c r="AB1554" i="6" s="1"/>
  <c r="AC1554" i="6" s="1"/>
  <c r="O733" i="6"/>
  <c r="R733" i="6" s="1"/>
  <c r="S733" i="6" s="1"/>
  <c r="AB733" i="6" s="1"/>
  <c r="AC733" i="6" s="1"/>
  <c r="O2295" i="6"/>
  <c r="R2295" i="6" s="1"/>
  <c r="S2295" i="6" s="1"/>
  <c r="AB2295" i="6" s="1"/>
  <c r="AC2295" i="6" s="1"/>
  <c r="O1270" i="6"/>
  <c r="R1270" i="6" s="1"/>
  <c r="S1270" i="6" s="1"/>
  <c r="AB1270" i="6" s="1"/>
  <c r="AC1270" i="6" s="1"/>
  <c r="O1155" i="6"/>
  <c r="R1155" i="6" s="1"/>
  <c r="S1155" i="6" s="1"/>
  <c r="AB1155" i="6" s="1"/>
  <c r="AC1155" i="6" s="1"/>
  <c r="O928" i="6"/>
  <c r="R928" i="6" s="1"/>
  <c r="S928" i="6" s="1"/>
  <c r="AB928" i="6" s="1"/>
  <c r="AC928" i="6" s="1"/>
  <c r="O2361" i="6"/>
  <c r="R2361" i="6" s="1"/>
  <c r="S2361" i="6" s="1"/>
  <c r="AB2361" i="6" s="1"/>
  <c r="AC2361" i="6" s="1"/>
  <c r="O1279" i="6"/>
  <c r="R1279" i="6" s="1"/>
  <c r="S1279" i="6" s="1"/>
  <c r="AB1279" i="6" s="1"/>
  <c r="AC1279" i="6" s="1"/>
  <c r="O551" i="6"/>
  <c r="R551" i="6" s="1"/>
  <c r="S551" i="6" s="1"/>
  <c r="AB551" i="6" s="1"/>
  <c r="AC551" i="6" s="1"/>
  <c r="O2123" i="6"/>
  <c r="R2123" i="6" s="1"/>
  <c r="S2123" i="6" s="1"/>
  <c r="AB2123" i="6" s="1"/>
  <c r="AC2123" i="6" s="1"/>
  <c r="O1034" i="6"/>
  <c r="R1034" i="6" s="1"/>
  <c r="S1034" i="6" s="1"/>
  <c r="AB1034" i="6" s="1"/>
  <c r="AC1034" i="6" s="1"/>
  <c r="O1167" i="6"/>
  <c r="R1167" i="6" s="1"/>
  <c r="S1167" i="6" s="1"/>
  <c r="AB1167" i="6" s="1"/>
  <c r="AC1167" i="6" s="1"/>
  <c r="O850" i="6"/>
  <c r="R850" i="6" s="1"/>
  <c r="S850" i="6" s="1"/>
  <c r="AB850" i="6" s="1"/>
  <c r="AC850" i="6" s="1"/>
  <c r="O1054" i="6"/>
  <c r="R1054" i="6" s="1"/>
  <c r="S1054" i="6" s="1"/>
  <c r="AB1054" i="6" s="1"/>
  <c r="AC1054" i="6" s="1"/>
  <c r="O192" i="6"/>
  <c r="R192" i="6" s="1"/>
  <c r="S192" i="6" s="1"/>
  <c r="AB192" i="6" s="1"/>
  <c r="AC192" i="6" s="1"/>
  <c r="O547" i="6"/>
  <c r="O543" i="6"/>
  <c r="R543" i="6" s="1"/>
  <c r="S543" i="6" s="1"/>
  <c r="AB543" i="6" s="1"/>
  <c r="AC543" i="6" s="1"/>
  <c r="O1020" i="6"/>
  <c r="O1921" i="6"/>
  <c r="R1921" i="6" s="1"/>
  <c r="S1921" i="6" s="1"/>
  <c r="AB1921" i="6" s="1"/>
  <c r="AC1921" i="6" s="1"/>
  <c r="O895" i="6"/>
  <c r="R895" i="6" s="1"/>
  <c r="S895" i="6" s="1"/>
  <c r="AB895" i="6" s="1"/>
  <c r="AC895" i="6" s="1"/>
  <c r="O554" i="6"/>
  <c r="R554" i="6" s="1"/>
  <c r="S554" i="6" s="1"/>
  <c r="AB554" i="6" s="1"/>
  <c r="AC554" i="6" s="1"/>
  <c r="O1123" i="6"/>
  <c r="R1123" i="6" s="1"/>
  <c r="S1123" i="6" s="1"/>
  <c r="AB1123" i="6" s="1"/>
  <c r="AC1123" i="6" s="1"/>
  <c r="O2025" i="6"/>
  <c r="R2025" i="6" s="1"/>
  <c r="S2025" i="6" s="1"/>
  <c r="AB2025" i="6" s="1"/>
  <c r="AC2025" i="6" s="1"/>
  <c r="O61" i="6"/>
  <c r="R61" i="6" s="1"/>
  <c r="S61" i="6" s="1"/>
  <c r="AB61" i="6" s="1"/>
  <c r="AC61" i="6" s="1"/>
  <c r="O138" i="6"/>
  <c r="R138" i="6" s="1"/>
  <c r="S138" i="6" s="1"/>
  <c r="AB138" i="6" s="1"/>
  <c r="AC138" i="6" s="1"/>
  <c r="O586" i="6"/>
  <c r="R586" i="6" s="1"/>
  <c r="S586" i="6" s="1"/>
  <c r="AB586" i="6" s="1"/>
  <c r="AC586" i="6" s="1"/>
  <c r="O451" i="6"/>
  <c r="R451" i="6" s="1"/>
  <c r="S451" i="6" s="1"/>
  <c r="AB451" i="6" s="1"/>
  <c r="AC451" i="6" s="1"/>
  <c r="O2234" i="6"/>
  <c r="R2234" i="6" s="1"/>
  <c r="O56" i="6"/>
  <c r="R56" i="6" s="1"/>
  <c r="S56" i="6" s="1"/>
  <c r="AB56" i="6" s="1"/>
  <c r="AC56" i="6" s="1"/>
  <c r="O1641" i="6"/>
  <c r="R1641" i="6" s="1"/>
  <c r="S1641" i="6" s="1"/>
  <c r="AB1641" i="6" s="1"/>
  <c r="AC1641" i="6" s="1"/>
  <c r="O187" i="6"/>
  <c r="R187" i="6" s="1"/>
  <c r="S187" i="6" s="1"/>
  <c r="AB187" i="6" s="1"/>
  <c r="AC187" i="6" s="1"/>
  <c r="O1797" i="6"/>
  <c r="O404" i="6"/>
  <c r="R404" i="6" s="1"/>
  <c r="S404" i="6" s="1"/>
  <c r="AB404" i="6" s="1"/>
  <c r="AC404" i="6" s="1"/>
  <c r="O1730" i="6"/>
  <c r="O606" i="6"/>
  <c r="R606" i="6" s="1"/>
  <c r="S606" i="6" s="1"/>
  <c r="AB606" i="6" s="1"/>
  <c r="AC606" i="6" s="1"/>
  <c r="O457" i="6"/>
  <c r="R457" i="6" s="1"/>
  <c r="S457" i="6" s="1"/>
  <c r="AB457" i="6" s="1"/>
  <c r="AC457" i="6" s="1"/>
  <c r="O1340" i="6"/>
  <c r="R1340" i="6" s="1"/>
  <c r="S1340" i="6" s="1"/>
  <c r="AB1340" i="6" s="1"/>
  <c r="AC1340" i="6" s="1"/>
  <c r="O460" i="6"/>
  <c r="R460" i="6" s="1"/>
  <c r="S460" i="6" s="1"/>
  <c r="AB460" i="6" s="1"/>
  <c r="AC460" i="6" s="1"/>
  <c r="O242" i="6"/>
  <c r="R242" i="6" s="1"/>
  <c r="S242" i="6" s="1"/>
  <c r="AB242" i="6" s="1"/>
  <c r="AC242" i="6" s="1"/>
  <c r="O1572" i="6"/>
  <c r="R1572" i="6" s="1"/>
  <c r="S1572" i="6" s="1"/>
  <c r="AB1572" i="6" s="1"/>
  <c r="AC1572" i="6" s="1"/>
  <c r="O884" i="6"/>
  <c r="R884" i="6" s="1"/>
  <c r="S884" i="6" s="1"/>
  <c r="AB884" i="6" s="1"/>
  <c r="AC884" i="6" s="1"/>
  <c r="O1717" i="6"/>
  <c r="R1717" i="6" s="1"/>
  <c r="S1717" i="6" s="1"/>
  <c r="AB1717" i="6" s="1"/>
  <c r="AC1717" i="6" s="1"/>
  <c r="O706" i="6"/>
  <c r="R706" i="6" s="1"/>
  <c r="S706" i="6" s="1"/>
  <c r="AB706" i="6" s="1"/>
  <c r="AC706" i="6" s="1"/>
  <c r="O1411" i="6"/>
  <c r="R1411" i="6" s="1"/>
  <c r="S1411" i="6" s="1"/>
  <c r="AB1411" i="6" s="1"/>
  <c r="AC1411" i="6" s="1"/>
  <c r="O1549" i="6"/>
  <c r="R1549" i="6" s="1"/>
  <c r="S1549" i="6" s="1"/>
  <c r="AB1549" i="6" s="1"/>
  <c r="AC1549" i="6" s="1"/>
  <c r="O508" i="6"/>
  <c r="R508" i="6" s="1"/>
  <c r="S508" i="6" s="1"/>
  <c r="AB508" i="6" s="1"/>
  <c r="AC508" i="6" s="1"/>
  <c r="O1827" i="6"/>
  <c r="R1827" i="6" s="1"/>
  <c r="S1827" i="6" s="1"/>
  <c r="AB1827" i="6" s="1"/>
  <c r="AC1827" i="6" s="1"/>
  <c r="O347" i="6"/>
  <c r="O107" i="6"/>
  <c r="R107" i="6" s="1"/>
  <c r="S107" i="6" s="1"/>
  <c r="AB107" i="6" s="1"/>
  <c r="AC107" i="6" s="1"/>
  <c r="O1392" i="6"/>
  <c r="R1392" i="6" s="1"/>
  <c r="S1392" i="6" s="1"/>
  <c r="AB1392" i="6" s="1"/>
  <c r="AC1392" i="6" s="1"/>
  <c r="O194" i="6"/>
  <c r="R194" i="6" s="1"/>
  <c r="S194" i="6" s="1"/>
  <c r="AB194" i="6" s="1"/>
  <c r="AC194" i="6" s="1"/>
  <c r="O1995" i="6"/>
  <c r="R1995" i="6" s="1"/>
  <c r="S1995" i="6" s="1"/>
  <c r="AB1995" i="6" s="1"/>
  <c r="AC1995" i="6" s="1"/>
  <c r="O1908" i="6"/>
  <c r="R1908" i="6" s="1"/>
  <c r="S1908" i="6" s="1"/>
  <c r="AB1908" i="6" s="1"/>
  <c r="AC1908" i="6" s="1"/>
  <c r="O1221" i="6"/>
  <c r="R1221" i="6" s="1"/>
  <c r="S1221" i="6" s="1"/>
  <c r="AB1221" i="6" s="1"/>
  <c r="AC1221" i="6" s="1"/>
  <c r="O445" i="6"/>
  <c r="R445" i="6" s="1"/>
  <c r="S445" i="6" s="1"/>
  <c r="AB445" i="6" s="1"/>
  <c r="AC445" i="6" s="1"/>
  <c r="O320" i="6"/>
  <c r="R320" i="6" s="1"/>
  <c r="S320" i="6" s="1"/>
  <c r="AB320" i="6" s="1"/>
  <c r="AC320" i="6" s="1"/>
  <c r="O2319" i="6"/>
  <c r="R2319" i="6" s="1"/>
  <c r="S2319" i="6" s="1"/>
  <c r="AB2319" i="6" s="1"/>
  <c r="AC2319" i="6" s="1"/>
  <c r="O1041" i="6"/>
  <c r="R1041" i="6" s="1"/>
  <c r="S1041" i="6" s="1"/>
  <c r="AB1041" i="6" s="1"/>
  <c r="AC1041" i="6" s="1"/>
  <c r="O446" i="6"/>
  <c r="R446" i="6" s="1"/>
  <c r="S446" i="6" s="1"/>
  <c r="AB446" i="6" s="1"/>
  <c r="AC446" i="6" s="1"/>
  <c r="O1535" i="6"/>
  <c r="R1535" i="6" s="1"/>
  <c r="S1535" i="6" s="1"/>
  <c r="AB1535" i="6" s="1"/>
  <c r="AC1535" i="6" s="1"/>
  <c r="O1365" i="6"/>
  <c r="R1365" i="6" s="1"/>
  <c r="S1365" i="6" s="1"/>
  <c r="AB1365" i="6" s="1"/>
  <c r="AC1365" i="6" s="1"/>
  <c r="O2145" i="6"/>
  <c r="R2145" i="6" s="1"/>
  <c r="S2145" i="6" s="1"/>
  <c r="AB2145" i="6" s="1"/>
  <c r="AC2145" i="6" s="1"/>
  <c r="O1887" i="6"/>
  <c r="R1887" i="6" s="1"/>
  <c r="S1887" i="6" s="1"/>
  <c r="AB1887" i="6" s="1"/>
  <c r="AC1887" i="6" s="1"/>
  <c r="O1465" i="6"/>
  <c r="O1536" i="6"/>
  <c r="R1536" i="6" s="1"/>
  <c r="S1536" i="6" s="1"/>
  <c r="AB1536" i="6" s="1"/>
  <c r="AC1536" i="6" s="1"/>
  <c r="O2089" i="6"/>
  <c r="R2089" i="6" s="1"/>
  <c r="S2089" i="6" s="1"/>
  <c r="AB2089" i="6" s="1"/>
  <c r="AC2089" i="6" s="1"/>
  <c r="O1833" i="6"/>
  <c r="R1833" i="6" s="1"/>
  <c r="S1833" i="6" s="1"/>
  <c r="AB1833" i="6" s="1"/>
  <c r="AC1833" i="6" s="1"/>
  <c r="O991" i="6"/>
  <c r="O2088" i="6"/>
  <c r="R2088" i="6" s="1"/>
  <c r="S2088" i="6" s="1"/>
  <c r="AB2088" i="6" s="1"/>
  <c r="AC2088" i="6" s="1"/>
  <c r="O267" i="6"/>
  <c r="R267" i="6" s="1"/>
  <c r="S267" i="6" s="1"/>
  <c r="AB267" i="6" s="1"/>
  <c r="AC267" i="6" s="1"/>
  <c r="O169" i="6"/>
  <c r="R169" i="6" s="1"/>
  <c r="S169" i="6" s="1"/>
  <c r="AB169" i="6" s="1"/>
  <c r="AC169" i="6" s="1"/>
  <c r="O125" i="6"/>
  <c r="R125" i="6" s="1"/>
  <c r="S125" i="6" s="1"/>
  <c r="AB125" i="6" s="1"/>
  <c r="AC125" i="6" s="1"/>
  <c r="O153" i="6"/>
  <c r="R153" i="6" s="1"/>
  <c r="S153" i="6" s="1"/>
  <c r="AB153" i="6" s="1"/>
  <c r="AC153" i="6" s="1"/>
  <c r="O2018" i="6"/>
  <c r="R2018" i="6" s="1"/>
  <c r="S2018" i="6" s="1"/>
  <c r="AB2018" i="6" s="1"/>
  <c r="AC2018" i="6" s="1"/>
  <c r="O491" i="6"/>
  <c r="R491" i="6" s="1"/>
  <c r="S491" i="6" s="1"/>
  <c r="AB491" i="6" s="1"/>
  <c r="AC491" i="6" s="1"/>
  <c r="O123" i="6"/>
  <c r="R123" i="6" s="1"/>
  <c r="S123" i="6" s="1"/>
  <c r="AB123" i="6" s="1"/>
  <c r="AC123" i="6" s="1"/>
  <c r="O799" i="6"/>
  <c r="R799" i="6" s="1"/>
  <c r="S799" i="6" s="1"/>
  <c r="AB799" i="6" s="1"/>
  <c r="AC799" i="6" s="1"/>
  <c r="O1513" i="6"/>
  <c r="R1513" i="6" s="1"/>
  <c r="S1513" i="6" s="1"/>
  <c r="AB1513" i="6" s="1"/>
  <c r="AC1513" i="6" s="1"/>
  <c r="O1842" i="6"/>
  <c r="O1834" i="6"/>
  <c r="O118" i="6"/>
  <c r="R118" i="6" s="1"/>
  <c r="S118" i="6" s="1"/>
  <c r="AB118" i="6" s="1"/>
  <c r="AC118" i="6" s="1"/>
  <c r="O1092" i="6"/>
  <c r="R1092" i="6" s="1"/>
  <c r="S1092" i="6" s="1"/>
  <c r="AB1092" i="6" s="1"/>
  <c r="AC1092" i="6" s="1"/>
  <c r="O1410" i="6"/>
  <c r="R1410" i="6" s="1"/>
  <c r="S1410" i="6" s="1"/>
  <c r="AB1410" i="6" s="1"/>
  <c r="AC1410" i="6" s="1"/>
  <c r="O1316" i="6"/>
  <c r="R1316" i="6" s="1"/>
  <c r="S1316" i="6" s="1"/>
  <c r="AB1316" i="6" s="1"/>
  <c r="AC1316" i="6" s="1"/>
  <c r="O513" i="6"/>
  <c r="R513" i="6" s="1"/>
  <c r="S513" i="6" s="1"/>
  <c r="AB513" i="6" s="1"/>
  <c r="AC513" i="6" s="1"/>
  <c r="O346" i="6"/>
  <c r="R346" i="6" s="1"/>
  <c r="S346" i="6" s="1"/>
  <c r="AB346" i="6" s="1"/>
  <c r="AC346" i="6" s="1"/>
  <c r="O972" i="6"/>
  <c r="R972" i="6" s="1"/>
  <c r="S972" i="6" s="1"/>
  <c r="AB972" i="6" s="1"/>
  <c r="AC972" i="6" s="1"/>
  <c r="O1001" i="6"/>
  <c r="R1001" i="6" s="1"/>
  <c r="S1001" i="6" s="1"/>
  <c r="AB1001" i="6" s="1"/>
  <c r="AC1001" i="6" s="1"/>
  <c r="O672" i="6"/>
  <c r="R672" i="6" s="1"/>
  <c r="S672" i="6" s="1"/>
  <c r="AB672" i="6" s="1"/>
  <c r="AC672" i="6" s="1"/>
  <c r="O961" i="6"/>
  <c r="R961" i="6" s="1"/>
  <c r="S961" i="6" s="1"/>
  <c r="AB961" i="6" s="1"/>
  <c r="AC961" i="6" s="1"/>
  <c r="O1287" i="6"/>
  <c r="R1287" i="6" s="1"/>
  <c r="S1287" i="6" s="1"/>
  <c r="AB1287" i="6" s="1"/>
  <c r="AC1287" i="6" s="1"/>
  <c r="O488" i="6"/>
  <c r="R488" i="6" s="1"/>
  <c r="S488" i="6" s="1"/>
  <c r="AB488" i="6" s="1"/>
  <c r="AC488" i="6" s="1"/>
  <c r="O1954" i="6"/>
  <c r="O2037" i="6"/>
  <c r="R2037" i="6" s="1"/>
  <c r="S2037" i="6" s="1"/>
  <c r="AB2037" i="6" s="1"/>
  <c r="AC2037" i="6" s="1"/>
  <c r="O1100" i="6"/>
  <c r="R1100" i="6" s="1"/>
  <c r="S1100" i="6" s="1"/>
  <c r="AB1100" i="6" s="1"/>
  <c r="AC1100" i="6" s="1"/>
  <c r="O698" i="6"/>
  <c r="R698" i="6" s="1"/>
  <c r="S698" i="6" s="1"/>
  <c r="AB698" i="6" s="1"/>
  <c r="AC698" i="6" s="1"/>
  <c r="O665" i="6"/>
  <c r="R665" i="6" s="1"/>
  <c r="S665" i="6" s="1"/>
  <c r="AB665" i="6" s="1"/>
  <c r="AC665" i="6" s="1"/>
  <c r="O2280" i="6"/>
  <c r="R2280" i="6" s="1"/>
  <c r="S2280" i="6" s="1"/>
  <c r="AB2280" i="6" s="1"/>
  <c r="AC2280" i="6" s="1"/>
  <c r="O235" i="6"/>
  <c r="R235" i="6" s="1"/>
  <c r="S235" i="6" s="1"/>
  <c r="AB235" i="6" s="1"/>
  <c r="AC235" i="6" s="1"/>
  <c r="O1204" i="6"/>
  <c r="R1204" i="6" s="1"/>
  <c r="S1204" i="6" s="1"/>
  <c r="AB1204" i="6" s="1"/>
  <c r="AC1204" i="6" s="1"/>
  <c r="O2269" i="6"/>
  <c r="R2269" i="6" s="1"/>
  <c r="S2269" i="6" s="1"/>
  <c r="AB2269" i="6" s="1"/>
  <c r="AC2269" i="6" s="1"/>
  <c r="O358" i="6"/>
  <c r="R358" i="6" s="1"/>
  <c r="S358" i="6" s="1"/>
  <c r="AB358" i="6" s="1"/>
  <c r="AC358" i="6" s="1"/>
  <c r="O1736" i="6"/>
  <c r="R1736" i="6" s="1"/>
  <c r="S1736" i="6" s="1"/>
  <c r="AB1736" i="6" s="1"/>
  <c r="AC1736" i="6" s="1"/>
  <c r="O1132" i="6"/>
  <c r="R1132" i="6" s="1"/>
  <c r="S1132" i="6" s="1"/>
  <c r="AB1132" i="6" s="1"/>
  <c r="AC1132" i="6" s="1"/>
  <c r="O511" i="6"/>
  <c r="R511" i="6" s="1"/>
  <c r="S511" i="6" s="1"/>
  <c r="AB511" i="6" s="1"/>
  <c r="AC511" i="6" s="1"/>
  <c r="O541" i="6"/>
  <c r="R541" i="6" s="1"/>
  <c r="S541" i="6" s="1"/>
  <c r="AB541" i="6" s="1"/>
  <c r="AC541" i="6" s="1"/>
  <c r="O476" i="6"/>
  <c r="R476" i="6" s="1"/>
  <c r="S476" i="6" s="1"/>
  <c r="AB476" i="6" s="1"/>
  <c r="AC476" i="6" s="1"/>
  <c r="O239" i="6"/>
  <c r="R239" i="6" s="1"/>
  <c r="S239" i="6" s="1"/>
  <c r="AB239" i="6" s="1"/>
  <c r="AC239" i="6" s="1"/>
  <c r="O2315" i="6"/>
  <c r="R2315" i="6" s="1"/>
  <c r="S2315" i="6" s="1"/>
  <c r="AB2315" i="6" s="1"/>
  <c r="AC2315" i="6" s="1"/>
  <c r="O1499" i="6"/>
  <c r="R1499" i="6" s="1"/>
  <c r="S1499" i="6" s="1"/>
  <c r="AB1499" i="6" s="1"/>
  <c r="AC1499" i="6" s="1"/>
  <c r="O2168" i="6"/>
  <c r="R2168" i="6" s="1"/>
  <c r="S2168" i="6" s="1"/>
  <c r="AB2168" i="6" s="1"/>
  <c r="AC2168" i="6" s="1"/>
  <c r="O1657" i="6"/>
  <c r="O1407" i="6"/>
  <c r="R1407" i="6" s="1"/>
  <c r="S1407" i="6" s="1"/>
  <c r="AB1407" i="6" s="1"/>
  <c r="AC1407" i="6" s="1"/>
  <c r="O349" i="6"/>
  <c r="R349" i="6" s="1"/>
  <c r="S349" i="6" s="1"/>
  <c r="AB349" i="6" s="1"/>
  <c r="AC349" i="6" s="1"/>
  <c r="O1479" i="6"/>
  <c r="R1479" i="6" s="1"/>
  <c r="S1479" i="6" s="1"/>
  <c r="AB1479" i="6" s="1"/>
  <c r="AC1479" i="6" s="1"/>
  <c r="O2032" i="6"/>
  <c r="O1267" i="6"/>
  <c r="R1267" i="6" s="1"/>
  <c r="S1267" i="6" s="1"/>
  <c r="AB1267" i="6" s="1"/>
  <c r="AC1267" i="6" s="1"/>
  <c r="O600" i="6"/>
  <c r="R600" i="6" s="1"/>
  <c r="S600" i="6" s="1"/>
  <c r="AB600" i="6" s="1"/>
  <c r="AC600" i="6" s="1"/>
  <c r="O1481" i="6"/>
  <c r="R1481" i="6" s="1"/>
  <c r="S1481" i="6" s="1"/>
  <c r="AB1481" i="6" s="1"/>
  <c r="AC1481" i="6" s="1"/>
  <c r="O892" i="6"/>
  <c r="R892" i="6" s="1"/>
  <c r="S892" i="6" s="1"/>
  <c r="AB892" i="6" s="1"/>
  <c r="AC892" i="6" s="1"/>
  <c r="O2133" i="6"/>
  <c r="R2133" i="6" s="1"/>
  <c r="S2133" i="6" s="1"/>
  <c r="AB2133" i="6" s="1"/>
  <c r="AC2133" i="6" s="1"/>
  <c r="O1071" i="6"/>
  <c r="R1071" i="6" s="1"/>
  <c r="S1071" i="6" s="1"/>
  <c r="AB1071" i="6" s="1"/>
  <c r="AC1071" i="6" s="1"/>
  <c r="O552" i="6"/>
  <c r="R552" i="6" s="1"/>
  <c r="S552" i="6" s="1"/>
  <c r="AB552" i="6" s="1"/>
  <c r="AC552" i="6" s="1"/>
  <c r="O843" i="6"/>
  <c r="R843" i="6" s="1"/>
  <c r="S843" i="6" s="1"/>
  <c r="AB843" i="6" s="1"/>
  <c r="AC843" i="6" s="1"/>
  <c r="O2223" i="6"/>
  <c r="R2223" i="6" s="1"/>
  <c r="S2223" i="6" s="1"/>
  <c r="AB2223" i="6" s="1"/>
  <c r="AC2223" i="6" s="1"/>
  <c r="O1235" i="6"/>
  <c r="R1235" i="6" s="1"/>
  <c r="S1235" i="6" s="1"/>
  <c r="AB1235" i="6" s="1"/>
  <c r="AC1235" i="6" s="1"/>
  <c r="O691" i="6"/>
  <c r="R691" i="6" s="1"/>
  <c r="S691" i="6" s="1"/>
  <c r="AB691" i="6" s="1"/>
  <c r="AC691" i="6" s="1"/>
  <c r="O2282" i="6"/>
  <c r="R2282" i="6" s="1"/>
  <c r="S2282" i="6" s="1"/>
  <c r="AB2282" i="6" s="1"/>
  <c r="AC2282" i="6" s="1"/>
  <c r="O571" i="6"/>
  <c r="R571" i="6" s="1"/>
  <c r="S571" i="6" s="1"/>
  <c r="AB571" i="6" s="1"/>
  <c r="AC571" i="6" s="1"/>
  <c r="O1548" i="6"/>
  <c r="R1548" i="6" s="1"/>
  <c r="S1548" i="6" s="1"/>
  <c r="AB1548" i="6" s="1"/>
  <c r="AC1548" i="6" s="1"/>
  <c r="O2358" i="6"/>
  <c r="R2358" i="6" s="1"/>
  <c r="S2358" i="6" s="1"/>
  <c r="AB2358" i="6" s="1"/>
  <c r="AC2358" i="6" s="1"/>
  <c r="O1946" i="6"/>
  <c r="R1946" i="6" s="1"/>
  <c r="S1946" i="6" s="1"/>
  <c r="AB1946" i="6" s="1"/>
  <c r="AC1946" i="6" s="1"/>
  <c r="O890" i="6"/>
  <c r="R890" i="6" s="1"/>
  <c r="S890" i="6" s="1"/>
  <c r="AB890" i="6" s="1"/>
  <c r="AC890" i="6" s="1"/>
  <c r="O1763" i="6"/>
  <c r="R1763" i="6" s="1"/>
  <c r="S1763" i="6" s="1"/>
  <c r="AB1763" i="6" s="1"/>
  <c r="AC1763" i="6" s="1"/>
  <c r="O2177" i="6"/>
  <c r="R2177" i="6" s="1"/>
  <c r="S2177" i="6" s="1"/>
  <c r="AB2177" i="6" s="1"/>
  <c r="AC2177" i="6" s="1"/>
  <c r="O1691" i="6"/>
  <c r="R1691" i="6" s="1"/>
  <c r="O1285" i="6"/>
  <c r="R1285" i="6" s="1"/>
  <c r="S1285" i="6" s="1"/>
  <c r="AB1285" i="6" s="1"/>
  <c r="AC1285" i="6" s="1"/>
  <c r="O427" i="6"/>
  <c r="R427" i="6" s="1"/>
  <c r="S427" i="6" s="1"/>
  <c r="AB427" i="6" s="1"/>
  <c r="AC427" i="6" s="1"/>
  <c r="O582" i="6"/>
  <c r="R582" i="6" s="1"/>
  <c r="S582" i="6" s="1"/>
  <c r="AB582" i="6" s="1"/>
  <c r="AC582" i="6" s="1"/>
  <c r="O1440" i="6"/>
  <c r="R1440" i="6" s="1"/>
  <c r="S1440" i="6" s="1"/>
  <c r="AB1440" i="6" s="1"/>
  <c r="AC1440" i="6" s="1"/>
  <c r="O1429" i="6"/>
  <c r="R1429" i="6" s="1"/>
  <c r="S1429" i="6" s="1"/>
  <c r="AB1429" i="6" s="1"/>
  <c r="AC1429" i="6" s="1"/>
  <c r="O2163" i="6"/>
  <c r="R2163" i="6" s="1"/>
  <c r="S2163" i="6" s="1"/>
  <c r="AB2163" i="6" s="1"/>
  <c r="AC2163" i="6" s="1"/>
  <c r="O2258" i="6"/>
  <c r="R2258" i="6" s="1"/>
  <c r="S2258" i="6" s="1"/>
  <c r="AB2258" i="6" s="1"/>
  <c r="AC2258" i="6" s="1"/>
  <c r="O912" i="6"/>
  <c r="O2338" i="6"/>
  <c r="R2338" i="6" s="1"/>
  <c r="S2338" i="6" s="1"/>
  <c r="AB2338" i="6" s="1"/>
  <c r="AC2338" i="6" s="1"/>
  <c r="O748" i="6"/>
  <c r="O369" i="6"/>
  <c r="R369" i="6" s="1"/>
  <c r="S369" i="6" s="1"/>
  <c r="AB369" i="6" s="1"/>
  <c r="AC369" i="6" s="1"/>
  <c r="O1793" i="6"/>
  <c r="R1793" i="6" s="1"/>
  <c r="S1793" i="6" s="1"/>
  <c r="AB1793" i="6" s="1"/>
  <c r="AC1793" i="6" s="1"/>
  <c r="O161" i="6"/>
  <c r="R161" i="6" s="1"/>
  <c r="S161" i="6" s="1"/>
  <c r="AB161" i="6" s="1"/>
  <c r="AC161" i="6" s="1"/>
  <c r="O1148" i="6"/>
  <c r="R1148" i="6" s="1"/>
  <c r="S1148" i="6" s="1"/>
  <c r="AB1148" i="6" s="1"/>
  <c r="AC1148" i="6" s="1"/>
  <c r="O2260" i="6"/>
  <c r="R2260" i="6" s="1"/>
  <c r="S2260" i="6" s="1"/>
  <c r="AB2260" i="6" s="1"/>
  <c r="AC2260" i="6" s="1"/>
  <c r="O601" i="6"/>
  <c r="R601" i="6" s="1"/>
  <c r="S601" i="6" s="1"/>
  <c r="AB601" i="6" s="1"/>
  <c r="AC601" i="6" s="1"/>
  <c r="O1546" i="6"/>
  <c r="R1546" i="6" s="1"/>
  <c r="S1546" i="6" s="1"/>
  <c r="AB1546" i="6" s="1"/>
  <c r="AC1546" i="6" s="1"/>
  <c r="O2033" i="6"/>
  <c r="R2033" i="6" s="1"/>
  <c r="S2033" i="6" s="1"/>
  <c r="AB2033" i="6" s="1"/>
  <c r="AC2033" i="6" s="1"/>
  <c r="O605" i="6"/>
  <c r="R605" i="6" s="1"/>
  <c r="S605" i="6" s="1"/>
  <c r="AB605" i="6" s="1"/>
  <c r="AC605" i="6" s="1"/>
  <c r="O1078" i="6"/>
  <c r="R1078" i="6" s="1"/>
  <c r="S1078" i="6" s="1"/>
  <c r="AB1078" i="6" s="1"/>
  <c r="AC1078" i="6" s="1"/>
  <c r="O1065" i="6"/>
  <c r="R1065" i="6" s="1"/>
  <c r="S1065" i="6" s="1"/>
  <c r="AB1065" i="6" s="1"/>
  <c r="AC1065" i="6" s="1"/>
  <c r="O2215" i="6"/>
  <c r="O1820" i="6"/>
  <c r="R1820" i="6" s="1"/>
  <c r="S1820" i="6" s="1"/>
  <c r="AB1820" i="6" s="1"/>
  <c r="AC1820" i="6" s="1"/>
  <c r="O1493" i="6"/>
  <c r="O1701" i="6"/>
  <c r="R1701" i="6" s="1"/>
  <c r="S1701" i="6" s="1"/>
  <c r="AB1701" i="6" s="1"/>
  <c r="AC1701" i="6" s="1"/>
  <c r="O359" i="6"/>
  <c r="R359" i="6" s="1"/>
  <c r="S359" i="6" s="1"/>
  <c r="AB359" i="6" s="1"/>
  <c r="AC359" i="6" s="1"/>
  <c r="O1185" i="6"/>
  <c r="R1185" i="6" s="1"/>
  <c r="S1185" i="6" s="1"/>
  <c r="AB1185" i="6" s="1"/>
  <c r="AC1185" i="6" s="1"/>
  <c r="O1603" i="6"/>
  <c r="R1603" i="6" s="1"/>
  <c r="S1603" i="6" s="1"/>
  <c r="AB1603" i="6" s="1"/>
  <c r="AC1603" i="6" s="1"/>
  <c r="O467" i="6"/>
  <c r="R467" i="6" s="1"/>
  <c r="S467" i="6" s="1"/>
  <c r="AB467" i="6" s="1"/>
  <c r="AC467" i="6" s="1"/>
  <c r="O908" i="6"/>
  <c r="R908" i="6" s="1"/>
  <c r="S908" i="6" s="1"/>
  <c r="AB908" i="6" s="1"/>
  <c r="AC908" i="6" s="1"/>
  <c r="O1141" i="6"/>
  <c r="R1141" i="6" s="1"/>
  <c r="S1141" i="6" s="1"/>
  <c r="AB1141" i="6" s="1"/>
  <c r="AC1141" i="6" s="1"/>
  <c r="O2233" i="6"/>
  <c r="R2233" i="6" s="1"/>
  <c r="S2233" i="6" s="1"/>
  <c r="AB2233" i="6" s="1"/>
  <c r="AC2233" i="6" s="1"/>
  <c r="O2102" i="6"/>
  <c r="R2102" i="6" s="1"/>
  <c r="S2102" i="6" s="1"/>
  <c r="AB2102" i="6" s="1"/>
  <c r="AC2102" i="6" s="1"/>
  <c r="O771" i="6"/>
  <c r="R771" i="6" s="1"/>
  <c r="S771" i="6" s="1"/>
  <c r="AB771" i="6" s="1"/>
  <c r="AC771" i="6" s="1"/>
  <c r="O614" i="6"/>
  <c r="R614" i="6" s="1"/>
  <c r="S614" i="6" s="1"/>
  <c r="AB614" i="6" s="1"/>
  <c r="AC614" i="6" s="1"/>
  <c r="O1076" i="6"/>
  <c r="R1076" i="6" s="1"/>
  <c r="S1076" i="6" s="1"/>
  <c r="AB1076" i="6" s="1"/>
  <c r="AC1076" i="6" s="1"/>
  <c r="O1584" i="6"/>
  <c r="R1584" i="6" s="1"/>
  <c r="S1584" i="6" s="1"/>
  <c r="AB1584" i="6" s="1"/>
  <c r="AC1584" i="6" s="1"/>
  <c r="O849" i="6"/>
  <c r="R849" i="6" s="1"/>
  <c r="S849" i="6" s="1"/>
  <c r="AB849" i="6" s="1"/>
  <c r="AC849" i="6" s="1"/>
  <c r="O853" i="6"/>
  <c r="R853" i="6" s="1"/>
  <c r="S853" i="6" s="1"/>
  <c r="AB853" i="6" s="1"/>
  <c r="AC853" i="6" s="1"/>
  <c r="O2007" i="6"/>
  <c r="O412" i="6"/>
  <c r="R412" i="6" s="1"/>
  <c r="S412" i="6" s="1"/>
  <c r="AB412" i="6" s="1"/>
  <c r="AC412" i="6" s="1"/>
  <c r="O1605" i="6"/>
  <c r="R1605" i="6" s="1"/>
  <c r="S1605" i="6" s="1"/>
  <c r="AB1605" i="6" s="1"/>
  <c r="AC1605" i="6" s="1"/>
  <c r="O1655" i="6"/>
  <c r="R1655" i="6" s="1"/>
  <c r="S1655" i="6" s="1"/>
  <c r="AB1655" i="6" s="1"/>
  <c r="AC1655" i="6" s="1"/>
  <c r="O1476" i="6"/>
  <c r="R1476" i="6" s="1"/>
  <c r="S1476" i="6" s="1"/>
  <c r="AB1476" i="6" s="1"/>
  <c r="AC1476" i="6" s="1"/>
  <c r="O1861" i="6"/>
  <c r="R1861" i="6" s="1"/>
  <c r="S1861" i="6" s="1"/>
  <c r="AB1861" i="6" s="1"/>
  <c r="AC1861" i="6" s="1"/>
  <c r="O1963" i="6"/>
  <c r="R1963" i="6" s="1"/>
  <c r="S1963" i="6" s="1"/>
  <c r="AB1963" i="6" s="1"/>
  <c r="AC1963" i="6" s="1"/>
  <c r="O49" i="6"/>
  <c r="R49" i="6" s="1"/>
  <c r="S49" i="6" s="1"/>
  <c r="AB49" i="6" s="1"/>
  <c r="AC49" i="6" s="1"/>
  <c r="O1599" i="6"/>
  <c r="R1599" i="6" s="1"/>
  <c r="S1599" i="6" s="1"/>
  <c r="AB1599" i="6" s="1"/>
  <c r="AC1599" i="6" s="1"/>
  <c r="O1412" i="6"/>
  <c r="R1412" i="6" s="1"/>
  <c r="S1412" i="6" s="1"/>
  <c r="AB1412" i="6" s="1"/>
  <c r="AC1412" i="6" s="1"/>
  <c r="O1772" i="6"/>
  <c r="R1772" i="6" s="1"/>
  <c r="S1772" i="6" s="1"/>
  <c r="AB1772" i="6" s="1"/>
  <c r="AC1772" i="6" s="1"/>
  <c r="O1673" i="6"/>
  <c r="R1673" i="6" s="1"/>
  <c r="S1673" i="6" s="1"/>
  <c r="AB1673" i="6" s="1"/>
  <c r="AC1673" i="6" s="1"/>
  <c r="O2160" i="6"/>
  <c r="R2160" i="6" s="1"/>
  <c r="S2160" i="6" s="1"/>
  <c r="AB2160" i="6" s="1"/>
  <c r="AC2160" i="6" s="1"/>
  <c r="O2366" i="6"/>
  <c r="O754" i="6"/>
  <c r="R754" i="6" s="1"/>
  <c r="S754" i="6" s="1"/>
  <c r="AB754" i="6" s="1"/>
  <c r="AC754" i="6" s="1"/>
  <c r="O755" i="6"/>
  <c r="R755" i="6" s="1"/>
  <c r="S755" i="6" s="1"/>
  <c r="AB755" i="6" s="1"/>
  <c r="AC755" i="6" s="1"/>
  <c r="O1383" i="6"/>
  <c r="R1383" i="6" s="1"/>
  <c r="S1383" i="6" s="1"/>
  <c r="AB1383" i="6" s="1"/>
  <c r="AC1383" i="6" s="1"/>
  <c r="O1305" i="6"/>
  <c r="R1305" i="6" s="1"/>
  <c r="S1305" i="6" s="1"/>
  <c r="AB1305" i="6" s="1"/>
  <c r="AC1305" i="6" s="1"/>
  <c r="O1560" i="6"/>
  <c r="R1560" i="6" s="1"/>
  <c r="S1560" i="6" s="1"/>
  <c r="AB1560" i="6" s="1"/>
  <c r="AC1560" i="6" s="1"/>
  <c r="O1103" i="6"/>
  <c r="R1103" i="6" s="1"/>
  <c r="S1103" i="6" s="1"/>
  <c r="AB1103" i="6" s="1"/>
  <c r="AC1103" i="6" s="1"/>
  <c r="O814" i="6"/>
  <c r="R814" i="6" s="1"/>
  <c r="S814" i="6" s="1"/>
  <c r="AB814" i="6" s="1"/>
  <c r="AC814" i="6" s="1"/>
  <c r="O438" i="6"/>
  <c r="R438" i="6" s="1"/>
  <c r="S438" i="6" s="1"/>
  <c r="AB438" i="6" s="1"/>
  <c r="AC438" i="6" s="1"/>
  <c r="O1886" i="6"/>
  <c r="R1886" i="6" s="1"/>
  <c r="S1886" i="6" s="1"/>
  <c r="AB1886" i="6" s="1"/>
  <c r="AC1886" i="6" s="1"/>
  <c r="O989" i="6"/>
  <c r="R989" i="6" s="1"/>
  <c r="S989" i="6" s="1"/>
  <c r="AB989" i="6" s="1"/>
  <c r="AC989" i="6" s="1"/>
  <c r="O802" i="6"/>
  <c r="R802" i="6" s="1"/>
  <c r="S802" i="6" s="1"/>
  <c r="AB802" i="6" s="1"/>
  <c r="AC802" i="6" s="1"/>
  <c r="O2055" i="6"/>
  <c r="R2055" i="6" s="1"/>
  <c r="S2055" i="6" s="1"/>
  <c r="AB2055" i="6" s="1"/>
  <c r="AC2055" i="6" s="1"/>
  <c r="O303" i="6"/>
  <c r="R303" i="6" s="1"/>
  <c r="S303" i="6" s="1"/>
  <c r="AB303" i="6" s="1"/>
  <c r="AC303" i="6" s="1"/>
  <c r="O278" i="6"/>
  <c r="R278" i="6" s="1"/>
  <c r="S278" i="6" s="1"/>
  <c r="AB278" i="6" s="1"/>
  <c r="AC278" i="6" s="1"/>
  <c r="O1273" i="6"/>
  <c r="R1273" i="6" s="1"/>
  <c r="O432" i="6"/>
  <c r="R432" i="6" s="1"/>
  <c r="O1299" i="6"/>
  <c r="R1299" i="6" s="1"/>
  <c r="S1299" i="6" s="1"/>
  <c r="AB1299" i="6" s="1"/>
  <c r="AC1299" i="6" s="1"/>
  <c r="O1139" i="6"/>
  <c r="R1139" i="6" s="1"/>
  <c r="S1139" i="6" s="1"/>
  <c r="AB1139" i="6" s="1"/>
  <c r="AC1139" i="6" s="1"/>
  <c r="O1831" i="6"/>
  <c r="R1831" i="6" s="1"/>
  <c r="S1831" i="6" s="1"/>
  <c r="AB1831" i="6" s="1"/>
  <c r="AC1831" i="6" s="1"/>
  <c r="O489" i="6"/>
  <c r="R489" i="6" s="1"/>
  <c r="S489" i="6" s="1"/>
  <c r="AB489" i="6" s="1"/>
  <c r="AC489" i="6" s="1"/>
  <c r="O1309" i="6"/>
  <c r="R1309" i="6" s="1"/>
  <c r="S1309" i="6" s="1"/>
  <c r="AB1309" i="6" s="1"/>
  <c r="AC1309" i="6" s="1"/>
  <c r="O119" i="6"/>
  <c r="R119" i="6" s="1"/>
  <c r="S119" i="6" s="1"/>
  <c r="AB119" i="6" s="1"/>
  <c r="AC119" i="6" s="1"/>
  <c r="O2073" i="6"/>
  <c r="R2073" i="6" s="1"/>
  <c r="S2073" i="6" s="1"/>
  <c r="AB2073" i="6" s="1"/>
  <c r="AC2073" i="6" s="1"/>
  <c r="O1538" i="6"/>
  <c r="R1538" i="6" s="1"/>
  <c r="S1538" i="6" s="1"/>
  <c r="AB1538" i="6" s="1"/>
  <c r="AC1538" i="6" s="1"/>
  <c r="O2197" i="6"/>
  <c r="R2197" i="6" s="1"/>
  <c r="S2197" i="6" s="1"/>
  <c r="AB2197" i="6" s="1"/>
  <c r="AC2197" i="6" s="1"/>
  <c r="O1858" i="6"/>
  <c r="R1858" i="6" s="1"/>
  <c r="S1858" i="6" s="1"/>
  <c r="AB1858" i="6" s="1"/>
  <c r="AC1858" i="6" s="1"/>
  <c r="O1922" i="6"/>
  <c r="R1922" i="6" s="1"/>
  <c r="S1922" i="6" s="1"/>
  <c r="AB1922" i="6" s="1"/>
  <c r="AC1922" i="6" s="1"/>
  <c r="O725" i="6"/>
  <c r="R725" i="6" s="1"/>
  <c r="S725" i="6" s="1"/>
  <c r="AB725" i="6" s="1"/>
  <c r="AC725" i="6" s="1"/>
  <c r="O1331" i="6"/>
  <c r="R1331" i="6" s="1"/>
  <c r="S1331" i="6" s="1"/>
  <c r="AB1331" i="6" s="1"/>
  <c r="AC1331" i="6" s="1"/>
  <c r="O1278" i="6"/>
  <c r="R1278" i="6" s="1"/>
  <c r="S1278" i="6" s="1"/>
  <c r="AB1278" i="6" s="1"/>
  <c r="AC1278" i="6" s="1"/>
  <c r="O1702" i="6"/>
  <c r="R1702" i="6" s="1"/>
  <c r="S1702" i="6" s="1"/>
  <c r="AB1702" i="6" s="1"/>
  <c r="AC1702" i="6" s="1"/>
  <c r="O29" i="6"/>
  <c r="R29" i="6" s="1"/>
  <c r="S29" i="6" s="1"/>
  <c r="AB29" i="6" s="1"/>
  <c r="AC29" i="6" s="1"/>
  <c r="O1211" i="6"/>
  <c r="R1211" i="6" s="1"/>
  <c r="S1211" i="6" s="1"/>
  <c r="AB1211" i="6" s="1"/>
  <c r="AC1211" i="6" s="1"/>
  <c r="O866" i="6"/>
  <c r="R866" i="6" s="1"/>
  <c r="S866" i="6" s="1"/>
  <c r="AB866" i="6" s="1"/>
  <c r="AC866" i="6" s="1"/>
  <c r="O1425" i="6"/>
  <c r="R1425" i="6" s="1"/>
  <c r="S1425" i="6" s="1"/>
  <c r="AB1425" i="6" s="1"/>
  <c r="AC1425" i="6" s="1"/>
  <c r="O1823" i="6"/>
  <c r="O1109" i="6"/>
  <c r="R1109" i="6" s="1"/>
  <c r="S1109" i="6" s="1"/>
  <c r="AB1109" i="6" s="1"/>
  <c r="AC1109" i="6" s="1"/>
  <c r="O1202" i="6"/>
  <c r="R1202" i="6" s="1"/>
  <c r="S1202" i="6" s="1"/>
  <c r="AB1202" i="6" s="1"/>
  <c r="AC1202" i="6" s="1"/>
  <c r="O1704" i="6"/>
  <c r="R1704" i="6" s="1"/>
  <c r="S1704" i="6" s="1"/>
  <c r="AB1704" i="6" s="1"/>
  <c r="AC1704" i="6" s="1"/>
  <c r="O2139" i="6"/>
  <c r="R2139" i="6" s="1"/>
  <c r="S2139" i="6" s="1"/>
  <c r="AB2139" i="6" s="1"/>
  <c r="AC2139" i="6" s="1"/>
  <c r="O1468" i="6"/>
  <c r="R1468" i="6" s="1"/>
  <c r="S1468" i="6" s="1"/>
  <c r="AB1468" i="6" s="1"/>
  <c r="AC1468" i="6" s="1"/>
  <c r="O997" i="6"/>
  <c r="R997" i="6" s="1"/>
  <c r="S997" i="6" s="1"/>
  <c r="AB997" i="6" s="1"/>
  <c r="AC997" i="6" s="1"/>
  <c r="O2196" i="6"/>
  <c r="R2196" i="6" s="1"/>
  <c r="S2196" i="6" s="1"/>
  <c r="AB2196" i="6" s="1"/>
  <c r="AC2196" i="6" s="1"/>
  <c r="O2138" i="6"/>
  <c r="R2138" i="6" s="1"/>
  <c r="S2138" i="6" s="1"/>
  <c r="AB2138" i="6" s="1"/>
  <c r="AC2138" i="6" s="1"/>
  <c r="O1296" i="6"/>
  <c r="R1296" i="6" s="1"/>
  <c r="S1296" i="6" s="1"/>
  <c r="AB1296" i="6" s="1"/>
  <c r="AC1296" i="6" s="1"/>
  <c r="O536" i="6"/>
  <c r="R536" i="6" s="1"/>
  <c r="S536" i="6" s="1"/>
  <c r="AB536" i="6" s="1"/>
  <c r="AC536" i="6" s="1"/>
  <c r="O1768" i="6"/>
  <c r="R1768" i="6" s="1"/>
  <c r="S1768" i="6" s="1"/>
  <c r="AB1768" i="6" s="1"/>
  <c r="AC1768" i="6" s="1"/>
  <c r="O1530" i="6"/>
  <c r="R1530" i="6" s="1"/>
  <c r="S1530" i="6" s="1"/>
  <c r="AB1530" i="6" s="1"/>
  <c r="AC1530" i="6" s="1"/>
  <c r="O2294" i="6"/>
  <c r="R2294" i="6" s="1"/>
  <c r="S2294" i="6" s="1"/>
  <c r="AB2294" i="6" s="1"/>
  <c r="AC2294" i="6" s="1"/>
  <c r="O1749" i="6"/>
  <c r="R1749" i="6" s="1"/>
  <c r="S1749" i="6" s="1"/>
  <c r="AB1749" i="6" s="1"/>
  <c r="AC1749" i="6" s="1"/>
  <c r="O1543" i="6"/>
  <c r="O266" i="6"/>
  <c r="R266" i="6" s="1"/>
  <c r="S266" i="6" s="1"/>
  <c r="AB266" i="6" s="1"/>
  <c r="AC266" i="6" s="1"/>
  <c r="O818" i="6"/>
  <c r="R818" i="6" s="1"/>
  <c r="S818" i="6" s="1"/>
  <c r="AB818" i="6" s="1"/>
  <c r="AC818" i="6" s="1"/>
  <c r="O1852" i="6"/>
  <c r="R1852" i="6" s="1"/>
  <c r="S1852" i="6" s="1"/>
  <c r="AB1852" i="6" s="1"/>
  <c r="AC1852" i="6" s="1"/>
  <c r="O484" i="6"/>
  <c r="R484" i="6" s="1"/>
  <c r="S484" i="6" s="1"/>
  <c r="AB484" i="6" s="1"/>
  <c r="AC484" i="6" s="1"/>
  <c r="O441" i="6"/>
  <c r="R441" i="6" s="1"/>
  <c r="S441" i="6" s="1"/>
  <c r="AB441" i="6" s="1"/>
  <c r="AC441" i="6" s="1"/>
  <c r="O381" i="6"/>
  <c r="R381" i="6" s="1"/>
  <c r="S381" i="6" s="1"/>
  <c r="AB381" i="6" s="1"/>
  <c r="AC381" i="6" s="1"/>
  <c r="O1564" i="6"/>
  <c r="R1564" i="6" s="1"/>
  <c r="S1564" i="6" s="1"/>
  <c r="AB1564" i="6" s="1"/>
  <c r="AC1564" i="6" s="1"/>
  <c r="O2110" i="6"/>
  <c r="R2110" i="6" s="1"/>
  <c r="S2110" i="6" s="1"/>
  <c r="AB2110" i="6" s="1"/>
  <c r="AC2110" i="6" s="1"/>
  <c r="O1907" i="6"/>
  <c r="R1907" i="6" s="1"/>
  <c r="S1907" i="6" s="1"/>
  <c r="AB1907" i="6" s="1"/>
  <c r="AC1907" i="6" s="1"/>
  <c r="O929" i="6"/>
  <c r="R929" i="6" s="1"/>
  <c r="S929" i="6" s="1"/>
  <c r="AB929" i="6" s="1"/>
  <c r="AC929" i="6" s="1"/>
  <c r="O2008" i="6"/>
  <c r="R2008" i="6" s="1"/>
  <c r="S2008" i="6" s="1"/>
  <c r="AB2008" i="6" s="1"/>
  <c r="AC2008" i="6" s="1"/>
  <c r="O2341" i="6"/>
  <c r="R2341" i="6" s="1"/>
  <c r="S2341" i="6" s="1"/>
  <c r="AB2341" i="6" s="1"/>
  <c r="AC2341" i="6" s="1"/>
  <c r="O377" i="6"/>
  <c r="R377" i="6" s="1"/>
  <c r="S377" i="6" s="1"/>
  <c r="AB377" i="6" s="1"/>
  <c r="AC377" i="6" s="1"/>
  <c r="O1436" i="6"/>
  <c r="R1436" i="6" s="1"/>
  <c r="S1436" i="6" s="1"/>
  <c r="AB1436" i="6" s="1"/>
  <c r="AC1436" i="6" s="1"/>
  <c r="O54" i="6"/>
  <c r="R54" i="6" s="1"/>
  <c r="S54" i="6" s="1"/>
  <c r="AB54" i="6" s="1"/>
  <c r="AC54" i="6" s="1"/>
  <c r="O1098" i="6"/>
  <c r="O2027" i="6"/>
  <c r="R2027" i="6" s="1"/>
  <c r="S2027" i="6" s="1"/>
  <c r="AB2027" i="6" s="1"/>
  <c r="AC2027" i="6" s="1"/>
  <c r="O1021" i="6"/>
  <c r="R1021" i="6" s="1"/>
  <c r="S1021" i="6" s="1"/>
  <c r="AB1021" i="6" s="1"/>
  <c r="AC1021" i="6" s="1"/>
  <c r="O526" i="6"/>
  <c r="R526" i="6" s="1"/>
  <c r="S526" i="6" s="1"/>
  <c r="AB526" i="6" s="1"/>
  <c r="AC526" i="6" s="1"/>
  <c r="O1364" i="6"/>
  <c r="R1364" i="6" s="1"/>
  <c r="S1364" i="6" s="1"/>
  <c r="AB1364" i="6" s="1"/>
  <c r="AC1364" i="6" s="1"/>
  <c r="O2031" i="6"/>
  <c r="R2031" i="6" s="1"/>
  <c r="S2031" i="6" s="1"/>
  <c r="AB2031" i="6" s="1"/>
  <c r="AC2031" i="6" s="1"/>
  <c r="O1745" i="6"/>
  <c r="R1745" i="6" s="1"/>
  <c r="S1745" i="6" s="1"/>
  <c r="AB1745" i="6" s="1"/>
  <c r="AC1745" i="6" s="1"/>
  <c r="O504" i="6"/>
  <c r="R504" i="6" s="1"/>
  <c r="S504" i="6" s="1"/>
  <c r="AB504" i="6" s="1"/>
  <c r="AC504" i="6" s="1"/>
  <c r="O2200" i="6"/>
  <c r="R2200" i="6" s="1"/>
  <c r="S2200" i="6" s="1"/>
  <c r="AB2200" i="6" s="1"/>
  <c r="AC2200" i="6" s="1"/>
  <c r="O1956" i="6"/>
  <c r="R1956" i="6" s="1"/>
  <c r="S1956" i="6" s="1"/>
  <c r="AB1956" i="6" s="1"/>
  <c r="AC1956" i="6" s="1"/>
  <c r="O2356" i="6"/>
  <c r="R2356" i="6" s="1"/>
  <c r="S2356" i="6" s="1"/>
  <c r="AB2356" i="6" s="1"/>
  <c r="AC2356" i="6" s="1"/>
  <c r="O343" i="6"/>
  <c r="R343" i="6" s="1"/>
  <c r="S343" i="6" s="1"/>
  <c r="AB343" i="6" s="1"/>
  <c r="AC343" i="6" s="1"/>
  <c r="O1504" i="6"/>
  <c r="R1504" i="6" s="1"/>
  <c r="S1504" i="6" s="1"/>
  <c r="AB1504" i="6" s="1"/>
  <c r="AC1504" i="6" s="1"/>
  <c r="O1390" i="6"/>
  <c r="R1390" i="6" s="1"/>
  <c r="S1390" i="6" s="1"/>
  <c r="AB1390" i="6" s="1"/>
  <c r="AC1390" i="6" s="1"/>
  <c r="O335" i="6"/>
  <c r="R335" i="6" s="1"/>
  <c r="S335" i="6" s="1"/>
  <c r="AB335" i="6" s="1"/>
  <c r="AC335" i="6" s="1"/>
  <c r="O324" i="6"/>
  <c r="O370" i="6"/>
  <c r="O2171" i="6"/>
  <c r="R2171" i="6" s="1"/>
  <c r="S2171" i="6" s="1"/>
  <c r="AB2171" i="6" s="1"/>
  <c r="AC2171" i="6" s="1"/>
  <c r="O521" i="6"/>
  <c r="R521" i="6" s="1"/>
  <c r="S521" i="6" s="1"/>
  <c r="AB521" i="6" s="1"/>
  <c r="AC521" i="6" s="1"/>
  <c r="O1794" i="6"/>
  <c r="R1794" i="6" s="1"/>
  <c r="S1794" i="6" s="1"/>
  <c r="AB1794" i="6" s="1"/>
  <c r="AC1794" i="6" s="1"/>
  <c r="O863" i="6"/>
  <c r="R863" i="6" s="1"/>
  <c r="S863" i="6" s="1"/>
  <c r="AB863" i="6" s="1"/>
  <c r="AC863" i="6" s="1"/>
  <c r="O1622" i="6"/>
  <c r="R1622" i="6" s="1"/>
  <c r="S1622" i="6" s="1"/>
  <c r="AB1622" i="6" s="1"/>
  <c r="AC1622" i="6" s="1"/>
  <c r="O1053" i="6"/>
  <c r="R1053" i="6" s="1"/>
  <c r="S1053" i="6" s="1"/>
  <c r="AB1053" i="6" s="1"/>
  <c r="AC1053" i="6" s="1"/>
  <c r="O645" i="6"/>
  <c r="R645" i="6" s="1"/>
  <c r="S645" i="6" s="1"/>
  <c r="AB645" i="6" s="1"/>
  <c r="AC645" i="6" s="1"/>
  <c r="O745" i="6"/>
  <c r="R745" i="6" s="1"/>
  <c r="S745" i="6" s="1"/>
  <c r="AB745" i="6" s="1"/>
  <c r="AC745" i="6" s="1"/>
  <c r="O1075" i="6"/>
  <c r="R1075" i="6" s="1"/>
  <c r="S1075" i="6" s="1"/>
  <c r="AB1075" i="6" s="1"/>
  <c r="AC1075" i="6" s="1"/>
  <c r="O344" i="6"/>
  <c r="R344" i="6" s="1"/>
  <c r="S344" i="6" s="1"/>
  <c r="AB344" i="6" s="1"/>
  <c r="AC344" i="6" s="1"/>
  <c r="O299" i="6"/>
  <c r="R299" i="6" s="1"/>
  <c r="S299" i="6" s="1"/>
  <c r="AB299" i="6" s="1"/>
  <c r="AC299" i="6" s="1"/>
  <c r="O1783" i="6"/>
  <c r="R1783" i="6" s="1"/>
  <c r="S1783" i="6" s="1"/>
  <c r="AB1783" i="6" s="1"/>
  <c r="AC1783" i="6" s="1"/>
  <c r="O338" i="6"/>
  <c r="R338" i="6" s="1"/>
  <c r="S338" i="6" s="1"/>
  <c r="AB338" i="6" s="1"/>
  <c r="AC338" i="6" s="1"/>
  <c r="O1623" i="6"/>
  <c r="R1623" i="6" s="1"/>
  <c r="S1623" i="6" s="1"/>
  <c r="AB1623" i="6" s="1"/>
  <c r="AC1623" i="6" s="1"/>
  <c r="O1231" i="6"/>
  <c r="R1231" i="6" s="1"/>
  <c r="S1231" i="6" s="1"/>
  <c r="AB1231" i="6" s="1"/>
  <c r="AC1231" i="6" s="1"/>
  <c r="O227" i="6"/>
  <c r="O639" i="6"/>
  <c r="R639" i="6" s="1"/>
  <c r="S639" i="6" s="1"/>
  <c r="AB639" i="6" s="1"/>
  <c r="AC639" i="6" s="1"/>
  <c r="O1022" i="6"/>
  <c r="R1022" i="6" s="1"/>
  <c r="S1022" i="6" s="1"/>
  <c r="AB1022" i="6" s="1"/>
  <c r="AC1022" i="6" s="1"/>
  <c r="O891" i="6"/>
  <c r="R891" i="6" s="1"/>
  <c r="S891" i="6" s="1"/>
  <c r="AB891" i="6" s="1"/>
  <c r="AC891" i="6" s="1"/>
  <c r="O2316" i="6"/>
  <c r="R2316" i="6" s="1"/>
  <c r="S2316" i="6" s="1"/>
  <c r="AB2316" i="6" s="1"/>
  <c r="AC2316" i="6" s="1"/>
  <c r="O1585" i="6"/>
  <c r="R1585" i="6" s="1"/>
  <c r="S1585" i="6" s="1"/>
  <c r="AB1585" i="6" s="1"/>
  <c r="AC1585" i="6" s="1"/>
  <c r="O2040" i="6"/>
  <c r="R2040" i="6" s="1"/>
  <c r="S2040" i="6" s="1"/>
  <c r="AB2040" i="6" s="1"/>
  <c r="AC2040" i="6" s="1"/>
  <c r="O1992" i="6"/>
  <c r="R1992" i="6" s="1"/>
  <c r="O623" i="6"/>
  <c r="R623" i="6" s="1"/>
  <c r="S623" i="6" s="1"/>
  <c r="AB623" i="6" s="1"/>
  <c r="AC623" i="6" s="1"/>
  <c r="O1069" i="6"/>
  <c r="R1069" i="6" s="1"/>
  <c r="S1069" i="6" s="1"/>
  <c r="AB1069" i="6" s="1"/>
  <c r="AC1069" i="6" s="1"/>
  <c r="O67" i="6"/>
  <c r="R67" i="6" s="1"/>
  <c r="S67" i="6" s="1"/>
  <c r="AB67" i="6" s="1"/>
  <c r="AC67" i="6" s="1"/>
  <c r="O869" i="6"/>
  <c r="R869" i="6" s="1"/>
  <c r="S869" i="6" s="1"/>
  <c r="AB869" i="6" s="1"/>
  <c r="AC869" i="6" s="1"/>
  <c r="O2181" i="6"/>
  <c r="R2181" i="6" s="1"/>
  <c r="S2181" i="6" s="1"/>
  <c r="AB2181" i="6" s="1"/>
  <c r="AC2181" i="6" s="1"/>
  <c r="O1542" i="6"/>
  <c r="R1542" i="6" s="1"/>
  <c r="S1542" i="6" s="1"/>
  <c r="AB1542" i="6" s="1"/>
  <c r="AC1542" i="6" s="1"/>
  <c r="O2201" i="6"/>
  <c r="R2201" i="6" s="1"/>
  <c r="S2201" i="6" s="1"/>
  <c r="AB2201" i="6" s="1"/>
  <c r="AC2201" i="6" s="1"/>
  <c r="O417" i="6"/>
  <c r="R417" i="6" s="1"/>
  <c r="S417" i="6" s="1"/>
  <c r="AB417" i="6" s="1"/>
  <c r="AC417" i="6" s="1"/>
  <c r="O1193" i="6"/>
  <c r="O1045" i="6"/>
  <c r="R1045" i="6" s="1"/>
  <c r="S1045" i="6" s="1"/>
  <c r="AB1045" i="6" s="1"/>
  <c r="AC1045" i="6" s="1"/>
  <c r="O654" i="6"/>
  <c r="R654" i="6" s="1"/>
  <c r="S654" i="6" s="1"/>
  <c r="AB654" i="6" s="1"/>
  <c r="AC654" i="6" s="1"/>
  <c r="O862" i="6"/>
  <c r="R862" i="6" s="1"/>
  <c r="S862" i="6" s="1"/>
  <c r="AB862" i="6" s="1"/>
  <c r="AC862" i="6" s="1"/>
  <c r="O474" i="6"/>
  <c r="O1032" i="6"/>
  <c r="R1032" i="6" s="1"/>
  <c r="S1032" i="6" s="1"/>
  <c r="AB1032" i="6" s="1"/>
  <c r="AC1032" i="6" s="1"/>
  <c r="O626" i="6"/>
  <c r="R626" i="6" s="1"/>
  <c r="S626" i="6" s="1"/>
  <c r="AB626" i="6" s="1"/>
  <c r="AC626" i="6" s="1"/>
  <c r="O625" i="6"/>
  <c r="R625" i="6" s="1"/>
  <c r="S625" i="6" s="1"/>
  <c r="AB625" i="6" s="1"/>
  <c r="AC625" i="6" s="1"/>
  <c r="O1471" i="6"/>
  <c r="R1471" i="6" s="1"/>
  <c r="S1471" i="6" s="1"/>
  <c r="AB1471" i="6" s="1"/>
  <c r="AC1471" i="6" s="1"/>
  <c r="O1207" i="6"/>
  <c r="R1207" i="6" s="1"/>
  <c r="S1207" i="6" s="1"/>
  <c r="AB1207" i="6" s="1"/>
  <c r="AC1207" i="6" s="1"/>
  <c r="O1135" i="6"/>
  <c r="R1135" i="6" s="1"/>
  <c r="S1135" i="6" s="1"/>
  <c r="AB1135" i="6" s="1"/>
  <c r="AC1135" i="6" s="1"/>
  <c r="O2293" i="6"/>
  <c r="R2293" i="6" s="1"/>
  <c r="O697" i="6"/>
  <c r="R697" i="6" s="1"/>
  <c r="O1863" i="6"/>
  <c r="R1863" i="6" s="1"/>
  <c r="S1863" i="6" s="1"/>
  <c r="AB1863" i="6" s="1"/>
  <c r="AC1863" i="6" s="1"/>
  <c r="O2204" i="6"/>
  <c r="R2204" i="6" s="1"/>
  <c r="O389" i="6"/>
  <c r="R389" i="6" s="1"/>
  <c r="S389" i="6" s="1"/>
  <c r="AB389" i="6" s="1"/>
  <c r="AC389" i="6" s="1"/>
  <c r="O1982" i="6"/>
  <c r="O1588" i="6"/>
  <c r="O1977" i="6"/>
  <c r="R1977" i="6" s="1"/>
  <c r="S1977" i="6" s="1"/>
  <c r="AB1977" i="6" s="1"/>
  <c r="AC1977" i="6" s="1"/>
  <c r="O2140" i="6"/>
  <c r="R2140" i="6" s="1"/>
  <c r="S2140" i="6" s="1"/>
  <c r="AB2140" i="6" s="1"/>
  <c r="AC2140" i="6" s="1"/>
  <c r="O1731" i="6"/>
  <c r="R1731" i="6" s="1"/>
  <c r="S1731" i="6" s="1"/>
  <c r="AB1731" i="6" s="1"/>
  <c r="AC1731" i="6" s="1"/>
  <c r="O1077" i="6"/>
  <c r="R1077" i="6" s="1"/>
  <c r="S1077" i="6" s="1"/>
  <c r="AB1077" i="6" s="1"/>
  <c r="AC1077" i="6" s="1"/>
  <c r="O615" i="6"/>
  <c r="R615" i="6" s="1"/>
  <c r="S615" i="6" s="1"/>
  <c r="AB615" i="6" s="1"/>
  <c r="AC615" i="6" s="1"/>
  <c r="O126" i="6"/>
  <c r="R126" i="6" s="1"/>
  <c r="S126" i="6" s="1"/>
  <c r="AB126" i="6" s="1"/>
  <c r="AC126" i="6" s="1"/>
  <c r="O294" i="6"/>
  <c r="R294" i="6" s="1"/>
  <c r="S294" i="6" s="1"/>
  <c r="AB294" i="6" s="1"/>
  <c r="AC294" i="6" s="1"/>
  <c r="O568" i="6"/>
  <c r="R568" i="6" s="1"/>
  <c r="S568" i="6" s="1"/>
  <c r="AB568" i="6" s="1"/>
  <c r="AC568" i="6" s="1"/>
  <c r="O198" i="6"/>
  <c r="R198" i="6" s="1"/>
  <c r="S198" i="6" s="1"/>
  <c r="AB198" i="6" s="1"/>
  <c r="AC198" i="6" s="1"/>
  <c r="O1529" i="6"/>
  <c r="R1529" i="6" s="1"/>
  <c r="S1529" i="6" s="1"/>
  <c r="AB1529" i="6" s="1"/>
  <c r="AC1529" i="6" s="1"/>
  <c r="O1137" i="6"/>
  <c r="R1137" i="6" s="1"/>
  <c r="S1137" i="6" s="1"/>
  <c r="AB1137" i="6" s="1"/>
  <c r="AC1137" i="6" s="1"/>
  <c r="O1336" i="6"/>
  <c r="R1336" i="6" s="1"/>
  <c r="S1336" i="6" s="1"/>
  <c r="AB1336" i="6" s="1"/>
  <c r="AC1336" i="6" s="1"/>
  <c r="O1176" i="6"/>
  <c r="R1176" i="6" s="1"/>
  <c r="S1176" i="6" s="1"/>
  <c r="AB1176" i="6" s="1"/>
  <c r="AC1176" i="6" s="1"/>
  <c r="O2066" i="6"/>
  <c r="R2066" i="6" s="1"/>
  <c r="S2066" i="6" s="1"/>
  <c r="AB2066" i="6" s="1"/>
  <c r="AC2066" i="6" s="1"/>
  <c r="O1747" i="6"/>
  <c r="O2172" i="6"/>
  <c r="R2172" i="6" s="1"/>
  <c r="S2172" i="6" s="1"/>
  <c r="AB2172" i="6" s="1"/>
  <c r="AC2172" i="6" s="1"/>
  <c r="O1914" i="6"/>
  <c r="R1914" i="6" s="1"/>
  <c r="S1914" i="6" s="1"/>
  <c r="AB1914" i="6" s="1"/>
  <c r="AC1914" i="6" s="1"/>
  <c r="O2232" i="6"/>
  <c r="R2232" i="6" s="1"/>
  <c r="S2232" i="6" s="1"/>
  <c r="AB2232" i="6" s="1"/>
  <c r="AC2232" i="6" s="1"/>
  <c r="O351" i="6"/>
  <c r="O1005" i="6"/>
  <c r="R1005" i="6" s="1"/>
  <c r="S1005" i="6" s="1"/>
  <c r="AB1005" i="6" s="1"/>
  <c r="AC1005" i="6" s="1"/>
  <c r="O1457" i="6"/>
  <c r="R1457" i="6" s="1"/>
  <c r="S1457" i="6" s="1"/>
  <c r="AB1457" i="6" s="1"/>
  <c r="AC1457" i="6" s="1"/>
  <c r="O821" i="6"/>
  <c r="R821" i="6" s="1"/>
  <c r="S821" i="6" s="1"/>
  <c r="AB821" i="6" s="1"/>
  <c r="AC821" i="6" s="1"/>
  <c r="O730" i="6"/>
  <c r="R730" i="6" s="1"/>
  <c r="S730" i="6" s="1"/>
  <c r="AB730" i="6" s="1"/>
  <c r="AC730" i="6" s="1"/>
  <c r="O701" i="6"/>
  <c r="R701" i="6" s="1"/>
  <c r="S701" i="6" s="1"/>
  <c r="AB701" i="6" s="1"/>
  <c r="AC701" i="6" s="1"/>
  <c r="O1545" i="6"/>
  <c r="R1545" i="6" s="1"/>
  <c r="S1545" i="6" s="1"/>
  <c r="AB1545" i="6" s="1"/>
  <c r="AC1545" i="6" s="1"/>
  <c r="O1808" i="6"/>
  <c r="R1808" i="6" s="1"/>
  <c r="S1808" i="6" s="1"/>
  <c r="AB1808" i="6" s="1"/>
  <c r="AC1808" i="6" s="1"/>
  <c r="O2230" i="6"/>
  <c r="R2230" i="6" s="1"/>
  <c r="S2230" i="6" s="1"/>
  <c r="AB2230" i="6" s="1"/>
  <c r="AC2230" i="6" s="1"/>
  <c r="O268" i="6"/>
  <c r="R268" i="6" s="1"/>
  <c r="S268" i="6" s="1"/>
  <c r="AB268" i="6" s="1"/>
  <c r="AC268" i="6" s="1"/>
  <c r="O1748" i="6"/>
  <c r="O337" i="6"/>
  <c r="R337" i="6" s="1"/>
  <c r="S337" i="6" s="1"/>
  <c r="AB337" i="6" s="1"/>
  <c r="AC337" i="6" s="1"/>
  <c r="O1631" i="6"/>
  <c r="O789" i="6"/>
  <c r="R789" i="6" s="1"/>
  <c r="S789" i="6" s="1"/>
  <c r="AB789" i="6" s="1"/>
  <c r="AC789" i="6" s="1"/>
  <c r="O21" i="6"/>
  <c r="R21" i="6" s="1"/>
  <c r="S21" i="6" s="1"/>
  <c r="AB21" i="6" s="1"/>
  <c r="AC21" i="6" s="1"/>
  <c r="O490" i="6"/>
  <c r="R490" i="6" s="1"/>
  <c r="S490" i="6" s="1"/>
  <c r="AB490" i="6" s="1"/>
  <c r="AC490" i="6" s="1"/>
  <c r="O1341" i="6"/>
  <c r="R1341" i="6" s="1"/>
  <c r="S1341" i="6" s="1"/>
  <c r="AB1341" i="6" s="1"/>
  <c r="AC1341" i="6" s="1"/>
  <c r="O2129" i="6"/>
  <c r="R2129" i="6" s="1"/>
  <c r="S2129" i="6" s="1"/>
  <c r="AB2129" i="6" s="1"/>
  <c r="AC2129" i="6" s="1"/>
  <c r="O1156" i="6"/>
  <c r="R1156" i="6" s="1"/>
  <c r="S1156" i="6" s="1"/>
  <c r="AB1156" i="6" s="1"/>
  <c r="AC1156" i="6" s="1"/>
  <c r="O962" i="6"/>
  <c r="R962" i="6" s="1"/>
  <c r="S962" i="6" s="1"/>
  <c r="AB962" i="6" s="1"/>
  <c r="AC962" i="6" s="1"/>
  <c r="O1979" i="6"/>
  <c r="R1979" i="6" s="1"/>
  <c r="S1979" i="6" s="1"/>
  <c r="AB1979" i="6" s="1"/>
  <c r="AC1979" i="6" s="1"/>
  <c r="O1683" i="6"/>
  <c r="R1683" i="6" s="1"/>
  <c r="S1683" i="6" s="1"/>
  <c r="AB1683" i="6" s="1"/>
  <c r="AC1683" i="6" s="1"/>
  <c r="O1416" i="6"/>
  <c r="R1416" i="6" s="1"/>
  <c r="S1416" i="6" s="1"/>
  <c r="AB1416" i="6" s="1"/>
  <c r="AC1416" i="6" s="1"/>
  <c r="O1830" i="6"/>
  <c r="R1830" i="6" s="1"/>
  <c r="S1830" i="6" s="1"/>
  <c r="AB1830" i="6" s="1"/>
  <c r="AC1830" i="6" s="1"/>
  <c r="O1310" i="6"/>
  <c r="R1310" i="6" s="1"/>
  <c r="S1310" i="6" s="1"/>
  <c r="AB1310" i="6" s="1"/>
  <c r="AC1310" i="6" s="1"/>
  <c r="O308" i="6"/>
  <c r="R308" i="6" s="1"/>
  <c r="S308" i="6" s="1"/>
  <c r="AB308" i="6" s="1"/>
  <c r="AC308" i="6" s="1"/>
  <c r="O140" i="6"/>
  <c r="R140" i="6" s="1"/>
  <c r="S140" i="6" s="1"/>
  <c r="AB140" i="6" s="1"/>
  <c r="AC140" i="6" s="1"/>
  <c r="O1104" i="6"/>
  <c r="R1104" i="6" s="1"/>
  <c r="S1104" i="6" s="1"/>
  <c r="AB1104" i="6" s="1"/>
  <c r="AC1104" i="6" s="1"/>
  <c r="O1051" i="6"/>
  <c r="O1639" i="6"/>
  <c r="R1639" i="6" s="1"/>
  <c r="S1639" i="6" s="1"/>
  <c r="AB1639" i="6" s="1"/>
  <c r="AC1639" i="6" s="1"/>
  <c r="O981" i="6"/>
  <c r="R981" i="6" s="1"/>
  <c r="S981" i="6" s="1"/>
  <c r="AB981" i="6" s="1"/>
  <c r="AC981" i="6" s="1"/>
  <c r="O1375" i="6"/>
  <c r="R1375" i="6" s="1"/>
  <c r="S1375" i="6" s="1"/>
  <c r="AB1375" i="6" s="1"/>
  <c r="AC1375" i="6" s="1"/>
  <c r="O990" i="6"/>
  <c r="O1675" i="6"/>
  <c r="R1675" i="6" s="1"/>
  <c r="S1675" i="6" s="1"/>
  <c r="AB1675" i="6" s="1"/>
  <c r="AC1675" i="6" s="1"/>
  <c r="O977" i="6"/>
  <c r="R977" i="6" s="1"/>
  <c r="S977" i="6" s="1"/>
  <c r="AB977" i="6" s="1"/>
  <c r="AC977" i="6" s="1"/>
  <c r="O2093" i="6"/>
  <c r="R2093" i="6" s="1"/>
  <c r="S2093" i="6" s="1"/>
  <c r="AB2093" i="6" s="1"/>
  <c r="AC2093" i="6" s="1"/>
  <c r="O1952" i="6"/>
  <c r="R1952" i="6" s="1"/>
  <c r="S1952" i="6" s="1"/>
  <c r="AB1952" i="6" s="1"/>
  <c r="AC1952" i="6" s="1"/>
  <c r="O1791" i="6"/>
  <c r="R1791" i="6" s="1"/>
  <c r="S1791" i="6" s="1"/>
  <c r="AB1791" i="6" s="1"/>
  <c r="AC1791" i="6" s="1"/>
  <c r="O577" i="6"/>
  <c r="R577" i="6" s="1"/>
  <c r="S577" i="6" s="1"/>
  <c r="AB577" i="6" s="1"/>
  <c r="AC577" i="6" s="1"/>
  <c r="O1002" i="6"/>
  <c r="R1002" i="6" s="1"/>
  <c r="S1002" i="6" s="1"/>
  <c r="AB1002" i="6" s="1"/>
  <c r="AC1002" i="6" s="1"/>
  <c r="O1520" i="6"/>
  <c r="R1520" i="6" s="1"/>
  <c r="S1520" i="6" s="1"/>
  <c r="AB1520" i="6" s="1"/>
  <c r="AC1520" i="6" s="1"/>
  <c r="O233" i="6"/>
  <c r="R233" i="6" s="1"/>
  <c r="S233" i="6" s="1"/>
  <c r="AB233" i="6" s="1"/>
  <c r="AC233" i="6" s="1"/>
  <c r="O400" i="6"/>
  <c r="R400" i="6" s="1"/>
  <c r="S400" i="6" s="1"/>
  <c r="AB400" i="6" s="1"/>
  <c r="AC400" i="6" s="1"/>
  <c r="O295" i="6"/>
  <c r="O159" i="6"/>
  <c r="R159" i="6" s="1"/>
  <c r="S159" i="6" s="1"/>
  <c r="AB159" i="6" s="1"/>
  <c r="AC159" i="6" s="1"/>
  <c r="O1703" i="6"/>
  <c r="R1703" i="6" s="1"/>
  <c r="S1703" i="6" s="1"/>
  <c r="AB1703" i="6" s="1"/>
  <c r="AC1703" i="6" s="1"/>
  <c r="O967" i="6"/>
  <c r="R967" i="6" s="1"/>
  <c r="S967" i="6" s="1"/>
  <c r="AB967" i="6" s="1"/>
  <c r="AC967" i="6" s="1"/>
  <c r="O1400" i="6"/>
  <c r="R1400" i="6" s="1"/>
  <c r="S1400" i="6" s="1"/>
  <c r="AB1400" i="6" s="1"/>
  <c r="AC1400" i="6" s="1"/>
  <c r="O2158" i="6"/>
  <c r="R2158" i="6" s="1"/>
  <c r="O1531" i="6"/>
  <c r="R1531" i="6" s="1"/>
  <c r="S1531" i="6" s="1"/>
  <c r="AB1531" i="6" s="1"/>
  <c r="AC1531" i="6" s="1"/>
  <c r="O1444" i="6"/>
  <c r="R1444" i="6" s="1"/>
  <c r="S1444" i="6" s="1"/>
  <c r="AB1444" i="6" s="1"/>
  <c r="AC1444" i="6" s="1"/>
  <c r="O2012" i="6"/>
  <c r="R2012" i="6" s="1"/>
  <c r="S2012" i="6" s="1"/>
  <c r="AB2012" i="6" s="1"/>
  <c r="AC2012" i="6" s="1"/>
  <c r="O985" i="6"/>
  <c r="R985" i="6" s="1"/>
  <c r="S985" i="6" s="1"/>
  <c r="AB985" i="6" s="1"/>
  <c r="AC985" i="6" s="1"/>
  <c r="O180" i="6"/>
  <c r="R180" i="6" s="1"/>
  <c r="S180" i="6" s="1"/>
  <c r="AB180" i="6" s="1"/>
  <c r="AC180" i="6" s="1"/>
  <c r="O1616" i="6"/>
  <c r="R1616" i="6" s="1"/>
  <c r="S1616" i="6" s="1"/>
  <c r="AB1616" i="6" s="1"/>
  <c r="AC1616" i="6" s="1"/>
  <c r="O1403" i="6"/>
  <c r="R1403" i="6" s="1"/>
  <c r="S1403" i="6" s="1"/>
  <c r="AB1403" i="6" s="1"/>
  <c r="AC1403" i="6" s="1"/>
  <c r="O1126" i="6"/>
  <c r="R1126" i="6" s="1"/>
  <c r="S1126" i="6" s="1"/>
  <c r="AB1126" i="6" s="1"/>
  <c r="AC1126" i="6" s="1"/>
  <c r="O1367" i="6"/>
  <c r="R1367" i="6" s="1"/>
  <c r="S1367" i="6" s="1"/>
  <c r="AB1367" i="6" s="1"/>
  <c r="AC1367" i="6" s="1"/>
  <c r="O1784" i="6"/>
  <c r="R1784" i="6" s="1"/>
  <c r="S1784" i="6" s="1"/>
  <c r="AB1784" i="6" s="1"/>
  <c r="AC1784" i="6" s="1"/>
  <c r="O1663" i="6"/>
  <c r="R1663" i="6" s="1"/>
  <c r="S1663" i="6" s="1"/>
  <c r="AB1663" i="6" s="1"/>
  <c r="AC1663" i="6" s="1"/>
  <c r="O113" i="6"/>
  <c r="O2297" i="6"/>
  <c r="R2297" i="6" s="1"/>
  <c r="O746" i="6"/>
  <c r="R746" i="6" s="1"/>
  <c r="S746" i="6" s="1"/>
  <c r="AB746" i="6" s="1"/>
  <c r="AC746" i="6" s="1"/>
  <c r="O2119" i="6"/>
  <c r="O920" i="6"/>
  <c r="O115" i="6"/>
  <c r="R115" i="6" s="1"/>
  <c r="S115" i="6" s="1"/>
  <c r="AB115" i="6" s="1"/>
  <c r="AC115" i="6" s="1"/>
  <c r="O2029" i="6"/>
  <c r="O1718" i="6"/>
  <c r="R1718" i="6" s="1"/>
  <c r="S1718" i="6" s="1"/>
  <c r="AB1718" i="6" s="1"/>
  <c r="AC1718" i="6" s="1"/>
  <c r="O1734" i="6"/>
  <c r="R1734" i="6" s="1"/>
  <c r="S1734" i="6" s="1"/>
  <c r="AB1734" i="6" s="1"/>
  <c r="AC1734" i="6" s="1"/>
  <c r="O1782" i="6"/>
  <c r="R1782" i="6" s="1"/>
  <c r="S1782" i="6" s="1"/>
  <c r="AB1782" i="6" s="1"/>
  <c r="AC1782" i="6" s="1"/>
  <c r="O1764" i="6"/>
  <c r="R1764" i="6" s="1"/>
  <c r="S1764" i="6" s="1"/>
  <c r="AB1764" i="6" s="1"/>
  <c r="AC1764" i="6" s="1"/>
  <c r="O834" i="6"/>
  <c r="R834" i="6" s="1"/>
  <c r="S834" i="6" s="1"/>
  <c r="AB834" i="6" s="1"/>
  <c r="AC834" i="6" s="1"/>
  <c r="O1872" i="6"/>
  <c r="R1872" i="6" s="1"/>
  <c r="S1872" i="6" s="1"/>
  <c r="AB1872" i="6" s="1"/>
  <c r="AC1872" i="6" s="1"/>
  <c r="O2291" i="6"/>
  <c r="R2291" i="6" s="1"/>
  <c r="S2291" i="6" s="1"/>
  <c r="AB2291" i="6" s="1"/>
  <c r="AC2291" i="6" s="1"/>
  <c r="O1036" i="6"/>
  <c r="R1036" i="6" s="1"/>
  <c r="S1036" i="6" s="1"/>
  <c r="AB1036" i="6" s="1"/>
  <c r="AC1036" i="6" s="1"/>
  <c r="O2137" i="6"/>
  <c r="R2137" i="6" s="1"/>
  <c r="S2137" i="6" s="1"/>
  <c r="AB2137" i="6" s="1"/>
  <c r="AC2137" i="6" s="1"/>
  <c r="O342" i="6"/>
  <c r="R342" i="6" s="1"/>
  <c r="S342" i="6" s="1"/>
  <c r="AB342" i="6" s="1"/>
  <c r="AC342" i="6" s="1"/>
  <c r="O2241" i="6"/>
  <c r="R2241" i="6" s="1"/>
  <c r="S2241" i="6" s="1"/>
  <c r="AB2241" i="6" s="1"/>
  <c r="AC2241" i="6" s="1"/>
  <c r="O647" i="6"/>
  <c r="R647" i="6" s="1"/>
  <c r="S647" i="6" s="1"/>
  <c r="AB647" i="6" s="1"/>
  <c r="AC647" i="6" s="1"/>
  <c r="O731" i="6"/>
  <c r="R731" i="6" s="1"/>
  <c r="S731" i="6" s="1"/>
  <c r="AB731" i="6" s="1"/>
  <c r="AC731" i="6" s="1"/>
  <c r="O1945" i="6"/>
  <c r="R1945" i="6" s="1"/>
  <c r="S1945" i="6" s="1"/>
  <c r="AB1945" i="6" s="1"/>
  <c r="AC1945" i="6" s="1"/>
  <c r="O393" i="6"/>
  <c r="R393" i="6" s="1"/>
  <c r="S393" i="6" s="1"/>
  <c r="AB393" i="6" s="1"/>
  <c r="AC393" i="6" s="1"/>
  <c r="O2216" i="6"/>
  <c r="R2216" i="6" s="1"/>
  <c r="O2257" i="6"/>
  <c r="R2257" i="6" s="1"/>
  <c r="S2257" i="6" s="1"/>
  <c r="AB2257" i="6" s="1"/>
  <c r="AC2257" i="6" s="1"/>
  <c r="O712" i="6"/>
  <c r="R712" i="6" s="1"/>
  <c r="S712" i="6" s="1"/>
  <c r="AB712" i="6" s="1"/>
  <c r="AC712" i="6" s="1"/>
  <c r="O1369" i="6"/>
  <c r="R1369" i="6" s="1"/>
  <c r="S1369" i="6" s="1"/>
  <c r="AB1369" i="6" s="1"/>
  <c r="AC1369" i="6" s="1"/>
  <c r="O398" i="6"/>
  <c r="R398" i="6" s="1"/>
  <c r="S398" i="6" s="1"/>
  <c r="AB398" i="6" s="1"/>
  <c r="AC398" i="6" s="1"/>
  <c r="O642" i="6"/>
  <c r="R642" i="6" s="1"/>
  <c r="S642" i="6" s="1"/>
  <c r="AB642" i="6" s="1"/>
  <c r="AC642" i="6" s="1"/>
  <c r="O421" i="6"/>
  <c r="R421" i="6" s="1"/>
  <c r="S421" i="6" s="1"/>
  <c r="AB421" i="6" s="1"/>
  <c r="AC421" i="6" s="1"/>
  <c r="O1354" i="6"/>
  <c r="R1354" i="6" s="1"/>
  <c r="S1354" i="6" s="1"/>
  <c r="AB1354" i="6" s="1"/>
  <c r="AC1354" i="6" s="1"/>
  <c r="O2019" i="6"/>
  <c r="R2019" i="6" s="1"/>
  <c r="S2019" i="6" s="1"/>
  <c r="AB2019" i="6" s="1"/>
  <c r="AC2019" i="6" s="1"/>
  <c r="O1577" i="6"/>
  <c r="R1577" i="6" s="1"/>
  <c r="S1577" i="6" s="1"/>
  <c r="AB1577" i="6" s="1"/>
  <c r="AC1577" i="6" s="1"/>
  <c r="O2344" i="6"/>
  <c r="R2344" i="6" s="1"/>
  <c r="S2344" i="6" s="1"/>
  <c r="AB2344" i="6" s="1"/>
  <c r="AC2344" i="6" s="1"/>
  <c r="O1144" i="6"/>
  <c r="R1144" i="6" s="1"/>
  <c r="S1144" i="6" s="1"/>
  <c r="AB1144" i="6" s="1"/>
  <c r="AC1144" i="6" s="1"/>
  <c r="O1188" i="6"/>
  <c r="R1188" i="6" s="1"/>
  <c r="S1188" i="6" s="1"/>
  <c r="AB1188" i="6" s="1"/>
  <c r="AC1188" i="6" s="1"/>
  <c r="O1261" i="6"/>
  <c r="R1261" i="6" s="1"/>
  <c r="S1261" i="6" s="1"/>
  <c r="AB1261" i="6" s="1"/>
  <c r="AC1261" i="6" s="1"/>
  <c r="O842" i="6"/>
  <c r="R842" i="6" s="1"/>
  <c r="S842" i="6" s="1"/>
  <c r="AB842" i="6" s="1"/>
  <c r="AC842" i="6" s="1"/>
  <c r="O648" i="6"/>
  <c r="R648" i="6" s="1"/>
  <c r="S648" i="6" s="1"/>
  <c r="AB648" i="6" s="1"/>
  <c r="AC648" i="6" s="1"/>
  <c r="O684" i="6"/>
  <c r="R684" i="6" s="1"/>
  <c r="S684" i="6" s="1"/>
  <c r="AB684" i="6" s="1"/>
  <c r="AC684" i="6" s="1"/>
  <c r="O905" i="6"/>
  <c r="R905" i="6" s="1"/>
  <c r="S905" i="6" s="1"/>
  <c r="AB905" i="6" s="1"/>
  <c r="AC905" i="6" s="1"/>
  <c r="O2125" i="6"/>
  <c r="R2125" i="6" s="1"/>
  <c r="S2125" i="6" s="1"/>
  <c r="AB2125" i="6" s="1"/>
  <c r="AC2125" i="6" s="1"/>
  <c r="O1222" i="6"/>
  <c r="R1222" i="6" s="1"/>
  <c r="S1222" i="6" s="1"/>
  <c r="AB1222" i="6" s="1"/>
  <c r="AC1222" i="6" s="1"/>
  <c r="O188" i="6"/>
  <c r="R188" i="6" s="1"/>
  <c r="S188" i="6" s="1"/>
  <c r="AB188" i="6" s="1"/>
  <c r="AC188" i="6" s="1"/>
  <c r="O2279" i="6"/>
  <c r="R2279" i="6" s="1"/>
  <c r="S2279" i="6" s="1"/>
  <c r="AB2279" i="6" s="1"/>
  <c r="AC2279" i="6" s="1"/>
  <c r="O1602" i="6"/>
  <c r="R1602" i="6" s="1"/>
  <c r="S1602" i="6" s="1"/>
  <c r="AB1602" i="6" s="1"/>
  <c r="AC1602" i="6" s="1"/>
  <c r="O2209" i="6"/>
  <c r="R2209" i="6" s="1"/>
  <c r="O1419" i="6"/>
  <c r="R1419" i="6" s="1"/>
  <c r="S1419" i="6" s="1"/>
  <c r="AB1419" i="6" s="1"/>
  <c r="AC1419" i="6" s="1"/>
  <c r="O1015" i="6"/>
  <c r="R1015" i="6" s="1"/>
  <c r="S1015" i="6" s="1"/>
  <c r="AB1015" i="6" s="1"/>
  <c r="AC1015" i="6" s="1"/>
  <c r="O1158" i="6"/>
  <c r="O2046" i="6"/>
  <c r="R2046" i="6" s="1"/>
  <c r="S2046" i="6" s="1"/>
  <c r="AB2046" i="6" s="1"/>
  <c r="AC2046" i="6" s="1"/>
  <c r="O1939" i="6"/>
  <c r="R1939" i="6" s="1"/>
  <c r="S1939" i="6" s="1"/>
  <c r="AB1939" i="6" s="1"/>
  <c r="AC1939" i="6" s="1"/>
  <c r="O1563" i="6"/>
  <c r="R1563" i="6" s="1"/>
  <c r="S1563" i="6" s="1"/>
  <c r="AB1563" i="6" s="1"/>
  <c r="AC1563" i="6" s="1"/>
  <c r="O1590" i="6"/>
  <c r="R1590" i="6" s="1"/>
  <c r="S1590" i="6" s="1"/>
  <c r="AB1590" i="6" s="1"/>
  <c r="AC1590" i="6" s="1"/>
  <c r="O1423" i="6"/>
  <c r="R1423" i="6" s="1"/>
  <c r="S1423" i="6" s="1"/>
  <c r="AB1423" i="6" s="1"/>
  <c r="AC1423" i="6" s="1"/>
  <c r="O2278" i="6"/>
  <c r="R2278" i="6" s="1"/>
  <c r="S2278" i="6" s="1"/>
  <c r="AB2278" i="6" s="1"/>
  <c r="AC2278" i="6" s="1"/>
  <c r="O611" i="6"/>
  <c r="R611" i="6" s="1"/>
  <c r="S611" i="6" s="1"/>
  <c r="AB611" i="6" s="1"/>
  <c r="AC611" i="6" s="1"/>
  <c r="O589" i="6"/>
  <c r="R589" i="6" s="1"/>
  <c r="S589" i="6" s="1"/>
  <c r="AB589" i="6" s="1"/>
  <c r="AC589" i="6" s="1"/>
  <c r="O1569" i="6"/>
  <c r="R1569" i="6" s="1"/>
  <c r="S1569" i="6" s="1"/>
  <c r="AB1569" i="6" s="1"/>
  <c r="AC1569" i="6" s="1"/>
  <c r="O2348" i="6"/>
  <c r="R2348" i="6" s="1"/>
  <c r="S2348" i="6" s="1"/>
  <c r="O1393" i="6"/>
  <c r="R1393" i="6" s="1"/>
  <c r="S1393" i="6" s="1"/>
  <c r="AB1393" i="6" s="1"/>
  <c r="AC1393" i="6" s="1"/>
  <c r="O1024" i="6"/>
  <c r="R1024" i="6" s="1"/>
  <c r="S1024" i="6" s="1"/>
  <c r="AB1024" i="6" s="1"/>
  <c r="AC1024" i="6" s="1"/>
  <c r="O2050" i="6"/>
  <c r="R2050" i="6" s="1"/>
  <c r="S2050" i="6" s="1"/>
  <c r="AB2050" i="6" s="1"/>
  <c r="AC2050" i="6" s="1"/>
  <c r="O1079" i="6"/>
  <c r="R1079" i="6" s="1"/>
  <c r="S1079" i="6" s="1"/>
  <c r="AB1079" i="6" s="1"/>
  <c r="AC1079" i="6" s="1"/>
  <c r="O635" i="6"/>
  <c r="R635" i="6" s="1"/>
  <c r="S635" i="6" s="1"/>
  <c r="AB635" i="6" s="1"/>
  <c r="AC635" i="6" s="1"/>
  <c r="O767" i="6"/>
  <c r="O507" i="6"/>
  <c r="R507" i="6" s="1"/>
  <c r="S507" i="6" s="1"/>
  <c r="AB507" i="6" s="1"/>
  <c r="AC507" i="6" s="1"/>
  <c r="O1050" i="6"/>
  <c r="R1050" i="6" s="1"/>
  <c r="S1050" i="6" s="1"/>
  <c r="AB1050" i="6" s="1"/>
  <c r="AC1050" i="6" s="1"/>
  <c r="O710" i="6"/>
  <c r="R710" i="6" s="1"/>
  <c r="S710" i="6" s="1"/>
  <c r="AB710" i="6" s="1"/>
  <c r="AC710" i="6" s="1"/>
  <c r="O47" i="6"/>
  <c r="R47" i="6" s="1"/>
  <c r="S47" i="6" s="1"/>
  <c r="AB47" i="6" s="1"/>
  <c r="AC47" i="6" s="1"/>
  <c r="O475" i="6"/>
  <c r="R475" i="6" s="1"/>
  <c r="S475" i="6" s="1"/>
  <c r="AB475" i="6" s="1"/>
  <c r="AC475" i="6" s="1"/>
  <c r="O840" i="6"/>
  <c r="O2231" i="6"/>
  <c r="R2231" i="6" s="1"/>
  <c r="S2231" i="6" s="1"/>
  <c r="AB2231" i="6" s="1"/>
  <c r="AC2231" i="6" s="1"/>
  <c r="O456" i="6"/>
  <c r="R456" i="6" s="1"/>
  <c r="S456" i="6" s="1"/>
  <c r="AB456" i="6" s="1"/>
  <c r="AC456" i="6" s="1"/>
  <c r="O1271" i="6"/>
  <c r="R1271" i="6" s="1"/>
  <c r="S1271" i="6" s="1"/>
  <c r="AB1271" i="6" s="1"/>
  <c r="AC1271" i="6" s="1"/>
  <c r="O264" i="6"/>
  <c r="R264" i="6" s="1"/>
  <c r="S264" i="6" s="1"/>
  <c r="AB264" i="6" s="1"/>
  <c r="AC264" i="6" s="1"/>
  <c r="O2205" i="6"/>
  <c r="R2205" i="6" s="1"/>
  <c r="O1380" i="6"/>
  <c r="R1380" i="6" s="1"/>
  <c r="S1380" i="6" s="1"/>
  <c r="AB1380" i="6" s="1"/>
  <c r="AC1380" i="6" s="1"/>
  <c r="O1255" i="6"/>
  <c r="R1255" i="6" s="1"/>
  <c r="S1255" i="6" s="1"/>
  <c r="AB1255" i="6" s="1"/>
  <c r="AC1255" i="6" s="1"/>
  <c r="O1719" i="6"/>
  <c r="R1719" i="6" s="1"/>
  <c r="S1719" i="6" s="1"/>
  <c r="AB1719" i="6" s="1"/>
  <c r="AC1719" i="6" s="1"/>
  <c r="O646" i="6"/>
  <c r="R646" i="6" s="1"/>
  <c r="S646" i="6" s="1"/>
  <c r="AB646" i="6" s="1"/>
  <c r="AC646" i="6" s="1"/>
  <c r="O583" i="6"/>
  <c r="R583" i="6" s="1"/>
  <c r="S583" i="6" s="1"/>
  <c r="AB583" i="6" s="1"/>
  <c r="AC583" i="6" s="1"/>
  <c r="O2365" i="6"/>
  <c r="O974" i="6"/>
  <c r="R974" i="6" s="1"/>
  <c r="S974" i="6" s="1"/>
  <c r="AB974" i="6" s="1"/>
  <c r="AC974" i="6" s="1"/>
  <c r="O277" i="6"/>
  <c r="R277" i="6" s="1"/>
  <c r="S277" i="6" s="1"/>
  <c r="AB277" i="6" s="1"/>
  <c r="AC277" i="6" s="1"/>
  <c r="O80" i="6"/>
  <c r="R80" i="6" s="1"/>
  <c r="S80" i="6" s="1"/>
  <c r="AB80" i="6" s="1"/>
  <c r="AC80" i="6" s="1"/>
  <c r="O428" i="6"/>
  <c r="R428" i="6" s="1"/>
  <c r="S428" i="6" s="1"/>
  <c r="AB428" i="6" s="1"/>
  <c r="AC428" i="6" s="1"/>
  <c r="O2130" i="6"/>
  <c r="R2130" i="6" s="1"/>
  <c r="S2130" i="6" s="1"/>
  <c r="AB2130" i="6" s="1"/>
  <c r="AC2130" i="6" s="1"/>
  <c r="O193" i="6"/>
  <c r="R193" i="6" s="1"/>
  <c r="S193" i="6" s="1"/>
  <c r="AB193" i="6" s="1"/>
  <c r="AC193" i="6" s="1"/>
  <c r="O1870" i="6"/>
  <c r="R1870" i="6" s="1"/>
  <c r="S1870" i="6" s="1"/>
  <c r="AB1870" i="6" s="1"/>
  <c r="AC1870" i="6" s="1"/>
  <c r="O883" i="6"/>
  <c r="R883" i="6" s="1"/>
  <c r="S883" i="6" s="1"/>
  <c r="AB883" i="6" s="1"/>
  <c r="AC883" i="6" s="1"/>
  <c r="O2306" i="6"/>
  <c r="R2306" i="6" s="1"/>
  <c r="S2306" i="6" s="1"/>
  <c r="AB2306" i="6" s="1"/>
  <c r="AC2306" i="6" s="1"/>
  <c r="O2182" i="6"/>
  <c r="R2182" i="6" s="1"/>
  <c r="S2182" i="6" s="1"/>
  <c r="AB2182" i="6" s="1"/>
  <c r="AC2182" i="6" s="1"/>
  <c r="O2043" i="6"/>
  <c r="R2043" i="6" s="1"/>
  <c r="S2043" i="6" s="1"/>
  <c r="AB2043" i="6" s="1"/>
  <c r="AC2043" i="6" s="1"/>
  <c r="O2218" i="6"/>
  <c r="R2218" i="6" s="1"/>
  <c r="O753" i="6"/>
  <c r="R753" i="6" s="1"/>
  <c r="S753" i="6" s="1"/>
  <c r="AB753" i="6" s="1"/>
  <c r="AC753" i="6" s="1"/>
  <c r="O284" i="6"/>
  <c r="O2346" i="6"/>
  <c r="R2346" i="6" s="1"/>
  <c r="S2346" i="6" s="1"/>
  <c r="AB2346" i="6" s="1"/>
  <c r="AC2346" i="6" s="1"/>
  <c r="O1838" i="6"/>
  <c r="R1838" i="6" s="1"/>
  <c r="S1838" i="6" s="1"/>
  <c r="AB1838" i="6" s="1"/>
  <c r="AC1838" i="6" s="1"/>
  <c r="O424" i="6"/>
  <c r="R424" i="6" s="1"/>
  <c r="S424" i="6" s="1"/>
  <c r="AB424" i="6" s="1"/>
  <c r="AC424" i="6" s="1"/>
  <c r="O1824" i="6"/>
  <c r="R1824" i="6" s="1"/>
  <c r="S1824" i="6" s="1"/>
  <c r="AB1824" i="6" s="1"/>
  <c r="AC1824" i="6" s="1"/>
  <c r="O2006" i="6"/>
  <c r="R2006" i="6" s="1"/>
  <c r="S2006" i="6" s="1"/>
  <c r="AB2006" i="6" s="1"/>
  <c r="AC2006" i="6" s="1"/>
  <c r="O1769" i="6"/>
  <c r="R1769" i="6" s="1"/>
  <c r="S1769" i="6" s="1"/>
  <c r="AB1769" i="6" s="1"/>
  <c r="AC1769" i="6" s="1"/>
  <c r="O1579" i="6"/>
  <c r="R1579" i="6" s="1"/>
  <c r="S1579" i="6" s="1"/>
  <c r="AB1579" i="6" s="1"/>
  <c r="AC1579" i="6" s="1"/>
  <c r="O971" i="6"/>
  <c r="R971" i="6" s="1"/>
  <c r="S971" i="6" s="1"/>
  <c r="AB971" i="6" s="1"/>
  <c r="AC971" i="6" s="1"/>
  <c r="O256" i="6"/>
  <c r="R256" i="6" s="1"/>
  <c r="S256" i="6" s="1"/>
  <c r="AB256" i="6" s="1"/>
  <c r="AC256" i="6" s="1"/>
  <c r="O1969" i="6"/>
  <c r="R1969" i="6" s="1"/>
  <c r="S1969" i="6" s="1"/>
  <c r="AB1969" i="6" s="1"/>
  <c r="AC1969" i="6" s="1"/>
  <c r="O1636" i="6"/>
  <c r="R1636" i="6" s="1"/>
  <c r="S1636" i="6" s="1"/>
  <c r="AB1636" i="6" s="1"/>
  <c r="AC1636" i="6" s="1"/>
  <c r="O1339" i="6"/>
  <c r="R1339" i="6" s="1"/>
  <c r="O1943" i="6"/>
  <c r="R1943" i="6" s="1"/>
  <c r="S1943" i="6" s="1"/>
  <c r="AB1943" i="6" s="1"/>
  <c r="AC1943" i="6" s="1"/>
  <c r="O1883" i="6"/>
  <c r="R1883" i="6" s="1"/>
  <c r="S1883" i="6" s="1"/>
  <c r="AB1883" i="6" s="1"/>
  <c r="AC1883" i="6" s="1"/>
  <c r="O418" i="6"/>
  <c r="R418" i="6" s="1"/>
  <c r="S418" i="6" s="1"/>
  <c r="AB418" i="6" s="1"/>
  <c r="AC418" i="6" s="1"/>
  <c r="O538" i="6"/>
  <c r="R538" i="6" s="1"/>
  <c r="S538" i="6" s="1"/>
  <c r="AB538" i="6" s="1"/>
  <c r="AC538" i="6" s="1"/>
  <c r="O2101" i="6"/>
  <c r="O1039" i="6"/>
  <c r="R1039" i="6" s="1"/>
  <c r="S1039" i="6" s="1"/>
  <c r="AB1039" i="6" s="1"/>
  <c r="AC1039" i="6" s="1"/>
  <c r="O1320" i="6"/>
  <c r="R1320" i="6" s="1"/>
  <c r="S1320" i="6" s="1"/>
  <c r="AB1320" i="6" s="1"/>
  <c r="AC1320" i="6" s="1"/>
  <c r="O1224" i="6"/>
  <c r="R1224" i="6" s="1"/>
  <c r="S1224" i="6" s="1"/>
  <c r="AB1224" i="6" s="1"/>
  <c r="AC1224" i="6" s="1"/>
  <c r="O1825" i="6"/>
  <c r="R1825" i="6" s="1"/>
  <c r="S1825" i="6" s="1"/>
  <c r="AB1825" i="6" s="1"/>
  <c r="AC1825" i="6" s="1"/>
  <c r="O252" i="6"/>
  <c r="R252" i="6" s="1"/>
  <c r="S252" i="6" s="1"/>
  <c r="AB252" i="6" s="1"/>
  <c r="AC252" i="6" s="1"/>
  <c r="O146" i="6"/>
  <c r="O1581" i="6"/>
  <c r="R1581" i="6" s="1"/>
  <c r="S1581" i="6" s="1"/>
  <c r="AB1581" i="6" s="1"/>
  <c r="AC1581" i="6" s="1"/>
  <c r="O81" i="6"/>
  <c r="R81" i="6" s="1"/>
  <c r="S81" i="6" s="1"/>
  <c r="AB81" i="6" s="1"/>
  <c r="AC81" i="6" s="1"/>
  <c r="O1896" i="6"/>
  <c r="R1896" i="6" s="1"/>
  <c r="S1896" i="6" s="1"/>
  <c r="AB1896" i="6" s="1"/>
  <c r="AC1896" i="6" s="1"/>
  <c r="O873" i="6"/>
  <c r="R873" i="6" s="1"/>
  <c r="S873" i="6" s="1"/>
  <c r="AB873" i="6" s="1"/>
  <c r="AC873" i="6" s="1"/>
  <c r="O1402" i="6"/>
  <c r="R1402" i="6" s="1"/>
  <c r="S1402" i="6" s="1"/>
  <c r="AB1402" i="6" s="1"/>
  <c r="AC1402" i="6" s="1"/>
  <c r="O88" i="6"/>
  <c r="R88" i="6" s="1"/>
  <c r="S88" i="6" s="1"/>
  <c r="AB88" i="6" s="1"/>
  <c r="AC88" i="6" s="1"/>
  <c r="O987" i="6"/>
  <c r="R987" i="6" s="1"/>
  <c r="S987" i="6" s="1"/>
  <c r="AB987" i="6" s="1"/>
  <c r="AC987" i="6" s="1"/>
  <c r="O630" i="6"/>
  <c r="R630" i="6" s="1"/>
  <c r="S630" i="6" s="1"/>
  <c r="AB630" i="6" s="1"/>
  <c r="AC630" i="6" s="1"/>
  <c r="O1707" i="6"/>
  <c r="R1707" i="6" s="1"/>
  <c r="S1707" i="6" s="1"/>
  <c r="AB1707" i="6" s="1"/>
  <c r="AC1707" i="6" s="1"/>
  <c r="O1517" i="6"/>
  <c r="O1472" i="6"/>
  <c r="R1472" i="6" s="1"/>
  <c r="S1472" i="6" s="1"/>
  <c r="AB1472" i="6" s="1"/>
  <c r="AC1472" i="6" s="1"/>
  <c r="O1835" i="6"/>
  <c r="R1835" i="6" s="1"/>
  <c r="S1835" i="6" s="1"/>
  <c r="AB1835" i="6" s="1"/>
  <c r="AC1835" i="6" s="1"/>
  <c r="O1913" i="6"/>
  <c r="R1913" i="6" s="1"/>
  <c r="S1913" i="6" s="1"/>
  <c r="AB1913" i="6" s="1"/>
  <c r="AC1913" i="6" s="1"/>
  <c r="O1280" i="6"/>
  <c r="O880" i="6"/>
  <c r="R880" i="6" s="1"/>
  <c r="S880" i="6" s="1"/>
  <c r="AB880" i="6" s="1"/>
  <c r="AC880" i="6" s="1"/>
  <c r="O300" i="6"/>
  <c r="R300" i="6" s="1"/>
  <c r="S300" i="6" s="1"/>
  <c r="AB300" i="6" s="1"/>
  <c r="AC300" i="6" s="1"/>
  <c r="O609" i="6"/>
  <c r="R609" i="6" s="1"/>
  <c r="S609" i="6" s="1"/>
  <c r="AB609" i="6" s="1"/>
  <c r="AC609" i="6" s="1"/>
  <c r="O1519" i="6"/>
  <c r="R1519" i="6" s="1"/>
  <c r="S1519" i="6" s="1"/>
  <c r="AB1519" i="6" s="1"/>
  <c r="AC1519" i="6" s="1"/>
  <c r="O2156" i="6"/>
  <c r="R2156" i="6" s="1"/>
  <c r="O1578" i="6"/>
  <c r="R1578" i="6" s="1"/>
  <c r="S1578" i="6" s="1"/>
  <c r="AB1578" i="6" s="1"/>
  <c r="AC1578" i="6" s="1"/>
  <c r="O1885" i="6"/>
  <c r="R1885" i="6" s="1"/>
  <c r="S1885" i="6" s="1"/>
  <c r="AB1885" i="6" s="1"/>
  <c r="AC1885" i="6" s="1"/>
  <c r="O1508" i="6"/>
  <c r="R1508" i="6" s="1"/>
  <c r="S1508" i="6" s="1"/>
  <c r="AB1508" i="6" s="1"/>
  <c r="AC1508" i="6" s="1"/>
  <c r="O2165" i="6"/>
  <c r="R2165" i="6" s="1"/>
  <c r="S2165" i="6" s="1"/>
  <c r="AB2165" i="6" s="1"/>
  <c r="AC2165" i="6" s="1"/>
  <c r="O1733" i="6"/>
  <c r="R1733" i="6" s="1"/>
  <c r="S1733" i="6" s="1"/>
  <c r="AB1733" i="6" s="1"/>
  <c r="AC1733" i="6" s="1"/>
  <c r="O1533" i="6"/>
  <c r="R1533" i="6" s="1"/>
  <c r="S1533" i="6" s="1"/>
  <c r="AB1533" i="6" s="1"/>
  <c r="AC1533" i="6" s="1"/>
  <c r="O1325" i="6"/>
  <c r="O1846" i="6"/>
  <c r="R1846" i="6" s="1"/>
  <c r="O1477" i="6"/>
  <c r="R1477" i="6" s="1"/>
  <c r="S1477" i="6" s="1"/>
  <c r="AB1477" i="6" s="1"/>
  <c r="AC1477" i="6" s="1"/>
  <c r="O515" i="6"/>
  <c r="R515" i="6" s="1"/>
  <c r="S515" i="6" s="1"/>
  <c r="AB515" i="6" s="1"/>
  <c r="AC515" i="6" s="1"/>
  <c r="O1891" i="6"/>
  <c r="R1891" i="6" s="1"/>
  <c r="S1891" i="6" s="1"/>
  <c r="AB1891" i="6" s="1"/>
  <c r="AC1891" i="6" s="1"/>
  <c r="O773" i="6"/>
  <c r="R773" i="6" s="1"/>
  <c r="S773" i="6" s="1"/>
  <c r="AB773" i="6" s="1"/>
  <c r="AC773" i="6" s="1"/>
  <c r="O1047" i="6"/>
  <c r="R1047" i="6" s="1"/>
  <c r="S1047" i="6" s="1"/>
  <c r="AB1047" i="6" s="1"/>
  <c r="AC1047" i="6" s="1"/>
  <c r="O718" i="6"/>
  <c r="R718" i="6" s="1"/>
  <c r="S718" i="6" s="1"/>
  <c r="AB718" i="6" s="1"/>
  <c r="AC718" i="6" s="1"/>
  <c r="O1665" i="6"/>
  <c r="R1665" i="6" s="1"/>
  <c r="S1665" i="6" s="1"/>
  <c r="AB1665" i="6" s="1"/>
  <c r="AC1665" i="6" s="1"/>
  <c r="O211" i="6"/>
  <c r="R211" i="6" s="1"/>
  <c r="S211" i="6" s="1"/>
  <c r="AB211" i="6" s="1"/>
  <c r="AC211" i="6" s="1"/>
  <c r="O1120" i="6"/>
  <c r="R1120" i="6" s="1"/>
  <c r="S1120" i="6" s="1"/>
  <c r="AB1120" i="6" s="1"/>
  <c r="AC1120" i="6" s="1"/>
  <c r="O622" i="6"/>
  <c r="R622" i="6" s="1"/>
  <c r="S622" i="6" s="1"/>
  <c r="AB622" i="6" s="1"/>
  <c r="AC622" i="6" s="1"/>
  <c r="O747" i="6"/>
  <c r="R747" i="6" s="1"/>
  <c r="S747" i="6" s="1"/>
  <c r="AB747" i="6" s="1"/>
  <c r="AC747" i="6" s="1"/>
  <c r="O1244" i="6"/>
  <c r="R1244" i="6" s="1"/>
  <c r="S1244" i="6" s="1"/>
  <c r="AB1244" i="6" s="1"/>
  <c r="AC1244" i="6" s="1"/>
  <c r="O1218" i="6"/>
  <c r="O379" i="6"/>
  <c r="R379" i="6" s="1"/>
  <c r="S379" i="6" s="1"/>
  <c r="AB379" i="6" s="1"/>
  <c r="AC379" i="6" s="1"/>
  <c r="O450" i="6"/>
  <c r="O1729" i="6"/>
  <c r="R1729" i="6" s="1"/>
  <c r="S1729" i="6" s="1"/>
  <c r="AB1729" i="6" s="1"/>
  <c r="AC1729" i="6" s="1"/>
  <c r="O1014" i="6"/>
  <c r="R1014" i="6" s="1"/>
  <c r="S1014" i="6" s="1"/>
  <c r="AB1014" i="6" s="1"/>
  <c r="AC1014" i="6" s="1"/>
  <c r="O1611" i="6"/>
  <c r="R1611" i="6" s="1"/>
  <c r="S1611" i="6" s="1"/>
  <c r="AB1611" i="6" s="1"/>
  <c r="AC1611" i="6" s="1"/>
  <c r="O2186" i="6"/>
  <c r="R2186" i="6" s="1"/>
  <c r="S2186" i="6" s="1"/>
  <c r="AB2186" i="6" s="1"/>
  <c r="AC2186" i="6" s="1"/>
  <c r="O1978" i="6"/>
  <c r="R1978" i="6" s="1"/>
  <c r="S1978" i="6" s="1"/>
  <c r="AB1978" i="6" s="1"/>
  <c r="AC1978" i="6" s="1"/>
  <c r="O2175" i="6"/>
  <c r="R2175" i="6" s="1"/>
  <c r="S2175" i="6" s="1"/>
  <c r="AB2175" i="6" s="1"/>
  <c r="AC2175" i="6" s="1"/>
  <c r="O45" i="6"/>
  <c r="R45" i="6" s="1"/>
  <c r="S45" i="6" s="1"/>
  <c r="AB45" i="6" s="1"/>
  <c r="AC45" i="6" s="1"/>
  <c r="O1048" i="6"/>
  <c r="R1048" i="6" s="1"/>
  <c r="S1048" i="6" s="1"/>
  <c r="AB1048" i="6" s="1"/>
  <c r="AC1048" i="6" s="1"/>
  <c r="O561" i="6"/>
  <c r="R561" i="6" s="1"/>
  <c r="S561" i="6" s="1"/>
  <c r="AB561" i="6" s="1"/>
  <c r="AC561" i="6" s="1"/>
  <c r="O1567" i="6"/>
  <c r="R1567" i="6" s="1"/>
  <c r="S1567" i="6" s="1"/>
  <c r="AB1567" i="6" s="1"/>
  <c r="AC1567" i="6" s="1"/>
  <c r="O301" i="6"/>
  <c r="R301" i="6" s="1"/>
  <c r="S301" i="6" s="1"/>
  <c r="AB301" i="6" s="1"/>
  <c r="AC301" i="6" s="1"/>
  <c r="O350" i="6"/>
  <c r="R350" i="6" s="1"/>
  <c r="S350" i="6" s="1"/>
  <c r="AB350" i="6" s="1"/>
  <c r="AC350" i="6" s="1"/>
  <c r="O780" i="6"/>
  <c r="R780" i="6" s="1"/>
  <c r="S780" i="6" s="1"/>
  <c r="AB780" i="6" s="1"/>
  <c r="AC780" i="6" s="1"/>
  <c r="O1175" i="6"/>
  <c r="R1175" i="6" s="1"/>
  <c r="S1175" i="6" s="1"/>
  <c r="AB1175" i="6" s="1"/>
  <c r="AC1175" i="6" s="1"/>
  <c r="O1117" i="6"/>
  <c r="R1117" i="6" s="1"/>
  <c r="S1117" i="6" s="1"/>
  <c r="AB1117" i="6" s="1"/>
  <c r="AC1117" i="6" s="1"/>
  <c r="O1360" i="6"/>
  <c r="O1664" i="6"/>
  <c r="R1664" i="6" s="1"/>
  <c r="S1664" i="6" s="1"/>
  <c r="AB1664" i="6" s="1"/>
  <c r="AC1664" i="6" s="1"/>
  <c r="O786" i="6"/>
  <c r="R786" i="6" s="1"/>
  <c r="S786" i="6" s="1"/>
  <c r="AB786" i="6" s="1"/>
  <c r="AC786" i="6" s="1"/>
  <c r="O688" i="6"/>
  <c r="R688" i="6" s="1"/>
  <c r="S688" i="6" s="1"/>
  <c r="AB688" i="6" s="1"/>
  <c r="AC688" i="6" s="1"/>
  <c r="O1016" i="6"/>
  <c r="R1016" i="6" s="1"/>
  <c r="S1016" i="6" s="1"/>
  <c r="AB1016" i="6" s="1"/>
  <c r="AC1016" i="6" s="1"/>
  <c r="O707" i="6"/>
  <c r="R707" i="6" s="1"/>
  <c r="S707" i="6" s="1"/>
  <c r="AB707" i="6" s="1"/>
  <c r="AC707" i="6" s="1"/>
  <c r="O2238" i="6"/>
  <c r="R2238" i="6" s="1"/>
  <c r="S2238" i="6" s="1"/>
  <c r="AB2238" i="6" s="1"/>
  <c r="AC2238" i="6" s="1"/>
  <c r="O2333" i="6"/>
  <c r="R2333" i="6" s="1"/>
  <c r="S2333" i="6" s="1"/>
  <c r="AB2333" i="6" s="1"/>
  <c r="AC2333" i="6" s="1"/>
  <c r="O433" i="6"/>
  <c r="R433" i="6" s="1"/>
  <c r="O431" i="6"/>
  <c r="R431" i="6" s="1"/>
  <c r="S431" i="6" s="1"/>
  <c r="AB431" i="6" s="1"/>
  <c r="AC431" i="6" s="1"/>
  <c r="O1555" i="6"/>
  <c r="R1555" i="6" s="1"/>
  <c r="S1555" i="6" s="1"/>
  <c r="AB1555" i="6" s="1"/>
  <c r="AC1555" i="6" s="1"/>
  <c r="O315" i="6"/>
  <c r="R315" i="6" s="1"/>
  <c r="S315" i="6" s="1"/>
  <c r="AB315" i="6" s="1"/>
  <c r="AC315" i="6" s="1"/>
  <c r="O1151" i="6"/>
  <c r="R1151" i="6" s="1"/>
  <c r="O1485" i="6"/>
  <c r="R1485" i="6" s="1"/>
  <c r="S1485" i="6" s="1"/>
  <c r="AB1485" i="6" s="1"/>
  <c r="AC1485" i="6" s="1"/>
  <c r="O876" i="6"/>
  <c r="O163" i="6"/>
  <c r="R163" i="6" s="1"/>
  <c r="S163" i="6" s="1"/>
  <c r="AB163" i="6" s="1"/>
  <c r="AC163" i="6" s="1"/>
  <c r="O385" i="6"/>
  <c r="O1236" i="6"/>
  <c r="R1236" i="6" s="1"/>
  <c r="S1236" i="6" s="1"/>
  <c r="AB1236" i="6" s="1"/>
  <c r="AC1236" i="6" s="1"/>
  <c r="O383" i="6"/>
  <c r="R383" i="6" s="1"/>
  <c r="S383" i="6" s="1"/>
  <c r="AB383" i="6" s="1"/>
  <c r="AC383" i="6" s="1"/>
  <c r="O376" i="6"/>
  <c r="R376" i="6" s="1"/>
  <c r="S376" i="6" s="1"/>
  <c r="AB376" i="6" s="1"/>
  <c r="AC376" i="6" s="1"/>
  <c r="O1814" i="6"/>
  <c r="O2342" i="6"/>
  <c r="R2342" i="6" s="1"/>
  <c r="S2342" i="6" s="1"/>
  <c r="AB2342" i="6" s="1"/>
  <c r="AC2342" i="6" s="1"/>
  <c r="O1905" i="6"/>
  <c r="R1905" i="6" s="1"/>
  <c r="S1905" i="6" s="1"/>
  <c r="AB1905" i="6" s="1"/>
  <c r="AC1905" i="6" s="1"/>
  <c r="O1406" i="6"/>
  <c r="R1406" i="6" s="1"/>
  <c r="S1406" i="6" s="1"/>
  <c r="AB1406" i="6" s="1"/>
  <c r="AC1406" i="6" s="1"/>
  <c r="O1953" i="6"/>
  <c r="R1953" i="6" s="1"/>
  <c r="S1953" i="6" s="1"/>
  <c r="AB1953" i="6" s="1"/>
  <c r="AC1953" i="6" s="1"/>
  <c r="O304" i="6"/>
  <c r="R304" i="6" s="1"/>
  <c r="S304" i="6" s="1"/>
  <c r="AB304" i="6" s="1"/>
  <c r="AC304" i="6" s="1"/>
  <c r="O1454" i="6"/>
  <c r="R1454" i="6" s="1"/>
  <c r="S1454" i="6" s="1"/>
  <c r="AB1454" i="6" s="1"/>
  <c r="AC1454" i="6" s="1"/>
  <c r="O826" i="6"/>
  <c r="R826" i="6" s="1"/>
  <c r="S826" i="6" s="1"/>
  <c r="AB826" i="6" s="1"/>
  <c r="AC826" i="6" s="1"/>
  <c r="O162" i="6"/>
  <c r="R162" i="6" s="1"/>
  <c r="S162" i="6" s="1"/>
  <c r="AB162" i="6" s="1"/>
  <c r="AC162" i="6" s="1"/>
  <c r="O1874" i="6"/>
  <c r="R1874" i="6" s="1"/>
  <c r="S1874" i="6" s="1"/>
  <c r="AB1874" i="6" s="1"/>
  <c r="AC1874" i="6" s="1"/>
  <c r="O217" i="6"/>
  <c r="R217" i="6" s="1"/>
  <c r="S217" i="6" s="1"/>
  <c r="AB217" i="6" s="1"/>
  <c r="AC217" i="6" s="1"/>
  <c r="O1482" i="6"/>
  <c r="R1482" i="6" s="1"/>
  <c r="S1482" i="6" s="1"/>
  <c r="AB1482" i="6" s="1"/>
  <c r="AC1482" i="6" s="1"/>
  <c r="O760" i="6"/>
  <c r="O769" i="6"/>
  <c r="R769" i="6" s="1"/>
  <c r="S769" i="6" s="1"/>
  <c r="AB769" i="6" s="1"/>
  <c r="AC769" i="6" s="1"/>
  <c r="O184" i="6"/>
  <c r="R184" i="6" s="1"/>
  <c r="S184" i="6" s="1"/>
  <c r="AB184" i="6" s="1"/>
  <c r="AC184" i="6" s="1"/>
  <c r="O1342" i="6"/>
  <c r="R1342" i="6" s="1"/>
  <c r="S1342" i="6" s="1"/>
  <c r="AB1342" i="6" s="1"/>
  <c r="AC1342" i="6" s="1"/>
  <c r="O703" i="6"/>
  <c r="R703" i="6" s="1"/>
  <c r="S703" i="6" s="1"/>
  <c r="AB703" i="6" s="1"/>
  <c r="AC703" i="6" s="1"/>
  <c r="O177" i="6"/>
  <c r="R177" i="6" s="1"/>
  <c r="S177" i="6" s="1"/>
  <c r="AB177" i="6" s="1"/>
  <c r="AC177" i="6" s="1"/>
  <c r="O1046" i="6"/>
  <c r="R1046" i="6" s="1"/>
  <c r="S1046" i="6" s="1"/>
  <c r="AB1046" i="6" s="1"/>
  <c r="AC1046" i="6" s="1"/>
  <c r="O523" i="6"/>
  <c r="R523" i="6" s="1"/>
  <c r="S523" i="6" s="1"/>
  <c r="AB523" i="6" s="1"/>
  <c r="AC523" i="6" s="1"/>
  <c r="O1012" i="6"/>
  <c r="R1012" i="6" s="1"/>
  <c r="S1012" i="6" s="1"/>
  <c r="AB1012" i="6" s="1"/>
  <c r="AC1012" i="6" s="1"/>
  <c r="O1266" i="6"/>
  <c r="R1266" i="6" s="1"/>
  <c r="S1266" i="6" s="1"/>
  <c r="AB1266" i="6" s="1"/>
  <c r="AC1266" i="6" s="1"/>
  <c r="O1087" i="6"/>
  <c r="R1087" i="6" s="1"/>
  <c r="S1087" i="6" s="1"/>
  <c r="AB1087" i="6" s="1"/>
  <c r="AC1087" i="6" s="1"/>
  <c r="O329" i="6"/>
  <c r="R329" i="6" s="1"/>
  <c r="S329" i="6" s="1"/>
  <c r="AB329" i="6" s="1"/>
  <c r="AC329" i="6" s="1"/>
  <c r="O765" i="6"/>
  <c r="R765" i="6" s="1"/>
  <c r="S765" i="6" s="1"/>
  <c r="AB765" i="6" s="1"/>
  <c r="AC765" i="6" s="1"/>
  <c r="O156" i="6"/>
  <c r="R156" i="6" s="1"/>
  <c r="S156" i="6" s="1"/>
  <c r="AB156" i="6" s="1"/>
  <c r="AC156" i="6" s="1"/>
  <c r="O157" i="6"/>
  <c r="R157" i="6" s="1"/>
  <c r="S157" i="6" s="1"/>
  <c r="AB157" i="6" s="1"/>
  <c r="AC157" i="6" s="1"/>
  <c r="O1358" i="6"/>
  <c r="R1358" i="6" s="1"/>
  <c r="S1358" i="6" s="1"/>
  <c r="AB1358" i="6" s="1"/>
  <c r="AC1358" i="6" s="1"/>
  <c r="O2292" i="6"/>
  <c r="R2292" i="6" s="1"/>
  <c r="S2292" i="6" s="1"/>
  <c r="AB2292" i="6" s="1"/>
  <c r="AC2292" i="6" s="1"/>
  <c r="O1739" i="6"/>
  <c r="R1739" i="6" s="1"/>
  <c r="S1739" i="6" s="1"/>
  <c r="AB1739" i="6" s="1"/>
  <c r="AC1739" i="6" s="1"/>
  <c r="O1263" i="6"/>
  <c r="R1263" i="6" s="1"/>
  <c r="S1263" i="6" s="1"/>
  <c r="AB1263" i="6" s="1"/>
  <c r="AC1263" i="6" s="1"/>
  <c r="O1205" i="6"/>
  <c r="R1205" i="6" s="1"/>
  <c r="S1205" i="6" s="1"/>
  <c r="AB1205" i="6" s="1"/>
  <c r="AC1205" i="6" s="1"/>
  <c r="O310" i="6"/>
  <c r="R310" i="6" s="1"/>
  <c r="S310" i="6" s="1"/>
  <c r="AB310" i="6" s="1"/>
  <c r="AC310" i="6" s="1"/>
  <c r="O2070" i="6"/>
  <c r="R2070" i="6" s="1"/>
  <c r="S2070" i="6" s="1"/>
  <c r="AB2070" i="6" s="1"/>
  <c r="AC2070" i="6" s="1"/>
  <c r="O2334" i="6"/>
  <c r="R2334" i="6" s="1"/>
  <c r="S2334" i="6" s="1"/>
  <c r="AB2334" i="6" s="1"/>
  <c r="AC2334" i="6" s="1"/>
  <c r="O1524" i="6"/>
  <c r="R1524" i="6" s="1"/>
  <c r="S1524" i="6" s="1"/>
  <c r="AB1524" i="6" s="1"/>
  <c r="AC1524" i="6" s="1"/>
  <c r="O2331" i="6"/>
  <c r="R2331" i="6" s="1"/>
  <c r="S2331" i="6" s="1"/>
  <c r="AB2331" i="6" s="1"/>
  <c r="AC2331" i="6" s="1"/>
  <c r="O154" i="6"/>
  <c r="R154" i="6" s="1"/>
  <c r="S154" i="6" s="1"/>
  <c r="AB154" i="6" s="1"/>
  <c r="AC154" i="6" s="1"/>
  <c r="O959" i="6"/>
  <c r="R959" i="6" s="1"/>
  <c r="S959" i="6" s="1"/>
  <c r="AB959" i="6" s="1"/>
  <c r="AC959" i="6" s="1"/>
  <c r="O99" i="6"/>
  <c r="R99" i="6" s="1"/>
  <c r="S99" i="6" s="1"/>
  <c r="AB99" i="6" s="1"/>
  <c r="AC99" i="6" s="1"/>
  <c r="O251" i="6"/>
  <c r="R251" i="6" s="1"/>
  <c r="S251" i="6" s="1"/>
  <c r="AB251" i="6" s="1"/>
  <c r="AC251" i="6" s="1"/>
  <c r="O1269" i="6"/>
  <c r="R1269" i="6" s="1"/>
  <c r="S1269" i="6" s="1"/>
  <c r="AB1269" i="6" s="1"/>
  <c r="AC1269" i="6" s="1"/>
  <c r="O531" i="6"/>
  <c r="R531" i="6" s="1"/>
  <c r="S531" i="6" s="1"/>
  <c r="AB531" i="6" s="1"/>
  <c r="AC531" i="6" s="1"/>
  <c r="O750" i="6"/>
  <c r="O112" i="6"/>
  <c r="O1624" i="6"/>
  <c r="R1624" i="6" s="1"/>
  <c r="S1624" i="6" s="1"/>
  <c r="AB1624" i="6" s="1"/>
  <c r="AC1624" i="6" s="1"/>
  <c r="O1934" i="6"/>
  <c r="R1934" i="6" s="1"/>
  <c r="S1934" i="6" s="1"/>
  <c r="AB1934" i="6" s="1"/>
  <c r="AC1934" i="6" s="1"/>
  <c r="O2095" i="6"/>
  <c r="R2095" i="6" s="1"/>
  <c r="S2095" i="6" s="1"/>
  <c r="AB2095" i="6" s="1"/>
  <c r="AC2095" i="6" s="1"/>
  <c r="O1685" i="6"/>
  <c r="R1685" i="6" s="1"/>
  <c r="S1685" i="6" s="1"/>
  <c r="AB1685" i="6" s="1"/>
  <c r="AC1685" i="6" s="1"/>
  <c r="O485" i="6"/>
  <c r="R485" i="6" s="1"/>
  <c r="S485" i="6" s="1"/>
  <c r="AB485" i="6" s="1"/>
  <c r="AC485" i="6" s="1"/>
  <c r="O1284" i="6"/>
  <c r="R1284" i="6" s="1"/>
  <c r="S1284" i="6" s="1"/>
  <c r="AB1284" i="6" s="1"/>
  <c r="AC1284" i="6" s="1"/>
  <c r="O2143" i="6"/>
  <c r="R2143" i="6" s="1"/>
  <c r="S2143" i="6" s="1"/>
  <c r="AB2143" i="6" s="1"/>
  <c r="AC2143" i="6" s="1"/>
  <c r="O1004" i="6"/>
  <c r="R1004" i="6" s="1"/>
  <c r="S1004" i="6" s="1"/>
  <c r="AB1004" i="6" s="1"/>
  <c r="AC1004" i="6" s="1"/>
  <c r="O173" i="6"/>
  <c r="R173" i="6" s="1"/>
  <c r="S173" i="6" s="1"/>
  <c r="AB173" i="6" s="1"/>
  <c r="AC173" i="6" s="1"/>
  <c r="O1811" i="6"/>
  <c r="R1811" i="6" s="1"/>
  <c r="S1811" i="6" s="1"/>
  <c r="AB1811" i="6" s="1"/>
  <c r="AC1811" i="6" s="1"/>
  <c r="O836" i="6"/>
  <c r="R836" i="6" s="1"/>
  <c r="S836" i="6" s="1"/>
  <c r="AB836" i="6" s="1"/>
  <c r="AC836" i="6" s="1"/>
  <c r="O1773" i="6"/>
  <c r="R1773" i="6" s="1"/>
  <c r="S1773" i="6" s="1"/>
  <c r="AB1773" i="6" s="1"/>
  <c r="AC1773" i="6" s="1"/>
  <c r="O326" i="6"/>
  <c r="R326" i="6" s="1"/>
  <c r="S326" i="6" s="1"/>
  <c r="AB326" i="6" s="1"/>
  <c r="AC326" i="6" s="1"/>
  <c r="O555" i="6"/>
  <c r="R555" i="6" s="1"/>
  <c r="S555" i="6" s="1"/>
  <c r="AB555" i="6" s="1"/>
  <c r="AC555" i="6" s="1"/>
  <c r="O1705" i="6"/>
  <c r="R1705" i="6" s="1"/>
  <c r="S1705" i="6" s="1"/>
  <c r="AB1705" i="6" s="1"/>
  <c r="AC1705" i="6" s="1"/>
  <c r="O254" i="6"/>
  <c r="O1276" i="6"/>
  <c r="R1276" i="6" s="1"/>
  <c r="S1276" i="6" s="1"/>
  <c r="AB1276" i="6" s="1"/>
  <c r="AC1276" i="6" s="1"/>
  <c r="O1463" i="6"/>
  <c r="R1463" i="6" s="1"/>
  <c r="S1463" i="6" s="1"/>
  <c r="AB1463" i="6" s="1"/>
  <c r="AC1463" i="6" s="1"/>
  <c r="O1725" i="6"/>
  <c r="R1725" i="6" s="1"/>
  <c r="S1725" i="6" s="1"/>
  <c r="AB1725" i="6" s="1"/>
  <c r="AC1725" i="6" s="1"/>
  <c r="O1006" i="6"/>
  <c r="R1006" i="6" s="1"/>
  <c r="S1006" i="6" s="1"/>
  <c r="AB1006" i="6" s="1"/>
  <c r="AC1006" i="6" s="1"/>
  <c r="O806" i="6"/>
  <c r="R806" i="6" s="1"/>
  <c r="S806" i="6" s="1"/>
  <c r="AB806" i="6" s="1"/>
  <c r="AC806" i="6" s="1"/>
  <c r="O1515" i="6"/>
  <c r="R1515" i="6" s="1"/>
  <c r="S1515" i="6" s="1"/>
  <c r="AB1515" i="6" s="1"/>
  <c r="AC1515" i="6" s="1"/>
  <c r="O729" i="6"/>
  <c r="R729" i="6" s="1"/>
  <c r="S729" i="6" s="1"/>
  <c r="AB729" i="6" s="1"/>
  <c r="AC729" i="6" s="1"/>
  <c r="O311" i="6"/>
  <c r="R311" i="6" s="1"/>
  <c r="S311" i="6" s="1"/>
  <c r="AB311" i="6" s="1"/>
  <c r="AC311" i="6" s="1"/>
  <c r="O791" i="6"/>
  <c r="R791" i="6" s="1"/>
  <c r="S791" i="6" s="1"/>
  <c r="AB791" i="6" s="1"/>
  <c r="AC791" i="6" s="1"/>
  <c r="O1371" i="6"/>
  <c r="R1371" i="6" s="1"/>
  <c r="S1371" i="6" s="1"/>
  <c r="AB1371" i="6" s="1"/>
  <c r="AC1371" i="6" s="1"/>
  <c r="O363" i="6"/>
  <c r="R363" i="6" s="1"/>
  <c r="S363" i="6" s="1"/>
  <c r="AB363" i="6" s="1"/>
  <c r="AC363" i="6" s="1"/>
  <c r="O860" i="6"/>
  <c r="R860" i="6" s="1"/>
  <c r="S860" i="6" s="1"/>
  <c r="AB860" i="6" s="1"/>
  <c r="AC860" i="6" s="1"/>
  <c r="O2167" i="6"/>
  <c r="R2167" i="6" s="1"/>
  <c r="S2167" i="6" s="1"/>
  <c r="AB2167" i="6" s="1"/>
  <c r="AC2167" i="6" s="1"/>
  <c r="O1283" i="6"/>
  <c r="R1283" i="6" s="1"/>
  <c r="S1283" i="6" s="1"/>
  <c r="AB1283" i="6" s="1"/>
  <c r="AC1283" i="6" s="1"/>
  <c r="O1900" i="6"/>
  <c r="R1900" i="6" s="1"/>
  <c r="O1107" i="6"/>
  <c r="R1107" i="6" s="1"/>
  <c r="S1107" i="6" s="1"/>
  <c r="AB1107" i="6" s="1"/>
  <c r="AC1107" i="6" s="1"/>
  <c r="O2016" i="6"/>
  <c r="R2016" i="6" s="1"/>
  <c r="S2016" i="6" s="1"/>
  <c r="AB2016" i="6" s="1"/>
  <c r="AC2016" i="6" s="1"/>
  <c r="O572" i="6"/>
  <c r="R572" i="6" s="1"/>
  <c r="S572" i="6" s="1"/>
  <c r="AB572" i="6" s="1"/>
  <c r="AC572" i="6" s="1"/>
  <c r="O2161" i="6"/>
  <c r="R2161" i="6" s="1"/>
  <c r="S2161" i="6" s="1"/>
  <c r="AB2161" i="6" s="1"/>
  <c r="AC2161" i="6" s="1"/>
  <c r="O1595" i="6"/>
  <c r="R1595" i="6" s="1"/>
  <c r="S1595" i="6" s="1"/>
  <c r="AB1595" i="6" s="1"/>
  <c r="AC1595" i="6" s="1"/>
  <c r="O2273" i="6"/>
  <c r="R2273" i="6" s="1"/>
  <c r="S2273" i="6" s="1"/>
  <c r="AB2273" i="6" s="1"/>
  <c r="AC2273" i="6" s="1"/>
  <c r="O1522" i="6"/>
  <c r="R1522" i="6" s="1"/>
  <c r="S1522" i="6" s="1"/>
  <c r="AB1522" i="6" s="1"/>
  <c r="AC1522" i="6" s="1"/>
  <c r="O696" i="6"/>
  <c r="R696" i="6" s="1"/>
  <c r="S696" i="6" s="1"/>
  <c r="AB696" i="6" s="1"/>
  <c r="AC696" i="6" s="1"/>
  <c r="O2180" i="6"/>
  <c r="R2180" i="6" s="1"/>
  <c r="S2180" i="6" s="1"/>
  <c r="AB2180" i="6" s="1"/>
  <c r="AC2180" i="6" s="1"/>
  <c r="O1912" i="6"/>
  <c r="R1912" i="6" s="1"/>
  <c r="S1912" i="6" s="1"/>
  <c r="AB1912" i="6" s="1"/>
  <c r="AC1912" i="6" s="1"/>
  <c r="O1337" i="6"/>
  <c r="R1337" i="6" s="1"/>
  <c r="S1337" i="6" s="1"/>
  <c r="AB1337" i="6" s="1"/>
  <c r="AC1337" i="6" s="1"/>
  <c r="O1700" i="6"/>
  <c r="R1700" i="6" s="1"/>
  <c r="S1700" i="6" s="1"/>
  <c r="AB1700" i="6" s="1"/>
  <c r="AC1700" i="6" s="1"/>
  <c r="O898" i="6"/>
  <c r="R898" i="6" s="1"/>
  <c r="S898" i="6" s="1"/>
  <c r="AB898" i="6" s="1"/>
  <c r="AC898" i="6" s="1"/>
  <c r="O1356" i="6"/>
  <c r="R1356" i="6" s="1"/>
  <c r="S1356" i="6" s="1"/>
  <c r="AB1356" i="6" s="1"/>
  <c r="AC1356" i="6" s="1"/>
  <c r="O1009" i="6"/>
  <c r="R1009" i="6" s="1"/>
  <c r="S1009" i="6" s="1"/>
  <c r="AB1009" i="6" s="1"/>
  <c r="AC1009" i="6" s="1"/>
  <c r="O717" i="6"/>
  <c r="O757" i="6"/>
  <c r="R757" i="6" s="1"/>
  <c r="S757" i="6" s="1"/>
  <c r="AB757" i="6" s="1"/>
  <c r="AC757" i="6" s="1"/>
  <c r="O1143" i="6"/>
  <c r="R1143" i="6" s="1"/>
  <c r="S1143" i="6" s="1"/>
  <c r="AB1143" i="6" s="1"/>
  <c r="AC1143" i="6" s="1"/>
  <c r="O542" i="6"/>
  <c r="R542" i="6" s="1"/>
  <c r="S542" i="6" s="1"/>
  <c r="AB542" i="6" s="1"/>
  <c r="AC542" i="6" s="1"/>
  <c r="O1059" i="6"/>
  <c r="R1059" i="6" s="1"/>
  <c r="S1059" i="6" s="1"/>
  <c r="AB1059" i="6" s="1"/>
  <c r="AC1059" i="6" s="1"/>
  <c r="O1434" i="6"/>
  <c r="R1434" i="6" s="1"/>
  <c r="S1434" i="6" s="1"/>
  <c r="AB1434" i="6" s="1"/>
  <c r="AC1434" i="6" s="1"/>
  <c r="O1212" i="6"/>
  <c r="R1212" i="6" s="1"/>
  <c r="S1212" i="6" s="1"/>
  <c r="AB1212" i="6" s="1"/>
  <c r="AC1212" i="6" s="1"/>
  <c r="O861" i="6"/>
  <c r="R861" i="6" s="1"/>
  <c r="S861" i="6" s="1"/>
  <c r="AB861" i="6" s="1"/>
  <c r="AC861" i="6" s="1"/>
  <c r="O2256" i="6"/>
  <c r="R2256" i="6" s="1"/>
  <c r="S2256" i="6" s="1"/>
  <c r="AB2256" i="6" s="1"/>
  <c r="AC2256" i="6" s="1"/>
  <c r="O2054" i="6"/>
  <c r="R2054" i="6" s="1"/>
  <c r="S2054" i="6" s="1"/>
  <c r="AB2054" i="6" s="1"/>
  <c r="AC2054" i="6" s="1"/>
  <c r="O756" i="6"/>
  <c r="R756" i="6" s="1"/>
  <c r="S756" i="6" s="1"/>
  <c r="AB756" i="6" s="1"/>
  <c r="AC756" i="6" s="1"/>
  <c r="O2103" i="6"/>
  <c r="R2103" i="6" s="1"/>
  <c r="O1439" i="6"/>
  <c r="R1439" i="6" s="1"/>
  <c r="S1439" i="6" s="1"/>
  <c r="AB1439" i="6" s="1"/>
  <c r="AC1439" i="6" s="1"/>
  <c r="O285" i="6"/>
  <c r="R285" i="6" s="1"/>
  <c r="S285" i="6" s="1"/>
  <c r="AB285" i="6" s="1"/>
  <c r="AC285" i="6" s="1"/>
  <c r="O1762" i="6"/>
  <c r="R1762" i="6" s="1"/>
  <c r="S1762" i="6" s="1"/>
  <c r="AB1762" i="6" s="1"/>
  <c r="AC1762" i="6" s="1"/>
  <c r="O1697" i="6"/>
  <c r="R1697" i="6" s="1"/>
  <c r="S1697" i="6" s="1"/>
  <c r="AB1697" i="6" s="1"/>
  <c r="AC1697" i="6" s="1"/>
  <c r="O222" i="6"/>
  <c r="R222" i="6" s="1"/>
  <c r="S222" i="6" s="1"/>
  <c r="AB222" i="6" s="1"/>
  <c r="AC222" i="6" s="1"/>
  <c r="O164" i="6"/>
  <c r="O867" i="6"/>
  <c r="R867" i="6" s="1"/>
  <c r="S867" i="6" s="1"/>
  <c r="AB867" i="6" s="1"/>
  <c r="AC867" i="6" s="1"/>
  <c r="O2118" i="6"/>
  <c r="R2118" i="6" s="1"/>
  <c r="S2118" i="6" s="1"/>
  <c r="AB2118" i="6" s="1"/>
  <c r="AC2118" i="6" s="1"/>
  <c r="O1173" i="6"/>
  <c r="R1173" i="6" s="1"/>
  <c r="S1173" i="6" s="1"/>
  <c r="AB1173" i="6" s="1"/>
  <c r="AC1173" i="6" s="1"/>
  <c r="O1458" i="6"/>
  <c r="R1458" i="6" s="1"/>
  <c r="S1458" i="6" s="1"/>
  <c r="AB1458" i="6" s="1"/>
  <c r="AC1458" i="6" s="1"/>
  <c r="O325" i="6"/>
  <c r="R325" i="6" s="1"/>
  <c r="S325" i="6" s="1"/>
  <c r="AB325" i="6" s="1"/>
  <c r="AC325" i="6" s="1"/>
  <c r="O624" i="6"/>
  <c r="R624" i="6" s="1"/>
  <c r="S624" i="6" s="1"/>
  <c r="AB624" i="6" s="1"/>
  <c r="AC624" i="6" s="1"/>
  <c r="O1948" i="6"/>
  <c r="R1948" i="6" s="1"/>
  <c r="S1948" i="6" s="1"/>
  <c r="AB1948" i="6" s="1"/>
  <c r="AC1948" i="6" s="1"/>
  <c r="O341" i="6"/>
  <c r="R341" i="6" s="1"/>
  <c r="S341" i="6" s="1"/>
  <c r="AB341" i="6" s="1"/>
  <c r="AC341" i="6" s="1"/>
  <c r="O759" i="6"/>
  <c r="R759" i="6" s="1"/>
  <c r="S759" i="6" s="1"/>
  <c r="AB759" i="6" s="1"/>
  <c r="AC759" i="6" s="1"/>
  <c r="O1501" i="6"/>
  <c r="R1501" i="6" s="1"/>
  <c r="S1501" i="6" s="1"/>
  <c r="AB1501" i="6" s="1"/>
  <c r="AC1501" i="6" s="1"/>
  <c r="O2112" i="6"/>
  <c r="R2112" i="6" s="1"/>
  <c r="S2112" i="6" s="1"/>
  <c r="AB2112" i="6" s="1"/>
  <c r="AC2112" i="6" s="1"/>
  <c r="O679" i="6"/>
  <c r="R679" i="6" s="1"/>
  <c r="S679" i="6" s="1"/>
  <c r="AB679" i="6" s="1"/>
  <c r="AC679" i="6" s="1"/>
  <c r="O885" i="6"/>
  <c r="R885" i="6" s="1"/>
  <c r="S885" i="6" s="1"/>
  <c r="AB885" i="6" s="1"/>
  <c r="AC885" i="6" s="1"/>
  <c r="O1387" i="6"/>
  <c r="R1387" i="6" s="1"/>
  <c r="S1387" i="6" s="1"/>
  <c r="AB1387" i="6" s="1"/>
  <c r="AC1387" i="6" s="1"/>
  <c r="O319" i="6"/>
  <c r="R319" i="6" s="1"/>
  <c r="S319" i="6" s="1"/>
  <c r="AB319" i="6" s="1"/>
  <c r="AC319" i="6" s="1"/>
  <c r="O298" i="6"/>
  <c r="O1715" i="6"/>
  <c r="R1715" i="6" s="1"/>
  <c r="S1715" i="6" s="1"/>
  <c r="AB1715" i="6" s="1"/>
  <c r="AC1715" i="6" s="1"/>
  <c r="O2087" i="6"/>
  <c r="R2087" i="6" s="1"/>
  <c r="S2087" i="6" s="1"/>
  <c r="AB2087" i="6" s="1"/>
  <c r="AC2087" i="6" s="1"/>
  <c r="O719" i="6"/>
  <c r="R719" i="6" s="1"/>
  <c r="S719" i="6" s="1"/>
  <c r="AB719" i="6" s="1"/>
  <c r="AC719" i="6" s="1"/>
  <c r="O1237" i="6"/>
  <c r="R1237" i="6" s="1"/>
  <c r="S1237" i="6" s="1"/>
  <c r="AB1237" i="6" s="1"/>
  <c r="AC1237" i="6" s="1"/>
  <c r="O2091" i="6"/>
  <c r="R2091" i="6" s="1"/>
  <c r="S2091" i="6" s="1"/>
  <c r="AB2091" i="6" s="1"/>
  <c r="AC2091" i="6" s="1"/>
  <c r="O1788" i="6"/>
  <c r="R1788" i="6" s="1"/>
  <c r="S1788" i="6" s="1"/>
  <c r="AB1788" i="6" s="1"/>
  <c r="AC1788" i="6" s="1"/>
  <c r="O1935" i="6"/>
  <c r="R1935" i="6" s="1"/>
  <c r="S1935" i="6" s="1"/>
  <c r="AB1935" i="6" s="1"/>
  <c r="AC1935" i="6" s="1"/>
  <c r="O632" i="6"/>
  <c r="R632" i="6" s="1"/>
  <c r="S632" i="6" s="1"/>
  <c r="AB632" i="6" s="1"/>
  <c r="AC632" i="6" s="1"/>
  <c r="O1063" i="6"/>
  <c r="R1063" i="6" s="1"/>
  <c r="S1063" i="6" s="1"/>
  <c r="AB1063" i="6" s="1"/>
  <c r="AC1063" i="6" s="1"/>
  <c r="O2225" i="6"/>
  <c r="R2225" i="6" s="1"/>
  <c r="S2225" i="6" s="1"/>
  <c r="AB2225" i="6" s="1"/>
  <c r="AC2225" i="6" s="1"/>
  <c r="O1819" i="6"/>
  <c r="R1819" i="6" s="1"/>
  <c r="S1819" i="6" s="1"/>
  <c r="AB1819" i="6" s="1"/>
  <c r="AC1819" i="6" s="1"/>
  <c r="O2126" i="6"/>
  <c r="R2126" i="6" s="1"/>
  <c r="S2126" i="6" s="1"/>
  <c r="AB2126" i="6" s="1"/>
  <c r="AC2126" i="6" s="1"/>
  <c r="O2283" i="6"/>
  <c r="R2283" i="6" s="1"/>
  <c r="S2283" i="6" s="1"/>
  <c r="AB2283" i="6" s="1"/>
  <c r="AC2283" i="6" s="1"/>
  <c r="O594" i="6"/>
  <c r="R594" i="6" s="1"/>
  <c r="S594" i="6" s="1"/>
  <c r="AB594" i="6" s="1"/>
  <c r="AC594" i="6" s="1"/>
  <c r="O2222" i="6"/>
  <c r="O776" i="6"/>
  <c r="O1714" i="6"/>
  <c r="R1714" i="6" s="1"/>
  <c r="S1714" i="6" s="1"/>
  <c r="AB1714" i="6" s="1"/>
  <c r="AC1714" i="6" s="1"/>
  <c r="O339" i="6"/>
  <c r="R339" i="6" s="1"/>
  <c r="S339" i="6" s="1"/>
  <c r="AB339" i="6" s="1"/>
  <c r="AC339" i="6" s="1"/>
  <c r="O1352" i="6"/>
  <c r="R1352" i="6" s="1"/>
  <c r="S1352" i="6" s="1"/>
  <c r="AB1352" i="6" s="1"/>
  <c r="AC1352" i="6" s="1"/>
  <c r="O2251" i="6"/>
  <c r="R2251" i="6" s="1"/>
  <c r="S2251" i="6" s="1"/>
  <c r="AB2251" i="6" s="1"/>
  <c r="AC2251" i="6" s="1"/>
  <c r="O178" i="6"/>
  <c r="R178" i="6" s="1"/>
  <c r="S178" i="6" s="1"/>
  <c r="AB178" i="6" s="1"/>
  <c r="AC178" i="6" s="1"/>
  <c r="O1170" i="6"/>
  <c r="R1170" i="6" s="1"/>
  <c r="S1170" i="6" s="1"/>
  <c r="AB1170" i="6" s="1"/>
  <c r="AC1170" i="6" s="1"/>
  <c r="O203" i="6"/>
  <c r="R203" i="6" s="1"/>
  <c r="S203" i="6" s="1"/>
  <c r="AB203" i="6" s="1"/>
  <c r="AC203" i="6" s="1"/>
  <c r="O1694" i="6"/>
  <c r="R1694" i="6" s="1"/>
  <c r="S1694" i="6" s="1"/>
  <c r="AB1694" i="6" s="1"/>
  <c r="AC1694" i="6" s="1"/>
  <c r="O2136" i="6"/>
  <c r="R2136" i="6" s="1"/>
  <c r="S2136" i="6" s="1"/>
  <c r="AB2136" i="6" s="1"/>
  <c r="AC2136" i="6" s="1"/>
  <c r="O1551" i="6"/>
  <c r="R1551" i="6" s="1"/>
  <c r="S1551" i="6" s="1"/>
  <c r="AB1551" i="6" s="1"/>
  <c r="AC1551" i="6" s="1"/>
  <c r="O1260" i="6"/>
  <c r="R1260" i="6" s="1"/>
  <c r="S1260" i="6" s="1"/>
  <c r="AB1260" i="6" s="1"/>
  <c r="AC1260" i="6" s="1"/>
  <c r="O1010" i="6"/>
  <c r="R1010" i="6" s="1"/>
  <c r="S1010" i="6" s="1"/>
  <c r="AB1010" i="6" s="1"/>
  <c r="AC1010" i="6" s="1"/>
  <c r="O414" i="6"/>
  <c r="R414" i="6" s="1"/>
  <c r="S414" i="6" s="1"/>
  <c r="AB414" i="6" s="1"/>
  <c r="AC414" i="6" s="1"/>
  <c r="O1178" i="6"/>
  <c r="R1178" i="6" s="1"/>
  <c r="S1178" i="6" s="1"/>
  <c r="AB1178" i="6" s="1"/>
  <c r="AC1178" i="6" s="1"/>
  <c r="O2248" i="6"/>
  <c r="R2248" i="6" s="1"/>
  <c r="S2248" i="6" s="1"/>
  <c r="AB2248" i="6" s="1"/>
  <c r="AC2248" i="6" s="1"/>
  <c r="O2332" i="6"/>
  <c r="R2332" i="6" s="1"/>
  <c r="S2332" i="6" s="1"/>
  <c r="AB2332" i="6" s="1"/>
  <c r="AC2332" i="6" s="1"/>
  <c r="O1803" i="6"/>
  <c r="R1803" i="6" s="1"/>
  <c r="S1803" i="6" s="1"/>
  <c r="AB1803" i="6" s="1"/>
  <c r="AC1803" i="6" s="1"/>
  <c r="O1950" i="6"/>
  <c r="R1950" i="6" s="1"/>
  <c r="S1950" i="6" s="1"/>
  <c r="AB1950" i="6" s="1"/>
  <c r="AC1950" i="6" s="1"/>
  <c r="O916" i="6"/>
  <c r="R916" i="6" s="1"/>
  <c r="S916" i="6" s="1"/>
  <c r="AB916" i="6" s="1"/>
  <c r="AC916" i="6" s="1"/>
  <c r="O587" i="6"/>
  <c r="R587" i="6" s="1"/>
  <c r="S587" i="6" s="1"/>
  <c r="AB587" i="6" s="1"/>
  <c r="AC587" i="6" s="1"/>
  <c r="O1738" i="6"/>
  <c r="R1738" i="6" s="1"/>
  <c r="S1738" i="6" s="1"/>
  <c r="AB1738" i="6" s="1"/>
  <c r="AC1738" i="6" s="1"/>
  <c r="O2159" i="6"/>
  <c r="R2159" i="6" s="1"/>
  <c r="S2159" i="6" s="1"/>
  <c r="AB2159" i="6" s="1"/>
  <c r="AC2159" i="6" s="1"/>
  <c r="O1510" i="6"/>
  <c r="R1510" i="6" s="1"/>
  <c r="S1510" i="6" s="1"/>
  <c r="AB1510" i="6" s="1"/>
  <c r="AC1510" i="6" s="1"/>
  <c r="O1693" i="6"/>
  <c r="R1693" i="6" s="1"/>
  <c r="S1693" i="6" s="1"/>
  <c r="AB1693" i="6" s="1"/>
  <c r="AC1693" i="6" s="1"/>
  <c r="O1474" i="6"/>
  <c r="R1474" i="6" s="1"/>
  <c r="S1474" i="6" s="1"/>
  <c r="AB1474" i="6" s="1"/>
  <c r="AC1474" i="6" s="1"/>
  <c r="O196" i="6"/>
  <c r="R196" i="6" s="1"/>
  <c r="S196" i="6" s="1"/>
  <c r="AB196" i="6" s="1"/>
  <c r="AC196" i="6" s="1"/>
  <c r="O442" i="6"/>
  <c r="R442" i="6" s="1"/>
  <c r="S442" i="6" s="1"/>
  <c r="AB442" i="6" s="1"/>
  <c r="AC442" i="6" s="1"/>
  <c r="O2183" i="6"/>
  <c r="R2183" i="6" s="1"/>
  <c r="S2183" i="6" s="1"/>
  <c r="AB2183" i="6" s="1"/>
  <c r="AC2183" i="6" s="1"/>
  <c r="O796" i="6"/>
  <c r="R796" i="6" s="1"/>
  <c r="S796" i="6" s="1"/>
  <c r="AB796" i="6" s="1"/>
  <c r="AC796" i="6" s="1"/>
  <c r="O1871" i="6"/>
  <c r="R1871" i="6" s="1"/>
  <c r="S1871" i="6" s="1"/>
  <c r="AB1871" i="6" s="1"/>
  <c r="AC1871" i="6" s="1"/>
  <c r="O2157" i="6"/>
  <c r="R2157" i="6" s="1"/>
  <c r="S2157" i="6" s="1"/>
  <c r="AB2157" i="6" s="1"/>
  <c r="AC2157" i="6" s="1"/>
  <c r="O1571" i="6"/>
  <c r="O2235" i="6"/>
  <c r="R2235" i="6" s="1"/>
  <c r="S2235" i="6" s="1"/>
  <c r="AB2235" i="6" s="1"/>
  <c r="AC2235" i="6" s="1"/>
  <c r="O2359" i="6"/>
  <c r="R2359" i="6" s="1"/>
  <c r="S2359" i="6" s="1"/>
  <c r="AB2359" i="6" s="1"/>
  <c r="AC2359" i="6" s="1"/>
  <c r="O1537" i="6"/>
  <c r="R1537" i="6" s="1"/>
  <c r="S1537" i="6" s="1"/>
  <c r="AB1537" i="6" s="1"/>
  <c r="AC1537" i="6" s="1"/>
  <c r="O2266" i="6"/>
  <c r="R2266" i="6" s="1"/>
  <c r="S2266" i="6" s="1"/>
  <c r="AB2266" i="6" s="1"/>
  <c r="AC2266" i="6" s="1"/>
  <c r="O661" i="6"/>
  <c r="R661" i="6" s="1"/>
  <c r="S661" i="6" s="1"/>
  <c r="AB661" i="6" s="1"/>
  <c r="AC661" i="6" s="1"/>
  <c r="O2174" i="6"/>
  <c r="R2174" i="6" s="1"/>
  <c r="S2174" i="6" s="1"/>
  <c r="AB2174" i="6" s="1"/>
  <c r="AC2174" i="6" s="1"/>
  <c r="O2339" i="6"/>
  <c r="R2339" i="6" s="1"/>
  <c r="S2339" i="6" s="1"/>
  <c r="AB2339" i="6" s="1"/>
  <c r="AC2339" i="6" s="1"/>
  <c r="O1378" i="6"/>
  <c r="R1378" i="6" s="1"/>
  <c r="S1378" i="6" s="1"/>
  <c r="AB1378" i="6" s="1"/>
  <c r="AC1378" i="6" s="1"/>
  <c r="O1724" i="6"/>
  <c r="R1724" i="6" s="1"/>
  <c r="S1724" i="6" s="1"/>
  <c r="AB1724" i="6" s="1"/>
  <c r="AC1724" i="6" s="1"/>
  <c r="O1728" i="6"/>
  <c r="R1728" i="6" s="1"/>
  <c r="S1728" i="6" s="1"/>
  <c r="AB1728" i="6" s="1"/>
  <c r="AC1728" i="6" s="1"/>
  <c r="O852" i="6"/>
  <c r="R852" i="6" s="1"/>
  <c r="S852" i="6" s="1"/>
  <c r="AB852" i="6" s="1"/>
  <c r="AC852" i="6" s="1"/>
  <c r="O79" i="6"/>
  <c r="R79" i="6" s="1"/>
  <c r="S79" i="6" s="1"/>
  <c r="AB79" i="6" s="1"/>
  <c r="AC79" i="6" s="1"/>
  <c r="O1125" i="6"/>
  <c r="R1125" i="6" s="1"/>
  <c r="S1125" i="6" s="1"/>
  <c r="AB1125" i="6" s="1"/>
  <c r="AC1125" i="6" s="1"/>
  <c r="O1746" i="6"/>
  <c r="R1746" i="6" s="1"/>
  <c r="S1746" i="6" s="1"/>
  <c r="AB1746" i="6" s="1"/>
  <c r="AC1746" i="6" s="1"/>
  <c r="O722" i="6"/>
  <c r="R722" i="6" s="1"/>
  <c r="S722" i="6" s="1"/>
  <c r="AB722" i="6" s="1"/>
  <c r="AC722" i="6" s="1"/>
  <c r="O790" i="6"/>
  <c r="O1085" i="6"/>
  <c r="R1085" i="6" s="1"/>
  <c r="S1085" i="6" s="1"/>
  <c r="AB1085" i="6" s="1"/>
  <c r="AC1085" i="6" s="1"/>
  <c r="O1888" i="6"/>
  <c r="R1888" i="6" s="1"/>
  <c r="S1888" i="6" s="1"/>
  <c r="AB1888" i="6" s="1"/>
  <c r="AC1888" i="6" s="1"/>
  <c r="O882" i="6"/>
  <c r="R882" i="6" s="1"/>
  <c r="S882" i="6" s="1"/>
  <c r="AB882" i="6" s="1"/>
  <c r="AC882" i="6" s="1"/>
  <c r="O458" i="6"/>
  <c r="R458" i="6" s="1"/>
  <c r="S458" i="6" s="1"/>
  <c r="AB458" i="6" s="1"/>
  <c r="AC458" i="6" s="1"/>
  <c r="O1029" i="6"/>
  <c r="R1029" i="6" s="1"/>
  <c r="S1029" i="6" s="1"/>
  <c r="AB1029" i="6" s="1"/>
  <c r="AC1029" i="6" s="1"/>
  <c r="O1118" i="6"/>
  <c r="R1118" i="6" s="1"/>
  <c r="S1118" i="6" s="1"/>
  <c r="AB1118" i="6" s="1"/>
  <c r="AC1118" i="6" s="1"/>
  <c r="O864" i="6"/>
  <c r="R864" i="6" s="1"/>
  <c r="S864" i="6" s="1"/>
  <c r="AB864" i="6" s="1"/>
  <c r="AC864" i="6" s="1"/>
  <c r="O1381" i="6"/>
  <c r="R1381" i="6" s="1"/>
  <c r="S1381" i="6" s="1"/>
  <c r="AB1381" i="6" s="1"/>
  <c r="AC1381" i="6" s="1"/>
  <c r="O447" i="6"/>
  <c r="R447" i="6" s="1"/>
  <c r="S447" i="6" s="1"/>
  <c r="AB447" i="6" s="1"/>
  <c r="AC447" i="6" s="1"/>
  <c r="O36" i="6"/>
  <c r="R36" i="6" s="1"/>
  <c r="S36" i="6" s="1"/>
  <c r="AB36" i="6" s="1"/>
  <c r="AC36" i="6" s="1"/>
  <c r="O774" i="6"/>
  <c r="R774" i="6" s="1"/>
  <c r="S774" i="6" s="1"/>
  <c r="AB774" i="6" s="1"/>
  <c r="AC774" i="6" s="1"/>
  <c r="O1250" i="6"/>
  <c r="R1250" i="6" s="1"/>
  <c r="S1250" i="6" s="1"/>
  <c r="AB1250" i="6" s="1"/>
  <c r="AC1250" i="6" s="1"/>
  <c r="O1088" i="6"/>
  <c r="R1088" i="6" s="1"/>
  <c r="S1088" i="6" s="1"/>
  <c r="AB1088" i="6" s="1"/>
  <c r="AC1088" i="6" s="1"/>
  <c r="O2059" i="6"/>
  <c r="R2059" i="6" s="1"/>
  <c r="S2059" i="6" s="1"/>
  <c r="AB2059" i="6" s="1"/>
  <c r="AC2059" i="6" s="1"/>
  <c r="O305" i="6"/>
  <c r="R305" i="6" s="1"/>
  <c r="S305" i="6" s="1"/>
  <c r="AB305" i="6" s="1"/>
  <c r="AC305" i="6" s="1"/>
  <c r="O1230" i="6"/>
  <c r="O517" i="6"/>
  <c r="R517" i="6" s="1"/>
  <c r="S517" i="6" s="1"/>
  <c r="AB517" i="6" s="1"/>
  <c r="AC517" i="6" s="1"/>
  <c r="O1338" i="6"/>
  <c r="R1338" i="6" s="1"/>
  <c r="S1338" i="6" s="1"/>
  <c r="AB1338" i="6" s="1"/>
  <c r="AC1338" i="6" s="1"/>
  <c r="O469" i="6"/>
  <c r="R469" i="6" s="1"/>
  <c r="S469" i="6" s="1"/>
  <c r="AB469" i="6" s="1"/>
  <c r="AC469" i="6" s="1"/>
  <c r="O1976" i="6"/>
  <c r="R1976" i="6" s="1"/>
  <c r="S1976" i="6" s="1"/>
  <c r="AB1976" i="6" s="1"/>
  <c r="AC1976" i="6" s="1"/>
  <c r="O151" i="6"/>
  <c r="R151" i="6" s="1"/>
  <c r="S151" i="6" s="1"/>
  <c r="AB151" i="6" s="1"/>
  <c r="AC151" i="6" s="1"/>
  <c r="O1640" i="6"/>
  <c r="R1640" i="6" s="1"/>
  <c r="S1640" i="6" s="1"/>
  <c r="AB1640" i="6" s="1"/>
  <c r="AC1640" i="6" s="1"/>
  <c r="O812" i="6"/>
  <c r="R812" i="6" s="1"/>
  <c r="S812" i="6" s="1"/>
  <c r="AB812" i="6" s="1"/>
  <c r="AC812" i="6" s="1"/>
  <c r="O1300" i="6"/>
  <c r="R1300" i="6" s="1"/>
  <c r="S1300" i="6" s="1"/>
  <c r="AB1300" i="6" s="1"/>
  <c r="AC1300" i="6" s="1"/>
  <c r="O966" i="6"/>
  <c r="R966" i="6" s="1"/>
  <c r="S966" i="6" s="1"/>
  <c r="AB966" i="6" s="1"/>
  <c r="AC966" i="6" s="1"/>
  <c r="O205" i="6"/>
  <c r="R205" i="6" s="1"/>
  <c r="S205" i="6" s="1"/>
  <c r="AB205" i="6" s="1"/>
  <c r="AC205" i="6" s="1"/>
  <c r="O2147" i="6"/>
  <c r="R2147" i="6" s="1"/>
  <c r="S2147" i="6" s="1"/>
  <c r="AB2147" i="6" s="1"/>
  <c r="AC2147" i="6" s="1"/>
  <c r="O2086" i="6"/>
  <c r="R2086" i="6" s="1"/>
  <c r="S2086" i="6" s="1"/>
  <c r="AB2086" i="6" s="1"/>
  <c r="AC2086" i="6" s="1"/>
  <c r="O1649" i="6"/>
  <c r="R1649" i="6" s="1"/>
  <c r="S1649" i="6" s="1"/>
  <c r="AB1649" i="6" s="1"/>
  <c r="AC1649" i="6" s="1"/>
  <c r="O1000" i="6"/>
  <c r="R1000" i="6" s="1"/>
  <c r="S1000" i="6" s="1"/>
  <c r="AB1000" i="6" s="1"/>
  <c r="AC1000" i="6" s="1"/>
  <c r="O1689" i="6"/>
  <c r="R1689" i="6" s="1"/>
  <c r="S1689" i="6" s="1"/>
  <c r="AB1689" i="6" s="1"/>
  <c r="AC1689" i="6" s="1"/>
  <c r="O1879" i="6"/>
  <c r="R1879" i="6" s="1"/>
  <c r="S1879" i="6" s="1"/>
  <c r="AB1879" i="6" s="1"/>
  <c r="AC1879" i="6" s="1"/>
  <c r="O512" i="6"/>
  <c r="R512" i="6" s="1"/>
  <c r="S512" i="6" s="1"/>
  <c r="AB512" i="6" s="1"/>
  <c r="AC512" i="6" s="1"/>
  <c r="O1182" i="6"/>
  <c r="R1182" i="6" s="1"/>
  <c r="S1182" i="6" s="1"/>
  <c r="AB1182" i="6" s="1"/>
  <c r="AC1182" i="6" s="1"/>
  <c r="O1696" i="6"/>
  <c r="R1696" i="6" s="1"/>
  <c r="S1696" i="6" s="1"/>
  <c r="AB1696" i="6" s="1"/>
  <c r="AC1696" i="6" s="1"/>
  <c r="O234" i="6"/>
  <c r="R234" i="6" s="1"/>
  <c r="S234" i="6" s="1"/>
  <c r="AB234" i="6" s="1"/>
  <c r="AC234" i="6" s="1"/>
  <c r="O179" i="6"/>
  <c r="R179" i="6" s="1"/>
  <c r="S179" i="6" s="1"/>
  <c r="AB179" i="6" s="1"/>
  <c r="AC179" i="6" s="1"/>
  <c r="O127" i="6"/>
  <c r="R127" i="6" s="1"/>
  <c r="S127" i="6" s="1"/>
  <c r="AB127" i="6" s="1"/>
  <c r="AC127" i="6" s="1"/>
  <c r="O669" i="6"/>
  <c r="R669" i="6" s="1"/>
  <c r="S669" i="6" s="1"/>
  <c r="AB669" i="6" s="1"/>
  <c r="AC669" i="6" s="1"/>
  <c r="O1377" i="6"/>
  <c r="R1377" i="6" s="1"/>
  <c r="S1377" i="6" s="1"/>
  <c r="AB1377" i="6" s="1"/>
  <c r="AC1377" i="6" s="1"/>
  <c r="O1229" i="6"/>
  <c r="R1229" i="6" s="1"/>
  <c r="S1229" i="6" s="1"/>
  <c r="AB1229" i="6" s="1"/>
  <c r="AC1229" i="6" s="1"/>
  <c r="O411" i="6"/>
  <c r="R411" i="6" s="1"/>
  <c r="S411" i="6" s="1"/>
  <c r="AB411" i="6" s="1"/>
  <c r="AC411" i="6" s="1"/>
  <c r="O1061" i="6"/>
  <c r="R1061" i="6" s="1"/>
  <c r="S1061" i="6" s="1"/>
  <c r="AB1061" i="6" s="1"/>
  <c r="AC1061" i="6" s="1"/>
  <c r="O535" i="6"/>
  <c r="R535" i="6" s="1"/>
  <c r="S535" i="6" s="1"/>
  <c r="AB535" i="6" s="1"/>
  <c r="AC535" i="6" s="1"/>
  <c r="O1418" i="6"/>
  <c r="R1418" i="6" s="1"/>
  <c r="S1418" i="6" s="1"/>
  <c r="AB1418" i="6" s="1"/>
  <c r="AC1418" i="6" s="1"/>
  <c r="O762" i="6"/>
  <c r="R762" i="6" s="1"/>
  <c r="S762" i="6" s="1"/>
  <c r="AB762" i="6" s="1"/>
  <c r="AC762" i="6" s="1"/>
  <c r="O1997" i="6"/>
  <c r="R1997" i="6" s="1"/>
  <c r="S1997" i="6" s="1"/>
  <c r="AB1997" i="6" s="1"/>
  <c r="AC1997" i="6" s="1"/>
  <c r="O206" i="6"/>
  <c r="R206" i="6" s="1"/>
  <c r="S206" i="6" s="1"/>
  <c r="AB206" i="6" s="1"/>
  <c r="AC206" i="6" s="1"/>
  <c r="O246" i="6"/>
  <c r="R246" i="6" s="1"/>
  <c r="S246" i="6" s="1"/>
  <c r="AB246" i="6" s="1"/>
  <c r="AC246" i="6" s="1"/>
  <c r="O465" i="6"/>
  <c r="R465" i="6" s="1"/>
  <c r="S465" i="6" s="1"/>
  <c r="AB465" i="6" s="1"/>
  <c r="AC465" i="6" s="1"/>
  <c r="O1190" i="6"/>
  <c r="R1190" i="6" s="1"/>
  <c r="S1190" i="6" s="1"/>
  <c r="AB1190" i="6" s="1"/>
  <c r="AC1190" i="6" s="1"/>
  <c r="O403" i="6"/>
  <c r="R403" i="6" s="1"/>
  <c r="S403" i="6" s="1"/>
  <c r="AB403" i="6" s="1"/>
  <c r="AC403" i="6" s="1"/>
  <c r="O1911" i="6"/>
  <c r="R1911" i="6" s="1"/>
  <c r="S1911" i="6" s="1"/>
  <c r="AB1911" i="6" s="1"/>
  <c r="AC1911" i="6" s="1"/>
  <c r="O1692" i="6"/>
  <c r="R1692" i="6" s="1"/>
  <c r="S1692" i="6" s="1"/>
  <c r="AB1692" i="6" s="1"/>
  <c r="AC1692" i="6" s="1"/>
  <c r="O1238" i="6"/>
  <c r="R1238" i="6" s="1"/>
  <c r="S1238" i="6" s="1"/>
  <c r="AB1238" i="6" s="1"/>
  <c r="AC1238" i="6" s="1"/>
  <c r="O1556" i="6"/>
  <c r="R1556" i="6" s="1"/>
  <c r="S1556" i="6" s="1"/>
  <c r="AB1556" i="6" s="1"/>
  <c r="AC1556" i="6" s="1"/>
  <c r="O1446" i="6"/>
  <c r="R1446" i="6" s="1"/>
  <c r="S1446" i="6" s="1"/>
  <c r="AB1446" i="6" s="1"/>
  <c r="AC1446" i="6" s="1"/>
  <c r="O685" i="6"/>
  <c r="R685" i="6" s="1"/>
  <c r="S685" i="6" s="1"/>
  <c r="AB685" i="6" s="1"/>
  <c r="AC685" i="6" s="1"/>
  <c r="O2090" i="6"/>
  <c r="R2090" i="6" s="1"/>
  <c r="S2090" i="6" s="1"/>
  <c r="AB2090" i="6" s="1"/>
  <c r="AC2090" i="6" s="1"/>
  <c r="O2062" i="6"/>
  <c r="R2062" i="6" s="1"/>
  <c r="S2062" i="6" s="1"/>
  <c r="AB2062" i="6" s="1"/>
  <c r="AC2062" i="6" s="1"/>
  <c r="O2213" i="6"/>
  <c r="R2213" i="6" s="1"/>
  <c r="S2213" i="6" s="1"/>
  <c r="AB2213" i="6" s="1"/>
  <c r="AC2213" i="6" s="1"/>
  <c r="O1938" i="6"/>
  <c r="R1938" i="6" s="1"/>
  <c r="S1938" i="6" s="1"/>
  <c r="AB1938" i="6" s="1"/>
  <c r="AC1938" i="6" s="1"/>
  <c r="O207" i="6"/>
  <c r="R207" i="6" s="1"/>
  <c r="S207" i="6" s="1"/>
  <c r="AB207" i="6" s="1"/>
  <c r="AC207" i="6" s="1"/>
  <c r="O64" i="6"/>
  <c r="O2195" i="6"/>
  <c r="R2195" i="6" s="1"/>
  <c r="S2195" i="6" s="1"/>
  <c r="AB2195" i="6" s="1"/>
  <c r="AC2195" i="6" s="1"/>
  <c r="O2178" i="6"/>
  <c r="R2178" i="6" s="1"/>
  <c r="S2178" i="6" s="1"/>
  <c r="AB2178" i="6" s="1"/>
  <c r="AC2178" i="6" s="1"/>
  <c r="O1929" i="6"/>
  <c r="R1929" i="6" s="1"/>
  <c r="S1929" i="6" s="1"/>
  <c r="AB1929" i="6" s="1"/>
  <c r="AC1929" i="6" s="1"/>
  <c r="O1430" i="6"/>
  <c r="R1430" i="6" s="1"/>
  <c r="S1430" i="6" s="1"/>
  <c r="AB1430" i="6" s="1"/>
  <c r="AC1430" i="6" s="1"/>
  <c r="O2028" i="6"/>
  <c r="R2028" i="6" s="1"/>
  <c r="S2028" i="6" s="1"/>
  <c r="AB2028" i="6" s="1"/>
  <c r="AC2028" i="6" s="1"/>
  <c r="O1150" i="6"/>
  <c r="R1150" i="6" s="1"/>
  <c r="S1150" i="6" s="1"/>
  <c r="AB1150" i="6" s="1"/>
  <c r="AC1150" i="6" s="1"/>
  <c r="O1706" i="6"/>
  <c r="R1706" i="6" s="1"/>
  <c r="S1706" i="6" s="1"/>
  <c r="AB1706" i="6" s="1"/>
  <c r="AC1706" i="6" s="1"/>
  <c r="O1487" i="6"/>
  <c r="R1487" i="6" s="1"/>
  <c r="S1487" i="6" s="1"/>
  <c r="AB1487" i="6" s="1"/>
  <c r="AC1487" i="6" s="1"/>
  <c r="O1217" i="6"/>
  <c r="R1217" i="6" s="1"/>
  <c r="S1217" i="6" s="1"/>
  <c r="AB1217" i="6" s="1"/>
  <c r="AC1217" i="6" s="1"/>
  <c r="O1233" i="6"/>
  <c r="R1233" i="6" s="1"/>
  <c r="S1233" i="6" s="1"/>
  <c r="AB1233" i="6" s="1"/>
  <c r="AC1233" i="6" s="1"/>
  <c r="O2004" i="6"/>
  <c r="R2004" i="6" s="1"/>
  <c r="S2004" i="6" s="1"/>
  <c r="AB2004" i="6" s="1"/>
  <c r="AC2004" i="6" s="1"/>
  <c r="O817" i="6"/>
  <c r="R817" i="6" s="1"/>
  <c r="S817" i="6" s="1"/>
  <c r="AB817" i="6" s="1"/>
  <c r="AC817" i="6" s="1"/>
  <c r="O859" i="6"/>
  <c r="R859" i="6" s="1"/>
  <c r="S859" i="6" s="1"/>
  <c r="AB859" i="6" s="1"/>
  <c r="AC859" i="6" s="1"/>
  <c r="O1198" i="6"/>
  <c r="R1198" i="6" s="1"/>
  <c r="S1198" i="6" s="1"/>
  <c r="AB1198" i="6" s="1"/>
  <c r="AC1198" i="6" s="1"/>
  <c r="O253" i="6"/>
  <c r="R253" i="6" s="1"/>
  <c r="S253" i="6" s="1"/>
  <c r="AB253" i="6" s="1"/>
  <c r="AC253" i="6" s="1"/>
  <c r="O705" i="6"/>
  <c r="R705" i="6" s="1"/>
  <c r="S705" i="6" s="1"/>
  <c r="AB705" i="6" s="1"/>
  <c r="AC705" i="6" s="1"/>
  <c r="O1583" i="6"/>
  <c r="R1583" i="6" s="1"/>
  <c r="S1583" i="6" s="1"/>
  <c r="AB1583" i="6" s="1"/>
  <c r="AC1583" i="6" s="1"/>
  <c r="O1758" i="6"/>
  <c r="R1758" i="6" s="1"/>
  <c r="S1758" i="6" s="1"/>
  <c r="AB1758" i="6" s="1"/>
  <c r="AC1758" i="6" s="1"/>
  <c r="O2302" i="6"/>
  <c r="R2302" i="6" s="1"/>
  <c r="S2302" i="6" s="1"/>
  <c r="AB2302" i="6" s="1"/>
  <c r="AC2302" i="6" s="1"/>
  <c r="O1035" i="6"/>
  <c r="R1035" i="6" s="1"/>
  <c r="S1035" i="6" s="1"/>
  <c r="AB1035" i="6" s="1"/>
  <c r="AC1035" i="6" s="1"/>
  <c r="O1666" i="6"/>
  <c r="R1666" i="6" s="1"/>
  <c r="S1666" i="6" s="1"/>
  <c r="AB1666" i="6" s="1"/>
  <c r="AC1666" i="6" s="1"/>
  <c r="O472" i="6"/>
  <c r="R472" i="6" s="1"/>
  <c r="S472" i="6" s="1"/>
  <c r="AB472" i="6" s="1"/>
  <c r="AC472" i="6" s="1"/>
  <c r="O372" i="6"/>
  <c r="R372" i="6" s="1"/>
  <c r="S372" i="6" s="1"/>
  <c r="AB372" i="6" s="1"/>
  <c r="AC372" i="6" s="1"/>
  <c r="O903" i="6"/>
  <c r="R903" i="6" s="1"/>
  <c r="S903" i="6" s="1"/>
  <c r="AB903" i="6" s="1"/>
  <c r="AC903" i="6" s="1"/>
  <c r="O1931" i="6"/>
  <c r="R1931" i="6" s="1"/>
  <c r="S1931" i="6" s="1"/>
  <c r="AB1931" i="6" s="1"/>
  <c r="AC1931" i="6" s="1"/>
  <c r="O1200" i="6"/>
  <c r="R1200" i="6" s="1"/>
  <c r="S1200" i="6" s="1"/>
  <c r="AB1200" i="6" s="1"/>
  <c r="AC1200" i="6" s="1"/>
  <c r="O464" i="6"/>
  <c r="R464" i="6" s="1"/>
  <c r="S464" i="6" s="1"/>
  <c r="AB464" i="6" s="1"/>
  <c r="AC464" i="6" s="1"/>
  <c r="O425" i="6"/>
  <c r="R425" i="6" s="1"/>
  <c r="S425" i="6" s="1"/>
  <c r="AB425" i="6" s="1"/>
  <c r="AC425" i="6" s="1"/>
  <c r="O1754" i="6"/>
  <c r="R1754" i="6" s="1"/>
  <c r="S1754" i="6" s="1"/>
  <c r="AB1754" i="6" s="1"/>
  <c r="AC1754" i="6" s="1"/>
  <c r="O396" i="6"/>
  <c r="R396" i="6" s="1"/>
  <c r="S396" i="6" s="1"/>
  <c r="AB396" i="6" s="1"/>
  <c r="AC396" i="6" s="1"/>
  <c r="O2340" i="6"/>
  <c r="R2340" i="6" s="1"/>
  <c r="S2340" i="6" s="1"/>
  <c r="AB2340" i="6" s="1"/>
  <c r="AC2340" i="6" s="1"/>
  <c r="O763" i="6"/>
  <c r="O1765" i="6"/>
  <c r="R1765" i="6" s="1"/>
  <c r="S1765" i="6" s="1"/>
  <c r="AB1765" i="6" s="1"/>
  <c r="AC1765" i="6" s="1"/>
  <c r="O2051" i="6"/>
  <c r="R2051" i="6" s="1"/>
  <c r="S2051" i="6" s="1"/>
  <c r="AB2051" i="6" s="1"/>
  <c r="AC2051" i="6" s="1"/>
  <c r="O858" i="6"/>
  <c r="R858" i="6" s="1"/>
  <c r="S858" i="6" s="1"/>
  <c r="AB858" i="6" s="1"/>
  <c r="AC858" i="6" s="1"/>
  <c r="O764" i="6"/>
  <c r="R764" i="6" s="1"/>
  <c r="S764" i="6" s="1"/>
  <c r="AB764" i="6" s="1"/>
  <c r="AC764" i="6" s="1"/>
  <c r="O1873" i="6"/>
  <c r="R1873" i="6" s="1"/>
  <c r="S1873" i="6" s="1"/>
  <c r="AB1873" i="6" s="1"/>
  <c r="AC1873" i="6" s="1"/>
  <c r="O735" i="6"/>
  <c r="R735" i="6" s="1"/>
  <c r="S735" i="6" s="1"/>
  <c r="AB735" i="6" s="1"/>
  <c r="AC735" i="6" s="1"/>
  <c r="O714" i="6"/>
  <c r="R714" i="6" s="1"/>
  <c r="S714" i="6" s="1"/>
  <c r="AB714" i="6" s="1"/>
  <c r="AC714" i="6" s="1"/>
  <c r="O1353" i="6"/>
  <c r="R1353" i="6" s="1"/>
  <c r="S1353" i="6" s="1"/>
  <c r="AB1353" i="6" s="1"/>
  <c r="AC1353" i="6" s="1"/>
  <c r="O2265" i="6"/>
  <c r="R2265" i="6" s="1"/>
  <c r="S2265" i="6" s="1"/>
  <c r="AB2265" i="6" s="1"/>
  <c r="AC2265" i="6" s="1"/>
  <c r="O1478" i="6"/>
  <c r="R1478" i="6" s="1"/>
  <c r="S1478" i="6" s="1"/>
  <c r="AB1478" i="6" s="1"/>
  <c r="AC1478" i="6" s="1"/>
  <c r="O1937" i="6"/>
  <c r="R1937" i="6" s="1"/>
  <c r="S1937" i="6" s="1"/>
  <c r="AB1937" i="6" s="1"/>
  <c r="AC1937" i="6" s="1"/>
  <c r="O1660" i="6"/>
  <c r="R1660" i="6" s="1"/>
  <c r="S1660" i="6" s="1"/>
  <c r="AB1660" i="6" s="1"/>
  <c r="AC1660" i="6" s="1"/>
  <c r="O540" i="6"/>
  <c r="R540" i="6" s="1"/>
  <c r="S540" i="6" s="1"/>
  <c r="AB540" i="6" s="1"/>
  <c r="AC540" i="6" s="1"/>
  <c r="O693" i="6"/>
  <c r="R693" i="6" s="1"/>
  <c r="S693" i="6" s="1"/>
  <c r="AB693" i="6" s="1"/>
  <c r="AC693" i="6" s="1"/>
  <c r="O1186" i="6"/>
  <c r="R1186" i="6" s="1"/>
  <c r="S1186" i="6" s="1"/>
  <c r="AB1186" i="6" s="1"/>
  <c r="AC1186" i="6" s="1"/>
  <c r="O2111" i="6"/>
  <c r="R2111" i="6" s="1"/>
  <c r="S2111" i="6" s="1"/>
  <c r="AB2111" i="6" s="1"/>
  <c r="AC2111" i="6" s="1"/>
  <c r="O2053" i="6"/>
  <c r="R2053" i="6" s="1"/>
  <c r="S2053" i="6" s="1"/>
  <c r="AB2053" i="6" s="1"/>
  <c r="AC2053" i="6" s="1"/>
  <c r="O1031" i="6"/>
  <c r="R1031" i="6" s="1"/>
  <c r="S1031" i="6" s="1"/>
  <c r="AB1031" i="6" s="1"/>
  <c r="AC1031" i="6" s="1"/>
  <c r="O128" i="6"/>
  <c r="R128" i="6" s="1"/>
  <c r="S128" i="6" s="1"/>
  <c r="AB128" i="6" s="1"/>
  <c r="AC128" i="6" s="1"/>
  <c r="O593" i="6"/>
  <c r="R593" i="6" s="1"/>
  <c r="S593" i="6" s="1"/>
  <c r="AB593" i="6" s="1"/>
  <c r="AC593" i="6" s="1"/>
  <c r="O1981" i="6"/>
  <c r="R1981" i="6" s="1"/>
  <c r="S1981" i="6" s="1"/>
  <c r="AB1981" i="6" s="1"/>
  <c r="AC1981" i="6" s="1"/>
  <c r="O1869" i="6"/>
  <c r="R1869" i="6" s="1"/>
  <c r="S1869" i="6" s="1"/>
  <c r="AB1869" i="6" s="1"/>
  <c r="AC1869" i="6" s="1"/>
  <c r="O1629" i="6"/>
  <c r="R1629" i="6" s="1"/>
  <c r="S1629" i="6" s="1"/>
  <c r="AB1629" i="6" s="1"/>
  <c r="AC1629" i="6" s="1"/>
  <c r="O2169" i="6"/>
  <c r="R2169" i="6" s="1"/>
  <c r="S2169" i="6" s="1"/>
  <c r="AB2169" i="6" s="1"/>
  <c r="AC2169" i="6" s="1"/>
  <c r="O257" i="6"/>
  <c r="R257" i="6" s="1"/>
  <c r="S257" i="6" s="1"/>
  <c r="AB257" i="6" s="1"/>
  <c r="AC257" i="6" s="1"/>
  <c r="O1646" i="6"/>
  <c r="R1646" i="6" s="1"/>
  <c r="S1646" i="6" s="1"/>
  <c r="AB1646" i="6" s="1"/>
  <c r="AC1646" i="6" s="1"/>
  <c r="O749" i="6"/>
  <c r="R749" i="6" s="1"/>
  <c r="S749" i="6" s="1"/>
  <c r="AB749" i="6" s="1"/>
  <c r="AC749" i="6" s="1"/>
  <c r="O1864" i="6"/>
  <c r="R1864" i="6" s="1"/>
  <c r="S1864" i="6" s="1"/>
  <c r="AB1864" i="6" s="1"/>
  <c r="AC1864" i="6" s="1"/>
  <c r="O2108" i="6"/>
  <c r="R2108" i="6" s="1"/>
  <c r="S2108" i="6" s="1"/>
  <c r="AB2108" i="6" s="1"/>
  <c r="AC2108" i="6" s="1"/>
  <c r="O1865" i="6"/>
  <c r="R1865" i="6" s="1"/>
  <c r="S1865" i="6" s="1"/>
  <c r="AB1865" i="6" s="1"/>
  <c r="AC1865" i="6" s="1"/>
  <c r="O841" i="6"/>
  <c r="R841" i="6" s="1"/>
  <c r="S841" i="6" s="1"/>
  <c r="AB841" i="6" s="1"/>
  <c r="AC841" i="6" s="1"/>
  <c r="O926" i="6"/>
  <c r="O413" i="6"/>
  <c r="R413" i="6" s="1"/>
  <c r="S413" i="6" s="1"/>
  <c r="AB413" i="6" s="1"/>
  <c r="AC413" i="6" s="1"/>
  <c r="O664" i="6"/>
  <c r="R664" i="6" s="1"/>
  <c r="S664" i="6" s="1"/>
  <c r="AB664" i="6" s="1"/>
  <c r="AC664" i="6" s="1"/>
  <c r="O2045" i="6"/>
  <c r="R2045" i="6" s="1"/>
  <c r="S2045" i="6" s="1"/>
  <c r="AB2045" i="6" s="1"/>
  <c r="AC2045" i="6" s="1"/>
  <c r="O2243" i="6"/>
  <c r="R2243" i="6" s="1"/>
  <c r="S2243" i="6" s="1"/>
  <c r="AB2243" i="6" s="1"/>
  <c r="AC2243" i="6" s="1"/>
  <c r="O360" i="6"/>
  <c r="R360" i="6" s="1"/>
  <c r="S360" i="6" s="1"/>
  <c r="AB360" i="6" s="1"/>
  <c r="AC360" i="6" s="1"/>
  <c r="O1960" i="6"/>
  <c r="R1960" i="6" s="1"/>
  <c r="S1960" i="6" s="1"/>
  <c r="AB1960" i="6" s="1"/>
  <c r="AC1960" i="6" s="1"/>
  <c r="O1751" i="6"/>
  <c r="R1751" i="6" s="1"/>
  <c r="S1751" i="6" s="1"/>
  <c r="AB1751" i="6" s="1"/>
  <c r="AC1751" i="6" s="1"/>
  <c r="O1459" i="6"/>
  <c r="R1459" i="6" s="1"/>
  <c r="S1459" i="6" s="1"/>
  <c r="AB1459" i="6" s="1"/>
  <c r="AC1459" i="6" s="1"/>
  <c r="O986" i="6"/>
  <c r="R986" i="6" s="1"/>
  <c r="S986" i="6" s="1"/>
  <c r="AB986" i="6" s="1"/>
  <c r="AC986" i="6" s="1"/>
  <c r="O2005" i="6"/>
  <c r="R2005" i="6" s="1"/>
  <c r="S2005" i="6" s="1"/>
  <c r="AB2005" i="6" s="1"/>
  <c r="AC2005" i="6" s="1"/>
  <c r="O1648" i="6"/>
  <c r="R1648" i="6" s="1"/>
  <c r="S1648" i="6" s="1"/>
  <c r="AB1648" i="6" s="1"/>
  <c r="AC1648" i="6" s="1"/>
  <c r="O970" i="6"/>
  <c r="R970" i="6" s="1"/>
  <c r="S970" i="6" s="1"/>
  <c r="AB970" i="6" s="1"/>
  <c r="AC970" i="6" s="1"/>
  <c r="O307" i="6"/>
  <c r="R307" i="6" s="1"/>
  <c r="S307" i="6" s="1"/>
  <c r="AB307" i="6" s="1"/>
  <c r="AC307" i="6" s="1"/>
  <c r="O1124" i="6"/>
  <c r="R1124" i="6" s="1"/>
  <c r="S1124" i="6" s="1"/>
  <c r="AB1124" i="6" s="1"/>
  <c r="AC1124" i="6" s="1"/>
  <c r="O1274" i="6"/>
  <c r="R1274" i="6" s="1"/>
  <c r="S1274" i="6" s="1"/>
  <c r="AB1274" i="6" s="1"/>
  <c r="AC1274" i="6" s="1"/>
  <c r="O1408" i="6"/>
  <c r="O1042" i="6"/>
  <c r="R1042" i="6" s="1"/>
  <c r="S1042" i="6" s="1"/>
  <c r="AB1042" i="6" s="1"/>
  <c r="AC1042" i="6" s="1"/>
  <c r="O1322" i="6"/>
  <c r="R1322" i="6" s="1"/>
  <c r="S1322" i="6" s="1"/>
  <c r="AB1322" i="6" s="1"/>
  <c r="AC1322" i="6" s="1"/>
  <c r="O1301" i="6"/>
  <c r="R1301" i="6" s="1"/>
  <c r="S1301" i="6" s="1"/>
  <c r="AB1301" i="6" s="1"/>
  <c r="AC1301" i="6" s="1"/>
  <c r="O1121" i="6"/>
  <c r="R1121" i="6" s="1"/>
  <c r="S1121" i="6" s="1"/>
  <c r="AB1121" i="6" s="1"/>
  <c r="AC1121" i="6" s="1"/>
  <c r="O984" i="6"/>
  <c r="R984" i="6" s="1"/>
  <c r="S984" i="6" s="1"/>
  <c r="AB984" i="6" s="1"/>
  <c r="AC984" i="6" s="1"/>
  <c r="O1122" i="6"/>
  <c r="R1122" i="6" s="1"/>
  <c r="S1122" i="6" s="1"/>
  <c r="AB1122" i="6" s="1"/>
  <c r="AC1122" i="6" s="1"/>
  <c r="O1973" i="6"/>
  <c r="R1973" i="6" s="1"/>
  <c r="S1973" i="6" s="1"/>
  <c r="AB1973" i="6" s="1"/>
  <c r="AC1973" i="6" s="1"/>
  <c r="O855" i="6"/>
  <c r="R855" i="6" s="1"/>
  <c r="S855" i="6" s="1"/>
  <c r="AB855" i="6" s="1"/>
  <c r="AC855" i="6" s="1"/>
  <c r="O1511" i="6"/>
  <c r="R1511" i="6" s="1"/>
  <c r="S1511" i="6" s="1"/>
  <c r="AB1511" i="6" s="1"/>
  <c r="AC1511" i="6" s="1"/>
  <c r="O805" i="6"/>
  <c r="R805" i="6" s="1"/>
  <c r="S805" i="6" s="1"/>
  <c r="AB805" i="6" s="1"/>
  <c r="AC805" i="6" s="1"/>
  <c r="O1084" i="6"/>
  <c r="R1084" i="6" s="1"/>
  <c r="S1084" i="6" s="1"/>
  <c r="AB1084" i="6" s="1"/>
  <c r="AC1084" i="6" s="1"/>
  <c r="O856" i="6"/>
  <c r="R856" i="6" s="1"/>
  <c r="S856" i="6" s="1"/>
  <c r="AB856" i="6" s="1"/>
  <c r="AC856" i="6" s="1"/>
  <c r="O1759" i="6"/>
  <c r="R1759" i="6" s="1"/>
  <c r="S1759" i="6" s="1"/>
  <c r="AB1759" i="6" s="1"/>
  <c r="AC1759" i="6" s="1"/>
  <c r="O1632" i="6"/>
  <c r="R1632" i="6" s="1"/>
  <c r="S1632" i="6" s="1"/>
  <c r="AB1632" i="6" s="1"/>
  <c r="AC1632" i="6" s="1"/>
  <c r="O1832" i="6"/>
  <c r="R1832" i="6" s="1"/>
  <c r="S1832" i="6" s="1"/>
  <c r="AB1832" i="6" s="1"/>
  <c r="AC1832" i="6" s="1"/>
  <c r="O1332" i="6"/>
  <c r="R1332" i="6" s="1"/>
  <c r="S1332" i="6" s="1"/>
  <c r="AB1332" i="6" s="1"/>
  <c r="AC1332" i="6" s="1"/>
  <c r="O276" i="6"/>
  <c r="R276" i="6" s="1"/>
  <c r="S276" i="6" s="1"/>
  <c r="AB276" i="6" s="1"/>
  <c r="AC276" i="6" s="1"/>
  <c r="O190" i="6"/>
  <c r="R190" i="6" s="1"/>
  <c r="S190" i="6" s="1"/>
  <c r="AB190" i="6" s="1"/>
  <c r="AC190" i="6" s="1"/>
  <c r="O969" i="6"/>
  <c r="R969" i="6" s="1"/>
  <c r="S969" i="6" s="1"/>
  <c r="AB969" i="6" s="1"/>
  <c r="AC969" i="6" s="1"/>
  <c r="O1223" i="6"/>
  <c r="R1223" i="6" s="1"/>
  <c r="S1223" i="6" s="1"/>
  <c r="AB1223" i="6" s="1"/>
  <c r="AC1223" i="6" s="1"/>
  <c r="O964" i="6"/>
  <c r="R964" i="6" s="1"/>
  <c r="S964" i="6" s="1"/>
  <c r="AB964" i="6" s="1"/>
  <c r="AC964" i="6" s="1"/>
  <c r="O1286" i="6"/>
  <c r="R1286" i="6" s="1"/>
  <c r="S1286" i="6" s="1"/>
  <c r="AB1286" i="6" s="1"/>
  <c r="AC1286" i="6" s="1"/>
  <c r="O502" i="6"/>
  <c r="R502" i="6" s="1"/>
  <c r="S502" i="6" s="1"/>
  <c r="AB502" i="6" s="1"/>
  <c r="AC502" i="6" s="1"/>
  <c r="O1821" i="6"/>
  <c r="R1821" i="6" s="1"/>
  <c r="S1821" i="6" s="1"/>
  <c r="AB1821" i="6" s="1"/>
  <c r="AC1821" i="6" s="1"/>
  <c r="O1651" i="6"/>
  <c r="R1651" i="6" s="1"/>
  <c r="S1651" i="6" s="1"/>
  <c r="AB1651" i="6" s="1"/>
  <c r="AC1651" i="6" s="1"/>
  <c r="O702" i="6"/>
  <c r="R702" i="6" s="1"/>
  <c r="S702" i="6" s="1"/>
  <c r="AB702" i="6" s="1"/>
  <c r="AC702" i="6" s="1"/>
  <c r="O998" i="6"/>
  <c r="R998" i="6" s="1"/>
  <c r="S998" i="6" s="1"/>
  <c r="AB998" i="6" s="1"/>
  <c r="AC998" i="6" s="1"/>
  <c r="O1068" i="6"/>
  <c r="R1068" i="6" s="1"/>
  <c r="S1068" i="6" s="1"/>
  <c r="AB1068" i="6" s="1"/>
  <c r="AC1068" i="6" s="1"/>
  <c r="O1317" i="6"/>
  <c r="R1317" i="6" s="1"/>
  <c r="S1317" i="6" s="1"/>
  <c r="AB1317" i="6" s="1"/>
  <c r="AC1317" i="6" s="1"/>
  <c r="O982" i="6"/>
  <c r="R982" i="6" s="1"/>
  <c r="S982" i="6" s="1"/>
  <c r="AB982" i="6" s="1"/>
  <c r="AC982" i="6" s="1"/>
  <c r="O2259" i="6"/>
  <c r="R2259" i="6" s="1"/>
  <c r="S2259" i="6" s="1"/>
  <c r="AB2259" i="6" s="1"/>
  <c r="AC2259" i="6" s="1"/>
  <c r="O2164" i="6"/>
  <c r="R2164" i="6" s="1"/>
  <c r="S2164" i="6" s="1"/>
  <c r="AB2164" i="6" s="1"/>
  <c r="AC2164" i="6" s="1"/>
  <c r="O212" i="6"/>
  <c r="R212" i="6" s="1"/>
  <c r="S212" i="6" s="1"/>
  <c r="AB212" i="6" s="1"/>
  <c r="AC212" i="6" s="1"/>
  <c r="O1521" i="6"/>
  <c r="O808" i="6"/>
  <c r="R808" i="6" s="1"/>
  <c r="S808" i="6" s="1"/>
  <c r="AB808" i="6" s="1"/>
  <c r="AC808" i="6" s="1"/>
  <c r="O136" i="6"/>
  <c r="R136" i="6" s="1"/>
  <c r="S136" i="6" s="1"/>
  <c r="AB136" i="6" s="1"/>
  <c r="AC136" i="6" s="1"/>
  <c r="O1067" i="6"/>
  <c r="R1067" i="6" s="1"/>
  <c r="S1067" i="6" s="1"/>
  <c r="AB1067" i="6" s="1"/>
  <c r="AC1067" i="6" s="1"/>
  <c r="O1219" i="6"/>
  <c r="R1219" i="6" s="1"/>
  <c r="S1219" i="6" s="1"/>
  <c r="AB1219" i="6" s="1"/>
  <c r="AC1219" i="6" s="1"/>
  <c r="O238" i="6"/>
  <c r="R238" i="6" s="1"/>
  <c r="S238" i="6" s="1"/>
  <c r="AB238" i="6" s="1"/>
  <c r="AC238" i="6" s="1"/>
  <c r="O423" i="6"/>
  <c r="R423" i="6" s="1"/>
  <c r="S423" i="6" s="1"/>
  <c r="AB423" i="6" s="1"/>
  <c r="AC423" i="6" s="1"/>
  <c r="O2224" i="6"/>
  <c r="R2224" i="6" s="1"/>
  <c r="S2224" i="6" s="1"/>
  <c r="AB2224" i="6" s="1"/>
  <c r="AC2224" i="6" s="1"/>
  <c r="O1160" i="6"/>
  <c r="R1160" i="6" s="1"/>
  <c r="S1160" i="6" s="1"/>
  <c r="AB1160" i="6" s="1"/>
  <c r="AC1160" i="6" s="1"/>
  <c r="O459" i="6"/>
  <c r="R459" i="6" s="1"/>
  <c r="S459" i="6" s="1"/>
  <c r="AB459" i="6" s="1"/>
  <c r="AC459" i="6" s="1"/>
  <c r="O634" i="6"/>
  <c r="R634" i="6" s="1"/>
  <c r="S634" i="6" s="1"/>
  <c r="AB634" i="6" s="1"/>
  <c r="AC634" i="6" s="1"/>
  <c r="O1159" i="6"/>
  <c r="R1159" i="6" s="1"/>
  <c r="S1159" i="6" s="1"/>
  <c r="AB1159" i="6" s="1"/>
  <c r="AC1159" i="6" s="1"/>
  <c r="O364" i="6"/>
  <c r="R364" i="6" s="1"/>
  <c r="S364" i="6" s="1"/>
  <c r="AB364" i="6" s="1"/>
  <c r="AC364" i="6" s="1"/>
  <c r="O1064" i="6"/>
  <c r="R1064" i="6" s="1"/>
  <c r="S1064" i="6" s="1"/>
  <c r="AB1064" i="6" s="1"/>
  <c r="AC1064" i="6" s="1"/>
  <c r="O1919" i="6"/>
  <c r="O1277" i="6"/>
  <c r="R1277" i="6" s="1"/>
  <c r="S1277" i="6" s="1"/>
  <c r="AB1277" i="6" s="1"/>
  <c r="AC1277" i="6" s="1"/>
  <c r="O2330" i="6"/>
  <c r="R2330" i="6" s="1"/>
  <c r="S2330" i="6" s="1"/>
  <c r="AB2330" i="6" s="1"/>
  <c r="AC2330" i="6" s="1"/>
  <c r="O633" i="6"/>
  <c r="R633" i="6" s="1"/>
  <c r="S633" i="6" s="1"/>
  <c r="AB633" i="6" s="1"/>
  <c r="AC633" i="6" s="1"/>
  <c r="O579" i="6"/>
  <c r="R579" i="6" s="1"/>
  <c r="S579" i="6" s="1"/>
  <c r="AB579" i="6" s="1"/>
  <c r="AC579" i="6" s="1"/>
  <c r="O402" i="6"/>
  <c r="R402" i="6" s="1"/>
  <c r="S402" i="6" s="1"/>
  <c r="AB402" i="6" s="1"/>
  <c r="AC402" i="6" s="1"/>
  <c r="O743" i="6"/>
  <c r="R743" i="6" s="1"/>
  <c r="S743" i="6" s="1"/>
  <c r="AB743" i="6" s="1"/>
  <c r="AC743" i="6" s="1"/>
  <c r="O1234" i="6"/>
  <c r="R1234" i="6" s="1"/>
  <c r="S1234" i="6" s="1"/>
  <c r="AB1234" i="6" s="1"/>
  <c r="AC1234" i="6" s="1"/>
  <c r="O1936" i="6"/>
  <c r="R1936" i="6" s="1"/>
  <c r="S1936" i="6" s="1"/>
  <c r="AB1936" i="6" s="1"/>
  <c r="AC1936" i="6" s="1"/>
  <c r="O1816" i="6"/>
  <c r="R1816" i="6" s="1"/>
  <c r="S1816" i="6" s="1"/>
  <c r="AB1816" i="6" s="1"/>
  <c r="AC1816" i="6" s="1"/>
  <c r="O1916" i="6"/>
  <c r="R1916" i="6" s="1"/>
  <c r="S1916" i="6" s="1"/>
  <c r="AB1916" i="6" s="1"/>
  <c r="AC1916" i="6" s="1"/>
  <c r="O584" i="6"/>
  <c r="R584" i="6" s="1"/>
  <c r="S584" i="6" s="1"/>
  <c r="AB584" i="6" s="1"/>
  <c r="AC584" i="6" s="1"/>
  <c r="O201" i="6"/>
  <c r="R201" i="6" s="1"/>
  <c r="S201" i="6" s="1"/>
  <c r="AB201" i="6" s="1"/>
  <c r="AC201" i="6" s="1"/>
  <c r="O2132" i="6"/>
  <c r="R2132" i="6" s="1"/>
  <c r="S2132" i="6" s="1"/>
  <c r="AB2132" i="6" s="1"/>
  <c r="AC2132" i="6" s="1"/>
  <c r="O58" i="6"/>
  <c r="R58" i="6" s="1"/>
  <c r="S58" i="6" s="1"/>
  <c r="AB58" i="6" s="1"/>
  <c r="AC58" i="6" s="1"/>
  <c r="O2060" i="6"/>
  <c r="R2060" i="6" s="1"/>
  <c r="S2060" i="6" s="1"/>
  <c r="AB2060" i="6" s="1"/>
  <c r="AC2060" i="6" s="1"/>
  <c r="O2020" i="6"/>
  <c r="R2020" i="6" s="1"/>
  <c r="S2020" i="6" s="1"/>
  <c r="AB2020" i="6" s="1"/>
  <c r="AC2020" i="6" s="1"/>
  <c r="O1177" i="6"/>
  <c r="R1177" i="6" s="1"/>
  <c r="S1177" i="6" s="1"/>
  <c r="AB1177" i="6" s="1"/>
  <c r="AC1177" i="6" s="1"/>
  <c r="O365" i="6"/>
  <c r="O2068" i="6"/>
  <c r="R2068" i="6" s="1"/>
  <c r="S2068" i="6" s="1"/>
  <c r="AB2068" i="6" s="1"/>
  <c r="AC2068" i="6" s="1"/>
  <c r="O1391" i="6"/>
  <c r="R1391" i="6" s="1"/>
  <c r="S1391" i="6" s="1"/>
  <c r="AB1391" i="6" s="1"/>
  <c r="AC1391" i="6" s="1"/>
  <c r="O845" i="6"/>
  <c r="R845" i="6" s="1"/>
  <c r="S845" i="6" s="1"/>
  <c r="AB845" i="6" s="1"/>
  <c r="AC845" i="6" s="1"/>
  <c r="O1800" i="6"/>
  <c r="R1800" i="6" s="1"/>
  <c r="S1800" i="6" s="1"/>
  <c r="AB1800" i="6" s="1"/>
  <c r="AC1800" i="6" s="1"/>
  <c r="O1168" i="6"/>
  <c r="R1168" i="6" s="1"/>
  <c r="S1168" i="6" s="1"/>
  <c r="AB1168" i="6" s="1"/>
  <c r="AC1168" i="6" s="1"/>
  <c r="O1203" i="6"/>
  <c r="R1203" i="6" s="1"/>
  <c r="S1203" i="6" s="1"/>
  <c r="AB1203" i="6" s="1"/>
  <c r="AC1203" i="6" s="1"/>
  <c r="O2343" i="6"/>
  <c r="R2343" i="6" s="1"/>
  <c r="S2343" i="6" s="1"/>
  <c r="AB2343" i="6" s="1"/>
  <c r="AC2343" i="6" s="1"/>
  <c r="O2242" i="6"/>
  <c r="R2242" i="6" s="1"/>
  <c r="S2242" i="6" s="1"/>
  <c r="AB2242" i="6" s="1"/>
  <c r="AC2242" i="6" s="1"/>
  <c r="O214" i="6"/>
  <c r="R214" i="6" s="1"/>
  <c r="S214" i="6" s="1"/>
  <c r="AB214" i="6" s="1"/>
  <c r="AC214" i="6" s="1"/>
  <c r="O919" i="6"/>
  <c r="R919" i="6" s="1"/>
  <c r="S919" i="6" s="1"/>
  <c r="AB919" i="6" s="1"/>
  <c r="AC919" i="6" s="1"/>
  <c r="O26" i="6"/>
  <c r="R26" i="6" s="1"/>
  <c r="S26" i="6" s="1"/>
  <c r="AB26" i="6" s="1"/>
  <c r="AC26" i="6" s="1"/>
  <c r="O1441" i="6"/>
  <c r="R1441" i="6" s="1"/>
  <c r="S1441" i="6" s="1"/>
  <c r="AB1441" i="6" s="1"/>
  <c r="AC1441" i="6" s="1"/>
  <c r="O888" i="6"/>
  <c r="R888" i="6" s="1"/>
  <c r="S888" i="6" s="1"/>
  <c r="AB888" i="6" s="1"/>
  <c r="AC888" i="6" s="1"/>
  <c r="O1282" i="6"/>
  <c r="R1282" i="6" s="1"/>
  <c r="S1282" i="6" s="1"/>
  <c r="AB1282" i="6" s="1"/>
  <c r="AC1282" i="6" s="1"/>
  <c r="O694" i="6"/>
  <c r="R694" i="6" s="1"/>
  <c r="S694" i="6" s="1"/>
  <c r="AB694" i="6" s="1"/>
  <c r="AC694" i="6" s="1"/>
  <c r="O1049" i="6"/>
  <c r="R1049" i="6" s="1"/>
  <c r="S1049" i="6" s="1"/>
  <c r="AB1049" i="6" s="1"/>
  <c r="AC1049" i="6" s="1"/>
  <c r="O617" i="6"/>
  <c r="R617" i="6" s="1"/>
  <c r="S617" i="6" s="1"/>
  <c r="AB617" i="6" s="1"/>
  <c r="AC617" i="6" s="1"/>
  <c r="O1165" i="6"/>
  <c r="R1165" i="6" s="1"/>
  <c r="S1165" i="6" s="1"/>
  <c r="AB1165" i="6" s="1"/>
  <c r="AC1165" i="6" s="1"/>
  <c r="O1927" i="6"/>
  <c r="R1927" i="6" s="1"/>
  <c r="S1927" i="6" s="1"/>
  <c r="AB1927" i="6" s="1"/>
  <c r="AC1927" i="6" s="1"/>
  <c r="O1152" i="6"/>
  <c r="R1152" i="6" s="1"/>
  <c r="O612" i="6"/>
  <c r="R612" i="6" s="1"/>
  <c r="S612" i="6" s="1"/>
  <c r="AB612" i="6" s="1"/>
  <c r="AC612" i="6" s="1"/>
  <c r="O1359" i="6"/>
  <c r="R1359" i="6" s="1"/>
  <c r="S1359" i="6" s="1"/>
  <c r="AB1359" i="6" s="1"/>
  <c r="AC1359" i="6" s="1"/>
  <c r="O1210" i="6"/>
  <c r="R1210" i="6" s="1"/>
  <c r="S1210" i="6" s="1"/>
  <c r="AB1210" i="6" s="1"/>
  <c r="AC1210" i="6" s="1"/>
  <c r="O1497" i="6"/>
  <c r="R1497" i="6" s="1"/>
  <c r="S1497" i="6" s="1"/>
  <c r="AB1497" i="6" s="1"/>
  <c r="AC1497" i="6" s="1"/>
  <c r="O1594" i="6"/>
  <c r="R1594" i="6" s="1"/>
  <c r="S1594" i="6" s="1"/>
  <c r="AB1594" i="6" s="1"/>
  <c r="AC1594" i="6" s="1"/>
  <c r="O2211" i="6"/>
  <c r="R2211" i="6" s="1"/>
  <c r="S2211" i="6" s="1"/>
  <c r="AB2211" i="6" s="1"/>
  <c r="AC2211" i="6" s="1"/>
  <c r="O1268" i="6"/>
  <c r="R1268" i="6" s="1"/>
  <c r="S1268" i="6" s="1"/>
  <c r="AB1268" i="6" s="1"/>
  <c r="AC1268" i="6" s="1"/>
  <c r="O1174" i="6"/>
  <c r="R1174" i="6" s="1"/>
  <c r="S1174" i="6" s="1"/>
  <c r="AB1174" i="6" s="1"/>
  <c r="AC1174" i="6" s="1"/>
  <c r="O1201" i="6"/>
  <c r="R1201" i="6" s="1"/>
  <c r="S1201" i="6" s="1"/>
  <c r="AB1201" i="6" s="1"/>
  <c r="AC1201" i="6" s="1"/>
  <c r="O1740" i="6"/>
  <c r="O1171" i="6"/>
  <c r="R1171" i="6" s="1"/>
  <c r="S1171" i="6" s="1"/>
  <c r="AB1171" i="6" s="1"/>
  <c r="AC1171" i="6" s="1"/>
  <c r="O225" i="6"/>
  <c r="R225" i="6" s="1"/>
  <c r="S225" i="6" s="1"/>
  <c r="AB225" i="6" s="1"/>
  <c r="AC225" i="6" s="1"/>
  <c r="O2217" i="6"/>
  <c r="R2217" i="6" s="1"/>
  <c r="O1405" i="6"/>
  <c r="R1405" i="6" s="1"/>
  <c r="S1405" i="6" s="1"/>
  <c r="AB1405" i="6" s="1"/>
  <c r="AC1405" i="6" s="1"/>
  <c r="O296" i="6"/>
  <c r="R296" i="6" s="1"/>
  <c r="S296" i="6" s="1"/>
  <c r="AB296" i="6" s="1"/>
  <c r="AC296" i="6" s="1"/>
  <c r="O2263" i="6"/>
  <c r="R2263" i="6" s="1"/>
  <c r="S2263" i="6" s="1"/>
  <c r="AB2263" i="6" s="1"/>
  <c r="AC2263" i="6" s="1"/>
  <c r="O1785" i="6"/>
  <c r="R1785" i="6" s="1"/>
  <c r="S1785" i="6" s="1"/>
  <c r="AB1785" i="6" s="1"/>
  <c r="AC1785" i="6" s="1"/>
  <c r="O453" i="6"/>
  <c r="R453" i="6" s="1"/>
  <c r="S453" i="6" s="1"/>
  <c r="AB453" i="6" s="1"/>
  <c r="AC453" i="6" s="1"/>
  <c r="O405" i="6"/>
  <c r="R405" i="6" s="1"/>
  <c r="S405" i="6" s="1"/>
  <c r="AB405" i="6" s="1"/>
  <c r="AC405" i="6" s="1"/>
  <c r="O1197" i="6"/>
  <c r="R1197" i="6" s="1"/>
  <c r="S1197" i="6" s="1"/>
  <c r="AB1197" i="6" s="1"/>
  <c r="AC1197" i="6" s="1"/>
  <c r="O1432" i="6"/>
  <c r="R1432" i="6" s="1"/>
  <c r="S1432" i="6" s="1"/>
  <c r="AB1432" i="6" s="1"/>
  <c r="AC1432" i="6" s="1"/>
  <c r="O499" i="6"/>
  <c r="R499" i="6" s="1"/>
  <c r="S499" i="6" s="1"/>
  <c r="AB499" i="6" s="1"/>
  <c r="AC499" i="6" s="1"/>
  <c r="O1355" i="6"/>
  <c r="R1355" i="6" s="1"/>
  <c r="S1355" i="6" s="1"/>
  <c r="AB1355" i="6" s="1"/>
  <c r="AC1355" i="6" s="1"/>
  <c r="O575" i="6"/>
  <c r="R575" i="6" s="1"/>
  <c r="S575" i="6" s="1"/>
  <c r="AB575" i="6" s="1"/>
  <c r="AC575" i="6" s="1"/>
  <c r="O2041" i="6"/>
  <c r="R2041" i="6" s="1"/>
  <c r="S2041" i="6" s="1"/>
  <c r="AB2041" i="6" s="1"/>
  <c r="AC2041" i="6" s="1"/>
  <c r="O2122" i="6"/>
  <c r="R2122" i="6" s="1"/>
  <c r="S2122" i="6" s="1"/>
  <c r="AB2122" i="6" s="1"/>
  <c r="AC2122" i="6" s="1"/>
  <c r="O549" i="6"/>
  <c r="R549" i="6" s="1"/>
  <c r="S549" i="6" s="1"/>
  <c r="AB549" i="6" s="1"/>
  <c r="AC549" i="6" s="1"/>
  <c r="O1722" i="6"/>
  <c r="R1722" i="6" s="1"/>
  <c r="S1722" i="6" s="1"/>
  <c r="AB1722" i="6" s="1"/>
  <c r="AC1722" i="6" s="1"/>
  <c r="O2226" i="6"/>
  <c r="R2226" i="6" s="1"/>
  <c r="S2226" i="6" s="1"/>
  <c r="AB2226" i="6" s="1"/>
  <c r="AC2226" i="6" s="1"/>
  <c r="O1925" i="6"/>
  <c r="R1925" i="6" s="1"/>
  <c r="S1925" i="6" s="1"/>
  <c r="AB1925" i="6" s="1"/>
  <c r="AC1925" i="6" s="1"/>
  <c r="O1448" i="6"/>
  <c r="R1448" i="6" s="1"/>
  <c r="S1448" i="6" s="1"/>
  <c r="AB1448" i="6" s="1"/>
  <c r="AC1448" i="6" s="1"/>
  <c r="O471" i="6"/>
  <c r="R471" i="6" s="1"/>
  <c r="S471" i="6" s="1"/>
  <c r="AB471" i="6" s="1"/>
  <c r="AC471" i="6" s="1"/>
  <c r="O2363" i="6"/>
  <c r="O407" i="6"/>
  <c r="R407" i="6" s="1"/>
  <c r="S407" i="6" s="1"/>
  <c r="AB407" i="6" s="1"/>
  <c r="AC407" i="6" s="1"/>
  <c r="O1844" i="6"/>
  <c r="R1844" i="6" s="1"/>
  <c r="S1844" i="6" s="1"/>
  <c r="AB1844" i="6" s="1"/>
  <c r="AC1844" i="6" s="1"/>
  <c r="O51" i="6"/>
  <c r="R51" i="6" s="1"/>
  <c r="S51" i="6" s="1"/>
  <c r="AB51" i="6" s="1"/>
  <c r="AC51" i="6" s="1"/>
  <c r="O1397" i="6"/>
  <c r="R1397" i="6" s="1"/>
  <c r="S1397" i="6" s="1"/>
  <c r="AB1397" i="6" s="1"/>
  <c r="AC1397" i="6" s="1"/>
  <c r="O1199" i="6"/>
  <c r="R1199" i="6" s="1"/>
  <c r="S1199" i="6" s="1"/>
  <c r="AB1199" i="6" s="1"/>
  <c r="AC1199" i="6" s="1"/>
  <c r="O96" i="6"/>
  <c r="R96" i="6" s="1"/>
  <c r="S96" i="6" s="1"/>
  <c r="AB96" i="6" s="1"/>
  <c r="AC96" i="6" s="1"/>
  <c r="O1606" i="6"/>
  <c r="O1534" i="6"/>
  <c r="R1534" i="6" s="1"/>
  <c r="S1534" i="6" s="1"/>
  <c r="AB1534" i="6" s="1"/>
  <c r="AC1534" i="6" s="1"/>
  <c r="O1889" i="6"/>
  <c r="R1889" i="6" s="1"/>
  <c r="S1889" i="6" s="1"/>
  <c r="AB1889" i="6" s="1"/>
  <c r="AC1889" i="6" s="1"/>
  <c r="O375" i="6"/>
  <c r="R375" i="6" s="1"/>
  <c r="S375" i="6" s="1"/>
  <c r="AB375" i="6" s="1"/>
  <c r="AC375" i="6" s="1"/>
  <c r="O1727" i="6"/>
  <c r="R1727" i="6" s="1"/>
  <c r="S1727" i="6" s="1"/>
  <c r="AB1727" i="6" s="1"/>
  <c r="AC1727" i="6" s="1"/>
  <c r="O2009" i="6"/>
  <c r="R2009" i="6" s="1"/>
  <c r="S2009" i="6" s="1"/>
  <c r="AB2009" i="6" s="1"/>
  <c r="AC2009" i="6" s="1"/>
  <c r="O280" i="6"/>
  <c r="R280" i="6" s="1"/>
  <c r="S280" i="6" s="1"/>
  <c r="AB280" i="6" s="1"/>
  <c r="AC280" i="6" s="1"/>
  <c r="O172" i="6"/>
  <c r="R172" i="6" s="1"/>
  <c r="S172" i="6" s="1"/>
  <c r="AB172" i="6" s="1"/>
  <c r="AC172" i="6" s="1"/>
  <c r="O183" i="6"/>
  <c r="R183" i="6" s="1"/>
  <c r="S183" i="6" s="1"/>
  <c r="AB183" i="6" s="1"/>
  <c r="AC183" i="6" s="1"/>
  <c r="O1038" i="6"/>
  <c r="R1038" i="6" s="1"/>
  <c r="S1038" i="6" s="1"/>
  <c r="AB1038" i="6" s="1"/>
  <c r="AC1038" i="6" s="1"/>
  <c r="O1737" i="6"/>
  <c r="R1737" i="6" s="1"/>
  <c r="S1737" i="6" s="1"/>
  <c r="AB1737" i="6" s="1"/>
  <c r="AC1737" i="6" s="1"/>
  <c r="O175" i="6"/>
  <c r="R175" i="6" s="1"/>
  <c r="S175" i="6" s="1"/>
  <c r="AB175" i="6" s="1"/>
  <c r="AC175" i="6" s="1"/>
  <c r="O108" i="6"/>
  <c r="R108" i="6" s="1"/>
  <c r="S108" i="6" s="1"/>
  <c r="AB108" i="6" s="1"/>
  <c r="AC108" i="6" s="1"/>
  <c r="O1756" i="6"/>
  <c r="R1756" i="6" s="1"/>
  <c r="S1756" i="6" s="1"/>
  <c r="AB1756" i="6" s="1"/>
  <c r="AC1756" i="6" s="1"/>
  <c r="O408" i="6"/>
  <c r="R408" i="6" s="1"/>
  <c r="S408" i="6" s="1"/>
  <c r="AB408" i="6" s="1"/>
  <c r="AC408" i="6" s="1"/>
  <c r="O1628" i="6"/>
  <c r="R1628" i="6" s="1"/>
  <c r="S1628" i="6" s="1"/>
  <c r="AB1628" i="6" s="1"/>
  <c r="AC1628" i="6" s="1"/>
  <c r="O2148" i="6"/>
  <c r="R2148" i="6" s="1"/>
  <c r="S2148" i="6" s="1"/>
  <c r="AB2148" i="6" s="1"/>
  <c r="AC2148" i="6" s="1"/>
  <c r="O98" i="6"/>
  <c r="R98" i="6" s="1"/>
  <c r="S98" i="6" s="1"/>
  <c r="AB98" i="6" s="1"/>
  <c r="AC98" i="6" s="1"/>
  <c r="O2081" i="6"/>
  <c r="O1644" i="6"/>
  <c r="R1644" i="6" s="1"/>
  <c r="S1644" i="6" s="1"/>
  <c r="AB1644" i="6" s="1"/>
  <c r="AC1644" i="6" s="1"/>
  <c r="O1206" i="6"/>
  <c r="R1206" i="6" s="1"/>
  <c r="S1206" i="6" s="1"/>
  <c r="AB1206" i="6" s="1"/>
  <c r="AC1206" i="6" s="1"/>
  <c r="O1678" i="6"/>
  <c r="R1678" i="6" s="1"/>
  <c r="S1678" i="6" s="1"/>
  <c r="AB1678" i="6" s="1"/>
  <c r="AC1678" i="6" s="1"/>
  <c r="O670" i="6"/>
  <c r="R670" i="6" s="1"/>
  <c r="S670" i="6" s="1"/>
  <c r="AB670" i="6" s="1"/>
  <c r="AC670" i="6" s="1"/>
  <c r="O1127" i="6"/>
  <c r="R1127" i="6" s="1"/>
  <c r="S1127" i="6" s="1"/>
  <c r="AB1127" i="6" s="1"/>
  <c r="AC1127" i="6" s="1"/>
  <c r="O803" i="6"/>
  <c r="R803" i="6" s="1"/>
  <c r="S803" i="6" s="1"/>
  <c r="AB803" i="6" s="1"/>
  <c r="AC803" i="6" s="1"/>
  <c r="O1986" i="6"/>
  <c r="R1986" i="6" s="1"/>
  <c r="S1986" i="6" s="1"/>
  <c r="AB1986" i="6" s="1"/>
  <c r="AC1986" i="6" s="1"/>
  <c r="O2141" i="6"/>
  <c r="R2141" i="6" s="1"/>
  <c r="S2141" i="6" s="1"/>
  <c r="AB2141" i="6" s="1"/>
  <c r="AC2141" i="6" s="1"/>
  <c r="O1312" i="6"/>
  <c r="R1312" i="6" s="1"/>
  <c r="S1312" i="6" s="1"/>
  <c r="AB1312" i="6" s="1"/>
  <c r="AC1312" i="6" s="1"/>
  <c r="O1330" i="6"/>
  <c r="R1330" i="6" s="1"/>
  <c r="S1330" i="6" s="1"/>
  <c r="AB1330" i="6" s="1"/>
  <c r="AC1330" i="6" s="1"/>
  <c r="O824" i="6"/>
  <c r="R824" i="6" s="1"/>
  <c r="S824" i="6" s="1"/>
  <c r="AB824" i="6" s="1"/>
  <c r="AC824" i="6" s="1"/>
  <c r="O496" i="6"/>
  <c r="R496" i="6" s="1"/>
  <c r="S496" i="6" s="1"/>
  <c r="AB496" i="6" s="1"/>
  <c r="AC496" i="6" s="1"/>
  <c r="O553" i="6"/>
  <c r="R553" i="6" s="1"/>
  <c r="S553" i="6" s="1"/>
  <c r="AB553" i="6" s="1"/>
  <c r="AC553" i="6" s="1"/>
  <c r="O1428" i="6"/>
  <c r="R1428" i="6" s="1"/>
  <c r="S1428" i="6" s="1"/>
  <c r="AB1428" i="6" s="1"/>
  <c r="AC1428" i="6" s="1"/>
  <c r="O996" i="6"/>
  <c r="R996" i="6" s="1"/>
  <c r="S996" i="6" s="1"/>
  <c r="AB996" i="6" s="1"/>
  <c r="AC996" i="6" s="1"/>
  <c r="O2289" i="6"/>
  <c r="R2289" i="6" s="1"/>
  <c r="S2289" i="6" s="1"/>
  <c r="AB2289" i="6" s="1"/>
  <c r="AC2289" i="6" s="1"/>
  <c r="O1972" i="6"/>
  <c r="R1972" i="6" s="1"/>
  <c r="S1972" i="6" s="1"/>
  <c r="AB1972" i="6" s="1"/>
  <c r="AC1972" i="6" s="1"/>
  <c r="O1254" i="6"/>
  <c r="R1254" i="6" s="1"/>
  <c r="S1254" i="6" s="1"/>
  <c r="AB1254" i="6" s="1"/>
  <c r="AC1254" i="6" s="1"/>
  <c r="O1025" i="6"/>
  <c r="R1025" i="6" s="1"/>
  <c r="S1025" i="6" s="1"/>
  <c r="AB1025" i="6" s="1"/>
  <c r="AC1025" i="6" s="1"/>
  <c r="O995" i="6"/>
  <c r="R995" i="6" s="1"/>
  <c r="S995" i="6" s="1"/>
  <c r="AB995" i="6" s="1"/>
  <c r="AC995" i="6" s="1"/>
  <c r="O1130" i="6"/>
  <c r="R1130" i="6" s="1"/>
  <c r="S1130" i="6" s="1"/>
  <c r="AB1130" i="6" s="1"/>
  <c r="AC1130" i="6" s="1"/>
  <c r="O440" i="6"/>
  <c r="R440" i="6" s="1"/>
  <c r="S440" i="6" s="1"/>
  <c r="AB440" i="6" s="1"/>
  <c r="AC440" i="6" s="1"/>
  <c r="O1617" i="6"/>
  <c r="R1617" i="6" s="1"/>
  <c r="S1617" i="6" s="1"/>
  <c r="AB1617" i="6" s="1"/>
  <c r="AC1617" i="6" s="1"/>
  <c r="O168" i="6"/>
  <c r="R168" i="6" s="1"/>
  <c r="S168" i="6" s="1"/>
  <c r="AB168" i="6" s="1"/>
  <c r="AC168" i="6" s="1"/>
  <c r="O1213" i="6"/>
  <c r="R1213" i="6" s="1"/>
  <c r="S1213" i="6" s="1"/>
  <c r="AB1213" i="6" s="1"/>
  <c r="AC1213" i="6" s="1"/>
  <c r="O1324" i="6"/>
  <c r="R1324" i="6" s="1"/>
  <c r="S1324" i="6" s="1"/>
  <c r="AB1324" i="6" s="1"/>
  <c r="AC1324" i="6" s="1"/>
  <c r="O245" i="6"/>
  <c r="R245" i="6" s="1"/>
  <c r="S245" i="6" s="1"/>
  <c r="AB245" i="6" s="1"/>
  <c r="AC245" i="6" s="1"/>
  <c r="O1361" i="6"/>
  <c r="R1361" i="6" s="1"/>
  <c r="S1361" i="6" s="1"/>
  <c r="AB1361" i="6" s="1"/>
  <c r="AC1361" i="6" s="1"/>
  <c r="O581" i="6"/>
  <c r="R581" i="6" s="1"/>
  <c r="S581" i="6" s="1"/>
  <c r="AB581" i="6" s="1"/>
  <c r="AC581" i="6" s="1"/>
  <c r="O2131" i="6"/>
  <c r="R2131" i="6" s="1"/>
  <c r="S2131" i="6" s="1"/>
  <c r="AB2131" i="6" s="1"/>
  <c r="AC2131" i="6" s="1"/>
  <c r="O1240" i="6"/>
  <c r="R1240" i="6" s="1"/>
  <c r="S1240" i="6" s="1"/>
  <c r="AB1240" i="6" s="1"/>
  <c r="AC1240" i="6" s="1"/>
  <c r="O550" i="6"/>
  <c r="R550" i="6" s="1"/>
  <c r="S550" i="6" s="1"/>
  <c r="AB550" i="6" s="1"/>
  <c r="AC550" i="6" s="1"/>
  <c r="O1676" i="6"/>
  <c r="R1676" i="6" s="1"/>
  <c r="S1676" i="6" s="1"/>
  <c r="AB1676" i="6" s="1"/>
  <c r="AC1676" i="6" s="1"/>
  <c r="O1910" i="6"/>
  <c r="R1910" i="6" s="1"/>
  <c r="S1910" i="6" s="1"/>
  <c r="AB1910" i="6" s="1"/>
  <c r="AC1910" i="6" s="1"/>
  <c r="O777" i="6"/>
  <c r="R777" i="6" s="1"/>
  <c r="S777" i="6" s="1"/>
  <c r="AB777" i="6" s="1"/>
  <c r="AC777" i="6" s="1"/>
  <c r="O2323" i="6"/>
  <c r="R2323" i="6" s="1"/>
  <c r="S2323" i="6" s="1"/>
  <c r="AB2323" i="6" s="1"/>
  <c r="AC2323" i="6" s="1"/>
  <c r="O2187" i="6"/>
  <c r="R2187" i="6" s="1"/>
  <c r="S2187" i="6" s="1"/>
  <c r="AB2187" i="6" s="1"/>
  <c r="AC2187" i="6" s="1"/>
  <c r="O2113" i="6"/>
  <c r="R2113" i="6" s="1"/>
  <c r="S2113" i="6" s="1"/>
  <c r="AB2113" i="6" s="1"/>
  <c r="AC2113" i="6" s="1"/>
  <c r="O556" i="6"/>
  <c r="R556" i="6" s="1"/>
  <c r="S556" i="6" s="1"/>
  <c r="AB556" i="6" s="1"/>
  <c r="AC556" i="6" s="1"/>
  <c r="O219" i="6"/>
  <c r="R219" i="6" s="1"/>
  <c r="S219" i="6" s="1"/>
  <c r="AB219" i="6" s="1"/>
  <c r="AC219" i="6" s="1"/>
  <c r="O839" i="6"/>
  <c r="R839" i="6" s="1"/>
  <c r="S839" i="6" s="1"/>
  <c r="AB839" i="6" s="1"/>
  <c r="AC839" i="6" s="1"/>
  <c r="O348" i="6"/>
  <c r="R348" i="6" s="1"/>
  <c r="S348" i="6" s="1"/>
  <c r="AB348" i="6" s="1"/>
  <c r="AC348" i="6" s="1"/>
  <c r="O1228" i="6"/>
  <c r="R1228" i="6" s="1"/>
  <c r="S1228" i="6" s="1"/>
  <c r="AB1228" i="6" s="1"/>
  <c r="AC1228" i="6" s="1"/>
  <c r="O1502" i="6"/>
  <c r="R1502" i="6" s="1"/>
  <c r="S1502" i="6" s="1"/>
  <c r="AB1502" i="6" s="1"/>
  <c r="AC1502" i="6" s="1"/>
  <c r="O449" i="6"/>
  <c r="R449" i="6" s="1"/>
  <c r="S449" i="6" s="1"/>
  <c r="AB449" i="6" s="1"/>
  <c r="AC449" i="6" s="1"/>
  <c r="O1674" i="6"/>
  <c r="R1674" i="6" s="1"/>
  <c r="S1674" i="6" s="1"/>
  <c r="AB1674" i="6" s="1"/>
  <c r="AC1674" i="6" s="1"/>
  <c r="O455" i="6"/>
  <c r="R455" i="6" s="1"/>
  <c r="S455" i="6" s="1"/>
  <c r="AB455" i="6" s="1"/>
  <c r="AC455" i="6" s="1"/>
  <c r="O258" i="6"/>
  <c r="R258" i="6" s="1"/>
  <c r="S258" i="6" s="1"/>
  <c r="AB258" i="6" s="1"/>
  <c r="AC258" i="6" s="1"/>
  <c r="O399" i="6"/>
  <c r="R399" i="6" s="1"/>
  <c r="S399" i="6" s="1"/>
  <c r="AB399" i="6" s="1"/>
  <c r="AC399" i="6" s="1"/>
  <c r="O166" i="6"/>
  <c r="R166" i="6" s="1"/>
  <c r="S166" i="6" s="1"/>
  <c r="AB166" i="6" s="1"/>
  <c r="AC166" i="6" s="1"/>
  <c r="O1991" i="6"/>
  <c r="R1991" i="6" s="1"/>
  <c r="S1991" i="6" s="1"/>
  <c r="AB1991" i="6" s="1"/>
  <c r="AC1991" i="6" s="1"/>
  <c r="O314" i="6"/>
  <c r="R314" i="6" s="1"/>
  <c r="S314" i="6" s="1"/>
  <c r="AB314" i="6" s="1"/>
  <c r="AC314" i="6" s="1"/>
  <c r="O68" i="6"/>
  <c r="R68" i="6" s="1"/>
  <c r="S68" i="6" s="1"/>
  <c r="AB68" i="6" s="1"/>
  <c r="AC68" i="6" s="1"/>
  <c r="O770" i="6"/>
  <c r="R770" i="6" s="1"/>
  <c r="S770" i="6" s="1"/>
  <c r="AB770" i="6" s="1"/>
  <c r="AC770" i="6" s="1"/>
  <c r="O2214" i="6"/>
  <c r="R2214" i="6" s="1"/>
  <c r="O336" i="6"/>
  <c r="R336" i="6" s="1"/>
  <c r="S336" i="6" s="1"/>
  <c r="AB336" i="6" s="1"/>
  <c r="AC336" i="6" s="1"/>
  <c r="O599" i="6"/>
  <c r="R599" i="6" s="1"/>
  <c r="S599" i="6" s="1"/>
  <c r="AB599" i="6" s="1"/>
  <c r="AC599" i="6" s="1"/>
  <c r="O838" i="6"/>
  <c r="R838" i="6" s="1"/>
  <c r="S838" i="6" s="1"/>
  <c r="AB838" i="6" s="1"/>
  <c r="AC838" i="6" s="1"/>
  <c r="O1817" i="6"/>
  <c r="R1817" i="6" s="1"/>
  <c r="S1817" i="6" s="1"/>
  <c r="AB1817" i="6" s="1"/>
  <c r="AC1817" i="6" s="1"/>
  <c r="O2134" i="6"/>
  <c r="R2134" i="6" s="1"/>
  <c r="S2134" i="6" s="1"/>
  <c r="AB2134" i="6" s="1"/>
  <c r="AC2134" i="6" s="1"/>
  <c r="O519" i="6"/>
  <c r="R519" i="6" s="1"/>
  <c r="S519" i="6" s="1"/>
  <c r="AB519" i="6" s="1"/>
  <c r="AC519" i="6" s="1"/>
  <c r="O931" i="6"/>
  <c r="R931" i="6" s="1"/>
  <c r="S931" i="6" s="1"/>
  <c r="AB931" i="6" s="1"/>
  <c r="AC931" i="6" s="1"/>
  <c r="O1813" i="6"/>
  <c r="R1813" i="6" s="1"/>
  <c r="S1813" i="6" s="1"/>
  <c r="AB1813" i="6" s="1"/>
  <c r="AC1813" i="6" s="1"/>
  <c r="O1558" i="6"/>
  <c r="R1558" i="6" s="1"/>
  <c r="S1558" i="6" s="1"/>
  <c r="AB1558" i="6" s="1"/>
  <c r="AC1558" i="6" s="1"/>
  <c r="O875" i="6"/>
  <c r="R875" i="6" s="1"/>
  <c r="S875" i="6" s="1"/>
  <c r="AB875" i="6" s="1"/>
  <c r="AC875" i="6" s="1"/>
  <c r="O1932" i="6"/>
  <c r="R1932" i="6" s="1"/>
  <c r="S1932" i="6" s="1"/>
  <c r="AB1932" i="6" s="1"/>
  <c r="AC1932" i="6" s="1"/>
  <c r="O323" i="6"/>
  <c r="R323" i="6" s="1"/>
  <c r="S323" i="6" s="1"/>
  <c r="AB323" i="6" s="1"/>
  <c r="AC323" i="6" s="1"/>
  <c r="O1138" i="6"/>
  <c r="R1138" i="6" s="1"/>
  <c r="S1138" i="6" s="1"/>
  <c r="AB1138" i="6" s="1"/>
  <c r="AC1138" i="6" s="1"/>
  <c r="O384" i="6"/>
  <c r="R384" i="6" s="1"/>
  <c r="S384" i="6" s="1"/>
  <c r="AB384" i="6" s="1"/>
  <c r="AC384" i="6" s="1"/>
  <c r="O1347" i="6"/>
  <c r="R1347" i="6" s="1"/>
  <c r="S1347" i="6" s="1"/>
  <c r="AB1347" i="6" s="1"/>
  <c r="AC1347" i="6" s="1"/>
  <c r="O2026" i="6"/>
  <c r="R2026" i="6" s="1"/>
  <c r="S2026" i="6" s="1"/>
  <c r="AB2026" i="6" s="1"/>
  <c r="AC2026" i="6" s="1"/>
  <c r="O2074" i="6"/>
  <c r="R2074" i="6" s="1"/>
  <c r="S2074" i="6" s="1"/>
  <c r="AB2074" i="6" s="1"/>
  <c r="AC2074" i="6" s="1"/>
  <c r="O53" i="6"/>
  <c r="R53" i="6" s="1"/>
  <c r="S53" i="6" s="1"/>
  <c r="AB53" i="6" s="1"/>
  <c r="AC53" i="6" s="1"/>
  <c r="O199" i="6"/>
  <c r="R199" i="6" s="1"/>
  <c r="S199" i="6" s="1"/>
  <c r="AB199" i="6" s="1"/>
  <c r="AC199" i="6" s="1"/>
  <c r="O2162" i="6"/>
  <c r="R2162" i="6" s="1"/>
  <c r="S2162" i="6" s="1"/>
  <c r="AB2162" i="6" s="1"/>
  <c r="AC2162" i="6" s="1"/>
  <c r="O2349" i="6"/>
  <c r="R2349" i="6" s="1"/>
  <c r="S2349" i="6" s="1"/>
  <c r="AB2349" i="6" s="1"/>
  <c r="AC2349" i="6" s="1"/>
  <c r="O772" i="6"/>
  <c r="R772" i="6" s="1"/>
  <c r="S772" i="6" s="1"/>
  <c r="AB772" i="6" s="1"/>
  <c r="AC772" i="6" s="1"/>
  <c r="O2024" i="6"/>
  <c r="R2024" i="6" s="1"/>
  <c r="S2024" i="6" s="1"/>
  <c r="AB2024" i="6" s="1"/>
  <c r="AC2024" i="6" s="1"/>
  <c r="O454" i="6"/>
  <c r="R454" i="6" s="1"/>
  <c r="S454" i="6" s="1"/>
  <c r="AB454" i="6" s="1"/>
  <c r="AC454" i="6" s="1"/>
  <c r="O592" i="6"/>
  <c r="R592" i="6" s="1"/>
  <c r="S592" i="6" s="1"/>
  <c r="AB592" i="6" s="1"/>
  <c r="AC592" i="6" s="1"/>
  <c r="O366" i="6"/>
  <c r="R366" i="6" s="1"/>
  <c r="S366" i="6" s="1"/>
  <c r="AB366" i="6" s="1"/>
  <c r="AC366" i="6" s="1"/>
  <c r="O2276" i="6"/>
  <c r="R2276" i="6" s="1"/>
  <c r="S2276" i="6" s="1"/>
  <c r="AB2276" i="6" s="1"/>
  <c r="AC2276" i="6" s="1"/>
  <c r="O1880" i="6"/>
  <c r="R1880" i="6" s="1"/>
  <c r="S1880" i="6" s="1"/>
  <c r="AB1880" i="6" s="1"/>
  <c r="AC1880" i="6" s="1"/>
  <c r="O1019" i="6"/>
  <c r="R1019" i="6" s="1"/>
  <c r="S1019" i="6" s="1"/>
  <c r="AB1019" i="6" s="1"/>
  <c r="AC1019" i="6" s="1"/>
  <c r="O525" i="6"/>
  <c r="R525" i="6" s="1"/>
  <c r="S525" i="6" s="1"/>
  <c r="AB525" i="6" s="1"/>
  <c r="AC525" i="6" s="1"/>
  <c r="O1684" i="6"/>
  <c r="R1684" i="6" s="1"/>
  <c r="S1684" i="6" s="1"/>
  <c r="AB1684" i="6" s="1"/>
  <c r="AC1684" i="6" s="1"/>
  <c r="O2255" i="6"/>
  <c r="R2255" i="6" s="1"/>
  <c r="S2255" i="6" s="1"/>
  <c r="AB2255" i="6" s="1"/>
  <c r="AC2255" i="6" s="1"/>
  <c r="O1394" i="6"/>
  <c r="R1394" i="6" s="1"/>
  <c r="S1394" i="6" s="1"/>
  <c r="AB1394" i="6" s="1"/>
  <c r="AC1394" i="6" s="1"/>
  <c r="O737" i="6"/>
  <c r="R737" i="6" s="1"/>
  <c r="S737" i="6" s="1"/>
  <c r="AB737" i="6" s="1"/>
  <c r="AC737" i="6" s="1"/>
  <c r="O1058" i="6"/>
  <c r="R1058" i="6" s="1"/>
  <c r="S1058" i="6" s="1"/>
  <c r="AB1058" i="6" s="1"/>
  <c r="AC1058" i="6" s="1"/>
  <c r="O1424" i="6"/>
  <c r="R1424" i="6" s="1"/>
  <c r="S1424" i="6" s="1"/>
  <c r="AB1424" i="6" s="1"/>
  <c r="AC1424" i="6" s="1"/>
  <c r="O516" i="6"/>
  <c r="R516" i="6" s="1"/>
  <c r="S516" i="6" s="1"/>
  <c r="AB516" i="6" s="1"/>
  <c r="AC516" i="6" s="1"/>
  <c r="O2013" i="6"/>
  <c r="R2013" i="6" s="1"/>
  <c r="S2013" i="6" s="1"/>
  <c r="AB2013" i="6" s="1"/>
  <c r="AC2013" i="6" s="1"/>
  <c r="O2036" i="6"/>
  <c r="R2036" i="6" s="1"/>
  <c r="S2036" i="6" s="1"/>
  <c r="AB2036" i="6" s="1"/>
  <c r="AC2036" i="6" s="1"/>
  <c r="O1257" i="6"/>
  <c r="R1257" i="6" s="1"/>
  <c r="S1257" i="6" s="1"/>
  <c r="AB1257" i="6" s="1"/>
  <c r="AC1257" i="6" s="1"/>
  <c r="O775" i="6"/>
  <c r="R775" i="6" s="1"/>
  <c r="S775" i="6" s="1"/>
  <c r="AB775" i="6" s="1"/>
  <c r="AC775" i="6" s="1"/>
  <c r="O1518" i="6"/>
  <c r="R1518" i="6" s="1"/>
  <c r="S1518" i="6" s="1"/>
  <c r="AB1518" i="6" s="1"/>
  <c r="AC1518" i="6" s="1"/>
  <c r="O1134" i="6"/>
  <c r="R1134" i="6" s="1"/>
  <c r="S1134" i="6" s="1"/>
  <c r="AB1134" i="6" s="1"/>
  <c r="AC1134" i="6" s="1"/>
  <c r="O416" i="6"/>
  <c r="R416" i="6" s="1"/>
  <c r="S416" i="6" s="1"/>
  <c r="AB416" i="6" s="1"/>
  <c r="AC416" i="6" s="1"/>
  <c r="O2151" i="6"/>
  <c r="R2151" i="6" s="1"/>
  <c r="S2151" i="6" s="1"/>
  <c r="AB2151" i="6" s="1"/>
  <c r="AC2151" i="6" s="1"/>
  <c r="O378" i="6"/>
  <c r="R378" i="6" s="1"/>
  <c r="S378" i="6" s="1"/>
  <c r="AB378" i="6" s="1"/>
  <c r="AC378" i="6" s="1"/>
  <c r="O868" i="6"/>
  <c r="R868" i="6" s="1"/>
  <c r="S868" i="6" s="1"/>
  <c r="AB868" i="6" s="1"/>
  <c r="AC868" i="6" s="1"/>
  <c r="O2185" i="6"/>
  <c r="R2185" i="6" s="1"/>
  <c r="S2185" i="6" s="1"/>
  <c r="AB2185" i="6" s="1"/>
  <c r="AC2185" i="6" s="1"/>
  <c r="O1550" i="6"/>
  <c r="R1550" i="6" s="1"/>
  <c r="S1550" i="6" s="1"/>
  <c r="AB1550" i="6" s="1"/>
  <c r="AC1550" i="6" s="1"/>
  <c r="O1807" i="6"/>
  <c r="R1807" i="6" s="1"/>
  <c r="S1807" i="6" s="1"/>
  <c r="AB1807" i="6" s="1"/>
  <c r="AC1807" i="6" s="1"/>
  <c r="O2199" i="6"/>
  <c r="R2199" i="6" s="1"/>
  <c r="S2199" i="6" s="1"/>
  <c r="AB2199" i="6" s="1"/>
  <c r="AC2199" i="6" s="1"/>
  <c r="O930" i="6"/>
  <c r="R930" i="6" s="1"/>
  <c r="S930" i="6" s="1"/>
  <c r="AB930" i="6" s="1"/>
  <c r="AC930" i="6" s="1"/>
  <c r="O1214" i="6"/>
  <c r="R1214" i="6" s="1"/>
  <c r="S1214" i="6" s="1"/>
  <c r="AB1214" i="6" s="1"/>
  <c r="AC1214" i="6" s="1"/>
  <c r="O487" i="6"/>
  <c r="R487" i="6" s="1"/>
  <c r="S487" i="6" s="1"/>
  <c r="AB487" i="6" s="1"/>
  <c r="AC487" i="6" s="1"/>
  <c r="O1822" i="6"/>
  <c r="R1822" i="6" s="1"/>
  <c r="S1822" i="6" s="1"/>
  <c r="AB1822" i="6" s="1"/>
  <c r="AC1822" i="6" s="1"/>
  <c r="O2014" i="6"/>
  <c r="R2014" i="6" s="1"/>
  <c r="S2014" i="6" s="1"/>
  <c r="AB2014" i="6" s="1"/>
  <c r="AC2014" i="6" s="1"/>
  <c r="O1670" i="6"/>
  <c r="R1670" i="6" s="1"/>
  <c r="S1670" i="6" s="1"/>
  <c r="AB1670" i="6" s="1"/>
  <c r="AC1670" i="6" s="1"/>
  <c r="O562" i="6"/>
  <c r="R562" i="6" s="1"/>
  <c r="S562" i="6" s="1"/>
  <c r="AB562" i="6" s="1"/>
  <c r="AC562" i="6" s="1"/>
  <c r="O576" i="6"/>
  <c r="R576" i="6" s="1"/>
  <c r="S576" i="6" s="1"/>
  <c r="AB576" i="6" s="1"/>
  <c r="AC576" i="6" s="1"/>
  <c r="O1208" i="6"/>
  <c r="R1208" i="6" s="1"/>
  <c r="S1208" i="6" s="1"/>
  <c r="AB1208" i="6" s="1"/>
  <c r="AC1208" i="6" s="1"/>
  <c r="O901" i="6"/>
  <c r="R901" i="6" s="1"/>
  <c r="S901" i="6" s="1"/>
  <c r="AB901" i="6" s="1"/>
  <c r="AC901" i="6" s="1"/>
  <c r="O1996" i="6"/>
  <c r="R1996" i="6" s="1"/>
  <c r="S1996" i="6" s="1"/>
  <c r="AB1996" i="6" s="1"/>
  <c r="AC1996" i="6" s="1"/>
  <c r="O313" i="6"/>
  <c r="R313" i="6" s="1"/>
  <c r="S313" i="6" s="1"/>
  <c r="AB313" i="6" s="1"/>
  <c r="AC313" i="6" s="1"/>
  <c r="O1374" i="6"/>
  <c r="R1374" i="6" s="1"/>
  <c r="S1374" i="6" s="1"/>
  <c r="AB1374" i="6" s="1"/>
  <c r="AC1374" i="6" s="1"/>
  <c r="O1777" i="6"/>
  <c r="R1777" i="6" s="1"/>
  <c r="S1777" i="6" s="1"/>
  <c r="AB1777" i="6" s="1"/>
  <c r="AC1777" i="6" s="1"/>
  <c r="O110" i="6"/>
  <c r="R110" i="6" s="1"/>
  <c r="S110" i="6" s="1"/>
  <c r="AB110" i="6" s="1"/>
  <c r="AC110" i="6" s="1"/>
  <c r="O800" i="6"/>
  <c r="R800" i="6" s="1"/>
  <c r="S800" i="6" s="1"/>
  <c r="AB800" i="6" s="1"/>
  <c r="AC800" i="6" s="1"/>
  <c r="O1321" i="6"/>
  <c r="R1321" i="6" s="1"/>
  <c r="S1321" i="6" s="1"/>
  <c r="AB1321" i="6" s="1"/>
  <c r="AC1321" i="6" s="1"/>
  <c r="O983" i="6"/>
  <c r="R983" i="6" s="1"/>
  <c r="S983" i="6" s="1"/>
  <c r="AB983" i="6" s="1"/>
  <c r="AC983" i="6" s="1"/>
  <c r="O1625" i="6"/>
  <c r="R1625" i="6" s="1"/>
  <c r="S1625" i="6" s="1"/>
  <c r="AB1625" i="6" s="1"/>
  <c r="AC1625" i="6" s="1"/>
  <c r="O565" i="6"/>
  <c r="R565" i="6" s="1"/>
  <c r="S565" i="6" s="1"/>
  <c r="AB565" i="6" s="1"/>
  <c r="AC565" i="6" s="1"/>
  <c r="O1376" i="6"/>
  <c r="R1376" i="6" s="1"/>
  <c r="S1376" i="6" s="1"/>
  <c r="AB1376" i="6" s="1"/>
  <c r="AC1376" i="6" s="1"/>
  <c r="O2017" i="6"/>
  <c r="O1798" i="6"/>
  <c r="R1798" i="6" s="1"/>
  <c r="S1798" i="6" s="1"/>
  <c r="AB1798" i="6" s="1"/>
  <c r="AC1798" i="6" s="1"/>
  <c r="O130" i="6"/>
  <c r="R130" i="6" s="1"/>
  <c r="S130" i="6" s="1"/>
  <c r="AB130" i="6" s="1"/>
  <c r="AC130" i="6" s="1"/>
  <c r="O2153" i="6"/>
  <c r="R2153" i="6" s="1"/>
  <c r="S2153" i="6" s="1"/>
  <c r="AB2153" i="6" s="1"/>
  <c r="AC2153" i="6" s="1"/>
  <c r="O28" i="6"/>
  <c r="R28" i="6" s="1"/>
  <c r="S28" i="6" s="1"/>
  <c r="AB28" i="6" s="1"/>
  <c r="AC28" i="6" s="1"/>
  <c r="O2198" i="6"/>
  <c r="R2198" i="6" s="1"/>
  <c r="S2198" i="6" s="1"/>
  <c r="AB2198" i="6" s="1"/>
  <c r="AC2198" i="6" s="1"/>
  <c r="O2142" i="6"/>
  <c r="R2142" i="6" s="1"/>
  <c r="S2142" i="6" s="1"/>
  <c r="AB2142" i="6" s="1"/>
  <c r="AC2142" i="6" s="1"/>
  <c r="O1795" i="6"/>
  <c r="R1795" i="6" s="1"/>
  <c r="S1795" i="6" s="1"/>
  <c r="AB1795" i="6" s="1"/>
  <c r="AC1795" i="6" s="1"/>
  <c r="O1335" i="6"/>
  <c r="R1335" i="6" s="1"/>
  <c r="S1335" i="6" s="1"/>
  <c r="AB1335" i="6" s="1"/>
  <c r="AC1335" i="6" s="1"/>
  <c r="O509" i="6"/>
  <c r="R509" i="6" s="1"/>
  <c r="S509" i="6" s="1"/>
  <c r="AB509" i="6" s="1"/>
  <c r="AC509" i="6" s="1"/>
  <c r="O95" i="6"/>
  <c r="R95" i="6" s="1"/>
  <c r="S95" i="6" s="1"/>
  <c r="AB95" i="6" s="1"/>
  <c r="AC95" i="6" s="1"/>
  <c r="O93" i="6"/>
  <c r="R93" i="6" s="1"/>
  <c r="S93" i="6" s="1"/>
  <c r="AB93" i="6" s="1"/>
  <c r="AC93" i="6" s="1"/>
  <c r="O1966" i="6"/>
  <c r="R1966" i="6" s="1"/>
  <c r="S1966" i="6" s="1"/>
  <c r="AB1966" i="6" s="1"/>
  <c r="AC1966" i="6" s="1"/>
  <c r="O1789" i="6"/>
  <c r="R1789" i="6" s="1"/>
  <c r="S1789" i="6" s="1"/>
  <c r="AB1789" i="6" s="1"/>
  <c r="AC1789" i="6" s="1"/>
  <c r="O106" i="6"/>
  <c r="R106" i="6" s="1"/>
  <c r="S106" i="6" s="1"/>
  <c r="AB106" i="6" s="1"/>
  <c r="AC106" i="6" s="1"/>
  <c r="O2194" i="6"/>
  <c r="R2194" i="6" s="1"/>
  <c r="S2194" i="6" s="1"/>
  <c r="AB2194" i="6" s="1"/>
  <c r="AC2194" i="6" s="1"/>
  <c r="O1643" i="6"/>
  <c r="R1643" i="6" s="1"/>
  <c r="S1643" i="6" s="1"/>
  <c r="AB1643" i="6" s="1"/>
  <c r="AC1643" i="6" s="1"/>
  <c r="O1573" i="6"/>
  <c r="R1573" i="6" s="1"/>
  <c r="S1573" i="6" s="1"/>
  <c r="AB1573" i="6" s="1"/>
  <c r="AC1573" i="6" s="1"/>
  <c r="O1094" i="6"/>
  <c r="R1094" i="6" s="1"/>
  <c r="S1094" i="6" s="1"/>
  <c r="AB1094" i="6" s="1"/>
  <c r="AC1094" i="6" s="1"/>
  <c r="O530" i="6"/>
  <c r="R530" i="6" s="1"/>
  <c r="S530" i="6" s="1"/>
  <c r="AB530" i="6" s="1"/>
  <c r="AC530" i="6" s="1"/>
  <c r="O1810" i="6"/>
  <c r="R1810" i="6" s="1"/>
  <c r="S1810" i="6" s="1"/>
  <c r="AB1810" i="6" s="1"/>
  <c r="AC1810" i="6" s="1"/>
  <c r="O1626" i="6"/>
  <c r="R1626" i="6" s="1"/>
  <c r="S1626" i="6" s="1"/>
  <c r="AB1626" i="6" s="1"/>
  <c r="AC1626" i="6" s="1"/>
  <c r="O1110" i="6"/>
  <c r="R1110" i="6" s="1"/>
  <c r="S1110" i="6" s="1"/>
  <c r="AB1110" i="6" s="1"/>
  <c r="AC1110" i="6" s="1"/>
  <c r="O55" i="6"/>
  <c r="R55" i="6" s="1"/>
  <c r="S55" i="6" s="1"/>
  <c r="AB55" i="6" s="1"/>
  <c r="AC55" i="6" s="1"/>
  <c r="O302" i="6"/>
  <c r="R302" i="6" s="1"/>
  <c r="S302" i="6" s="1"/>
  <c r="AB302" i="6" s="1"/>
  <c r="AC302" i="6" s="1"/>
  <c r="O1275" i="6"/>
  <c r="R1275" i="6" s="1"/>
  <c r="S1275" i="6" s="1"/>
  <c r="AB1275" i="6" s="1"/>
  <c r="AC1275" i="6" s="1"/>
  <c r="O1507" i="6"/>
  <c r="R1507" i="6" s="1"/>
  <c r="S1507" i="6" s="1"/>
  <c r="AB1507" i="6" s="1"/>
  <c r="AC1507" i="6" s="1"/>
  <c r="O673" i="6"/>
  <c r="R673" i="6" s="1"/>
  <c r="S673" i="6" s="1"/>
  <c r="AB673" i="6" s="1"/>
  <c r="AC673" i="6" s="1"/>
  <c r="O1373" i="6"/>
  <c r="R1373" i="6" s="1"/>
  <c r="S1373" i="6" s="1"/>
  <c r="AB1373" i="6" s="1"/>
  <c r="AC1373" i="6" s="1"/>
  <c r="O819" i="6"/>
  <c r="R819" i="6" s="1"/>
  <c r="S819" i="6" s="1"/>
  <c r="AB819" i="6" s="1"/>
  <c r="AC819" i="6" s="1"/>
  <c r="O470" i="6"/>
  <c r="R470" i="6" s="1"/>
  <c r="S470" i="6" s="1"/>
  <c r="AB470" i="6" s="1"/>
  <c r="AC470" i="6" s="1"/>
  <c r="O191" i="6"/>
  <c r="R191" i="6" s="1"/>
  <c r="S191" i="6" s="1"/>
  <c r="AB191" i="6" s="1"/>
  <c r="AC191" i="6" s="1"/>
  <c r="O1860" i="6"/>
  <c r="R1860" i="6" s="1"/>
  <c r="S1860" i="6" s="1"/>
  <c r="AB1860" i="6" s="1"/>
  <c r="AC1860" i="6" s="1"/>
  <c r="O695" i="6"/>
  <c r="R695" i="6" s="1"/>
  <c r="S695" i="6" s="1"/>
  <c r="AB695" i="6" s="1"/>
  <c r="AC695" i="6" s="1"/>
  <c r="O1037" i="6"/>
  <c r="R1037" i="6" s="1"/>
  <c r="S1037" i="6" s="1"/>
  <c r="AB1037" i="6" s="1"/>
  <c r="AC1037" i="6" s="1"/>
  <c r="O25" i="6"/>
  <c r="R25" i="6" s="1"/>
  <c r="S25" i="6" s="1"/>
  <c r="AB25" i="6" s="1"/>
  <c r="AC25" i="6" s="1"/>
  <c r="O1308" i="6"/>
  <c r="R1308" i="6" s="1"/>
  <c r="S1308" i="6" s="1"/>
  <c r="AB1308" i="6" s="1"/>
  <c r="AC1308" i="6" s="1"/>
  <c r="O1686" i="6"/>
  <c r="R1686" i="6" s="1"/>
  <c r="S1686" i="6" s="1"/>
  <c r="AB1686" i="6" s="1"/>
  <c r="AC1686" i="6" s="1"/>
  <c r="O751" i="6"/>
  <c r="R751" i="6" s="1"/>
  <c r="S751" i="6" s="1"/>
  <c r="AB751" i="6" s="1"/>
  <c r="AC751" i="6" s="1"/>
  <c r="O1526" i="6"/>
  <c r="R1526" i="6" s="1"/>
  <c r="S1526" i="6" s="1"/>
  <c r="AB1526" i="6" s="1"/>
  <c r="AC1526" i="6" s="1"/>
  <c r="O1329" i="6"/>
  <c r="R1329" i="6" s="1"/>
  <c r="S1329" i="6" s="1"/>
  <c r="AB1329" i="6" s="1"/>
  <c r="AC1329" i="6" s="1"/>
  <c r="O1166" i="6"/>
  <c r="R1166" i="6" s="1"/>
  <c r="S1166" i="6" s="1"/>
  <c r="AB1166" i="6" s="1"/>
  <c r="AC1166" i="6" s="1"/>
  <c r="O66" i="6"/>
  <c r="R66" i="6" s="1"/>
  <c r="S66" i="6" s="1"/>
  <c r="AB66" i="6" s="1"/>
  <c r="AC66" i="6" s="1"/>
  <c r="O2188" i="6"/>
  <c r="R2188" i="6" s="1"/>
  <c r="S2188" i="6" s="1"/>
  <c r="AB2188" i="6" s="1"/>
  <c r="AC2188" i="6" s="1"/>
  <c r="O1404" i="6"/>
  <c r="R1404" i="6" s="1"/>
  <c r="S1404" i="6" s="1"/>
  <c r="AB1404" i="6" s="1"/>
  <c r="AC1404" i="6" s="1"/>
  <c r="O590" i="6"/>
  <c r="R590" i="6" s="1"/>
  <c r="S590" i="6" s="1"/>
  <c r="AB590" i="6" s="1"/>
  <c r="AC590" i="6" s="1"/>
  <c r="O468" i="6"/>
  <c r="R468" i="6" s="1"/>
  <c r="S468" i="6" s="1"/>
  <c r="AB468" i="6" s="1"/>
  <c r="AC468" i="6" s="1"/>
  <c r="O1506" i="6"/>
  <c r="R1506" i="6" s="1"/>
  <c r="S1506" i="6" s="1"/>
  <c r="AB1506" i="6" s="1"/>
  <c r="AC1506" i="6" s="1"/>
  <c r="O1559" i="6"/>
  <c r="R1559" i="6" s="1"/>
  <c r="S1559" i="6" s="1"/>
  <c r="AB1559" i="6" s="1"/>
  <c r="AC1559" i="6" s="1"/>
  <c r="O1875" i="6"/>
  <c r="R1875" i="6" s="1"/>
  <c r="S1875" i="6" s="1"/>
  <c r="AB1875" i="6" s="1"/>
  <c r="AC1875" i="6" s="1"/>
  <c r="O1239" i="6"/>
  <c r="R1239" i="6" s="1"/>
  <c r="S1239" i="6" s="1"/>
  <c r="AB1239" i="6" s="1"/>
  <c r="AC1239" i="6" s="1"/>
  <c r="O1837" i="6"/>
  <c r="R1837" i="6" s="1"/>
  <c r="S1837" i="6" s="1"/>
  <c r="AB1837" i="6" s="1"/>
  <c r="AC1837" i="6" s="1"/>
  <c r="O522" i="6"/>
  <c r="R522" i="6" s="1"/>
  <c r="S522" i="6" s="1"/>
  <c r="AB522" i="6" s="1"/>
  <c r="AC522" i="6" s="1"/>
  <c r="O1957" i="6"/>
  <c r="R1957" i="6" s="1"/>
  <c r="S1957" i="6" s="1"/>
  <c r="AB1957" i="6" s="1"/>
  <c r="AC1957" i="6" s="1"/>
  <c r="O656" i="6"/>
  <c r="R656" i="6" s="1"/>
  <c r="S656" i="6" s="1"/>
  <c r="AB656" i="6" s="1"/>
  <c r="AC656" i="6" s="1"/>
  <c r="O1443" i="6"/>
  <c r="R1443" i="6" s="1"/>
  <c r="S1443" i="6" s="1"/>
  <c r="AB1443" i="6" s="1"/>
  <c r="AC1443" i="6" s="1"/>
  <c r="O2190" i="6"/>
  <c r="R2190" i="6" s="1"/>
  <c r="S2190" i="6" s="1"/>
  <c r="AB2190" i="6" s="1"/>
  <c r="AC2190" i="6" s="1"/>
  <c r="O1999" i="6"/>
  <c r="R1999" i="6" s="1"/>
  <c r="S1999" i="6" s="1"/>
  <c r="AB1999" i="6" s="1"/>
  <c r="AC1999" i="6" s="1"/>
  <c r="O1484" i="6"/>
  <c r="R1484" i="6" s="1"/>
  <c r="S1484" i="6" s="1"/>
  <c r="AB1484" i="6" s="1"/>
  <c r="AC1484" i="6" s="1"/>
  <c r="O1417" i="6"/>
  <c r="R1417" i="6" s="1"/>
  <c r="S1417" i="6" s="1"/>
  <c r="AB1417" i="6" s="1"/>
  <c r="AC1417" i="6" s="1"/>
  <c r="O1598" i="6"/>
  <c r="R1598" i="6" s="1"/>
  <c r="S1598" i="6" s="1"/>
  <c r="AB1598" i="6" s="1"/>
  <c r="AC1598" i="6" s="1"/>
  <c r="O878" i="6"/>
  <c r="R878" i="6" s="1"/>
  <c r="S878" i="6" s="1"/>
  <c r="AB878" i="6" s="1"/>
  <c r="AC878" i="6" s="1"/>
  <c r="O1780" i="6"/>
  <c r="R1780" i="6" s="1"/>
  <c r="S1780" i="6" s="1"/>
  <c r="AB1780" i="6" s="1"/>
  <c r="AC1780" i="6" s="1"/>
  <c r="O1610" i="6"/>
  <c r="O386" i="6"/>
  <c r="R386" i="6" s="1"/>
  <c r="S386" i="6" s="1"/>
  <c r="AB386" i="6" s="1"/>
  <c r="AC386" i="6" s="1"/>
  <c r="O334" i="6"/>
  <c r="R334" i="6" s="1"/>
  <c r="S334" i="6" s="1"/>
  <c r="AB334" i="6" s="1"/>
  <c r="AC334" i="6" s="1"/>
  <c r="O2254" i="6"/>
  <c r="R2254" i="6" s="1"/>
  <c r="S2254" i="6" s="1"/>
  <c r="AB2254" i="6" s="1"/>
  <c r="AC2254" i="6" s="1"/>
  <c r="O699" i="6"/>
  <c r="R699" i="6" s="1"/>
  <c r="S699" i="6" s="1"/>
  <c r="AB699" i="6" s="1"/>
  <c r="AC699" i="6" s="1"/>
  <c r="O1881" i="6"/>
  <c r="R1881" i="6" s="1"/>
  <c r="S1881" i="6" s="1"/>
  <c r="AB1881" i="6" s="1"/>
  <c r="AC1881" i="6" s="1"/>
  <c r="O1980" i="6"/>
  <c r="R1980" i="6" s="1"/>
  <c r="S1980" i="6" s="1"/>
  <c r="AB1980" i="6" s="1"/>
  <c r="AC1980" i="6" s="1"/>
  <c r="O145" i="6"/>
  <c r="R145" i="6" s="1"/>
  <c r="S145" i="6" s="1"/>
  <c r="AB145" i="6" s="1"/>
  <c r="AC145" i="6" s="1"/>
  <c r="O1055" i="6"/>
  <c r="R1055" i="6" s="1"/>
  <c r="S1055" i="6" s="1"/>
  <c r="AB1055" i="6" s="1"/>
  <c r="AC1055" i="6" s="1"/>
  <c r="O1877" i="6"/>
  <c r="R1877" i="6" s="1"/>
  <c r="S1877" i="6" s="1"/>
  <c r="AB1877" i="6" s="1"/>
  <c r="AC1877" i="6" s="1"/>
  <c r="O228" i="6"/>
  <c r="R228" i="6" s="1"/>
  <c r="S228" i="6" s="1"/>
  <c r="AB228" i="6" s="1"/>
  <c r="AC228" i="6" s="1"/>
  <c r="O2121" i="6"/>
  <c r="R2121" i="6" s="1"/>
  <c r="S2121" i="6" s="1"/>
  <c r="AB2121" i="6" s="1"/>
  <c r="AC2121" i="6" s="1"/>
  <c r="O1262" i="6"/>
  <c r="R1262" i="6" s="1"/>
  <c r="S1262" i="6" s="1"/>
  <c r="AB1262" i="6" s="1"/>
  <c r="AC1262" i="6" s="1"/>
  <c r="O715" i="6"/>
  <c r="R715" i="6" s="1"/>
  <c r="S715" i="6" s="1"/>
  <c r="AB715" i="6" s="1"/>
  <c r="AC715" i="6" s="1"/>
  <c r="O2208" i="6"/>
  <c r="R2208" i="6" s="1"/>
  <c r="S2208" i="6" s="1"/>
  <c r="AB2208" i="6" s="1"/>
  <c r="AC2208" i="6" s="1"/>
  <c r="O1568" i="6"/>
  <c r="R1568" i="6" s="1"/>
  <c r="S1568" i="6" s="1"/>
  <c r="AB1568" i="6" s="1"/>
  <c r="AC1568" i="6" s="1"/>
  <c r="O704" i="6"/>
  <c r="R704" i="6" s="1"/>
  <c r="S704" i="6" s="1"/>
  <c r="AB704" i="6" s="1"/>
  <c r="AC704" i="6" s="1"/>
  <c r="O1801" i="6"/>
  <c r="R1801" i="6" s="1"/>
  <c r="S1801" i="6" s="1"/>
  <c r="AB1801" i="6" s="1"/>
  <c r="AC1801" i="6" s="1"/>
  <c r="O631" i="6"/>
  <c r="R631" i="6" s="1"/>
  <c r="S631" i="6" s="1"/>
  <c r="AB631" i="6" s="1"/>
  <c r="AC631" i="6" s="1"/>
  <c r="O1690" i="6"/>
  <c r="R1690" i="6" s="1"/>
  <c r="S1690" i="6" s="1"/>
  <c r="AB1690" i="6" s="1"/>
  <c r="AC1690" i="6" s="1"/>
  <c r="O2240" i="6"/>
  <c r="R2240" i="6" s="1"/>
  <c r="S2240" i="6" s="1"/>
  <c r="AB2240" i="6" s="1"/>
  <c r="AC2240" i="6" s="1"/>
  <c r="O2202" i="6"/>
  <c r="R2202" i="6" s="1"/>
  <c r="S2202" i="6" s="1"/>
  <c r="AB2202" i="6" s="1"/>
  <c r="AC2202" i="6" s="1"/>
  <c r="O420" i="6"/>
  <c r="R420" i="6" s="1"/>
  <c r="S420" i="6" s="1"/>
  <c r="AB420" i="6" s="1"/>
  <c r="AC420" i="6" s="1"/>
  <c r="O1486" i="6"/>
  <c r="R1486" i="6" s="1"/>
  <c r="S1486" i="6" s="1"/>
  <c r="AB1486" i="6" s="1"/>
  <c r="AC1486" i="6" s="1"/>
  <c r="O2021" i="6"/>
  <c r="R2021" i="6" s="1"/>
  <c r="S2021" i="6" s="1"/>
  <c r="AB2021" i="6" s="1"/>
  <c r="AC2021" i="6" s="1"/>
  <c r="O160" i="6"/>
  <c r="R160" i="6" s="1"/>
  <c r="S160" i="6" s="1"/>
  <c r="AB160" i="6" s="1"/>
  <c r="AC160" i="6" s="1"/>
  <c r="O1136" i="6"/>
  <c r="R1136" i="6" s="1"/>
  <c r="S1136" i="6" s="1"/>
  <c r="AB1136" i="6" s="1"/>
  <c r="AC1136" i="6" s="1"/>
  <c r="O618" i="6"/>
  <c r="R618" i="6" s="1"/>
  <c r="S618" i="6" s="1"/>
  <c r="AB618" i="6" s="1"/>
  <c r="AC618" i="6" s="1"/>
  <c r="O1147" i="6"/>
  <c r="R1147" i="6" s="1"/>
  <c r="S1147" i="6" s="1"/>
  <c r="AB1147" i="6" s="1"/>
  <c r="AC1147" i="6" s="1"/>
  <c r="O2116" i="6"/>
  <c r="R2116" i="6" s="1"/>
  <c r="S2116" i="6" s="1"/>
  <c r="AB2116" i="6" s="1"/>
  <c r="AC2116" i="6" s="1"/>
  <c r="O1062" i="6"/>
  <c r="R1062" i="6" s="1"/>
  <c r="S1062" i="6" s="1"/>
  <c r="AB1062" i="6" s="1"/>
  <c r="AC1062" i="6" s="1"/>
  <c r="O2347" i="6"/>
  <c r="R2347" i="6" s="1"/>
  <c r="S2347" i="6" s="1"/>
  <c r="AB2347" i="6" s="1"/>
  <c r="AC2347" i="6" s="1"/>
  <c r="O2115" i="6"/>
  <c r="R2115" i="6" s="1"/>
  <c r="S2115" i="6" s="1"/>
  <c r="AB2115" i="6" s="1"/>
  <c r="AC2115" i="6" s="1"/>
  <c r="O1574" i="6"/>
  <c r="R1574" i="6" s="1"/>
  <c r="S1574" i="6" s="1"/>
  <c r="AB1574" i="6" s="1"/>
  <c r="AC1574" i="6" s="1"/>
  <c r="O927" i="6"/>
  <c r="R927" i="6" s="1"/>
  <c r="S927" i="6" s="1"/>
  <c r="AB927" i="6" s="1"/>
  <c r="AC927" i="6" s="1"/>
  <c r="O744" i="6"/>
  <c r="R744" i="6" s="1"/>
  <c r="S744" i="6" s="1"/>
  <c r="AB744" i="6" s="1"/>
  <c r="AC744" i="6" s="1"/>
  <c r="O2056" i="6"/>
  <c r="R2056" i="6" s="1"/>
  <c r="S2056" i="6" s="1"/>
  <c r="AB2056" i="6" s="1"/>
  <c r="AC2056" i="6" s="1"/>
  <c r="O1726" i="6"/>
  <c r="R1726" i="6" s="1"/>
  <c r="S1726" i="6" s="1"/>
  <c r="AB1726" i="6" s="1"/>
  <c r="AC1726" i="6" s="1"/>
  <c r="O837" i="6"/>
  <c r="R837" i="6" s="1"/>
  <c r="S837" i="6" s="1"/>
  <c r="AB837" i="6" s="1"/>
  <c r="AC837" i="6" s="1"/>
  <c r="O689" i="6"/>
  <c r="R689" i="6" s="1"/>
  <c r="S689" i="6" s="1"/>
  <c r="AB689" i="6" s="1"/>
  <c r="AC689" i="6" s="1"/>
  <c r="O52" i="6"/>
  <c r="R52" i="6" s="1"/>
  <c r="S52" i="6" s="1"/>
  <c r="AB52" i="6" s="1"/>
  <c r="AC52" i="6" s="1"/>
  <c r="O306" i="6"/>
  <c r="R306" i="6" s="1"/>
  <c r="S306" i="6" s="1"/>
  <c r="AB306" i="6" s="1"/>
  <c r="AC306" i="6" s="1"/>
  <c r="O2212" i="6"/>
  <c r="R2212" i="6" s="1"/>
  <c r="S2212" i="6" s="1"/>
  <c r="AB2212" i="6" s="1"/>
  <c r="AC2212" i="6" s="1"/>
  <c r="O528" i="6"/>
  <c r="R528" i="6" s="1"/>
  <c r="S528" i="6" s="1"/>
  <c r="AB528" i="6" s="1"/>
  <c r="AC528" i="6" s="1"/>
  <c r="O910" i="6"/>
  <c r="R910" i="6" s="1"/>
  <c r="S910" i="6" s="1"/>
  <c r="AB910" i="6" s="1"/>
  <c r="AC910" i="6" s="1"/>
  <c r="O1289" i="6"/>
  <c r="R1289" i="6" s="1"/>
  <c r="S1289" i="6" s="1"/>
  <c r="AB1289" i="6" s="1"/>
  <c r="AC1289" i="6" s="1"/>
  <c r="O677" i="6"/>
  <c r="R677" i="6" s="1"/>
  <c r="S677" i="6" s="1"/>
  <c r="AB677" i="6" s="1"/>
  <c r="AC677" i="6" s="1"/>
  <c r="O830" i="6"/>
  <c r="R830" i="6" s="1"/>
  <c r="S830" i="6" s="1"/>
  <c r="AB830" i="6" s="1"/>
  <c r="AC830" i="6" s="1"/>
  <c r="O1580" i="6"/>
  <c r="R1580" i="6" s="1"/>
  <c r="S1580" i="6" s="1"/>
  <c r="AB1580" i="6" s="1"/>
  <c r="AC1580" i="6" s="1"/>
  <c r="O1897" i="6"/>
  <c r="R1897" i="6" s="1"/>
  <c r="S1897" i="6" s="1"/>
  <c r="AB1897" i="6" s="1"/>
  <c r="AC1897" i="6" s="1"/>
  <c r="O1540" i="6"/>
  <c r="R1540" i="6" s="1"/>
  <c r="S1540" i="6" s="1"/>
  <c r="AB1540" i="6" s="1"/>
  <c r="AC1540" i="6" s="1"/>
  <c r="O1983" i="6"/>
  <c r="R1983" i="6" s="1"/>
  <c r="S1983" i="6" s="1"/>
  <c r="AB1983" i="6" s="1"/>
  <c r="AC1983" i="6" s="1"/>
  <c r="O1711" i="6"/>
  <c r="R1711" i="6" s="1"/>
  <c r="S1711" i="6" s="1"/>
  <c r="AB1711" i="6" s="1"/>
  <c r="AC1711" i="6" s="1"/>
  <c r="O2098" i="6"/>
  <c r="R2098" i="6" s="1"/>
  <c r="S2098" i="6" s="1"/>
  <c r="AB2098" i="6" s="1"/>
  <c r="AC2098" i="6" s="1"/>
  <c r="O1013" i="6"/>
  <c r="R1013" i="6" s="1"/>
  <c r="S1013" i="6" s="1"/>
  <c r="AB1013" i="6" s="1"/>
  <c r="AC1013" i="6" s="1"/>
  <c r="O889" i="6"/>
  <c r="R889" i="6" s="1"/>
  <c r="S889" i="6" s="1"/>
  <c r="AB889" i="6" s="1"/>
  <c r="AC889" i="6" s="1"/>
  <c r="O1786" i="6"/>
  <c r="R1786" i="6" s="1"/>
  <c r="S1786" i="6" s="1"/>
  <c r="AB1786" i="6" s="1"/>
  <c r="AC1786" i="6" s="1"/>
  <c r="O2078" i="6"/>
  <c r="R2078" i="6" s="1"/>
  <c r="S2078" i="6" s="1"/>
  <c r="AB2078" i="6" s="1"/>
  <c r="AC2078" i="6" s="1"/>
  <c r="O1553" i="6"/>
  <c r="R1553" i="6" s="1"/>
  <c r="S1553" i="6" s="1"/>
  <c r="AB1553" i="6" s="1"/>
  <c r="AC1553" i="6" s="1"/>
  <c r="M12" i="6"/>
  <c r="H20" i="13" s="1"/>
  <c r="M16" i="6"/>
  <c r="H24" i="13" s="1"/>
  <c r="M19" i="6"/>
  <c r="H27" i="13" s="1"/>
  <c r="M18" i="6"/>
  <c r="O2360" i="6"/>
  <c r="R2360" i="6" s="1"/>
  <c r="S2360" i="6" s="1"/>
  <c r="AB2360" i="6" s="1"/>
  <c r="AC2360" i="6" s="1"/>
  <c r="O2357" i="6"/>
  <c r="R2357" i="6" s="1"/>
  <c r="S2357" i="6" s="1"/>
  <c r="AB2357" i="6" s="1"/>
  <c r="AC2357" i="6" s="1"/>
  <c r="M13" i="6"/>
  <c r="H21" i="13" s="1"/>
  <c r="M10" i="6"/>
  <c r="M11" i="6"/>
  <c r="H19" i="13" s="1"/>
  <c r="M17" i="6"/>
  <c r="AD2345" i="6"/>
  <c r="O1033" i="6"/>
  <c r="R1033" i="6" s="1"/>
  <c r="S1033" i="6" s="1"/>
  <c r="AB1033" i="6" s="1"/>
  <c r="AC1033" i="6" s="1"/>
  <c r="O2354" i="6"/>
  <c r="R2354" i="6" s="1"/>
  <c r="S2354" i="6" s="1"/>
  <c r="AB2354" i="6" s="1"/>
  <c r="AC2354" i="6" s="1"/>
  <c r="O2352" i="6"/>
  <c r="R2352" i="6" s="1"/>
  <c r="S2352" i="6" s="1"/>
  <c r="AB2352" i="6" s="1"/>
  <c r="AC2352" i="6" s="1"/>
  <c r="O1435" i="6"/>
  <c r="R1435" i="6" s="1"/>
  <c r="S1435" i="6" s="1"/>
  <c r="AB1435" i="6" s="1"/>
  <c r="AC1435" i="6" s="1"/>
  <c r="O2320" i="6"/>
  <c r="R2320" i="6" s="1"/>
  <c r="S2320" i="6" s="1"/>
  <c r="AB2320" i="6" s="1"/>
  <c r="AC2320" i="6" s="1"/>
  <c r="O1647" i="6"/>
  <c r="R1647" i="6" s="1"/>
  <c r="S1647" i="6" s="1"/>
  <c r="AB1647" i="6" s="1"/>
  <c r="AC1647" i="6" s="1"/>
  <c r="H89" i="13"/>
  <c r="H100" i="13"/>
  <c r="H117" i="13"/>
  <c r="O2305" i="6"/>
  <c r="R2305" i="6" s="1"/>
  <c r="S2305" i="6" s="1"/>
  <c r="AB2305" i="6" s="1"/>
  <c r="AC2305" i="6" s="1"/>
  <c r="O2326" i="6"/>
  <c r="R2326" i="6" s="1"/>
  <c r="S2326" i="6" s="1"/>
  <c r="AB2326" i="6" s="1"/>
  <c r="AC2326" i="6" s="1"/>
  <c r="O2317" i="6"/>
  <c r="R2317" i="6" s="1"/>
  <c r="S2317" i="6" s="1"/>
  <c r="AB2317" i="6" s="1"/>
  <c r="AC2317" i="6" s="1"/>
  <c r="O2311" i="6"/>
  <c r="R2311" i="6" s="1"/>
  <c r="S2311" i="6" s="1"/>
  <c r="AB2311" i="6" s="1"/>
  <c r="AC2311" i="6" s="1"/>
  <c r="O2309" i="6"/>
  <c r="R2309" i="6" s="1"/>
  <c r="S2309" i="6" s="1"/>
  <c r="AB2309" i="6" s="1"/>
  <c r="AC2309" i="6" s="1"/>
  <c r="O2329" i="6"/>
  <c r="R2329" i="6" s="1"/>
  <c r="S2329" i="6" s="1"/>
  <c r="AB2329" i="6" s="1"/>
  <c r="AC2329" i="6" s="1"/>
  <c r="O2327" i="6"/>
  <c r="R2327" i="6" s="1"/>
  <c r="S2327" i="6" s="1"/>
  <c r="AB2327" i="6" s="1"/>
  <c r="AC2327" i="6" s="1"/>
  <c r="O2307" i="6"/>
  <c r="R2307" i="6" s="1"/>
  <c r="S2307" i="6" s="1"/>
  <c r="AB2307" i="6" s="1"/>
  <c r="AC2307" i="6" s="1"/>
  <c r="O2324" i="6"/>
  <c r="R2324" i="6" s="1"/>
  <c r="S2324" i="6" s="1"/>
  <c r="AB2324" i="6" s="1"/>
  <c r="AC2324" i="6" s="1"/>
  <c r="O2035" i="6"/>
  <c r="R2035" i="6" s="1"/>
  <c r="S2035" i="6" s="1"/>
  <c r="AB2035" i="6" s="1"/>
  <c r="AC2035" i="6" s="1"/>
  <c r="O2314" i="6"/>
  <c r="R2314" i="6" s="1"/>
  <c r="S2314" i="6" s="1"/>
  <c r="AB2314" i="6" s="1"/>
  <c r="AC2314" i="6" s="1"/>
  <c r="O2312" i="6"/>
  <c r="R2312" i="6" s="1"/>
  <c r="S2312" i="6" s="1"/>
  <c r="AB2312" i="6" s="1"/>
  <c r="AC2312" i="6" s="1"/>
  <c r="O2325" i="6"/>
  <c r="R2325" i="6" s="1"/>
  <c r="S2325" i="6" s="1"/>
  <c r="AB2325" i="6" s="1"/>
  <c r="AC2325" i="6" s="1"/>
  <c r="O2310" i="6"/>
  <c r="R2310" i="6" s="1"/>
  <c r="S2310" i="6" s="1"/>
  <c r="AB2310" i="6" s="1"/>
  <c r="AC2310" i="6" s="1"/>
  <c r="AD2245" i="6"/>
  <c r="Z304" i="10"/>
  <c r="O2253" i="6"/>
  <c r="R2253" i="6" s="1"/>
  <c r="O2271" i="6"/>
  <c r="R2271" i="6" s="1"/>
  <c r="O2268" i="6"/>
  <c r="R2268" i="6" s="1"/>
  <c r="O2261" i="6"/>
  <c r="R2261" i="6" s="1"/>
  <c r="O2277" i="6"/>
  <c r="R2277" i="6" s="1"/>
  <c r="O2264" i="6"/>
  <c r="R2264" i="6" s="1"/>
  <c r="S2264" i="6" s="1"/>
  <c r="AB2264" i="6" s="1"/>
  <c r="AC2264" i="6" s="1"/>
  <c r="O2284" i="6"/>
  <c r="R2284" i="6" s="1"/>
  <c r="S2284" i="6" s="1"/>
  <c r="AB2284" i="6" s="1"/>
  <c r="AC2284" i="6" s="1"/>
  <c r="O2288" i="6"/>
  <c r="R2288" i="6" s="1"/>
  <c r="H122" i="13"/>
  <c r="H88" i="13"/>
  <c r="H81" i="13"/>
  <c r="H123" i="13"/>
  <c r="H112" i="13"/>
  <c r="H108" i="13"/>
  <c r="H120" i="13"/>
  <c r="O792" i="6"/>
  <c r="R792" i="6" s="1"/>
  <c r="S792" i="6" s="1"/>
  <c r="AB792" i="6" s="1"/>
  <c r="AC792" i="6" s="1"/>
  <c r="H97" i="13"/>
  <c r="H78" i="13"/>
  <c r="H121" i="13"/>
  <c r="H80" i="13"/>
  <c r="H79" i="13"/>
  <c r="H90" i="13"/>
  <c r="R2206" i="6"/>
  <c r="H103" i="13"/>
  <c r="H96" i="13"/>
  <c r="H95" i="13"/>
  <c r="O1105" i="6"/>
  <c r="R1105" i="6" s="1"/>
  <c r="O2106" i="6"/>
  <c r="R2106" i="6" s="1"/>
  <c r="O678" i="6"/>
  <c r="R678" i="6" s="1"/>
  <c r="O683" i="6"/>
  <c r="R683" i="6" s="1"/>
  <c r="O674" i="6"/>
  <c r="R674" i="6" s="1"/>
  <c r="S674" i="6" s="1"/>
  <c r="AB674" i="6" s="1"/>
  <c r="AC674" i="6" s="1"/>
  <c r="O1901" i="6"/>
  <c r="R1901" i="6" s="1"/>
  <c r="S1901" i="6" s="1"/>
  <c r="AB1901" i="6" s="1"/>
  <c r="AC1901" i="6" s="1"/>
  <c r="O371" i="6"/>
  <c r="R371" i="6" s="1"/>
  <c r="O2096" i="6"/>
  <c r="R2096" i="6" s="1"/>
  <c r="O165" i="6"/>
  <c r="R165" i="6" s="1"/>
  <c r="S165" i="6" s="1"/>
  <c r="AB165" i="6" s="1"/>
  <c r="AC165" i="6" s="1"/>
  <c r="O533" i="6"/>
  <c r="R533" i="6" s="1"/>
  <c r="O1102" i="6"/>
  <c r="R1102" i="6" s="1"/>
  <c r="O362" i="6"/>
  <c r="R362" i="6" s="1"/>
  <c r="O829" i="6"/>
  <c r="R829" i="6" s="1"/>
  <c r="R2215" i="6"/>
  <c r="O1541" i="6"/>
  <c r="R1541" i="6" s="1"/>
  <c r="O2075" i="6"/>
  <c r="R2075" i="6" s="1"/>
  <c r="O129" i="6"/>
  <c r="R129" i="6" s="1"/>
  <c r="S129" i="6" s="1"/>
  <c r="AB129" i="6" s="1"/>
  <c r="AC129" i="6" s="1"/>
  <c r="O686" i="6"/>
  <c r="R686" i="6" s="1"/>
  <c r="Z215" i="10"/>
  <c r="Z7" i="10"/>
  <c r="Z100" i="10"/>
  <c r="Z307" i="10"/>
  <c r="Z14" i="10"/>
  <c r="Z147" i="10"/>
  <c r="Z283" i="10"/>
  <c r="Z220" i="10"/>
  <c r="Z232" i="10"/>
  <c r="Z60" i="10"/>
  <c r="Z296" i="10"/>
  <c r="Z124" i="10"/>
  <c r="Z265" i="10"/>
  <c r="Z270" i="10"/>
  <c r="Z261" i="10"/>
  <c r="Z252" i="10"/>
  <c r="Z236" i="10"/>
  <c r="Z312" i="10"/>
  <c r="Z302" i="10"/>
  <c r="Z224" i="10"/>
  <c r="Z122" i="10"/>
  <c r="Z197" i="10"/>
  <c r="Z49" i="10"/>
  <c r="Z313" i="10"/>
  <c r="Z11" i="10"/>
  <c r="Z82" i="10"/>
  <c r="Z263" i="10"/>
  <c r="Z22" i="10"/>
  <c r="Z137" i="10"/>
  <c r="Z26" i="10"/>
  <c r="Z86" i="10"/>
  <c r="Z272" i="10"/>
  <c r="Z47" i="10"/>
  <c r="Z21" i="10"/>
  <c r="Z279" i="10"/>
  <c r="Z74" i="10"/>
  <c r="Z91" i="10"/>
  <c r="Z258" i="10"/>
  <c r="Z288" i="10"/>
  <c r="Z174" i="10"/>
  <c r="Z180" i="10"/>
  <c r="Z189" i="10"/>
  <c r="Z125" i="10"/>
  <c r="Z250" i="10"/>
  <c r="Z271" i="10"/>
  <c r="Z193" i="10"/>
  <c r="Z274" i="10"/>
  <c r="Z71" i="10"/>
  <c r="Z253" i="10"/>
  <c r="Z168" i="10"/>
  <c r="Z115" i="10"/>
  <c r="Z39" i="10"/>
  <c r="Z227" i="10"/>
  <c r="Z55" i="10"/>
  <c r="Z246" i="10"/>
  <c r="Z17" i="10"/>
  <c r="Z69" i="10"/>
  <c r="Z131" i="10"/>
  <c r="Z268" i="10"/>
  <c r="Z102" i="10"/>
  <c r="Z281" i="10"/>
  <c r="Z179" i="10"/>
  <c r="Z101" i="10"/>
  <c r="Z186" i="10"/>
  <c r="Z13" i="10"/>
  <c r="Z36" i="10"/>
  <c r="Z46" i="10"/>
  <c r="Z117" i="10"/>
  <c r="Z202" i="10"/>
  <c r="Z64" i="10"/>
  <c r="Z70" i="10"/>
  <c r="Z218" i="10"/>
  <c r="Z221" i="10"/>
  <c r="Z40" i="10"/>
  <c r="Z66" i="10"/>
  <c r="Z228" i="10"/>
  <c r="Z52" i="10"/>
  <c r="Z143" i="10"/>
  <c r="Z251" i="10"/>
  <c r="Z20" i="10"/>
  <c r="Z126" i="10"/>
  <c r="Z260" i="10"/>
  <c r="Z158" i="10"/>
  <c r="Z150" i="10"/>
  <c r="Z164" i="10"/>
  <c r="Z183" i="10"/>
  <c r="Z156" i="10"/>
  <c r="Z8" i="10"/>
  <c r="Z226" i="10"/>
  <c r="Z254" i="10"/>
  <c r="Z114" i="10"/>
  <c r="Z286" i="10"/>
  <c r="Z309" i="10"/>
  <c r="Z145" i="10"/>
  <c r="Z166" i="10"/>
  <c r="Z207" i="10"/>
  <c r="Z144" i="10"/>
  <c r="Z269" i="10"/>
  <c r="Z172" i="10"/>
  <c r="Z90" i="10"/>
  <c r="Z154" i="10"/>
  <c r="Z129" i="10"/>
  <c r="Z181" i="10"/>
  <c r="Z110" i="10"/>
  <c r="Z160" i="10"/>
  <c r="Z58" i="10"/>
  <c r="Z87" i="10"/>
  <c r="Z264" i="10"/>
  <c r="Z76" i="10"/>
  <c r="Z294" i="10"/>
  <c r="Z276" i="10"/>
  <c r="Z142" i="10"/>
  <c r="Z107" i="10"/>
  <c r="Z178" i="10"/>
  <c r="Z195" i="10"/>
  <c r="Z81" i="10"/>
  <c r="Z79" i="10"/>
  <c r="Z94" i="10"/>
  <c r="Z217" i="10"/>
  <c r="Z204" i="10"/>
  <c r="Z297" i="10"/>
  <c r="Z206" i="10"/>
  <c r="Z112" i="10"/>
  <c r="Z249" i="10"/>
  <c r="Z121" i="10"/>
  <c r="Z63" i="10"/>
  <c r="Z48" i="10"/>
  <c r="Z242" i="10"/>
  <c r="Z53" i="10"/>
  <c r="Z237" i="10"/>
  <c r="Z106" i="10"/>
  <c r="Z300" i="10"/>
  <c r="Z214" i="10"/>
  <c r="Z239" i="10"/>
  <c r="Z92" i="10"/>
  <c r="Z139" i="10"/>
  <c r="D17" i="13"/>
  <c r="H66" i="13"/>
  <c r="H50" i="13"/>
  <c r="H69" i="13"/>
  <c r="H57" i="13"/>
  <c r="H74" i="13"/>
  <c r="H72" i="13"/>
  <c r="H65" i="13"/>
  <c r="H40" i="13"/>
  <c r="H63" i="13"/>
  <c r="H47" i="13"/>
  <c r="H42" i="13"/>
  <c r="H58" i="13"/>
  <c r="H70" i="13"/>
  <c r="H56" i="13"/>
  <c r="H54" i="13"/>
  <c r="H62" i="13"/>
  <c r="H61" i="13"/>
  <c r="H68" i="13"/>
  <c r="H52" i="13"/>
  <c r="H75" i="13"/>
  <c r="H59" i="13"/>
  <c r="H43" i="13"/>
  <c r="H49" i="13"/>
  <c r="H53" i="13"/>
  <c r="H64" i="13"/>
  <c r="H48" i="13"/>
  <c r="H71" i="13"/>
  <c r="H55" i="13"/>
  <c r="H45" i="13"/>
  <c r="H44" i="13"/>
  <c r="H67" i="13"/>
  <c r="H23" i="13"/>
  <c r="H36" i="13"/>
  <c r="H35" i="13"/>
  <c r="H32" i="13"/>
  <c r="H39" i="13"/>
  <c r="H31" i="13"/>
  <c r="H29" i="13"/>
  <c r="H22" i="13"/>
  <c r="H38" i="13"/>
  <c r="H30" i="13"/>
  <c r="H33" i="13"/>
  <c r="H37" i="13"/>
  <c r="H115" i="13"/>
  <c r="H116" i="13"/>
  <c r="H84" i="13"/>
  <c r="H73" i="13"/>
  <c r="H41" i="13"/>
  <c r="H34" i="13"/>
  <c r="H46" i="13"/>
  <c r="H77" i="13"/>
  <c r="H76" i="13"/>
  <c r="H60" i="13"/>
  <c r="H28" i="13"/>
  <c r="H51" i="13"/>
  <c r="H83" i="13"/>
  <c r="H94" i="13"/>
  <c r="H109" i="13"/>
  <c r="H93" i="13"/>
  <c r="H107" i="13"/>
  <c r="H91" i="13"/>
  <c r="H106" i="13"/>
  <c r="H105" i="13"/>
  <c r="H111" i="13"/>
  <c r="H110" i="13"/>
  <c r="H119" i="13"/>
  <c r="H87" i="13"/>
  <c r="H118" i="13"/>
  <c r="H102" i="13"/>
  <c r="H86" i="13"/>
  <c r="H92" i="13"/>
  <c r="R227" i="6"/>
  <c r="S227" i="6" s="1"/>
  <c r="AB227" i="6" s="1"/>
  <c r="AC227" i="6" s="1"/>
  <c r="R2069" i="6"/>
  <c r="S2069" i="6" s="1"/>
  <c r="AB2069" i="6" s="1"/>
  <c r="AC2069" i="6" s="1"/>
  <c r="R1154" i="6"/>
  <c r="S1154" i="6" s="1"/>
  <c r="AB1154" i="6" s="1"/>
  <c r="AC1154" i="6" s="1"/>
  <c r="R667" i="6"/>
  <c r="S667" i="6" s="1"/>
  <c r="AB667" i="6" s="1"/>
  <c r="AC667" i="6" s="1"/>
  <c r="R70" i="6"/>
  <c r="S70" i="6" s="1"/>
  <c r="AB70" i="6" s="1"/>
  <c r="AC70" i="6" s="1"/>
  <c r="R914" i="6"/>
  <c r="S914" i="6" s="1"/>
  <c r="AB914" i="6" s="1"/>
  <c r="AC914" i="6" s="1"/>
  <c r="R946" i="6"/>
  <c r="S946" i="6" s="1"/>
  <c r="AB946" i="6" s="1"/>
  <c r="AC946" i="6" s="1"/>
  <c r="R1723" i="6"/>
  <c r="S1723" i="6" s="1"/>
  <c r="AB1723" i="6" s="1"/>
  <c r="AC1723" i="6" s="1"/>
  <c r="R763" i="6"/>
  <c r="S763" i="6" s="1"/>
  <c r="AB763" i="6" s="1"/>
  <c r="AC763" i="6" s="1"/>
  <c r="R102" i="6"/>
  <c r="S102" i="6" s="1"/>
  <c r="AB102" i="6" s="1"/>
  <c r="AC102" i="6" s="1"/>
  <c r="R1842" i="6"/>
  <c r="S1842" i="6" s="1"/>
  <c r="AB1842" i="6" s="1"/>
  <c r="AC1842" i="6" s="1"/>
  <c r="R2101" i="6"/>
  <c r="S2101" i="6" s="1"/>
  <c r="AB2101" i="6" s="1"/>
  <c r="AC2101" i="6" s="1"/>
  <c r="R1291" i="6"/>
  <c r="S1291" i="6" s="1"/>
  <c r="AB1291" i="6" s="1"/>
  <c r="AC1291" i="6" s="1"/>
  <c r="R991" i="6"/>
  <c r="S991" i="6" s="1"/>
  <c r="AB991" i="6" s="1"/>
  <c r="AC991" i="6" s="1"/>
  <c r="R415" i="6"/>
  <c r="S415" i="6" s="1"/>
  <c r="AB415" i="6" s="1"/>
  <c r="AC415" i="6" s="1"/>
  <c r="R1027" i="6"/>
  <c r="S1027" i="6" s="1"/>
  <c r="AB1027" i="6" s="1"/>
  <c r="AC1027" i="6" s="1"/>
  <c r="R1020" i="6"/>
  <c r="S1020" i="6" s="1"/>
  <c r="AB1020" i="6" s="1"/>
  <c r="AC1020" i="6" s="1"/>
  <c r="R1928" i="6"/>
  <c r="S1928" i="6" s="1"/>
  <c r="AB1928" i="6" s="1"/>
  <c r="AC1928" i="6" s="1"/>
  <c r="R1426" i="6"/>
  <c r="S1426" i="6" s="1"/>
  <c r="AB1426" i="6" s="1"/>
  <c r="AC1426" i="6" s="1"/>
  <c r="R1097" i="6"/>
  <c r="S1097" i="6" s="1"/>
  <c r="AB1097" i="6" s="1"/>
  <c r="AC1097" i="6" s="1"/>
  <c r="R1181" i="6"/>
  <c r="S1181" i="6" s="1"/>
  <c r="AB1181" i="6" s="1"/>
  <c r="AC1181" i="6" s="1"/>
  <c r="R783" i="6"/>
  <c r="S783" i="6" s="1"/>
  <c r="AB783" i="6" s="1"/>
  <c r="AC783" i="6" s="1"/>
  <c r="R82" i="6"/>
  <c r="S82" i="6" s="1"/>
  <c r="AB82" i="6" s="1"/>
  <c r="AC82" i="6" s="1"/>
  <c r="R248" i="6"/>
  <c r="S248" i="6" s="1"/>
  <c r="AB248" i="6" s="1"/>
  <c r="AC248" i="6" s="1"/>
  <c r="R937" i="6"/>
  <c r="S937" i="6" s="1"/>
  <c r="AB937" i="6" s="1"/>
  <c r="AC937" i="6" s="1"/>
  <c r="R924" i="6"/>
  <c r="S924" i="6" s="1"/>
  <c r="AB924" i="6" s="1"/>
  <c r="AC924" i="6" s="1"/>
  <c r="R1618" i="6"/>
  <c r="S1618" i="6" s="1"/>
  <c r="AB1618" i="6" s="1"/>
  <c r="AC1618" i="6" s="1"/>
  <c r="R283" i="6"/>
  <c r="S283" i="6" s="1"/>
  <c r="AB283" i="6" s="1"/>
  <c r="AC283" i="6" s="1"/>
  <c r="R1818" i="6"/>
  <c r="S1818" i="6" s="1"/>
  <c r="AB1818" i="6" s="1"/>
  <c r="AC1818" i="6" s="1"/>
  <c r="R1218" i="6"/>
  <c r="S1218" i="6" s="1"/>
  <c r="AB1218" i="6" s="1"/>
  <c r="AC1218" i="6" s="1"/>
  <c r="R1847" i="6"/>
  <c r="S1847" i="6" s="1"/>
  <c r="AB1847" i="6" s="1"/>
  <c r="AC1847" i="6" s="1"/>
  <c r="R1303" i="6"/>
  <c r="S1303" i="6" s="1"/>
  <c r="AB1303" i="6" s="1"/>
  <c r="AC1303" i="6" s="1"/>
  <c r="R2144" i="6"/>
  <c r="S2144" i="6" s="1"/>
  <c r="AB2144" i="6" s="1"/>
  <c r="AC2144" i="6" s="1"/>
  <c r="R486" i="6"/>
  <c r="S486" i="6" s="1"/>
  <c r="AB486" i="6" s="1"/>
  <c r="AC486" i="6" s="1"/>
  <c r="R1866" i="6"/>
  <c r="S1866" i="6" s="1"/>
  <c r="AB1866" i="6" s="1"/>
  <c r="AC1866" i="6" s="1"/>
  <c r="R401" i="6"/>
  <c r="S401" i="6" s="1"/>
  <c r="AB401" i="6" s="1"/>
  <c r="AC401" i="6" s="1"/>
  <c r="R164" i="6"/>
  <c r="S164" i="6" s="1"/>
  <c r="AB164" i="6" s="1"/>
  <c r="AC164" i="6" s="1"/>
  <c r="R657" i="6"/>
  <c r="S657" i="6" s="1"/>
  <c r="AB657" i="6" s="1"/>
  <c r="AC657" i="6" s="1"/>
  <c r="R113" i="6"/>
  <c r="S113" i="6" s="1"/>
  <c r="AB113" i="6" s="1"/>
  <c r="AC113" i="6" s="1"/>
  <c r="R1086" i="6"/>
  <c r="S1086" i="6" s="1"/>
  <c r="AB1086" i="6" s="1"/>
  <c r="AC1086" i="6" s="1"/>
  <c r="R85" i="6"/>
  <c r="S85" i="6" s="1"/>
  <c r="AB85" i="6" s="1"/>
  <c r="AC85" i="6" s="1"/>
  <c r="R876" i="6"/>
  <c r="S876" i="6" s="1"/>
  <c r="AB876" i="6" s="1"/>
  <c r="AC876" i="6" s="1"/>
  <c r="R1982" i="6"/>
  <c r="S1982" i="6" s="1"/>
  <c r="AB1982" i="6" s="1"/>
  <c r="AC1982" i="6" s="1"/>
  <c r="R263" i="6"/>
  <c r="S263" i="6" s="1"/>
  <c r="AB263" i="6" s="1"/>
  <c r="AC263" i="6" s="1"/>
  <c r="R1189" i="6"/>
  <c r="S1189" i="6" s="1"/>
  <c r="AB1189" i="6" s="1"/>
  <c r="AC1189" i="6" s="1"/>
  <c r="R1967" i="6"/>
  <c r="S1967" i="6" s="1"/>
  <c r="AB1967" i="6" s="1"/>
  <c r="AC1967" i="6" s="1"/>
  <c r="R2003" i="6"/>
  <c r="S2003" i="6" s="1"/>
  <c r="AB2003" i="6" s="1"/>
  <c r="AC2003" i="6" s="1"/>
  <c r="R1051" i="6"/>
  <c r="S1051" i="6" s="1"/>
  <c r="AB1051" i="6" s="1"/>
  <c r="AC1051" i="6" s="1"/>
  <c r="R243" i="6"/>
  <c r="S243" i="6" s="1"/>
  <c r="AB243" i="6" s="1"/>
  <c r="AC243" i="6" s="1"/>
  <c r="R42" i="6"/>
  <c r="S42" i="6" s="1"/>
  <c r="AB42" i="6" s="1"/>
  <c r="AC42" i="6" s="1"/>
  <c r="R112" i="6"/>
  <c r="S112" i="6" s="1"/>
  <c r="AB112" i="6" s="1"/>
  <c r="AC112" i="6" s="1"/>
  <c r="R292" i="6"/>
  <c r="S292" i="6" s="1"/>
  <c r="AB292" i="6" s="1"/>
  <c r="AC292" i="6" s="1"/>
  <c r="R1834" i="6"/>
  <c r="S1834" i="6" s="1"/>
  <c r="AB1834" i="6" s="1"/>
  <c r="AC1834" i="6" s="1"/>
  <c r="R2152" i="6"/>
  <c r="S2152" i="6" s="1"/>
  <c r="AB2152" i="6" s="1"/>
  <c r="AC2152" i="6" s="1"/>
  <c r="R481" i="6"/>
  <c r="S481" i="6" s="1"/>
  <c r="AB481" i="6" s="1"/>
  <c r="AC481" i="6" s="1"/>
  <c r="R687" i="6"/>
  <c r="S687" i="6" s="1"/>
  <c r="AB687" i="6" s="1"/>
  <c r="AC687" i="6" s="1"/>
  <c r="R1327" i="6"/>
  <c r="S1327" i="6" s="1"/>
  <c r="AB1327" i="6" s="1"/>
  <c r="AC1327" i="6" s="1"/>
  <c r="R1926" i="6"/>
  <c r="S1926" i="6" s="1"/>
  <c r="AB1926" i="6" s="1"/>
  <c r="AC1926" i="6" s="1"/>
  <c r="R1450" i="6"/>
  <c r="S1450" i="6" s="1"/>
  <c r="AB1450" i="6" s="1"/>
  <c r="AC1450" i="6" s="1"/>
  <c r="R741" i="6"/>
  <c r="S741" i="6" s="1"/>
  <c r="AB741" i="6" s="1"/>
  <c r="AC741" i="6" s="1"/>
  <c r="R1760" i="6"/>
  <c r="S1760" i="6" s="1"/>
  <c r="AB1760" i="6" s="1"/>
  <c r="AC1760" i="6" s="1"/>
  <c r="R1370" i="6"/>
  <c r="S1370" i="6" s="1"/>
  <c r="AB1370" i="6" s="1"/>
  <c r="AC1370" i="6" s="1"/>
  <c r="R748" i="6"/>
  <c r="S748" i="6" s="1"/>
  <c r="AB748" i="6" s="1"/>
  <c r="AC748" i="6" s="1"/>
  <c r="R435" i="6"/>
  <c r="S435" i="6" s="1"/>
  <c r="AB435" i="6" s="1"/>
  <c r="AC435" i="6" s="1"/>
  <c r="R1290" i="6"/>
  <c r="S1290" i="6" s="1"/>
  <c r="AB1290" i="6" s="1"/>
  <c r="AC1290" i="6" s="1"/>
  <c r="R397" i="6"/>
  <c r="S397" i="6" s="1"/>
  <c r="AB397" i="6" s="1"/>
  <c r="AC397" i="6" s="1"/>
  <c r="R1767" i="6"/>
  <c r="S1767" i="6" s="1"/>
  <c r="AB1767" i="6" s="1"/>
  <c r="AC1767" i="6" s="1"/>
  <c r="R1191" i="6"/>
  <c r="S1191" i="6" s="1"/>
  <c r="AB1191" i="6" s="1"/>
  <c r="AC1191" i="6" s="1"/>
  <c r="R1249" i="6"/>
  <c r="S1249" i="6" s="1"/>
  <c r="AB1249" i="6" s="1"/>
  <c r="AC1249" i="6" s="1"/>
  <c r="R912" i="6"/>
  <c r="S912" i="6" s="1"/>
  <c r="AB912" i="6" s="1"/>
  <c r="AC912" i="6" s="1"/>
  <c r="R1747" i="6"/>
  <c r="S1747" i="6" s="1"/>
  <c r="AB1747" i="6" s="1"/>
  <c r="AC1747" i="6" s="1"/>
  <c r="R1396" i="6"/>
  <c r="S1396" i="6" s="1"/>
  <c r="AB1396" i="6" s="1"/>
  <c r="AC1396" i="6" s="1"/>
  <c r="R1539" i="6"/>
  <c r="S1539" i="6" s="1"/>
  <c r="AB1539" i="6" s="1"/>
  <c r="AC1539" i="6" s="1"/>
  <c r="R1814" i="6"/>
  <c r="S1814" i="6" s="1"/>
  <c r="AB1814" i="6" s="1"/>
  <c r="AC1814" i="6" s="1"/>
  <c r="R1306" i="6"/>
  <c r="S1306" i="6" s="1"/>
  <c r="AB1306" i="6" s="1"/>
  <c r="AC1306" i="6" s="1"/>
  <c r="R274" i="6"/>
  <c r="S274" i="6" s="1"/>
  <c r="AB274" i="6" s="1"/>
  <c r="AC274" i="6" s="1"/>
  <c r="R1298" i="6"/>
  <c r="S1298" i="6" s="1"/>
  <c r="AB1298" i="6" s="1"/>
  <c r="AC1298" i="6" s="1"/>
  <c r="R865" i="6"/>
  <c r="S865" i="6" s="1"/>
  <c r="AB865" i="6" s="1"/>
  <c r="AC865" i="6" s="1"/>
  <c r="R321" i="6"/>
  <c r="S321" i="6" s="1"/>
  <c r="AB321" i="6" s="1"/>
  <c r="AC321" i="6" s="1"/>
  <c r="R501" i="6"/>
  <c r="S501" i="6" s="1"/>
  <c r="AB501" i="6" s="1"/>
  <c r="AC501" i="6" s="1"/>
  <c r="R478" i="6"/>
  <c r="S478" i="6" s="1"/>
  <c r="AB478" i="6" s="1"/>
  <c r="AC478" i="6" s="1"/>
  <c r="R1854" i="6"/>
  <c r="S1854" i="6" s="1"/>
  <c r="AB1854" i="6" s="1"/>
  <c r="AC1854" i="6" s="1"/>
  <c r="R1947" i="6"/>
  <c r="S1947" i="6" s="1"/>
  <c r="AB1947" i="6" s="1"/>
  <c r="AC1947" i="6" s="1"/>
  <c r="R1158" i="6"/>
  <c r="S1158" i="6" s="1"/>
  <c r="AB1158" i="6" s="1"/>
  <c r="AC1158" i="6" s="1"/>
  <c r="R1280" i="6"/>
  <c r="S1280" i="6" s="1"/>
  <c r="AB1280" i="6" s="1"/>
  <c r="AC1280" i="6" s="1"/>
  <c r="R1325" i="6"/>
  <c r="S1325" i="6" s="1"/>
  <c r="AB1325" i="6" s="1"/>
  <c r="AC1325" i="6" s="1"/>
  <c r="R84" i="6"/>
  <c r="S84" i="6" s="1"/>
  <c r="AB84" i="6" s="1"/>
  <c r="AC84" i="6" s="1"/>
  <c r="R2042" i="6"/>
  <c r="S2042" i="6" s="1"/>
  <c r="AB2042" i="6" s="1"/>
  <c r="AC2042" i="6" s="1"/>
  <c r="R298" i="6"/>
  <c r="S298" i="6" s="1"/>
  <c r="AB298" i="6" s="1"/>
  <c r="AC298" i="6" s="1"/>
  <c r="R1187" i="6"/>
  <c r="S1187" i="6" s="1"/>
  <c r="AB1187" i="6" s="1"/>
  <c r="AC1187" i="6" s="1"/>
  <c r="R1882" i="6"/>
  <c r="S1882" i="6" s="1"/>
  <c r="AB1882" i="6" s="1"/>
  <c r="AC1882" i="6" s="1"/>
  <c r="R917" i="6"/>
  <c r="S917" i="6" s="1"/>
  <c r="AB917" i="6" s="1"/>
  <c r="AC917" i="6" s="1"/>
  <c r="R923" i="6"/>
  <c r="S923" i="6" s="1"/>
  <c r="AB923" i="6" s="1"/>
  <c r="AC923" i="6" s="1"/>
  <c r="R948" i="6"/>
  <c r="S948" i="6" s="1"/>
  <c r="AB948" i="6" s="1"/>
  <c r="AC948" i="6" s="1"/>
  <c r="R1710" i="6"/>
  <c r="S1710" i="6" s="1"/>
  <c r="AB1710" i="6" s="1"/>
  <c r="AC1710" i="6" s="1"/>
  <c r="R1970" i="6"/>
  <c r="S1970" i="6" s="1"/>
  <c r="AB1970" i="6" s="1"/>
  <c r="AC1970" i="6" s="1"/>
  <c r="R124" i="6"/>
  <c r="S124" i="6" s="1"/>
  <c r="AB124" i="6" s="1"/>
  <c r="AC124" i="6" s="1"/>
  <c r="R324" i="6"/>
  <c r="S324" i="6" s="1"/>
  <c r="AB324" i="6" s="1"/>
  <c r="AC324" i="6" s="1"/>
  <c r="R1494" i="6"/>
  <c r="S1494" i="6" s="1"/>
  <c r="AB1494" i="6" s="1"/>
  <c r="AC1494" i="6" s="1"/>
  <c r="R503" i="6"/>
  <c r="S503" i="6" s="1"/>
  <c r="AB503" i="6" s="1"/>
  <c r="AC503" i="6" s="1"/>
  <c r="R282" i="6"/>
  <c r="S282" i="6" s="1"/>
  <c r="AB282" i="6" s="1"/>
  <c r="AC282" i="6" s="1"/>
  <c r="R1790" i="6"/>
  <c r="S1790" i="6" s="1"/>
  <c r="AB1790" i="6" s="1"/>
  <c r="AC1790" i="6" s="1"/>
  <c r="R1227" i="6"/>
  <c r="S1227" i="6" s="1"/>
  <c r="AB1227" i="6" s="1"/>
  <c r="AC1227" i="6" s="1"/>
  <c r="R1543" i="6"/>
  <c r="S1543" i="6" s="1"/>
  <c r="AB1543" i="6" s="1"/>
  <c r="AC1543" i="6" s="1"/>
  <c r="R2029" i="6"/>
  <c r="S2029" i="6" s="1"/>
  <c r="AB2029" i="6" s="1"/>
  <c r="AC2029" i="6" s="1"/>
  <c r="R390" i="6"/>
  <c r="S390" i="6" s="1"/>
  <c r="AB390" i="6" s="1"/>
  <c r="AC390" i="6" s="1"/>
  <c r="R956" i="6"/>
  <c r="S956" i="6" s="1"/>
  <c r="AB956" i="6" s="1"/>
  <c r="AC956" i="6" s="1"/>
  <c r="R666" i="6"/>
  <c r="S666" i="6" s="1"/>
  <c r="AB666" i="6" s="1"/>
  <c r="AC666" i="6" s="1"/>
  <c r="R71" i="6"/>
  <c r="S71" i="6" s="1"/>
  <c r="AB71" i="6" s="1"/>
  <c r="AC71" i="6" s="1"/>
  <c r="R1243" i="6"/>
  <c r="S1243" i="6" s="1"/>
  <c r="AB1243" i="6" s="1"/>
  <c r="AC1243" i="6" s="1"/>
  <c r="R949" i="6"/>
  <c r="S949" i="6" s="1"/>
  <c r="AB949" i="6" s="1"/>
  <c r="AC949" i="6" s="1"/>
  <c r="R934" i="6"/>
  <c r="S934" i="6" s="1"/>
  <c r="AB934" i="6" s="1"/>
  <c r="AC934" i="6" s="1"/>
  <c r="R947" i="6"/>
  <c r="S947" i="6" s="1"/>
  <c r="AB947" i="6" s="1"/>
  <c r="AC947" i="6" s="1"/>
  <c r="R101" i="6"/>
  <c r="S101" i="6" s="1"/>
  <c r="AB101" i="6" s="1"/>
  <c r="AC101" i="6" s="1"/>
  <c r="R1657" i="6"/>
  <c r="S1657" i="6" s="1"/>
  <c r="AB1657" i="6" s="1"/>
  <c r="AC1657" i="6" s="1"/>
  <c r="R1642" i="6"/>
  <c r="S1642" i="6" s="1"/>
  <c r="AB1642" i="6" s="1"/>
  <c r="AC1642" i="6" s="1"/>
  <c r="R811" i="6"/>
  <c r="S811" i="6" s="1"/>
  <c r="AB811" i="6" s="1"/>
  <c r="AC811" i="6" s="1"/>
  <c r="R1525" i="6"/>
  <c r="S1525" i="6" s="1"/>
  <c r="AB1525" i="6" s="1"/>
  <c r="AC1525" i="6" s="1"/>
  <c r="R1307" i="6"/>
  <c r="S1307" i="6" s="1"/>
  <c r="AB1307" i="6" s="1"/>
  <c r="AC1307" i="6" s="1"/>
  <c r="R958" i="6"/>
  <c r="S958" i="6" s="1"/>
  <c r="AB958" i="6" s="1"/>
  <c r="AC958" i="6" s="1"/>
  <c r="R2170" i="6"/>
  <c r="S2170" i="6" s="1"/>
  <c r="AB2170" i="6" s="1"/>
  <c r="AC2170" i="6" s="1"/>
  <c r="R269" i="6"/>
  <c r="S269" i="6" s="1"/>
  <c r="AB269" i="6" s="1"/>
  <c r="AC269" i="6" s="1"/>
  <c r="R1292" i="6"/>
  <c r="S1292" i="6" s="1"/>
  <c r="AB1292" i="6" s="1"/>
  <c r="AC1292" i="6" s="1"/>
  <c r="R146" i="6"/>
  <c r="S146" i="6" s="1"/>
  <c r="AB146" i="6" s="1"/>
  <c r="AC146" i="6" s="1"/>
  <c r="R218" i="6"/>
  <c r="S218" i="6" s="1"/>
  <c r="AB218" i="6" s="1"/>
  <c r="AC218" i="6" s="1"/>
  <c r="R1080" i="6"/>
  <c r="S1080" i="6" s="1"/>
  <c r="AB1080" i="6" s="1"/>
  <c r="AC1080" i="6" s="1"/>
  <c r="R31" i="6"/>
  <c r="S31" i="6" s="1"/>
  <c r="AB31" i="6" s="1"/>
  <c r="AC31" i="6" s="1"/>
  <c r="R641" i="6"/>
  <c r="S641" i="6" s="1"/>
  <c r="AB641" i="6" s="1"/>
  <c r="AC641" i="6" s="1"/>
  <c r="R33" i="6"/>
  <c r="S33" i="6" s="1"/>
  <c r="AB33" i="6" s="1"/>
  <c r="AC33" i="6" s="1"/>
  <c r="R155" i="6"/>
  <c r="S155" i="6" s="1"/>
  <c r="AB155" i="6" s="1"/>
  <c r="AC155" i="6" s="1"/>
  <c r="R979" i="6"/>
  <c r="S979" i="6" s="1"/>
  <c r="AB979" i="6" s="1"/>
  <c r="AC979" i="6" s="1"/>
  <c r="R872" i="6"/>
  <c r="S872" i="6" s="1"/>
  <c r="AB872" i="6" s="1"/>
  <c r="AC872" i="6" s="1"/>
  <c r="R1193" i="6"/>
  <c r="S1193" i="6" s="1"/>
  <c r="AB1193" i="6" s="1"/>
  <c r="AC1193" i="6" s="1"/>
  <c r="R72" i="6"/>
  <c r="S72" i="6" s="1"/>
  <c r="AB72" i="6" s="1"/>
  <c r="AC72" i="6" s="1"/>
  <c r="R942" i="6"/>
  <c r="S942" i="6" s="1"/>
  <c r="AB942" i="6" s="1"/>
  <c r="AC942" i="6" s="1"/>
  <c r="R915" i="6"/>
  <c r="S915" i="6" s="1"/>
  <c r="AB915" i="6" s="1"/>
  <c r="AC915" i="6" s="1"/>
  <c r="R907" i="6"/>
  <c r="S907" i="6" s="1"/>
  <c r="AB907" i="6" s="1"/>
  <c r="AC907" i="6" s="1"/>
  <c r="R57" i="6"/>
  <c r="S57" i="6" s="1"/>
  <c r="AB57" i="6" s="1"/>
  <c r="AC57" i="6" s="1"/>
  <c r="R116" i="6"/>
  <c r="S116" i="6" s="1"/>
  <c r="AB116" i="6" s="1"/>
  <c r="AC116" i="6" s="1"/>
  <c r="R1523" i="6"/>
  <c r="S1523" i="6" s="1"/>
  <c r="AB1523" i="6" s="1"/>
  <c r="AC1523" i="6" s="1"/>
  <c r="R1517" i="6"/>
  <c r="S1517" i="6" s="1"/>
  <c r="AB1517" i="6" s="1"/>
  <c r="AC1517" i="6" s="1"/>
  <c r="R237" i="6"/>
  <c r="S237" i="6" s="1"/>
  <c r="AB237" i="6" s="1"/>
  <c r="AC237" i="6" s="1"/>
  <c r="R2065" i="6"/>
  <c r="S2065" i="6" s="1"/>
  <c r="AB2065" i="6" s="1"/>
  <c r="AC2065" i="6" s="1"/>
  <c r="R271" i="6"/>
  <c r="S271" i="6" s="1"/>
  <c r="AB271" i="6" s="1"/>
  <c r="AC271" i="6" s="1"/>
  <c r="R1809" i="6"/>
  <c r="S1809" i="6" s="1"/>
  <c r="AB1809" i="6" s="1"/>
  <c r="AC1809" i="6" s="1"/>
  <c r="R1805" i="6"/>
  <c r="S1805" i="6" s="1"/>
  <c r="AB1805" i="6" s="1"/>
  <c r="AC1805" i="6" s="1"/>
  <c r="R2097" i="6"/>
  <c r="S2097" i="6" s="1"/>
  <c r="AB2097" i="6" s="1"/>
  <c r="AC2097" i="6" s="1"/>
  <c r="R2017" i="6"/>
  <c r="S2017" i="6" s="1"/>
  <c r="AB2017" i="6" s="1"/>
  <c r="AC2017" i="6" s="1"/>
  <c r="R1008" i="6"/>
  <c r="S1008" i="6" s="1"/>
  <c r="AB1008" i="6" s="1"/>
  <c r="AC1008" i="6" s="1"/>
  <c r="R474" i="6"/>
  <c r="S474" i="6" s="1"/>
  <c r="AB474" i="6" s="1"/>
  <c r="AC474" i="6" s="1"/>
  <c r="R1131" i="6"/>
  <c r="S1131" i="6" s="1"/>
  <c r="AB1131" i="6" s="1"/>
  <c r="AC1131" i="6" s="1"/>
  <c r="R1741" i="6"/>
  <c r="S1741" i="6" s="1"/>
  <c r="AB1741" i="6" s="1"/>
  <c r="AC1741" i="6" s="1"/>
  <c r="R352" i="6"/>
  <c r="S352" i="6" s="1"/>
  <c r="AB352" i="6" s="1"/>
  <c r="AC352" i="6" s="1"/>
  <c r="R117" i="6"/>
  <c r="S117" i="6" s="1"/>
  <c r="AB117" i="6" s="1"/>
  <c r="AC117" i="6" s="1"/>
  <c r="R1083" i="6"/>
  <c r="S1083" i="6" s="1"/>
  <c r="AB1083" i="6" s="1"/>
  <c r="AC1083" i="6" s="1"/>
  <c r="R1101" i="6"/>
  <c r="S1101" i="6" s="1"/>
  <c r="AB1101" i="6" s="1"/>
  <c r="AC1101" i="6" s="1"/>
  <c r="R1366" i="6"/>
  <c r="S1366" i="6" s="1"/>
  <c r="AB1366" i="6" s="1"/>
  <c r="AC1366" i="6" s="1"/>
  <c r="R790" i="6"/>
  <c r="S790" i="6" s="1"/>
  <c r="AB790" i="6" s="1"/>
  <c r="AC790" i="6" s="1"/>
  <c r="R90" i="6"/>
  <c r="S90" i="6" s="1"/>
  <c r="AB90" i="6" s="1"/>
  <c r="AC90" i="6" s="1"/>
  <c r="R75" i="6"/>
  <c r="S75" i="6" s="1"/>
  <c r="AB75" i="6" s="1"/>
  <c r="AC75" i="6" s="1"/>
  <c r="R580" i="6"/>
  <c r="S580" i="6" s="1"/>
  <c r="AB580" i="6" s="1"/>
  <c r="AC580" i="6" s="1"/>
  <c r="R1766" i="6"/>
  <c r="S1766" i="6" s="1"/>
  <c r="AB1766" i="6" s="1"/>
  <c r="AC1766" i="6" s="1"/>
  <c r="R1192" i="6"/>
  <c r="S1192" i="6" s="1"/>
  <c r="AB1192" i="6" s="1"/>
  <c r="AC1192" i="6" s="1"/>
  <c r="R945" i="6"/>
  <c r="S945" i="6" s="1"/>
  <c r="AB945" i="6" s="1"/>
  <c r="AC945" i="6" s="1"/>
  <c r="R933" i="6"/>
  <c r="S933" i="6" s="1"/>
  <c r="AB933" i="6" s="1"/>
  <c r="AC933" i="6" s="1"/>
  <c r="R760" i="6"/>
  <c r="S760" i="6" s="1"/>
  <c r="AB760" i="6" s="1"/>
  <c r="AC760" i="6" s="1"/>
  <c r="R64" i="6"/>
  <c r="S64" i="6" s="1"/>
  <c r="AB64" i="6" s="1"/>
  <c r="AC64" i="6" s="1"/>
  <c r="R1661" i="6"/>
  <c r="S1661" i="6" s="1"/>
  <c r="AB1661" i="6" s="1"/>
  <c r="AC1661" i="6" s="1"/>
  <c r="R1672" i="6"/>
  <c r="S1672" i="6" s="1"/>
  <c r="AB1672" i="6" s="1"/>
  <c r="AC1672" i="6" s="1"/>
  <c r="R1272" i="6"/>
  <c r="S1272" i="6" s="1"/>
  <c r="AB1272" i="6" s="1"/>
  <c r="AC1272" i="6" s="1"/>
  <c r="R1462" i="6"/>
  <c r="S1462" i="6" s="1"/>
  <c r="AB1462" i="6" s="1"/>
  <c r="AC1462" i="6" s="1"/>
  <c r="R1797" i="6"/>
  <c r="S1797" i="6" s="1"/>
  <c r="AB1797" i="6" s="1"/>
  <c r="AC1797" i="6" s="1"/>
  <c r="R1799" i="6"/>
  <c r="S1799" i="6" s="1"/>
  <c r="AB1799" i="6" s="1"/>
  <c r="AC1799" i="6" s="1"/>
  <c r="R545" i="6"/>
  <c r="S545" i="6" s="1"/>
  <c r="AB545" i="6" s="1"/>
  <c r="AC545" i="6" s="1"/>
  <c r="R216" i="6"/>
  <c r="S216" i="6" s="1"/>
  <c r="AB216" i="6" s="1"/>
  <c r="AC216" i="6" s="1"/>
  <c r="R1743" i="6"/>
  <c r="S1743" i="6" s="1"/>
  <c r="AB1743" i="6" s="1"/>
  <c r="AC1743" i="6" s="1"/>
  <c r="R1326" i="6"/>
  <c r="S1326" i="6" s="1"/>
  <c r="AB1326" i="6" s="1"/>
  <c r="AC1326" i="6" s="1"/>
  <c r="R1918" i="6"/>
  <c r="S1918" i="6" s="1"/>
  <c r="AB1918" i="6" s="1"/>
  <c r="AC1918" i="6" s="1"/>
  <c r="R1924" i="6"/>
  <c r="S1924" i="6" s="1"/>
  <c r="AB1924" i="6" s="1"/>
  <c r="AC1924" i="6" s="1"/>
  <c r="R176" i="6"/>
  <c r="S176" i="6" s="1"/>
  <c r="AB176" i="6" s="1"/>
  <c r="AC176" i="6" s="1"/>
  <c r="R94" i="6"/>
  <c r="S94" i="6" s="1"/>
  <c r="AB94" i="6" s="1"/>
  <c r="AC94" i="6" s="1"/>
  <c r="R1859" i="6"/>
  <c r="S1859" i="6" s="1"/>
  <c r="AB1859" i="6" s="1"/>
  <c r="AC1859" i="6" s="1"/>
  <c r="R89" i="6"/>
  <c r="S89" i="6" s="1"/>
  <c r="AB89" i="6" s="1"/>
  <c r="AC89" i="6" s="1"/>
  <c r="R77" i="6"/>
  <c r="S77" i="6" s="1"/>
  <c r="AB77" i="6" s="1"/>
  <c r="AC77" i="6" s="1"/>
  <c r="R877" i="6"/>
  <c r="S877" i="6" s="1"/>
  <c r="AB877" i="6" s="1"/>
  <c r="AC877" i="6" s="1"/>
  <c r="R1315" i="6"/>
  <c r="S1315" i="6" s="1"/>
  <c r="AB1315" i="6" s="1"/>
  <c r="AC1315" i="6" s="1"/>
  <c r="R2192" i="6"/>
  <c r="S2192" i="6" s="1"/>
  <c r="AB2192" i="6" s="1"/>
  <c r="AC2192" i="6" s="1"/>
  <c r="R1248" i="6"/>
  <c r="S1248" i="6" s="1"/>
  <c r="AB1248" i="6" s="1"/>
  <c r="AC1248" i="6" s="1"/>
  <c r="R1242" i="6"/>
  <c r="S1242" i="6" s="1"/>
  <c r="AB1242" i="6" s="1"/>
  <c r="AC1242" i="6" s="1"/>
  <c r="R943" i="6"/>
  <c r="S943" i="6" s="1"/>
  <c r="AB943" i="6" s="1"/>
  <c r="AC943" i="6" s="1"/>
  <c r="R953" i="6"/>
  <c r="S953" i="6" s="1"/>
  <c r="AB953" i="6" s="1"/>
  <c r="AC953" i="6" s="1"/>
  <c r="R1708" i="6"/>
  <c r="S1708" i="6" s="1"/>
  <c r="AB1708" i="6" s="1"/>
  <c r="AC1708" i="6" s="1"/>
  <c r="R750" i="6"/>
  <c r="S750" i="6" s="1"/>
  <c r="AB750" i="6" s="1"/>
  <c r="AC750" i="6" s="1"/>
  <c r="R97" i="6"/>
  <c r="S97" i="6" s="1"/>
  <c r="AB97" i="6" s="1"/>
  <c r="AC97" i="6" s="1"/>
  <c r="R621" i="6"/>
  <c r="S621" i="6" s="1"/>
  <c r="AB621" i="6" s="1"/>
  <c r="AC621" i="6" s="1"/>
  <c r="R41" i="6"/>
  <c r="S41" i="6" s="1"/>
  <c r="AB41" i="6" s="1"/>
  <c r="AC41" i="6" s="1"/>
  <c r="R275" i="6"/>
  <c r="S275" i="6" s="1"/>
  <c r="AB275" i="6" s="1"/>
  <c r="AC275" i="6" s="1"/>
  <c r="R317" i="6"/>
  <c r="S317" i="6" s="1"/>
  <c r="AB317" i="6" s="1"/>
  <c r="AC317" i="6" s="1"/>
  <c r="R963" i="6"/>
  <c r="S963" i="6" s="1"/>
  <c r="AB963" i="6" s="1"/>
  <c r="AC963" i="6" s="1"/>
  <c r="R1856" i="6"/>
  <c r="S1856" i="6" s="1"/>
  <c r="AB1856" i="6" s="1"/>
  <c r="AC1856" i="6" s="1"/>
  <c r="R1732" i="6"/>
  <c r="S1732" i="6" s="1"/>
  <c r="AB1732" i="6" s="1"/>
  <c r="AC1732" i="6" s="1"/>
  <c r="R1744" i="6"/>
  <c r="S1744" i="6" s="1"/>
  <c r="AB1744" i="6" s="1"/>
  <c r="AC1744" i="6" s="1"/>
  <c r="R1566" i="6"/>
  <c r="S1566" i="6" s="1"/>
  <c r="AB1566" i="6" s="1"/>
  <c r="AC1566" i="6" s="1"/>
  <c r="R385" i="6"/>
  <c r="S385" i="6" s="1"/>
  <c r="AB385" i="6" s="1"/>
  <c r="AC385" i="6" s="1"/>
  <c r="R152" i="6"/>
  <c r="S152" i="6" s="1"/>
  <c r="AB152" i="6" s="1"/>
  <c r="AC152" i="6" s="1"/>
  <c r="R498" i="6"/>
  <c r="S498" i="6" s="1"/>
  <c r="AB498" i="6" s="1"/>
  <c r="AC498" i="6" s="1"/>
  <c r="R2081" i="6"/>
  <c r="S2081" i="6" s="1"/>
  <c r="AB2081" i="6" s="1"/>
  <c r="AC2081" i="6" s="1"/>
  <c r="R1360" i="6"/>
  <c r="S1360" i="6" s="1"/>
  <c r="AB1360" i="6" s="1"/>
  <c r="AC1360" i="6" s="1"/>
  <c r="R776" i="6"/>
  <c r="S776" i="6" s="1"/>
  <c r="AB776" i="6" s="1"/>
  <c r="AC776" i="6" s="1"/>
  <c r="R975" i="6"/>
  <c r="S975" i="6" s="1"/>
  <c r="AB975" i="6" s="1"/>
  <c r="AC975" i="6" s="1"/>
  <c r="R226" i="6"/>
  <c r="S226" i="6" s="1"/>
  <c r="AB226" i="6" s="1"/>
  <c r="AC226" i="6" s="1"/>
  <c r="R2048" i="6"/>
  <c r="S2048" i="6" s="1"/>
  <c r="AB2048" i="6" s="1"/>
  <c r="AC2048" i="6" s="1"/>
  <c r="R2067" i="6"/>
  <c r="S2067" i="6" s="1"/>
  <c r="AB2067" i="6" s="1"/>
  <c r="AC2067" i="6" s="1"/>
  <c r="R874" i="6"/>
  <c r="S874" i="6" s="1"/>
  <c r="AB874" i="6" s="1"/>
  <c r="AC874" i="6" s="1"/>
  <c r="R1194" i="6"/>
  <c r="S1194" i="6" s="1"/>
  <c r="AB1194" i="6" s="1"/>
  <c r="AC1194" i="6" s="1"/>
  <c r="R197" i="6"/>
  <c r="S197" i="6" s="1"/>
  <c r="AB197" i="6" s="1"/>
  <c r="AC197" i="6" s="1"/>
  <c r="R857" i="6"/>
  <c r="S857" i="6" s="1"/>
  <c r="AB857" i="6" s="1"/>
  <c r="AC857" i="6" s="1"/>
  <c r="R935" i="6"/>
  <c r="S935" i="6" s="1"/>
  <c r="AB935" i="6" s="1"/>
  <c r="AC935" i="6" s="1"/>
  <c r="R954" i="6"/>
  <c r="S954" i="6" s="1"/>
  <c r="AB954" i="6" s="1"/>
  <c r="AC954" i="6" s="1"/>
  <c r="R46" i="6"/>
  <c r="S46" i="6" s="1"/>
  <c r="AB46" i="6" s="1"/>
  <c r="AC46" i="6" s="1"/>
  <c r="R104" i="6"/>
  <c r="S104" i="6" s="1"/>
  <c r="AB104" i="6" s="1"/>
  <c r="AC104" i="6" s="1"/>
  <c r="R505" i="6"/>
  <c r="S505" i="6" s="1"/>
  <c r="AB505" i="6" s="1"/>
  <c r="AC505" i="6" s="1"/>
  <c r="R1631" i="6"/>
  <c r="S1631" i="6" s="1"/>
  <c r="AB1631" i="6" s="1"/>
  <c r="AC1631" i="6" s="1"/>
  <c r="R1668" i="6"/>
  <c r="S1668" i="6" s="1"/>
  <c r="AB1668" i="6" s="1"/>
  <c r="AC1668" i="6" s="1"/>
  <c r="R1401" i="6"/>
  <c r="S1401" i="6" s="1"/>
  <c r="AB1401" i="6" s="1"/>
  <c r="AC1401" i="6" s="1"/>
  <c r="R395" i="6"/>
  <c r="S395" i="6" s="1"/>
  <c r="AB395" i="6" s="1"/>
  <c r="AC395" i="6" s="1"/>
  <c r="R286" i="6"/>
  <c r="S286" i="6" s="1"/>
  <c r="AB286" i="6" s="1"/>
  <c r="AC286" i="6" s="1"/>
  <c r="R461" i="6"/>
  <c r="S461" i="6" s="1"/>
  <c r="AB461" i="6" s="1"/>
  <c r="AC461" i="6" s="1"/>
  <c r="R1740" i="6"/>
  <c r="S1740" i="6" s="1"/>
  <c r="AB1740" i="6" s="1"/>
  <c r="AC1740" i="6" s="1"/>
  <c r="R365" i="6"/>
  <c r="S365" i="6" s="1"/>
  <c r="AB365" i="6" s="1"/>
  <c r="AC365" i="6" s="1"/>
  <c r="R1893" i="6"/>
  <c r="S1893" i="6" s="1"/>
  <c r="AB1893" i="6" s="1"/>
  <c r="AC1893" i="6" s="1"/>
  <c r="R1954" i="6"/>
  <c r="S1954" i="6" s="1"/>
  <c r="AB1954" i="6" s="1"/>
  <c r="AC1954" i="6" s="1"/>
  <c r="R347" i="6"/>
  <c r="S347" i="6" s="1"/>
  <c r="AB347" i="6" s="1"/>
  <c r="AC347" i="6" s="1"/>
  <c r="R83" i="6"/>
  <c r="S83" i="6" s="1"/>
  <c r="AB83" i="6" s="1"/>
  <c r="AC83" i="6" s="1"/>
  <c r="R73" i="6"/>
  <c r="S73" i="6" s="1"/>
  <c r="AB73" i="6" s="1"/>
  <c r="AC73" i="6" s="1"/>
  <c r="R1252" i="6"/>
  <c r="S1252" i="6" s="1"/>
  <c r="AB1252" i="6" s="1"/>
  <c r="AC1252" i="6" s="1"/>
  <c r="R952" i="6"/>
  <c r="S952" i="6" s="1"/>
  <c r="AB952" i="6" s="1"/>
  <c r="AC952" i="6" s="1"/>
  <c r="R944" i="6"/>
  <c r="S944" i="6" s="1"/>
  <c r="AB944" i="6" s="1"/>
  <c r="AC944" i="6" s="1"/>
  <c r="R921" i="6"/>
  <c r="S921" i="6" s="1"/>
  <c r="AB921" i="6" s="1"/>
  <c r="AC921" i="6" s="1"/>
  <c r="R1713" i="6"/>
  <c r="S1713" i="6" s="1"/>
  <c r="AB1713" i="6" s="1"/>
  <c r="AC1713" i="6" s="1"/>
  <c r="R1521" i="6"/>
  <c r="S1521" i="6" s="1"/>
  <c r="AB1521" i="6" s="1"/>
  <c r="AC1521" i="6" s="1"/>
  <c r="R281" i="6"/>
  <c r="S281" i="6" s="1"/>
  <c r="AB281" i="6" s="1"/>
  <c r="AC281" i="6" s="1"/>
  <c r="R1823" i="6"/>
  <c r="S1823" i="6" s="1"/>
  <c r="AB1823" i="6" s="1"/>
  <c r="AC1823" i="6" s="1"/>
  <c r="R1297" i="6"/>
  <c r="S1297" i="6" s="1"/>
  <c r="AB1297" i="6" s="1"/>
  <c r="AC1297" i="6" s="1"/>
  <c r="R1408" i="6"/>
  <c r="S1408" i="6" s="1"/>
  <c r="AB1408" i="6" s="1"/>
  <c r="AC1408" i="6" s="1"/>
  <c r="R544" i="6"/>
  <c r="S544" i="6" s="1"/>
  <c r="AB544" i="6" s="1"/>
  <c r="AC544" i="6" s="1"/>
  <c r="R1116" i="6"/>
  <c r="S1116" i="6" s="1"/>
  <c r="AB1116" i="6" s="1"/>
  <c r="AC1116" i="6" s="1"/>
  <c r="R27" i="6"/>
  <c r="S27" i="6" s="1"/>
  <c r="AB27" i="6" s="1"/>
  <c r="AC27" i="6" s="1"/>
  <c r="R1334" i="6"/>
  <c r="S1334" i="6" s="1"/>
  <c r="AB1334" i="6" s="1"/>
  <c r="AC1334" i="6" s="1"/>
  <c r="R1962" i="6"/>
  <c r="S1962" i="6" s="1"/>
  <c r="AB1962" i="6" s="1"/>
  <c r="AC1962" i="6" s="1"/>
  <c r="R1081" i="6"/>
  <c r="S1081" i="6" s="1"/>
  <c r="AB1081" i="6" s="1"/>
  <c r="AC1081" i="6" s="1"/>
  <c r="R91" i="6"/>
  <c r="S91" i="6" s="1"/>
  <c r="AB91" i="6" s="1"/>
  <c r="AC91" i="6" s="1"/>
  <c r="R1318" i="6"/>
  <c r="S1318" i="6" s="1"/>
  <c r="AB1318" i="6" s="1"/>
  <c r="AC1318" i="6" s="1"/>
  <c r="R254" i="6"/>
  <c r="S254" i="6" s="1"/>
  <c r="AB254" i="6" s="1"/>
  <c r="AC254" i="6" s="1"/>
  <c r="R1230" i="6"/>
  <c r="S1230" i="6" s="1"/>
  <c r="AB1230" i="6" s="1"/>
  <c r="AC1230" i="6" s="1"/>
  <c r="R831" i="6"/>
  <c r="S831" i="6" s="1"/>
  <c r="AB831" i="6" s="1"/>
  <c r="AC831" i="6" s="1"/>
  <c r="R823" i="6"/>
  <c r="S823" i="6" s="1"/>
  <c r="AB823" i="6" s="1"/>
  <c r="AC823" i="6" s="1"/>
  <c r="R950" i="6"/>
  <c r="S950" i="6" s="1"/>
  <c r="AB950" i="6" s="1"/>
  <c r="AC950" i="6" s="1"/>
  <c r="R913" i="6"/>
  <c r="S913" i="6" s="1"/>
  <c r="AB913" i="6" s="1"/>
  <c r="AC913" i="6" s="1"/>
  <c r="R936" i="6"/>
  <c r="S936" i="6" s="1"/>
  <c r="AB936" i="6" s="1"/>
  <c r="AC936" i="6" s="1"/>
  <c r="R758" i="6"/>
  <c r="S758" i="6" s="1"/>
  <c r="AB758" i="6" s="1"/>
  <c r="AC758" i="6" s="1"/>
  <c r="R1752" i="6"/>
  <c r="S1752" i="6" s="1"/>
  <c r="AB1752" i="6" s="1"/>
  <c r="AC1752" i="6" s="1"/>
  <c r="R2007" i="6"/>
  <c r="S2007" i="6" s="1"/>
  <c r="AB2007" i="6" s="1"/>
  <c r="AC2007" i="6" s="1"/>
  <c r="R1571" i="6"/>
  <c r="S1571" i="6" s="1"/>
  <c r="AB1571" i="6" s="1"/>
  <c r="AC1571" i="6" s="1"/>
  <c r="R1671" i="6"/>
  <c r="S1671" i="6" s="1"/>
  <c r="AB1671" i="6" s="1"/>
  <c r="AC1671" i="6" s="1"/>
  <c r="R1465" i="6"/>
  <c r="S1465" i="6" s="1"/>
  <c r="AB1465" i="6" s="1"/>
  <c r="AC1465" i="6" s="1"/>
  <c r="R34" i="6"/>
  <c r="S34" i="6" s="1"/>
  <c r="AB34" i="6" s="1"/>
  <c r="AC34" i="6" s="1"/>
  <c r="R24" i="6"/>
  <c r="S24" i="6" s="1"/>
  <c r="AB24" i="6" s="1"/>
  <c r="AC24" i="6" s="1"/>
  <c r="R1878" i="6"/>
  <c r="S1878" i="6" s="1"/>
  <c r="AB1878" i="6" s="1"/>
  <c r="AC1878" i="6" s="1"/>
  <c r="R1072" i="6"/>
  <c r="S1072" i="6" s="1"/>
  <c r="AB1072" i="6" s="1"/>
  <c r="AC1072" i="6" s="1"/>
  <c r="R1941" i="6"/>
  <c r="S1941" i="6" s="1"/>
  <c r="AB1941" i="6" s="1"/>
  <c r="AC1941" i="6" s="1"/>
  <c r="R367" i="6"/>
  <c r="S367" i="6" s="1"/>
  <c r="AB367" i="6" s="1"/>
  <c r="AC367" i="6" s="1"/>
  <c r="R2084" i="6"/>
  <c r="S2084" i="6" s="1"/>
  <c r="AB2084" i="6" s="1"/>
  <c r="AC2084" i="6" s="1"/>
  <c r="R76" i="6"/>
  <c r="S76" i="6" s="1"/>
  <c r="AB76" i="6" s="1"/>
  <c r="AC76" i="6" s="1"/>
  <c r="R2061" i="6"/>
  <c r="S2061" i="6" s="1"/>
  <c r="AB2061" i="6" s="1"/>
  <c r="AC2061" i="6" s="1"/>
  <c r="R22" i="6"/>
  <c r="S22" i="6" s="1"/>
  <c r="AB22" i="6" s="1"/>
  <c r="AC22" i="6" s="1"/>
  <c r="R494" i="6"/>
  <c r="S494" i="6" s="1"/>
  <c r="AB494" i="6" s="1"/>
  <c r="AC494" i="6" s="1"/>
  <c r="R840" i="6"/>
  <c r="S840" i="6" s="1"/>
  <c r="AB840" i="6" s="1"/>
  <c r="AC840" i="6" s="1"/>
  <c r="R926" i="6"/>
  <c r="S926" i="6" s="1"/>
  <c r="AB926" i="6" s="1"/>
  <c r="AC926" i="6" s="1"/>
  <c r="R932" i="6"/>
  <c r="S932" i="6" s="1"/>
  <c r="AB932" i="6" s="1"/>
  <c r="AC932" i="6" s="1"/>
  <c r="R717" i="6"/>
  <c r="S717" i="6" s="1"/>
  <c r="AB717" i="6" s="1"/>
  <c r="AC717" i="6" s="1"/>
  <c r="R1654" i="6"/>
  <c r="S1654" i="6" s="1"/>
  <c r="AB1654" i="6" s="1"/>
  <c r="AC1654" i="6" s="1"/>
  <c r="R1606" i="6"/>
  <c r="S1606" i="6" s="1"/>
  <c r="AB1606" i="6" s="1"/>
  <c r="AC1606" i="6" s="1"/>
  <c r="R1264" i="6"/>
  <c r="S1264" i="6" s="1"/>
  <c r="AB1264" i="6" s="1"/>
  <c r="AC1264" i="6" s="1"/>
  <c r="R1699" i="6"/>
  <c r="S1699" i="6" s="1"/>
  <c r="AB1699" i="6" s="1"/>
  <c r="AC1699" i="6" s="1"/>
  <c r="R965" i="6"/>
  <c r="S965" i="6" s="1"/>
  <c r="AB965" i="6" s="1"/>
  <c r="AC965" i="6" s="1"/>
  <c r="R2127" i="6"/>
  <c r="S2127" i="6" s="1"/>
  <c r="AB2127" i="6" s="1"/>
  <c r="AC2127" i="6" s="1"/>
  <c r="R284" i="6"/>
  <c r="S284" i="6" s="1"/>
  <c r="AB284" i="6" s="1"/>
  <c r="AC284" i="6" s="1"/>
  <c r="R2222" i="6"/>
  <c r="S2222" i="6" s="1"/>
  <c r="AB2222" i="6" s="1"/>
  <c r="AC2222" i="6" s="1"/>
  <c r="R2032" i="6"/>
  <c r="S2032" i="6" s="1"/>
  <c r="AB2032" i="6" s="1"/>
  <c r="AC2032" i="6" s="1"/>
  <c r="R182" i="6"/>
  <c r="S182" i="6" s="1"/>
  <c r="AB182" i="6" s="1"/>
  <c r="AC182" i="6" s="1"/>
  <c r="R957" i="6"/>
  <c r="S957" i="6" s="1"/>
  <c r="AB957" i="6" s="1"/>
  <c r="AC957" i="6" s="1"/>
  <c r="R38" i="6"/>
  <c r="S38" i="6" s="1"/>
  <c r="AB38" i="6" s="1"/>
  <c r="AC38" i="6" s="1"/>
  <c r="R23" i="6"/>
  <c r="S23" i="6" s="1"/>
  <c r="AB23" i="6" s="1"/>
  <c r="AC23" i="6" s="1"/>
  <c r="R35" i="6"/>
  <c r="S35" i="6" s="1"/>
  <c r="AB35" i="6" s="1"/>
  <c r="AC35" i="6" s="1"/>
  <c r="R1894" i="6"/>
  <c r="S1894" i="6" s="1"/>
  <c r="AB1894" i="6" s="1"/>
  <c r="AC1894" i="6" s="1"/>
  <c r="R1919" i="6"/>
  <c r="S1919" i="6" s="1"/>
  <c r="AB1919" i="6" s="1"/>
  <c r="AC1919" i="6" s="1"/>
  <c r="R1930" i="6"/>
  <c r="S1930" i="6" s="1"/>
  <c r="AB1930" i="6" s="1"/>
  <c r="AC1930" i="6" s="1"/>
  <c r="R37" i="6"/>
  <c r="S37" i="6" s="1"/>
  <c r="AB37" i="6" s="1"/>
  <c r="AC37" i="6" s="1"/>
  <c r="R1351" i="6"/>
  <c r="S1351" i="6" s="1"/>
  <c r="AB1351" i="6" s="1"/>
  <c r="AC1351" i="6" s="1"/>
  <c r="R86" i="6"/>
  <c r="S86" i="6" s="1"/>
  <c r="AB86" i="6" s="1"/>
  <c r="AC86" i="6" s="1"/>
  <c r="R78" i="6"/>
  <c r="S78" i="6" s="1"/>
  <c r="AB78" i="6" s="1"/>
  <c r="AC78" i="6" s="1"/>
  <c r="R560" i="6"/>
  <c r="S560" i="6" s="1"/>
  <c r="AB560" i="6" s="1"/>
  <c r="AC560" i="6" s="1"/>
  <c r="R255" i="6"/>
  <c r="S255" i="6" s="1"/>
  <c r="AB255" i="6" s="1"/>
  <c r="AC255" i="6" s="1"/>
  <c r="R847" i="6"/>
  <c r="S847" i="6" s="1"/>
  <c r="AB847" i="6" s="1"/>
  <c r="AC847" i="6" s="1"/>
  <c r="R955" i="6"/>
  <c r="S955" i="6" s="1"/>
  <c r="AB955" i="6" s="1"/>
  <c r="AC955" i="6" s="1"/>
  <c r="R940" i="6"/>
  <c r="S940" i="6" s="1"/>
  <c r="AB940" i="6" s="1"/>
  <c r="AC940" i="6" s="1"/>
  <c r="R925" i="6"/>
  <c r="S925" i="6" s="1"/>
  <c r="AB925" i="6" s="1"/>
  <c r="AC925" i="6" s="1"/>
  <c r="R951" i="6"/>
  <c r="S951" i="6" s="1"/>
  <c r="AB951" i="6" s="1"/>
  <c r="AC951" i="6" s="1"/>
  <c r="R121" i="6"/>
  <c r="S121" i="6" s="1"/>
  <c r="AB121" i="6" s="1"/>
  <c r="AC121" i="6" s="1"/>
  <c r="R732" i="6"/>
  <c r="S732" i="6" s="1"/>
  <c r="AB732" i="6" s="1"/>
  <c r="AC732" i="6" s="1"/>
  <c r="R1656" i="6"/>
  <c r="S1656" i="6" s="1"/>
  <c r="AB1656" i="6" s="1"/>
  <c r="AC1656" i="6" s="1"/>
  <c r="R1588" i="6"/>
  <c r="S1588" i="6" s="1"/>
  <c r="AB1588" i="6" s="1"/>
  <c r="AC1588" i="6" s="1"/>
  <c r="R1781" i="6"/>
  <c r="S1781" i="6" s="1"/>
  <c r="AB1781" i="6" s="1"/>
  <c r="AC1781" i="6" s="1"/>
  <c r="R2064" i="6"/>
  <c r="S2064" i="6" s="1"/>
  <c r="AB2064" i="6" s="1"/>
  <c r="AC2064" i="6" s="1"/>
  <c r="R450" i="6"/>
  <c r="S450" i="6" s="1"/>
  <c r="AB450" i="6" s="1"/>
  <c r="AC450" i="6" s="1"/>
  <c r="R658" i="6"/>
  <c r="S658" i="6" s="1"/>
  <c r="AB658" i="6" s="1"/>
  <c r="AC658" i="6" s="1"/>
  <c r="R1082" i="6"/>
  <c r="S1082" i="6" s="1"/>
  <c r="AB1082" i="6" s="1"/>
  <c r="AC1082" i="6" s="1"/>
  <c r="R1845" i="6"/>
  <c r="S1845" i="6" s="1"/>
  <c r="AB1845" i="6" s="1"/>
  <c r="AC1845" i="6" s="1"/>
  <c r="R990" i="6"/>
  <c r="S990" i="6" s="1"/>
  <c r="AB990" i="6" s="1"/>
  <c r="AC990" i="6" s="1"/>
  <c r="R938" i="6"/>
  <c r="S938" i="6" s="1"/>
  <c r="AB938" i="6" s="1"/>
  <c r="AC938" i="6" s="1"/>
  <c r="R1456" i="6"/>
  <c r="S1456" i="6" s="1"/>
  <c r="AB1456" i="6" s="1"/>
  <c r="AC1456" i="6" s="1"/>
  <c r="R1806" i="6"/>
  <c r="S1806" i="6" s="1"/>
  <c r="AB1806" i="6" s="1"/>
  <c r="AC1806" i="6" s="1"/>
  <c r="R1815" i="6"/>
  <c r="S1815" i="6" s="1"/>
  <c r="AB1815" i="6" s="1"/>
  <c r="AC1815" i="6" s="1"/>
  <c r="R1829" i="6"/>
  <c r="S1829" i="6" s="1"/>
  <c r="AB1829" i="6" s="1"/>
  <c r="AC1829" i="6" s="1"/>
  <c r="R2092" i="6"/>
  <c r="S2092" i="6" s="1"/>
  <c r="AB2092" i="6" s="1"/>
  <c r="AC2092" i="6" s="1"/>
  <c r="R1209" i="6"/>
  <c r="S1209" i="6" s="1"/>
  <c r="AB1209" i="6" s="1"/>
  <c r="AC1209" i="6" s="1"/>
  <c r="R370" i="6"/>
  <c r="S370" i="6" s="1"/>
  <c r="AB370" i="6" s="1"/>
  <c r="AC370" i="6" s="1"/>
  <c r="R1011" i="6"/>
  <c r="S1011" i="6" s="1"/>
  <c r="AB1011" i="6" s="1"/>
  <c r="AC1011" i="6" s="1"/>
  <c r="R1149" i="6"/>
  <c r="S1149" i="6" s="1"/>
  <c r="AB1149" i="6" s="1"/>
  <c r="AC1149" i="6" s="1"/>
  <c r="R1730" i="6"/>
  <c r="S1730" i="6" s="1"/>
  <c r="AB1730" i="6" s="1"/>
  <c r="AC1730" i="6" s="1"/>
  <c r="R1876" i="6"/>
  <c r="S1876" i="6" s="1"/>
  <c r="AB1876" i="6" s="1"/>
  <c r="AC1876" i="6" s="1"/>
  <c r="R351" i="6"/>
  <c r="S351" i="6" s="1"/>
  <c r="AB351" i="6" s="1"/>
  <c r="AC351" i="6" s="1"/>
  <c r="R1098" i="6"/>
  <c r="S1098" i="6" s="1"/>
  <c r="AB1098" i="6" s="1"/>
  <c r="AC1098" i="6" s="1"/>
  <c r="R973" i="6"/>
  <c r="S973" i="6" s="1"/>
  <c r="AB973" i="6" s="1"/>
  <c r="AC973" i="6" s="1"/>
  <c r="R92" i="6"/>
  <c r="S92" i="6" s="1"/>
  <c r="AB92" i="6" s="1"/>
  <c r="AC92" i="6" s="1"/>
  <c r="R230" i="6"/>
  <c r="S230" i="6" s="1"/>
  <c r="AB230" i="6" s="1"/>
  <c r="AC230" i="6" s="1"/>
  <c r="R295" i="6"/>
  <c r="S295" i="6" s="1"/>
  <c r="AB295" i="6" s="1"/>
  <c r="AC295" i="6" s="1"/>
  <c r="R74" i="6"/>
  <c r="S74" i="6" s="1"/>
  <c r="AB74" i="6" s="1"/>
  <c r="AC74" i="6" s="1"/>
  <c r="R822" i="6"/>
  <c r="S822" i="6" s="1"/>
  <c r="AB822" i="6" s="1"/>
  <c r="AC822" i="6" s="1"/>
  <c r="R920" i="6"/>
  <c r="S920" i="6" s="1"/>
  <c r="AB920" i="6" s="1"/>
  <c r="AC920" i="6" s="1"/>
  <c r="R939" i="6"/>
  <c r="S939" i="6" s="1"/>
  <c r="AB939" i="6" s="1"/>
  <c r="AC939" i="6" s="1"/>
  <c r="R941" i="6"/>
  <c r="S941" i="6" s="1"/>
  <c r="AB941" i="6" s="1"/>
  <c r="AC941" i="6" s="1"/>
  <c r="R1721" i="6"/>
  <c r="S1721" i="6" s="1"/>
  <c r="AB1721" i="6" s="1"/>
  <c r="AC1721" i="6" s="1"/>
  <c r="R767" i="6"/>
  <c r="S767" i="6" s="1"/>
  <c r="AB767" i="6" s="1"/>
  <c r="AC767" i="6" s="1"/>
  <c r="R1748" i="6"/>
  <c r="S1748" i="6" s="1"/>
  <c r="AB1748" i="6" s="1"/>
  <c r="AC1748" i="6" s="1"/>
  <c r="R1493" i="6"/>
  <c r="S1493" i="6" s="1"/>
  <c r="AB1493" i="6" s="1"/>
  <c r="AC1493" i="6" s="1"/>
  <c r="R1133" i="6"/>
  <c r="S1133" i="6" s="1"/>
  <c r="AB1133" i="6" s="1"/>
  <c r="AC1133" i="6" s="1"/>
  <c r="R547" i="6"/>
  <c r="S547" i="6" s="1"/>
  <c r="AB547" i="6" s="1"/>
  <c r="AC547" i="6" s="1"/>
  <c r="R900" i="6"/>
  <c r="S900" i="6" s="1"/>
  <c r="AB900" i="6" s="1"/>
  <c r="AC900" i="6" s="1"/>
  <c r="R539" i="6"/>
  <c r="S539" i="6" s="1"/>
  <c r="AB539" i="6" s="1"/>
  <c r="AC539" i="6" s="1"/>
  <c r="R897" i="6"/>
  <c r="S897" i="6" s="1"/>
  <c r="AB897" i="6" s="1"/>
  <c r="AC897" i="6" s="1"/>
  <c r="S2364" i="6" l="1"/>
  <c r="R2365" i="6"/>
  <c r="S2365" i="6" s="1"/>
  <c r="R2366" i="6"/>
  <c r="S2366" i="6" s="1"/>
  <c r="R2363" i="6"/>
  <c r="S2363" i="6" s="1"/>
  <c r="AB2363" i="6" s="1"/>
  <c r="Z153" i="10"/>
  <c r="Z278" i="10"/>
  <c r="Z104" i="10"/>
  <c r="AD2303" i="6"/>
  <c r="Z134" i="10"/>
  <c r="Z80" i="10"/>
  <c r="Z308" i="10"/>
  <c r="Z200" i="10"/>
  <c r="Z24" i="10"/>
  <c r="Z138" i="10"/>
  <c r="AD2350" i="6"/>
  <c r="Z77" i="10"/>
  <c r="Z141" i="10"/>
  <c r="Z256" i="10"/>
  <c r="Z78" i="10"/>
  <c r="Z96" i="10"/>
  <c r="Z50" i="10"/>
  <c r="Z284" i="10"/>
  <c r="Z289" i="10"/>
  <c r="Z182" i="10"/>
  <c r="Z93" i="10"/>
  <c r="Z95" i="10"/>
  <c r="Z287" i="10"/>
  <c r="Z188" i="10"/>
  <c r="AD2318" i="6"/>
  <c r="Z127" i="10"/>
  <c r="Z119" i="10"/>
  <c r="Z32" i="10"/>
  <c r="Z165" i="10"/>
  <c r="Z68" i="10"/>
  <c r="Z28" i="10"/>
  <c r="Z161" i="10"/>
  <c r="Z111" i="10"/>
  <c r="Z208" i="10"/>
  <c r="Z59" i="10"/>
  <c r="Z306" i="10"/>
  <c r="Z235" i="10"/>
  <c r="Z290" i="10"/>
  <c r="Z42" i="10"/>
  <c r="Z293" i="10"/>
  <c r="Z43" i="10"/>
  <c r="Z72" i="10"/>
  <c r="Z31" i="10"/>
  <c r="Z67" i="10"/>
  <c r="Z234" i="10"/>
  <c r="Z185" i="10"/>
  <c r="Z291" i="10"/>
  <c r="Z62" i="10"/>
  <c r="Z240" i="10"/>
  <c r="Z35" i="10"/>
  <c r="Z140" i="10"/>
  <c r="Z233" i="10"/>
  <c r="Z248" i="10"/>
  <c r="Z198" i="10"/>
  <c r="Z27" i="10"/>
  <c r="Z219" i="10"/>
  <c r="Z169" i="10"/>
  <c r="Z65" i="10"/>
  <c r="Z298" i="10"/>
  <c r="Z148" i="10"/>
  <c r="Z241" i="10"/>
  <c r="Z244" i="10"/>
  <c r="Z38" i="10"/>
  <c r="Z225" i="10"/>
  <c r="Z194" i="10"/>
  <c r="Z211" i="10"/>
  <c r="Z57" i="10"/>
  <c r="Z262" i="10"/>
  <c r="Z299" i="10"/>
  <c r="Z213" i="10"/>
  <c r="Z187" i="10"/>
  <c r="Z209" i="10"/>
  <c r="Z9" i="10"/>
  <c r="Z23" i="10"/>
  <c r="Z167" i="10"/>
  <c r="Z231" i="10"/>
  <c r="Z285" i="10"/>
  <c r="Z44" i="10"/>
  <c r="Z51" i="10"/>
  <c r="Z88" i="10"/>
  <c r="Z230" i="10"/>
  <c r="Z243" i="10"/>
  <c r="Z318" i="10"/>
  <c r="Z85" i="10"/>
  <c r="Z123" i="10"/>
  <c r="Z238" i="10"/>
  <c r="Z314" i="10"/>
  <c r="Z295" i="10"/>
  <c r="Z257" i="10"/>
  <c r="Z61" i="10"/>
  <c r="Z56" i="10"/>
  <c r="Z317" i="10"/>
  <c r="Z292" i="10"/>
  <c r="Z84" i="10"/>
  <c r="Z89" i="10"/>
  <c r="Z319" i="10"/>
  <c r="Z163" i="10"/>
  <c r="Z170" i="10"/>
  <c r="Z75" i="10"/>
  <c r="Z259" i="10"/>
  <c r="Z247" i="10"/>
  <c r="Z222" i="10"/>
  <c r="Z149" i="10"/>
  <c r="Z184" i="10"/>
  <c r="Z315" i="10"/>
  <c r="Z10" i="10"/>
  <c r="Z120" i="10"/>
  <c r="Z203" i="10"/>
  <c r="Z152" i="10"/>
  <c r="Z128" i="10"/>
  <c r="Z173" i="10"/>
  <c r="Z175" i="10"/>
  <c r="Z305" i="10"/>
  <c r="Z54" i="10"/>
  <c r="Z19" i="10"/>
  <c r="Z267" i="10"/>
  <c r="Z73" i="10"/>
  <c r="Z6" i="10"/>
  <c r="Z282" i="10"/>
  <c r="Z118" i="10"/>
  <c r="Z37" i="10"/>
  <c r="Z191" i="10"/>
  <c r="Z103" i="10"/>
  <c r="Z201" i="10"/>
  <c r="Z105" i="10"/>
  <c r="Z223" i="10"/>
  <c r="Z171" i="10"/>
  <c r="Z25" i="10"/>
  <c r="Z12" i="10"/>
  <c r="Z132" i="10"/>
  <c r="AD2262" i="6"/>
  <c r="Z210" i="10"/>
  <c r="Z116" i="10"/>
  <c r="Z190" i="10"/>
  <c r="AD2246" i="6"/>
  <c r="AD2308" i="6"/>
  <c r="Z155" i="10"/>
  <c r="Z83" i="10"/>
  <c r="Z133" i="10"/>
  <c r="Z212" i="10"/>
  <c r="Z177" i="10"/>
  <c r="Z303" i="10"/>
  <c r="Z98" i="10"/>
  <c r="Z176" i="10"/>
  <c r="Z130" i="10"/>
  <c r="Z216" i="10"/>
  <c r="Z151" i="10"/>
  <c r="Z301" i="10"/>
  <c r="Z245" i="10"/>
  <c r="Z229" i="10"/>
  <c r="Z146" i="10"/>
  <c r="AD2272" i="6"/>
  <c r="AD2244" i="6"/>
  <c r="AD2281" i="6"/>
  <c r="Z97" i="10"/>
  <c r="AD2270" i="6"/>
  <c r="S205" i="10"/>
  <c r="W205" i="10" s="1"/>
  <c r="W45" i="10"/>
  <c r="S277" i="10"/>
  <c r="W277" i="10" s="1"/>
  <c r="W17" i="10"/>
  <c r="AA17" i="10" s="1"/>
  <c r="W97" i="10"/>
  <c r="Y321" i="10"/>
  <c r="Z321" i="10" s="1"/>
  <c r="W49" i="10"/>
  <c r="AA49" i="10" s="1"/>
  <c r="S157" i="10"/>
  <c r="W157" i="10" s="1"/>
  <c r="W199" i="10"/>
  <c r="W313" i="10"/>
  <c r="AA313" i="10" s="1"/>
  <c r="W280" i="10"/>
  <c r="W275" i="10"/>
  <c r="Y99" i="10"/>
  <c r="Z99" i="10" s="1"/>
  <c r="S117" i="10"/>
  <c r="W117" i="10" s="1"/>
  <c r="AA117" i="10" s="1"/>
  <c r="W18" i="10"/>
  <c r="W34" i="10"/>
  <c r="W76" i="10"/>
  <c r="W273" i="10"/>
  <c r="W204" i="10"/>
  <c r="AA204" i="10" s="1"/>
  <c r="W322" i="10"/>
  <c r="W137" i="10"/>
  <c r="AA137" i="10" s="1"/>
  <c r="W44" i="10"/>
  <c r="W249" i="10"/>
  <c r="AA249" i="10" s="1"/>
  <c r="W256" i="10"/>
  <c r="S293" i="10"/>
  <c r="W293" i="10" s="1"/>
  <c r="W196" i="10"/>
  <c r="W233" i="10"/>
  <c r="S261" i="10"/>
  <c r="W261" i="10" s="1"/>
  <c r="AA261" i="10" s="1"/>
  <c r="W147" i="10"/>
  <c r="AA147" i="10" s="1"/>
  <c r="W71" i="10"/>
  <c r="AA71" i="10" s="1"/>
  <c r="W258" i="10"/>
  <c r="W201" i="10"/>
  <c r="W198" i="10"/>
  <c r="W192" i="10"/>
  <c r="S6" i="10"/>
  <c r="W6" i="10" s="1"/>
  <c r="W16" i="10"/>
  <c r="W318" i="10"/>
  <c r="W228" i="10"/>
  <c r="AA228" i="10" s="1"/>
  <c r="W162" i="10"/>
  <c r="S109" i="10"/>
  <c r="W109" i="10" s="1"/>
  <c r="Y33" i="10"/>
  <c r="Z33" i="10" s="1"/>
  <c r="W108" i="10"/>
  <c r="Y322" i="10"/>
  <c r="Z322" i="10" s="1"/>
  <c r="W210" i="10"/>
  <c r="S144" i="10"/>
  <c r="W144" i="10" s="1"/>
  <c r="AA144" i="10" s="1"/>
  <c r="Z157" i="10"/>
  <c r="Z311" i="10"/>
  <c r="W62" i="10"/>
  <c r="W32" i="10"/>
  <c r="S287" i="10"/>
  <c r="W287" i="10" s="1"/>
  <c r="W30" i="10"/>
  <c r="W266" i="10"/>
  <c r="W193" i="10"/>
  <c r="AA193" i="10" s="1"/>
  <c r="S92" i="10"/>
  <c r="W92" i="10" s="1"/>
  <c r="AA92" i="10" s="1"/>
  <c r="W288" i="10"/>
  <c r="AA288" i="10" s="1"/>
  <c r="S221" i="10"/>
  <c r="W221" i="10" s="1"/>
  <c r="AA221" i="10" s="1"/>
  <c r="S23" i="10"/>
  <c r="W23" i="10" s="1"/>
  <c r="S102" i="10"/>
  <c r="W102" i="10" s="1"/>
  <c r="AA102" i="10" s="1"/>
  <c r="W183" i="10"/>
  <c r="W217" i="10"/>
  <c r="AA217" i="10" s="1"/>
  <c r="S247" i="10"/>
  <c r="W247" i="10" s="1"/>
  <c r="W284" i="10"/>
  <c r="S207" i="10"/>
  <c r="W207" i="10" s="1"/>
  <c r="AA207" i="10" s="1"/>
  <c r="W263" i="10"/>
  <c r="S315" i="10"/>
  <c r="W315" i="10" s="1"/>
  <c r="Y109" i="10"/>
  <c r="Z109" i="10" s="1"/>
  <c r="Y108" i="10"/>
  <c r="Z108" i="10" s="1"/>
  <c r="W112" i="10"/>
  <c r="AA112" i="10" s="1"/>
  <c r="W246" i="10"/>
  <c r="AA246" i="10" s="1"/>
  <c r="W235" i="10"/>
  <c r="W180" i="10"/>
  <c r="AA180" i="10" s="1"/>
  <c r="W33" i="10"/>
  <c r="Z277" i="10"/>
  <c r="Z280" i="10"/>
  <c r="Z16" i="10"/>
  <c r="Z196" i="10"/>
  <c r="W5" i="10"/>
  <c r="S133" i="10"/>
  <c r="W133" i="10" s="1"/>
  <c r="W312" i="10"/>
  <c r="S53" i="10"/>
  <c r="W53" i="10" s="1"/>
  <c r="AA53" i="10" s="1"/>
  <c r="Y266" i="10"/>
  <c r="Z266" i="10" s="1"/>
  <c r="W105" i="10"/>
  <c r="S174" i="10"/>
  <c r="W174" i="10" s="1"/>
  <c r="AA174" i="10" s="1"/>
  <c r="W200" i="10"/>
  <c r="W48" i="10"/>
  <c r="AA48" i="10" s="1"/>
  <c r="W306" i="10"/>
  <c r="W40" i="10"/>
  <c r="AA40" i="10" s="1"/>
  <c r="S128" i="10"/>
  <c r="W128" i="10" s="1"/>
  <c r="W120" i="10"/>
  <c r="S245" i="10"/>
  <c r="W245" i="10" s="1"/>
  <c r="W22" i="10"/>
  <c r="AA22" i="10" s="1"/>
  <c r="S80" i="10"/>
  <c r="W80" i="10" s="1"/>
  <c r="W19" i="10"/>
  <c r="W310" i="10"/>
  <c r="S77" i="10"/>
  <c r="W77" i="10" s="1"/>
  <c r="W239" i="10"/>
  <c r="W297" i="10"/>
  <c r="AA297" i="10" s="1"/>
  <c r="W132" i="10"/>
  <c r="Z18" i="10"/>
  <c r="W212" i="10"/>
  <c r="W279" i="10"/>
  <c r="AA279" i="10" s="1"/>
  <c r="S269" i="10"/>
  <c r="W269" i="10" s="1"/>
  <c r="AA269" i="10" s="1"/>
  <c r="W138" i="10"/>
  <c r="W296" i="10"/>
  <c r="S35" i="10"/>
  <c r="W35" i="10" s="1"/>
  <c r="W257" i="10"/>
  <c r="W319" i="10"/>
  <c r="S262" i="10"/>
  <c r="W262" i="10" s="1"/>
  <c r="W283" i="10"/>
  <c r="AA283" i="10" s="1"/>
  <c r="S290" i="10"/>
  <c r="W290" i="10" s="1"/>
  <c r="S119" i="10"/>
  <c r="W119" i="10" s="1"/>
  <c r="AA119" i="10" s="1"/>
  <c r="S282" i="10"/>
  <c r="W282" i="10" s="1"/>
  <c r="W103" i="10"/>
  <c r="W177" i="10"/>
  <c r="W274" i="10"/>
  <c r="AA274" i="10" s="1"/>
  <c r="Y310" i="10"/>
  <c r="Z310" i="10" s="1"/>
  <c r="W320" i="10"/>
  <c r="W300" i="10"/>
  <c r="AA300" i="10" s="1"/>
  <c r="S158" i="10"/>
  <c r="W158" i="10" s="1"/>
  <c r="AA158" i="10" s="1"/>
  <c r="W73" i="10"/>
  <c r="Z135" i="10"/>
  <c r="Z113" i="10"/>
  <c r="W12" i="10"/>
  <c r="W89" i="10"/>
  <c r="S85" i="10"/>
  <c r="W85" i="10" s="1"/>
  <c r="W292" i="10"/>
  <c r="W56" i="10"/>
  <c r="S29" i="10"/>
  <c r="W29" i="10" s="1"/>
  <c r="S60" i="10"/>
  <c r="W60" i="10" s="1"/>
  <c r="AA60" i="10" s="1"/>
  <c r="W238" i="10"/>
  <c r="W236" i="10"/>
  <c r="AA236" i="10" s="1"/>
  <c r="S181" i="10"/>
  <c r="W181" i="10" s="1"/>
  <c r="AA181" i="10" s="1"/>
  <c r="W214" i="10"/>
  <c r="AA214" i="10" s="1"/>
  <c r="W184" i="10"/>
  <c r="W25" i="10"/>
  <c r="W140" i="10"/>
  <c r="S100" i="10"/>
  <c r="W100" i="10" s="1"/>
  <c r="AA100" i="10" s="1"/>
  <c r="W156" i="10"/>
  <c r="S126" i="10"/>
  <c r="W126" i="10" s="1"/>
  <c r="AA126" i="10" s="1"/>
  <c r="W299" i="10"/>
  <c r="Y320" i="10"/>
  <c r="Z320" i="10" s="1"/>
  <c r="S259" i="10"/>
  <c r="W259" i="10" s="1"/>
  <c r="W84" i="10"/>
  <c r="W240" i="10"/>
  <c r="W234" i="10"/>
  <c r="S27" i="10"/>
  <c r="W27" i="10" s="1"/>
  <c r="W291" i="10"/>
  <c r="AA291" i="10" s="1"/>
  <c r="W61" i="10"/>
  <c r="S250" i="10"/>
  <c r="W250" i="10" s="1"/>
  <c r="AA250" i="10" s="1"/>
  <c r="Y29" i="10"/>
  <c r="Z29" i="10" s="1"/>
  <c r="Y316" i="10"/>
  <c r="Z316" i="10" s="1"/>
  <c r="W101" i="10"/>
  <c r="W24" i="10"/>
  <c r="S37" i="10"/>
  <c r="W37" i="10" s="1"/>
  <c r="W143" i="10"/>
  <c r="AA143" i="10" s="1"/>
  <c r="W58" i="10"/>
  <c r="AA58" i="10" s="1"/>
  <c r="W305" i="10"/>
  <c r="W155" i="10"/>
  <c r="S122" i="10"/>
  <c r="W122" i="10" s="1"/>
  <c r="AA122" i="10" s="1"/>
  <c r="S242" i="10"/>
  <c r="W242" i="10" s="1"/>
  <c r="AA242" i="10" s="1"/>
  <c r="W42" i="10"/>
  <c r="W26" i="10"/>
  <c r="AA26" i="10" s="1"/>
  <c r="S110" i="10"/>
  <c r="W110" i="10" s="1"/>
  <c r="AA110" i="10" s="1"/>
  <c r="W172" i="10"/>
  <c r="AA172" i="10" s="1"/>
  <c r="S107" i="10"/>
  <c r="W107" i="10" s="1"/>
  <c r="AA107" i="10" s="1"/>
  <c r="W163" i="10"/>
  <c r="W104" i="10"/>
  <c r="S7" i="10"/>
  <c r="W7" i="10" s="1"/>
  <c r="AA7" i="10" s="1"/>
  <c r="S168" i="10"/>
  <c r="W168" i="10" s="1"/>
  <c r="AA168" i="10" s="1"/>
  <c r="W95" i="10"/>
  <c r="Z273" i="10"/>
  <c r="Z205" i="10"/>
  <c r="W38" i="10"/>
  <c r="W219" i="10"/>
  <c r="S93" i="10"/>
  <c r="W93" i="10" s="1"/>
  <c r="W316" i="10"/>
  <c r="W64" i="10"/>
  <c r="AA64" i="10" s="1"/>
  <c r="W267" i="10"/>
  <c r="W188" i="10"/>
  <c r="W176" i="10"/>
  <c r="AA176" i="10" s="1"/>
  <c r="S69" i="10"/>
  <c r="W69" i="10" s="1"/>
  <c r="AA69" i="10" s="1"/>
  <c r="W145" i="10"/>
  <c r="AA145" i="10" s="1"/>
  <c r="W52" i="10"/>
  <c r="AA52" i="10" s="1"/>
  <c r="W185" i="10"/>
  <c r="W41" i="10"/>
  <c r="W72" i="10"/>
  <c r="W115" i="10"/>
  <c r="AA115" i="10" s="1"/>
  <c r="Z30" i="10"/>
  <c r="W153" i="10"/>
  <c r="W116" i="10"/>
  <c r="W243" i="10"/>
  <c r="W154" i="10"/>
  <c r="AA154" i="10" s="1"/>
  <c r="S65" i="10"/>
  <c r="W65" i="10" s="1"/>
  <c r="S169" i="10"/>
  <c r="W169" i="10" s="1"/>
  <c r="S142" i="10"/>
  <c r="W142" i="10" s="1"/>
  <c r="AA142" i="10" s="1"/>
  <c r="W232" i="10"/>
  <c r="AA232" i="10" s="1"/>
  <c r="S252" i="10"/>
  <c r="W252" i="10" s="1"/>
  <c r="AA252" i="10" s="1"/>
  <c r="W244" i="10"/>
  <c r="W224" i="10"/>
  <c r="AA224" i="10" s="1"/>
  <c r="S78" i="10"/>
  <c r="W78" i="10" s="1"/>
  <c r="W161" i="10"/>
  <c r="S106" i="10"/>
  <c r="W106" i="10" s="1"/>
  <c r="AA106" i="10" s="1"/>
  <c r="W51" i="10"/>
  <c r="S86" i="10"/>
  <c r="W86" i="10" s="1"/>
  <c r="AA86" i="10" s="1"/>
  <c r="W164" i="10"/>
  <c r="AA164" i="10" s="1"/>
  <c r="W10" i="10"/>
  <c r="AA10" i="10" s="1"/>
  <c r="S265" i="10"/>
  <c r="W265" i="10" s="1"/>
  <c r="AA265" i="10" s="1"/>
  <c r="Y41" i="10"/>
  <c r="Z41" i="10" s="1"/>
  <c r="S87" i="10"/>
  <c r="W87" i="10" s="1"/>
  <c r="AA87" i="10" s="1"/>
  <c r="W226" i="10"/>
  <c r="AA226" i="10" s="1"/>
  <c r="W83" i="10"/>
  <c r="W43" i="10"/>
  <c r="S55" i="10"/>
  <c r="W55" i="10" s="1"/>
  <c r="AA55" i="10" s="1"/>
  <c r="S141" i="10"/>
  <c r="W141" i="10" s="1"/>
  <c r="AA104" i="10"/>
  <c r="Z34" i="10"/>
  <c r="S57" i="10"/>
  <c r="W57" i="10" s="1"/>
  <c r="W171" i="10"/>
  <c r="S301" i="10"/>
  <c r="W301" i="10" s="1"/>
  <c r="Y136" i="10"/>
  <c r="Z136" i="10" s="1"/>
  <c r="W178" i="10"/>
  <c r="W182" i="10"/>
  <c r="W146" i="10"/>
  <c r="S66" i="10"/>
  <c r="W66" i="10" s="1"/>
  <c r="AA66" i="10" s="1"/>
  <c r="S211" i="10"/>
  <c r="W211" i="10" s="1"/>
  <c r="W223" i="10"/>
  <c r="S129" i="10"/>
  <c r="W129" i="10" s="1"/>
  <c r="AA129" i="10" s="1"/>
  <c r="W9" i="10"/>
  <c r="S191" i="10"/>
  <c r="W191" i="10" s="1"/>
  <c r="S173" i="10"/>
  <c r="W173" i="10" s="1"/>
  <c r="W294" i="10"/>
  <c r="AA294" i="10" s="1"/>
  <c r="S229" i="10"/>
  <c r="W229" i="10" s="1"/>
  <c r="W167" i="10"/>
  <c r="W81" i="10"/>
  <c r="AA81" i="10" s="1"/>
  <c r="S134" i="10"/>
  <c r="W134" i="10" s="1"/>
  <c r="W281" i="10"/>
  <c r="AA281" i="10" s="1"/>
  <c r="S11" i="10"/>
  <c r="W11" i="10" s="1"/>
  <c r="AA11" i="10" s="1"/>
  <c r="S125" i="10"/>
  <c r="W125" i="10" s="1"/>
  <c r="AA125" i="10" s="1"/>
  <c r="Z275" i="10"/>
  <c r="Z15" i="10"/>
  <c r="W170" i="10"/>
  <c r="W241" i="10"/>
  <c r="S152" i="10"/>
  <c r="W152" i="10" s="1"/>
  <c r="W254" i="10"/>
  <c r="AA254" i="10" s="1"/>
  <c r="W90" i="10"/>
  <c r="AA90" i="10" s="1"/>
  <c r="W215" i="10"/>
  <c r="AA215" i="10" s="1"/>
  <c r="S136" i="10"/>
  <c r="W136" i="10" s="1"/>
  <c r="W94" i="10"/>
  <c r="W91" i="10"/>
  <c r="W31" i="10"/>
  <c r="W148" i="10"/>
  <c r="S114" i="10"/>
  <c r="W114" i="10" s="1"/>
  <c r="AA114" i="10" s="1"/>
  <c r="W96" i="10"/>
  <c r="W307" i="10"/>
  <c r="AA307" i="10" s="1"/>
  <c r="W203" i="10"/>
  <c r="W314" i="10"/>
  <c r="W272" i="10"/>
  <c r="W208" i="10"/>
  <c r="W47" i="10"/>
  <c r="AA47" i="10" s="1"/>
  <c r="W225" i="10"/>
  <c r="AA225" i="10" s="1"/>
  <c r="W209" i="10"/>
  <c r="S213" i="10"/>
  <c r="W213" i="10" s="1"/>
  <c r="W131" i="10"/>
  <c r="AA131" i="10" s="1"/>
  <c r="Z162" i="10"/>
  <c r="W286" i="10"/>
  <c r="AA286" i="10" s="1"/>
  <c r="W302" i="10"/>
  <c r="W289" i="10"/>
  <c r="W111" i="10"/>
  <c r="S118" i="10"/>
  <c r="W118" i="10" s="1"/>
  <c r="S150" i="10"/>
  <c r="W150" i="10" s="1"/>
  <c r="AA150" i="10" s="1"/>
  <c r="S21" i="10"/>
  <c r="W21" i="10" s="1"/>
  <c r="AA21" i="10" s="1"/>
  <c r="W54" i="10"/>
  <c r="W271" i="10"/>
  <c r="W194" i="10"/>
  <c r="W75" i="10"/>
  <c r="W304" i="10"/>
  <c r="AA304" i="10" s="1"/>
  <c r="W79" i="10"/>
  <c r="AA79" i="10" s="1"/>
  <c r="W123" i="10"/>
  <c r="W130" i="10"/>
  <c r="W63" i="10"/>
  <c r="W186" i="10"/>
  <c r="W270" i="10"/>
  <c r="AA270" i="10" s="1"/>
  <c r="W308" i="10"/>
  <c r="S165" i="10"/>
  <c r="W165" i="10" s="1"/>
  <c r="W303" i="10"/>
  <c r="W276" i="10"/>
  <c r="AA276" i="10" s="1"/>
  <c r="W67" i="10"/>
  <c r="W39" i="10"/>
  <c r="AA39" i="10" s="1"/>
  <c r="S13" i="10"/>
  <c r="W13" i="10" s="1"/>
  <c r="AA13" i="10" s="1"/>
  <c r="S197" i="10"/>
  <c r="W197" i="10" s="1"/>
  <c r="AA197" i="10" s="1"/>
  <c r="W46" i="10"/>
  <c r="AA46" i="10" s="1"/>
  <c r="S206" i="10"/>
  <c r="W206" i="10" s="1"/>
  <c r="AA206" i="10" s="1"/>
  <c r="W264" i="10"/>
  <c r="AA264" i="10" s="1"/>
  <c r="W268" i="10"/>
  <c r="AA268" i="10" s="1"/>
  <c r="W230" i="10"/>
  <c r="S253" i="10"/>
  <c r="W253" i="10" s="1"/>
  <c r="AA253" i="10" s="1"/>
  <c r="W187" i="10"/>
  <c r="Z192" i="10"/>
  <c r="Z159" i="10"/>
  <c r="W121" i="10"/>
  <c r="AA121" i="10" s="1"/>
  <c r="W216" i="10"/>
  <c r="W8" i="10"/>
  <c r="AA8" i="10" s="1"/>
  <c r="W278" i="10"/>
  <c r="S68" i="10"/>
  <c r="W68" i="10" s="1"/>
  <c r="S74" i="10"/>
  <c r="W74" i="10" s="1"/>
  <c r="AA74" i="10" s="1"/>
  <c r="W222" i="10"/>
  <c r="S218" i="10"/>
  <c r="W218" i="10" s="1"/>
  <c r="AA218" i="10" s="1"/>
  <c r="S295" i="10"/>
  <c r="W295" i="10" s="1"/>
  <c r="S149" i="10"/>
  <c r="W149" i="10" s="1"/>
  <c r="S285" i="10"/>
  <c r="W285" i="10" s="1"/>
  <c r="S309" i="10"/>
  <c r="W309" i="10" s="1"/>
  <c r="AA309" i="10" s="1"/>
  <c r="S36" i="10"/>
  <c r="W36" i="10" s="1"/>
  <c r="AA36" i="10" s="1"/>
  <c r="W98" i="10"/>
  <c r="W298" i="10"/>
  <c r="W251" i="10"/>
  <c r="AA251" i="10" s="1"/>
  <c r="W248" i="10"/>
  <c r="S127" i="10"/>
  <c r="W127" i="10" s="1"/>
  <c r="S231" i="10"/>
  <c r="W231" i="10" s="1"/>
  <c r="S195" i="10"/>
  <c r="W195" i="10" s="1"/>
  <c r="AA195" i="10" s="1"/>
  <c r="S317" i="10"/>
  <c r="W317" i="10" s="1"/>
  <c r="AA317" i="10" s="1"/>
  <c r="S202" i="10"/>
  <c r="W202" i="10" s="1"/>
  <c r="AA202" i="10" s="1"/>
  <c r="S237" i="10"/>
  <c r="W237" i="10" s="1"/>
  <c r="AA237" i="10" s="1"/>
  <c r="S220" i="10"/>
  <c r="W220" i="10" s="1"/>
  <c r="AA220" i="10" s="1"/>
  <c r="Z255" i="10"/>
  <c r="Z45" i="10"/>
  <c r="Z199" i="10"/>
  <c r="S166" i="10"/>
  <c r="W166" i="10" s="1"/>
  <c r="AA166" i="10" s="1"/>
  <c r="W190" i="10"/>
  <c r="S14" i="10"/>
  <c r="W14" i="10" s="1"/>
  <c r="AA14" i="10" s="1"/>
  <c r="S189" i="10"/>
  <c r="W189" i="10" s="1"/>
  <c r="AA189" i="10" s="1"/>
  <c r="W15" i="10"/>
  <c r="S28" i="10"/>
  <c r="W28" i="10" s="1"/>
  <c r="W160" i="10"/>
  <c r="AA160" i="10" s="1"/>
  <c r="S175" i="10"/>
  <c r="W175" i="10" s="1"/>
  <c r="W159" i="10"/>
  <c r="W139" i="10"/>
  <c r="W135" i="10"/>
  <c r="W321" i="10"/>
  <c r="S227" i="10"/>
  <c r="W227" i="10" s="1"/>
  <c r="AA227" i="10" s="1"/>
  <c r="S50" i="10"/>
  <c r="W50" i="10" s="1"/>
  <c r="AA50" i="10" s="1"/>
  <c r="S99" i="10"/>
  <c r="W99" i="10" s="1"/>
  <c r="W88" i="10"/>
  <c r="W255" i="10"/>
  <c r="S151" i="10"/>
  <c r="W151" i="10" s="1"/>
  <c r="W179" i="10"/>
  <c r="AA179" i="10" s="1"/>
  <c r="S260" i="10"/>
  <c r="W260" i="10" s="1"/>
  <c r="AA260" i="10" s="1"/>
  <c r="S59" i="10"/>
  <c r="W59" i="10" s="1"/>
  <c r="W70" i="10"/>
  <c r="AA70" i="10" s="1"/>
  <c r="W124" i="10"/>
  <c r="W311" i="10"/>
  <c r="W113" i="10"/>
  <c r="S82" i="10"/>
  <c r="W82" i="10" s="1"/>
  <c r="AA82" i="10" s="1"/>
  <c r="S20" i="10"/>
  <c r="W20" i="10" s="1"/>
  <c r="AA20" i="10" s="1"/>
  <c r="AC2313" i="6"/>
  <c r="AD2313" i="6" s="1"/>
  <c r="AB2348" i="6"/>
  <c r="AD2260" i="6"/>
  <c r="V2260" i="6"/>
  <c r="V1033" i="6"/>
  <c r="V1147" i="6"/>
  <c r="V951" i="6"/>
  <c r="W951" i="6" s="1"/>
  <c r="V1230" i="6"/>
  <c r="V226" i="6"/>
  <c r="V642" i="6"/>
  <c r="V1596" i="6"/>
  <c r="W1596" i="6" s="1"/>
  <c r="V507" i="6"/>
  <c r="V895" i="6"/>
  <c r="V890" i="6"/>
  <c r="W890" i="6" s="1"/>
  <c r="V1493" i="6"/>
  <c r="W1493" i="6" s="1"/>
  <c r="V1546" i="6"/>
  <c r="V266" i="6"/>
  <c r="V92" i="6"/>
  <c r="V1422" i="6"/>
  <c r="W1422" i="6" s="1"/>
  <c r="V1011" i="6"/>
  <c r="V1296" i="6"/>
  <c r="V1651" i="6"/>
  <c r="V903" i="6"/>
  <c r="W903" i="6" s="1"/>
  <c r="V1197" i="6"/>
  <c r="V2111" i="6"/>
  <c r="V1917" i="6"/>
  <c r="V1271" i="6"/>
  <c r="V1552" i="6"/>
  <c r="V1188" i="6"/>
  <c r="V582" i="6"/>
  <c r="V37" i="6"/>
  <c r="W37" i="6" s="1"/>
  <c r="V35" i="6"/>
  <c r="V294" i="6"/>
  <c r="W294" i="6" s="1"/>
  <c r="V284" i="6"/>
  <c r="V1649" i="6"/>
  <c r="V840" i="6"/>
  <c r="V2057" i="6"/>
  <c r="V672" i="6"/>
  <c r="V2027" i="6"/>
  <c r="W2027" i="6" s="1"/>
  <c r="V463" i="6"/>
  <c r="V1617" i="6"/>
  <c r="W1617" i="6" s="1"/>
  <c r="V913" i="6"/>
  <c r="V1318" i="6"/>
  <c r="W1318" i="6" s="1"/>
  <c r="V417" i="6"/>
  <c r="V688" i="6"/>
  <c r="V1169" i="6"/>
  <c r="V1395" i="6"/>
  <c r="W1395" i="6" s="1"/>
  <c r="V701" i="6"/>
  <c r="V249" i="6"/>
  <c r="V83" i="6"/>
  <c r="V167" i="6"/>
  <c r="W167" i="6" s="1"/>
  <c r="V1010" i="6"/>
  <c r="V1170" i="6"/>
  <c r="V1631" i="6"/>
  <c r="V928" i="6"/>
  <c r="V1202" i="6"/>
  <c r="V177" i="6"/>
  <c r="V1744" i="6"/>
  <c r="V319" i="6"/>
  <c r="W319" i="6" s="1"/>
  <c r="V1414" i="6"/>
  <c r="V704" i="6"/>
  <c r="V1195" i="6"/>
  <c r="W1195" i="6" s="1"/>
  <c r="V789" i="6"/>
  <c r="W789" i="6" s="1"/>
  <c r="V1430" i="6"/>
  <c r="V459" i="6"/>
  <c r="V2142" i="6"/>
  <c r="V1799" i="6"/>
  <c r="V1499" i="6"/>
  <c r="V760" i="6"/>
  <c r="V300" i="6"/>
  <c r="W300" i="6" s="1"/>
  <c r="V1101" i="6"/>
  <c r="W1101" i="6" s="1"/>
  <c r="V1741" i="6"/>
  <c r="V372" i="6"/>
  <c r="V1809" i="6"/>
  <c r="V1503" i="6"/>
  <c r="V765" i="6"/>
  <c r="V2166" i="6"/>
  <c r="V1096" i="6"/>
  <c r="V31" i="6"/>
  <c r="W31" i="6" s="1"/>
  <c r="V1228" i="6"/>
  <c r="V1420" i="6"/>
  <c r="V134" i="6"/>
  <c r="V811" i="6"/>
  <c r="V596" i="6"/>
  <c r="W596" i="6" s="1"/>
  <c r="V262" i="6"/>
  <c r="V88" i="6"/>
  <c r="W88" i="6" s="1"/>
  <c r="V2169" i="6"/>
  <c r="V215" i="6"/>
  <c r="V1543" i="6"/>
  <c r="V330" i="6"/>
  <c r="V1970" i="6"/>
  <c r="V298" i="6"/>
  <c r="V1564" i="6"/>
  <c r="V1848" i="6"/>
  <c r="W1848" i="6" s="1"/>
  <c r="V321" i="6"/>
  <c r="V1558" i="6"/>
  <c r="V1485" i="6"/>
  <c r="V912" i="6"/>
  <c r="V1290" i="6"/>
  <c r="V1095" i="6"/>
  <c r="W1095" i="6" s="1"/>
  <c r="V356" i="6"/>
  <c r="V2089" i="6"/>
  <c r="W2089" i="6" s="1"/>
  <c r="V112" i="6"/>
  <c r="W112" i="6" s="1"/>
  <c r="V1673" i="6"/>
  <c r="V850" i="6"/>
  <c r="V567" i="6"/>
  <c r="V401" i="6"/>
  <c r="V462" i="6"/>
  <c r="V1065" i="6"/>
  <c r="V1847" i="6"/>
  <c r="V2052" i="6"/>
  <c r="W2052" i="6" s="1"/>
  <c r="V600" i="6"/>
  <c r="V1257" i="6"/>
  <c r="V1349" i="6"/>
  <c r="V1895" i="6"/>
  <c r="V629" i="6"/>
  <c r="V1270" i="6"/>
  <c r="V830" i="6"/>
  <c r="V1369" i="6"/>
  <c r="W1369" i="6" s="1"/>
  <c r="V2213" i="6"/>
  <c r="W2213" i="6" s="1"/>
  <c r="V2324" i="6"/>
  <c r="V420" i="6"/>
  <c r="W420" i="6" s="1"/>
  <c r="V1980" i="6"/>
  <c r="V1957" i="6"/>
  <c r="W1957" i="6" s="1"/>
  <c r="V1686" i="6"/>
  <c r="V1626" i="6"/>
  <c r="V2198" i="6"/>
  <c r="V868" i="6"/>
  <c r="V1684" i="6"/>
  <c r="V1347" i="6"/>
  <c r="W1347" i="6" s="1"/>
  <c r="V770" i="6"/>
  <c r="W770" i="6" s="1"/>
  <c r="V2113" i="6"/>
  <c r="V440" i="6"/>
  <c r="V183" i="6"/>
  <c r="V471" i="6"/>
  <c r="W471" i="6" s="1"/>
  <c r="V2263" i="6"/>
  <c r="V735" i="6"/>
  <c r="V1150" i="6"/>
  <c r="W1150" i="6" s="1"/>
  <c r="V1692" i="6"/>
  <c r="V2159" i="6"/>
  <c r="W2159" i="6" s="1"/>
  <c r="V1515" i="6"/>
  <c r="V1284" i="6"/>
  <c r="V2334" i="6"/>
  <c r="V1905" i="6"/>
  <c r="V2238" i="6"/>
  <c r="V2278" i="6"/>
  <c r="V997" i="6"/>
  <c r="V1141" i="6"/>
  <c r="V892" i="6"/>
  <c r="V1132" i="6"/>
  <c r="W1132" i="6" s="1"/>
  <c r="V1001" i="6"/>
  <c r="V1904" i="6"/>
  <c r="V480" i="6"/>
  <c r="V676" i="6"/>
  <c r="W676" i="6" s="1"/>
  <c r="V224" i="6"/>
  <c r="W224" i="6" s="1"/>
  <c r="V2290" i="6"/>
  <c r="V906" i="6"/>
  <c r="V980" i="6"/>
  <c r="W980" i="6" s="1"/>
  <c r="V532" i="6"/>
  <c r="V1037" i="6"/>
  <c r="W1037" i="6" s="1"/>
  <c r="V1183" i="6"/>
  <c r="W1183" i="6" s="1"/>
  <c r="V1498" i="6"/>
  <c r="V1708" i="6"/>
  <c r="V1862" i="6"/>
  <c r="V1836" i="6"/>
  <c r="V1302" i="6"/>
  <c r="W1302" i="6" s="1"/>
  <c r="V897" i="6"/>
  <c r="V1143" i="6"/>
  <c r="V1507" i="6"/>
  <c r="V59" i="6"/>
  <c r="V261" i="6"/>
  <c r="W261" i="6" s="1"/>
  <c r="V973" i="6"/>
  <c r="V1908" i="6"/>
  <c r="V1727" i="6"/>
  <c r="V1978" i="6"/>
  <c r="V1600" i="6"/>
  <c r="V931" i="6"/>
  <c r="V2050" i="6"/>
  <c r="W2050" i="6" s="1"/>
  <c r="V1088" i="6"/>
  <c r="V2026" i="6"/>
  <c r="V1781" i="6"/>
  <c r="W1781" i="6" s="1"/>
  <c r="V60" i="6"/>
  <c r="V255" i="6"/>
  <c r="V78" i="6"/>
  <c r="V346" i="6"/>
  <c r="V2168" i="6"/>
  <c r="W2168" i="6" s="1"/>
  <c r="V313" i="6"/>
  <c r="V2127" i="6"/>
  <c r="V1654" i="6"/>
  <c r="W1654" i="6" s="1"/>
  <c r="V836" i="6"/>
  <c r="V2061" i="6"/>
  <c r="V744" i="6"/>
  <c r="V358" i="6"/>
  <c r="W358" i="6" s="1"/>
  <c r="V34" i="6"/>
  <c r="V1571" i="6"/>
  <c r="V950" i="6"/>
  <c r="V2039" i="6"/>
  <c r="V156" i="6"/>
  <c r="W156" i="6" s="1"/>
  <c r="V214" i="6"/>
  <c r="V1976" i="6"/>
  <c r="V1522" i="6"/>
  <c r="V716" i="6"/>
  <c r="V257" i="6"/>
  <c r="V971" i="6"/>
  <c r="V1073" i="6"/>
  <c r="W1073" i="6" s="1"/>
  <c r="V2143" i="6"/>
  <c r="W2143" i="6" s="1"/>
  <c r="V1977" i="6"/>
  <c r="V1666" i="6"/>
  <c r="V857" i="6"/>
  <c r="W857" i="6" s="1"/>
  <c r="V2067" i="6"/>
  <c r="V344" i="6"/>
  <c r="W344" i="6" s="1"/>
  <c r="V1858" i="6"/>
  <c r="V982" i="6"/>
  <c r="V41" i="6"/>
  <c r="V97" i="6"/>
  <c r="V253" i="6"/>
  <c r="V1356" i="6"/>
  <c r="V1439" i="6"/>
  <c r="V316" i="6"/>
  <c r="V278" i="6"/>
  <c r="V1813" i="6"/>
  <c r="V1509" i="6"/>
  <c r="V759" i="6"/>
  <c r="V406" i="6"/>
  <c r="W406" i="6" s="1"/>
  <c r="V517" i="6"/>
  <c r="W517" i="6" s="1"/>
  <c r="V985" i="6"/>
  <c r="V148" i="6"/>
  <c r="V1035" i="6"/>
  <c r="V1725" i="6"/>
  <c r="V753" i="6"/>
  <c r="V398" i="6"/>
  <c r="V743" i="6"/>
  <c r="V1080" i="6"/>
  <c r="V2227" i="6"/>
  <c r="W2227" i="6" s="1"/>
  <c r="V1916" i="6"/>
  <c r="W1916" i="6" s="1"/>
  <c r="V1059" i="6"/>
  <c r="V2049" i="6"/>
  <c r="V595" i="6"/>
  <c r="V1774" i="6"/>
  <c r="W1774" i="6" s="1"/>
  <c r="V1534" i="6"/>
  <c r="W1534" i="6" s="1"/>
  <c r="V1064" i="6"/>
  <c r="V29" i="6"/>
  <c r="V1227" i="6"/>
  <c r="W1227" i="6" s="1"/>
  <c r="V1490" i="6"/>
  <c r="V1757" i="6"/>
  <c r="V2180" i="6"/>
  <c r="V1100" i="6"/>
  <c r="V984" i="6"/>
  <c r="V983" i="6"/>
  <c r="V2099" i="6"/>
  <c r="W2099" i="6" s="1"/>
  <c r="V1491" i="6"/>
  <c r="V929" i="6"/>
  <c r="V2063" i="6"/>
  <c r="V671" i="6"/>
  <c r="W671" i="6" s="1"/>
  <c r="V175" i="6"/>
  <c r="V143" i="6"/>
  <c r="V1397" i="6"/>
  <c r="W1397" i="6" s="1"/>
  <c r="V1589" i="6"/>
  <c r="V1232" i="6"/>
  <c r="V85" i="6"/>
  <c r="V1866" i="6"/>
  <c r="V2145" i="6"/>
  <c r="V1449" i="6"/>
  <c r="V320" i="6"/>
  <c r="V235" i="6"/>
  <c r="V590" i="6"/>
  <c r="V1196" i="6"/>
  <c r="V1181" i="6"/>
  <c r="V1019" i="6"/>
  <c r="V991" i="6"/>
  <c r="V1623" i="6"/>
  <c r="V1256" i="6"/>
  <c r="V1364" i="6"/>
  <c r="V1901" i="6"/>
  <c r="V2307" i="6"/>
  <c r="W2307" i="6" s="1"/>
  <c r="V1647" i="6"/>
  <c r="V2098" i="6"/>
  <c r="V1726" i="6"/>
  <c r="W1726" i="6" s="1"/>
  <c r="V2202" i="6"/>
  <c r="V1881" i="6"/>
  <c r="V28" i="6"/>
  <c r="V1996" i="6"/>
  <c r="V378" i="6"/>
  <c r="W378" i="6" s="1"/>
  <c r="V1130" i="6"/>
  <c r="V296" i="6"/>
  <c r="V1927" i="6"/>
  <c r="V360" i="6"/>
  <c r="V179" i="6"/>
  <c r="V661" i="6"/>
  <c r="V1212" i="6"/>
  <c r="V2273" i="6"/>
  <c r="V2342" i="6"/>
  <c r="V707" i="6"/>
  <c r="V773" i="6"/>
  <c r="V648" i="6"/>
  <c r="V393" i="6"/>
  <c r="V115" i="6"/>
  <c r="V1531" i="6"/>
  <c r="V1675" i="6"/>
  <c r="V2129" i="6"/>
  <c r="V1005" i="6"/>
  <c r="V615" i="6"/>
  <c r="V626" i="6"/>
  <c r="W626" i="6" s="1"/>
  <c r="V2040" i="6"/>
  <c r="W2040" i="6" s="1"/>
  <c r="V1053" i="6"/>
  <c r="V1745" i="6"/>
  <c r="V381" i="6"/>
  <c r="V1468" i="6"/>
  <c r="V2197" i="6"/>
  <c r="V1886" i="6"/>
  <c r="V1963" i="6"/>
  <c r="V2177" i="6"/>
  <c r="V2361" i="6"/>
  <c r="W2361" i="6" s="1"/>
  <c r="V361" i="6"/>
  <c r="V2308" i="6"/>
  <c r="V2350" i="6"/>
  <c r="V1582" i="6"/>
  <c r="V1146" i="6"/>
  <c r="V1473" i="6"/>
  <c r="W1473" i="6" s="1"/>
  <c r="V23" i="6"/>
  <c r="V1128" i="6"/>
  <c r="V1625" i="6"/>
  <c r="V1000" i="6"/>
  <c r="V1680" i="6"/>
  <c r="V1145" i="6"/>
  <c r="V540" i="6"/>
  <c r="V96" i="6"/>
  <c r="V1748" i="6"/>
  <c r="V1770" i="6"/>
  <c r="V2195" i="6"/>
  <c r="W2195" i="6" s="1"/>
  <c r="V1964" i="6"/>
  <c r="V1849" i="6"/>
  <c r="V2092" i="6"/>
  <c r="V1591" i="6"/>
  <c r="V938" i="6"/>
  <c r="V2055" i="6"/>
  <c r="V518" i="6"/>
  <c r="V1885" i="6"/>
  <c r="V1592" i="6"/>
  <c r="V1969" i="6"/>
  <c r="W1969" i="6" s="1"/>
  <c r="V1771" i="6"/>
  <c r="W1771" i="6" s="1"/>
  <c r="V86" i="6"/>
  <c r="V445" i="6"/>
  <c r="W445" i="6" s="1"/>
  <c r="V1070" i="6"/>
  <c r="V377" i="6"/>
  <c r="V965" i="6"/>
  <c r="V1648" i="6"/>
  <c r="V1231" i="6"/>
  <c r="V2045" i="6"/>
  <c r="V497" i="6"/>
  <c r="W497" i="6" s="1"/>
  <c r="V154" i="6"/>
  <c r="V150" i="6"/>
  <c r="V1621" i="6"/>
  <c r="V833" i="6"/>
  <c r="W833" i="6" s="1"/>
  <c r="V2068" i="6"/>
  <c r="V368" i="6"/>
  <c r="V27" i="6"/>
  <c r="W27" i="6" s="1"/>
  <c r="V665" i="6"/>
  <c r="W665" i="6" s="1"/>
  <c r="V794" i="6"/>
  <c r="V108" i="6"/>
  <c r="V1765" i="6"/>
  <c r="W1765" i="6" s="1"/>
  <c r="V438" i="6"/>
  <c r="V1333" i="6"/>
  <c r="V1740" i="6"/>
  <c r="V1869" i="6"/>
  <c r="W1869" i="6" s="1"/>
  <c r="V1620" i="6"/>
  <c r="V843" i="6"/>
  <c r="V2048" i="6"/>
  <c r="V152" i="6"/>
  <c r="V880" i="6"/>
  <c r="V1204" i="6"/>
  <c r="V1492" i="6"/>
  <c r="V55" i="6"/>
  <c r="V1772" i="6"/>
  <c r="W1772" i="6" s="1"/>
  <c r="V1859" i="6"/>
  <c r="V1958" i="6"/>
  <c r="V2150" i="6"/>
  <c r="W2150" i="6" s="1"/>
  <c r="V136" i="6"/>
  <c r="V1797" i="6"/>
  <c r="V1272" i="6"/>
  <c r="V1716" i="6"/>
  <c r="V1390" i="6"/>
  <c r="V1083" i="6"/>
  <c r="V1734" i="6"/>
  <c r="W1734" i="6" s="1"/>
  <c r="V140" i="6"/>
  <c r="W140" i="6" s="1"/>
  <c r="V271" i="6"/>
  <c r="V662" i="6"/>
  <c r="V907" i="6"/>
  <c r="V1706" i="6"/>
  <c r="V1966" i="6"/>
  <c r="V405" i="6"/>
  <c r="V2021" i="6"/>
  <c r="V1953" i="6"/>
  <c r="V1226" i="6"/>
  <c r="V236" i="6"/>
  <c r="V1055" i="6"/>
  <c r="V491" i="6"/>
  <c r="V981" i="6"/>
  <c r="V1446" i="6"/>
  <c r="V1118" i="6"/>
  <c r="V1205" i="6"/>
  <c r="W1205" i="6" s="1"/>
  <c r="V1494" i="6"/>
  <c r="W1494" i="6" s="1"/>
  <c r="V754" i="6"/>
  <c r="V1003" i="6"/>
  <c r="W1003" i="6" s="1"/>
  <c r="V1570" i="6"/>
  <c r="V1738" i="6"/>
  <c r="V865" i="6"/>
  <c r="V1832" i="6"/>
  <c r="V391" i="6"/>
  <c r="V848" i="6"/>
  <c r="V2038" i="6"/>
  <c r="V741" i="6"/>
  <c r="V1327" i="6"/>
  <c r="V635" i="6"/>
  <c r="V1527" i="6"/>
  <c r="V589" i="6"/>
  <c r="V1474" i="6"/>
  <c r="V245" i="6"/>
  <c r="V1423" i="6"/>
  <c r="V2095" i="6"/>
  <c r="V1923" i="6"/>
  <c r="W1923" i="6" s="1"/>
  <c r="V2228" i="6"/>
  <c r="V1394" i="6"/>
  <c r="V706" i="6"/>
  <c r="W706" i="6" s="1"/>
  <c r="V248" i="6"/>
  <c r="V1469" i="6"/>
  <c r="V1328" i="6"/>
  <c r="V1415" i="6"/>
  <c r="V1660" i="6"/>
  <c r="V70" i="6"/>
  <c r="V2085" i="6"/>
  <c r="V674" i="6"/>
  <c r="W674" i="6" s="1"/>
  <c r="V792" i="6"/>
  <c r="V2327" i="6"/>
  <c r="V2240" i="6"/>
  <c r="V699" i="6"/>
  <c r="W699" i="6" s="1"/>
  <c r="V1837" i="6"/>
  <c r="V2323" i="6"/>
  <c r="V995" i="6"/>
  <c r="W995" i="6" s="1"/>
  <c r="V670" i="6"/>
  <c r="V1925" i="6"/>
  <c r="V1165" i="6"/>
  <c r="V1391" i="6"/>
  <c r="V2243" i="6"/>
  <c r="V2266" i="6"/>
  <c r="W2266" i="6" s="1"/>
  <c r="V587" i="6"/>
  <c r="V2251" i="6"/>
  <c r="V1458" i="6"/>
  <c r="V80" i="6"/>
  <c r="W80" i="6" s="1"/>
  <c r="V47" i="6"/>
  <c r="V1590" i="6"/>
  <c r="V2139" i="6"/>
  <c r="V2236" i="6"/>
  <c r="V2000" i="6"/>
  <c r="V1106" i="6"/>
  <c r="V2300" i="6"/>
  <c r="V2318" i="6"/>
  <c r="V2249" i="6"/>
  <c r="W2249" i="6" s="1"/>
  <c r="V795" i="6"/>
  <c r="V1251" i="6"/>
  <c r="V588" i="6"/>
  <c r="V290" i="6"/>
  <c r="V1344" i="6"/>
  <c r="V644" i="6"/>
  <c r="W644" i="6" s="1"/>
  <c r="V373" i="6"/>
  <c r="W373" i="6" s="1"/>
  <c r="V439" i="6"/>
  <c r="V1985" i="6"/>
  <c r="V1730" i="6"/>
  <c r="V1699" i="6"/>
  <c r="W1699" i="6" s="1"/>
  <c r="V1217" i="6"/>
  <c r="V1833" i="6"/>
  <c r="W1833" i="6" s="1"/>
  <c r="V2065" i="6"/>
  <c r="W2065" i="6" s="1"/>
  <c r="V559" i="6"/>
  <c r="V1312" i="6"/>
  <c r="W1312" i="6" s="1"/>
  <c r="V1137" i="6"/>
  <c r="V528" i="6"/>
  <c r="V891" i="6"/>
  <c r="V394" i="6"/>
  <c r="V767" i="6"/>
  <c r="W767" i="6" s="1"/>
  <c r="V1103" i="6"/>
  <c r="V436" i="6"/>
  <c r="V1891" i="6"/>
  <c r="V423" i="6"/>
  <c r="V1829" i="6"/>
  <c r="V1599" i="6"/>
  <c r="V832" i="6"/>
  <c r="V2117" i="6"/>
  <c r="V1082" i="6"/>
  <c r="W1082" i="6" s="1"/>
  <c r="V659" i="6"/>
  <c r="V1588" i="6"/>
  <c r="V1753" i="6"/>
  <c r="V403" i="6"/>
  <c r="V969" i="6"/>
  <c r="V1062" i="6"/>
  <c r="V1877" i="6"/>
  <c r="W1877" i="6" s="1"/>
  <c r="V137" i="6"/>
  <c r="V1461" i="6"/>
  <c r="W1461" i="6" s="1"/>
  <c r="V623" i="6"/>
  <c r="V1260" i="6"/>
  <c r="V564" i="6"/>
  <c r="W564" i="6" s="1"/>
  <c r="V1337" i="6"/>
  <c r="V1324" i="6"/>
  <c r="V1338" i="6"/>
  <c r="V620" i="6"/>
  <c r="V823" i="6"/>
  <c r="V693" i="6"/>
  <c r="V157" i="6"/>
  <c r="V1116" i="6"/>
  <c r="V1408" i="6"/>
  <c r="V1399" i="6"/>
  <c r="V1971" i="6"/>
  <c r="V338" i="6"/>
  <c r="V1511" i="6"/>
  <c r="W1511" i="6" s="1"/>
  <c r="V2182" i="6"/>
  <c r="V1679" i="6"/>
  <c r="V1341" i="6"/>
  <c r="V608" i="6"/>
  <c r="V828" i="6"/>
  <c r="V2070" i="6"/>
  <c r="V178" i="6"/>
  <c r="V1115" i="6"/>
  <c r="V1309" i="6"/>
  <c r="V1483" i="6"/>
  <c r="V49" i="6"/>
  <c r="V443" i="6"/>
  <c r="V515" i="6"/>
  <c r="V1924" i="6"/>
  <c r="V1407" i="6"/>
  <c r="V142" i="6"/>
  <c r="W142" i="6" s="1"/>
  <c r="V1036" i="6"/>
  <c r="W1036" i="6" s="1"/>
  <c r="V1597" i="6"/>
  <c r="V933" i="6"/>
  <c r="V2059" i="6"/>
  <c r="W2059" i="6" s="1"/>
  <c r="V1389" i="6"/>
  <c r="V1075" i="6"/>
  <c r="V1058" i="6"/>
  <c r="V1697" i="6"/>
  <c r="V325" i="6"/>
  <c r="V915" i="6"/>
  <c r="V1157" i="6"/>
  <c r="V171" i="6"/>
  <c r="W171" i="6" s="1"/>
  <c r="V218" i="6"/>
  <c r="V1292" i="6"/>
  <c r="W1292" i="6" s="1"/>
  <c r="V1897" i="6"/>
  <c r="V2225" i="6"/>
  <c r="V869" i="6"/>
  <c r="V724" i="6"/>
  <c r="V666" i="6"/>
  <c r="V777" i="6"/>
  <c r="V1454" i="6"/>
  <c r="V1873" i="6"/>
  <c r="V2010" i="6"/>
  <c r="V324" i="6"/>
  <c r="W324" i="6" s="1"/>
  <c r="V1710" i="6"/>
  <c r="W1710" i="6" s="1"/>
  <c r="V1311" i="6"/>
  <c r="V1325" i="6"/>
  <c r="V1854" i="6"/>
  <c r="V1219" i="6"/>
  <c r="V1814" i="6"/>
  <c r="V1674" i="6"/>
  <c r="V851" i="6"/>
  <c r="W851" i="6" s="1"/>
  <c r="V2056" i="6"/>
  <c r="V345" i="6"/>
  <c r="V640" i="6"/>
  <c r="V185" i="6"/>
  <c r="V42" i="6"/>
  <c r="V607" i="6"/>
  <c r="V198" i="6"/>
  <c r="W198" i="6" s="1"/>
  <c r="V787" i="6"/>
  <c r="V1424" i="6"/>
  <c r="V139" i="6"/>
  <c r="V2030" i="6"/>
  <c r="V1220" i="6"/>
  <c r="V797" i="6"/>
  <c r="V726" i="6"/>
  <c r="W726" i="6" s="1"/>
  <c r="V1775" i="6"/>
  <c r="V1097" i="6"/>
  <c r="V1020" i="6"/>
  <c r="V1221" i="6"/>
  <c r="V1655" i="6"/>
  <c r="V1769" i="6"/>
  <c r="V389" i="6"/>
  <c r="V1690" i="6"/>
  <c r="V2254" i="6"/>
  <c r="W2254" i="6" s="1"/>
  <c r="V1208" i="6"/>
  <c r="W1208" i="6" s="1"/>
  <c r="V1991" i="6"/>
  <c r="V1025" i="6"/>
  <c r="V1678" i="6"/>
  <c r="V1301" i="6"/>
  <c r="V858" i="6"/>
  <c r="V2302" i="6"/>
  <c r="W2302" i="6" s="1"/>
  <c r="V1696" i="6"/>
  <c r="W1696" i="6" s="1"/>
  <c r="V882" i="6"/>
  <c r="V1537" i="6"/>
  <c r="V719" i="6"/>
  <c r="V1173" i="6"/>
  <c r="V2161" i="6"/>
  <c r="V1342" i="6"/>
  <c r="V376" i="6"/>
  <c r="V1611" i="6"/>
  <c r="V1913" i="6"/>
  <c r="V1224" i="6"/>
  <c r="W1224" i="6" s="1"/>
  <c r="V1824" i="6"/>
  <c r="V710" i="6"/>
  <c r="V1261" i="6"/>
  <c r="V490" i="6"/>
  <c r="V2232" i="6"/>
  <c r="AD2316" i="6"/>
  <c r="V2316" i="6"/>
  <c r="V2269" i="6"/>
  <c r="V2149" i="6"/>
  <c r="V793" i="6"/>
  <c r="V293" i="6"/>
  <c r="W293" i="6" s="1"/>
  <c r="V1604" i="6"/>
  <c r="V643" i="6"/>
  <c r="V887" i="6"/>
  <c r="V782" i="6"/>
  <c r="W782" i="6" s="1"/>
  <c r="V2262" i="6"/>
  <c r="V2353" i="6"/>
  <c r="W2353" i="6" s="1"/>
  <c r="V174" i="6"/>
  <c r="V1163" i="6"/>
  <c r="AD2355" i="6"/>
  <c r="V2355" i="6"/>
  <c r="V1707" i="6"/>
  <c r="V1085" i="6"/>
  <c r="V1052" i="6"/>
  <c r="W1052" i="6" s="1"/>
  <c r="V67" i="6"/>
  <c r="V118" i="6"/>
  <c r="V1119" i="6"/>
  <c r="W1119" i="6" s="1"/>
  <c r="V958" i="6"/>
  <c r="V1827" i="6"/>
  <c r="V1595" i="6"/>
  <c r="V322" i="6"/>
  <c r="V1538" i="6"/>
  <c r="V1764" i="6"/>
  <c r="V1922" i="6"/>
  <c r="V1138" i="6"/>
  <c r="V1405" i="6"/>
  <c r="V1983" i="6"/>
  <c r="V747" i="6"/>
  <c r="V1876" i="6"/>
  <c r="V285" i="6"/>
  <c r="V1815" i="6"/>
  <c r="V1629" i="6"/>
  <c r="V1254" i="6"/>
  <c r="W1254" i="6" s="1"/>
  <c r="V561" i="6"/>
  <c r="V647" i="6"/>
  <c r="W647" i="6" s="1"/>
  <c r="V2174" i="6"/>
  <c r="V1627" i="6"/>
  <c r="V752" i="6"/>
  <c r="V340" i="6"/>
  <c r="V2194" i="6"/>
  <c r="W2194" i="6" s="1"/>
  <c r="V400" i="6"/>
  <c r="W400" i="6" s="1"/>
  <c r="V1803" i="6"/>
  <c r="V144" i="6"/>
  <c r="V502" i="6"/>
  <c r="V715" i="6"/>
  <c r="W715" i="6" s="1"/>
  <c r="V195" i="6"/>
  <c r="V571" i="6"/>
  <c r="V169" i="6"/>
  <c r="V1072" i="6"/>
  <c r="V1465" i="6"/>
  <c r="W1465" i="6" s="1"/>
  <c r="V599" i="6"/>
  <c r="W599" i="6" s="1"/>
  <c r="V831" i="6"/>
  <c r="V558" i="6"/>
  <c r="W558" i="6" s="1"/>
  <c r="V1382" i="6"/>
  <c r="V544" i="6"/>
  <c r="V380" i="6"/>
  <c r="V1521" i="6"/>
  <c r="V1755" i="6"/>
  <c r="V2175" i="6"/>
  <c r="V1363" i="6"/>
  <c r="V1867" i="6"/>
  <c r="V25" i="6"/>
  <c r="V395" i="6"/>
  <c r="V505" i="6"/>
  <c r="V1241" i="6"/>
  <c r="W1241" i="6" s="1"/>
  <c r="V552" i="6"/>
  <c r="V1332" i="6"/>
  <c r="V549" i="6"/>
  <c r="V1559" i="6"/>
  <c r="V1275" i="6"/>
  <c r="V1975" i="6"/>
  <c r="V2192" i="6"/>
  <c r="V1031" i="6"/>
  <c r="W1031" i="6" s="1"/>
  <c r="V1918" i="6"/>
  <c r="V125" i="6"/>
  <c r="V637" i="6"/>
  <c r="V277" i="6"/>
  <c r="V1672" i="6"/>
  <c r="W1672" i="6" s="1"/>
  <c r="V945" i="6"/>
  <c r="V2046" i="6"/>
  <c r="V117" i="6"/>
  <c r="W117" i="6" s="1"/>
  <c r="V959" i="6"/>
  <c r="V1110" i="6"/>
  <c r="V821" i="6"/>
  <c r="W821" i="6" s="1"/>
  <c r="V1622" i="6"/>
  <c r="V942" i="6"/>
  <c r="V205" i="6"/>
  <c r="V170" i="6"/>
  <c r="V1124" i="6"/>
  <c r="V1476" i="6"/>
  <c r="V323" i="6"/>
  <c r="V1210" i="6"/>
  <c r="V336" i="6"/>
  <c r="V718" i="6"/>
  <c r="V2188" i="6"/>
  <c r="V788" i="6"/>
  <c r="W788" i="6" s="1"/>
  <c r="V1932" i="6"/>
  <c r="V535" i="6"/>
  <c r="W535" i="6" s="1"/>
  <c r="V1475" i="6"/>
  <c r="V1576" i="6"/>
  <c r="V948" i="6"/>
  <c r="W948" i="6" s="1"/>
  <c r="V2036" i="6"/>
  <c r="W2036" i="6" s="1"/>
  <c r="V1384" i="6"/>
  <c r="V1126" i="6"/>
  <c r="V1298" i="6"/>
  <c r="V1798" i="6"/>
  <c r="V1637" i="6"/>
  <c r="V834" i="6"/>
  <c r="V2112" i="6"/>
  <c r="V173" i="6"/>
  <c r="V1742" i="6"/>
  <c r="V1166" i="6"/>
  <c r="V1464" i="6"/>
  <c r="W1464" i="6" s="1"/>
  <c r="V610" i="6"/>
  <c r="W610" i="6" s="1"/>
  <c r="V1189" i="6"/>
  <c r="V208" i="6"/>
  <c r="V1939" i="6"/>
  <c r="W1939" i="6" s="1"/>
  <c r="V141" i="6"/>
  <c r="W141" i="6" s="1"/>
  <c r="V451" i="6"/>
  <c r="V1218" i="6"/>
  <c r="V2131" i="6"/>
  <c r="W2131" i="6" s="1"/>
  <c r="V105" i="6"/>
  <c r="V2176" i="6"/>
  <c r="V388" i="6"/>
  <c r="V1013" i="6"/>
  <c r="V1213" i="6"/>
  <c r="V1577" i="6"/>
  <c r="V667" i="6"/>
  <c r="V1091" i="6"/>
  <c r="W1091" i="6" s="1"/>
  <c r="V1540" i="6"/>
  <c r="V631" i="6"/>
  <c r="V2276" i="6"/>
  <c r="V166" i="6"/>
  <c r="V1722" i="6"/>
  <c r="V1049" i="6"/>
  <c r="V2330" i="6"/>
  <c r="V2359" i="6"/>
  <c r="W2359" i="6" s="1"/>
  <c r="V339" i="6"/>
  <c r="V383" i="6"/>
  <c r="V1185" i="6"/>
  <c r="V1793" i="6"/>
  <c r="V1995" i="6"/>
  <c r="V881" i="6"/>
  <c r="V2313" i="6"/>
  <c r="V2237" i="6"/>
  <c r="V2275" i="6"/>
  <c r="V510" i="6"/>
  <c r="V668" i="6"/>
  <c r="V1528" i="6"/>
  <c r="V2303" i="6"/>
  <c r="W2303" i="6" s="1"/>
  <c r="V1140" i="6"/>
  <c r="V1639" i="6"/>
  <c r="V785" i="6"/>
  <c r="V1437" i="6"/>
  <c r="V580" i="6"/>
  <c r="V479" i="6"/>
  <c r="V930" i="6"/>
  <c r="W930" i="6" s="1"/>
  <c r="V162" i="6"/>
  <c r="V994" i="6"/>
  <c r="V1144" i="6"/>
  <c r="V1721" i="6"/>
  <c r="W1721" i="6" s="1"/>
  <c r="V539" i="6"/>
  <c r="V547" i="6"/>
  <c r="W547" i="6" s="1"/>
  <c r="V1653" i="6"/>
  <c r="W1653" i="6" s="1"/>
  <c r="V941" i="6"/>
  <c r="V295" i="6"/>
  <c r="V1182" i="6"/>
  <c r="V1017" i="6"/>
  <c r="V149" i="6"/>
  <c r="W149" i="6" s="1"/>
  <c r="V1806" i="6"/>
  <c r="W1806" i="6" s="1"/>
  <c r="V591" i="6"/>
  <c r="V1246" i="6"/>
  <c r="V553" i="6"/>
  <c r="V416" i="6"/>
  <c r="W416" i="6" s="1"/>
  <c r="V1015" i="6"/>
  <c r="W1015" i="6" s="1"/>
  <c r="V1664" i="6"/>
  <c r="W1664" i="6" s="1"/>
  <c r="V1714" i="6"/>
  <c r="W1714" i="6" s="1"/>
  <c r="V2179" i="6"/>
  <c r="W2179" i="6" s="1"/>
  <c r="V206" i="6"/>
  <c r="W206" i="6" s="1"/>
  <c r="V1432" i="6"/>
  <c r="V211" i="6"/>
  <c r="W211" i="6" s="1"/>
  <c r="V182" i="6"/>
  <c r="V808" i="6"/>
  <c r="V717" i="6"/>
  <c r="V66" i="6"/>
  <c r="V219" i="6"/>
  <c r="W219" i="6" s="1"/>
  <c r="V367" i="6"/>
  <c r="W367" i="6" s="1"/>
  <c r="V314" i="6"/>
  <c r="V884" i="6"/>
  <c r="W884" i="6" s="1"/>
  <c r="V604" i="6"/>
  <c r="W604" i="6" s="1"/>
  <c r="V1258" i="6"/>
  <c r="V91" i="6"/>
  <c r="V1988" i="6"/>
  <c r="V526" i="6"/>
  <c r="W526" i="6" s="1"/>
  <c r="V867" i="6"/>
  <c r="V798" i="6"/>
  <c r="V1713" i="6"/>
  <c r="W1713" i="6" s="1"/>
  <c r="V301" i="6"/>
  <c r="W301" i="6" s="1"/>
  <c r="V1178" i="6"/>
  <c r="W1178" i="6" s="1"/>
  <c r="V1433" i="6"/>
  <c r="V1125" i="6"/>
  <c r="V1530" i="6"/>
  <c r="W1530" i="6" s="1"/>
  <c r="V731" i="6"/>
  <c r="W731" i="6" s="1"/>
  <c r="V197" i="6"/>
  <c r="V554" i="6"/>
  <c r="V1864" i="6"/>
  <c r="V476" i="6"/>
  <c r="V2091" i="6"/>
  <c r="V1402" i="6"/>
  <c r="V750" i="6"/>
  <c r="W750" i="6" s="1"/>
  <c r="V20" i="6"/>
  <c r="W20" i="6" s="1"/>
  <c r="V2191" i="6"/>
  <c r="V1946" i="6"/>
  <c r="V633" i="6"/>
  <c r="V996" i="6"/>
  <c r="V1398" i="6"/>
  <c r="V1661" i="6"/>
  <c r="W1661" i="6" s="1"/>
  <c r="V919" i="6"/>
  <c r="V878" i="6"/>
  <c r="W878" i="6" s="1"/>
  <c r="V653" i="6"/>
  <c r="V217" i="6"/>
  <c r="V369" i="6"/>
  <c r="V95" i="6"/>
  <c r="W95" i="6" s="1"/>
  <c r="V1616" i="6"/>
  <c r="V854" i="6"/>
  <c r="V2034" i="6"/>
  <c r="V1156" i="6"/>
  <c r="W1156" i="6" s="1"/>
  <c r="V529" i="6"/>
  <c r="V419" i="6"/>
  <c r="W419" i="6" s="1"/>
  <c r="V1014" i="6"/>
  <c r="W1014" i="6" s="1"/>
  <c r="V2011" i="6"/>
  <c r="W2011" i="6" s="1"/>
  <c r="V1698" i="6"/>
  <c r="V101" i="6"/>
  <c r="V306" i="6"/>
  <c r="V779" i="6"/>
  <c r="W779" i="6" s="1"/>
  <c r="V1933" i="6"/>
  <c r="V452" i="6"/>
  <c r="W452" i="6" s="1"/>
  <c r="V2080" i="6"/>
  <c r="V1586" i="6"/>
  <c r="V923" i="6"/>
  <c r="V2042" i="6"/>
  <c r="W2042" i="6" s="1"/>
  <c r="V446" i="6"/>
  <c r="V484" i="6"/>
  <c r="V1555" i="6"/>
  <c r="V1161" i="6"/>
  <c r="W1161" i="6" s="1"/>
  <c r="V1619" i="6"/>
  <c r="V1249" i="6"/>
  <c r="V576" i="6"/>
  <c r="V349" i="6"/>
  <c r="V687" i="6"/>
  <c r="W687" i="6" s="1"/>
  <c r="V374" i="6"/>
  <c r="V243" i="6"/>
  <c r="V1051" i="6"/>
  <c r="W1051" i="6" s="1"/>
  <c r="V263" i="6"/>
  <c r="V999" i="6"/>
  <c r="V1910" i="6"/>
  <c r="V636" i="6"/>
  <c r="W636" i="6" s="1"/>
  <c r="V1801" i="6"/>
  <c r="V1310" i="6"/>
  <c r="W1310" i="6" s="1"/>
  <c r="V1409" i="6"/>
  <c r="V1547" i="6"/>
  <c r="V2181" i="6"/>
  <c r="V163" i="6"/>
  <c r="W163" i="6" s="1"/>
  <c r="V1857" i="6"/>
  <c r="V1291" i="6"/>
  <c r="W1291" i="6" s="1"/>
  <c r="V1630" i="6"/>
  <c r="W1630" i="6" s="1"/>
  <c r="V1154" i="6"/>
  <c r="V2186" i="6"/>
  <c r="V2212" i="6"/>
  <c r="V2329" i="6"/>
  <c r="W2329" i="6" s="1"/>
  <c r="V2320" i="6"/>
  <c r="V2357" i="6"/>
  <c r="V1860" i="6"/>
  <c r="V1643" i="6"/>
  <c r="V562" i="6"/>
  <c r="V1518" i="6"/>
  <c r="V366" i="6"/>
  <c r="V399" i="6"/>
  <c r="V1676" i="6"/>
  <c r="V1972" i="6"/>
  <c r="V375" i="6"/>
  <c r="V1171" i="6"/>
  <c r="W1171" i="6" s="1"/>
  <c r="V2235" i="6"/>
  <c r="V1715" i="6"/>
  <c r="V2016" i="6"/>
  <c r="V1276" i="6"/>
  <c r="V1624" i="6"/>
  <c r="W1624" i="6" s="1"/>
  <c r="V1739" i="6"/>
  <c r="V769" i="6"/>
  <c r="V1729" i="6"/>
  <c r="W1729" i="6" s="1"/>
  <c r="V2241" i="6"/>
  <c r="V1021" i="6"/>
  <c r="W1021" i="6" s="1"/>
  <c r="V2358" i="6"/>
  <c r="V2295" i="6"/>
  <c r="W2295" i="6" s="1"/>
  <c r="V700" i="6"/>
  <c r="V2335" i="6"/>
  <c r="V1949" i="6"/>
  <c r="V493" i="6"/>
  <c r="V846" i="6"/>
  <c r="V1735" i="6"/>
  <c r="W1735" i="6" s="1"/>
  <c r="V1968" i="6"/>
  <c r="V448" i="6"/>
  <c r="V2336" i="6"/>
  <c r="V2105" i="6"/>
  <c r="W2105" i="6" s="1"/>
  <c r="V69" i="6"/>
  <c r="V2309" i="6"/>
  <c r="V1435" i="6"/>
  <c r="V2360" i="6"/>
  <c r="V1580" i="6"/>
  <c r="V2115" i="6"/>
  <c r="V1376" i="6"/>
  <c r="V1670" i="6"/>
  <c r="W1670" i="6" s="1"/>
  <c r="V775" i="6"/>
  <c r="V592" i="6"/>
  <c r="V258" i="6"/>
  <c r="V2289" i="6"/>
  <c r="W2289" i="6" s="1"/>
  <c r="V2122" i="6"/>
  <c r="W2122" i="6" s="1"/>
  <c r="V2164" i="6"/>
  <c r="V1879" i="6"/>
  <c r="W1879" i="6" s="1"/>
  <c r="AD2332" i="6"/>
  <c r="V2332" i="6"/>
  <c r="V757" i="6"/>
  <c r="W757" i="6" s="1"/>
  <c r="V1107" i="6"/>
  <c r="W1107" i="6" s="1"/>
  <c r="V2292" i="6"/>
  <c r="V2346" i="6"/>
  <c r="V583" i="6"/>
  <c r="W583" i="6" s="1"/>
  <c r="AD2344" i="6"/>
  <c r="V2344" i="6"/>
  <c r="W2344" i="6" s="1"/>
  <c r="V342" i="6"/>
  <c r="V159" i="6"/>
  <c r="V412" i="6"/>
  <c r="AD2280" i="6"/>
  <c r="V2280" i="6"/>
  <c r="V1994" i="6"/>
  <c r="V477" i="6"/>
  <c r="W477" i="6" s="1"/>
  <c r="V1314" i="6"/>
  <c r="V1984" i="6"/>
  <c r="V727" i="6"/>
  <c r="W727" i="6" s="1"/>
  <c r="V1111" i="6"/>
  <c r="V1348" i="6"/>
  <c r="AD2239" i="6"/>
  <c r="V2239" i="6"/>
  <c r="W2239" i="6" s="1"/>
  <c r="V918" i="6"/>
  <c r="V761" i="6"/>
  <c r="V444" i="6"/>
  <c r="V128" i="6"/>
  <c r="V107" i="6"/>
  <c r="V921" i="6"/>
  <c r="V1113" i="6"/>
  <c r="V1352" i="6"/>
  <c r="V740" i="6"/>
  <c r="V521" i="6"/>
  <c r="V1581" i="6"/>
  <c r="W1581" i="6" s="1"/>
  <c r="V920" i="6"/>
  <c r="V1313" i="6"/>
  <c r="V1098" i="6"/>
  <c r="V1852" i="6"/>
  <c r="V634" i="6"/>
  <c r="V276" i="6"/>
  <c r="V605" i="6"/>
  <c r="V68" i="6"/>
  <c r="V87" i="6"/>
  <c r="V1381" i="6"/>
  <c r="V1786" i="6"/>
  <c r="V1656" i="6"/>
  <c r="V925" i="6"/>
  <c r="V1320" i="6"/>
  <c r="V1513" i="6"/>
  <c r="V1445" i="6"/>
  <c r="V1870" i="6"/>
  <c r="V1545" i="6"/>
  <c r="W1545" i="6" s="1"/>
  <c r="V1861" i="6"/>
  <c r="V1551" i="6"/>
  <c r="V256" i="6"/>
  <c r="W256" i="6" s="1"/>
  <c r="V1536" i="6"/>
  <c r="V289" i="6"/>
  <c r="V1878" i="6"/>
  <c r="V966" i="6"/>
  <c r="V733" i="6"/>
  <c r="V1190" i="6"/>
  <c r="V209" i="6"/>
  <c r="V1443" i="6"/>
  <c r="W1443" i="6" s="1"/>
  <c r="V457" i="6"/>
  <c r="V1297" i="6"/>
  <c r="V1282" i="6"/>
  <c r="V904" i="6"/>
  <c r="V1702" i="6"/>
  <c r="V1563" i="6"/>
  <c r="V1954" i="6"/>
  <c r="V1142" i="6"/>
  <c r="V1401" i="6"/>
  <c r="W1401" i="6" s="1"/>
  <c r="V729" i="6"/>
  <c r="V1194" i="6"/>
  <c r="V975" i="6"/>
  <c r="V1929" i="6"/>
  <c r="W1929" i="6" s="1"/>
  <c r="V469" i="6"/>
  <c r="V1795" i="6"/>
  <c r="V1593" i="6"/>
  <c r="V953" i="6"/>
  <c r="V696" i="6"/>
  <c r="V1379" i="6"/>
  <c r="V1378" i="6"/>
  <c r="V1418" i="6"/>
  <c r="V2124" i="6"/>
  <c r="V232" i="6"/>
  <c r="V614" i="6"/>
  <c r="V861" i="6"/>
  <c r="W861" i="6" s="1"/>
  <c r="V75" i="6"/>
  <c r="V352" i="6"/>
  <c r="V1067" i="6"/>
  <c r="V1008" i="6"/>
  <c r="V237" i="6"/>
  <c r="V1573" i="6"/>
  <c r="V849" i="6"/>
  <c r="V575" i="6"/>
  <c r="W575" i="6" s="1"/>
  <c r="V1444" i="6"/>
  <c r="V465" i="6"/>
  <c r="V269" i="6"/>
  <c r="V1871" i="6"/>
  <c r="V1477" i="6"/>
  <c r="V816" i="6"/>
  <c r="V1750" i="6"/>
  <c r="V1703" i="6"/>
  <c r="V1354" i="6"/>
  <c r="V2029" i="6"/>
  <c r="V1875" i="6"/>
  <c r="V1790" i="6"/>
  <c r="W1790" i="6" s="1"/>
  <c r="V1645" i="6"/>
  <c r="V917" i="6"/>
  <c r="V577" i="6"/>
  <c r="V1280" i="6"/>
  <c r="V1022" i="6"/>
  <c r="V1346" i="6"/>
  <c r="V287" i="6"/>
  <c r="V617" i="6"/>
  <c r="V65" i="6"/>
  <c r="V409" i="6"/>
  <c r="V650" i="6"/>
  <c r="V30" i="6"/>
  <c r="V379" i="6"/>
  <c r="V1460" i="6"/>
  <c r="V103" i="6"/>
  <c r="V1982" i="6"/>
  <c r="V2110" i="6"/>
  <c r="V2028" i="6"/>
  <c r="V2125" i="6"/>
  <c r="V486" i="6"/>
  <c r="W486" i="6" s="1"/>
  <c r="V1818" i="6"/>
  <c r="V1482" i="6"/>
  <c r="V1756" i="6"/>
  <c r="V204" i="6"/>
  <c r="W204" i="6" s="1"/>
  <c r="V1277" i="6"/>
  <c r="V1117" i="6"/>
  <c r="V2101" i="6"/>
  <c r="V714" i="6"/>
  <c r="V1481" i="6"/>
  <c r="V500" i="6"/>
  <c r="V2352" i="6"/>
  <c r="V2347" i="6"/>
  <c r="W2347" i="6" s="1"/>
  <c r="V1780" i="6"/>
  <c r="V468" i="6"/>
  <c r="V470" i="6"/>
  <c r="V106" i="6"/>
  <c r="V565" i="6"/>
  <c r="V2014" i="6"/>
  <c r="V1240" i="6"/>
  <c r="V2041" i="6"/>
  <c r="V1201" i="6"/>
  <c r="V2060" i="6"/>
  <c r="V2259" i="6"/>
  <c r="V1274" i="6"/>
  <c r="V841" i="6"/>
  <c r="V1186" i="6"/>
  <c r="V2340" i="6"/>
  <c r="V1997" i="6"/>
  <c r="V1689" i="6"/>
  <c r="V305" i="6"/>
  <c r="V722" i="6"/>
  <c r="V2157" i="6"/>
  <c r="AD2248" i="6"/>
  <c r="V2248" i="6"/>
  <c r="W2248" i="6" s="1"/>
  <c r="V222" i="6"/>
  <c r="W222" i="6" s="1"/>
  <c r="V1425" i="6"/>
  <c r="V1831" i="6"/>
  <c r="V1383" i="6"/>
  <c r="V2338" i="6"/>
  <c r="V543" i="6"/>
  <c r="V2247" i="6"/>
  <c r="W2247" i="6" s="1"/>
  <c r="V1940" i="6"/>
  <c r="V810" i="6"/>
  <c r="V2328" i="6"/>
  <c r="V181" i="6"/>
  <c r="W181" i="6" s="1"/>
  <c r="V682" i="6"/>
  <c r="V574" i="6"/>
  <c r="W574" i="6" s="1"/>
  <c r="V1761" i="6"/>
  <c r="V1851" i="6"/>
  <c r="V603" i="6"/>
  <c r="W603" i="6" s="1"/>
  <c r="V2274" i="6"/>
  <c r="V1736" i="6"/>
  <c r="V1470" i="6"/>
  <c r="W1470" i="6" s="1"/>
  <c r="V1810" i="6"/>
  <c r="V900" i="6"/>
  <c r="V1139" i="6"/>
  <c r="V1133" i="6"/>
  <c r="V1658" i="6"/>
  <c r="W1658" i="6" s="1"/>
  <c r="V909" i="6"/>
  <c r="V203" i="6"/>
  <c r="V15" i="6"/>
  <c r="V384" i="6"/>
  <c r="V992" i="6"/>
  <c r="V1466" i="6"/>
  <c r="V1056" i="6"/>
  <c r="V1184" i="6"/>
  <c r="W1184" i="6" s="1"/>
  <c r="V1533" i="6"/>
  <c r="V450" i="6"/>
  <c r="V2130" i="6"/>
  <c r="W2130" i="6" s="1"/>
  <c r="V601" i="6"/>
  <c r="V940" i="6"/>
  <c r="V302" i="6"/>
  <c r="V1351" i="6"/>
  <c r="V1930" i="6"/>
  <c r="W1930" i="6" s="1"/>
  <c r="V546" i="6"/>
  <c r="V2032" i="6"/>
  <c r="V818" i="6"/>
  <c r="V1974" i="6"/>
  <c r="W1974" i="6" s="1"/>
  <c r="V494" i="6"/>
  <c r="W494" i="6" s="1"/>
  <c r="V978" i="6"/>
  <c r="V649" i="6"/>
  <c r="V1819" i="6"/>
  <c r="V231" i="6"/>
  <c r="V728" i="6"/>
  <c r="V254" i="6"/>
  <c r="W254" i="6" s="1"/>
  <c r="V2120" i="6"/>
  <c r="V1959" i="6"/>
  <c r="V482" i="6"/>
  <c r="V694" i="6"/>
  <c r="V392" i="6"/>
  <c r="W392" i="6" s="1"/>
  <c r="V944" i="6"/>
  <c r="V1316" i="6"/>
  <c r="V1087" i="6"/>
  <c r="V1948" i="6"/>
  <c r="V461" i="6"/>
  <c r="V804" i="6"/>
  <c r="V104" i="6"/>
  <c r="V264" i="6"/>
  <c r="V776" i="6"/>
  <c r="V1945" i="6"/>
  <c r="V1732" i="6"/>
  <c r="V1796" i="6"/>
  <c r="V1584" i="6"/>
  <c r="W1584" i="6" s="1"/>
  <c r="V908" i="6"/>
  <c r="V1315" i="6"/>
  <c r="W1315" i="6" s="1"/>
  <c r="V94" i="6"/>
  <c r="W94" i="6" s="1"/>
  <c r="V1326" i="6"/>
  <c r="V216" i="6"/>
  <c r="V1006" i="6"/>
  <c r="W1006" i="6" s="1"/>
  <c r="V885" i="6"/>
  <c r="V593" i="6"/>
  <c r="V1235" i="6"/>
  <c r="V90" i="6"/>
  <c r="V1371" i="6"/>
  <c r="W1371" i="6" s="1"/>
  <c r="V530" i="6"/>
  <c r="W530" i="6" s="1"/>
  <c r="V2231" i="6"/>
  <c r="V646" i="6"/>
  <c r="W646" i="6" s="1"/>
  <c r="V1638" i="6"/>
  <c r="W1638" i="6" s="1"/>
  <c r="V1259" i="6"/>
  <c r="W1259" i="6" s="1"/>
  <c r="V566" i="6"/>
  <c r="V1950" i="6"/>
  <c r="V318" i="6"/>
  <c r="W318" i="6" s="1"/>
  <c r="V1843" i="6"/>
  <c r="V472" i="6"/>
  <c r="V2079" i="6"/>
  <c r="V2076" i="6"/>
  <c r="W2076" i="6" s="1"/>
  <c r="V1720" i="6"/>
  <c r="V1198" i="6"/>
  <c r="V2083" i="6"/>
  <c r="W2083" i="6" s="1"/>
  <c r="V1888" i="6"/>
  <c r="V1839" i="6"/>
  <c r="W1839" i="6" s="1"/>
  <c r="V1162" i="6"/>
  <c r="V1665" i="6"/>
  <c r="V844" i="6"/>
  <c r="V563" i="6"/>
  <c r="V1158" i="6"/>
  <c r="V309" i="6"/>
  <c r="V2019" i="6"/>
  <c r="V1413" i="6"/>
  <c r="V506" i="6"/>
  <c r="V1191" i="6"/>
  <c r="V972" i="6"/>
  <c r="V1568" i="6"/>
  <c r="W1568" i="6" s="1"/>
  <c r="V1121" i="6"/>
  <c r="V866" i="6"/>
  <c r="V802" i="6"/>
  <c r="W802" i="6" s="1"/>
  <c r="V2003" i="6"/>
  <c r="V247" i="6"/>
  <c r="V1086" i="6"/>
  <c r="V1884" i="6"/>
  <c r="W1884" i="6" s="1"/>
  <c r="V2230" i="6"/>
  <c r="V39" i="6"/>
  <c r="V1840" i="6"/>
  <c r="V1504" i="6"/>
  <c r="W1504" i="6" s="1"/>
  <c r="V771" i="6"/>
  <c r="W771" i="6" s="1"/>
  <c r="V2072" i="6"/>
  <c r="V1203" i="6"/>
  <c r="W1203" i="6" s="1"/>
  <c r="V548" i="6"/>
  <c r="V1792" i="6"/>
  <c r="V102" i="6"/>
  <c r="V1705" i="6"/>
  <c r="V2354" i="6"/>
  <c r="W2354" i="6" s="1"/>
  <c r="V677" i="6"/>
  <c r="V2208" i="6"/>
  <c r="V1789" i="6"/>
  <c r="W1789" i="6" s="1"/>
  <c r="V1822" i="6"/>
  <c r="V1428" i="6"/>
  <c r="W1428" i="6" s="1"/>
  <c r="V2148" i="6"/>
  <c r="V1441" i="6"/>
  <c r="V364" i="6"/>
  <c r="W364" i="6" s="1"/>
  <c r="V1632" i="6"/>
  <c r="W1632" i="6" s="1"/>
  <c r="V762" i="6"/>
  <c r="V1746" i="6"/>
  <c r="V1387" i="6"/>
  <c r="W1387" i="6" s="1"/>
  <c r="V1009" i="6"/>
  <c r="W1009" i="6" s="1"/>
  <c r="V1419" i="6"/>
  <c r="V54" i="6"/>
  <c r="V1749" i="6"/>
  <c r="V2282" i="6"/>
  <c r="V698" i="6"/>
  <c r="V244" i="6"/>
  <c r="V1495" i="6"/>
  <c r="V2345" i="6"/>
  <c r="W2345" i="6" s="1"/>
  <c r="V2245" i="6"/>
  <c r="V939" i="6"/>
  <c r="V1436" i="6"/>
  <c r="W1436" i="6" s="1"/>
  <c r="V1429" i="6"/>
  <c r="V460" i="6"/>
  <c r="V1605" i="6"/>
  <c r="V478" i="6"/>
  <c r="V2189" i="6"/>
  <c r="V524" i="6"/>
  <c r="V531" i="6"/>
  <c r="W531" i="6" s="1"/>
  <c r="V1652" i="6"/>
  <c r="V837" i="6"/>
  <c r="V2037" i="6"/>
  <c r="W2037" i="6" s="1"/>
  <c r="V1965" i="6"/>
  <c r="V1683" i="6"/>
  <c r="V1112" i="6"/>
  <c r="V333" i="6"/>
  <c r="V723" i="6"/>
  <c r="V252" i="6"/>
  <c r="W252" i="6" s="1"/>
  <c r="V246" i="6"/>
  <c r="V1063" i="6"/>
  <c r="V645" i="6"/>
  <c r="V609" i="6"/>
  <c r="V955" i="6"/>
  <c r="V695" i="6"/>
  <c r="V1467" i="6"/>
  <c r="V1919" i="6"/>
  <c r="V1148" i="6"/>
  <c r="V1007" i="6"/>
  <c r="V2073" i="6"/>
  <c r="V764" i="6"/>
  <c r="V1560" i="6"/>
  <c r="V781" i="6"/>
  <c r="V1987" i="6"/>
  <c r="V213" i="6"/>
  <c r="W213" i="6" s="1"/>
  <c r="V888" i="6"/>
  <c r="V2007" i="6"/>
  <c r="V1777" i="6"/>
  <c r="V1355" i="6"/>
  <c r="V1962" i="6"/>
  <c r="V1016" i="6"/>
  <c r="V1800" i="6"/>
  <c r="W1800" i="6" s="1"/>
  <c r="V1602" i="6"/>
  <c r="W1602" i="6" s="1"/>
  <c r="V952" i="6"/>
  <c r="V202" i="6"/>
  <c r="V1174" i="6"/>
  <c r="W1174" i="6" s="1"/>
  <c r="V1944" i="6"/>
  <c r="V1026" i="6"/>
  <c r="W1026" i="6" s="1"/>
  <c r="V1497" i="6"/>
  <c r="V1548" i="6"/>
  <c r="V1779" i="6"/>
  <c r="V786" i="6"/>
  <c r="V1896" i="6"/>
  <c r="V1856" i="6"/>
  <c r="V1050" i="6"/>
  <c r="V1601" i="6"/>
  <c r="W1601" i="6" s="1"/>
  <c r="V943" i="6"/>
  <c r="V2062" i="6"/>
  <c r="V1377" i="6"/>
  <c r="V1807" i="6"/>
  <c r="V1677" i="6"/>
  <c r="V2229" i="6"/>
  <c r="V2137" i="6"/>
  <c r="V598" i="6"/>
  <c r="V1229" i="6"/>
  <c r="V1999" i="6"/>
  <c r="V1279" i="6"/>
  <c r="V1131" i="6"/>
  <c r="W1131" i="6" s="1"/>
  <c r="V1216" i="6"/>
  <c r="V1400" i="6"/>
  <c r="V616" i="6"/>
  <c r="V1236" i="6"/>
  <c r="V225" i="6"/>
  <c r="V1952" i="6"/>
  <c r="V272" i="6"/>
  <c r="V1048" i="6"/>
  <c r="V135" i="6"/>
  <c r="V1835" i="6"/>
  <c r="V1489" i="6"/>
  <c r="V947" i="6"/>
  <c r="W947" i="6" s="1"/>
  <c r="V1286" i="6"/>
  <c r="V390" i="6"/>
  <c r="V654" i="6"/>
  <c r="V311" i="6"/>
  <c r="V1045" i="6"/>
  <c r="V611" i="6"/>
  <c r="V1882" i="6"/>
  <c r="V228" i="6"/>
  <c r="V1431" i="6"/>
  <c r="V2151" i="6"/>
  <c r="V1825" i="6"/>
  <c r="V2126" i="6"/>
  <c r="V725" i="6"/>
  <c r="V265" i="6"/>
  <c r="W265" i="6" s="1"/>
  <c r="V2196" i="6"/>
  <c r="V1155" i="6"/>
  <c r="V481" i="6"/>
  <c r="V1225" i="6"/>
  <c r="V1496" i="6"/>
  <c r="V62" i="6"/>
  <c r="W62" i="6" s="1"/>
  <c r="V988" i="6"/>
  <c r="V113" i="6"/>
  <c r="V1380" i="6"/>
  <c r="V1211" i="6"/>
  <c r="V2144" i="6"/>
  <c r="V1841" i="6"/>
  <c r="V122" i="6"/>
  <c r="V924" i="6"/>
  <c r="V572" i="6"/>
  <c r="W572" i="6" s="1"/>
  <c r="V1868" i="6"/>
  <c r="V454" i="6"/>
  <c r="V1842" i="6"/>
  <c r="V43" i="6"/>
  <c r="V1288" i="6"/>
  <c r="W1288" i="6" s="1"/>
  <c r="V2310" i="6"/>
  <c r="V2311" i="6"/>
  <c r="W2311" i="6" s="1"/>
  <c r="V1289" i="6"/>
  <c r="V2116" i="6"/>
  <c r="W2116" i="6" s="1"/>
  <c r="V1598" i="6"/>
  <c r="V1404" i="6"/>
  <c r="V487" i="6"/>
  <c r="V2013" i="6"/>
  <c r="V772" i="6"/>
  <c r="V449" i="6"/>
  <c r="V1628" i="6"/>
  <c r="V1268" i="6"/>
  <c r="V26" i="6"/>
  <c r="V2132" i="6"/>
  <c r="V1317" i="6"/>
  <c r="V2108" i="6"/>
  <c r="V796" i="6"/>
  <c r="V414" i="6"/>
  <c r="AD2283" i="6"/>
  <c r="V2283" i="6"/>
  <c r="V2165" i="6"/>
  <c r="V1883" i="6"/>
  <c r="V1255" i="6"/>
  <c r="V2291" i="6"/>
  <c r="V1367" i="6"/>
  <c r="W1367" i="6" s="1"/>
  <c r="V233" i="6"/>
  <c r="V308" i="6"/>
  <c r="W308" i="6" s="1"/>
  <c r="V268" i="6"/>
  <c r="V1176" i="6"/>
  <c r="W1176" i="6" s="1"/>
  <c r="V2201" i="6"/>
  <c r="V335" i="6"/>
  <c r="AD2294" i="6"/>
  <c r="V2294" i="6"/>
  <c r="V2258" i="6"/>
  <c r="W2258" i="6" s="1"/>
  <c r="V1294" i="6"/>
  <c r="V2322" i="6"/>
  <c r="V2246" i="6"/>
  <c r="V2267" i="6"/>
  <c r="V1990" i="6"/>
  <c r="V1514" i="6"/>
  <c r="V658" i="6"/>
  <c r="W658" i="6" s="1"/>
  <c r="V1109" i="6"/>
  <c r="V1365" i="6"/>
  <c r="V1587" i="6"/>
  <c r="V370" i="6"/>
  <c r="V239" i="6"/>
  <c r="V711" i="6"/>
  <c r="W711" i="6" s="1"/>
  <c r="V495" i="6"/>
  <c r="V784" i="6"/>
  <c r="V1762" i="6"/>
  <c r="V334" i="6"/>
  <c r="W334" i="6" s="1"/>
  <c r="V606" i="6"/>
  <c r="V856" i="6"/>
  <c r="V1004" i="6"/>
  <c r="V1092" i="6"/>
  <c r="V1961" i="6"/>
  <c r="W1961" i="6" s="1"/>
  <c r="V456" i="6"/>
  <c r="V2222" i="6"/>
  <c r="V1487" i="6"/>
  <c r="V768" i="6"/>
  <c r="V519" i="6"/>
  <c r="V1330" i="6"/>
  <c r="V1763" i="6"/>
  <c r="V24" i="6"/>
  <c r="W24" i="6" s="1"/>
  <c r="V815" i="6"/>
  <c r="V61" i="6"/>
  <c r="V492" i="6"/>
  <c r="V1361" i="6"/>
  <c r="V1921" i="6"/>
  <c r="V1069" i="6"/>
  <c r="V1830" i="6"/>
  <c r="V1669" i="6"/>
  <c r="V845" i="6"/>
  <c r="V2044" i="6"/>
  <c r="V889" i="6"/>
  <c r="W889" i="6" s="1"/>
  <c r="V1893" i="6"/>
  <c r="V312" i="6"/>
  <c r="V1283" i="6"/>
  <c r="V48" i="6"/>
  <c r="W48" i="6" s="1"/>
  <c r="V874" i="6"/>
  <c r="W874" i="6" s="1"/>
  <c r="V1360" i="6"/>
  <c r="W1360" i="6" s="1"/>
  <c r="V357" i="6"/>
  <c r="V963" i="6"/>
  <c r="V1039" i="6"/>
  <c r="V1641" i="6"/>
  <c r="W1641" i="6" s="1"/>
  <c r="V825" i="6"/>
  <c r="V877" i="6"/>
  <c r="V354" i="6"/>
  <c r="V1029" i="6"/>
  <c r="V1123" i="6"/>
  <c r="V1207" i="6"/>
  <c r="W1207" i="6" s="1"/>
  <c r="V1410" i="6"/>
  <c r="W1410" i="6" s="1"/>
  <c r="V1054" i="6"/>
  <c r="V192" i="6"/>
  <c r="V790" i="6"/>
  <c r="V1160" i="6"/>
  <c r="V485" i="6"/>
  <c r="V2017" i="6"/>
  <c r="V1517" i="6"/>
  <c r="V713" i="6"/>
  <c r="V201" i="6"/>
  <c r="V979" i="6"/>
  <c r="V1909" i="6"/>
  <c r="W1909" i="6" s="1"/>
  <c r="V425" i="6"/>
  <c r="V1043" i="6"/>
  <c r="V1108" i="6"/>
  <c r="V1828" i="6"/>
  <c r="V1265" i="6"/>
  <c r="V934" i="6"/>
  <c r="V956" i="6"/>
  <c r="V1089" i="6"/>
  <c r="V639" i="6"/>
  <c r="W639" i="6" s="1"/>
  <c r="V147" i="6"/>
  <c r="V282" i="6"/>
  <c r="W282" i="6" s="1"/>
  <c r="V597" i="6"/>
  <c r="V1187" i="6"/>
  <c r="W1187" i="6" s="1"/>
  <c r="V84" i="6"/>
  <c r="W84" i="6" s="1"/>
  <c r="V1448" i="6"/>
  <c r="V2088" i="6"/>
  <c r="W2088" i="6" s="1"/>
  <c r="V274" i="6"/>
  <c r="V1520" i="6"/>
  <c r="V119" i="6"/>
  <c r="V1767" i="6"/>
  <c r="V791" i="6"/>
  <c r="V1693" i="6"/>
  <c r="V1023" i="6"/>
  <c r="V2009" i="6"/>
  <c r="V111" i="6"/>
  <c r="V58" i="6"/>
  <c r="W58" i="6" s="1"/>
  <c r="V297" i="6"/>
  <c r="V1386" i="6"/>
  <c r="V1569" i="6"/>
  <c r="V1215" i="6"/>
  <c r="V1998" i="6"/>
  <c r="W1998" i="6" s="1"/>
  <c r="V1046" i="6"/>
  <c r="V1783" i="6"/>
  <c r="V922" i="6"/>
  <c r="V584" i="6"/>
  <c r="V1453" i="6"/>
  <c r="V1027" i="6"/>
  <c r="V1047" i="6"/>
  <c r="V763" i="6"/>
  <c r="W763" i="6" s="1"/>
  <c r="V2069" i="6"/>
  <c r="V2199" i="6"/>
  <c r="V2325" i="6"/>
  <c r="V2317" i="6"/>
  <c r="V910" i="6"/>
  <c r="V1417" i="6"/>
  <c r="V673" i="6"/>
  <c r="V93" i="6"/>
  <c r="W93" i="6" s="1"/>
  <c r="V1214" i="6"/>
  <c r="V516" i="6"/>
  <c r="V2349" i="6"/>
  <c r="V2134" i="6"/>
  <c r="V408" i="6"/>
  <c r="V1199" i="6"/>
  <c r="V499" i="6"/>
  <c r="V2211" i="6"/>
  <c r="V2086" i="6"/>
  <c r="V1250" i="6"/>
  <c r="V79" i="6"/>
  <c r="V2183" i="6"/>
  <c r="V679" i="6"/>
  <c r="W679" i="6" s="1"/>
  <c r="V251" i="6"/>
  <c r="V421" i="6"/>
  <c r="V2163" i="6"/>
  <c r="V2321" i="6"/>
  <c r="V1902" i="6"/>
  <c r="V355" i="6"/>
  <c r="V1500" i="6"/>
  <c r="V557" i="6"/>
  <c r="V279" i="6"/>
  <c r="V537" i="6"/>
  <c r="V520" i="6"/>
  <c r="V619" i="6"/>
  <c r="V1989" i="6"/>
  <c r="V1455" i="6"/>
  <c r="V2146" i="6"/>
  <c r="V1906" i="6"/>
  <c r="V745" i="6"/>
  <c r="V76" i="6"/>
  <c r="W76" i="6" s="1"/>
  <c r="V1285" i="6"/>
  <c r="V1322" i="6"/>
  <c r="V2058" i="6"/>
  <c r="V161" i="6"/>
  <c r="V63" i="6"/>
  <c r="V387" i="6"/>
  <c r="V899" i="6"/>
  <c r="W899" i="6" s="1"/>
  <c r="V1340" i="6"/>
  <c r="V613" i="6"/>
  <c r="V863" i="6"/>
  <c r="V737" i="6"/>
  <c r="V120" i="6"/>
  <c r="V1114" i="6"/>
  <c r="V1542" i="6"/>
  <c r="V870" i="6"/>
  <c r="V114" i="6"/>
  <c r="W114" i="6" s="1"/>
  <c r="V2001" i="6"/>
  <c r="V1345" i="6"/>
  <c r="V402" i="6"/>
  <c r="W402" i="6" s="1"/>
  <c r="V2064" i="6"/>
  <c r="W2064" i="6" s="1"/>
  <c r="V508" i="6"/>
  <c r="W508" i="6" s="1"/>
  <c r="V847" i="6"/>
  <c r="V2053" i="6"/>
  <c r="V514" i="6"/>
  <c r="V2024" i="6"/>
  <c r="V467" i="6"/>
  <c r="V1206" i="6"/>
  <c r="V1506" i="6"/>
  <c r="V1712" i="6"/>
  <c r="W1712" i="6" s="1"/>
  <c r="V189" i="6"/>
  <c r="V1350" i="6"/>
  <c r="W1350" i="6" s="1"/>
  <c r="V1694" i="6"/>
  <c r="W1694" i="6" s="1"/>
  <c r="V1122" i="6"/>
  <c r="W1122" i="6" s="1"/>
  <c r="V2077" i="6"/>
  <c r="V1752" i="6"/>
  <c r="W1752" i="6" s="1"/>
  <c r="V2002" i="6"/>
  <c r="V1392" i="6"/>
  <c r="W1392" i="6" s="1"/>
  <c r="V1912" i="6"/>
  <c r="V404" i="6"/>
  <c r="V1823" i="6"/>
  <c r="W1823" i="6" s="1"/>
  <c r="V1612" i="6"/>
  <c r="V826" i="6"/>
  <c r="V736" i="6"/>
  <c r="V347" i="6"/>
  <c r="V365" i="6"/>
  <c r="W365" i="6" s="1"/>
  <c r="V286" i="6"/>
  <c r="V1269" i="6"/>
  <c r="V46" i="6"/>
  <c r="V1153" i="6"/>
  <c r="V2081" i="6"/>
  <c r="V172" i="6"/>
  <c r="W172" i="6" s="1"/>
  <c r="V317" i="6"/>
  <c r="V275" i="6"/>
  <c r="W275" i="6" s="1"/>
  <c r="V1594" i="6"/>
  <c r="V853" i="6"/>
  <c r="V578" i="6"/>
  <c r="W578" i="6" s="1"/>
  <c r="V176" i="6"/>
  <c r="V1743" i="6"/>
  <c r="V1066" i="6"/>
  <c r="V2015" i="6"/>
  <c r="V806" i="6"/>
  <c r="V705" i="6"/>
  <c r="V1192" i="6"/>
  <c r="W1192" i="6" s="1"/>
  <c r="V207" i="6"/>
  <c r="V1865" i="6"/>
  <c r="V474" i="6"/>
  <c r="V1293" i="6"/>
  <c r="V800" i="6"/>
  <c r="V703" i="6"/>
  <c r="W703" i="6" s="1"/>
  <c r="V72" i="6"/>
  <c r="V2193" i="6"/>
  <c r="W2193" i="6" s="1"/>
  <c r="V353" i="6"/>
  <c r="V127" i="6"/>
  <c r="V288" i="6"/>
  <c r="V2033" i="6"/>
  <c r="V691" i="6"/>
  <c r="V327" i="6"/>
  <c r="W327" i="6" s="1"/>
  <c r="V949" i="6"/>
  <c r="V2054" i="6"/>
  <c r="V2185" i="6"/>
  <c r="V1855" i="6"/>
  <c r="V126" i="6"/>
  <c r="V503" i="6"/>
  <c r="W503" i="6" s="1"/>
  <c r="V512" i="6"/>
  <c r="V250" i="6"/>
  <c r="W250" i="6" s="1"/>
  <c r="V974" i="6"/>
  <c r="V1947" i="6"/>
  <c r="V131" i="6"/>
  <c r="W131" i="6" s="1"/>
  <c r="V864" i="6"/>
  <c r="V1539" i="6"/>
  <c r="V1550" i="6"/>
  <c r="W1550" i="6" s="1"/>
  <c r="V1104" i="6"/>
  <c r="V435" i="6"/>
  <c r="V1450" i="6"/>
  <c r="V1733" i="6"/>
  <c r="V2093" i="6"/>
  <c r="V1267" i="6"/>
  <c r="V1967" i="6"/>
  <c r="V1319" i="6"/>
  <c r="V1890" i="6"/>
  <c r="V1028" i="6"/>
  <c r="W1028" i="6" s="1"/>
  <c r="V2094" i="6"/>
  <c r="V130" i="6"/>
  <c r="W130" i="6" s="1"/>
  <c r="V1044" i="6"/>
  <c r="W1044" i="6" s="1"/>
  <c r="V1403" i="6"/>
  <c r="V937" i="6"/>
  <c r="V82" i="6"/>
  <c r="V1426" i="6"/>
  <c r="V1853" i="6"/>
  <c r="V270" i="6"/>
  <c r="V1723" i="6"/>
  <c r="W1723" i="6" s="1"/>
  <c r="V2118" i="6"/>
  <c r="V129" i="6"/>
  <c r="V2326" i="6"/>
  <c r="V618" i="6"/>
  <c r="V2162" i="6"/>
  <c r="V998" i="6"/>
  <c r="V1084" i="6"/>
  <c r="V749" i="6"/>
  <c r="V1937" i="6"/>
  <c r="W1937" i="6" s="1"/>
  <c r="V464" i="6"/>
  <c r="V2004" i="6"/>
  <c r="V2090" i="6"/>
  <c r="W2090" i="6" s="1"/>
  <c r="V1061" i="6"/>
  <c r="V2147" i="6"/>
  <c r="W2147" i="6" s="1"/>
  <c r="V774" i="6"/>
  <c r="V852" i="6"/>
  <c r="V442" i="6"/>
  <c r="W442" i="6" s="1"/>
  <c r="V1393" i="6"/>
  <c r="V2279" i="6"/>
  <c r="V1808" i="6"/>
  <c r="AD2341" i="6"/>
  <c r="V2341" i="6"/>
  <c r="V1768" i="6"/>
  <c r="AD2160" i="6"/>
  <c r="V2160" i="6"/>
  <c r="V1078" i="6"/>
  <c r="V2315" i="6"/>
  <c r="V1549" i="6"/>
  <c r="V56" i="6"/>
  <c r="V200" i="6"/>
  <c r="V1030" i="6"/>
  <c r="W1030" i="6" s="1"/>
  <c r="V1099" i="6"/>
  <c r="V2154" i="6"/>
  <c r="V382" i="6"/>
  <c r="V1562" i="6"/>
  <c r="V1942" i="6"/>
  <c r="W1942" i="6" s="1"/>
  <c r="V2250" i="6"/>
  <c r="V638" i="6"/>
  <c r="V625" i="6"/>
  <c r="V168" i="6"/>
  <c r="V1447" i="6"/>
  <c r="V1572" i="6"/>
  <c r="V1844" i="6"/>
  <c r="V331" i="6"/>
  <c r="V2051" i="6"/>
  <c r="V898" i="6"/>
  <c r="V1136" i="6"/>
  <c r="V2128" i="6"/>
  <c r="W2128" i="6" s="1"/>
  <c r="V594" i="6"/>
  <c r="W594" i="6" s="1"/>
  <c r="V1245" i="6"/>
  <c r="V2114" i="6"/>
  <c r="V1375" i="6"/>
  <c r="W1375" i="6" s="1"/>
  <c r="V522" i="6"/>
  <c r="V2223" i="6"/>
  <c r="V329" i="6"/>
  <c r="V2006" i="6"/>
  <c r="V990" i="6"/>
  <c r="W990" i="6" s="1"/>
  <c r="V2121" i="6"/>
  <c r="V1440" i="6"/>
  <c r="V871" i="6"/>
  <c r="W871" i="6" s="1"/>
  <c r="V712" i="6"/>
  <c r="V1247" i="6"/>
  <c r="V2066" i="6"/>
  <c r="V1172" i="6"/>
  <c r="V1894" i="6"/>
  <c r="V38" i="6"/>
  <c r="V1299" i="6"/>
  <c r="V1264" i="6"/>
  <c r="W1264" i="6" s="1"/>
  <c r="V932" i="6"/>
  <c r="V303" i="6"/>
  <c r="V1180" i="6"/>
  <c r="V1452" i="6"/>
  <c r="W1452" i="6" s="1"/>
  <c r="V1872" i="6"/>
  <c r="V1505" i="6"/>
  <c r="V756" i="6"/>
  <c r="V989" i="6"/>
  <c r="V1093" i="6"/>
  <c r="V2025" i="6"/>
  <c r="W2025" i="6" s="1"/>
  <c r="V310" i="6"/>
  <c r="V1164" i="6"/>
  <c r="W1164" i="6" s="1"/>
  <c r="V1574" i="6"/>
  <c r="V1239" i="6"/>
  <c r="V550" i="6"/>
  <c r="V180" i="6"/>
  <c r="V153" i="6"/>
  <c r="V2087" i="6"/>
  <c r="V326" i="6"/>
  <c r="V751" i="6"/>
  <c r="W751" i="6" s="1"/>
  <c r="V2187" i="6"/>
  <c r="V1758" i="6"/>
  <c r="V385" i="6"/>
  <c r="V145" i="6"/>
  <c r="V1516" i="6"/>
  <c r="V624" i="6"/>
  <c r="W624" i="6" s="1"/>
  <c r="V1242" i="6"/>
  <c r="V568" i="6"/>
  <c r="V422" i="6"/>
  <c r="W422" i="6" s="1"/>
  <c r="V1685" i="6"/>
  <c r="V545" i="6"/>
  <c r="V1305" i="6"/>
  <c r="W1305" i="6" s="1"/>
  <c r="V1462" i="6"/>
  <c r="V730" i="6"/>
  <c r="W730" i="6" s="1"/>
  <c r="V260" i="6"/>
  <c r="V441" i="6"/>
  <c r="V1427" i="6"/>
  <c r="V36" i="6"/>
  <c r="V1979" i="6"/>
  <c r="V2138" i="6"/>
  <c r="V116" i="6"/>
  <c r="V1193" i="6"/>
  <c r="V780" i="6"/>
  <c r="V155" i="6"/>
  <c r="V146" i="6"/>
  <c r="V656" i="6"/>
  <c r="V2226" i="6"/>
  <c r="V1032" i="6"/>
  <c r="V1603" i="6"/>
  <c r="V839" i="6"/>
  <c r="V2071" i="6"/>
  <c r="V742" i="6"/>
  <c r="W742" i="6" s="1"/>
  <c r="V1012" i="6"/>
  <c r="V187" i="6"/>
  <c r="V813" i="6"/>
  <c r="V721" i="6"/>
  <c r="W721" i="6" s="1"/>
  <c r="V1773" i="6"/>
  <c r="V1331" i="6"/>
  <c r="W1331" i="6" s="1"/>
  <c r="V1960" i="6"/>
  <c r="V628" i="6"/>
  <c r="V1223" i="6"/>
  <c r="V1002" i="6"/>
  <c r="V53" i="6"/>
  <c r="V2167" i="6"/>
  <c r="W2167" i="6" s="1"/>
  <c r="V748" i="6"/>
  <c r="V1943" i="6"/>
  <c r="V689" i="6"/>
  <c r="W689" i="6" s="1"/>
  <c r="V1834" i="6"/>
  <c r="V1782" i="6"/>
  <c r="V766" i="6"/>
  <c r="V2043" i="6"/>
  <c r="V657" i="6"/>
  <c r="V1850" i="6"/>
  <c r="V1794" i="6"/>
  <c r="W1794" i="6" s="1"/>
  <c r="V1057" i="6"/>
  <c r="V283" i="6"/>
  <c r="W283" i="6" s="1"/>
  <c r="V1618" i="6"/>
  <c r="V862" i="6"/>
  <c r="V970" i="6"/>
  <c r="V1936" i="6"/>
  <c r="V2153" i="6"/>
  <c r="V1519" i="6"/>
  <c r="V946" i="6"/>
  <c r="V585" i="6"/>
  <c r="V165" i="6"/>
  <c r="V2284" i="6"/>
  <c r="V2312" i="6"/>
  <c r="V2305" i="6"/>
  <c r="V110" i="6"/>
  <c r="V348" i="6"/>
  <c r="W348" i="6" s="1"/>
  <c r="V51" i="6"/>
  <c r="V2242" i="6"/>
  <c r="V702" i="6"/>
  <c r="V805" i="6"/>
  <c r="V2005" i="6"/>
  <c r="V1646" i="6"/>
  <c r="V1478" i="6"/>
  <c r="V1200" i="6"/>
  <c r="W1200" i="6" s="1"/>
  <c r="V1233" i="6"/>
  <c r="V685" i="6"/>
  <c r="V411" i="6"/>
  <c r="W411" i="6" s="1"/>
  <c r="V1728" i="6"/>
  <c r="V196" i="6"/>
  <c r="V1501" i="6"/>
  <c r="V1811" i="6"/>
  <c r="V1567" i="6"/>
  <c r="V1120" i="6"/>
  <c r="V1578" i="6"/>
  <c r="W1578" i="6" s="1"/>
  <c r="V873" i="6"/>
  <c r="V1636" i="6"/>
  <c r="V2306" i="6"/>
  <c r="V2348" i="6"/>
  <c r="V2008" i="6"/>
  <c r="W2008" i="6" s="1"/>
  <c r="V488" i="6"/>
  <c r="W488" i="6" s="1"/>
  <c r="V123" i="6"/>
  <c r="V1535" i="6"/>
  <c r="V534" i="6"/>
  <c r="V1323" i="6"/>
  <c r="W1323" i="6" s="1"/>
  <c r="V1892" i="6"/>
  <c r="V210" i="6"/>
  <c r="V240" i="6"/>
  <c r="V1565" i="6"/>
  <c r="V273" i="6"/>
  <c r="V2351" i="6"/>
  <c r="V2287" i="6"/>
  <c r="V2337" i="6"/>
  <c r="V430" i="6"/>
  <c r="V1899" i="6"/>
  <c r="V1787" i="6"/>
  <c r="V1438" i="6"/>
  <c r="W1438" i="6" s="1"/>
  <c r="V2173" i="6"/>
  <c r="V680" i="6"/>
  <c r="V1575" i="6"/>
  <c r="W1575" i="6" s="1"/>
  <c r="V434" i="6"/>
  <c r="W434" i="6" s="1"/>
  <c r="V799" i="6"/>
  <c r="V814" i="6"/>
  <c r="V1889" i="6"/>
  <c r="V2031" i="6"/>
  <c r="W2031" i="6" s="1"/>
  <c r="V1307" i="6"/>
  <c r="V1938" i="6"/>
  <c r="V1040" i="6"/>
  <c r="W1040" i="6" s="1"/>
  <c r="V1682" i="6"/>
  <c r="V734" i="6"/>
  <c r="V1557" i="6"/>
  <c r="V822" i="6"/>
  <c r="V801" i="6"/>
  <c r="W801" i="6" s="1"/>
  <c r="V1244" i="6"/>
  <c r="V573" i="6"/>
  <c r="V2172" i="6"/>
  <c r="V1149" i="6"/>
  <c r="V1209" i="6"/>
  <c r="V1508" i="6"/>
  <c r="V45" i="6"/>
  <c r="V2190" i="6"/>
  <c r="V1362" i="6"/>
  <c r="V1434" i="6"/>
  <c r="V332" i="6"/>
  <c r="V732" i="6"/>
  <c r="V1262" i="6"/>
  <c r="V875" i="6"/>
  <c r="V1388" i="6"/>
  <c r="V655" i="6"/>
  <c r="W655" i="6" s="1"/>
  <c r="V1077" i="6"/>
  <c r="V2078" i="6"/>
  <c r="V1457" i="6"/>
  <c r="W1457" i="6" s="1"/>
  <c r="V911" i="6"/>
  <c r="W911" i="6" s="1"/>
  <c r="V22" i="6"/>
  <c r="V2084" i="6"/>
  <c r="V1421" i="6"/>
  <c r="V527" i="6"/>
  <c r="W527" i="6" s="1"/>
  <c r="V1502" i="6"/>
  <c r="V758" i="6"/>
  <c r="V304" i="6"/>
  <c r="W304" i="6" s="1"/>
  <c r="V513" i="6"/>
  <c r="V1334" i="6"/>
  <c r="V267" i="6"/>
  <c r="V1042" i="6"/>
  <c r="V1659" i="6"/>
  <c r="W1659" i="6" s="1"/>
  <c r="V1252" i="6"/>
  <c r="V570" i="6"/>
  <c r="V343" i="6"/>
  <c r="V1024" i="6"/>
  <c r="W1024" i="6" s="1"/>
  <c r="V138" i="6"/>
  <c r="V1668" i="6"/>
  <c r="V1719" i="6"/>
  <c r="V307" i="6"/>
  <c r="V1094" i="6"/>
  <c r="V1566" i="6"/>
  <c r="V630" i="6"/>
  <c r="W630" i="6" s="1"/>
  <c r="V1526" i="6"/>
  <c r="V621" i="6"/>
  <c r="V1248" i="6"/>
  <c r="V77" i="6"/>
  <c r="V1281" i="6"/>
  <c r="W1281" i="6" s="1"/>
  <c r="V879" i="6"/>
  <c r="V475" i="6"/>
  <c r="V1308" i="6"/>
  <c r="W1308" i="6" s="1"/>
  <c r="V241" i="6"/>
  <c r="V99" i="6"/>
  <c r="V1766" i="6"/>
  <c r="V1368" i="6"/>
  <c r="V1914" i="6"/>
  <c r="V960" i="6"/>
  <c r="V2097" i="6"/>
  <c r="V1523" i="6"/>
  <c r="V1554" i="6"/>
  <c r="W1554" i="6" s="1"/>
  <c r="V259" i="6"/>
  <c r="V746" i="6"/>
  <c r="V33" i="6"/>
  <c r="V184" i="6"/>
  <c r="V341" i="6"/>
  <c r="V1812" i="6"/>
  <c r="W1812" i="6" s="1"/>
  <c r="V291" i="6"/>
  <c r="V1642" i="6"/>
  <c r="V842" i="6"/>
  <c r="V555" i="6"/>
  <c r="V496" i="6"/>
  <c r="V447" i="6"/>
  <c r="V1060" i="6"/>
  <c r="V1412" i="6"/>
  <c r="V124" i="6"/>
  <c r="W124" i="6" s="1"/>
  <c r="V1907" i="6"/>
  <c r="V1357" i="6"/>
  <c r="V1887" i="6"/>
  <c r="V993" i="6"/>
  <c r="V1222" i="6"/>
  <c r="W1222" i="6" s="1"/>
  <c r="V809" i="6"/>
  <c r="V1747" i="6"/>
  <c r="V397" i="6"/>
  <c r="V1370" i="6"/>
  <c r="W1370" i="6" s="1"/>
  <c r="V1915" i="6"/>
  <c r="V427" i="6"/>
  <c r="V1838" i="6"/>
  <c r="V1634" i="6"/>
  <c r="V1709" i="6"/>
  <c r="V2047" i="6"/>
  <c r="V164" i="6"/>
  <c r="W164" i="6" s="1"/>
  <c r="V1681" i="6"/>
  <c r="W1681" i="6" s="1"/>
  <c r="V1820" i="6"/>
  <c r="V1544" i="6"/>
  <c r="V1463" i="6"/>
  <c r="V1585" i="6"/>
  <c r="W1585" i="6" s="1"/>
  <c r="V859" i="6"/>
  <c r="V783" i="6"/>
  <c r="V1928" i="6"/>
  <c r="V424" i="6"/>
  <c r="V1695" i="6"/>
  <c r="V927" i="6"/>
  <c r="V227" i="6"/>
  <c r="V2264" i="6"/>
  <c r="W2264" i="6" s="1"/>
  <c r="V1335" i="6"/>
  <c r="V2343" i="6"/>
  <c r="V1816" i="6"/>
  <c r="V2224" i="6"/>
  <c r="V986" i="6"/>
  <c r="V2265" i="6"/>
  <c r="V1724" i="6"/>
  <c r="V2136" i="6"/>
  <c r="V1266" i="6"/>
  <c r="V431" i="6"/>
  <c r="V1791" i="6"/>
  <c r="V2356" i="6"/>
  <c r="W2356" i="6" s="1"/>
  <c r="V692" i="6"/>
  <c r="V2104" i="6"/>
  <c r="V675" i="6"/>
  <c r="V1295" i="6"/>
  <c r="W1295" i="6" s="1"/>
  <c r="V1607" i="6"/>
  <c r="V1776" i="6"/>
  <c r="V132" i="6"/>
  <c r="V1903" i="6"/>
  <c r="V229" i="6"/>
  <c r="V1076" i="6"/>
  <c r="V709" i="6"/>
  <c r="V1529" i="6"/>
  <c r="V838" i="6"/>
  <c r="V1068" i="6"/>
  <c r="V81" i="6"/>
  <c r="V212" i="6"/>
  <c r="V351" i="6"/>
  <c r="V893" i="6"/>
  <c r="V901" i="6"/>
  <c r="V1411" i="6"/>
  <c r="V720" i="6"/>
  <c r="V194" i="6"/>
  <c r="V579" i="6"/>
  <c r="V363" i="6"/>
  <c r="V455" i="6"/>
  <c r="V2020" i="6"/>
  <c r="V1263" i="6"/>
  <c r="V1751" i="6"/>
  <c r="V1845" i="6"/>
  <c r="V1358" i="6"/>
  <c r="V1935" i="6"/>
  <c r="V1484" i="6"/>
  <c r="V121" i="6"/>
  <c r="W121" i="6" s="1"/>
  <c r="V1127" i="6"/>
  <c r="V560" i="6"/>
  <c r="V418" i="6"/>
  <c r="V2171" i="6"/>
  <c r="V957" i="6"/>
  <c r="V1817" i="6"/>
  <c r="V1609" i="6"/>
  <c r="V926" i="6"/>
  <c r="V738" i="6"/>
  <c r="V1759" i="6"/>
  <c r="V1955" i="6"/>
  <c r="V1135" i="6"/>
  <c r="V1671" i="6"/>
  <c r="V1718" i="6"/>
  <c r="V299" i="6"/>
  <c r="V14" i="6"/>
  <c r="V426" i="6"/>
  <c r="V428" i="6"/>
  <c r="V281" i="6"/>
  <c r="V602" i="6"/>
  <c r="V199" i="6"/>
  <c r="V556" i="6"/>
  <c r="V160" i="6"/>
  <c r="V962" i="6"/>
  <c r="V627" i="6"/>
  <c r="V1663" i="6"/>
  <c r="V954" i="6"/>
  <c r="V1480" i="6"/>
  <c r="V498" i="6"/>
  <c r="V1074" i="6"/>
  <c r="W1074" i="6" s="1"/>
  <c r="V1167" i="6"/>
  <c r="W1167" i="6" s="1"/>
  <c r="V817" i="6"/>
  <c r="V622" i="6"/>
  <c r="V1880" i="6"/>
  <c r="V89" i="6"/>
  <c r="V1159" i="6"/>
  <c r="V483" i="6"/>
  <c r="V458" i="6"/>
  <c r="V1981" i="6"/>
  <c r="V1373" i="6"/>
  <c r="V64" i="6"/>
  <c r="V2178" i="6"/>
  <c r="V1366" i="6"/>
  <c r="V1934" i="6"/>
  <c r="V1804" i="6"/>
  <c r="V1802" i="6"/>
  <c r="V819" i="6"/>
  <c r="W819" i="6" s="1"/>
  <c r="V57" i="6"/>
  <c r="V1778" i="6"/>
  <c r="V1179" i="6"/>
  <c r="V413" i="6"/>
  <c r="V664" i="6"/>
  <c r="V2170" i="6"/>
  <c r="V315" i="6"/>
  <c r="V328" i="6"/>
  <c r="V1644" i="6"/>
  <c r="V1243" i="6"/>
  <c r="V569" i="6"/>
  <c r="V652" i="6"/>
  <c r="V1079" i="6"/>
  <c r="V883" i="6"/>
  <c r="V820" i="6"/>
  <c r="V1553" i="6"/>
  <c r="W1553" i="6" s="1"/>
  <c r="V337" i="6"/>
  <c r="V1175" i="6"/>
  <c r="V386" i="6"/>
  <c r="V1416" i="6"/>
  <c r="W1416" i="6" s="1"/>
  <c r="V2012" i="6"/>
  <c r="V1396" i="6"/>
  <c r="V755" i="6"/>
  <c r="W755" i="6" s="1"/>
  <c r="V1704" i="6"/>
  <c r="W1704" i="6" s="1"/>
  <c r="V1177" i="6"/>
  <c r="W1177" i="6" s="1"/>
  <c r="V1926" i="6"/>
  <c r="V660" i="6"/>
  <c r="V1034" i="6"/>
  <c r="V1640" i="6"/>
  <c r="V902" i="6"/>
  <c r="V876" i="6"/>
  <c r="V1372" i="6"/>
  <c r="V1134" i="6"/>
  <c r="V151" i="6"/>
  <c r="V1303" i="6"/>
  <c r="V886" i="6"/>
  <c r="V1662" i="6"/>
  <c r="V1253" i="6"/>
  <c r="W1253" i="6" s="1"/>
  <c r="V437" i="6"/>
  <c r="W437" i="6" s="1"/>
  <c r="V1920" i="6"/>
  <c r="V415" i="6"/>
  <c r="V396" i="6"/>
  <c r="V914" i="6"/>
  <c r="V967" i="6"/>
  <c r="W967" i="6" s="1"/>
  <c r="V2314" i="6"/>
  <c r="V1374" i="6"/>
  <c r="V2141" i="6"/>
  <c r="V1737" i="6"/>
  <c r="V407" i="6"/>
  <c r="V453" i="6"/>
  <c r="V1359" i="6"/>
  <c r="V1821" i="6"/>
  <c r="V855" i="6"/>
  <c r="V1459" i="6"/>
  <c r="V1353" i="6"/>
  <c r="V1556" i="6"/>
  <c r="V1300" i="6"/>
  <c r="V632" i="6"/>
  <c r="V2331" i="6"/>
  <c r="V1956" i="6"/>
  <c r="V2102" i="6"/>
  <c r="V541" i="6"/>
  <c r="V961" i="6"/>
  <c r="V2018" i="6"/>
  <c r="W2018" i="6" s="1"/>
  <c r="V1041" i="6"/>
  <c r="V1717" i="6"/>
  <c r="V586" i="6"/>
  <c r="V2123" i="6"/>
  <c r="V896" i="6"/>
  <c r="V2272" i="6"/>
  <c r="V2281" i="6"/>
  <c r="V2244" i="6"/>
  <c r="AD2252" i="6"/>
  <c r="V2252" i="6"/>
  <c r="V1951" i="6"/>
  <c r="V987" i="6"/>
  <c r="V542" i="6"/>
  <c r="V860" i="6"/>
  <c r="V44" i="6"/>
  <c r="V191" i="6"/>
  <c r="V359" i="6"/>
  <c r="V894" i="6"/>
  <c r="V525" i="6"/>
  <c r="V509" i="6"/>
  <c r="V1129" i="6"/>
  <c r="V538" i="6"/>
  <c r="V536" i="6"/>
  <c r="V812" i="6"/>
  <c r="V98" i="6"/>
  <c r="V74" i="6"/>
  <c r="V230" i="6"/>
  <c r="V1278" i="6"/>
  <c r="V32" i="6"/>
  <c r="V1304" i="6"/>
  <c r="V1456" i="6"/>
  <c r="V1711" i="6"/>
  <c r="V690" i="6"/>
  <c r="V2082" i="6"/>
  <c r="V1931" i="6"/>
  <c r="V1486" i="6"/>
  <c r="V100" i="6"/>
  <c r="V190" i="6"/>
  <c r="V551" i="6"/>
  <c r="W551" i="6" s="1"/>
  <c r="V651" i="6"/>
  <c r="W651" i="6" s="1"/>
  <c r="V684" i="6"/>
  <c r="V1826" i="6"/>
  <c r="V1329" i="6"/>
  <c r="V1606" i="6"/>
  <c r="W1606" i="6" s="1"/>
  <c r="V835" i="6"/>
  <c r="V1287" i="6"/>
  <c r="V1090" i="6"/>
  <c r="V1941" i="6"/>
  <c r="V489" i="6"/>
  <c r="V1579" i="6"/>
  <c r="V936" i="6"/>
  <c r="V1784" i="6"/>
  <c r="V1081" i="6"/>
  <c r="V1071" i="6"/>
  <c r="V186" i="6"/>
  <c r="V242" i="6"/>
  <c r="W242" i="6" s="1"/>
  <c r="V504" i="6"/>
  <c r="V73" i="6"/>
  <c r="W73" i="6" s="1"/>
  <c r="V223" i="6"/>
  <c r="V1336" i="6"/>
  <c r="V1700" i="6"/>
  <c r="W1700" i="6" s="1"/>
  <c r="V188" i="6"/>
  <c r="V1667" i="6"/>
  <c r="V935" i="6"/>
  <c r="V1701" i="6"/>
  <c r="V350" i="6"/>
  <c r="V1018" i="6"/>
  <c r="V1561" i="6"/>
  <c r="V2135" i="6"/>
  <c r="V708" i="6"/>
  <c r="W708" i="6" s="1"/>
  <c r="V193" i="6"/>
  <c r="V977" i="6"/>
  <c r="V1863" i="6"/>
  <c r="V473" i="6"/>
  <c r="V40" i="6"/>
  <c r="V2100" i="6"/>
  <c r="V964" i="6"/>
  <c r="V50" i="6"/>
  <c r="W50" i="6" s="1"/>
  <c r="V21" i="6"/>
  <c r="V2109" i="6"/>
  <c r="V234" i="6"/>
  <c r="V280" i="6"/>
  <c r="V1805" i="6"/>
  <c r="V2074" i="6"/>
  <c r="W2074" i="6" s="1"/>
  <c r="V1754" i="6"/>
  <c r="V872" i="6"/>
  <c r="W872" i="6" s="1"/>
  <c r="V1472" i="6"/>
  <c r="V641" i="6"/>
  <c r="V1785" i="6"/>
  <c r="V1451" i="6"/>
  <c r="V133" i="6"/>
  <c r="V1525" i="6"/>
  <c r="V1657" i="6"/>
  <c r="V71" i="6"/>
  <c r="W71" i="6" s="1"/>
  <c r="V221" i="6"/>
  <c r="V158" i="6"/>
  <c r="W158" i="6" s="1"/>
  <c r="V1874" i="6"/>
  <c r="V663" i="6"/>
  <c r="W663" i="6" s="1"/>
  <c r="V2140" i="6"/>
  <c r="V52" i="6"/>
  <c r="V1321" i="6"/>
  <c r="V1471" i="6"/>
  <c r="V1731" i="6"/>
  <c r="V501" i="6"/>
  <c r="V1306" i="6"/>
  <c r="V1532" i="6"/>
  <c r="W1532" i="6" s="1"/>
  <c r="V905" i="6"/>
  <c r="V739" i="6"/>
  <c r="W739" i="6" s="1"/>
  <c r="V1760" i="6"/>
  <c r="V2023" i="6"/>
  <c r="V2152" i="6"/>
  <c r="W2152" i="6" s="1"/>
  <c r="V292" i="6"/>
  <c r="V1633" i="6"/>
  <c r="V916" i="6"/>
  <c r="V581" i="6"/>
  <c r="V1479" i="6"/>
  <c r="W1479" i="6" s="1"/>
  <c r="V466" i="6"/>
  <c r="V1385" i="6"/>
  <c r="V1788" i="6"/>
  <c r="V803" i="6"/>
  <c r="W803" i="6" s="1"/>
  <c r="V1583" i="6"/>
  <c r="V1237" i="6"/>
  <c r="V1512" i="6"/>
  <c r="V1911" i="6"/>
  <c r="V2184" i="6"/>
  <c r="V1488" i="6"/>
  <c r="V824" i="6"/>
  <c r="W824" i="6" s="1"/>
  <c r="V778" i="6"/>
  <c r="W778" i="6" s="1"/>
  <c r="V2035" i="6"/>
  <c r="V2255" i="6"/>
  <c r="V1986" i="6"/>
  <c r="V1038" i="6"/>
  <c r="W1038" i="6" s="1"/>
  <c r="V2363" i="6"/>
  <c r="V612" i="6"/>
  <c r="V1168" i="6"/>
  <c r="W1168" i="6" s="1"/>
  <c r="V1234" i="6"/>
  <c r="W1234" i="6" s="1"/>
  <c r="V238" i="6"/>
  <c r="W238" i="6" s="1"/>
  <c r="V1973" i="6"/>
  <c r="V1238" i="6"/>
  <c r="W1238" i="6" s="1"/>
  <c r="V669" i="6"/>
  <c r="W669" i="6" s="1"/>
  <c r="V2339" i="6"/>
  <c r="W2339" i="6" s="1"/>
  <c r="V1510" i="6"/>
  <c r="V2256" i="6"/>
  <c r="V1524" i="6"/>
  <c r="V523" i="6"/>
  <c r="V1406" i="6"/>
  <c r="W1406" i="6" s="1"/>
  <c r="V2333" i="6"/>
  <c r="AD2257" i="6"/>
  <c r="V2257" i="6"/>
  <c r="V2200" i="6"/>
  <c r="W2200" i="6" s="1"/>
  <c r="V2233" i="6"/>
  <c r="V2133" i="6"/>
  <c r="V511" i="6"/>
  <c r="V2319" i="6"/>
  <c r="V1993" i="6"/>
  <c r="V2107" i="6"/>
  <c r="V220" i="6"/>
  <c r="V827" i="6"/>
  <c r="V1442" i="6"/>
  <c r="W1442" i="6" s="1"/>
  <c r="V2270" i="6"/>
  <c r="V1343" i="6"/>
  <c r="V1635" i="6"/>
  <c r="V807" i="6"/>
  <c r="AD2249" i="6"/>
  <c r="AD2278" i="6"/>
  <c r="AD2334" i="6"/>
  <c r="AD2346" i="6"/>
  <c r="AD2236" i="6"/>
  <c r="AD2269" i="6"/>
  <c r="AD2267" i="6"/>
  <c r="AD2342" i="6"/>
  <c r="AD2302" i="6"/>
  <c r="AD2315" i="6"/>
  <c r="AD2256" i="6"/>
  <c r="AD2274" i="6"/>
  <c r="AD2333" i="6"/>
  <c r="AD2250" i="6"/>
  <c r="AD2161" i="6"/>
  <c r="AD2290" i="6"/>
  <c r="AD2343" i="6"/>
  <c r="AD2300" i="6"/>
  <c r="AD2351" i="6"/>
  <c r="AD2328" i="6"/>
  <c r="AD2240" i="6"/>
  <c r="AD2337" i="6"/>
  <c r="AD2336" i="6"/>
  <c r="AD2361" i="6"/>
  <c r="AD2276" i="6"/>
  <c r="AD2339" i="6"/>
  <c r="AD2241" i="6"/>
  <c r="AD2358" i="6"/>
  <c r="AD2243" i="6"/>
  <c r="AD2159" i="6"/>
  <c r="AD480" i="6"/>
  <c r="AD2266" i="6"/>
  <c r="AD2338" i="6"/>
  <c r="AD2295" i="6"/>
  <c r="AD2282" i="6"/>
  <c r="AD2237" i="6"/>
  <c r="AD2353" i="6"/>
  <c r="AD2331" i="6"/>
  <c r="AD2258" i="6"/>
  <c r="AD2163" i="6"/>
  <c r="AD2335" i="6"/>
  <c r="AD2275" i="6"/>
  <c r="AD2356" i="6"/>
  <c r="AD2322" i="6"/>
  <c r="AD2247" i="6"/>
  <c r="AD2157" i="6"/>
  <c r="AD2242" i="6"/>
  <c r="AD2321" i="6"/>
  <c r="AD2279" i="6"/>
  <c r="AD2292" i="6"/>
  <c r="AD2306" i="6"/>
  <c r="AD2273" i="6"/>
  <c r="AD2347" i="6"/>
  <c r="AD2323" i="6"/>
  <c r="AD2251" i="6"/>
  <c r="AD1266" i="6"/>
  <c r="AD2263" i="6"/>
  <c r="AD2265" i="6"/>
  <c r="AD2289" i="6"/>
  <c r="AD2238" i="6"/>
  <c r="AD2330" i="6"/>
  <c r="AD2349" i="6"/>
  <c r="AD2162" i="6"/>
  <c r="AD2164" i="6"/>
  <c r="AD2259" i="6"/>
  <c r="AD1686" i="6"/>
  <c r="AD2255" i="6"/>
  <c r="AD841" i="6"/>
  <c r="S2214" i="6"/>
  <c r="AB2214" i="6" s="1"/>
  <c r="AC2214" i="6" s="1"/>
  <c r="AD2340" i="6"/>
  <c r="AD1997" i="6"/>
  <c r="AD2359" i="6"/>
  <c r="AD2254" i="6"/>
  <c r="AD2165" i="6"/>
  <c r="S433" i="6"/>
  <c r="AB433" i="6" s="1"/>
  <c r="AC433" i="6" s="1"/>
  <c r="S2215" i="6"/>
  <c r="AB2215" i="6" s="1"/>
  <c r="AC2215" i="6" s="1"/>
  <c r="S678" i="6"/>
  <c r="AB678" i="6" s="1"/>
  <c r="AC678" i="6" s="1"/>
  <c r="O11" i="6"/>
  <c r="R11" i="6" s="1"/>
  <c r="O19" i="6"/>
  <c r="R19" i="6" s="1"/>
  <c r="S19" i="6" s="1"/>
  <c r="AB19" i="6" s="1"/>
  <c r="AC19" i="6" s="1"/>
  <c r="S2103" i="6"/>
  <c r="AB2103" i="6" s="1"/>
  <c r="AC2103" i="6" s="1"/>
  <c r="S697" i="6"/>
  <c r="AB697" i="6" s="1"/>
  <c r="AC697" i="6" s="1"/>
  <c r="S1992" i="6"/>
  <c r="AB1992" i="6" s="1"/>
  <c r="AC1992" i="6" s="1"/>
  <c r="S1691" i="6"/>
  <c r="AB1691" i="6" s="1"/>
  <c r="AC1691" i="6" s="1"/>
  <c r="S432" i="6"/>
  <c r="AB432" i="6" s="1"/>
  <c r="AC432" i="6" s="1"/>
  <c r="S829" i="6"/>
  <c r="AB829" i="6" s="1"/>
  <c r="AC829" i="6" s="1"/>
  <c r="AD2284" i="6"/>
  <c r="O16" i="6"/>
  <c r="R16" i="6" s="1"/>
  <c r="S16" i="6" s="1"/>
  <c r="AB16" i="6" s="1"/>
  <c r="AC16" i="6" s="1"/>
  <c r="AD998" i="6"/>
  <c r="AD679" i="6"/>
  <c r="S1846" i="6"/>
  <c r="AB1846" i="6" s="1"/>
  <c r="AC1846" i="6" s="1"/>
  <c r="S2158" i="6"/>
  <c r="AB2158" i="6" s="1"/>
  <c r="AC2158" i="6" s="1"/>
  <c r="S2210" i="6"/>
  <c r="AB2210" i="6" s="1"/>
  <c r="AC2210" i="6" s="1"/>
  <c r="AD677" i="6"/>
  <c r="S362" i="6"/>
  <c r="AB362" i="6" s="1"/>
  <c r="AC362" i="6" s="1"/>
  <c r="S2220" i="6"/>
  <c r="AB2220" i="6" s="1"/>
  <c r="AC2220" i="6" s="1"/>
  <c r="AD2198" i="6"/>
  <c r="AD165" i="6"/>
  <c r="S2106" i="6"/>
  <c r="AB2106" i="6" s="1"/>
  <c r="AC2106" i="6" s="1"/>
  <c r="AD431" i="6"/>
  <c r="S1102" i="6"/>
  <c r="AB1102" i="6" s="1"/>
  <c r="AC1102" i="6" s="1"/>
  <c r="S2203" i="6"/>
  <c r="AB2203" i="6" s="1"/>
  <c r="AC2203" i="6" s="1"/>
  <c r="S2096" i="6"/>
  <c r="AB2096" i="6" s="1"/>
  <c r="AC2096" i="6" s="1"/>
  <c r="O13" i="6"/>
  <c r="R13" i="6" s="1"/>
  <c r="S13" i="6" s="1"/>
  <c r="AB13" i="6" s="1"/>
  <c r="AC13" i="6" s="1"/>
  <c r="AD1996" i="6"/>
  <c r="S686" i="6"/>
  <c r="AB686" i="6" s="1"/>
  <c r="AC686" i="6" s="1"/>
  <c r="S2205" i="6"/>
  <c r="AB2205" i="6" s="1"/>
  <c r="AC2205" i="6" s="1"/>
  <c r="S371" i="6"/>
  <c r="AB371" i="6" s="1"/>
  <c r="AC371" i="6" s="1"/>
  <c r="S2206" i="6"/>
  <c r="AB2206" i="6" s="1"/>
  <c r="AC2206" i="6" s="1"/>
  <c r="S2261" i="6"/>
  <c r="AB2261" i="6" s="1"/>
  <c r="AC2261" i="6" s="1"/>
  <c r="AD1107" i="6"/>
  <c r="S2022" i="6"/>
  <c r="AB2022" i="6" s="1"/>
  <c r="AC2022" i="6" s="1"/>
  <c r="S1105" i="6"/>
  <c r="AB1105" i="6" s="1"/>
  <c r="AC1105" i="6" s="1"/>
  <c r="S2268" i="6"/>
  <c r="AB2268" i="6" s="1"/>
  <c r="AC2268" i="6" s="1"/>
  <c r="O12" i="6"/>
  <c r="R12" i="6" s="1"/>
  <c r="S12" i="6" s="1"/>
  <c r="AB12" i="6" s="1"/>
  <c r="AC12" i="6" s="1"/>
  <c r="AD699" i="6"/>
  <c r="S1152" i="6"/>
  <c r="AB1152" i="6" s="1"/>
  <c r="AC1152" i="6" s="1"/>
  <c r="S1900" i="6"/>
  <c r="AB1900" i="6" s="1"/>
  <c r="AC1900" i="6" s="1"/>
  <c r="S2075" i="6"/>
  <c r="AB2075" i="6" s="1"/>
  <c r="AC2075" i="6" s="1"/>
  <c r="S2218" i="6"/>
  <c r="AB2218" i="6" s="1"/>
  <c r="AC2218" i="6" s="1"/>
  <c r="S683" i="6"/>
  <c r="AB683" i="6" s="1"/>
  <c r="AC683" i="6" s="1"/>
  <c r="S2204" i="6"/>
  <c r="AB2204" i="6" s="1"/>
  <c r="AC2204" i="6" s="1"/>
  <c r="S2271" i="6"/>
  <c r="AB2271" i="6" s="1"/>
  <c r="AC2271" i="6" s="1"/>
  <c r="S1541" i="6"/>
  <c r="AB1541" i="6" s="1"/>
  <c r="AC1541" i="6" s="1"/>
  <c r="AD2212" i="6"/>
  <c r="AD2213" i="6"/>
  <c r="AD674" i="6"/>
  <c r="AD2208" i="6"/>
  <c r="S2253" i="6"/>
  <c r="AB2253" i="6" s="1"/>
  <c r="AC2253" i="6" s="1"/>
  <c r="AD1690" i="6"/>
  <c r="S2288" i="6"/>
  <c r="AB2288" i="6" s="1"/>
  <c r="AC2288" i="6" s="1"/>
  <c r="S2209" i="6"/>
  <c r="AB2209" i="6" s="1"/>
  <c r="AC2209" i="6" s="1"/>
  <c r="AD2291" i="6"/>
  <c r="S533" i="6"/>
  <c r="AB533" i="6" s="1"/>
  <c r="AC533" i="6" s="1"/>
  <c r="S429" i="6"/>
  <c r="AB429" i="6" s="1"/>
  <c r="AC429" i="6" s="1"/>
  <c r="S2216" i="6"/>
  <c r="AB2216" i="6" s="1"/>
  <c r="AC2216" i="6" s="1"/>
  <c r="S2221" i="6"/>
  <c r="AB2221" i="6" s="1"/>
  <c r="AC2221" i="6" s="1"/>
  <c r="S2219" i="6"/>
  <c r="AB2219" i="6" s="1"/>
  <c r="AC2219" i="6" s="1"/>
  <c r="AD2136" i="6"/>
  <c r="S2297" i="6"/>
  <c r="AB2297" i="6" s="1"/>
  <c r="AC2297" i="6" s="1"/>
  <c r="S2207" i="6"/>
  <c r="AB2207" i="6" s="1"/>
  <c r="AC2207" i="6" s="1"/>
  <c r="AD2201" i="6"/>
  <c r="AD1991" i="6"/>
  <c r="AD1905" i="6"/>
  <c r="S1339" i="6"/>
  <c r="AB1339" i="6" s="1"/>
  <c r="AC1339" i="6" s="1"/>
  <c r="AD2202" i="6"/>
  <c r="AD2200" i="6"/>
  <c r="S2277" i="6"/>
  <c r="AB2277" i="6" s="1"/>
  <c r="AC2277" i="6" s="1"/>
  <c r="S1273" i="6"/>
  <c r="AB1273" i="6" s="1"/>
  <c r="AC1273" i="6" s="1"/>
  <c r="AD792" i="6"/>
  <c r="S2217" i="6"/>
  <c r="AB2217" i="6" s="1"/>
  <c r="AC2217" i="6" s="1"/>
  <c r="S1151" i="6"/>
  <c r="AB1151" i="6" s="1"/>
  <c r="AC1151" i="6" s="1"/>
  <c r="S2156" i="6"/>
  <c r="AB2156" i="6" s="1"/>
  <c r="AC2156" i="6" s="1"/>
  <c r="AD2211" i="6"/>
  <c r="AD1274" i="6"/>
  <c r="AD1901" i="6"/>
  <c r="AD2199" i="6"/>
  <c r="O17" i="6"/>
  <c r="R17" i="6" s="1"/>
  <c r="S17" i="6" s="1"/>
  <c r="AB17" i="6" s="1"/>
  <c r="AC17" i="6" s="1"/>
  <c r="O18" i="6"/>
  <c r="R18" i="6" s="1"/>
  <c r="AD2235" i="6"/>
  <c r="S2293" i="6"/>
  <c r="AB2293" i="6" s="1"/>
  <c r="AC2293" i="6" s="1"/>
  <c r="AD2104" i="6"/>
  <c r="AD698" i="6"/>
  <c r="AD2154" i="6"/>
  <c r="AD1994" i="6"/>
  <c r="AD1689" i="6"/>
  <c r="AD2102" i="6"/>
  <c r="S681" i="6"/>
  <c r="AB681" i="6" s="1"/>
  <c r="AC681" i="6" s="1"/>
  <c r="AD2287" i="6"/>
  <c r="AD1106" i="6"/>
  <c r="AD2233" i="6"/>
  <c r="S1898" i="6"/>
  <c r="AB1898" i="6" s="1"/>
  <c r="AC1898" i="6" s="1"/>
  <c r="AD2108" i="6"/>
  <c r="AD997" i="6"/>
  <c r="S2234" i="6"/>
  <c r="AB2234" i="6" s="1"/>
  <c r="AC2234" i="6" s="1"/>
  <c r="AD700" i="6"/>
  <c r="S2155" i="6"/>
  <c r="AB2155" i="6" s="1"/>
  <c r="AC2155" i="6" s="1"/>
  <c r="AD1993" i="6"/>
  <c r="AD2107" i="6"/>
  <c r="AD675" i="6"/>
  <c r="AD2232" i="6"/>
  <c r="AD430" i="6"/>
  <c r="AD1899" i="6"/>
  <c r="AD1906" i="6"/>
  <c r="AD680" i="6"/>
  <c r="AD1995" i="6"/>
  <c r="AD1904" i="6"/>
  <c r="AD2105" i="6"/>
  <c r="AD1903" i="6"/>
  <c r="AD682" i="6"/>
  <c r="AD1902" i="6"/>
  <c r="AD676" i="6"/>
  <c r="AD1990" i="6"/>
  <c r="S1687" i="6"/>
  <c r="AB1687" i="6" s="1"/>
  <c r="AC1687" i="6" s="1"/>
  <c r="H26" i="13"/>
  <c r="AD2357" i="6"/>
  <c r="AD2360" i="6"/>
  <c r="H25" i="13"/>
  <c r="O10" i="6"/>
  <c r="H18" i="13"/>
  <c r="AD2352" i="6"/>
  <c r="AD1033" i="6"/>
  <c r="AD2354" i="6"/>
  <c r="AD2312" i="6"/>
  <c r="AD2035" i="6"/>
  <c r="AD2307" i="6"/>
  <c r="AD2324" i="6"/>
  <c r="AD2327" i="6"/>
  <c r="AD2329" i="6"/>
  <c r="AD2309" i="6"/>
  <c r="AD2317" i="6"/>
  <c r="AD2325" i="6"/>
  <c r="AD2319" i="6"/>
  <c r="AD2326" i="6"/>
  <c r="AD2314" i="6"/>
  <c r="AD2311" i="6"/>
  <c r="AD2305" i="6"/>
  <c r="AA34" i="10"/>
  <c r="AD1150" i="6"/>
  <c r="AA271" i="10"/>
  <c r="R2119" i="6"/>
  <c r="AD1442" i="6"/>
  <c r="AD2000" i="6"/>
  <c r="AD1009" i="6"/>
  <c r="AD1233" i="6"/>
  <c r="AD757" i="6"/>
  <c r="AD761" i="6"/>
  <c r="AD2146" i="6"/>
  <c r="AD1130" i="6"/>
  <c r="AD1428" i="6"/>
  <c r="AD1240" i="6"/>
  <c r="AD968" i="6"/>
  <c r="AD109" i="6"/>
  <c r="AD410" i="6"/>
  <c r="AD1768" i="6"/>
  <c r="AD132" i="6"/>
  <c r="AD378" i="6"/>
  <c r="AD976" i="6"/>
  <c r="AD918" i="6"/>
  <c r="Z5" i="10"/>
  <c r="AA183" i="10"/>
  <c r="AA233" i="10"/>
  <c r="AA76" i="10"/>
  <c r="AA186" i="10"/>
  <c r="AA67" i="10"/>
  <c r="AA56" i="10"/>
  <c r="AA156" i="10"/>
  <c r="AA302" i="10"/>
  <c r="AA178" i="10"/>
  <c r="AA153" i="10"/>
  <c r="AA63" i="10"/>
  <c r="AA42" i="10"/>
  <c r="AA101" i="10"/>
  <c r="AA124" i="10"/>
  <c r="AA91" i="10"/>
  <c r="AA182" i="10"/>
  <c r="AA187" i="10"/>
  <c r="AA263" i="10"/>
  <c r="AA203" i="10"/>
  <c r="AA94" i="10"/>
  <c r="AA239" i="10"/>
  <c r="AA272" i="10"/>
  <c r="AA258" i="10"/>
  <c r="AA24" i="10"/>
  <c r="AA201" i="10"/>
  <c r="AA192" i="10"/>
  <c r="AA296" i="10"/>
  <c r="AA198" i="10"/>
  <c r="AA139" i="10"/>
  <c r="AA278" i="10"/>
  <c r="AA312" i="10"/>
  <c r="AB2366" i="6" l="1"/>
  <c r="V2366" i="6"/>
  <c r="W2366" i="6" s="1"/>
  <c r="AB2365" i="6"/>
  <c r="V2365" i="6"/>
  <c r="AB2364" i="6"/>
  <c r="V2364" i="6"/>
  <c r="W2364" i="6" s="1"/>
  <c r="AC2363" i="6"/>
  <c r="AD2363" i="6" s="1"/>
  <c r="AA267" i="10"/>
  <c r="AA238" i="10"/>
  <c r="AA45" i="10"/>
  <c r="AA256" i="10"/>
  <c r="AA247" i="10"/>
  <c r="AA80" i="10"/>
  <c r="AA25" i="10"/>
  <c r="AA138" i="10"/>
  <c r="AA162" i="10"/>
  <c r="AA123" i="10"/>
  <c r="AA235" i="10"/>
  <c r="AA9" i="10"/>
  <c r="AA212" i="10"/>
  <c r="AA18" i="10"/>
  <c r="AA140" i="10"/>
  <c r="AA200" i="10"/>
  <c r="AA16" i="10"/>
  <c r="AA319" i="10"/>
  <c r="AA96" i="10"/>
  <c r="AA171" i="10"/>
  <c r="AA306" i="10"/>
  <c r="AA308" i="10"/>
  <c r="AA134" i="10"/>
  <c r="H15" i="13"/>
  <c r="AA132" i="10"/>
  <c r="AA54" i="10"/>
  <c r="AA170" i="10"/>
  <c r="AA85" i="10"/>
  <c r="AA159" i="10"/>
  <c r="AA262" i="10"/>
  <c r="AA210" i="10"/>
  <c r="AA148" i="10"/>
  <c r="AA301" i="10"/>
  <c r="AA211" i="10"/>
  <c r="AA231" i="10"/>
  <c r="AA77" i="10"/>
  <c r="AA259" i="10"/>
  <c r="AA275" i="10"/>
  <c r="AA98" i="10"/>
  <c r="AA255" i="10"/>
  <c r="AA298" i="10"/>
  <c r="AA289" i="10"/>
  <c r="AA141" i="10"/>
  <c r="AA209" i="10"/>
  <c r="AA318" i="10"/>
  <c r="AA75" i="10"/>
  <c r="AA241" i="10"/>
  <c r="AA177" i="10"/>
  <c r="AA165" i="10"/>
  <c r="AA285" i="10"/>
  <c r="AA240" i="10"/>
  <c r="AA222" i="10"/>
  <c r="AA216" i="10"/>
  <c r="AA284" i="10"/>
  <c r="AA305" i="10"/>
  <c r="AA230" i="10"/>
  <c r="AA299" i="10"/>
  <c r="AA51" i="10"/>
  <c r="AA199" i="10"/>
  <c r="AA93" i="10"/>
  <c r="AA290" i="10"/>
  <c r="AA59" i="10"/>
  <c r="AA19" i="10"/>
  <c r="AA151" i="10"/>
  <c r="AA31" i="10"/>
  <c r="AA167" i="10"/>
  <c r="AA57" i="10"/>
  <c r="AA120" i="10"/>
  <c r="AA88" i="10"/>
  <c r="AA175" i="10"/>
  <c r="AA28" i="10"/>
  <c r="AA118" i="10"/>
  <c r="AA219" i="10"/>
  <c r="AA133" i="10"/>
  <c r="AA83" i="10"/>
  <c r="AA72" i="10"/>
  <c r="AA38" i="10"/>
  <c r="AA89" i="10"/>
  <c r="AA280" i="10"/>
  <c r="AA78" i="10"/>
  <c r="AA173" i="10"/>
  <c r="AA191" i="10"/>
  <c r="AA27" i="10"/>
  <c r="AA287" i="10"/>
  <c r="AA103" i="10"/>
  <c r="AA314" i="10"/>
  <c r="AA282" i="10"/>
  <c r="AA295" i="10"/>
  <c r="AA184" i="10"/>
  <c r="AA44" i="10"/>
  <c r="AA188" i="10"/>
  <c r="AA65" i="10"/>
  <c r="AA315" i="10"/>
  <c r="AA32" i="10"/>
  <c r="AA62" i="10"/>
  <c r="AA127" i="10"/>
  <c r="AA146" i="10"/>
  <c r="AA161" i="10"/>
  <c r="AA293" i="10"/>
  <c r="AA149" i="10"/>
  <c r="AA196" i="10"/>
  <c r="AA190" i="10"/>
  <c r="AA223" i="10"/>
  <c r="AA84" i="10"/>
  <c r="AA61" i="10"/>
  <c r="AA15" i="10"/>
  <c r="AA68" i="10"/>
  <c r="AA229" i="10"/>
  <c r="AA185" i="10"/>
  <c r="AA135" i="10"/>
  <c r="AA35" i="10"/>
  <c r="AA23" i="10"/>
  <c r="AA155" i="10"/>
  <c r="AA12" i="10"/>
  <c r="AA105" i="10"/>
  <c r="AA73" i="10"/>
  <c r="AA163" i="10"/>
  <c r="AA292" i="10"/>
  <c r="AA257" i="10"/>
  <c r="AA194" i="10"/>
  <c r="AA234" i="10"/>
  <c r="AA43" i="10"/>
  <c r="AA111" i="10"/>
  <c r="AA303" i="10"/>
  <c r="AA213" i="10"/>
  <c r="AA208" i="10"/>
  <c r="AA243" i="10"/>
  <c r="AA128" i="10"/>
  <c r="AA244" i="10"/>
  <c r="AA95" i="10"/>
  <c r="AA6" i="10"/>
  <c r="AA169" i="10"/>
  <c r="AA116" i="10"/>
  <c r="AA37" i="10"/>
  <c r="AA248" i="10"/>
  <c r="AA130" i="10"/>
  <c r="AA152" i="10"/>
  <c r="AA109" i="10"/>
  <c r="AA157" i="10"/>
  <c r="AA245" i="10"/>
  <c r="AA97" i="10"/>
  <c r="AA136" i="10"/>
  <c r="AA205" i="10"/>
  <c r="AA99" i="10"/>
  <c r="AA29" i="10"/>
  <c r="AA321" i="10"/>
  <c r="AA273" i="10"/>
  <c r="AA311" i="10"/>
  <c r="AA322" i="10"/>
  <c r="AA113" i="10"/>
  <c r="AA277" i="10"/>
  <c r="AA33" i="10"/>
  <c r="AA316" i="10"/>
  <c r="AA41" i="10"/>
  <c r="AA310" i="10"/>
  <c r="AA266" i="10"/>
  <c r="AA108" i="10"/>
  <c r="AA30" i="10"/>
  <c r="AA320" i="10"/>
  <c r="AA771" i="6"/>
  <c r="AC2348" i="6"/>
  <c r="AD2348" i="6" s="1"/>
  <c r="AA2264" i="6"/>
  <c r="AA1323" i="6"/>
  <c r="AA1550" i="6"/>
  <c r="AA2353" i="6"/>
  <c r="AE2353" i="6" s="1"/>
  <c r="AA1710" i="6"/>
  <c r="W309" i="6"/>
  <c r="AA309" i="6" s="1"/>
  <c r="AA211" i="6"/>
  <c r="AA131" i="6"/>
  <c r="AA2036" i="6"/>
  <c r="AA1031" i="6"/>
  <c r="W1346" i="6"/>
  <c r="AA1346" i="6" s="1"/>
  <c r="AA1545" i="6"/>
  <c r="AA721" i="6"/>
  <c r="W2009" i="6"/>
  <c r="AA2009" i="6" s="1"/>
  <c r="AA1461" i="6"/>
  <c r="AA1360" i="6"/>
  <c r="AA558" i="6"/>
  <c r="AA334" i="6"/>
  <c r="AA1443" i="6"/>
  <c r="AA402" i="6"/>
  <c r="AA62" i="6"/>
  <c r="AA2122" i="6"/>
  <c r="W1914" i="6"/>
  <c r="AA1914" i="6" s="1"/>
  <c r="W2006" i="6"/>
  <c r="AA2006" i="6" s="1"/>
  <c r="AA2025" i="6"/>
  <c r="AA508" i="6"/>
  <c r="AA1107" i="6"/>
  <c r="AE1107" i="6" s="1"/>
  <c r="AA2042" i="6"/>
  <c r="AA367" i="6"/>
  <c r="AA1465" i="6"/>
  <c r="AA282" i="6"/>
  <c r="AA1176" i="6"/>
  <c r="AA782" i="6"/>
  <c r="AA527" i="6"/>
  <c r="AA250" i="6"/>
  <c r="AA2193" i="6"/>
  <c r="AA20" i="6"/>
  <c r="AA141" i="6"/>
  <c r="AA658" i="6"/>
  <c r="AA1009" i="6"/>
  <c r="AE1009" i="6" s="1"/>
  <c r="AA494" i="6"/>
  <c r="AA416" i="6"/>
  <c r="AA1208" i="6"/>
  <c r="AA2295" i="6"/>
  <c r="AE2295" i="6" s="1"/>
  <c r="AA1721" i="6"/>
  <c r="AA1939" i="6"/>
  <c r="AA1578" i="6"/>
  <c r="AA703" i="6"/>
  <c r="AA94" i="6"/>
  <c r="AA1974" i="6"/>
  <c r="AA1281" i="6"/>
  <c r="AA1436" i="6"/>
  <c r="AA256" i="6"/>
  <c r="AA715" i="6"/>
  <c r="AA293" i="6"/>
  <c r="AA990" i="6"/>
  <c r="AA1712" i="6"/>
  <c r="AA574" i="6"/>
  <c r="AA1021" i="6"/>
  <c r="AA526" i="6"/>
  <c r="AA821" i="6"/>
  <c r="AA1806" i="6"/>
  <c r="AA156" i="6"/>
  <c r="AA1203" i="6"/>
  <c r="AA878" i="6"/>
  <c r="AA1937" i="6"/>
  <c r="AA1410" i="6"/>
  <c r="AA2345" i="6"/>
  <c r="AE2345" i="6" s="1"/>
  <c r="AA655" i="6"/>
  <c r="AA1392" i="6"/>
  <c r="AA1658" i="6"/>
  <c r="AA117" i="6"/>
  <c r="AA2356" i="6"/>
  <c r="AE2356" i="6" s="1"/>
  <c r="AA1331" i="6"/>
  <c r="AA711" i="6"/>
  <c r="AA254" i="6"/>
  <c r="W297" i="6"/>
  <c r="AA297" i="6" s="1"/>
  <c r="AA420" i="6"/>
  <c r="AA2008" i="6"/>
  <c r="AA1752" i="6"/>
  <c r="W1279" i="6"/>
  <c r="AA1279" i="6" s="1"/>
  <c r="AA531" i="6"/>
  <c r="AA1504" i="6"/>
  <c r="AA1790" i="6"/>
  <c r="W740" i="6"/>
  <c r="AA740" i="6" s="1"/>
  <c r="W1276" i="6"/>
  <c r="AA1276" i="6" s="1"/>
  <c r="AA1714" i="6"/>
  <c r="AA1653" i="6"/>
  <c r="W1140" i="6"/>
  <c r="AA1140" i="6" s="1"/>
  <c r="AA1241" i="6"/>
  <c r="AA599" i="6"/>
  <c r="AA1442" i="6"/>
  <c r="AE1442" i="6" s="1"/>
  <c r="W523" i="6"/>
  <c r="AA523" i="6" s="1"/>
  <c r="W1512" i="6"/>
  <c r="AA1512" i="6" s="1"/>
  <c r="W2023" i="6"/>
  <c r="AA2023" i="6" s="1"/>
  <c r="W1874" i="6"/>
  <c r="AA1874" i="6" s="1"/>
  <c r="W1754" i="6"/>
  <c r="AA1754" i="6" s="1"/>
  <c r="W193" i="6"/>
  <c r="AA193" i="6" s="1"/>
  <c r="W1456" i="6"/>
  <c r="AA1456" i="6" s="1"/>
  <c r="W44" i="6"/>
  <c r="AA44" i="6" s="1"/>
  <c r="W407" i="6"/>
  <c r="AA407" i="6" s="1"/>
  <c r="W886" i="6"/>
  <c r="AA886" i="6" s="1"/>
  <c r="AA755" i="6"/>
  <c r="W1243" i="6"/>
  <c r="AA1243" i="6" s="1"/>
  <c r="W2178" i="6"/>
  <c r="AA2178" i="6" s="1"/>
  <c r="W827" i="6"/>
  <c r="AA827" i="6" s="1"/>
  <c r="W1524" i="6"/>
  <c r="AA1524" i="6" s="1"/>
  <c r="W612" i="6"/>
  <c r="AA612" i="6" s="1"/>
  <c r="W1237" i="6"/>
  <c r="AA1237" i="6" s="1"/>
  <c r="W1760" i="6"/>
  <c r="AA1760" i="6" s="1"/>
  <c r="W504" i="6"/>
  <c r="AA504" i="6" s="1"/>
  <c r="AA1606" i="6"/>
  <c r="W1304" i="6"/>
  <c r="AA1304" i="6" s="1"/>
  <c r="W860" i="6"/>
  <c r="AA860" i="6" s="1"/>
  <c r="AA2018" i="6"/>
  <c r="W1737" i="6"/>
  <c r="AA1737" i="6" s="1"/>
  <c r="W1303" i="6"/>
  <c r="AA1303" i="6" s="1"/>
  <c r="W1396" i="6"/>
  <c r="AA1396" i="6" s="1"/>
  <c r="W1644" i="6"/>
  <c r="AA1644" i="6" s="1"/>
  <c r="W220" i="6"/>
  <c r="AA220" i="6" s="1"/>
  <c r="W2256" i="6"/>
  <c r="AA2256" i="6" s="1"/>
  <c r="AE2256" i="6" s="1"/>
  <c r="W1583" i="6"/>
  <c r="AA1583" i="6" s="1"/>
  <c r="AA158" i="6"/>
  <c r="AA2074" i="6"/>
  <c r="AA708" i="6"/>
  <c r="W1329" i="6"/>
  <c r="AA1329" i="6" s="1"/>
  <c r="W32" i="6"/>
  <c r="AA32" i="6" s="1"/>
  <c r="W542" i="6"/>
  <c r="AA542" i="6" s="1"/>
  <c r="W961" i="6"/>
  <c r="AA961" i="6" s="1"/>
  <c r="W2141" i="6"/>
  <c r="AA2141" i="6" s="1"/>
  <c r="W151" i="6"/>
  <c r="AA151" i="6" s="1"/>
  <c r="W328" i="6"/>
  <c r="AA328" i="6" s="1"/>
  <c r="W2107" i="6"/>
  <c r="AA2107" i="6" s="1"/>
  <c r="AE2107" i="6" s="1"/>
  <c r="W1510" i="6"/>
  <c r="AA1510" i="6" s="1"/>
  <c r="AA739" i="6"/>
  <c r="W221" i="6"/>
  <c r="AA221" i="6" s="1"/>
  <c r="W1805" i="6"/>
  <c r="AA1805" i="6" s="1"/>
  <c r="W2135" i="6"/>
  <c r="AA2135" i="6" s="1"/>
  <c r="AA242" i="6"/>
  <c r="W1826" i="6"/>
  <c r="AA1826" i="6" s="1"/>
  <c r="W1278" i="6"/>
  <c r="AA1278" i="6" s="1"/>
  <c r="W987" i="6"/>
  <c r="AA987" i="6" s="1"/>
  <c r="W541" i="6"/>
  <c r="AA541" i="6" s="1"/>
  <c r="W1374" i="6"/>
  <c r="AA1374" i="6" s="1"/>
  <c r="W1134" i="6"/>
  <c r="AA1134" i="6" s="1"/>
  <c r="W2012" i="6"/>
  <c r="AA2012" i="6" s="1"/>
  <c r="W315" i="6"/>
  <c r="AA315" i="6" s="1"/>
  <c r="W1993" i="6"/>
  <c r="AA1993" i="6" s="1"/>
  <c r="AE1993" i="6" s="1"/>
  <c r="AA1038" i="6"/>
  <c r="AA803" i="6"/>
  <c r="W905" i="6"/>
  <c r="AA905" i="6" s="1"/>
  <c r="W280" i="6"/>
  <c r="AA280" i="6" s="1"/>
  <c r="W1561" i="6"/>
  <c r="AA1561" i="6" s="1"/>
  <c r="W186" i="6"/>
  <c r="AA186" i="6" s="1"/>
  <c r="W684" i="6"/>
  <c r="AA684" i="6" s="1"/>
  <c r="W230" i="6"/>
  <c r="AA230" i="6" s="1"/>
  <c r="W1951" i="6"/>
  <c r="AA1951" i="6" s="1"/>
  <c r="W2102" i="6"/>
  <c r="AA2102" i="6" s="1"/>
  <c r="AE2102" i="6" s="1"/>
  <c r="W2314" i="6"/>
  <c r="AA2314" i="6" s="1"/>
  <c r="AE2314" i="6" s="1"/>
  <c r="W1372" i="6"/>
  <c r="AA1372" i="6" s="1"/>
  <c r="W2170" i="6"/>
  <c r="AA2170" i="6" s="1"/>
  <c r="AA2339" i="6"/>
  <c r="W1986" i="6"/>
  <c r="AA1986" i="6" s="1"/>
  <c r="W1788" i="6"/>
  <c r="AA1788" i="6" s="1"/>
  <c r="AA71" i="6"/>
  <c r="W234" i="6"/>
  <c r="AA234" i="6" s="1"/>
  <c r="W1018" i="6"/>
  <c r="AA1018" i="6" s="1"/>
  <c r="W1071" i="6"/>
  <c r="AA1071" i="6" s="1"/>
  <c r="W74" i="6"/>
  <c r="AA74" i="6" s="1"/>
  <c r="W1956" i="6"/>
  <c r="AA1956" i="6" s="1"/>
  <c r="W876" i="6"/>
  <c r="AA876" i="6" s="1"/>
  <c r="AA1416" i="6"/>
  <c r="W664" i="6"/>
  <c r="AA664" i="6" s="1"/>
  <c r="W511" i="6"/>
  <c r="AA511" i="6" s="1"/>
  <c r="W2255" i="6"/>
  <c r="AA2255" i="6" s="1"/>
  <c r="AE2255" i="6" s="1"/>
  <c r="W1385" i="6"/>
  <c r="AA1385" i="6" s="1"/>
  <c r="AA1532" i="6"/>
  <c r="W1657" i="6"/>
  <c r="AA1657" i="6" s="1"/>
  <c r="W2109" i="6"/>
  <c r="AA2109" i="6" s="1"/>
  <c r="W350" i="6"/>
  <c r="AA350" i="6" s="1"/>
  <c r="W1081" i="6"/>
  <c r="AA1081" i="6" s="1"/>
  <c r="AA651" i="6"/>
  <c r="W98" i="6"/>
  <c r="AA98" i="6" s="1"/>
  <c r="W2331" i="6"/>
  <c r="AA2331" i="6" s="1"/>
  <c r="AE2331" i="6" s="1"/>
  <c r="AA967" i="6"/>
  <c r="W902" i="6"/>
  <c r="AA902" i="6" s="1"/>
  <c r="W386" i="6"/>
  <c r="AA386" i="6" s="1"/>
  <c r="W413" i="6"/>
  <c r="AA413" i="6" s="1"/>
  <c r="W2133" i="6"/>
  <c r="AA2133" i="6" s="1"/>
  <c r="AA669" i="6"/>
  <c r="W466" i="6"/>
  <c r="AA466" i="6" s="1"/>
  <c r="W1306" i="6"/>
  <c r="AA1306" i="6" s="1"/>
  <c r="W1525" i="6"/>
  <c r="AA1525" i="6" s="1"/>
  <c r="W21" i="6"/>
  <c r="AA21" i="6" s="1"/>
  <c r="W1701" i="6"/>
  <c r="AA1701" i="6" s="1"/>
  <c r="W1784" i="6"/>
  <c r="AA1784" i="6" s="1"/>
  <c r="W812" i="6"/>
  <c r="AA812" i="6" s="1"/>
  <c r="W2244" i="6"/>
  <c r="AA2244" i="6" s="1"/>
  <c r="AE2244" i="6" s="1"/>
  <c r="W632" i="6"/>
  <c r="AA632" i="6" s="1"/>
  <c r="W914" i="6"/>
  <c r="AA914" i="6" s="1"/>
  <c r="W1640" i="6"/>
  <c r="AA1640" i="6" s="1"/>
  <c r="W1175" i="6"/>
  <c r="AA1175" i="6" s="1"/>
  <c r="W1179" i="6"/>
  <c r="AA1179" i="6" s="1"/>
  <c r="W2233" i="6"/>
  <c r="AA2233" i="6" s="1"/>
  <c r="AE2233" i="6" s="1"/>
  <c r="W2035" i="6"/>
  <c r="AA2035" i="6" s="1"/>
  <c r="AE2035" i="6" s="1"/>
  <c r="W501" i="6"/>
  <c r="AA501" i="6" s="1"/>
  <c r="W133" i="6"/>
  <c r="AA133" i="6" s="1"/>
  <c r="W935" i="6"/>
  <c r="AA935" i="6" s="1"/>
  <c r="W936" i="6"/>
  <c r="AA936" i="6" s="1"/>
  <c r="AA551" i="6"/>
  <c r="W536" i="6"/>
  <c r="AA536" i="6" s="1"/>
  <c r="W2281" i="6"/>
  <c r="AA2281" i="6" s="1"/>
  <c r="AE2281" i="6" s="1"/>
  <c r="W1300" i="6"/>
  <c r="AA1300" i="6" s="1"/>
  <c r="W396" i="6"/>
  <c r="AA396" i="6" s="1"/>
  <c r="W1034" i="6"/>
  <c r="AA1034" i="6" s="1"/>
  <c r="W337" i="6"/>
  <c r="AA337" i="6" s="1"/>
  <c r="W1778" i="6"/>
  <c r="AA1778" i="6" s="1"/>
  <c r="AA1238" i="6"/>
  <c r="AA1479" i="6"/>
  <c r="W1731" i="6"/>
  <c r="AA1731" i="6" s="1"/>
  <c r="W1451" i="6"/>
  <c r="AA1451" i="6" s="1"/>
  <c r="AA50" i="6"/>
  <c r="W1667" i="6"/>
  <c r="AA1667" i="6" s="1"/>
  <c r="W1579" i="6"/>
  <c r="AA1579" i="6" s="1"/>
  <c r="W190" i="6"/>
  <c r="AA190" i="6" s="1"/>
  <c r="W538" i="6"/>
  <c r="AA538" i="6" s="1"/>
  <c r="W1556" i="6"/>
  <c r="AA1556" i="6" s="1"/>
  <c r="W415" i="6"/>
  <c r="AA415" i="6" s="1"/>
  <c r="W660" i="6"/>
  <c r="AA660" i="6" s="1"/>
  <c r="W57" i="6"/>
  <c r="AA57" i="6" s="1"/>
  <c r="AA2200" i="6"/>
  <c r="AE2200" i="6" s="1"/>
  <c r="W1973" i="6"/>
  <c r="AA1973" i="6" s="1"/>
  <c r="AA778" i="6"/>
  <c r="W581" i="6"/>
  <c r="AA581" i="6" s="1"/>
  <c r="W1471" i="6"/>
  <c r="AA1471" i="6" s="1"/>
  <c r="W964" i="6"/>
  <c r="AA964" i="6" s="1"/>
  <c r="W188" i="6"/>
  <c r="AA188" i="6" s="1"/>
  <c r="W100" i="6"/>
  <c r="AA100" i="6" s="1"/>
  <c r="W1129" i="6"/>
  <c r="AA1129" i="6" s="1"/>
  <c r="W896" i="6"/>
  <c r="AA896" i="6" s="1"/>
  <c r="W1353" i="6"/>
  <c r="AA1353" i="6" s="1"/>
  <c r="W1920" i="6"/>
  <c r="AA1920" i="6" s="1"/>
  <c r="W1926" i="6"/>
  <c r="AA1926" i="6" s="1"/>
  <c r="AA1553" i="6"/>
  <c r="W807" i="6"/>
  <c r="AA807" i="6" s="1"/>
  <c r="W2257" i="6"/>
  <c r="AA2257" i="6" s="1"/>
  <c r="AE2257" i="6" s="1"/>
  <c r="W916" i="6"/>
  <c r="AA916" i="6" s="1"/>
  <c r="W1321" i="6"/>
  <c r="AA1321" i="6" s="1"/>
  <c r="W1785" i="6"/>
  <c r="AA1785" i="6" s="1"/>
  <c r="W2100" i="6"/>
  <c r="AA2100" i="6" s="1"/>
  <c r="AA1700" i="6"/>
  <c r="W489" i="6"/>
  <c r="AA489" i="6" s="1"/>
  <c r="W1486" i="6"/>
  <c r="AA1486" i="6" s="1"/>
  <c r="W509" i="6"/>
  <c r="AA509" i="6" s="1"/>
  <c r="W2123" i="6"/>
  <c r="AA2123" i="6" s="1"/>
  <c r="W1459" i="6"/>
  <c r="AA1459" i="6" s="1"/>
  <c r="AA1177" i="6"/>
  <c r="W820" i="6"/>
  <c r="AA820" i="6" s="1"/>
  <c r="AA819" i="6"/>
  <c r="W1635" i="6"/>
  <c r="AA1635" i="6" s="1"/>
  <c r="AA238" i="6"/>
  <c r="AA824" i="6"/>
  <c r="W1633" i="6"/>
  <c r="AA1633" i="6" s="1"/>
  <c r="W52" i="6"/>
  <c r="AA52" i="6" s="1"/>
  <c r="W641" i="6"/>
  <c r="AA641" i="6" s="1"/>
  <c r="W40" i="6"/>
  <c r="AA40" i="6" s="1"/>
  <c r="W1941" i="6"/>
  <c r="AA1941" i="6" s="1"/>
  <c r="W1931" i="6"/>
  <c r="AA1931" i="6" s="1"/>
  <c r="W525" i="6"/>
  <c r="AA525" i="6" s="1"/>
  <c r="W855" i="6"/>
  <c r="AA855" i="6" s="1"/>
  <c r="AA437" i="6"/>
  <c r="W883" i="6"/>
  <c r="AA883" i="6" s="1"/>
  <c r="W1802" i="6"/>
  <c r="AA1802" i="6" s="1"/>
  <c r="W1343" i="6"/>
  <c r="AA1343" i="6" s="1"/>
  <c r="W2333" i="6"/>
  <c r="AA2333" i="6" s="1"/>
  <c r="AE2333" i="6" s="1"/>
  <c r="W1488" i="6"/>
  <c r="AA1488" i="6" s="1"/>
  <c r="W292" i="6"/>
  <c r="AA292" i="6" s="1"/>
  <c r="W2140" i="6"/>
  <c r="AA2140" i="6" s="1"/>
  <c r="W1472" i="6"/>
  <c r="AA1472" i="6" s="1"/>
  <c r="W473" i="6"/>
  <c r="AA473" i="6" s="1"/>
  <c r="W1336" i="6"/>
  <c r="AA1336" i="6" s="1"/>
  <c r="W1090" i="6"/>
  <c r="AA1090" i="6" s="1"/>
  <c r="W2082" i="6"/>
  <c r="AA2082" i="6" s="1"/>
  <c r="W894" i="6"/>
  <c r="AA894" i="6" s="1"/>
  <c r="W586" i="6"/>
  <c r="AA586" i="6" s="1"/>
  <c r="W1821" i="6"/>
  <c r="AA1821" i="6" s="1"/>
  <c r="AA1253" i="6"/>
  <c r="W1079" i="6"/>
  <c r="AA1079" i="6" s="1"/>
  <c r="W2270" i="6"/>
  <c r="AA2270" i="6" s="1"/>
  <c r="AA1234" i="6"/>
  <c r="W2184" i="6"/>
  <c r="AA2184" i="6" s="1"/>
  <c r="W1863" i="6"/>
  <c r="AA1863" i="6" s="1"/>
  <c r="W223" i="6"/>
  <c r="AA223" i="6" s="1"/>
  <c r="W1287" i="6"/>
  <c r="AA1287" i="6" s="1"/>
  <c r="W690" i="6"/>
  <c r="AA690" i="6" s="1"/>
  <c r="W359" i="6"/>
  <c r="AA359" i="6" s="1"/>
  <c r="W1717" i="6"/>
  <c r="AA1717" i="6" s="1"/>
  <c r="W1359" i="6"/>
  <c r="AA1359" i="6" s="1"/>
  <c r="AA1704" i="6"/>
  <c r="W652" i="6"/>
  <c r="AA652" i="6" s="1"/>
  <c r="W1934" i="6"/>
  <c r="AA1934" i="6" s="1"/>
  <c r="AA1406" i="6"/>
  <c r="AA1168" i="6"/>
  <c r="W1911" i="6"/>
  <c r="AA1911" i="6" s="1"/>
  <c r="AA2152" i="6"/>
  <c r="AA663" i="6"/>
  <c r="AA872" i="6"/>
  <c r="W977" i="6"/>
  <c r="AA977" i="6" s="1"/>
  <c r="AA73" i="6"/>
  <c r="W835" i="6"/>
  <c r="AA835" i="6" s="1"/>
  <c r="W1711" i="6"/>
  <c r="AA1711" i="6" s="1"/>
  <c r="W191" i="6"/>
  <c r="AA191" i="6" s="1"/>
  <c r="W1041" i="6"/>
  <c r="AA1041" i="6" s="1"/>
  <c r="W453" i="6"/>
  <c r="AA453" i="6" s="1"/>
  <c r="W1662" i="6"/>
  <c r="AA1662" i="6" s="1"/>
  <c r="W569" i="6"/>
  <c r="AA569" i="6" s="1"/>
  <c r="W1366" i="6"/>
  <c r="AA1366" i="6" s="1"/>
  <c r="W14" i="6"/>
  <c r="AA14" i="6" s="1"/>
  <c r="AA121" i="6"/>
  <c r="W893" i="6"/>
  <c r="AA893" i="6" s="1"/>
  <c r="W675" i="6"/>
  <c r="AA675" i="6" s="1"/>
  <c r="AE675" i="6" s="1"/>
  <c r="AA1681" i="6"/>
  <c r="W993" i="6"/>
  <c r="AA993" i="6" s="1"/>
  <c r="W241" i="6"/>
  <c r="AA241" i="6" s="1"/>
  <c r="W1719" i="6"/>
  <c r="AA1719" i="6" s="1"/>
  <c r="AA304" i="6"/>
  <c r="W1388" i="6"/>
  <c r="AA1388" i="6" s="1"/>
  <c r="W1565" i="6"/>
  <c r="AA1565" i="6" s="1"/>
  <c r="W873" i="6"/>
  <c r="AA873" i="6" s="1"/>
  <c r="W1646" i="6"/>
  <c r="AA1646" i="6" s="1"/>
  <c r="W2153" i="6"/>
  <c r="AA2153" i="6" s="1"/>
  <c r="AA689" i="6"/>
  <c r="W813" i="6"/>
  <c r="AA813" i="6" s="1"/>
  <c r="W2138" i="6"/>
  <c r="AA2138" i="6" s="1"/>
  <c r="W568" i="6"/>
  <c r="AA568" i="6" s="1"/>
  <c r="W1180" i="6"/>
  <c r="AA1180" i="6" s="1"/>
  <c r="W2279" i="6"/>
  <c r="AA2279" i="6" s="1"/>
  <c r="AE2279" i="6" s="1"/>
  <c r="W126" i="6"/>
  <c r="AA126" i="6" s="1"/>
  <c r="W853" i="6"/>
  <c r="AA853" i="6" s="1"/>
  <c r="W826" i="6"/>
  <c r="AA826" i="6" s="1"/>
  <c r="AA1694" i="6"/>
  <c r="AA899" i="6"/>
  <c r="W537" i="6"/>
  <c r="AA537" i="6" s="1"/>
  <c r="W910" i="6"/>
  <c r="AA910" i="6" s="1"/>
  <c r="W119" i="6"/>
  <c r="AA119" i="6" s="1"/>
  <c r="W1089" i="6"/>
  <c r="AA1089" i="6" s="1"/>
  <c r="W1039" i="6"/>
  <c r="AA1039" i="6" s="1"/>
  <c r="W1669" i="6"/>
  <c r="AA1669" i="6" s="1"/>
  <c r="W456" i="6"/>
  <c r="AA456" i="6" s="1"/>
  <c r="W335" i="6"/>
  <c r="AA335" i="6" s="1"/>
  <c r="W1489" i="6"/>
  <c r="AA1489" i="6" s="1"/>
  <c r="W1999" i="6"/>
  <c r="AA1999" i="6" s="1"/>
  <c r="W1779" i="6"/>
  <c r="AA1779" i="6" s="1"/>
  <c r="W1467" i="6"/>
  <c r="AA1467" i="6" s="1"/>
  <c r="W837" i="6"/>
  <c r="AA837" i="6" s="1"/>
  <c r="W548" i="6"/>
  <c r="AA548" i="6" s="1"/>
  <c r="W1665" i="6"/>
  <c r="AA1665" i="6" s="1"/>
  <c r="W1950" i="6"/>
  <c r="AA1950" i="6" s="1"/>
  <c r="W885" i="6"/>
  <c r="AA885" i="6" s="1"/>
  <c r="W264" i="6"/>
  <c r="AA264" i="6" s="1"/>
  <c r="W302" i="6"/>
  <c r="AA302" i="6" s="1"/>
  <c r="W909" i="6"/>
  <c r="AA909" i="6" s="1"/>
  <c r="W1240" i="6"/>
  <c r="AA1240" i="6" s="1"/>
  <c r="AE1240" i="6" s="1"/>
  <c r="W650" i="6"/>
  <c r="AA650" i="6" s="1"/>
  <c r="W2029" i="6"/>
  <c r="AA2029" i="6" s="1"/>
  <c r="W237" i="6"/>
  <c r="AA237" i="6" s="1"/>
  <c r="W1795" i="6"/>
  <c r="AA1795" i="6" s="1"/>
  <c r="W457" i="6"/>
  <c r="AA457" i="6" s="1"/>
  <c r="W1313" i="6"/>
  <c r="AA1313" i="6" s="1"/>
  <c r="W159" i="6"/>
  <c r="AA159" i="6" s="1"/>
  <c r="AA1879" i="6"/>
  <c r="W700" i="6"/>
  <c r="AA700" i="6" s="1"/>
  <c r="AE700" i="6" s="1"/>
  <c r="W2016" i="6"/>
  <c r="AA2016" i="6" s="1"/>
  <c r="W2320" i="6"/>
  <c r="AA2320" i="6" s="1"/>
  <c r="W1409" i="6"/>
  <c r="AA1409" i="6" s="1"/>
  <c r="W576" i="6"/>
  <c r="AA576" i="6" s="1"/>
  <c r="W854" i="6"/>
  <c r="AA854" i="6" s="1"/>
  <c r="W2191" i="6"/>
  <c r="AA2191" i="6" s="1"/>
  <c r="AA604" i="6"/>
  <c r="AA206" i="6"/>
  <c r="W2313" i="6"/>
  <c r="AA2313" i="6" s="1"/>
  <c r="AE2313" i="6" s="1"/>
  <c r="W1384" i="6"/>
  <c r="AA1384" i="6" s="1"/>
  <c r="W323" i="6"/>
  <c r="AA323" i="6" s="1"/>
  <c r="AA1672" i="6"/>
  <c r="W505" i="6"/>
  <c r="AA505" i="6" s="1"/>
  <c r="W340" i="6"/>
  <c r="AA340" i="6" s="1"/>
  <c r="W1405" i="6"/>
  <c r="AA1405" i="6" s="1"/>
  <c r="W1707" i="6"/>
  <c r="AA1707" i="6" s="1"/>
  <c r="W2149" i="6"/>
  <c r="AA2149" i="6" s="1"/>
  <c r="W2161" i="6"/>
  <c r="AA2161" i="6" s="1"/>
  <c r="AE2161" i="6" s="1"/>
  <c r="W1424" i="6"/>
  <c r="AA1424" i="6" s="1"/>
  <c r="AA1292" i="6"/>
  <c r="W1341" i="6"/>
  <c r="AA1341" i="6" s="1"/>
  <c r="W1337" i="6"/>
  <c r="AA1337" i="6" s="1"/>
  <c r="AA1082" i="6"/>
  <c r="AA644" i="6"/>
  <c r="W1394" i="6"/>
  <c r="AA1394" i="6" s="1"/>
  <c r="W1832" i="6"/>
  <c r="AA1832" i="6" s="1"/>
  <c r="W236" i="6"/>
  <c r="AA236" i="6" s="1"/>
  <c r="W1716" i="6"/>
  <c r="AA1716" i="6" s="1"/>
  <c r="W843" i="6"/>
  <c r="AA843" i="6" s="1"/>
  <c r="W2068" i="6"/>
  <c r="AA2068" i="6" s="1"/>
  <c r="W86" i="6"/>
  <c r="AA86" i="6" s="1"/>
  <c r="W1770" i="6"/>
  <c r="AA1770" i="6" s="1"/>
  <c r="W361" i="6"/>
  <c r="AA361" i="6" s="1"/>
  <c r="W1005" i="6"/>
  <c r="AA1005" i="6" s="1"/>
  <c r="W296" i="6"/>
  <c r="AA296" i="6" s="1"/>
  <c r="W1256" i="6"/>
  <c r="AA1256" i="6" s="1"/>
  <c r="AA1397" i="6"/>
  <c r="W743" i="6"/>
  <c r="AA743" i="6" s="1"/>
  <c r="W1439" i="6"/>
  <c r="AA1439" i="6" s="1"/>
  <c r="AA2143" i="6"/>
  <c r="AA358" i="6"/>
  <c r="W2026" i="6"/>
  <c r="AA2026" i="6" s="1"/>
  <c r="AA224" i="6"/>
  <c r="W1515" i="6"/>
  <c r="AA1515" i="6" s="1"/>
  <c r="AA1347" i="6"/>
  <c r="W830" i="6"/>
  <c r="AA830" i="6" s="1"/>
  <c r="W1970" i="6"/>
  <c r="AA1970" i="6" s="1"/>
  <c r="AA31" i="6"/>
  <c r="W459" i="6"/>
  <c r="AA459" i="6" s="1"/>
  <c r="W1010" i="6"/>
  <c r="AA1010" i="6" s="1"/>
  <c r="W463" i="6"/>
  <c r="AA463" i="6" s="1"/>
  <c r="W1271" i="6"/>
  <c r="AA1271" i="6" s="1"/>
  <c r="AA1493" i="6"/>
  <c r="AA1074" i="6"/>
  <c r="W299" i="6"/>
  <c r="AA299" i="6" s="1"/>
  <c r="W351" i="6"/>
  <c r="AA351" i="6" s="1"/>
  <c r="W2104" i="6"/>
  <c r="AA2104" i="6" s="1"/>
  <c r="AE2104" i="6" s="1"/>
  <c r="W1887" i="6"/>
  <c r="AA1887" i="6" s="1"/>
  <c r="W341" i="6"/>
  <c r="AA341" i="6" s="1"/>
  <c r="W1668" i="6"/>
  <c r="AA1668" i="6" s="1"/>
  <c r="W758" i="6"/>
  <c r="AA758" i="6" s="1"/>
  <c r="W875" i="6"/>
  <c r="AA875" i="6" s="1"/>
  <c r="AA801" i="6"/>
  <c r="AA434" i="6"/>
  <c r="W240" i="6"/>
  <c r="AA240" i="6" s="1"/>
  <c r="W2005" i="6"/>
  <c r="AA2005" i="6" s="1"/>
  <c r="W1936" i="6"/>
  <c r="AA1936" i="6" s="1"/>
  <c r="W187" i="6"/>
  <c r="AA187" i="6" s="1"/>
  <c r="W1242" i="6"/>
  <c r="AA1242" i="6" s="1"/>
  <c r="W550" i="6"/>
  <c r="AA550" i="6" s="1"/>
  <c r="W303" i="6"/>
  <c r="AA303" i="6" s="1"/>
  <c r="W1136" i="6"/>
  <c r="AA1136" i="6" s="1"/>
  <c r="W1099" i="6"/>
  <c r="AA1099" i="6" s="1"/>
  <c r="W1393" i="6"/>
  <c r="AA1393" i="6" s="1"/>
  <c r="W1084" i="6"/>
  <c r="AA1084" i="6" s="1"/>
  <c r="AA1044" i="6"/>
  <c r="W1855" i="6"/>
  <c r="AA1855" i="6" s="1"/>
  <c r="W800" i="6"/>
  <c r="AA800" i="6" s="1"/>
  <c r="W1594" i="6"/>
  <c r="AA1594" i="6" s="1"/>
  <c r="W1612" i="6"/>
  <c r="AA1612" i="6" s="1"/>
  <c r="W387" i="6"/>
  <c r="AA387" i="6" s="1"/>
  <c r="W279" i="6"/>
  <c r="AA279" i="6" s="1"/>
  <c r="W1250" i="6"/>
  <c r="AA1250" i="6" s="1"/>
  <c r="AA1998" i="6"/>
  <c r="W1520" i="6"/>
  <c r="AA1520" i="6" s="1"/>
  <c r="W956" i="6"/>
  <c r="AA956" i="6" s="1"/>
  <c r="W1160" i="6"/>
  <c r="AA1160" i="6" s="1"/>
  <c r="W963" i="6"/>
  <c r="AA963" i="6" s="1"/>
  <c r="W1830" i="6"/>
  <c r="AA1830" i="6" s="1"/>
  <c r="W1587" i="6"/>
  <c r="AA1587" i="6" s="1"/>
  <c r="W2201" i="6"/>
  <c r="AA2201" i="6" s="1"/>
  <c r="AE2201" i="6" s="1"/>
  <c r="W414" i="6"/>
  <c r="AA414" i="6" s="1"/>
  <c r="AA2116" i="6"/>
  <c r="W1841" i="6"/>
  <c r="AA1841" i="6" s="1"/>
  <c r="W725" i="6"/>
  <c r="AA725" i="6" s="1"/>
  <c r="W1835" i="6"/>
  <c r="AA1835" i="6" s="1"/>
  <c r="W1229" i="6"/>
  <c r="AA1229" i="6" s="1"/>
  <c r="W1548" i="6"/>
  <c r="AA1548" i="6" s="1"/>
  <c r="W1355" i="6"/>
  <c r="AA1355" i="6" s="1"/>
  <c r="W695" i="6"/>
  <c r="AA695" i="6" s="1"/>
  <c r="W1652" i="6"/>
  <c r="AA1652" i="6" s="1"/>
  <c r="W1495" i="6"/>
  <c r="AA1495" i="6" s="1"/>
  <c r="AA364" i="6"/>
  <c r="AA802" i="6"/>
  <c r="W1162" i="6"/>
  <c r="AA1162" i="6" s="1"/>
  <c r="W566" i="6"/>
  <c r="AA566" i="6" s="1"/>
  <c r="W104" i="6"/>
  <c r="AA104" i="6" s="1"/>
  <c r="W728" i="6"/>
  <c r="AA728" i="6" s="1"/>
  <c r="W940" i="6"/>
  <c r="AA940" i="6" s="1"/>
  <c r="W682" i="6"/>
  <c r="AA682" i="6" s="1"/>
  <c r="AE682" i="6" s="1"/>
  <c r="AA2248" i="6"/>
  <c r="AE2248" i="6" s="1"/>
  <c r="W2014" i="6"/>
  <c r="AA2014" i="6" s="1"/>
  <c r="AA204" i="6"/>
  <c r="W1008" i="6"/>
  <c r="AA1008" i="6" s="1"/>
  <c r="W469" i="6"/>
  <c r="AA469" i="6" s="1"/>
  <c r="W1870" i="6"/>
  <c r="AA1870" i="6" s="1"/>
  <c r="W920" i="6"/>
  <c r="AA920" i="6" s="1"/>
  <c r="AA2239" i="6"/>
  <c r="AE2239" i="6" s="1"/>
  <c r="W342" i="6"/>
  <c r="AA342" i="6" s="1"/>
  <c r="W2164" i="6"/>
  <c r="AA2164" i="6" s="1"/>
  <c r="AE2164" i="6" s="1"/>
  <c r="W2309" i="6"/>
  <c r="AA2309" i="6" s="1"/>
  <c r="AE2309" i="6" s="1"/>
  <c r="W1715" i="6"/>
  <c r="AA1715" i="6" s="1"/>
  <c r="W1249" i="6"/>
  <c r="AA1249" i="6" s="1"/>
  <c r="AA779" i="6"/>
  <c r="W1616" i="6"/>
  <c r="AA1616" i="6" s="1"/>
  <c r="W1433" i="6"/>
  <c r="AA1433" i="6" s="1"/>
  <c r="AA149" i="6"/>
  <c r="AA930" i="6"/>
  <c r="W881" i="6"/>
  <c r="AA881" i="6" s="1"/>
  <c r="AA1091" i="6"/>
  <c r="W208" i="6"/>
  <c r="AA208" i="6" s="1"/>
  <c r="W1476" i="6"/>
  <c r="AA1476" i="6" s="1"/>
  <c r="W277" i="6"/>
  <c r="AA277" i="6" s="1"/>
  <c r="W395" i="6"/>
  <c r="AA395" i="6" s="1"/>
  <c r="W752" i="6"/>
  <c r="AA752" i="6" s="1"/>
  <c r="W1138" i="6"/>
  <c r="AA1138" i="6" s="1"/>
  <c r="W2355" i="6"/>
  <c r="AA2355" i="6" s="1"/>
  <c r="AE2355" i="6" s="1"/>
  <c r="W2269" i="6"/>
  <c r="AA2269" i="6" s="1"/>
  <c r="AE2269" i="6" s="1"/>
  <c r="W1173" i="6"/>
  <c r="AA1173" i="6" s="1"/>
  <c r="AA2254" i="6"/>
  <c r="AE2254" i="6" s="1"/>
  <c r="W787" i="6"/>
  <c r="AA787" i="6" s="1"/>
  <c r="W1325" i="6"/>
  <c r="AA1325" i="6" s="1"/>
  <c r="AA1036" i="6"/>
  <c r="W1679" i="6"/>
  <c r="AA1679" i="6" s="1"/>
  <c r="AA1312" i="6"/>
  <c r="W1344" i="6"/>
  <c r="AA1344" i="6" s="1"/>
  <c r="AA80" i="6"/>
  <c r="AA699" i="6"/>
  <c r="AE699" i="6" s="1"/>
  <c r="W2228" i="6"/>
  <c r="AA2228" i="6" s="1"/>
  <c r="W865" i="6"/>
  <c r="AA865" i="6" s="1"/>
  <c r="W1226" i="6"/>
  <c r="AA1226" i="6" s="1"/>
  <c r="W1272" i="6"/>
  <c r="AA1272" i="6" s="1"/>
  <c r="W1620" i="6"/>
  <c r="AA1620" i="6" s="1"/>
  <c r="W1748" i="6"/>
  <c r="AA1748" i="6" s="1"/>
  <c r="W2129" i="6"/>
  <c r="AA2129" i="6" s="1"/>
  <c r="W1130" i="6"/>
  <c r="AA1130" i="6" s="1"/>
  <c r="AE1130" i="6" s="1"/>
  <c r="W1623" i="6"/>
  <c r="AA1623" i="6" s="1"/>
  <c r="W143" i="6"/>
  <c r="AA143" i="6" s="1"/>
  <c r="AA1227" i="6"/>
  <c r="W398" i="6"/>
  <c r="AA398" i="6" s="1"/>
  <c r="W1356" i="6"/>
  <c r="AA1356" i="6" s="1"/>
  <c r="W744" i="6"/>
  <c r="AA744" i="6" s="1"/>
  <c r="W1088" i="6"/>
  <c r="AA1088" i="6" s="1"/>
  <c r="AA1302" i="6"/>
  <c r="W1684" i="6"/>
  <c r="AA1684" i="6" s="1"/>
  <c r="W1270" i="6"/>
  <c r="AA1270" i="6" s="1"/>
  <c r="AA112" i="6"/>
  <c r="W330" i="6"/>
  <c r="AA330" i="6" s="1"/>
  <c r="W1096" i="6"/>
  <c r="AA1096" i="6" s="1"/>
  <c r="W1430" i="6"/>
  <c r="AA1430" i="6" s="1"/>
  <c r="W1917" i="6"/>
  <c r="AA1917" i="6" s="1"/>
  <c r="W64" i="6"/>
  <c r="AA64" i="6" s="1"/>
  <c r="W498" i="6"/>
  <c r="AA498" i="6" s="1"/>
  <c r="W1718" i="6"/>
  <c r="AA1718" i="6" s="1"/>
  <c r="W1484" i="6"/>
  <c r="AA1484" i="6" s="1"/>
  <c r="W212" i="6"/>
  <c r="AA212" i="6" s="1"/>
  <c r="W692" i="6"/>
  <c r="AA692" i="6" s="1"/>
  <c r="W227" i="6"/>
  <c r="AA227" i="6" s="1"/>
  <c r="AA164" i="6"/>
  <c r="W1357" i="6"/>
  <c r="AA1357" i="6" s="1"/>
  <c r="W184" i="6"/>
  <c r="AA184" i="6" s="1"/>
  <c r="AA1308" i="6"/>
  <c r="W138" i="6"/>
  <c r="AA138" i="6" s="1"/>
  <c r="W1502" i="6"/>
  <c r="AA1502" i="6" s="1"/>
  <c r="W1262" i="6"/>
  <c r="AA1262" i="6" s="1"/>
  <c r="W822" i="6"/>
  <c r="AA822" i="6" s="1"/>
  <c r="W210" i="6"/>
  <c r="AA210" i="6" s="1"/>
  <c r="W805" i="6"/>
  <c r="AA805" i="6" s="1"/>
  <c r="W970" i="6"/>
  <c r="AA970" i="6" s="1"/>
  <c r="W1943" i="6"/>
  <c r="AA1943" i="6" s="1"/>
  <c r="W1012" i="6"/>
  <c r="AA1012" i="6" s="1"/>
  <c r="W1979" i="6"/>
  <c r="AA1979" i="6" s="1"/>
  <c r="W1239" i="6"/>
  <c r="AA1239" i="6" s="1"/>
  <c r="W932" i="6"/>
  <c r="AA932" i="6" s="1"/>
  <c r="W898" i="6"/>
  <c r="AA898" i="6" s="1"/>
  <c r="W998" i="6"/>
  <c r="AA998" i="6" s="1"/>
  <c r="AE998" i="6" s="1"/>
  <c r="W1104" i="6"/>
  <c r="AA1104" i="6" s="1"/>
  <c r="W2185" i="6"/>
  <c r="AA2185" i="6" s="1"/>
  <c r="W1293" i="6"/>
  <c r="AA1293" i="6" s="1"/>
  <c r="AA1350" i="6"/>
  <c r="W63" i="6"/>
  <c r="AA63" i="6" s="1"/>
  <c r="W557" i="6"/>
  <c r="AA557" i="6" s="1"/>
  <c r="W2086" i="6"/>
  <c r="AA2086" i="6" s="1"/>
  <c r="W2317" i="6"/>
  <c r="AA2317" i="6" s="1"/>
  <c r="AE2317" i="6" s="1"/>
  <c r="W1215" i="6"/>
  <c r="AA1215" i="6" s="1"/>
  <c r="W274" i="6"/>
  <c r="AA274" i="6" s="1"/>
  <c r="W934" i="6"/>
  <c r="AA934" i="6" s="1"/>
  <c r="W790" i="6"/>
  <c r="AA790" i="6" s="1"/>
  <c r="W357" i="6"/>
  <c r="AA357" i="6" s="1"/>
  <c r="W1069" i="6"/>
  <c r="AA1069" i="6" s="1"/>
  <c r="AA1961" i="6"/>
  <c r="W1365" i="6"/>
  <c r="AA1365" i="6" s="1"/>
  <c r="W796" i="6"/>
  <c r="AA796" i="6" s="1"/>
  <c r="W1289" i="6"/>
  <c r="AA1289" i="6" s="1"/>
  <c r="W2144" i="6"/>
  <c r="AA2144" i="6" s="1"/>
  <c r="W2126" i="6"/>
  <c r="AA2126" i="6" s="1"/>
  <c r="W135" i="6"/>
  <c r="AA135" i="6" s="1"/>
  <c r="W598" i="6"/>
  <c r="AA598" i="6" s="1"/>
  <c r="W1497" i="6"/>
  <c r="AA1497" i="6" s="1"/>
  <c r="W1777" i="6"/>
  <c r="AA1777" i="6" s="1"/>
  <c r="W955" i="6"/>
  <c r="AA955" i="6" s="1"/>
  <c r="W244" i="6"/>
  <c r="AA244" i="6" s="1"/>
  <c r="W1441" i="6"/>
  <c r="AA1441" i="6" s="1"/>
  <c r="W866" i="6"/>
  <c r="AA866" i="6" s="1"/>
  <c r="AA1006" i="6"/>
  <c r="W804" i="6"/>
  <c r="AA804" i="6" s="1"/>
  <c r="W231" i="6"/>
  <c r="AA231" i="6" s="1"/>
  <c r="W565" i="6"/>
  <c r="AA565" i="6" s="1"/>
  <c r="W409" i="6"/>
  <c r="AA409" i="6" s="1"/>
  <c r="W1354" i="6"/>
  <c r="AA1354" i="6" s="1"/>
  <c r="W1067" i="6"/>
  <c r="AA1067" i="6" s="1"/>
  <c r="W1445" i="6"/>
  <c r="AA1445" i="6" s="1"/>
  <c r="W69" i="6"/>
  <c r="AA69" i="6" s="1"/>
  <c r="W2235" i="6"/>
  <c r="AA2235" i="6" s="1"/>
  <c r="AE2235" i="6" s="1"/>
  <c r="AA2329" i="6"/>
  <c r="AE2329" i="6" s="1"/>
  <c r="AA1310" i="6"/>
  <c r="W1619" i="6"/>
  <c r="AA1619" i="6" s="1"/>
  <c r="W306" i="6"/>
  <c r="AA306" i="6" s="1"/>
  <c r="AA884" i="6"/>
  <c r="AA2179" i="6"/>
  <c r="W1017" i="6"/>
  <c r="AA1017" i="6" s="1"/>
  <c r="W479" i="6"/>
  <c r="AA479" i="6" s="1"/>
  <c r="W1995" i="6"/>
  <c r="AA1995" i="6" s="1"/>
  <c r="AE1995" i="6" s="1"/>
  <c r="W667" i="6"/>
  <c r="AA667" i="6" s="1"/>
  <c r="W1189" i="6"/>
  <c r="AA1189" i="6" s="1"/>
  <c r="W1124" i="6"/>
  <c r="AA1124" i="6" s="1"/>
  <c r="W637" i="6"/>
  <c r="AA637" i="6" s="1"/>
  <c r="W1627" i="6"/>
  <c r="AA1627" i="6" s="1"/>
  <c r="W1922" i="6"/>
  <c r="AA1922" i="6" s="1"/>
  <c r="W2316" i="6"/>
  <c r="AA2316" i="6" s="1"/>
  <c r="AE2316" i="6" s="1"/>
  <c r="W719" i="6"/>
  <c r="AA719" i="6" s="1"/>
  <c r="W1690" i="6"/>
  <c r="AA1690" i="6" s="1"/>
  <c r="AE1690" i="6" s="1"/>
  <c r="W1311" i="6"/>
  <c r="AA1311" i="6" s="1"/>
  <c r="W218" i="6"/>
  <c r="AA218" i="6" s="1"/>
  <c r="W2182" i="6"/>
  <c r="AA2182" i="6" s="1"/>
  <c r="AA564" i="6"/>
  <c r="W2117" i="6"/>
  <c r="AA2117" i="6" s="1"/>
  <c r="W559" i="6"/>
  <c r="AA559" i="6" s="1"/>
  <c r="W290" i="6"/>
  <c r="AA290" i="6" s="1"/>
  <c r="W1458" i="6"/>
  <c r="AA1458" i="6" s="1"/>
  <c r="W2240" i="6"/>
  <c r="AA2240" i="6" s="1"/>
  <c r="AE2240" i="6" s="1"/>
  <c r="W1738" i="6"/>
  <c r="AA1738" i="6" s="1"/>
  <c r="W1953" i="6"/>
  <c r="AA1953" i="6" s="1"/>
  <c r="W1797" i="6"/>
  <c r="AA1797" i="6" s="1"/>
  <c r="AA833" i="6"/>
  <c r="AA1771" i="6"/>
  <c r="W96" i="6"/>
  <c r="AA96" i="6" s="1"/>
  <c r="AA2361" i="6"/>
  <c r="AE2361" i="6" s="1"/>
  <c r="W1675" i="6"/>
  <c r="AA1675" i="6" s="1"/>
  <c r="W991" i="6"/>
  <c r="AA991" i="6" s="1"/>
  <c r="W175" i="6"/>
  <c r="AA175" i="6" s="1"/>
  <c r="W29" i="6"/>
  <c r="AA29" i="6" s="1"/>
  <c r="W753" i="6"/>
  <c r="AA753" i="6" s="1"/>
  <c r="W253" i="6"/>
  <c r="AA253" i="6" s="1"/>
  <c r="AA1073" i="6"/>
  <c r="W2061" i="6"/>
  <c r="AA2061" i="6" s="1"/>
  <c r="W1836" i="6"/>
  <c r="AA1836" i="6" s="1"/>
  <c r="AA676" i="6"/>
  <c r="AE676" i="6" s="1"/>
  <c r="AA2159" i="6"/>
  <c r="AE2159" i="6" s="1"/>
  <c r="W868" i="6"/>
  <c r="AA868" i="6" s="1"/>
  <c r="W629" i="6"/>
  <c r="AA629" i="6" s="1"/>
  <c r="W1543" i="6"/>
  <c r="AA1543" i="6" s="1"/>
  <c r="W2166" i="6"/>
  <c r="AA2166" i="6" s="1"/>
  <c r="AA167" i="6"/>
  <c r="AA2027" i="6"/>
  <c r="W2111" i="6"/>
  <c r="AA2111" i="6" s="1"/>
  <c r="AA890" i="6"/>
  <c r="W1480" i="6"/>
  <c r="AA1480" i="6" s="1"/>
  <c r="W1671" i="6"/>
  <c r="AA1671" i="6" s="1"/>
  <c r="W1935" i="6"/>
  <c r="AA1935" i="6" s="1"/>
  <c r="W81" i="6"/>
  <c r="AA81" i="6" s="1"/>
  <c r="W927" i="6"/>
  <c r="AA927" i="6" s="1"/>
  <c r="W2047" i="6"/>
  <c r="AA2047" i="6" s="1"/>
  <c r="W1907" i="6"/>
  <c r="AA1907" i="6" s="1"/>
  <c r="W33" i="6"/>
  <c r="AA33" i="6" s="1"/>
  <c r="W475" i="6"/>
  <c r="AA475" i="6" s="1"/>
  <c r="W732" i="6"/>
  <c r="AA732" i="6" s="1"/>
  <c r="W1557" i="6"/>
  <c r="AA1557" i="6" s="1"/>
  <c r="AA1575" i="6"/>
  <c r="W1892" i="6"/>
  <c r="AA1892" i="6" s="1"/>
  <c r="W1120" i="6"/>
  <c r="AA1120" i="6" s="1"/>
  <c r="W702" i="6"/>
  <c r="AA702" i="6" s="1"/>
  <c r="W862" i="6"/>
  <c r="AA862" i="6" s="1"/>
  <c r="W748" i="6"/>
  <c r="AA748" i="6" s="1"/>
  <c r="W36" i="6"/>
  <c r="AA36" i="6" s="1"/>
  <c r="AA624" i="6"/>
  <c r="W1574" i="6"/>
  <c r="AA1574" i="6" s="1"/>
  <c r="W2051" i="6"/>
  <c r="AA2051" i="6" s="1"/>
  <c r="AA1030" i="6"/>
  <c r="AA442" i="6"/>
  <c r="W2162" i="6"/>
  <c r="AA2162" i="6" s="1"/>
  <c r="AE2162" i="6" s="1"/>
  <c r="AA130" i="6"/>
  <c r="W2054" i="6"/>
  <c r="AA2054" i="6" s="1"/>
  <c r="W474" i="6"/>
  <c r="AA474" i="6" s="1"/>
  <c r="AA275" i="6"/>
  <c r="AA1823" i="6"/>
  <c r="W189" i="6"/>
  <c r="AA189" i="6" s="1"/>
  <c r="W1345" i="6"/>
  <c r="AA1345" i="6" s="1"/>
  <c r="W161" i="6"/>
  <c r="AA161" i="6" s="1"/>
  <c r="W1500" i="6"/>
  <c r="AA1500" i="6" s="1"/>
  <c r="W2211" i="6"/>
  <c r="AA2211" i="6" s="1"/>
  <c r="AE2211" i="6" s="1"/>
  <c r="W2325" i="6"/>
  <c r="AA2325" i="6" s="1"/>
  <c r="AE2325" i="6" s="1"/>
  <c r="W1569" i="6"/>
  <c r="AA1569" i="6" s="1"/>
  <c r="W1265" i="6"/>
  <c r="AA1265" i="6" s="1"/>
  <c r="W192" i="6"/>
  <c r="AA192" i="6" s="1"/>
  <c r="W1921" i="6"/>
  <c r="AA1921" i="6" s="1"/>
  <c r="W1092" i="6"/>
  <c r="AA1092" i="6" s="1"/>
  <c r="W1109" i="6"/>
  <c r="AA1109" i="6" s="1"/>
  <c r="W2108" i="6"/>
  <c r="AA2108" i="6" s="1"/>
  <c r="AE2108" i="6" s="1"/>
  <c r="W1211" i="6"/>
  <c r="AA1211" i="6" s="1"/>
  <c r="W1825" i="6"/>
  <c r="AA1825" i="6" s="1"/>
  <c r="W2137" i="6"/>
  <c r="AA2137" i="6" s="1"/>
  <c r="W2007" i="6"/>
  <c r="AA2007" i="6" s="1"/>
  <c r="W609" i="6"/>
  <c r="AA609" i="6" s="1"/>
  <c r="W698" i="6"/>
  <c r="AA698" i="6" s="1"/>
  <c r="AE698" i="6" s="1"/>
  <c r="W2148" i="6"/>
  <c r="AA2148" i="6" s="1"/>
  <c r="W2072" i="6"/>
  <c r="AA2072" i="6" s="1"/>
  <c r="W1121" i="6"/>
  <c r="AA1121" i="6" s="1"/>
  <c r="AA1839" i="6"/>
  <c r="AA1259" i="6"/>
  <c r="W216" i="6"/>
  <c r="AA216" i="6" s="1"/>
  <c r="W461" i="6"/>
  <c r="AA461" i="6" s="1"/>
  <c r="W1819" i="6"/>
  <c r="AA1819" i="6" s="1"/>
  <c r="W601" i="6"/>
  <c r="AA601" i="6" s="1"/>
  <c r="W1133" i="6"/>
  <c r="AA1133" i="6" s="1"/>
  <c r="AA181" i="6"/>
  <c r="W2157" i="6"/>
  <c r="AA2157" i="6" s="1"/>
  <c r="AE2157" i="6" s="1"/>
  <c r="W106" i="6"/>
  <c r="AA106" i="6" s="1"/>
  <c r="W1756" i="6"/>
  <c r="AA1756" i="6" s="1"/>
  <c r="W65" i="6"/>
  <c r="AA65" i="6" s="1"/>
  <c r="W1703" i="6"/>
  <c r="AA1703" i="6" s="1"/>
  <c r="W352" i="6"/>
  <c r="AA352" i="6" s="1"/>
  <c r="AA1929" i="6"/>
  <c r="W1513" i="6"/>
  <c r="AA1513" i="6" s="1"/>
  <c r="AA1581" i="6"/>
  <c r="W1348" i="6"/>
  <c r="AA1348" i="6" s="1"/>
  <c r="AA2344" i="6"/>
  <c r="AE2344" i="6" s="1"/>
  <c r="W2358" i="6"/>
  <c r="AA2358" i="6" s="1"/>
  <c r="AE2358" i="6" s="1"/>
  <c r="W2212" i="6"/>
  <c r="AA2212" i="6" s="1"/>
  <c r="AE2212" i="6" s="1"/>
  <c r="W1801" i="6"/>
  <c r="AA1801" i="6" s="1"/>
  <c r="W101" i="6"/>
  <c r="AA101" i="6" s="1"/>
  <c r="AA95" i="6"/>
  <c r="AA1178" i="6"/>
  <c r="W314" i="6"/>
  <c r="AA314" i="6" s="1"/>
  <c r="W1182" i="6"/>
  <c r="AA1182" i="6" s="1"/>
  <c r="W580" i="6"/>
  <c r="AA580" i="6" s="1"/>
  <c r="W1793" i="6"/>
  <c r="AA1793" i="6" s="1"/>
  <c r="W1577" i="6"/>
  <c r="AA1577" i="6" s="1"/>
  <c r="W170" i="6"/>
  <c r="AA170" i="6" s="1"/>
  <c r="W125" i="6"/>
  <c r="AA125" i="6" s="1"/>
  <c r="W25" i="6"/>
  <c r="AA25" i="6" s="1"/>
  <c r="W1072" i="6"/>
  <c r="AA1072" i="6" s="1"/>
  <c r="W2174" i="6"/>
  <c r="AA2174" i="6" s="1"/>
  <c r="W1764" i="6"/>
  <c r="AA1764" i="6" s="1"/>
  <c r="W1163" i="6"/>
  <c r="AA1163" i="6" s="1"/>
  <c r="W1537" i="6"/>
  <c r="AA1537" i="6" s="1"/>
  <c r="W389" i="6"/>
  <c r="AA389" i="6" s="1"/>
  <c r="AA198" i="6"/>
  <c r="AA142" i="6"/>
  <c r="W1260" i="6"/>
  <c r="AA1260" i="6" s="1"/>
  <c r="W832" i="6"/>
  <c r="AA832" i="6" s="1"/>
  <c r="W588" i="6"/>
  <c r="AA588" i="6" s="1"/>
  <c r="W2251" i="6"/>
  <c r="AA2251" i="6" s="1"/>
  <c r="AE2251" i="6" s="1"/>
  <c r="W2327" i="6"/>
  <c r="AA2327" i="6" s="1"/>
  <c r="AE2327" i="6" s="1"/>
  <c r="AA1923" i="6"/>
  <c r="W1570" i="6"/>
  <c r="AA1570" i="6" s="1"/>
  <c r="W2021" i="6"/>
  <c r="AA2021" i="6" s="1"/>
  <c r="W136" i="6"/>
  <c r="AA136" i="6" s="1"/>
  <c r="AA1869" i="6"/>
  <c r="W1621" i="6"/>
  <c r="AA1621" i="6" s="1"/>
  <c r="W540" i="6"/>
  <c r="AA540" i="6" s="1"/>
  <c r="W2177" i="6"/>
  <c r="AA2177" i="6" s="1"/>
  <c r="W1531" i="6"/>
  <c r="AA1531" i="6" s="1"/>
  <c r="AA378" i="6"/>
  <c r="W1019" i="6"/>
  <c r="AA1019" i="6" s="1"/>
  <c r="W1064" i="6"/>
  <c r="AA1064" i="6" s="1"/>
  <c r="W1725" i="6"/>
  <c r="AA1725" i="6" s="1"/>
  <c r="W971" i="6"/>
  <c r="AA971" i="6" s="1"/>
  <c r="W836" i="6"/>
  <c r="AA836" i="6" s="1"/>
  <c r="AA2050" i="6"/>
  <c r="W1862" i="6"/>
  <c r="AA1862" i="6" s="1"/>
  <c r="W480" i="6"/>
  <c r="AA480" i="6" s="1"/>
  <c r="AE480" i="6" s="1"/>
  <c r="W1692" i="6"/>
  <c r="AA1692" i="6" s="1"/>
  <c r="W2198" i="6"/>
  <c r="AA2198" i="6" s="1"/>
  <c r="AE2198" i="6" s="1"/>
  <c r="W1895" i="6"/>
  <c r="AA1895" i="6" s="1"/>
  <c r="AA2089" i="6"/>
  <c r="W215" i="6"/>
  <c r="AA215" i="6" s="1"/>
  <c r="W765" i="6"/>
  <c r="AA765" i="6" s="1"/>
  <c r="AA789" i="6"/>
  <c r="W83" i="6"/>
  <c r="AA83" i="6" s="1"/>
  <c r="W672" i="6"/>
  <c r="AA672" i="6" s="1"/>
  <c r="W1197" i="6"/>
  <c r="AA1197" i="6" s="1"/>
  <c r="W895" i="6"/>
  <c r="AA895" i="6" s="1"/>
  <c r="W1373" i="6"/>
  <c r="AA1373" i="6" s="1"/>
  <c r="W954" i="6"/>
  <c r="AA954" i="6" s="1"/>
  <c r="W1135" i="6"/>
  <c r="AA1135" i="6" s="1"/>
  <c r="W1358" i="6"/>
  <c r="AA1358" i="6" s="1"/>
  <c r="W1068" i="6"/>
  <c r="AA1068" i="6" s="1"/>
  <c r="W1695" i="6"/>
  <c r="AA1695" i="6" s="1"/>
  <c r="W1709" i="6"/>
  <c r="AA1709" i="6" s="1"/>
  <c r="W746" i="6"/>
  <c r="AA746" i="6" s="1"/>
  <c r="W879" i="6"/>
  <c r="AA879" i="6" s="1"/>
  <c r="AA1024" i="6"/>
  <c r="W332" i="6"/>
  <c r="AA332" i="6" s="1"/>
  <c r="W734" i="6"/>
  <c r="AA734" i="6" s="1"/>
  <c r="W680" i="6"/>
  <c r="AA680" i="6" s="1"/>
  <c r="AE680" i="6" s="1"/>
  <c r="W1567" i="6"/>
  <c r="AA1567" i="6" s="1"/>
  <c r="W2242" i="6"/>
  <c r="AA2242" i="6" s="1"/>
  <c r="AE2242" i="6" s="1"/>
  <c r="W1618" i="6"/>
  <c r="AA1618" i="6" s="1"/>
  <c r="AA742" i="6"/>
  <c r="W1427" i="6"/>
  <c r="AA1427" i="6" s="1"/>
  <c r="W1516" i="6"/>
  <c r="AA1516" i="6" s="1"/>
  <c r="AA1264" i="6"/>
  <c r="W329" i="6"/>
  <c r="AA329" i="6" s="1"/>
  <c r="W331" i="6"/>
  <c r="AA331" i="6" s="1"/>
  <c r="W200" i="6"/>
  <c r="AA200" i="6" s="1"/>
  <c r="W852" i="6"/>
  <c r="AA852" i="6" s="1"/>
  <c r="W618" i="6"/>
  <c r="AA618" i="6" s="1"/>
  <c r="W949" i="6"/>
  <c r="AA949" i="6" s="1"/>
  <c r="W1865" i="6"/>
  <c r="AA1865" i="6" s="1"/>
  <c r="W317" i="6"/>
  <c r="AA317" i="6" s="1"/>
  <c r="W404" i="6"/>
  <c r="AA404" i="6" s="1"/>
  <c r="W2001" i="6"/>
  <c r="AA2001" i="6" s="1"/>
  <c r="W2058" i="6"/>
  <c r="AA2058" i="6" s="1"/>
  <c r="W355" i="6"/>
  <c r="AA355" i="6" s="1"/>
  <c r="W499" i="6"/>
  <c r="AA499" i="6" s="1"/>
  <c r="W2199" i="6"/>
  <c r="AA2199" i="6" s="1"/>
  <c r="AE2199" i="6" s="1"/>
  <c r="W1386" i="6"/>
  <c r="AA1386" i="6" s="1"/>
  <c r="AA2088" i="6"/>
  <c r="W1828" i="6"/>
  <c r="AA1828" i="6" s="1"/>
  <c r="W1054" i="6"/>
  <c r="AA1054" i="6" s="1"/>
  <c r="W1361" i="6"/>
  <c r="AA1361" i="6" s="1"/>
  <c r="W1004" i="6"/>
  <c r="AA1004" i="6" s="1"/>
  <c r="W268" i="6"/>
  <c r="AA268" i="6" s="1"/>
  <c r="AA2311" i="6"/>
  <c r="AE2311" i="6" s="1"/>
  <c r="W1380" i="6"/>
  <c r="AA1380" i="6" s="1"/>
  <c r="W2151" i="6"/>
  <c r="AA2151" i="6" s="1"/>
  <c r="W1048" i="6"/>
  <c r="AA1048" i="6" s="1"/>
  <c r="W2229" i="6"/>
  <c r="AA2229" i="6" s="1"/>
  <c r="AA1026" i="6"/>
  <c r="W888" i="6"/>
  <c r="AA888" i="6" s="1"/>
  <c r="W645" i="6"/>
  <c r="AA645" i="6" s="1"/>
  <c r="W524" i="6"/>
  <c r="AA524" i="6" s="1"/>
  <c r="W2282" i="6"/>
  <c r="AA2282" i="6" s="1"/>
  <c r="AE2282" i="6" s="1"/>
  <c r="W1888" i="6"/>
  <c r="AA1888" i="6" s="1"/>
  <c r="W1326" i="6"/>
  <c r="AA1326" i="6" s="1"/>
  <c r="W1948" i="6"/>
  <c r="AA1948" i="6" s="1"/>
  <c r="W649" i="6"/>
  <c r="AA649" i="6" s="1"/>
  <c r="W1139" i="6"/>
  <c r="AA1139" i="6" s="1"/>
  <c r="W2328" i="6"/>
  <c r="AA2328" i="6" s="1"/>
  <c r="AE2328" i="6" s="1"/>
  <c r="W722" i="6"/>
  <c r="AA722" i="6" s="1"/>
  <c r="W470" i="6"/>
  <c r="AA470" i="6" s="1"/>
  <c r="W1482" i="6"/>
  <c r="AA1482" i="6" s="1"/>
  <c r="W617" i="6"/>
  <c r="AA617" i="6" s="1"/>
  <c r="W1750" i="6"/>
  <c r="AA1750" i="6" s="1"/>
  <c r="W75" i="6"/>
  <c r="AA75" i="6" s="1"/>
  <c r="W975" i="6"/>
  <c r="AA975" i="6" s="1"/>
  <c r="W209" i="6"/>
  <c r="AA209" i="6" s="1"/>
  <c r="W1320" i="6"/>
  <c r="AA1320" i="6" s="1"/>
  <c r="W521" i="6"/>
  <c r="AA521" i="6" s="1"/>
  <c r="W1111" i="6"/>
  <c r="AA1111" i="6" s="1"/>
  <c r="AA2105" i="6"/>
  <c r="AE2105" i="6" s="1"/>
  <c r="AA1171" i="6"/>
  <c r="W2186" i="6"/>
  <c r="AA2186" i="6" s="1"/>
  <c r="AA1161" i="6"/>
  <c r="W1698" i="6"/>
  <c r="AA1698" i="6" s="1"/>
  <c r="W369" i="6"/>
  <c r="AA369" i="6" s="1"/>
  <c r="AA750" i="6"/>
  <c r="W295" i="6"/>
  <c r="AA295" i="6" s="1"/>
  <c r="W1437" i="6"/>
  <c r="AA1437" i="6" s="1"/>
  <c r="W1185" i="6"/>
  <c r="AA1185" i="6" s="1"/>
  <c r="W1213" i="6"/>
  <c r="AA1213" i="6" s="1"/>
  <c r="AA610" i="6"/>
  <c r="AA948" i="6"/>
  <c r="W205" i="6"/>
  <c r="AA205" i="6" s="1"/>
  <c r="W1918" i="6"/>
  <c r="AA1918" i="6" s="1"/>
  <c r="W1867" i="6"/>
  <c r="AA1867" i="6" s="1"/>
  <c r="W169" i="6"/>
  <c r="AA169" i="6" s="1"/>
  <c r="W1538" i="6"/>
  <c r="AA1538" i="6" s="1"/>
  <c r="W174" i="6"/>
  <c r="AA174" i="6" s="1"/>
  <c r="W2232" i="6"/>
  <c r="AA2232" i="6" s="1"/>
  <c r="AE2232" i="6" s="1"/>
  <c r="W882" i="6"/>
  <c r="AA882" i="6" s="1"/>
  <c r="W1769" i="6"/>
  <c r="AA1769" i="6" s="1"/>
  <c r="W607" i="6"/>
  <c r="AA607" i="6" s="1"/>
  <c r="AA171" i="6"/>
  <c r="W1407" i="6"/>
  <c r="AA1407" i="6" s="1"/>
  <c r="AA1511" i="6"/>
  <c r="W623" i="6"/>
  <c r="AA623" i="6" s="1"/>
  <c r="W1599" i="6"/>
  <c r="AA1599" i="6" s="1"/>
  <c r="AA2065" i="6"/>
  <c r="W1251" i="6"/>
  <c r="AA1251" i="6" s="1"/>
  <c r="W587" i="6"/>
  <c r="AA587" i="6" s="1"/>
  <c r="W792" i="6"/>
  <c r="AA792" i="6" s="1"/>
  <c r="AE792" i="6" s="1"/>
  <c r="W2095" i="6"/>
  <c r="AA2095" i="6" s="1"/>
  <c r="W405" i="6"/>
  <c r="AA405" i="6" s="1"/>
  <c r="W1740" i="6"/>
  <c r="AA1740" i="6" s="1"/>
  <c r="W150" i="6"/>
  <c r="AA150" i="6" s="1"/>
  <c r="AA1969" i="6"/>
  <c r="W1145" i="6"/>
  <c r="AA1145" i="6" s="1"/>
  <c r="W1963" i="6"/>
  <c r="AA1963" i="6" s="1"/>
  <c r="W115" i="6"/>
  <c r="AA115" i="6" s="1"/>
  <c r="W1996" i="6"/>
  <c r="AA1996" i="6" s="1"/>
  <c r="AE1996" i="6" s="1"/>
  <c r="W1181" i="6"/>
  <c r="AA1181" i="6" s="1"/>
  <c r="AA671" i="6"/>
  <c r="W1035" i="6"/>
  <c r="AA1035" i="6" s="1"/>
  <c r="W97" i="6"/>
  <c r="AA97" i="6" s="1"/>
  <c r="W257" i="6"/>
  <c r="AA257" i="6" s="1"/>
  <c r="W931" i="6"/>
  <c r="AA931" i="6" s="1"/>
  <c r="W1708" i="6"/>
  <c r="AA1708" i="6" s="1"/>
  <c r="W1904" i="6"/>
  <c r="AA1904" i="6" s="1"/>
  <c r="W1626" i="6"/>
  <c r="AA1626" i="6" s="1"/>
  <c r="W1349" i="6"/>
  <c r="AA1349" i="6" s="1"/>
  <c r="W356" i="6"/>
  <c r="AA356" i="6" s="1"/>
  <c r="W2169" i="6"/>
  <c r="AA2169" i="6" s="1"/>
  <c r="W1503" i="6"/>
  <c r="AA1503" i="6" s="1"/>
  <c r="W249" i="6"/>
  <c r="AA249" i="6" s="1"/>
  <c r="W2057" i="6"/>
  <c r="AA2057" i="6" s="1"/>
  <c r="W507" i="6"/>
  <c r="AA507" i="6" s="1"/>
  <c r="W1981" i="6"/>
  <c r="AA1981" i="6" s="1"/>
  <c r="W1955" i="6"/>
  <c r="AA1955" i="6" s="1"/>
  <c r="W1845" i="6"/>
  <c r="AA1845" i="6" s="1"/>
  <c r="W838" i="6"/>
  <c r="AA838" i="6" s="1"/>
  <c r="W1791" i="6"/>
  <c r="AA1791" i="6" s="1"/>
  <c r="W424" i="6"/>
  <c r="AA424" i="6" s="1"/>
  <c r="W1634" i="6"/>
  <c r="AA1634" i="6" s="1"/>
  <c r="AA124" i="6"/>
  <c r="W259" i="6"/>
  <c r="AA259" i="6" s="1"/>
  <c r="W343" i="6"/>
  <c r="AA343" i="6" s="1"/>
  <c r="W1421" i="6"/>
  <c r="AA1421" i="6" s="1"/>
  <c r="W1434" i="6"/>
  <c r="AA1434" i="6" s="1"/>
  <c r="W1682" i="6"/>
  <c r="AA1682" i="6" s="1"/>
  <c r="W2173" i="6"/>
  <c r="AA2173" i="6" s="1"/>
  <c r="W1811" i="6"/>
  <c r="AA1811" i="6" s="1"/>
  <c r="W51" i="6"/>
  <c r="AA51" i="6" s="1"/>
  <c r="AA2167" i="6"/>
  <c r="W2071" i="6"/>
  <c r="AA2071" i="6" s="1"/>
  <c r="W441" i="6"/>
  <c r="AA441" i="6" s="1"/>
  <c r="W145" i="6"/>
  <c r="AA145" i="6" s="1"/>
  <c r="AA1164" i="6"/>
  <c r="W1299" i="6"/>
  <c r="AA1299" i="6" s="1"/>
  <c r="W2223" i="6"/>
  <c r="AA2223" i="6" s="1"/>
  <c r="W1844" i="6"/>
  <c r="AA1844" i="6" s="1"/>
  <c r="W56" i="6"/>
  <c r="AA56" i="6" s="1"/>
  <c r="W774" i="6"/>
  <c r="AA774" i="6" s="1"/>
  <c r="W2326" i="6"/>
  <c r="AA2326" i="6" s="1"/>
  <c r="AE2326" i="6" s="1"/>
  <c r="W2094" i="6"/>
  <c r="AA2094" i="6" s="1"/>
  <c r="W1539" i="6"/>
  <c r="AA1539" i="6" s="1"/>
  <c r="W207" i="6"/>
  <c r="AA207" i="6" s="1"/>
  <c r="W1912" i="6"/>
  <c r="AA1912" i="6" s="1"/>
  <c r="W1322" i="6"/>
  <c r="AA1322" i="6" s="1"/>
  <c r="W1902" i="6"/>
  <c r="AA1902" i="6" s="1"/>
  <c r="AE1902" i="6" s="1"/>
  <c r="W1448" i="6"/>
  <c r="AA1448" i="6" s="1"/>
  <c r="W1108" i="6"/>
  <c r="AA1108" i="6" s="1"/>
  <c r="W492" i="6"/>
  <c r="AA492" i="6" s="1"/>
  <c r="W856" i="6"/>
  <c r="AA856" i="6" s="1"/>
  <c r="W1317" i="6"/>
  <c r="AA1317" i="6" s="1"/>
  <c r="W2310" i="6"/>
  <c r="AA2310" i="6" s="1"/>
  <c r="W113" i="6"/>
  <c r="AA113" i="6" s="1"/>
  <c r="W1431" i="6"/>
  <c r="AA1431" i="6" s="1"/>
  <c r="W272" i="6"/>
  <c r="AA272" i="6" s="1"/>
  <c r="W1677" i="6"/>
  <c r="AA1677" i="6" s="1"/>
  <c r="W1944" i="6"/>
  <c r="AA1944" i="6" s="1"/>
  <c r="W1063" i="6"/>
  <c r="AA1063" i="6" s="1"/>
  <c r="W2189" i="6"/>
  <c r="AA2189" i="6" s="1"/>
  <c r="W1749" i="6"/>
  <c r="AA1749" i="6" s="1"/>
  <c r="AA1428" i="6"/>
  <c r="AE1428" i="6" s="1"/>
  <c r="AA1568" i="6"/>
  <c r="AA1638" i="6"/>
  <c r="W1087" i="6"/>
  <c r="AA1087" i="6" s="1"/>
  <c r="W978" i="6"/>
  <c r="AA978" i="6" s="1"/>
  <c r="AA2130" i="6"/>
  <c r="W900" i="6"/>
  <c r="AA900" i="6" s="1"/>
  <c r="W810" i="6"/>
  <c r="AA810" i="6" s="1"/>
  <c r="W305" i="6"/>
  <c r="AA305" i="6" s="1"/>
  <c r="W468" i="6"/>
  <c r="AA468" i="6" s="1"/>
  <c r="W1818" i="6"/>
  <c r="AA1818" i="6" s="1"/>
  <c r="W287" i="6"/>
  <c r="AA287" i="6" s="1"/>
  <c r="W1194" i="6"/>
  <c r="AA1194" i="6" s="1"/>
  <c r="W1190" i="6"/>
  <c r="AA1190" i="6" s="1"/>
  <c r="W925" i="6"/>
  <c r="AA925" i="6" s="1"/>
  <c r="AA2289" i="6"/>
  <c r="AE2289" i="6" s="1"/>
  <c r="W2336" i="6"/>
  <c r="AA2336" i="6" s="1"/>
  <c r="AE2336" i="6" s="1"/>
  <c r="W375" i="6"/>
  <c r="AA375" i="6" s="1"/>
  <c r="W1154" i="6"/>
  <c r="AA1154" i="6" s="1"/>
  <c r="AA636" i="6"/>
  <c r="W1555" i="6"/>
  <c r="AA1555" i="6" s="1"/>
  <c r="W217" i="6"/>
  <c r="AA217" i="6" s="1"/>
  <c r="W1402" i="6"/>
  <c r="AA1402" i="6" s="1"/>
  <c r="AA301" i="6"/>
  <c r="AA1664" i="6"/>
  <c r="W941" i="6"/>
  <c r="AA941" i="6" s="1"/>
  <c r="W785" i="6"/>
  <c r="AA785" i="6" s="1"/>
  <c r="W383" i="6"/>
  <c r="AA383" i="6" s="1"/>
  <c r="W1013" i="6"/>
  <c r="AA1013" i="6" s="1"/>
  <c r="W1576" i="6"/>
  <c r="AA1576" i="6" s="1"/>
  <c r="W942" i="6"/>
  <c r="AA942" i="6" s="1"/>
  <c r="W1363" i="6"/>
  <c r="AA1363" i="6" s="1"/>
  <c r="W571" i="6"/>
  <c r="AA571" i="6" s="1"/>
  <c r="AA647" i="6"/>
  <c r="W322" i="6"/>
  <c r="AA322" i="6" s="1"/>
  <c r="W490" i="6"/>
  <c r="AA490" i="6" s="1"/>
  <c r="W1655" i="6"/>
  <c r="AA1655" i="6" s="1"/>
  <c r="W42" i="6"/>
  <c r="AA42" i="6" s="1"/>
  <c r="W1157" i="6"/>
  <c r="AA1157" i="6" s="1"/>
  <c r="W1924" i="6"/>
  <c r="AA1924" i="6" s="1"/>
  <c r="W338" i="6"/>
  <c r="AA338" i="6" s="1"/>
  <c r="W1829" i="6"/>
  <c r="AA1829" i="6" s="1"/>
  <c r="AA1833" i="6"/>
  <c r="W795" i="6"/>
  <c r="AA795" i="6" s="1"/>
  <c r="W1423" i="6"/>
  <c r="AA1423" i="6" s="1"/>
  <c r="AA1003" i="6"/>
  <c r="W1966" i="6"/>
  <c r="AA1966" i="6" s="1"/>
  <c r="AA2150" i="6"/>
  <c r="W1333" i="6"/>
  <c r="AA1333" i="6" s="1"/>
  <c r="W154" i="6"/>
  <c r="AA154" i="6" s="1"/>
  <c r="W1592" i="6"/>
  <c r="AA1592" i="6" s="1"/>
  <c r="W1680" i="6"/>
  <c r="AA1680" i="6" s="1"/>
  <c r="W1886" i="6"/>
  <c r="AA1886" i="6" s="1"/>
  <c r="W393" i="6"/>
  <c r="AA393" i="6" s="1"/>
  <c r="W28" i="6"/>
  <c r="AA28" i="6" s="1"/>
  <c r="W1196" i="6"/>
  <c r="AA1196" i="6" s="1"/>
  <c r="W2063" i="6"/>
  <c r="AA2063" i="6" s="1"/>
  <c r="AA1534" i="6"/>
  <c r="W148" i="6"/>
  <c r="AA148" i="6" s="1"/>
  <c r="W41" i="6"/>
  <c r="AA41" i="6" s="1"/>
  <c r="W716" i="6"/>
  <c r="AA716" i="6" s="1"/>
  <c r="AA1654" i="6"/>
  <c r="W1600" i="6"/>
  <c r="AA1600" i="6" s="1"/>
  <c r="W1498" i="6"/>
  <c r="AA1498" i="6" s="1"/>
  <c r="W1001" i="6"/>
  <c r="AA1001" i="6" s="1"/>
  <c r="AA1150" i="6"/>
  <c r="AE1150" i="6" s="1"/>
  <c r="W1686" i="6"/>
  <c r="AA1686" i="6" s="1"/>
  <c r="AE1686" i="6" s="1"/>
  <c r="W1257" i="6"/>
  <c r="AA1257" i="6" s="1"/>
  <c r="W1809" i="6"/>
  <c r="AA1809" i="6" s="1"/>
  <c r="AA1195" i="6"/>
  <c r="W701" i="6"/>
  <c r="AA701" i="6" s="1"/>
  <c r="W840" i="6"/>
  <c r="AA840" i="6" s="1"/>
  <c r="AA903" i="6"/>
  <c r="W458" i="6"/>
  <c r="AA458" i="6" s="1"/>
  <c r="W1663" i="6"/>
  <c r="AA1663" i="6" s="1"/>
  <c r="W1759" i="6"/>
  <c r="AA1759" i="6" s="1"/>
  <c r="W1751" i="6"/>
  <c r="AA1751" i="6" s="1"/>
  <c r="W1529" i="6"/>
  <c r="AA1529" i="6" s="1"/>
  <c r="W431" i="6"/>
  <c r="AA431" i="6" s="1"/>
  <c r="AE431" i="6" s="1"/>
  <c r="W1928" i="6"/>
  <c r="AA1928" i="6" s="1"/>
  <c r="W1838" i="6"/>
  <c r="AA1838" i="6" s="1"/>
  <c r="W570" i="6"/>
  <c r="AA570" i="6" s="1"/>
  <c r="W2084" i="6"/>
  <c r="AA2084" i="6" s="1"/>
  <c r="W534" i="6"/>
  <c r="AA534" i="6" s="1"/>
  <c r="W1501" i="6"/>
  <c r="AA1501" i="6" s="1"/>
  <c r="AA283" i="6"/>
  <c r="W53" i="6"/>
  <c r="AA53" i="6" s="1"/>
  <c r="W839" i="6"/>
  <c r="AA839" i="6" s="1"/>
  <c r="W260" i="6"/>
  <c r="AA260" i="6" s="1"/>
  <c r="W310" i="6"/>
  <c r="AA310" i="6" s="1"/>
  <c r="W38" i="6"/>
  <c r="AA38" i="6" s="1"/>
  <c r="W1572" i="6"/>
  <c r="AA1572" i="6" s="1"/>
  <c r="W1549" i="6"/>
  <c r="AA1549" i="6" s="1"/>
  <c r="W129" i="6"/>
  <c r="AA129" i="6" s="1"/>
  <c r="W864" i="6"/>
  <c r="AA864" i="6" s="1"/>
  <c r="AA327" i="6"/>
  <c r="AA172" i="6"/>
  <c r="W1506" i="6"/>
  <c r="AA1506" i="6" s="1"/>
  <c r="AA114" i="6"/>
  <c r="W1285" i="6"/>
  <c r="AA1285" i="6" s="1"/>
  <c r="W2321" i="6"/>
  <c r="AA2321" i="6" s="1"/>
  <c r="AE2321" i="6" s="1"/>
  <c r="W1199" i="6"/>
  <c r="AA1199" i="6" s="1"/>
  <c r="W2069" i="6"/>
  <c r="AA2069" i="6" s="1"/>
  <c r="W1043" i="6"/>
  <c r="AA1043" i="6" s="1"/>
  <c r="AA874" i="6"/>
  <c r="W61" i="6"/>
  <c r="AA61" i="6" s="1"/>
  <c r="W606" i="6"/>
  <c r="AA606" i="6" s="1"/>
  <c r="W1514" i="6"/>
  <c r="AA1514" i="6" s="1"/>
  <c r="AA308" i="6"/>
  <c r="W2132" i="6"/>
  <c r="AA2132" i="6" s="1"/>
  <c r="W988" i="6"/>
  <c r="AA988" i="6" s="1"/>
  <c r="W228" i="6"/>
  <c r="AA228" i="6" s="1"/>
  <c r="W1952" i="6"/>
  <c r="AA1952" i="6" s="1"/>
  <c r="W1807" i="6"/>
  <c r="AA1807" i="6" s="1"/>
  <c r="AA213" i="6"/>
  <c r="W246" i="6"/>
  <c r="AA246" i="6" s="1"/>
  <c r="W478" i="6"/>
  <c r="AA478" i="6" s="1"/>
  <c r="W54" i="6"/>
  <c r="AA54" i="6" s="1"/>
  <c r="W1822" i="6"/>
  <c r="AA1822" i="6" s="1"/>
  <c r="W972" i="6"/>
  <c r="AA972" i="6" s="1"/>
  <c r="AA2083" i="6"/>
  <c r="W1316" i="6"/>
  <c r="AA1316" i="6" s="1"/>
  <c r="W450" i="6"/>
  <c r="AA450" i="6" s="1"/>
  <c r="W1810" i="6"/>
  <c r="AA1810" i="6" s="1"/>
  <c r="W1940" i="6"/>
  <c r="AA1940" i="6" s="1"/>
  <c r="W1689" i="6"/>
  <c r="AA1689" i="6" s="1"/>
  <c r="AE1689" i="6" s="1"/>
  <c r="W1780" i="6"/>
  <c r="AA1780" i="6" s="1"/>
  <c r="W816" i="6"/>
  <c r="AA816" i="6" s="1"/>
  <c r="AA861" i="6"/>
  <c r="W729" i="6"/>
  <c r="AA729" i="6" s="1"/>
  <c r="W733" i="6"/>
  <c r="AA733" i="6" s="1"/>
  <c r="W1656" i="6"/>
  <c r="AA1656" i="6" s="1"/>
  <c r="AA727" i="6"/>
  <c r="AA583" i="6"/>
  <c r="W258" i="6"/>
  <c r="AA258" i="6" s="1"/>
  <c r="W448" i="6"/>
  <c r="AA448" i="6" s="1"/>
  <c r="W2241" i="6"/>
  <c r="AA2241" i="6" s="1"/>
  <c r="AE2241" i="6" s="1"/>
  <c r="W1910" i="6"/>
  <c r="AA1910" i="6" s="1"/>
  <c r="W484" i="6"/>
  <c r="AA484" i="6" s="1"/>
  <c r="AA2011" i="6"/>
  <c r="W653" i="6"/>
  <c r="AA653" i="6" s="1"/>
  <c r="W2091" i="6"/>
  <c r="AA2091" i="6" s="1"/>
  <c r="W1639" i="6"/>
  <c r="AA1639" i="6" s="1"/>
  <c r="W339" i="6"/>
  <c r="AA339" i="6" s="1"/>
  <c r="W388" i="6"/>
  <c r="AA388" i="6" s="1"/>
  <c r="AA1464" i="6"/>
  <c r="W1475" i="6"/>
  <c r="AA1475" i="6" s="1"/>
  <c r="W1622" i="6"/>
  <c r="AA1622" i="6" s="1"/>
  <c r="W2175" i="6"/>
  <c r="AA2175" i="6" s="1"/>
  <c r="W195" i="6"/>
  <c r="AA195" i="6" s="1"/>
  <c r="W1595" i="6"/>
  <c r="AA1595" i="6" s="1"/>
  <c r="AA1696" i="6"/>
  <c r="W1221" i="6"/>
  <c r="AA1221" i="6" s="1"/>
  <c r="W185" i="6"/>
  <c r="AA185" i="6" s="1"/>
  <c r="AA324" i="6"/>
  <c r="W915" i="6"/>
  <c r="AA915" i="6" s="1"/>
  <c r="W515" i="6"/>
  <c r="AA515" i="6" s="1"/>
  <c r="W1971" i="6"/>
  <c r="AA1971" i="6" s="1"/>
  <c r="W423" i="6"/>
  <c r="AA423" i="6" s="1"/>
  <c r="AA2266" i="6"/>
  <c r="AE2266" i="6" s="1"/>
  <c r="AA674" i="6"/>
  <c r="AE674" i="6" s="1"/>
  <c r="W245" i="6"/>
  <c r="AA245" i="6" s="1"/>
  <c r="W754" i="6"/>
  <c r="AA754" i="6" s="1"/>
  <c r="W1706" i="6"/>
  <c r="AA1706" i="6" s="1"/>
  <c r="W1958" i="6"/>
  <c r="AA1958" i="6" s="1"/>
  <c r="W438" i="6"/>
  <c r="AA438" i="6" s="1"/>
  <c r="AA497" i="6"/>
  <c r="W1885" i="6"/>
  <c r="AA1885" i="6" s="1"/>
  <c r="W1000" i="6"/>
  <c r="AA1000" i="6" s="1"/>
  <c r="W2197" i="6"/>
  <c r="AA2197" i="6" s="1"/>
  <c r="W648" i="6"/>
  <c r="AA648" i="6" s="1"/>
  <c r="W1881" i="6"/>
  <c r="AA1881" i="6" s="1"/>
  <c r="W590" i="6"/>
  <c r="AA590" i="6" s="1"/>
  <c r="W929" i="6"/>
  <c r="AA929" i="6" s="1"/>
  <c r="AA1774" i="6"/>
  <c r="W985" i="6"/>
  <c r="AA985" i="6" s="1"/>
  <c r="W982" i="6"/>
  <c r="AA982" i="6" s="1"/>
  <c r="W1522" i="6"/>
  <c r="AA1522" i="6" s="1"/>
  <c r="W2127" i="6"/>
  <c r="AA2127" i="6" s="1"/>
  <c r="W1978" i="6"/>
  <c r="AA1978" i="6" s="1"/>
  <c r="AA1183" i="6"/>
  <c r="W735" i="6"/>
  <c r="AA735" i="6" s="1"/>
  <c r="W600" i="6"/>
  <c r="AA600" i="6" s="1"/>
  <c r="AA1095" i="6"/>
  <c r="AA88" i="6"/>
  <c r="W372" i="6"/>
  <c r="AA372" i="6" s="1"/>
  <c r="W704" i="6"/>
  <c r="AA704" i="6" s="1"/>
  <c r="W1649" i="6"/>
  <c r="AA1649" i="6" s="1"/>
  <c r="W1651" i="6"/>
  <c r="AA1651" i="6" s="1"/>
  <c r="AA1596" i="6"/>
  <c r="W483" i="6"/>
  <c r="AA483" i="6" s="1"/>
  <c r="W627" i="6"/>
  <c r="AA627" i="6" s="1"/>
  <c r="W738" i="6"/>
  <c r="AA738" i="6" s="1"/>
  <c r="W1263" i="6"/>
  <c r="AA1263" i="6" s="1"/>
  <c r="W709" i="6"/>
  <c r="AA709" i="6" s="1"/>
  <c r="W1266" i="6"/>
  <c r="AA1266" i="6" s="1"/>
  <c r="AE1266" i="6" s="1"/>
  <c r="W783" i="6"/>
  <c r="AA783" i="6" s="1"/>
  <c r="W427" i="6"/>
  <c r="AA427" i="6" s="1"/>
  <c r="W1412" i="6"/>
  <c r="AA1412" i="6" s="1"/>
  <c r="AA1554" i="6"/>
  <c r="W77" i="6"/>
  <c r="AA77" i="6" s="1"/>
  <c r="W22" i="6"/>
  <c r="AA22" i="6" s="1"/>
  <c r="W1362" i="6"/>
  <c r="AA1362" i="6" s="1"/>
  <c r="AA1040" i="6"/>
  <c r="AA1438" i="6"/>
  <c r="W1535" i="6"/>
  <c r="AA1535" i="6" s="1"/>
  <c r="W196" i="6"/>
  <c r="AA196" i="6" s="1"/>
  <c r="AA348" i="6"/>
  <c r="W1057" i="6"/>
  <c r="AA1057" i="6" s="1"/>
  <c r="W1002" i="6"/>
  <c r="AA1002" i="6" s="1"/>
  <c r="W1603" i="6"/>
  <c r="AA1603" i="6" s="1"/>
  <c r="W385" i="6"/>
  <c r="AA385" i="6" s="1"/>
  <c r="W1894" i="6"/>
  <c r="AA1894" i="6" s="1"/>
  <c r="W522" i="6"/>
  <c r="AA522" i="6" s="1"/>
  <c r="W1447" i="6"/>
  <c r="AA1447" i="6" s="1"/>
  <c r="W2315" i="6"/>
  <c r="AA2315" i="6" s="1"/>
  <c r="AA2147" i="6"/>
  <c r="W2118" i="6"/>
  <c r="AA2118" i="6" s="1"/>
  <c r="AA1028" i="6"/>
  <c r="W691" i="6"/>
  <c r="AA691" i="6" s="1"/>
  <c r="AA1192" i="6"/>
  <c r="W2081" i="6"/>
  <c r="AA2081" i="6" s="1"/>
  <c r="W1206" i="6"/>
  <c r="AA1206" i="6" s="1"/>
  <c r="W870" i="6"/>
  <c r="AA870" i="6" s="1"/>
  <c r="W2163" i="6"/>
  <c r="AA2163" i="6" s="1"/>
  <c r="AE2163" i="6" s="1"/>
  <c r="W408" i="6"/>
  <c r="AA408" i="6" s="1"/>
  <c r="AA84" i="6"/>
  <c r="W425" i="6"/>
  <c r="AA425" i="6" s="1"/>
  <c r="W815" i="6"/>
  <c r="AA815" i="6" s="1"/>
  <c r="W1990" i="6"/>
  <c r="AA1990" i="6" s="1"/>
  <c r="AE1990" i="6" s="1"/>
  <c r="W233" i="6"/>
  <c r="AA233" i="6" s="1"/>
  <c r="W26" i="6"/>
  <c r="AA26" i="6" s="1"/>
  <c r="AA1288" i="6"/>
  <c r="W1882" i="6"/>
  <c r="AA1882" i="6" s="1"/>
  <c r="W225" i="6"/>
  <c r="AA225" i="6" s="1"/>
  <c r="W1377" i="6"/>
  <c r="AA1377" i="6" s="1"/>
  <c r="AA1174" i="6"/>
  <c r="W1987" i="6"/>
  <c r="AA1987" i="6" s="1"/>
  <c r="W1605" i="6"/>
  <c r="AA1605" i="6" s="1"/>
  <c r="W1419" i="6"/>
  <c r="AA1419" i="6" s="1"/>
  <c r="W1191" i="6"/>
  <c r="AA1191" i="6" s="1"/>
  <c r="W1198" i="6"/>
  <c r="AA1198" i="6" s="1"/>
  <c r="AA646" i="6"/>
  <c r="W944" i="6"/>
  <c r="AA944" i="6" s="1"/>
  <c r="W1533" i="6"/>
  <c r="AA1533" i="6" s="1"/>
  <c r="W1997" i="6"/>
  <c r="AA1997" i="6" s="1"/>
  <c r="AE1997" i="6" s="1"/>
  <c r="AA486" i="6"/>
  <c r="W1477" i="6"/>
  <c r="AA1477" i="6" s="1"/>
  <c r="W614" i="6"/>
  <c r="AA614" i="6" s="1"/>
  <c r="W966" i="6"/>
  <c r="AA966" i="6" s="1"/>
  <c r="W1786" i="6"/>
  <c r="AA1786" i="6" s="1"/>
  <c r="W1352" i="6"/>
  <c r="AA1352" i="6" s="1"/>
  <c r="W1984" i="6"/>
  <c r="AA1984" i="6" s="1"/>
  <c r="W2346" i="6"/>
  <c r="AA2346" i="6" s="1"/>
  <c r="AE2346" i="6" s="1"/>
  <c r="W592" i="6"/>
  <c r="AA592" i="6" s="1"/>
  <c r="W1968" i="6"/>
  <c r="AA1968" i="6" s="1"/>
  <c r="W2365" i="6"/>
  <c r="AA2365" i="6" s="1"/>
  <c r="W1972" i="6"/>
  <c r="AA1972" i="6" s="1"/>
  <c r="AA1630" i="6"/>
  <c r="W999" i="6"/>
  <c r="AA999" i="6" s="1"/>
  <c r="W446" i="6"/>
  <c r="AA446" i="6" s="1"/>
  <c r="W476" i="6"/>
  <c r="AA476" i="6" s="1"/>
  <c r="AA1713" i="6"/>
  <c r="AA219" i="6"/>
  <c r="W2176" i="6"/>
  <c r="AA2176" i="6" s="1"/>
  <c r="W1166" i="6"/>
  <c r="AA1166" i="6" s="1"/>
  <c r="W2192" i="6"/>
  <c r="AA2192" i="6" s="1"/>
  <c r="W1755" i="6"/>
  <c r="AA1755" i="6" s="1"/>
  <c r="W561" i="6"/>
  <c r="AA561" i="6" s="1"/>
  <c r="W1827" i="6"/>
  <c r="AA1827" i="6" s="1"/>
  <c r="W2262" i="6"/>
  <c r="AA2262" i="6" s="1"/>
  <c r="AE2262" i="6" s="1"/>
  <c r="W1261" i="6"/>
  <c r="AA1261" i="6" s="1"/>
  <c r="W1020" i="6"/>
  <c r="AA1020" i="6" s="1"/>
  <c r="W640" i="6"/>
  <c r="AA640" i="6" s="1"/>
  <c r="W2010" i="6"/>
  <c r="AA2010" i="6" s="1"/>
  <c r="W325" i="6"/>
  <c r="AA325" i="6" s="1"/>
  <c r="W443" i="6"/>
  <c r="AA443" i="6" s="1"/>
  <c r="W1399" i="6"/>
  <c r="AA1399" i="6" s="1"/>
  <c r="W137" i="6"/>
  <c r="AA137" i="6" s="1"/>
  <c r="W1891" i="6"/>
  <c r="AA1891" i="6" s="1"/>
  <c r="W1217" i="6"/>
  <c r="AA1217" i="6" s="1"/>
  <c r="AA2249" i="6"/>
  <c r="AE2249" i="6" s="1"/>
  <c r="W2243" i="6"/>
  <c r="AA2243" i="6" s="1"/>
  <c r="AE2243" i="6" s="1"/>
  <c r="W2085" i="6"/>
  <c r="AA2085" i="6" s="1"/>
  <c r="W1474" i="6"/>
  <c r="AA1474" i="6" s="1"/>
  <c r="W907" i="6"/>
  <c r="AA907" i="6" s="1"/>
  <c r="W1859" i="6"/>
  <c r="AA1859" i="6" s="1"/>
  <c r="W518" i="6"/>
  <c r="AA518" i="6" s="1"/>
  <c r="W1625" i="6"/>
  <c r="AA1625" i="6" s="1"/>
  <c r="W1468" i="6"/>
  <c r="AA1468" i="6" s="1"/>
  <c r="W773" i="6"/>
  <c r="AA773" i="6" s="1"/>
  <c r="W2202" i="6"/>
  <c r="AA2202" i="6" s="1"/>
  <c r="AE2202" i="6" s="1"/>
  <c r="W235" i="6"/>
  <c r="AA235" i="6" s="1"/>
  <c r="W1491" i="6"/>
  <c r="AA1491" i="6" s="1"/>
  <c r="W1858" i="6"/>
  <c r="AA1858" i="6" s="1"/>
  <c r="W1976" i="6"/>
  <c r="AA1976" i="6" s="1"/>
  <c r="W313" i="6"/>
  <c r="AA313" i="6" s="1"/>
  <c r="W1727" i="6"/>
  <c r="AA1727" i="6" s="1"/>
  <c r="AA1132" i="6"/>
  <c r="W2263" i="6"/>
  <c r="AA2263" i="6" s="1"/>
  <c r="AE2263" i="6" s="1"/>
  <c r="AA1957" i="6"/>
  <c r="W1290" i="6"/>
  <c r="AA1290" i="6" s="1"/>
  <c r="W262" i="6"/>
  <c r="AA262" i="6" s="1"/>
  <c r="W1741" i="6"/>
  <c r="AA1741" i="6" s="1"/>
  <c r="W1414" i="6"/>
  <c r="AA1414" i="6" s="1"/>
  <c r="AA1395" i="6"/>
  <c r="W284" i="6"/>
  <c r="AA284" i="6" s="1"/>
  <c r="W1296" i="6"/>
  <c r="AA1296" i="6" s="1"/>
  <c r="W642" i="6"/>
  <c r="AA642" i="6" s="1"/>
  <c r="W1159" i="6"/>
  <c r="AA1159" i="6" s="1"/>
  <c r="W962" i="6"/>
  <c r="AA962" i="6" s="1"/>
  <c r="W926" i="6"/>
  <c r="AA926" i="6" s="1"/>
  <c r="W2020" i="6"/>
  <c r="AA2020" i="6" s="1"/>
  <c r="W1076" i="6"/>
  <c r="AA1076" i="6" s="1"/>
  <c r="W2136" i="6"/>
  <c r="AA2136" i="6" s="1"/>
  <c r="AE2136" i="6" s="1"/>
  <c r="W859" i="6"/>
  <c r="AA859" i="6" s="1"/>
  <c r="W1915" i="6"/>
  <c r="AA1915" i="6" s="1"/>
  <c r="W1060" i="6"/>
  <c r="AA1060" i="6" s="1"/>
  <c r="W1523" i="6"/>
  <c r="AA1523" i="6" s="1"/>
  <c r="W1248" i="6"/>
  <c r="AA1248" i="6" s="1"/>
  <c r="W1252" i="6"/>
  <c r="AA1252" i="6" s="1"/>
  <c r="W2190" i="6"/>
  <c r="AA2190" i="6" s="1"/>
  <c r="W1938" i="6"/>
  <c r="AA1938" i="6" s="1"/>
  <c r="W1787" i="6"/>
  <c r="AA1787" i="6" s="1"/>
  <c r="W123" i="6"/>
  <c r="AA123" i="6" s="1"/>
  <c r="W1728" i="6"/>
  <c r="AA1728" i="6" s="1"/>
  <c r="W110" i="6"/>
  <c r="AA110" i="6" s="1"/>
  <c r="W1223" i="6"/>
  <c r="AA1223" i="6" s="1"/>
  <c r="W1032" i="6"/>
  <c r="AA1032" i="6" s="1"/>
  <c r="AA730" i="6"/>
  <c r="W1758" i="6"/>
  <c r="AA1758" i="6" s="1"/>
  <c r="W1172" i="6"/>
  <c r="AA1172" i="6" s="1"/>
  <c r="W168" i="6"/>
  <c r="AA168" i="6" s="1"/>
  <c r="W1078" i="6"/>
  <c r="AA1078" i="6" s="1"/>
  <c r="W1061" i="6"/>
  <c r="AA1061" i="6" s="1"/>
  <c r="W1890" i="6"/>
  <c r="AA1890" i="6" s="1"/>
  <c r="W2033" i="6"/>
  <c r="AA2033" i="6" s="1"/>
  <c r="W705" i="6"/>
  <c r="AA705" i="6" s="1"/>
  <c r="W1153" i="6"/>
  <c r="AA1153" i="6" s="1"/>
  <c r="W2002" i="6"/>
  <c r="AA2002" i="6" s="1"/>
  <c r="W467" i="6"/>
  <c r="AA467" i="6" s="1"/>
  <c r="W1542" i="6"/>
  <c r="AA1542" i="6" s="1"/>
  <c r="AA76" i="6"/>
  <c r="W2134" i="6"/>
  <c r="AA2134" i="6" s="1"/>
  <c r="AA763" i="6"/>
  <c r="AA58" i="6"/>
  <c r="AA1207" i="6"/>
  <c r="AA48" i="6"/>
  <c r="W2267" i="6"/>
  <c r="AA2267" i="6" s="1"/>
  <c r="AE2267" i="6" s="1"/>
  <c r="W1268" i="6"/>
  <c r="AA1268" i="6" s="1"/>
  <c r="W43" i="6"/>
  <c r="AA43" i="6" s="1"/>
  <c r="W611" i="6"/>
  <c r="AA611" i="6" s="1"/>
  <c r="W1236" i="6"/>
  <c r="AA1236" i="6" s="1"/>
  <c r="W2062" i="6"/>
  <c r="AA2062" i="6" s="1"/>
  <c r="W202" i="6"/>
  <c r="AA202" i="6" s="1"/>
  <c r="W781" i="6"/>
  <c r="AA781" i="6" s="1"/>
  <c r="AA252" i="6"/>
  <c r="W460" i="6"/>
  <c r="AA460" i="6" s="1"/>
  <c r="AA1789" i="6"/>
  <c r="W1840" i="6"/>
  <c r="AA1840" i="6" s="1"/>
  <c r="W506" i="6"/>
  <c r="AA506" i="6" s="1"/>
  <c r="W1720" i="6"/>
  <c r="AA1720" i="6" s="1"/>
  <c r="W2231" i="6"/>
  <c r="AA2231" i="6" s="1"/>
  <c r="AA1315" i="6"/>
  <c r="AA1470" i="6"/>
  <c r="AA2247" i="6"/>
  <c r="AE2247" i="6" s="1"/>
  <c r="W2340" i="6"/>
  <c r="AA2340" i="6" s="1"/>
  <c r="AE2340" i="6" s="1"/>
  <c r="AA2347" i="6"/>
  <c r="AE2347" i="6" s="1"/>
  <c r="W2125" i="6"/>
  <c r="AA2125" i="6" s="1"/>
  <c r="W1022" i="6"/>
  <c r="AA1022" i="6" s="1"/>
  <c r="W1871" i="6"/>
  <c r="AA1871" i="6" s="1"/>
  <c r="W232" i="6"/>
  <c r="AA232" i="6" s="1"/>
  <c r="AA1401" i="6"/>
  <c r="W1878" i="6"/>
  <c r="AA1878" i="6" s="1"/>
  <c r="W1381" i="6"/>
  <c r="AA1381" i="6" s="1"/>
  <c r="W1113" i="6"/>
  <c r="AA1113" i="6" s="1"/>
  <c r="W775" i="6"/>
  <c r="AA775" i="6" s="1"/>
  <c r="W1676" i="6"/>
  <c r="AA1676" i="6" s="1"/>
  <c r="W263" i="6"/>
  <c r="AA263" i="6" s="1"/>
  <c r="AA1014" i="6"/>
  <c r="W1864" i="6"/>
  <c r="AA1864" i="6" s="1"/>
  <c r="W798" i="6"/>
  <c r="AA798" i="6" s="1"/>
  <c r="W66" i="6"/>
  <c r="AA66" i="6" s="1"/>
  <c r="AA1015" i="6"/>
  <c r="AA2359" i="6"/>
  <c r="AE2359" i="6" s="1"/>
  <c r="W105" i="6"/>
  <c r="AA105" i="6" s="1"/>
  <c r="W1742" i="6"/>
  <c r="AA1742" i="6" s="1"/>
  <c r="AA535" i="6"/>
  <c r="W1975" i="6"/>
  <c r="AA1975" i="6" s="1"/>
  <c r="W1521" i="6"/>
  <c r="AA1521" i="6" s="1"/>
  <c r="W958" i="6"/>
  <c r="AA958" i="6" s="1"/>
  <c r="W710" i="6"/>
  <c r="AA710" i="6" s="1"/>
  <c r="AA2302" i="6"/>
  <c r="AE2302" i="6" s="1"/>
  <c r="W1097" i="6"/>
  <c r="AA1097" i="6" s="1"/>
  <c r="W345" i="6"/>
  <c r="AA345" i="6" s="1"/>
  <c r="W1873" i="6"/>
  <c r="AA1873" i="6" s="1"/>
  <c r="W1697" i="6"/>
  <c r="AA1697" i="6" s="1"/>
  <c r="W49" i="6"/>
  <c r="AA49" i="6" s="1"/>
  <c r="W1408" i="6"/>
  <c r="AA1408" i="6" s="1"/>
  <c r="W436" i="6"/>
  <c r="AA436" i="6" s="1"/>
  <c r="W2318" i="6"/>
  <c r="AA2318" i="6" s="1"/>
  <c r="W1391" i="6"/>
  <c r="AA1391" i="6" s="1"/>
  <c r="W70" i="6"/>
  <c r="AA70" i="6" s="1"/>
  <c r="W589" i="6"/>
  <c r="AA589" i="6" s="1"/>
  <c r="AA1494" i="6"/>
  <c r="W662" i="6"/>
  <c r="AA662" i="6" s="1"/>
  <c r="AA1772" i="6"/>
  <c r="AA1765" i="6"/>
  <c r="W2045" i="6"/>
  <c r="AA2045" i="6" s="1"/>
  <c r="W2055" i="6"/>
  <c r="AA2055" i="6" s="1"/>
  <c r="W1128" i="6"/>
  <c r="AA1128" i="6" s="1"/>
  <c r="W381" i="6"/>
  <c r="AA381" i="6" s="1"/>
  <c r="W707" i="6"/>
  <c r="AA707" i="6" s="1"/>
  <c r="W320" i="6"/>
  <c r="AA320" i="6" s="1"/>
  <c r="W595" i="6"/>
  <c r="AA595" i="6" s="1"/>
  <c r="AA517" i="6"/>
  <c r="W214" i="6"/>
  <c r="AA214" i="6" s="1"/>
  <c r="W1908" i="6"/>
  <c r="AA1908" i="6" s="1"/>
  <c r="W892" i="6"/>
  <c r="AA892" i="6" s="1"/>
  <c r="W1980" i="6"/>
  <c r="AA1980" i="6" s="1"/>
  <c r="AA2052" i="6"/>
  <c r="W912" i="6"/>
  <c r="AA912" i="6" s="1"/>
  <c r="W1169" i="6"/>
  <c r="AA1169" i="6" s="1"/>
  <c r="W1011" i="6"/>
  <c r="AA1011" i="6" s="1"/>
  <c r="W226" i="6"/>
  <c r="AA226" i="6" s="1"/>
  <c r="W89" i="6"/>
  <c r="AA89" i="6" s="1"/>
  <c r="W160" i="6"/>
  <c r="AA160" i="6" s="1"/>
  <c r="W1609" i="6"/>
  <c r="AA1609" i="6" s="1"/>
  <c r="W455" i="6"/>
  <c r="AA455" i="6" s="1"/>
  <c r="W229" i="6"/>
  <c r="AA229" i="6" s="1"/>
  <c r="W1724" i="6"/>
  <c r="AA1724" i="6" s="1"/>
  <c r="W447" i="6"/>
  <c r="AA447" i="6" s="1"/>
  <c r="W2097" i="6"/>
  <c r="AA2097" i="6" s="1"/>
  <c r="W621" i="6"/>
  <c r="AA621" i="6" s="1"/>
  <c r="AA911" i="6"/>
  <c r="W45" i="6"/>
  <c r="AA45" i="6" s="1"/>
  <c r="W1307" i="6"/>
  <c r="AA1307" i="6" s="1"/>
  <c r="W1899" i="6"/>
  <c r="AA1899" i="6" s="1"/>
  <c r="AE1899" i="6" s="1"/>
  <c r="W2305" i="6"/>
  <c r="AA2305" i="6" s="1"/>
  <c r="AE2305" i="6" s="1"/>
  <c r="AA1794" i="6"/>
  <c r="W628" i="6"/>
  <c r="AA628" i="6" s="1"/>
  <c r="W2226" i="6"/>
  <c r="AA2226" i="6" s="1"/>
  <c r="W1462" i="6"/>
  <c r="AA1462" i="6" s="1"/>
  <c r="W2187" i="6"/>
  <c r="AA2187" i="6" s="1"/>
  <c r="W1093" i="6"/>
  <c r="AA1093" i="6" s="1"/>
  <c r="W2066" i="6"/>
  <c r="AA2066" i="6" s="1"/>
  <c r="AA1375" i="6"/>
  <c r="W625" i="6"/>
  <c r="AA625" i="6" s="1"/>
  <c r="W2160" i="6"/>
  <c r="AA2160" i="6" s="1"/>
  <c r="AE2160" i="6" s="1"/>
  <c r="AA1723" i="6"/>
  <c r="W1319" i="6"/>
  <c r="AA1319" i="6" s="1"/>
  <c r="W1947" i="6"/>
  <c r="AA1947" i="6" s="1"/>
  <c r="W288" i="6"/>
  <c r="AA288" i="6" s="1"/>
  <c r="W806" i="6"/>
  <c r="AA806" i="6" s="1"/>
  <c r="W46" i="6"/>
  <c r="AA46" i="6" s="1"/>
  <c r="W2024" i="6"/>
  <c r="AA2024" i="6" s="1"/>
  <c r="W1114" i="6"/>
  <c r="AA1114" i="6" s="1"/>
  <c r="W745" i="6"/>
  <c r="AA745" i="6" s="1"/>
  <c r="AA2366" i="6"/>
  <c r="W2349" i="6"/>
  <c r="AA2349" i="6" s="1"/>
  <c r="AE2349" i="6" s="1"/>
  <c r="W1047" i="6"/>
  <c r="AA1047" i="6" s="1"/>
  <c r="W111" i="6"/>
  <c r="AA111" i="6" s="1"/>
  <c r="AA1187" i="6"/>
  <c r="AA1909" i="6"/>
  <c r="W1123" i="6"/>
  <c r="AA1123" i="6" s="1"/>
  <c r="W1283" i="6"/>
  <c r="AA1283" i="6" s="1"/>
  <c r="AA24" i="6"/>
  <c r="W1762" i="6"/>
  <c r="AA1762" i="6" s="1"/>
  <c r="W2246" i="6"/>
  <c r="AA2246" i="6" s="1"/>
  <c r="AE2246" i="6" s="1"/>
  <c r="AA1367" i="6"/>
  <c r="W1628" i="6"/>
  <c r="AA1628" i="6" s="1"/>
  <c r="W1842" i="6"/>
  <c r="AA1842" i="6" s="1"/>
  <c r="W1496" i="6"/>
  <c r="AA1496" i="6" s="1"/>
  <c r="W1045" i="6"/>
  <c r="AA1045" i="6" s="1"/>
  <c r="W616" i="6"/>
  <c r="AA616" i="6" s="1"/>
  <c r="W943" i="6"/>
  <c r="AA943" i="6" s="1"/>
  <c r="W952" i="6"/>
  <c r="AA952" i="6" s="1"/>
  <c r="W1560" i="6"/>
  <c r="AA1560" i="6" s="1"/>
  <c r="W723" i="6"/>
  <c r="AA723" i="6" s="1"/>
  <c r="W1429" i="6"/>
  <c r="AA1429" i="6" s="1"/>
  <c r="W2208" i="6"/>
  <c r="AA2208" i="6" s="1"/>
  <c r="AE2208" i="6" s="1"/>
  <c r="W39" i="6"/>
  <c r="AA39" i="6" s="1"/>
  <c r="W1413" i="6"/>
  <c r="AA1413" i="6" s="1"/>
  <c r="W908" i="6"/>
  <c r="AA908" i="6" s="1"/>
  <c r="AA392" i="6"/>
  <c r="AA1184" i="6"/>
  <c r="W1736" i="6"/>
  <c r="AA1736" i="6" s="1"/>
  <c r="W543" i="6"/>
  <c r="AA543" i="6" s="1"/>
  <c r="W1186" i="6"/>
  <c r="AA1186" i="6" s="1"/>
  <c r="W2352" i="6"/>
  <c r="AA2352" i="6" s="1"/>
  <c r="AE2352" i="6" s="1"/>
  <c r="W2028" i="6"/>
  <c r="AA2028" i="6" s="1"/>
  <c r="W1280" i="6"/>
  <c r="AA1280" i="6" s="1"/>
  <c r="W269" i="6"/>
  <c r="AA269" i="6" s="1"/>
  <c r="W2124" i="6"/>
  <c r="AA2124" i="6" s="1"/>
  <c r="W1142" i="6"/>
  <c r="AA1142" i="6" s="1"/>
  <c r="W289" i="6"/>
  <c r="AA289" i="6" s="1"/>
  <c r="W87" i="6"/>
  <c r="AA87" i="6" s="1"/>
  <c r="W921" i="6"/>
  <c r="AA921" i="6" s="1"/>
  <c r="W1314" i="6"/>
  <c r="AA1314" i="6" s="1"/>
  <c r="AA1735" i="6"/>
  <c r="AA1729" i="6"/>
  <c r="W399" i="6"/>
  <c r="AA399" i="6" s="1"/>
  <c r="AA1291" i="6"/>
  <c r="W919" i="6"/>
  <c r="AA919" i="6" s="1"/>
  <c r="W554" i="6"/>
  <c r="AA554" i="6" s="1"/>
  <c r="W867" i="6"/>
  <c r="AA867" i="6" s="1"/>
  <c r="W717" i="6"/>
  <c r="AA717" i="6" s="1"/>
  <c r="AA547" i="6"/>
  <c r="W2330" i="6"/>
  <c r="AA2330" i="6" s="1"/>
  <c r="AE2330" i="6" s="1"/>
  <c r="W173" i="6"/>
  <c r="AA173" i="6" s="1"/>
  <c r="W1932" i="6"/>
  <c r="AA1932" i="6" s="1"/>
  <c r="W1110" i="6"/>
  <c r="AA1110" i="6" s="1"/>
  <c r="W1275" i="6"/>
  <c r="AA1275" i="6" s="1"/>
  <c r="W380" i="6"/>
  <c r="AA380" i="6" s="1"/>
  <c r="W502" i="6"/>
  <c r="AA502" i="6" s="1"/>
  <c r="AA1254" i="6"/>
  <c r="W1824" i="6"/>
  <c r="AA1824" i="6" s="1"/>
  <c r="W858" i="6"/>
  <c r="AA858" i="6" s="1"/>
  <c r="W1775" i="6"/>
  <c r="AA1775" i="6" s="1"/>
  <c r="W2056" i="6"/>
  <c r="AA2056" i="6" s="1"/>
  <c r="W1454" i="6"/>
  <c r="AA1454" i="6" s="1"/>
  <c r="W1058" i="6"/>
  <c r="AA1058" i="6" s="1"/>
  <c r="W1483" i="6"/>
  <c r="AA1483" i="6" s="1"/>
  <c r="W1116" i="6"/>
  <c r="AA1116" i="6" s="1"/>
  <c r="AA1877" i="6"/>
  <c r="W1103" i="6"/>
  <c r="AA1103" i="6" s="1"/>
  <c r="AA1699" i="6"/>
  <c r="W2300" i="6"/>
  <c r="AA2300" i="6" s="1"/>
  <c r="AE2300" i="6" s="1"/>
  <c r="W1165" i="6"/>
  <c r="AA1165" i="6" s="1"/>
  <c r="W1660" i="6"/>
  <c r="AA1660" i="6" s="1"/>
  <c r="W1527" i="6"/>
  <c r="AA1527" i="6" s="1"/>
  <c r="W271" i="6"/>
  <c r="AA271" i="6" s="1"/>
  <c r="W108" i="6"/>
  <c r="AA108" i="6" s="1"/>
  <c r="W1231" i="6"/>
  <c r="AA1231" i="6" s="1"/>
  <c r="W938" i="6"/>
  <c r="AA938" i="6" s="1"/>
  <c r="W23" i="6"/>
  <c r="AA23" i="6" s="1"/>
  <c r="W1745" i="6"/>
  <c r="AA1745" i="6" s="1"/>
  <c r="W2342" i="6"/>
  <c r="AA2342" i="6" s="1"/>
  <c r="AE2342" i="6" s="1"/>
  <c r="AA1726" i="6"/>
  <c r="W1449" i="6"/>
  <c r="AA1449" i="6" s="1"/>
  <c r="AA2099" i="6"/>
  <c r="W2049" i="6"/>
  <c r="AA2049" i="6" s="1"/>
  <c r="AA344" i="6"/>
  <c r="AA2168" i="6"/>
  <c r="W973" i="6"/>
  <c r="AA973" i="6" s="1"/>
  <c r="AA1037" i="6"/>
  <c r="W1141" i="6"/>
  <c r="AA1141" i="6" s="1"/>
  <c r="AA471" i="6"/>
  <c r="W1847" i="6"/>
  <c r="AA1847" i="6" s="1"/>
  <c r="W1485" i="6"/>
  <c r="AA1485" i="6" s="1"/>
  <c r="AA596" i="6"/>
  <c r="AA1101" i="6"/>
  <c r="AA319" i="6"/>
  <c r="W688" i="6"/>
  <c r="AA688" i="6" s="1"/>
  <c r="AA294" i="6"/>
  <c r="W1230" i="6"/>
  <c r="AA1230" i="6" s="1"/>
  <c r="W556" i="6"/>
  <c r="AA556" i="6" s="1"/>
  <c r="W1817" i="6"/>
  <c r="AA1817" i="6" s="1"/>
  <c r="W363" i="6"/>
  <c r="AA363" i="6" s="1"/>
  <c r="W1903" i="6"/>
  <c r="AA1903" i="6" s="1"/>
  <c r="AE1903" i="6" s="1"/>
  <c r="W2265" i="6"/>
  <c r="AA2265" i="6" s="1"/>
  <c r="AE2265" i="6" s="1"/>
  <c r="AA1585" i="6"/>
  <c r="AA1370" i="6"/>
  <c r="W496" i="6"/>
  <c r="AA496" i="6" s="1"/>
  <c r="W960" i="6"/>
  <c r="AA960" i="6" s="1"/>
  <c r="W1526" i="6"/>
  <c r="AA1526" i="6" s="1"/>
  <c r="AA1659" i="6"/>
  <c r="W1508" i="6"/>
  <c r="AA1508" i="6" s="1"/>
  <c r="W430" i="6"/>
  <c r="AA430" i="6" s="1"/>
  <c r="AE430" i="6" s="1"/>
  <c r="AA488" i="6"/>
  <c r="AA411" i="6"/>
  <c r="W2312" i="6"/>
  <c r="AA2312" i="6" s="1"/>
  <c r="AE2312" i="6" s="1"/>
  <c r="W1850" i="6"/>
  <c r="AA1850" i="6" s="1"/>
  <c r="W1960" i="6"/>
  <c r="AA1960" i="6" s="1"/>
  <c r="W656" i="6"/>
  <c r="AA656" i="6" s="1"/>
  <c r="W989" i="6"/>
  <c r="AA989" i="6" s="1"/>
  <c r="W1247" i="6"/>
  <c r="AA1247" i="6" s="1"/>
  <c r="W2114" i="6"/>
  <c r="AA2114" i="6" s="1"/>
  <c r="W638" i="6"/>
  <c r="AA638" i="6" s="1"/>
  <c r="AA2090" i="6"/>
  <c r="W270" i="6"/>
  <c r="AA270" i="6" s="1"/>
  <c r="W1967" i="6"/>
  <c r="AA1967" i="6" s="1"/>
  <c r="W974" i="6"/>
  <c r="AA974" i="6" s="1"/>
  <c r="W127" i="6"/>
  <c r="AA127" i="6" s="1"/>
  <c r="W2015" i="6"/>
  <c r="AA2015" i="6" s="1"/>
  <c r="W1269" i="6"/>
  <c r="AA1269" i="6" s="1"/>
  <c r="W514" i="6"/>
  <c r="AA514" i="6" s="1"/>
  <c r="W120" i="6"/>
  <c r="AA120" i="6" s="1"/>
  <c r="W1906" i="6"/>
  <c r="AA1906" i="6" s="1"/>
  <c r="AE1906" i="6" s="1"/>
  <c r="W421" i="6"/>
  <c r="AA421" i="6" s="1"/>
  <c r="W516" i="6"/>
  <c r="AA516" i="6" s="1"/>
  <c r="W1027" i="6"/>
  <c r="AA1027" i="6" s="1"/>
  <c r="W597" i="6"/>
  <c r="AA597" i="6" s="1"/>
  <c r="W979" i="6"/>
  <c r="AA979" i="6" s="1"/>
  <c r="W1029" i="6"/>
  <c r="AA1029" i="6" s="1"/>
  <c r="W312" i="6"/>
  <c r="AA312" i="6" s="1"/>
  <c r="W1763" i="6"/>
  <c r="AA1763" i="6" s="1"/>
  <c r="W784" i="6"/>
  <c r="AA784" i="6" s="1"/>
  <c r="W2322" i="6"/>
  <c r="AA2322" i="6" s="1"/>
  <c r="AE2322" i="6" s="1"/>
  <c r="W2291" i="6"/>
  <c r="AA2291" i="6" s="1"/>
  <c r="AE2291" i="6" s="1"/>
  <c r="W449" i="6"/>
  <c r="AA449" i="6" s="1"/>
  <c r="W454" i="6"/>
  <c r="AA454" i="6" s="1"/>
  <c r="W1225" i="6"/>
  <c r="AA1225" i="6" s="1"/>
  <c r="W311" i="6"/>
  <c r="AA311" i="6" s="1"/>
  <c r="W1400" i="6"/>
  <c r="AA1400" i="6" s="1"/>
  <c r="W764" i="6"/>
  <c r="AA764" i="6" s="1"/>
  <c r="W333" i="6"/>
  <c r="AA333" i="6" s="1"/>
  <c r="W677" i="6"/>
  <c r="AA677" i="6" s="1"/>
  <c r="AE677" i="6" s="1"/>
  <c r="W2230" i="6"/>
  <c r="AA2230" i="6" s="1"/>
  <c r="W2019" i="6"/>
  <c r="AA2019" i="6" s="1"/>
  <c r="AA2076" i="6"/>
  <c r="AA530" i="6"/>
  <c r="W694" i="6"/>
  <c r="AA694" i="6" s="1"/>
  <c r="W818" i="6"/>
  <c r="AA818" i="6" s="1"/>
  <c r="W1056" i="6"/>
  <c r="AA1056" i="6" s="1"/>
  <c r="W2274" i="6"/>
  <c r="AA2274" i="6" s="1"/>
  <c r="AE2274" i="6" s="1"/>
  <c r="W2338" i="6"/>
  <c r="AA2338" i="6" s="1"/>
  <c r="AE2338" i="6" s="1"/>
  <c r="W841" i="6"/>
  <c r="AA841" i="6" s="1"/>
  <c r="AE841" i="6" s="1"/>
  <c r="W500" i="6"/>
  <c r="AA500" i="6" s="1"/>
  <c r="W2110" i="6"/>
  <c r="AA2110" i="6" s="1"/>
  <c r="W577" i="6"/>
  <c r="AA577" i="6" s="1"/>
  <c r="W465" i="6"/>
  <c r="AA465" i="6" s="1"/>
  <c r="W1418" i="6"/>
  <c r="AA1418" i="6" s="1"/>
  <c r="W1954" i="6"/>
  <c r="AA1954" i="6" s="1"/>
  <c r="W1536" i="6"/>
  <c r="AA1536" i="6" s="1"/>
  <c r="W68" i="6"/>
  <c r="AA68" i="6" s="1"/>
  <c r="W107" i="6"/>
  <c r="AA107" i="6" s="1"/>
  <c r="AA1670" i="6"/>
  <c r="W846" i="6"/>
  <c r="AA846" i="6" s="1"/>
  <c r="W769" i="6"/>
  <c r="AA769" i="6" s="1"/>
  <c r="W366" i="6"/>
  <c r="AA366" i="6" s="1"/>
  <c r="AA1051" i="6"/>
  <c r="W923" i="6"/>
  <c r="AA923" i="6" s="1"/>
  <c r="AA419" i="6"/>
  <c r="W197" i="6"/>
  <c r="AA197" i="6" s="1"/>
  <c r="W808" i="6"/>
  <c r="AA808" i="6" s="1"/>
  <c r="W539" i="6"/>
  <c r="AA539" i="6" s="1"/>
  <c r="AA2303" i="6"/>
  <c r="AE2303" i="6" s="1"/>
  <c r="W1049" i="6"/>
  <c r="AA1049" i="6" s="1"/>
  <c r="AA2131" i="6"/>
  <c r="W2112" i="6"/>
  <c r="AA2112" i="6" s="1"/>
  <c r="W959" i="6"/>
  <c r="AA959" i="6" s="1"/>
  <c r="W1559" i="6"/>
  <c r="AA1559" i="6" s="1"/>
  <c r="W544" i="6"/>
  <c r="AA544" i="6" s="1"/>
  <c r="W144" i="6"/>
  <c r="AA144" i="6" s="1"/>
  <c r="W1629" i="6"/>
  <c r="AA1629" i="6" s="1"/>
  <c r="AA1119" i="6"/>
  <c r="W887" i="6"/>
  <c r="AA887" i="6" s="1"/>
  <c r="W1301" i="6"/>
  <c r="AA1301" i="6" s="1"/>
  <c r="W777" i="6"/>
  <c r="AA777" i="6" s="1"/>
  <c r="W1075" i="6"/>
  <c r="AA1075" i="6" s="1"/>
  <c r="W1309" i="6"/>
  <c r="AA1309" i="6" s="1"/>
  <c r="W157" i="6"/>
  <c r="AA157" i="6" s="1"/>
  <c r="W1062" i="6"/>
  <c r="AA1062" i="6" s="1"/>
  <c r="W1730" i="6"/>
  <c r="AA1730" i="6" s="1"/>
  <c r="W1106" i="6"/>
  <c r="AA1106" i="6" s="1"/>
  <c r="AE1106" i="6" s="1"/>
  <c r="W1925" i="6"/>
  <c r="AA1925" i="6" s="1"/>
  <c r="W1415" i="6"/>
  <c r="AA1415" i="6" s="1"/>
  <c r="W635" i="6"/>
  <c r="AA635" i="6" s="1"/>
  <c r="AA1205" i="6"/>
  <c r="W55" i="6"/>
  <c r="AA55" i="6" s="1"/>
  <c r="W794" i="6"/>
  <c r="AA794" i="6" s="1"/>
  <c r="W1648" i="6"/>
  <c r="AA1648" i="6" s="1"/>
  <c r="W1591" i="6"/>
  <c r="AA1591" i="6" s="1"/>
  <c r="W1053" i="6"/>
  <c r="AA1053" i="6" s="1"/>
  <c r="W2273" i="6"/>
  <c r="AA2273" i="6" s="1"/>
  <c r="AE2273" i="6" s="1"/>
  <c r="W2098" i="6"/>
  <c r="AA2098" i="6" s="1"/>
  <c r="W2145" i="6"/>
  <c r="AA2145" i="6" s="1"/>
  <c r="W983" i="6"/>
  <c r="AA983" i="6" s="1"/>
  <c r="W1059" i="6"/>
  <c r="AA1059" i="6" s="1"/>
  <c r="AA406" i="6"/>
  <c r="W2067" i="6"/>
  <c r="AA2067" i="6" s="1"/>
  <c r="W346" i="6"/>
  <c r="AA346" i="6" s="1"/>
  <c r="W532" i="6"/>
  <c r="AA532" i="6" s="1"/>
  <c r="W997" i="6"/>
  <c r="AA997" i="6" s="1"/>
  <c r="AE997" i="6" s="1"/>
  <c r="W183" i="6"/>
  <c r="AA183" i="6" s="1"/>
  <c r="W1065" i="6"/>
  <c r="AA1065" i="6" s="1"/>
  <c r="W1558" i="6"/>
  <c r="AA1558" i="6" s="1"/>
  <c r="W811" i="6"/>
  <c r="AA811" i="6" s="1"/>
  <c r="W1744" i="6"/>
  <c r="AA1744" i="6" s="1"/>
  <c r="W417" i="6"/>
  <c r="AA417" i="6" s="1"/>
  <c r="W35" i="6"/>
  <c r="AA35" i="6" s="1"/>
  <c r="AA1422" i="6"/>
  <c r="W1880" i="6"/>
  <c r="AA1880" i="6" s="1"/>
  <c r="W199" i="6"/>
  <c r="AA199" i="6" s="1"/>
  <c r="W957" i="6"/>
  <c r="AA957" i="6" s="1"/>
  <c r="W579" i="6"/>
  <c r="AA579" i="6" s="1"/>
  <c r="W132" i="6"/>
  <c r="AA132" i="6" s="1"/>
  <c r="AE132" i="6" s="1"/>
  <c r="W986" i="6"/>
  <c r="AA986" i="6" s="1"/>
  <c r="W1463" i="6"/>
  <c r="AA1463" i="6" s="1"/>
  <c r="W397" i="6"/>
  <c r="AA397" i="6" s="1"/>
  <c r="W555" i="6"/>
  <c r="AA555" i="6" s="1"/>
  <c r="W1042" i="6"/>
  <c r="AA1042" i="6" s="1"/>
  <c r="AA1457" i="6"/>
  <c r="W1209" i="6"/>
  <c r="AA1209" i="6" s="1"/>
  <c r="AA2031" i="6"/>
  <c r="W2337" i="6"/>
  <c r="AA2337" i="6" s="1"/>
  <c r="W685" i="6"/>
  <c r="AA685" i="6" s="1"/>
  <c r="W2284" i="6"/>
  <c r="AA2284" i="6" s="1"/>
  <c r="AE2284" i="6" s="1"/>
  <c r="W657" i="6"/>
  <c r="AA657" i="6" s="1"/>
  <c r="W146" i="6"/>
  <c r="AA146" i="6" s="1"/>
  <c r="AA1305" i="6"/>
  <c r="AA751" i="6"/>
  <c r="W756" i="6"/>
  <c r="AA756" i="6" s="1"/>
  <c r="W712" i="6"/>
  <c r="AA712" i="6" s="1"/>
  <c r="W1245" i="6"/>
  <c r="AA1245" i="6" s="1"/>
  <c r="W2250" i="6"/>
  <c r="AA2250" i="6" s="1"/>
  <c r="AE2250" i="6" s="1"/>
  <c r="W1768" i="6"/>
  <c r="AA1768" i="6" s="1"/>
  <c r="AE1768" i="6" s="1"/>
  <c r="W2004" i="6"/>
  <c r="AA2004" i="6" s="1"/>
  <c r="W1853" i="6"/>
  <c r="AA1853" i="6" s="1"/>
  <c r="W1267" i="6"/>
  <c r="AA1267" i="6" s="1"/>
  <c r="W353" i="6"/>
  <c r="AA353" i="6" s="1"/>
  <c r="W1066" i="6"/>
  <c r="AA1066" i="6" s="1"/>
  <c r="W286" i="6"/>
  <c r="AA286" i="6" s="1"/>
  <c r="W2053" i="6"/>
  <c r="AA2053" i="6" s="1"/>
  <c r="W737" i="6"/>
  <c r="AA737" i="6" s="1"/>
  <c r="W2146" i="6"/>
  <c r="AA2146" i="6" s="1"/>
  <c r="AE2146" i="6" s="1"/>
  <c r="W251" i="6"/>
  <c r="AA251" i="6" s="1"/>
  <c r="W1214" i="6"/>
  <c r="AA1214" i="6" s="1"/>
  <c r="W1453" i="6"/>
  <c r="AA1453" i="6" s="1"/>
  <c r="W201" i="6"/>
  <c r="AA201" i="6" s="1"/>
  <c r="W354" i="6"/>
  <c r="AA354" i="6" s="1"/>
  <c r="W1893" i="6"/>
  <c r="AA1893" i="6" s="1"/>
  <c r="W1330" i="6"/>
  <c r="AA1330" i="6" s="1"/>
  <c r="W495" i="6"/>
  <c r="AA495" i="6" s="1"/>
  <c r="W1294" i="6"/>
  <c r="AA1294" i="6" s="1"/>
  <c r="W1255" i="6"/>
  <c r="AA1255" i="6" s="1"/>
  <c r="W772" i="6"/>
  <c r="AA772" i="6" s="1"/>
  <c r="W1868" i="6"/>
  <c r="AA1868" i="6" s="1"/>
  <c r="W654" i="6"/>
  <c r="AA654" i="6" s="1"/>
  <c r="W1216" i="6"/>
  <c r="AA1216" i="6" s="1"/>
  <c r="AA1601" i="6"/>
  <c r="AA1602" i="6"/>
  <c r="W1112" i="6"/>
  <c r="AA1112" i="6" s="1"/>
  <c r="AA1387" i="6"/>
  <c r="AA1884" i="6"/>
  <c r="W2079" i="6"/>
  <c r="AA2079" i="6" s="1"/>
  <c r="AA1584" i="6"/>
  <c r="W482" i="6"/>
  <c r="AA482" i="6" s="1"/>
  <c r="W2032" i="6"/>
  <c r="AA2032" i="6" s="1"/>
  <c r="W1466" i="6"/>
  <c r="AA1466" i="6" s="1"/>
  <c r="W1383" i="6"/>
  <c r="AA1383" i="6" s="1"/>
  <c r="W1274" i="6"/>
  <c r="AA1274" i="6" s="1"/>
  <c r="AE1274" i="6" s="1"/>
  <c r="W1481" i="6"/>
  <c r="AA1481" i="6" s="1"/>
  <c r="W1982" i="6"/>
  <c r="AA1982" i="6" s="1"/>
  <c r="W917" i="6"/>
  <c r="AA917" i="6" s="1"/>
  <c r="W1444" i="6"/>
  <c r="AA1444" i="6" s="1"/>
  <c r="W1378" i="6"/>
  <c r="AA1378" i="6" s="1"/>
  <c r="W1563" i="6"/>
  <c r="AA1563" i="6" s="1"/>
  <c r="W605" i="6"/>
  <c r="AA605" i="6" s="1"/>
  <c r="W128" i="6"/>
  <c r="AA128" i="6" s="1"/>
  <c r="AA477" i="6"/>
  <c r="W1376" i="6"/>
  <c r="AA1376" i="6" s="1"/>
  <c r="W493" i="6"/>
  <c r="AA493" i="6" s="1"/>
  <c r="W1739" i="6"/>
  <c r="AA1739" i="6" s="1"/>
  <c r="W1518" i="6"/>
  <c r="AA1518" i="6" s="1"/>
  <c r="W1857" i="6"/>
  <c r="AA1857" i="6" s="1"/>
  <c r="W243" i="6"/>
  <c r="AA243" i="6" s="1"/>
  <c r="W1586" i="6"/>
  <c r="AA1586" i="6" s="1"/>
  <c r="AA1661" i="6"/>
  <c r="W182" i="6"/>
  <c r="AA182" i="6" s="1"/>
  <c r="W553" i="6"/>
  <c r="AA553" i="6" s="1"/>
  <c r="W1528" i="6"/>
  <c r="AA1528" i="6" s="1"/>
  <c r="W1722" i="6"/>
  <c r="AA1722" i="6" s="1"/>
  <c r="W1218" i="6"/>
  <c r="AA1218" i="6" s="1"/>
  <c r="W834" i="6"/>
  <c r="AA834" i="6" s="1"/>
  <c r="AA788" i="6"/>
  <c r="W549" i="6"/>
  <c r="AA549" i="6" s="1"/>
  <c r="W1382" i="6"/>
  <c r="AA1382" i="6" s="1"/>
  <c r="W1803" i="6"/>
  <c r="AA1803" i="6" s="1"/>
  <c r="W1815" i="6"/>
  <c r="AA1815" i="6" s="1"/>
  <c r="W118" i="6"/>
  <c r="AA118" i="6" s="1"/>
  <c r="W643" i="6"/>
  <c r="AA643" i="6" s="1"/>
  <c r="AA1224" i="6"/>
  <c r="W1678" i="6"/>
  <c r="AA1678" i="6" s="1"/>
  <c r="AA726" i="6"/>
  <c r="AA851" i="6"/>
  <c r="W666" i="6"/>
  <c r="AA666" i="6" s="1"/>
  <c r="W1389" i="6"/>
  <c r="AA1389" i="6" s="1"/>
  <c r="W1115" i="6"/>
  <c r="AA1115" i="6" s="1"/>
  <c r="W693" i="6"/>
  <c r="AA693" i="6" s="1"/>
  <c r="W969" i="6"/>
  <c r="AA969" i="6" s="1"/>
  <c r="AA767" i="6"/>
  <c r="W1985" i="6"/>
  <c r="AA1985" i="6" s="1"/>
  <c r="W2000" i="6"/>
  <c r="AA2000" i="6" s="1"/>
  <c r="AE2000" i="6" s="1"/>
  <c r="W670" i="6"/>
  <c r="AA670" i="6" s="1"/>
  <c r="W1328" i="6"/>
  <c r="AA1328" i="6" s="1"/>
  <c r="W1327" i="6"/>
  <c r="AA1327" i="6" s="1"/>
  <c r="W1118" i="6"/>
  <c r="AA1118" i="6" s="1"/>
  <c r="AA140" i="6"/>
  <c r="W1492" i="6"/>
  <c r="AA1492" i="6" s="1"/>
  <c r="AA665" i="6"/>
  <c r="W965" i="6"/>
  <c r="AA965" i="6" s="1"/>
  <c r="W2092" i="6"/>
  <c r="AA2092" i="6" s="1"/>
  <c r="AA1473" i="6"/>
  <c r="W1212" i="6"/>
  <c r="AA1212" i="6" s="1"/>
  <c r="W1647" i="6"/>
  <c r="AA1647" i="6" s="1"/>
  <c r="W1866" i="6"/>
  <c r="AA1866" i="6" s="1"/>
  <c r="W984" i="6"/>
  <c r="AA984" i="6" s="1"/>
  <c r="AA1916" i="6"/>
  <c r="W759" i="6"/>
  <c r="AA759" i="6" s="1"/>
  <c r="W2039" i="6"/>
  <c r="AA2039" i="6" s="1"/>
  <c r="W78" i="6"/>
  <c r="AA78" i="6" s="1"/>
  <c r="AA261" i="6"/>
  <c r="W440" i="6"/>
  <c r="AA440" i="6" s="1"/>
  <c r="W2324" i="6"/>
  <c r="AA2324" i="6" s="1"/>
  <c r="AE2324" i="6" s="1"/>
  <c r="W462" i="6"/>
  <c r="AA462" i="6" s="1"/>
  <c r="W321" i="6"/>
  <c r="AA321" i="6" s="1"/>
  <c r="W134" i="6"/>
  <c r="AA134" i="6" s="1"/>
  <c r="AA300" i="6"/>
  <c r="W177" i="6"/>
  <c r="AA177" i="6" s="1"/>
  <c r="W92" i="6"/>
  <c r="AA92" i="6" s="1"/>
  <c r="AA951" i="6"/>
  <c r="W622" i="6"/>
  <c r="AA622" i="6" s="1"/>
  <c r="W602" i="6"/>
  <c r="AA602" i="6" s="1"/>
  <c r="W2171" i="6"/>
  <c r="AA2171" i="6" s="1"/>
  <c r="W194" i="6"/>
  <c r="AA194" i="6" s="1"/>
  <c r="W1776" i="6"/>
  <c r="AA1776" i="6" s="1"/>
  <c r="W2224" i="6"/>
  <c r="AA2224" i="6" s="1"/>
  <c r="W1544" i="6"/>
  <c r="AA1544" i="6" s="1"/>
  <c r="W1747" i="6"/>
  <c r="AA1747" i="6" s="1"/>
  <c r="W842" i="6"/>
  <c r="AA842" i="6" s="1"/>
  <c r="AA630" i="6"/>
  <c r="W267" i="6"/>
  <c r="AA267" i="6" s="1"/>
  <c r="W2078" i="6"/>
  <c r="AA2078" i="6" s="1"/>
  <c r="W1149" i="6"/>
  <c r="AA1149" i="6" s="1"/>
  <c r="W2287" i="6"/>
  <c r="AA2287" i="6" s="1"/>
  <c r="AE2287" i="6" s="1"/>
  <c r="W1233" i="6"/>
  <c r="AA1233" i="6" s="1"/>
  <c r="AE1233" i="6" s="1"/>
  <c r="W165" i="6"/>
  <c r="AA165" i="6" s="1"/>
  <c r="AE165" i="6" s="1"/>
  <c r="W2043" i="6"/>
  <c r="AA2043" i="6" s="1"/>
  <c r="W155" i="6"/>
  <c r="AA155" i="6" s="1"/>
  <c r="W545" i="6"/>
  <c r="AA545" i="6" s="1"/>
  <c r="W326" i="6"/>
  <c r="AA326" i="6" s="1"/>
  <c r="W1505" i="6"/>
  <c r="AA1505" i="6" s="1"/>
  <c r="W464" i="6"/>
  <c r="AA464" i="6" s="1"/>
  <c r="W1426" i="6"/>
  <c r="AA1426" i="6" s="1"/>
  <c r="W2093" i="6"/>
  <c r="AA2093" i="6" s="1"/>
  <c r="W1743" i="6"/>
  <c r="AA1743" i="6" s="1"/>
  <c r="W2077" i="6"/>
  <c r="AA2077" i="6" s="1"/>
  <c r="W847" i="6"/>
  <c r="AA847" i="6" s="1"/>
  <c r="W863" i="6"/>
  <c r="AA863" i="6" s="1"/>
  <c r="W1455" i="6"/>
  <c r="AA1455" i="6" s="1"/>
  <c r="W584" i="6"/>
  <c r="AA584" i="6" s="1"/>
  <c r="W1023" i="6"/>
  <c r="AA1023" i="6" s="1"/>
  <c r="W713" i="6"/>
  <c r="AA713" i="6" s="1"/>
  <c r="W877" i="6"/>
  <c r="AA877" i="6" s="1"/>
  <c r="W519" i="6"/>
  <c r="AA519" i="6" s="1"/>
  <c r="W2013" i="6"/>
  <c r="AA2013" i="6" s="1"/>
  <c r="W481" i="6"/>
  <c r="AA481" i="6" s="1"/>
  <c r="W390" i="6"/>
  <c r="AA390" i="6" s="1"/>
  <c r="W1050" i="6"/>
  <c r="AA1050" i="6" s="1"/>
  <c r="AA1800" i="6"/>
  <c r="W2073" i="6"/>
  <c r="AA2073" i="6" s="1"/>
  <c r="W1683" i="6"/>
  <c r="AA1683" i="6" s="1"/>
  <c r="W939" i="6"/>
  <c r="AA939" i="6" s="1"/>
  <c r="W1746" i="6"/>
  <c r="AA1746" i="6" s="1"/>
  <c r="AA2354" i="6"/>
  <c r="AE2354" i="6" s="1"/>
  <c r="W472" i="6"/>
  <c r="AA472" i="6" s="1"/>
  <c r="AA1371" i="6"/>
  <c r="W1796" i="6"/>
  <c r="AA1796" i="6" s="1"/>
  <c r="W1959" i="6"/>
  <c r="AA1959" i="6" s="1"/>
  <c r="W546" i="6"/>
  <c r="AA546" i="6" s="1"/>
  <c r="W992" i="6"/>
  <c r="AA992" i="6" s="1"/>
  <c r="AA603" i="6"/>
  <c r="W1831" i="6"/>
  <c r="AA1831" i="6" s="1"/>
  <c r="W2259" i="6"/>
  <c r="AA2259" i="6" s="1"/>
  <c r="AE2259" i="6" s="1"/>
  <c r="W714" i="6"/>
  <c r="AA714" i="6" s="1"/>
  <c r="W103" i="6"/>
  <c r="AA103" i="6" s="1"/>
  <c r="W1645" i="6"/>
  <c r="AA1645" i="6" s="1"/>
  <c r="W1379" i="6"/>
  <c r="AA1379" i="6" s="1"/>
  <c r="W1702" i="6"/>
  <c r="AA1702" i="6" s="1"/>
  <c r="W276" i="6"/>
  <c r="AA276" i="6" s="1"/>
  <c r="W444" i="6"/>
  <c r="AA444" i="6" s="1"/>
  <c r="W1994" i="6"/>
  <c r="AA1994" i="6" s="1"/>
  <c r="AE1994" i="6" s="1"/>
  <c r="AA757" i="6"/>
  <c r="AE757" i="6" s="1"/>
  <c r="W2115" i="6"/>
  <c r="AA2115" i="6" s="1"/>
  <c r="W1949" i="6"/>
  <c r="AA1949" i="6" s="1"/>
  <c r="W562" i="6"/>
  <c r="AA562" i="6" s="1"/>
  <c r="W374" i="6"/>
  <c r="AA374" i="6" s="1"/>
  <c r="W2080" i="6"/>
  <c r="AA2080" i="6" s="1"/>
  <c r="W529" i="6"/>
  <c r="AA529" i="6" s="1"/>
  <c r="W1398" i="6"/>
  <c r="AA1398" i="6" s="1"/>
  <c r="AA731" i="6"/>
  <c r="W1988" i="6"/>
  <c r="AA1988" i="6" s="1"/>
  <c r="W1246" i="6"/>
  <c r="AA1246" i="6" s="1"/>
  <c r="W668" i="6"/>
  <c r="AA668" i="6" s="1"/>
  <c r="W166" i="6"/>
  <c r="AA166" i="6" s="1"/>
  <c r="W451" i="6"/>
  <c r="AA451" i="6" s="1"/>
  <c r="W1637" i="6"/>
  <c r="AA1637" i="6" s="1"/>
  <c r="W2188" i="6"/>
  <c r="AA2188" i="6" s="1"/>
  <c r="W1332" i="6"/>
  <c r="AA1332" i="6" s="1"/>
  <c r="W285" i="6"/>
  <c r="AA285" i="6" s="1"/>
  <c r="W67" i="6"/>
  <c r="AA67" i="6" s="1"/>
  <c r="W1604" i="6"/>
  <c r="AA1604" i="6" s="1"/>
  <c r="W1913" i="6"/>
  <c r="AA1913" i="6" s="1"/>
  <c r="W1025" i="6"/>
  <c r="AA1025" i="6" s="1"/>
  <c r="W797" i="6"/>
  <c r="AA797" i="6" s="1"/>
  <c r="W1674" i="6"/>
  <c r="AA1674" i="6" s="1"/>
  <c r="W724" i="6"/>
  <c r="AA724" i="6" s="1"/>
  <c r="W178" i="6"/>
  <c r="AA178" i="6" s="1"/>
  <c r="W823" i="6"/>
  <c r="AA823" i="6" s="1"/>
  <c r="W403" i="6"/>
  <c r="AA403" i="6" s="1"/>
  <c r="W394" i="6"/>
  <c r="AA394" i="6" s="1"/>
  <c r="W439" i="6"/>
  <c r="AA439" i="6" s="1"/>
  <c r="W2236" i="6"/>
  <c r="AA2236" i="6" s="1"/>
  <c r="AE2236" i="6" s="1"/>
  <c r="W1469" i="6"/>
  <c r="AA1469" i="6" s="1"/>
  <c r="W741" i="6"/>
  <c r="AA741" i="6" s="1"/>
  <c r="W1446" i="6"/>
  <c r="AA1446" i="6" s="1"/>
  <c r="W1204" i="6"/>
  <c r="AA1204" i="6" s="1"/>
  <c r="W377" i="6"/>
  <c r="AA377" i="6" s="1"/>
  <c r="W1849" i="6"/>
  <c r="AA1849" i="6" s="1"/>
  <c r="W1146" i="6"/>
  <c r="AA1146" i="6" s="1"/>
  <c r="AA2040" i="6"/>
  <c r="W661" i="6"/>
  <c r="AA661" i="6" s="1"/>
  <c r="W85" i="6"/>
  <c r="AA85" i="6" s="1"/>
  <c r="W1100" i="6"/>
  <c r="AA1100" i="6" s="1"/>
  <c r="W1509" i="6"/>
  <c r="AA1509" i="6" s="1"/>
  <c r="AA857" i="6"/>
  <c r="W950" i="6"/>
  <c r="AA950" i="6" s="1"/>
  <c r="W255" i="6"/>
  <c r="AA255" i="6" s="1"/>
  <c r="W59" i="6"/>
  <c r="AA59" i="6" s="1"/>
  <c r="AA980" i="6"/>
  <c r="W2238" i="6"/>
  <c r="AA2238" i="6" s="1"/>
  <c r="AE2238" i="6" s="1"/>
  <c r="W2113" i="6"/>
  <c r="AA2113" i="6" s="1"/>
  <c r="AA2213" i="6"/>
  <c r="AE2213" i="6" s="1"/>
  <c r="W401" i="6"/>
  <c r="AA401" i="6" s="1"/>
  <c r="AA1848" i="6"/>
  <c r="W1420" i="6"/>
  <c r="AA1420" i="6" s="1"/>
  <c r="W760" i="6"/>
  <c r="AA760" i="6" s="1"/>
  <c r="W1202" i="6"/>
  <c r="AA1202" i="6" s="1"/>
  <c r="AA1318" i="6"/>
  <c r="AA37" i="6"/>
  <c r="W266" i="6"/>
  <c r="AA266" i="6" s="1"/>
  <c r="W1147" i="6"/>
  <c r="AA1147" i="6" s="1"/>
  <c r="W817" i="6"/>
  <c r="AA817" i="6" s="1"/>
  <c r="W281" i="6"/>
  <c r="AA281" i="6" s="1"/>
  <c r="W418" i="6"/>
  <c r="AA418" i="6" s="1"/>
  <c r="W720" i="6"/>
  <c r="AA720" i="6" s="1"/>
  <c r="W1607" i="6"/>
  <c r="AA1607" i="6" s="1"/>
  <c r="W1816" i="6"/>
  <c r="AA1816" i="6" s="1"/>
  <c r="W809" i="6"/>
  <c r="AA809" i="6" s="1"/>
  <c r="W1642" i="6"/>
  <c r="AA1642" i="6" s="1"/>
  <c r="W1368" i="6"/>
  <c r="AA1368" i="6" s="1"/>
  <c r="W1566" i="6"/>
  <c r="AA1566" i="6" s="1"/>
  <c r="W1334" i="6"/>
  <c r="AA1334" i="6" s="1"/>
  <c r="W1077" i="6"/>
  <c r="AA1077" i="6" s="1"/>
  <c r="W2172" i="6"/>
  <c r="AA2172" i="6" s="1"/>
  <c r="W1889" i="6"/>
  <c r="AA1889" i="6" s="1"/>
  <c r="W2351" i="6"/>
  <c r="AA2351" i="6" s="1"/>
  <c r="AE2351" i="6" s="1"/>
  <c r="W585" i="6"/>
  <c r="AA585" i="6" s="1"/>
  <c r="W766" i="6"/>
  <c r="AA766" i="6" s="1"/>
  <c r="W1773" i="6"/>
  <c r="AA1773" i="6" s="1"/>
  <c r="W780" i="6"/>
  <c r="AA780" i="6" s="1"/>
  <c r="W1685" i="6"/>
  <c r="AA1685" i="6" s="1"/>
  <c r="W2087" i="6"/>
  <c r="AA2087" i="6" s="1"/>
  <c r="W1872" i="6"/>
  <c r="AA1872" i="6" s="1"/>
  <c r="AA871" i="6"/>
  <c r="AA594" i="6"/>
  <c r="AA1942" i="6"/>
  <c r="W82" i="6"/>
  <c r="AA82" i="6" s="1"/>
  <c r="W1733" i="6"/>
  <c r="AA1733" i="6" s="1"/>
  <c r="W512" i="6"/>
  <c r="AA512" i="6" s="1"/>
  <c r="W176" i="6"/>
  <c r="AA176" i="6" s="1"/>
  <c r="AA365" i="6"/>
  <c r="AA1122" i="6"/>
  <c r="W613" i="6"/>
  <c r="AA613" i="6" s="1"/>
  <c r="W1989" i="6"/>
  <c r="AA1989" i="6" s="1"/>
  <c r="AA679" i="6"/>
  <c r="AE679" i="6" s="1"/>
  <c r="AA93" i="6"/>
  <c r="W922" i="6"/>
  <c r="AA922" i="6" s="1"/>
  <c r="W1693" i="6"/>
  <c r="AA1693" i="6" s="1"/>
  <c r="W147" i="6"/>
  <c r="AA147" i="6" s="1"/>
  <c r="W1517" i="6"/>
  <c r="AA1517" i="6" s="1"/>
  <c r="W825" i="6"/>
  <c r="AA825" i="6" s="1"/>
  <c r="AA889" i="6"/>
  <c r="W768" i="6"/>
  <c r="AA768" i="6" s="1"/>
  <c r="AA2258" i="6"/>
  <c r="AE2258" i="6" s="1"/>
  <c r="W1883" i="6"/>
  <c r="AA1883" i="6" s="1"/>
  <c r="W487" i="6"/>
  <c r="AA487" i="6" s="1"/>
  <c r="AA572" i="6"/>
  <c r="W1155" i="6"/>
  <c r="AA1155" i="6" s="1"/>
  <c r="W1286" i="6"/>
  <c r="AA1286" i="6" s="1"/>
  <c r="AA1131" i="6"/>
  <c r="W1856" i="6"/>
  <c r="AA1856" i="6" s="1"/>
  <c r="W1007" i="6"/>
  <c r="AA1007" i="6" s="1"/>
  <c r="W1965" i="6"/>
  <c r="AA1965" i="6" s="1"/>
  <c r="W762" i="6"/>
  <c r="AA762" i="6" s="1"/>
  <c r="W1705" i="6"/>
  <c r="AA1705" i="6" s="1"/>
  <c r="W1086" i="6"/>
  <c r="AA1086" i="6" s="1"/>
  <c r="W1158" i="6"/>
  <c r="AA1158" i="6" s="1"/>
  <c r="W1843" i="6"/>
  <c r="AA1843" i="6" s="1"/>
  <c r="W90" i="6"/>
  <c r="AA90" i="6" s="1"/>
  <c r="W1732" i="6"/>
  <c r="AA1732" i="6" s="1"/>
  <c r="W2120" i="6"/>
  <c r="AA2120" i="6" s="1"/>
  <c r="W384" i="6"/>
  <c r="AA384" i="6" s="1"/>
  <c r="W1851" i="6"/>
  <c r="AA1851" i="6" s="1"/>
  <c r="W1425" i="6"/>
  <c r="AA1425" i="6" s="1"/>
  <c r="W2060" i="6"/>
  <c r="AA2060" i="6" s="1"/>
  <c r="W2101" i="6"/>
  <c r="AA2101" i="6" s="1"/>
  <c r="W1460" i="6"/>
  <c r="AA1460" i="6" s="1"/>
  <c r="AA575" i="6"/>
  <c r="W696" i="6"/>
  <c r="AA696" i="6" s="1"/>
  <c r="W904" i="6"/>
  <c r="AA904" i="6" s="1"/>
  <c r="W1551" i="6"/>
  <c r="AA1551" i="6" s="1"/>
  <c r="W634" i="6"/>
  <c r="AA634" i="6" s="1"/>
  <c r="W761" i="6"/>
  <c r="AA761" i="6" s="1"/>
  <c r="AE761" i="6" s="1"/>
  <c r="W2332" i="6"/>
  <c r="AA2332" i="6" s="1"/>
  <c r="W1580" i="6"/>
  <c r="AA1580" i="6" s="1"/>
  <c r="AA1624" i="6"/>
  <c r="W1643" i="6"/>
  <c r="AA1643" i="6" s="1"/>
  <c r="AA163" i="6"/>
  <c r="W996" i="6"/>
  <c r="AA996" i="6" s="1"/>
  <c r="W91" i="6"/>
  <c r="AA91" i="6" s="1"/>
  <c r="W591" i="6"/>
  <c r="AA591" i="6" s="1"/>
  <c r="W1144" i="6"/>
  <c r="AA1144" i="6" s="1"/>
  <c r="W510" i="6"/>
  <c r="AA510" i="6" s="1"/>
  <c r="W2276" i="6"/>
  <c r="AA2276" i="6" s="1"/>
  <c r="AE2276" i="6" s="1"/>
  <c r="W1798" i="6"/>
  <c r="AA1798" i="6" s="1"/>
  <c r="W718" i="6"/>
  <c r="AA718" i="6" s="1"/>
  <c r="W2046" i="6"/>
  <c r="AA2046" i="6" s="1"/>
  <c r="W552" i="6"/>
  <c r="AA552" i="6" s="1"/>
  <c r="AA400" i="6"/>
  <c r="W1876" i="6"/>
  <c r="AA1876" i="6" s="1"/>
  <c r="W1611" i="6"/>
  <c r="AA1611" i="6" s="1"/>
  <c r="W1991" i="6"/>
  <c r="AA1991" i="6" s="1"/>
  <c r="AE1991" i="6" s="1"/>
  <c r="W1220" i="6"/>
  <c r="AA1220" i="6" s="1"/>
  <c r="W1814" i="6"/>
  <c r="AA1814" i="6" s="1"/>
  <c r="W869" i="6"/>
  <c r="AA869" i="6" s="1"/>
  <c r="AA2059" i="6"/>
  <c r="W2070" i="6"/>
  <c r="AA2070" i="6" s="1"/>
  <c r="W620" i="6"/>
  <c r="AA620" i="6" s="1"/>
  <c r="W1753" i="6"/>
  <c r="AA1753" i="6" s="1"/>
  <c r="W891" i="6"/>
  <c r="AA891" i="6" s="1"/>
  <c r="W2139" i="6"/>
  <c r="AA2139" i="6" s="1"/>
  <c r="AA995" i="6"/>
  <c r="W248" i="6"/>
  <c r="AA248" i="6" s="1"/>
  <c r="W2038" i="6"/>
  <c r="AA2038" i="6" s="1"/>
  <c r="W981" i="6"/>
  <c r="AA981" i="6" s="1"/>
  <c r="AA1734" i="6"/>
  <c r="W880" i="6"/>
  <c r="AA880" i="6" s="1"/>
  <c r="W1070" i="6"/>
  <c r="AA1070" i="6" s="1"/>
  <c r="W1964" i="6"/>
  <c r="AA1964" i="6" s="1"/>
  <c r="W1582" i="6"/>
  <c r="AA1582" i="6" s="1"/>
  <c r="W179" i="6"/>
  <c r="AA179" i="6" s="1"/>
  <c r="AA2307" i="6"/>
  <c r="AE2307" i="6" s="1"/>
  <c r="W1232" i="6"/>
  <c r="AA1232" i="6" s="1"/>
  <c r="W2180" i="6"/>
  <c r="AA2180" i="6" s="1"/>
  <c r="W1813" i="6"/>
  <c r="AA1813" i="6" s="1"/>
  <c r="W1666" i="6"/>
  <c r="AA1666" i="6" s="1"/>
  <c r="W1571" i="6"/>
  <c r="AA1571" i="6" s="1"/>
  <c r="W60" i="6"/>
  <c r="AA60" i="6" s="1"/>
  <c r="W1507" i="6"/>
  <c r="AA1507" i="6" s="1"/>
  <c r="W906" i="6"/>
  <c r="AA906" i="6" s="1"/>
  <c r="W1905" i="6"/>
  <c r="AA1905" i="6" s="1"/>
  <c r="AE1905" i="6" s="1"/>
  <c r="W567" i="6"/>
  <c r="AA567" i="6" s="1"/>
  <c r="W1499" i="6"/>
  <c r="AA1499" i="6" s="1"/>
  <c r="W928" i="6"/>
  <c r="AA928" i="6" s="1"/>
  <c r="W913" i="6"/>
  <c r="AA913" i="6" s="1"/>
  <c r="W582" i="6"/>
  <c r="AA582" i="6" s="1"/>
  <c r="W1033" i="6"/>
  <c r="AA1033" i="6" s="1"/>
  <c r="AE1033" i="6" s="1"/>
  <c r="W1804" i="6"/>
  <c r="AA1804" i="6" s="1"/>
  <c r="W428" i="6"/>
  <c r="AA428" i="6" s="1"/>
  <c r="W560" i="6"/>
  <c r="AA560" i="6" s="1"/>
  <c r="W1411" i="6"/>
  <c r="AA1411" i="6" s="1"/>
  <c r="W2343" i="6"/>
  <c r="AA2343" i="6" s="1"/>
  <c r="AE2343" i="6" s="1"/>
  <c r="W1820" i="6"/>
  <c r="AA1820" i="6" s="1"/>
  <c r="W291" i="6"/>
  <c r="AA291" i="6" s="1"/>
  <c r="W1766" i="6"/>
  <c r="AA1766" i="6" s="1"/>
  <c r="W1094" i="6"/>
  <c r="AA1094" i="6" s="1"/>
  <c r="W513" i="6"/>
  <c r="AA513" i="6" s="1"/>
  <c r="W573" i="6"/>
  <c r="AA573" i="6" s="1"/>
  <c r="W814" i="6"/>
  <c r="AA814" i="6" s="1"/>
  <c r="W2306" i="6"/>
  <c r="AA2306" i="6" s="1"/>
  <c r="AE2306" i="6" s="1"/>
  <c r="AA1200" i="6"/>
  <c r="W946" i="6"/>
  <c r="AA946" i="6" s="1"/>
  <c r="W1782" i="6"/>
  <c r="AA1782" i="6" s="1"/>
  <c r="W1193" i="6"/>
  <c r="AA1193" i="6" s="1"/>
  <c r="W153" i="6"/>
  <c r="AA153" i="6" s="1"/>
  <c r="W1440" i="6"/>
  <c r="AA1440" i="6" s="1"/>
  <c r="W1562" i="6"/>
  <c r="AA1562" i="6" s="1"/>
  <c r="W937" i="6"/>
  <c r="AA937" i="6" s="1"/>
  <c r="W1450" i="6"/>
  <c r="AA1450" i="6" s="1"/>
  <c r="W72" i="6"/>
  <c r="AA72" i="6" s="1"/>
  <c r="W347" i="6"/>
  <c r="AA347" i="6" s="1"/>
  <c r="W1340" i="6"/>
  <c r="AA1340" i="6" s="1"/>
  <c r="W619" i="6"/>
  <c r="AA619" i="6" s="1"/>
  <c r="W2183" i="6"/>
  <c r="AA2183" i="6" s="1"/>
  <c r="W673" i="6"/>
  <c r="AA673" i="6" s="1"/>
  <c r="W1783" i="6"/>
  <c r="AA1783" i="6" s="1"/>
  <c r="W791" i="6"/>
  <c r="AA791" i="6" s="1"/>
  <c r="W2017" i="6"/>
  <c r="AA2017" i="6" s="1"/>
  <c r="W2044" i="6"/>
  <c r="AA2044" i="6" s="1"/>
  <c r="W1487" i="6"/>
  <c r="AA1487" i="6" s="1"/>
  <c r="W239" i="6"/>
  <c r="AA239" i="6" s="1"/>
  <c r="W2294" i="6"/>
  <c r="AA2294" i="6" s="1"/>
  <c r="AE2294" i="6" s="1"/>
  <c r="W2165" i="6"/>
  <c r="AA2165" i="6" s="1"/>
  <c r="AE2165" i="6" s="1"/>
  <c r="W1404" i="6"/>
  <c r="AA1404" i="6" s="1"/>
  <c r="W924" i="6"/>
  <c r="AA924" i="6" s="1"/>
  <c r="W2196" i="6"/>
  <c r="AA2196" i="6" s="1"/>
  <c r="W1896" i="6"/>
  <c r="AA1896" i="6" s="1"/>
  <c r="W1016" i="6"/>
  <c r="AA1016" i="6" s="1"/>
  <c r="W1148" i="6"/>
  <c r="AA1148" i="6" s="1"/>
  <c r="AA2037" i="6"/>
  <c r="W2245" i="6"/>
  <c r="AA2245" i="6" s="1"/>
  <c r="AE2245" i="6" s="1"/>
  <c r="W102" i="6"/>
  <c r="AA102" i="6" s="1"/>
  <c r="W247" i="6"/>
  <c r="AA247" i="6" s="1"/>
  <c r="W563" i="6"/>
  <c r="AA563" i="6" s="1"/>
  <c r="W1235" i="6"/>
  <c r="AA1235" i="6" s="1"/>
  <c r="W1945" i="6"/>
  <c r="AA1945" i="6" s="1"/>
  <c r="AA1930" i="6"/>
  <c r="W15" i="6"/>
  <c r="AA15" i="6" s="1"/>
  <c r="W1761" i="6"/>
  <c r="AA1761" i="6" s="1"/>
  <c r="W1201" i="6"/>
  <c r="AA1201" i="6" s="1"/>
  <c r="W1117" i="6"/>
  <c r="AA1117" i="6" s="1"/>
  <c r="W379" i="6"/>
  <c r="AA379" i="6" s="1"/>
  <c r="W849" i="6"/>
  <c r="AA849" i="6" s="1"/>
  <c r="W953" i="6"/>
  <c r="AA953" i="6" s="1"/>
  <c r="W1282" i="6"/>
  <c r="AA1282" i="6" s="1"/>
  <c r="W1861" i="6"/>
  <c r="AA1861" i="6" s="1"/>
  <c r="W1852" i="6"/>
  <c r="AA1852" i="6" s="1"/>
  <c r="W2360" i="6"/>
  <c r="AA2360" i="6" s="1"/>
  <c r="AE2360" i="6" s="1"/>
  <c r="AA2364" i="6"/>
  <c r="W1860" i="6"/>
  <c r="AA1860" i="6" s="1"/>
  <c r="W2181" i="6"/>
  <c r="AA2181" i="6" s="1"/>
  <c r="AA687" i="6"/>
  <c r="AA452" i="6"/>
  <c r="AA1156" i="6"/>
  <c r="W633" i="6"/>
  <c r="AA633" i="6" s="1"/>
  <c r="AA1530" i="6"/>
  <c r="W1258" i="6"/>
  <c r="AA1258" i="6" s="1"/>
  <c r="W1432" i="6"/>
  <c r="AA1432" i="6" s="1"/>
  <c r="W994" i="6"/>
  <c r="AA994" i="6" s="1"/>
  <c r="W2275" i="6"/>
  <c r="AA2275" i="6" s="1"/>
  <c r="AE2275" i="6" s="1"/>
  <c r="W631" i="6"/>
  <c r="AA631" i="6" s="1"/>
  <c r="W1298" i="6"/>
  <c r="AA1298" i="6" s="1"/>
  <c r="W336" i="6"/>
  <c r="AA336" i="6" s="1"/>
  <c r="W945" i="6"/>
  <c r="AA945" i="6" s="1"/>
  <c r="W831" i="6"/>
  <c r="AA831" i="6" s="1"/>
  <c r="W747" i="6"/>
  <c r="AA747" i="6" s="1"/>
  <c r="AA1052" i="6"/>
  <c r="W376" i="6"/>
  <c r="AA376" i="6" s="1"/>
  <c r="W2030" i="6"/>
  <c r="AA2030" i="6" s="1"/>
  <c r="W1219" i="6"/>
  <c r="AA1219" i="6" s="1"/>
  <c r="W2225" i="6"/>
  <c r="AA2225" i="6" s="1"/>
  <c r="W933" i="6"/>
  <c r="AA933" i="6" s="1"/>
  <c r="W828" i="6"/>
  <c r="AA828" i="6" s="1"/>
  <c r="W1338" i="6"/>
  <c r="AA1338" i="6" s="1"/>
  <c r="W1588" i="6"/>
  <c r="AA1588" i="6" s="1"/>
  <c r="W528" i="6"/>
  <c r="AA528" i="6" s="1"/>
  <c r="AA373" i="6"/>
  <c r="W1590" i="6"/>
  <c r="AA1590" i="6" s="1"/>
  <c r="W2323" i="6"/>
  <c r="AA2323" i="6" s="1"/>
  <c r="AE2323" i="6" s="1"/>
  <c r="W848" i="6"/>
  <c r="AA848" i="6" s="1"/>
  <c r="W491" i="6"/>
  <c r="AA491" i="6" s="1"/>
  <c r="W1083" i="6"/>
  <c r="AA1083" i="6" s="1"/>
  <c r="W152" i="6"/>
  <c r="AA152" i="6" s="1"/>
  <c r="AA27" i="6"/>
  <c r="W2350" i="6"/>
  <c r="AA2350" i="6" s="1"/>
  <c r="AE2350" i="6" s="1"/>
  <c r="AA626" i="6"/>
  <c r="W360" i="6"/>
  <c r="AA360" i="6" s="1"/>
  <c r="W1901" i="6"/>
  <c r="AA1901" i="6" s="1"/>
  <c r="AE1901" i="6" s="1"/>
  <c r="W1589" i="6"/>
  <c r="AA1589" i="6" s="1"/>
  <c r="W1757" i="6"/>
  <c r="AA1757" i="6" s="1"/>
  <c r="AA2227" i="6"/>
  <c r="W278" i="6"/>
  <c r="AA278" i="6" s="1"/>
  <c r="W1977" i="6"/>
  <c r="AA1977" i="6" s="1"/>
  <c r="W34" i="6"/>
  <c r="AA34" i="6" s="1"/>
  <c r="W1143" i="6"/>
  <c r="AA1143" i="6" s="1"/>
  <c r="W2290" i="6"/>
  <c r="AA2290" i="6" s="1"/>
  <c r="AE2290" i="6" s="1"/>
  <c r="W2334" i="6"/>
  <c r="AA2334" i="6" s="1"/>
  <c r="AE2334" i="6" s="1"/>
  <c r="AA770" i="6"/>
  <c r="W850" i="6"/>
  <c r="AA850" i="6" s="1"/>
  <c r="W1564" i="6"/>
  <c r="AA1564" i="6" s="1"/>
  <c r="W1228" i="6"/>
  <c r="AA1228" i="6" s="1"/>
  <c r="W1799" i="6"/>
  <c r="AA1799" i="6" s="1"/>
  <c r="W1631" i="6"/>
  <c r="AA1631" i="6" s="1"/>
  <c r="W1188" i="6"/>
  <c r="AA1188" i="6" s="1"/>
  <c r="W1546" i="6"/>
  <c r="AA1546" i="6" s="1"/>
  <c r="W2260" i="6"/>
  <c r="AA2260" i="6" s="1"/>
  <c r="AE2260" i="6" s="1"/>
  <c r="AA1167" i="6"/>
  <c r="W426" i="6"/>
  <c r="AA426" i="6" s="1"/>
  <c r="W1127" i="6"/>
  <c r="AA1127" i="6" s="1"/>
  <c r="W901" i="6"/>
  <c r="AA901" i="6" s="1"/>
  <c r="AA1295" i="6"/>
  <c r="W1335" i="6"/>
  <c r="AA1335" i="6" s="1"/>
  <c r="AA1222" i="6"/>
  <c r="AA1812" i="6"/>
  <c r="W99" i="6"/>
  <c r="AA99" i="6" s="1"/>
  <c r="W307" i="6"/>
  <c r="AA307" i="6" s="1"/>
  <c r="W1244" i="6"/>
  <c r="AA1244" i="6" s="1"/>
  <c r="W799" i="6"/>
  <c r="AA799" i="6" s="1"/>
  <c r="W273" i="6"/>
  <c r="AA273" i="6" s="1"/>
  <c r="W1636" i="6"/>
  <c r="AA1636" i="6" s="1"/>
  <c r="W1478" i="6"/>
  <c r="AA1478" i="6" s="1"/>
  <c r="W1519" i="6"/>
  <c r="AA1519" i="6" s="1"/>
  <c r="W1834" i="6"/>
  <c r="AA1834" i="6" s="1"/>
  <c r="W116" i="6"/>
  <c r="AA116" i="6" s="1"/>
  <c r="AA422" i="6"/>
  <c r="W180" i="6"/>
  <c r="AA180" i="6" s="1"/>
  <c r="AA1452" i="6"/>
  <c r="W2121" i="6"/>
  <c r="AA2121" i="6" s="1"/>
  <c r="AA2128" i="6"/>
  <c r="W382" i="6"/>
  <c r="AA382" i="6" s="1"/>
  <c r="W1808" i="6"/>
  <c r="AA1808" i="6" s="1"/>
  <c r="W749" i="6"/>
  <c r="AA749" i="6" s="1"/>
  <c r="W1403" i="6"/>
  <c r="AA1403" i="6" s="1"/>
  <c r="W435" i="6"/>
  <c r="AA435" i="6" s="1"/>
  <c r="AA503" i="6"/>
  <c r="AA578" i="6"/>
  <c r="W736" i="6"/>
  <c r="AA736" i="6" s="1"/>
  <c r="AA2064" i="6"/>
  <c r="W520" i="6"/>
  <c r="AA520" i="6" s="1"/>
  <c r="W79" i="6"/>
  <c r="AA79" i="6" s="1"/>
  <c r="W1417" i="6"/>
  <c r="AA1417" i="6" s="1"/>
  <c r="W1046" i="6"/>
  <c r="AA1046" i="6" s="1"/>
  <c r="W1767" i="6"/>
  <c r="AA1767" i="6" s="1"/>
  <c r="AA639" i="6"/>
  <c r="W485" i="6"/>
  <c r="AA485" i="6" s="1"/>
  <c r="AA1641" i="6"/>
  <c r="W845" i="6"/>
  <c r="AA845" i="6" s="1"/>
  <c r="W2222" i="6"/>
  <c r="AA2222" i="6" s="1"/>
  <c r="W370" i="6"/>
  <c r="AA370" i="6" s="1"/>
  <c r="W2283" i="6"/>
  <c r="AA2283" i="6" s="1"/>
  <c r="AE2283" i="6" s="1"/>
  <c r="W1598" i="6"/>
  <c r="AA1598" i="6" s="1"/>
  <c r="W122" i="6"/>
  <c r="AA122" i="6" s="1"/>
  <c r="AA265" i="6"/>
  <c r="AA947" i="6"/>
  <c r="W786" i="6"/>
  <c r="AA786" i="6" s="1"/>
  <c r="W1962" i="6"/>
  <c r="AA1962" i="6" s="1"/>
  <c r="W1919" i="6"/>
  <c r="AA1919" i="6" s="1"/>
  <c r="AA1632" i="6"/>
  <c r="W1792" i="6"/>
  <c r="AA1792" i="6" s="1"/>
  <c r="W2003" i="6"/>
  <c r="AA2003" i="6" s="1"/>
  <c r="W844" i="6"/>
  <c r="AA844" i="6" s="1"/>
  <c r="AA318" i="6"/>
  <c r="W593" i="6"/>
  <c r="AA593" i="6" s="1"/>
  <c r="W776" i="6"/>
  <c r="AA776" i="6" s="1"/>
  <c r="W1351" i="6"/>
  <c r="AA1351" i="6" s="1"/>
  <c r="W203" i="6"/>
  <c r="AA203" i="6" s="1"/>
  <c r="AA222" i="6"/>
  <c r="W2041" i="6"/>
  <c r="AA2041" i="6" s="1"/>
  <c r="W1277" i="6"/>
  <c r="AA1277" i="6" s="1"/>
  <c r="W30" i="6"/>
  <c r="AA30" i="6" s="1"/>
  <c r="W1875" i="6"/>
  <c r="AA1875" i="6" s="1"/>
  <c r="W1573" i="6"/>
  <c r="AA1573" i="6" s="1"/>
  <c r="W1593" i="6"/>
  <c r="AA1593" i="6" s="1"/>
  <c r="W1297" i="6"/>
  <c r="AA1297" i="6" s="1"/>
  <c r="W1098" i="6"/>
  <c r="AA1098" i="6" s="1"/>
  <c r="W918" i="6"/>
  <c r="AA918" i="6" s="1"/>
  <c r="AE918" i="6" s="1"/>
  <c r="W412" i="6"/>
  <c r="AA412" i="6" s="1"/>
  <c r="W1435" i="6"/>
  <c r="AA1435" i="6" s="1"/>
  <c r="W2335" i="6"/>
  <c r="AA2335" i="6" s="1"/>
  <c r="AE2335" i="6" s="1"/>
  <c r="W2357" i="6"/>
  <c r="AA2357" i="6" s="1"/>
  <c r="AE2357" i="6" s="1"/>
  <c r="W1547" i="6"/>
  <c r="AA1547" i="6" s="1"/>
  <c r="W349" i="6"/>
  <c r="AA349" i="6" s="1"/>
  <c r="W1933" i="6"/>
  <c r="AA1933" i="6" s="1"/>
  <c r="W2034" i="6"/>
  <c r="AA2034" i="6" s="1"/>
  <c r="W1946" i="6"/>
  <c r="AA1946" i="6" s="1"/>
  <c r="W1125" i="6"/>
  <c r="AA1125" i="6" s="1"/>
  <c r="W162" i="6"/>
  <c r="AA162" i="6" s="1"/>
  <c r="W2237" i="6"/>
  <c r="AA2237" i="6" s="1"/>
  <c r="AE2237" i="6" s="1"/>
  <c r="W1540" i="6"/>
  <c r="AA1540" i="6" s="1"/>
  <c r="W1126" i="6"/>
  <c r="AA1126" i="6" s="1"/>
  <c r="W1210" i="6"/>
  <c r="AA1210" i="6" s="1"/>
  <c r="AA2194" i="6"/>
  <c r="W1983" i="6"/>
  <c r="AA1983" i="6" s="1"/>
  <c r="W1085" i="6"/>
  <c r="AA1085" i="6" s="1"/>
  <c r="W793" i="6"/>
  <c r="AA793" i="6" s="1"/>
  <c r="W1342" i="6"/>
  <c r="AA1342" i="6" s="1"/>
  <c r="W139" i="6"/>
  <c r="AA139" i="6" s="1"/>
  <c r="W1854" i="6"/>
  <c r="AA1854" i="6" s="1"/>
  <c r="W1897" i="6"/>
  <c r="AA1897" i="6" s="1"/>
  <c r="W1597" i="6"/>
  <c r="AA1597" i="6" s="1"/>
  <c r="W608" i="6"/>
  <c r="AA608" i="6" s="1"/>
  <c r="W1324" i="6"/>
  <c r="AA1324" i="6" s="1"/>
  <c r="W659" i="6"/>
  <c r="AA659" i="6" s="1"/>
  <c r="W1137" i="6"/>
  <c r="AA1137" i="6" s="1"/>
  <c r="W47" i="6"/>
  <c r="AA47" i="6" s="1"/>
  <c r="W1837" i="6"/>
  <c r="AA1837" i="6" s="1"/>
  <c r="AA706" i="6"/>
  <c r="W391" i="6"/>
  <c r="AA391" i="6" s="1"/>
  <c r="W1055" i="6"/>
  <c r="AA1055" i="6" s="1"/>
  <c r="W1390" i="6"/>
  <c r="AA1390" i="6" s="1"/>
  <c r="W2048" i="6"/>
  <c r="AA2048" i="6" s="1"/>
  <c r="W368" i="6"/>
  <c r="AA368" i="6" s="1"/>
  <c r="AA445" i="6"/>
  <c r="AA2195" i="6"/>
  <c r="W615" i="6"/>
  <c r="AA615" i="6" s="1"/>
  <c r="W1927" i="6"/>
  <c r="AA1927" i="6" s="1"/>
  <c r="W1364" i="6"/>
  <c r="AA1364" i="6" s="1"/>
  <c r="W1490" i="6"/>
  <c r="AA1490" i="6" s="1"/>
  <c r="W1080" i="6"/>
  <c r="AA1080" i="6" s="1"/>
  <c r="W316" i="6"/>
  <c r="AA316" i="6" s="1"/>
  <c r="AA1781" i="6"/>
  <c r="W897" i="6"/>
  <c r="AA897" i="6" s="1"/>
  <c r="W1284" i="6"/>
  <c r="AA1284" i="6" s="1"/>
  <c r="AA1369" i="6"/>
  <c r="W1673" i="6"/>
  <c r="AA1673" i="6" s="1"/>
  <c r="W298" i="6"/>
  <c r="AA298" i="6" s="1"/>
  <c r="W2142" i="6"/>
  <c r="AA2142" i="6" s="1"/>
  <c r="W1170" i="6"/>
  <c r="AA1170" i="6" s="1"/>
  <c r="AA1617" i="6"/>
  <c r="W1552" i="6"/>
  <c r="AA1552" i="6" s="1"/>
  <c r="W2363" i="6"/>
  <c r="W2154" i="6"/>
  <c r="W2278" i="6"/>
  <c r="V681" i="6"/>
  <c r="AD1151" i="6"/>
  <c r="V1151" i="6"/>
  <c r="AD2216" i="6"/>
  <c r="V2216" i="6"/>
  <c r="AD2218" i="6"/>
  <c r="V2218" i="6"/>
  <c r="W2218" i="6" s="1"/>
  <c r="AD1846" i="6"/>
  <c r="V1846" i="6"/>
  <c r="V13" i="6"/>
  <c r="AD533" i="6"/>
  <c r="V533" i="6"/>
  <c r="V1900" i="6"/>
  <c r="AD2096" i="6"/>
  <c r="V2096" i="6"/>
  <c r="W2319" i="6"/>
  <c r="AA2319" i="6" s="1"/>
  <c r="AE2319" i="6" s="1"/>
  <c r="AD19" i="6"/>
  <c r="V19" i="6"/>
  <c r="W19" i="6" s="1"/>
  <c r="AD1273" i="6"/>
  <c r="V1273" i="6"/>
  <c r="AD1152" i="6"/>
  <c r="V1152" i="6"/>
  <c r="AD2203" i="6"/>
  <c r="V2203" i="6"/>
  <c r="W2203" i="6" s="1"/>
  <c r="V16" i="6"/>
  <c r="AD2277" i="6"/>
  <c r="V2277" i="6"/>
  <c r="AD2209" i="6"/>
  <c r="V2209" i="6"/>
  <c r="V1102" i="6"/>
  <c r="AD2288" i="6"/>
  <c r="V2288" i="6"/>
  <c r="V12" i="6"/>
  <c r="AD829" i="6"/>
  <c r="V829" i="6"/>
  <c r="V2155" i="6"/>
  <c r="V2293" i="6"/>
  <c r="V1339" i="6"/>
  <c r="V2253" i="6"/>
  <c r="W2253" i="6" s="1"/>
  <c r="V1105" i="6"/>
  <c r="V1691" i="6"/>
  <c r="AE2339" i="6"/>
  <c r="AD2022" i="6"/>
  <c r="V2022" i="6"/>
  <c r="W2022" i="6" s="1"/>
  <c r="V1992" i="6"/>
  <c r="AD2214" i="6"/>
  <c r="V2214" i="6"/>
  <c r="V2234" i="6"/>
  <c r="W2234" i="6" s="1"/>
  <c r="V697" i="6"/>
  <c r="W2252" i="6"/>
  <c r="AA2252" i="6" s="1"/>
  <c r="AE2252" i="6" s="1"/>
  <c r="AD2207" i="6"/>
  <c r="V2207" i="6"/>
  <c r="AD2261" i="6"/>
  <c r="V2261" i="6"/>
  <c r="V1898" i="6"/>
  <c r="V2297" i="6"/>
  <c r="W2297" i="6" s="1"/>
  <c r="AD1541" i="6"/>
  <c r="V1541" i="6"/>
  <c r="W1541" i="6" s="1"/>
  <c r="AD2206" i="6"/>
  <c r="V2206" i="6"/>
  <c r="AD362" i="6"/>
  <c r="V362" i="6"/>
  <c r="AD2271" i="6"/>
  <c r="V2271" i="6"/>
  <c r="V371" i="6"/>
  <c r="V678" i="6"/>
  <c r="V2156" i="6"/>
  <c r="W2156" i="6" s="1"/>
  <c r="AD2221" i="6"/>
  <c r="V2221" i="6"/>
  <c r="W2221" i="6" s="1"/>
  <c r="AD683" i="6"/>
  <c r="V683" i="6"/>
  <c r="AD686" i="6"/>
  <c r="V686" i="6"/>
  <c r="V2158" i="6"/>
  <c r="V433" i="6"/>
  <c r="W2272" i="6"/>
  <c r="V1687" i="6"/>
  <c r="AD2268" i="6"/>
  <c r="V2268" i="6"/>
  <c r="AD2106" i="6"/>
  <c r="V2106" i="6"/>
  <c r="AD432" i="6"/>
  <c r="V432" i="6"/>
  <c r="W432" i="6" s="1"/>
  <c r="W2292" i="6"/>
  <c r="AA2292" i="6" s="1"/>
  <c r="V17" i="6"/>
  <c r="V2220" i="6"/>
  <c r="V2103" i="6"/>
  <c r="W2341" i="6"/>
  <c r="AA2341" i="6" s="1"/>
  <c r="AE2341" i="6" s="1"/>
  <c r="W2280" i="6"/>
  <c r="W2348" i="6"/>
  <c r="AD2219" i="6"/>
  <c r="V2219" i="6"/>
  <c r="W2219" i="6" s="1"/>
  <c r="AD2204" i="6"/>
  <c r="V2204" i="6"/>
  <c r="W2204" i="6" s="1"/>
  <c r="AD2205" i="6"/>
  <c r="V2205" i="6"/>
  <c r="AD2210" i="6"/>
  <c r="V2210" i="6"/>
  <c r="W2210" i="6" s="1"/>
  <c r="AD2215" i="6"/>
  <c r="V2215" i="6"/>
  <c r="AD2217" i="6"/>
  <c r="V2217" i="6"/>
  <c r="AD429" i="6"/>
  <c r="V429" i="6"/>
  <c r="W429" i="6" s="1"/>
  <c r="AD2075" i="6"/>
  <c r="V2075" i="6"/>
  <c r="W2308" i="6"/>
  <c r="AD1900" i="6"/>
  <c r="AD678" i="6"/>
  <c r="AD1339" i="6"/>
  <c r="AD1898" i="6"/>
  <c r="AD371" i="6"/>
  <c r="R10" i="6"/>
  <c r="S10" i="6" s="1"/>
  <c r="AB10" i="6" s="1"/>
  <c r="AD2220" i="6"/>
  <c r="AD1691" i="6"/>
  <c r="AD2156" i="6"/>
  <c r="AD1105" i="6"/>
  <c r="AD2103" i="6"/>
  <c r="AD2155" i="6"/>
  <c r="AD2293" i="6"/>
  <c r="AD433" i="6"/>
  <c r="S18" i="6"/>
  <c r="AB18" i="6" s="1"/>
  <c r="AC18" i="6" s="1"/>
  <c r="AD1102" i="6"/>
  <c r="AD13" i="6"/>
  <c r="AD2297" i="6"/>
  <c r="AD2234" i="6"/>
  <c r="AD2253" i="6"/>
  <c r="S2119" i="6"/>
  <c r="AB2119" i="6" s="1"/>
  <c r="AC2119" i="6" s="1"/>
  <c r="AD1687" i="6"/>
  <c r="AD2158" i="6"/>
  <c r="AD1992" i="6"/>
  <c r="AD697" i="6"/>
  <c r="AD681" i="6"/>
  <c r="AD17" i="6"/>
  <c r="S11" i="6"/>
  <c r="AB11" i="6" s="1"/>
  <c r="AC11" i="6" s="1"/>
  <c r="H17" i="13"/>
  <c r="AD1435" i="6"/>
  <c r="AD2320" i="6"/>
  <c r="AD2310" i="6"/>
  <c r="AD2264" i="6"/>
  <c r="AD914" i="6"/>
  <c r="AD1027" i="6"/>
  <c r="AD82" i="6"/>
  <c r="AD1618" i="6"/>
  <c r="AD1883" i="6"/>
  <c r="AD1267" i="6"/>
  <c r="AD397" i="6"/>
  <c r="AD233" i="6"/>
  <c r="AD321" i="6"/>
  <c r="AD1471" i="6"/>
  <c r="AD1710" i="6"/>
  <c r="AD2049" i="6"/>
  <c r="AD2170" i="6"/>
  <c r="AD318" i="6"/>
  <c r="AD1101" i="6"/>
  <c r="AD1235" i="6"/>
  <c r="AD357" i="6"/>
  <c r="AD709" i="6"/>
  <c r="AD392" i="6"/>
  <c r="AD1718" i="6"/>
  <c r="AD978" i="6"/>
  <c r="AD1606" i="6"/>
  <c r="AD1347" i="6"/>
  <c r="AD1552" i="6"/>
  <c r="AD1885" i="6"/>
  <c r="AD1184" i="6"/>
  <c r="AD893" i="6"/>
  <c r="AD1038" i="6"/>
  <c r="AD1562" i="6"/>
  <c r="AD1159" i="6"/>
  <c r="AD2081" i="6"/>
  <c r="AD428" i="6"/>
  <c r="AD61" i="6"/>
  <c r="AD137" i="6"/>
  <c r="AD1320" i="6"/>
  <c r="AD1876" i="6"/>
  <c r="AD2195" i="6"/>
  <c r="AD139" i="6"/>
  <c r="AD988" i="6"/>
  <c r="AD1633" i="6"/>
  <c r="AD1490" i="6"/>
  <c r="AD2148" i="6"/>
  <c r="AD75" i="6"/>
  <c r="AD104" i="6"/>
  <c r="AD557" i="6"/>
  <c r="AD1871" i="6"/>
  <c r="AD1977" i="6"/>
  <c r="AD1925" i="6"/>
  <c r="AD1172" i="6"/>
  <c r="AD297" i="6"/>
  <c r="AD967" i="6"/>
  <c r="AD667" i="6"/>
  <c r="AD772" i="6"/>
  <c r="AD1655" i="6"/>
  <c r="AD1519" i="6"/>
  <c r="AD586" i="6"/>
  <c r="AD548" i="6"/>
  <c r="AD1920" i="6"/>
  <c r="AD572" i="6"/>
  <c r="AD1196" i="6"/>
  <c r="AD1547" i="6"/>
  <c r="AD122" i="6"/>
  <c r="AD451" i="6"/>
  <c r="AD2145" i="6"/>
  <c r="AD1922" i="6"/>
  <c r="AD581" i="6"/>
  <c r="AD198" i="6"/>
  <c r="AD802" i="6"/>
  <c r="AD1838" i="6"/>
  <c r="AD2089" i="6"/>
  <c r="AD640" i="6"/>
  <c r="AD349" i="6"/>
  <c r="AD409" i="6"/>
  <c r="AD669" i="6"/>
  <c r="AD1637" i="6"/>
  <c r="AD110" i="6"/>
  <c r="AD993" i="6"/>
  <c r="AD1738" i="6"/>
  <c r="AD1811" i="6"/>
  <c r="AD1331" i="6"/>
  <c r="AD52" i="6"/>
  <c r="AD393" i="6"/>
  <c r="AD1162" i="6"/>
  <c r="AD187" i="6"/>
  <c r="AD1079" i="6"/>
  <c r="AD158" i="6"/>
  <c r="AD1534" i="6"/>
  <c r="AD770" i="6"/>
  <c r="AD1603" i="6"/>
  <c r="AD328" i="6"/>
  <c r="AD382" i="6"/>
  <c r="AD631" i="6"/>
  <c r="AD288" i="6"/>
  <c r="AD1228" i="6"/>
  <c r="AD353" i="6"/>
  <c r="AD1096" i="6"/>
  <c r="AD2058" i="6"/>
  <c r="AD854" i="6"/>
  <c r="AD612" i="6"/>
  <c r="AD2138" i="6"/>
  <c r="AD2097" i="6"/>
  <c r="AD959" i="6"/>
  <c r="AD1279" i="6"/>
  <c r="AD1368" i="6"/>
  <c r="AD300" i="6"/>
  <c r="AD919" i="6"/>
  <c r="AD1572" i="6"/>
  <c r="AD2137" i="6"/>
  <c r="AD458" i="6"/>
  <c r="AD1743" i="6"/>
  <c r="AD176" i="6"/>
  <c r="AD789" i="6"/>
  <c r="AD20" i="6"/>
  <c r="AD953" i="6"/>
  <c r="AD1641" i="6"/>
  <c r="AD1561" i="6"/>
  <c r="AD549" i="6"/>
  <c r="AD1929" i="6"/>
  <c r="AD1758" i="6"/>
  <c r="AD2048" i="6"/>
  <c r="AD1241" i="6"/>
  <c r="AD619" i="6"/>
  <c r="AD1869" i="6"/>
  <c r="AD1125" i="6"/>
  <c r="AD1942" i="6"/>
  <c r="AD2044" i="6"/>
  <c r="AD1239" i="6"/>
  <c r="AD701" i="6"/>
  <c r="AD798" i="6"/>
  <c r="AD2016" i="6"/>
  <c r="AD404" i="6"/>
  <c r="AD417" i="6"/>
  <c r="AD254" i="6"/>
  <c r="AD1502" i="6"/>
  <c r="AD489" i="6"/>
  <c r="AD2027" i="6"/>
  <c r="AD1337" i="6"/>
  <c r="AD571" i="6"/>
  <c r="AD256" i="6"/>
  <c r="AD54" i="6"/>
  <c r="AD1264" i="6"/>
  <c r="AD144" i="6"/>
  <c r="AD23" i="6"/>
  <c r="AD1445" i="6"/>
  <c r="AD1092" i="6"/>
  <c r="AD2053" i="6"/>
  <c r="AD1247" i="6"/>
  <c r="AD712" i="6"/>
  <c r="AD871" i="6"/>
  <c r="AD1935" i="6"/>
  <c r="AD2111" i="6"/>
  <c r="AD2050" i="6"/>
  <c r="AD1254" i="6"/>
  <c r="AD591" i="6"/>
  <c r="AD333" i="6"/>
  <c r="AD1209" i="6"/>
  <c r="AD1011" i="6"/>
  <c r="AD1383" i="6"/>
  <c r="AD1965" i="6"/>
  <c r="AD2114" i="6"/>
  <c r="AD74" i="6"/>
  <c r="AD1546" i="6"/>
  <c r="AD96" i="6"/>
  <c r="AD894" i="6"/>
  <c r="AD1403" i="6"/>
  <c r="AD1553" i="6"/>
  <c r="AD2139" i="6"/>
  <c r="AD29" i="6"/>
  <c r="AD788" i="6"/>
  <c r="AD934" i="6"/>
  <c r="AD811" i="6"/>
  <c r="AD1886" i="6"/>
  <c r="AD408" i="6"/>
  <c r="AD753" i="6"/>
  <c r="AD632" i="6"/>
  <c r="AD1934" i="6"/>
  <c r="AD1407" i="6"/>
  <c r="AD1379" i="6"/>
  <c r="AD1896" i="6"/>
  <c r="AD1535" i="6"/>
  <c r="AD1530" i="6"/>
  <c r="AD962" i="6"/>
  <c r="AD1336" i="6"/>
  <c r="AD570" i="6"/>
  <c r="AD1128" i="6"/>
  <c r="AD299" i="6"/>
  <c r="AD1621" i="6"/>
  <c r="AD1759" i="6"/>
  <c r="AD502" i="6"/>
  <c r="AD294" i="6"/>
  <c r="AD651" i="6"/>
  <c r="AD190" i="6"/>
  <c r="AD1486" i="6"/>
  <c r="AD68" i="6"/>
  <c r="AD1263" i="6"/>
  <c r="AD1908" i="6"/>
  <c r="AD737" i="6"/>
  <c r="AD98" i="6"/>
  <c r="AD892" i="6"/>
  <c r="AD1365" i="6"/>
  <c r="AD1261" i="6"/>
  <c r="AD635" i="6"/>
  <c r="AD1767" i="6"/>
  <c r="AD1836" i="6"/>
  <c r="AD1678" i="6"/>
  <c r="AD1357" i="6"/>
  <c r="AD923" i="6"/>
  <c r="AD503" i="6"/>
  <c r="AD1875" i="6"/>
  <c r="AD1089" i="6"/>
  <c r="AD1590" i="6"/>
  <c r="AD2225" i="6"/>
  <c r="AD1451" i="6"/>
  <c r="AD425" i="6"/>
  <c r="AD2116" i="6"/>
  <c r="AD1554" i="6"/>
  <c r="AD271" i="6"/>
  <c r="AD530" i="6"/>
  <c r="AD878" i="6"/>
  <c r="AD730" i="6"/>
  <c r="AD2150" i="6"/>
  <c r="AD118" i="6"/>
  <c r="AD1195" i="6"/>
  <c r="AD1780" i="6"/>
  <c r="AD1406" i="6"/>
  <c r="AD1332" i="6"/>
  <c r="AD2187" i="6"/>
  <c r="AD1666" i="6"/>
  <c r="AD542" i="6"/>
  <c r="AD199" i="6"/>
  <c r="AD115" i="6"/>
  <c r="AD2173" i="6"/>
  <c r="AD76" i="6"/>
  <c r="AD764" i="6"/>
  <c r="AD16" i="6"/>
  <c r="AD1127" i="6"/>
  <c r="AD1484" i="6"/>
  <c r="AD1852" i="6"/>
  <c r="AD941" i="6"/>
  <c r="AD1729" i="6"/>
  <c r="AD2060" i="6"/>
  <c r="AD63" i="6"/>
  <c r="AD2052" i="6"/>
  <c r="AD1544" i="6"/>
  <c r="AD2028" i="6"/>
  <c r="AD247" i="6"/>
  <c r="AD1782" i="6"/>
  <c r="AD1208" i="6"/>
  <c r="AD972" i="6"/>
  <c r="AD848" i="6"/>
  <c r="AD795" i="6"/>
  <c r="AD1824" i="6"/>
  <c r="AD1854" i="6"/>
  <c r="AD1510" i="6"/>
  <c r="AD844" i="6"/>
  <c r="AD1874" i="6"/>
  <c r="AD1703" i="6"/>
  <c r="AD236" i="6"/>
  <c r="AD1080" i="6"/>
  <c r="AD2046" i="6"/>
  <c r="AD316" i="6"/>
  <c r="AD1612" i="6"/>
  <c r="AD965" i="6"/>
  <c r="AD2194" i="6"/>
  <c r="AD1088" i="6"/>
  <c r="AD1957" i="6"/>
  <c r="AD668" i="6"/>
  <c r="AD900" i="6"/>
  <c r="AD1537" i="6"/>
  <c r="AD490" i="6"/>
  <c r="AD763" i="6"/>
  <c r="AD1660" i="6"/>
  <c r="AD2141" i="6"/>
  <c r="AD2122" i="6"/>
  <c r="AD1199" i="6"/>
  <c r="AD855" i="6"/>
  <c r="AD610" i="6"/>
  <c r="AD887" i="6"/>
  <c r="AD1834" i="6"/>
  <c r="AD2152" i="6"/>
  <c r="AD173" i="6"/>
  <c r="AD773" i="6"/>
  <c r="AD1431" i="6"/>
  <c r="AD1335" i="6"/>
  <c r="AD327" i="6"/>
  <c r="AD1210" i="6"/>
  <c r="AD323" i="6"/>
  <c r="AD575" i="6"/>
  <c r="AD57" i="6"/>
  <c r="AD1317" i="6"/>
  <c r="AD1207" i="6"/>
  <c r="AD420" i="6"/>
  <c r="AD73" i="6"/>
  <c r="AD1521" i="6"/>
  <c r="AD1069" i="6"/>
  <c r="AD157" i="6"/>
  <c r="AD22" i="6"/>
  <c r="AD1299" i="6"/>
  <c r="AD2171" i="6"/>
  <c r="AD847" i="6"/>
  <c r="AD238" i="6"/>
  <c r="AD870" i="6"/>
  <c r="AD822" i="6"/>
  <c r="AD1853" i="6"/>
  <c r="AD1019" i="6"/>
  <c r="AD448" i="6"/>
  <c r="AD970" i="6"/>
  <c r="AD1801" i="6"/>
  <c r="AD1808" i="6"/>
  <c r="AD471" i="6"/>
  <c r="AD516" i="6"/>
  <c r="AD1460" i="6"/>
  <c r="AD650" i="6"/>
  <c r="AD1986" i="6"/>
  <c r="AD1100" i="6"/>
  <c r="AD858" i="6"/>
  <c r="AD820" i="6"/>
  <c r="AD535" i="6"/>
  <c r="AD1774" i="6"/>
  <c r="AD661" i="6"/>
  <c r="AD1212" i="6"/>
  <c r="AD872" i="6"/>
  <c r="AD1622" i="6"/>
  <c r="AD2231" i="6"/>
  <c r="AD1734" i="6"/>
  <c r="AD136" i="6"/>
  <c r="AD1807" i="6"/>
  <c r="AD275" i="6"/>
  <c r="AD1514" i="6"/>
  <c r="AD1755" i="6"/>
  <c r="AD1318" i="6"/>
  <c r="AD66" i="6"/>
  <c r="AD606" i="6"/>
  <c r="AD114" i="6"/>
  <c r="AD1829" i="6"/>
  <c r="AD1114" i="6"/>
  <c r="AD747" i="6"/>
  <c r="AD801" i="6"/>
  <c r="AD1138" i="6"/>
  <c r="AD1020" i="6"/>
  <c r="AD359" i="6"/>
  <c r="AD2181" i="6"/>
  <c r="AD1531" i="6"/>
  <c r="AD1078" i="6"/>
  <c r="AD466" i="6"/>
  <c r="AD999" i="6"/>
  <c r="AD1189" i="6"/>
  <c r="AD1624" i="6"/>
  <c r="AD143" i="6"/>
  <c r="AD499" i="6"/>
  <c r="AD1249" i="6"/>
  <c r="AD1002" i="6"/>
  <c r="AD2088" i="6"/>
  <c r="AD1882" i="6"/>
  <c r="AD1412" i="6"/>
  <c r="AD496" i="6"/>
  <c r="AD838" i="6"/>
  <c r="AD95" i="6"/>
  <c r="AD1789" i="6"/>
  <c r="AD406" i="6"/>
  <c r="AD853" i="6"/>
  <c r="AD1985" i="6"/>
  <c r="AD544" i="6"/>
  <c r="AD649" i="6"/>
  <c r="AD1343" i="6"/>
  <c r="AD732" i="6"/>
  <c r="AD647" i="6"/>
  <c r="AD1246" i="6"/>
  <c r="AD106" i="6"/>
  <c r="AD1739" i="6"/>
  <c r="AD1284" i="6"/>
  <c r="AD1575" i="6"/>
  <c r="AD1141" i="6"/>
  <c r="AD1825" i="6"/>
  <c r="AD1068" i="6"/>
  <c r="AD779" i="6"/>
  <c r="AD1720" i="6"/>
  <c r="AD1307" i="6"/>
  <c r="AD1952" i="6"/>
  <c r="AD1008" i="6"/>
  <c r="AD580" i="6"/>
  <c r="AD1006" i="6"/>
  <c r="AD1593" i="6"/>
  <c r="AD1425" i="6"/>
  <c r="AD438" i="6"/>
  <c r="AD1976" i="6"/>
  <c r="AD815" i="6"/>
  <c r="AD738" i="6"/>
  <c r="AD1438" i="6"/>
  <c r="AD1459" i="6"/>
  <c r="AD59" i="6"/>
  <c r="AD399" i="6"/>
  <c r="AD807" i="6"/>
  <c r="AD339" i="6"/>
  <c r="AD657" i="6"/>
  <c r="AD1166" i="6"/>
  <c r="AD2012" i="6"/>
  <c r="AD335" i="6"/>
  <c r="AD440" i="6"/>
  <c r="AD1292" i="6"/>
  <c r="AD648" i="6"/>
  <c r="AD2059" i="6"/>
  <c r="AD1054" i="6"/>
  <c r="AD1863" i="6"/>
  <c r="AD622" i="6"/>
  <c r="AD814" i="6"/>
  <c r="AD56" i="6"/>
  <c r="AD1382" i="6"/>
  <c r="AD989" i="6"/>
  <c r="AD411" i="6"/>
  <c r="AD289" i="6"/>
  <c r="AD551" i="6"/>
  <c r="AD754" i="6"/>
  <c r="AD1839" i="6"/>
  <c r="AD641" i="6"/>
  <c r="AD1259" i="6"/>
  <c r="AD1075" i="6"/>
  <c r="AD793" i="6"/>
  <c r="AD2062" i="6"/>
  <c r="AD1744" i="6"/>
  <c r="AD2120" i="6"/>
  <c r="AD1629" i="6"/>
  <c r="AD330" i="6"/>
  <c r="AD1351" i="6"/>
  <c r="AD2037" i="6"/>
  <c r="AD222" i="6"/>
  <c r="AD1910" i="6"/>
  <c r="AD876" i="6"/>
  <c r="AD103" i="6"/>
  <c r="AD1568" i="6"/>
  <c r="AD2167" i="6"/>
  <c r="AD2079" i="6"/>
  <c r="AD746" i="6"/>
  <c r="AD2186" i="6"/>
  <c r="AD1203" i="6"/>
  <c r="AD1557" i="6"/>
  <c r="AD1163" i="6"/>
  <c r="AD1492" i="6"/>
  <c r="AD455" i="6"/>
  <c r="AD1426" i="6"/>
  <c r="AD1268" i="6"/>
  <c r="AD734" i="6"/>
  <c r="AD1104" i="6"/>
  <c r="AD1888" i="6"/>
  <c r="AD1778" i="6"/>
  <c r="AD474" i="6"/>
  <c r="AD153" i="6"/>
  <c r="AD1752" i="6"/>
  <c r="AD1495" i="6"/>
  <c r="AD117" i="6"/>
  <c r="AD1376" i="6"/>
  <c r="AD1400" i="6"/>
  <c r="AD1410" i="6"/>
  <c r="AD908" i="6"/>
  <c r="AD1180" i="6"/>
  <c r="AD129" i="6"/>
  <c r="AD500" i="6"/>
  <c r="AD585" i="6"/>
  <c r="AD1186" i="6"/>
  <c r="AD51" i="6"/>
  <c r="AD991" i="6"/>
  <c r="AD1857" i="6"/>
  <c r="AD1453" i="6"/>
  <c r="AD1181" i="6"/>
  <c r="AD204" i="6"/>
  <c r="AD1253" i="6"/>
  <c r="AD511" i="6"/>
  <c r="AD1409" i="6"/>
  <c r="AD1818" i="6"/>
  <c r="AD1057" i="6"/>
  <c r="AD1449" i="6"/>
  <c r="AD1211" i="6"/>
  <c r="AD1134" i="6"/>
  <c r="AD1423" i="6"/>
  <c r="AD2110" i="6"/>
  <c r="AD1319" i="6"/>
  <c r="AD1589" i="6"/>
  <c r="AD796" i="6"/>
  <c r="AD1295" i="6"/>
  <c r="AD689" i="6"/>
  <c r="AD2023" i="6"/>
  <c r="AD741" i="6"/>
  <c r="AD576" i="6"/>
  <c r="AD1191" i="6"/>
  <c r="AD53" i="6"/>
  <c r="AD1040" i="6"/>
  <c r="AD1384" i="6"/>
  <c r="AD228" i="6"/>
  <c r="AD250" i="6"/>
  <c r="AD721" i="6"/>
  <c r="AD311" i="6"/>
  <c r="AD1855" i="6"/>
  <c r="AD742" i="6"/>
  <c r="AD555" i="6"/>
  <c r="AD1185" i="6"/>
  <c r="AD101" i="6"/>
  <c r="AD1032" i="6"/>
  <c r="AD183" i="6"/>
  <c r="AD1014" i="6"/>
  <c r="AD269" i="6"/>
  <c r="AD961" i="6"/>
  <c r="AD26" i="6"/>
  <c r="AD1963" i="6"/>
  <c r="AD1353" i="6"/>
  <c r="AD1706" i="6"/>
  <c r="AD960" i="6"/>
  <c r="AD1741" i="6"/>
  <c r="AD642" i="6"/>
  <c r="AD1999" i="6"/>
  <c r="AD181" i="6"/>
  <c r="AD759" i="6"/>
  <c r="AD1598" i="6"/>
  <c r="AD805" i="6"/>
  <c r="AD2124" i="6"/>
  <c r="AD1066" i="6"/>
  <c r="AD1378" i="6"/>
  <c r="AD94" i="6"/>
  <c r="AD77" i="6"/>
  <c r="AD1772" i="6"/>
  <c r="AD1975" i="6"/>
  <c r="AD1625" i="6"/>
  <c r="AD1050" i="6"/>
  <c r="AD630" i="6"/>
  <c r="AD1480" i="6"/>
  <c r="AD928" i="6"/>
  <c r="AD1667" i="6"/>
  <c r="AD627" i="6"/>
  <c r="AD1740" i="6"/>
  <c r="AD1867" i="6"/>
  <c r="AD1178" i="6"/>
  <c r="AD952" i="6"/>
  <c r="AD1647" i="6"/>
  <c r="AD1522" i="6"/>
  <c r="AD380" i="6"/>
  <c r="AD457" i="6"/>
  <c r="AD1912" i="6"/>
  <c r="AD513" i="6"/>
  <c r="AD2068" i="6"/>
  <c r="AD1230" i="6"/>
  <c r="AD733" i="6"/>
  <c r="AD1122" i="6"/>
  <c r="AD1940" i="6"/>
  <c r="AD1090" i="6"/>
  <c r="AD2061" i="6"/>
  <c r="AD1260" i="6"/>
  <c r="AD715" i="6"/>
  <c r="AD818" i="6"/>
  <c r="AD412" i="6"/>
  <c r="AD1070" i="6"/>
  <c r="AD302" i="6"/>
  <c r="AD940" i="6"/>
  <c r="AD601" i="6"/>
  <c r="AD402" i="6"/>
  <c r="AD2121" i="6"/>
  <c r="AD938" i="6"/>
  <c r="AD1599" i="6"/>
  <c r="AD1542" i="6"/>
  <c r="AD1149" i="6"/>
  <c r="AD1964" i="6"/>
  <c r="AD1473" i="6"/>
  <c r="AD863" i="6"/>
  <c r="AD891" i="6"/>
  <c r="AD512" i="6"/>
  <c r="AD1475" i="6"/>
  <c r="AD639" i="6"/>
  <c r="AD2115" i="6"/>
  <c r="AD718" i="6"/>
  <c r="AD691" i="6"/>
  <c r="AD1420" i="6"/>
  <c r="AD1156" i="6"/>
  <c r="AD280" i="6"/>
  <c r="AD879" i="6"/>
  <c r="AD1859" i="6"/>
  <c r="AD253" i="6"/>
  <c r="AD145" i="6"/>
  <c r="AD731" i="6"/>
  <c r="AD138" i="6"/>
  <c r="AD347" i="6"/>
  <c r="AD2040" i="6"/>
  <c r="AD1549" i="6"/>
  <c r="AD1505" i="6"/>
  <c r="AD1324" i="6"/>
  <c r="AD1536" i="6"/>
  <c r="AD1551" i="6"/>
  <c r="AD1817" i="6"/>
  <c r="AD546" i="6"/>
  <c r="AD2130" i="6"/>
  <c r="AD423" i="6"/>
  <c r="AD1658" i="6"/>
  <c r="AD890" i="6"/>
  <c r="AD1709" i="6"/>
  <c r="AD1464" i="6"/>
  <c r="AD1520" i="6"/>
  <c r="AD364" i="6"/>
  <c r="AD577" i="6"/>
  <c r="AD124" i="6"/>
  <c r="AD1822" i="6"/>
  <c r="AD777" i="6"/>
  <c r="AD947" i="6"/>
  <c r="AD816" i="6"/>
  <c r="AD1048" i="6"/>
  <c r="AD2166" i="6"/>
  <c r="AD1573" i="6"/>
  <c r="AD1387" i="6"/>
  <c r="AD775" i="6"/>
  <c r="AD1672" i="6"/>
  <c r="AD1356" i="6"/>
  <c r="AD460" i="6"/>
  <c r="AD673" i="6"/>
  <c r="AD904" i="6"/>
  <c r="AD1081" i="6"/>
  <c r="AD1941" i="6"/>
  <c r="AD623" i="6"/>
  <c r="AD1197" i="6"/>
  <c r="AD605" i="6"/>
  <c r="AD536" i="6"/>
  <c r="AD1277" i="6"/>
  <c r="AD2176" i="6"/>
  <c r="AD706" i="6"/>
  <c r="AD283" i="6"/>
  <c r="AD2125" i="6"/>
  <c r="AD916" i="6"/>
  <c r="AD1538" i="6"/>
  <c r="AD374" i="6"/>
  <c r="AD1693" i="6"/>
  <c r="AD574" i="6"/>
  <c r="AD1973" i="6"/>
  <c r="AD2126" i="6"/>
  <c r="AD983" i="6"/>
  <c r="AD1887" i="6"/>
  <c r="AD559" i="6"/>
  <c r="AD948" i="6"/>
  <c r="AD1243" i="6"/>
  <c r="AD1761" i="6"/>
  <c r="AD2227" i="6"/>
  <c r="AD155" i="6"/>
  <c r="AD225" i="6"/>
  <c r="AD616" i="6"/>
  <c r="AD1160" i="6"/>
  <c r="AD2178" i="6"/>
  <c r="AD1272" i="6"/>
  <c r="AD1918" i="6"/>
  <c r="AD1315" i="6"/>
  <c r="AD226" i="6"/>
  <c r="AD1700" i="6"/>
  <c r="AD1316" i="6"/>
  <c r="AD219" i="6"/>
  <c r="AD1206" i="6"/>
  <c r="AD1930" i="6"/>
  <c r="AD695" i="6"/>
  <c r="AD229" i="6"/>
  <c r="AD625" i="6"/>
  <c r="AD992" i="6"/>
  <c r="AD1245" i="6"/>
  <c r="AD1524" i="6"/>
  <c r="AD583" i="6"/>
  <c r="AD70" i="6"/>
  <c r="AD1047" i="6"/>
  <c r="AD629" i="6"/>
  <c r="AD1728" i="6"/>
  <c r="AD1868" i="6"/>
  <c r="AD1349" i="6"/>
  <c r="AD1312" i="6"/>
  <c r="AD859" i="6"/>
  <c r="AD590" i="6"/>
  <c r="AD644" i="6"/>
  <c r="AD1218" i="6"/>
  <c r="AD39" i="6"/>
  <c r="AD268" i="6"/>
  <c r="AD1419" i="6"/>
  <c r="AD1737" i="6"/>
  <c r="AD164" i="6"/>
  <c r="AD787" i="6"/>
  <c r="AD902" i="6"/>
  <c r="AD1673" i="6"/>
  <c r="AD243" i="6"/>
  <c r="AD2009" i="6"/>
  <c r="AD1733" i="6"/>
  <c r="AD1926" i="6"/>
  <c r="AD671" i="6"/>
  <c r="AD2112" i="6"/>
  <c r="AD65" i="6"/>
  <c r="AD1550" i="6"/>
  <c r="AD1491" i="6"/>
  <c r="AD1161" i="6"/>
  <c r="AD1346" i="6"/>
  <c r="AD628" i="6"/>
  <c r="AD984" i="6"/>
  <c r="AD161" i="6"/>
  <c r="AD563" i="6"/>
  <c r="AD1187" i="6"/>
  <c r="AD1790" i="6"/>
  <c r="AD1851" i="6"/>
  <c r="AD1354" i="6"/>
  <c r="AD842" i="6"/>
  <c r="AD336" i="6"/>
  <c r="AD134" i="6"/>
  <c r="AD1043" i="6"/>
  <c r="AD1950" i="6"/>
  <c r="AD398" i="6"/>
  <c r="AD1638" i="6"/>
  <c r="AD749" i="6"/>
  <c r="AD653" i="6"/>
  <c r="AD1597" i="6"/>
  <c r="AD142" i="6"/>
  <c r="AD1029" i="6"/>
  <c r="AD1417" i="6"/>
  <c r="AD1913" i="6"/>
  <c r="AD307" i="6"/>
  <c r="AD1663" i="6"/>
  <c r="AD25" i="6"/>
  <c r="AD944" i="6"/>
  <c r="AD558" i="6"/>
  <c r="AD758" i="6"/>
  <c r="AD273" i="6"/>
  <c r="AD497" i="6"/>
  <c r="AD1675" i="6"/>
  <c r="AD987" i="6"/>
  <c r="AD1961" i="6"/>
  <c r="AD86" i="6"/>
  <c r="AD1753" i="6"/>
  <c r="AD1015" i="6"/>
  <c r="AD1533" i="6"/>
  <c r="AD769" i="6"/>
  <c r="AD384" i="6"/>
  <c r="AD230" i="6"/>
  <c r="AD1748" i="6"/>
  <c r="AD2189" i="6"/>
  <c r="AD946" i="6"/>
  <c r="AD1577" i="6"/>
  <c r="AD1695" i="6"/>
  <c r="AD1221" i="6"/>
  <c r="AD487" i="6"/>
  <c r="AD1895" i="6"/>
  <c r="AD388" i="6"/>
  <c r="AD562" i="6"/>
  <c r="AD258" i="6"/>
  <c r="AD1972" i="6"/>
  <c r="AD1783" i="6"/>
  <c r="AD1463" i="6"/>
  <c r="AD2030" i="6"/>
  <c r="AD1294" i="6"/>
  <c r="AD1028" i="6"/>
  <c r="AD224" i="6"/>
  <c r="AD112" i="6"/>
  <c r="AD532" i="6"/>
  <c r="AD274" i="6"/>
  <c r="AD974" i="6"/>
  <c r="AD1757" i="6"/>
  <c r="AD282" i="6"/>
  <c r="AD215" i="6"/>
  <c r="AD1352" i="6"/>
  <c r="AD588" i="6"/>
  <c r="AD1477" i="6"/>
  <c r="AD1897" i="6"/>
  <c r="AD184" i="6"/>
  <c r="AD1472" i="6"/>
  <c r="AD849" i="6"/>
  <c r="AD819" i="6"/>
  <c r="AD140" i="6"/>
  <c r="AD1865" i="6"/>
  <c r="AD50" i="6"/>
  <c r="AD885" i="6"/>
  <c r="AD1146" i="6"/>
  <c r="AD1439" i="6"/>
  <c r="AD2041" i="6"/>
  <c r="AD624" i="6"/>
  <c r="AD1309" i="6"/>
  <c r="AD385" i="6"/>
  <c r="AD80" i="6"/>
  <c r="AD1749" i="6"/>
  <c r="AD1170" i="6"/>
  <c r="AD202" i="6"/>
  <c r="AD602" i="6"/>
  <c r="AD1224" i="6"/>
  <c r="AD368" i="6"/>
  <c r="AD492" i="6"/>
  <c r="AD1671" i="6"/>
  <c r="AD154" i="6"/>
  <c r="AD781" i="6"/>
  <c r="AD911" i="6"/>
  <c r="AD1461" i="6"/>
  <c r="AD467" i="6"/>
  <c r="AD418" i="6"/>
  <c r="AD1771" i="6"/>
  <c r="AD1592" i="6"/>
  <c r="AD416" i="6"/>
  <c r="AD1635" i="6"/>
  <c r="AD579" i="6"/>
  <c r="AD896" i="6"/>
  <c r="AD898" i="6"/>
  <c r="AD1256" i="6"/>
  <c r="AD714" i="6"/>
  <c r="AD1488" i="6"/>
  <c r="AD1842" i="6"/>
  <c r="AD415" i="6"/>
  <c r="AD1021" i="6"/>
  <c r="AD1171" i="6"/>
  <c r="AD248" i="6"/>
  <c r="AD1840" i="6"/>
  <c r="AD1385" i="6"/>
  <c r="AD1569" i="6"/>
  <c r="AD567" i="6"/>
  <c r="AD1232" i="6"/>
  <c r="AD1342" i="6"/>
  <c r="AD470" i="6"/>
  <c r="AD748" i="6"/>
  <c r="AD1717" i="6"/>
  <c r="AD1814" i="6"/>
  <c r="AD523" i="6"/>
  <c r="AD1564" i="6"/>
  <c r="AD1970" i="6"/>
  <c r="AD2010" i="6"/>
  <c r="AD2054" i="6"/>
  <c r="AD291" i="6"/>
  <c r="AD1124" i="6"/>
  <c r="AD2193" i="6"/>
  <c r="AD1754" i="6"/>
  <c r="AD1802" i="6"/>
  <c r="AD1229" i="6"/>
  <c r="AD277" i="6"/>
  <c r="AD216" i="6"/>
  <c r="AD2191" i="6"/>
  <c r="AD2005" i="6"/>
  <c r="AD319" i="6"/>
  <c r="AD350" i="6"/>
  <c r="AD421" i="6"/>
  <c r="AD1174" i="6"/>
  <c r="AD281" i="6"/>
  <c r="AD2025" i="6"/>
  <c r="AD463" i="6"/>
  <c r="AD1329" i="6"/>
  <c r="AD1781" i="6"/>
  <c r="AD1362" i="6"/>
  <c r="AD45" i="6"/>
  <c r="AD2020" i="6"/>
  <c r="AD363" i="6"/>
  <c r="AD266" i="6"/>
  <c r="AD812" i="6"/>
  <c r="AD538" i="6"/>
  <c r="AD1645" i="6"/>
  <c r="AD1012" i="6"/>
  <c r="AD569" i="6"/>
  <c r="AD1657" i="6"/>
  <c r="AD1059" i="6"/>
  <c r="AD1157" i="6"/>
  <c r="AD1804" i="6"/>
  <c r="AD260" i="6"/>
  <c r="AD40" i="6"/>
  <c r="AD1367" i="6"/>
  <c r="AD1039" i="6"/>
  <c r="AD1359" i="6"/>
  <c r="AD1341" i="6"/>
  <c r="AD257" i="6"/>
  <c r="AD482" i="6"/>
  <c r="AD1777" i="6"/>
  <c r="AD1819" i="6"/>
  <c r="AD840" i="6"/>
  <c r="AD313" i="6"/>
  <c r="AD955" i="6"/>
  <c r="AD246" i="6"/>
  <c r="AD2123" i="6"/>
  <c r="AD1137" i="6"/>
  <c r="AD1481" i="6"/>
  <c r="AD163" i="6"/>
  <c r="AD449" i="6"/>
  <c r="AD1982" i="6"/>
  <c r="AD1155" i="6"/>
  <c r="AD1448" i="6"/>
  <c r="AD1596" i="6"/>
  <c r="AD1118" i="6"/>
  <c r="AD703" i="6"/>
  <c r="AD1468" i="6"/>
  <c r="AD1204" i="6"/>
  <c r="AD1617" i="6"/>
  <c r="AD1712" i="6"/>
  <c r="AD1978" i="6"/>
  <c r="AD873" i="6"/>
  <c r="AD383" i="6"/>
  <c r="AD1216" i="6"/>
  <c r="AD1109" i="6"/>
  <c r="AD1283" i="6"/>
  <c r="AD1656" i="6"/>
  <c r="AD1225" i="6"/>
  <c r="AD739" i="6"/>
  <c r="AD2169" i="6"/>
  <c r="AD724" i="6"/>
  <c r="AD1517" i="6"/>
  <c r="AD166" i="6"/>
  <c r="AD933" i="6"/>
  <c r="AD1677" i="6"/>
  <c r="AD2007" i="6"/>
  <c r="AD836" i="6"/>
  <c r="AD445" i="6"/>
  <c r="AD239" i="6"/>
  <c r="AD1849" i="6"/>
  <c r="AD1493" i="6"/>
  <c r="AD895" i="6"/>
  <c r="AD2228" i="6"/>
  <c r="AD265" i="6"/>
  <c r="AD1619" i="6"/>
  <c r="AD1306" i="6"/>
  <c r="AD1022" i="6"/>
  <c r="AD1773" i="6"/>
  <c r="AD171" i="6"/>
  <c r="AD1523" i="6"/>
  <c r="AD64" i="6"/>
  <c r="AD1799" i="6"/>
  <c r="AD2018" i="6"/>
  <c r="AD1251" i="6"/>
  <c r="AD867" i="6"/>
  <c r="AD169" i="6"/>
  <c r="AD442" i="6"/>
  <c r="AD927" i="6"/>
  <c r="AD1528" i="6"/>
  <c r="AD1756" i="6"/>
  <c r="AD179" i="6"/>
  <c r="AD12" i="6"/>
  <c r="AD1682" i="6"/>
  <c r="AD484" i="6"/>
  <c r="AD126" i="6"/>
  <c r="AD1286" i="6"/>
  <c r="AD439" i="6"/>
  <c r="AD2118" i="6"/>
  <c r="AD1500" i="6"/>
  <c r="AD1041" i="6"/>
  <c r="AD322" i="6"/>
  <c r="AD348" i="6"/>
  <c r="AD473" i="6"/>
  <c r="AD910" i="6"/>
  <c r="AD1679" i="6"/>
  <c r="AD303" i="6"/>
  <c r="AD1025" i="6"/>
  <c r="AD996" i="6"/>
  <c r="AD14" i="6"/>
  <c r="AD990" i="6"/>
  <c r="AD1060" i="6"/>
  <c r="AD839" i="6"/>
  <c r="AD958" i="6"/>
  <c r="AD352" i="6"/>
  <c r="AD1684" i="6"/>
  <c r="AD857" i="6"/>
  <c r="AD794" i="6"/>
  <c r="AD1959" i="6"/>
  <c r="AD599" i="6"/>
  <c r="AD1388" i="6"/>
  <c r="AD332" i="6"/>
  <c r="AD711" i="6"/>
  <c r="AD389" i="6"/>
  <c r="AD2069" i="6"/>
  <c r="AD1250" i="6"/>
  <c r="AD719" i="6"/>
  <c r="AD707" i="6"/>
  <c r="AD1328" i="6"/>
  <c r="AD159" i="6"/>
  <c r="AD296" i="6"/>
  <c r="AD937" i="6"/>
  <c r="AD1850" i="6"/>
  <c r="AD1372" i="6"/>
  <c r="AD1640" i="6"/>
  <c r="AD1527" i="6"/>
  <c r="AD481" i="6"/>
  <c r="AD1943" i="6"/>
  <c r="AD2063" i="6"/>
  <c r="AD1238" i="6"/>
  <c r="AD1532" i="6"/>
  <c r="AD1832" i="6"/>
  <c r="AD1219" i="6"/>
  <c r="AD611" i="6"/>
  <c r="AD1205" i="6"/>
  <c r="AD2029" i="6"/>
  <c r="AD2083" i="6"/>
  <c r="AD956" i="6"/>
  <c r="AD595" i="6"/>
  <c r="AD1698" i="6"/>
  <c r="AD1835" i="6"/>
  <c r="AD315" i="6"/>
  <c r="AD1916" i="6"/>
  <c r="AD127" i="6"/>
  <c r="AD31" i="6"/>
  <c r="AD979" i="6"/>
  <c r="AD259" i="6"/>
  <c r="AD325" i="6"/>
  <c r="AD821" i="6"/>
  <c r="AD2031" i="6"/>
  <c r="AD485" i="6"/>
  <c r="AD565" i="6"/>
  <c r="AD2004" i="6"/>
  <c r="AD1924" i="6"/>
  <c r="AD1031" i="6"/>
  <c r="AD97" i="6"/>
  <c r="AD123" i="6"/>
  <c r="AD152" i="6"/>
  <c r="AD874" i="6"/>
  <c r="AD1269" i="6"/>
  <c r="AD1879" i="6"/>
  <c r="AD167" i="6"/>
  <c r="AD1713" i="6"/>
  <c r="AD1669" i="6"/>
  <c r="AD1169" i="6"/>
  <c r="AD1355" i="6"/>
  <c r="AD1784" i="6"/>
  <c r="AD833" i="6"/>
  <c r="AD1878" i="6"/>
  <c r="AD1763" i="6"/>
  <c r="AD2222" i="6"/>
  <c r="AD969" i="6"/>
  <c r="AD752" i="6"/>
  <c r="AD1627" i="6"/>
  <c r="AD1736" i="6"/>
  <c r="AD1381" i="6"/>
  <c r="AD980" i="6"/>
  <c r="AD2001" i="6"/>
  <c r="AD47" i="6"/>
  <c r="AD1456" i="6"/>
  <c r="AD1806" i="6"/>
  <c r="AD634" i="6"/>
  <c r="AD1683" i="6"/>
  <c r="AD782" i="6"/>
  <c r="AD295" i="6"/>
  <c r="AD920" i="6"/>
  <c r="AD1652" i="6"/>
  <c r="AD2128" i="6"/>
  <c r="AD1143" i="6"/>
  <c r="AD1145" i="6"/>
  <c r="AD930" i="6"/>
  <c r="AD1586" i="6"/>
  <c r="AD663" i="6"/>
  <c r="AD1064" i="6"/>
  <c r="AD306" i="6"/>
  <c r="AD1644" i="6"/>
  <c r="AD1348" i="6"/>
  <c r="AD1810" i="6"/>
  <c r="AD218" i="6"/>
  <c r="AD170" i="6"/>
  <c r="AD670" i="6"/>
  <c r="AD1670" i="6"/>
  <c r="AD1793" i="6"/>
  <c r="AD1131" i="6"/>
  <c r="AD1083" i="6"/>
  <c r="AD192" i="6"/>
  <c r="AD1499" i="6"/>
  <c r="AD475" i="6"/>
  <c r="AD1889" i="6"/>
  <c r="AD568" i="6"/>
  <c r="AD943" i="6"/>
  <c r="AD2135" i="6"/>
  <c r="AD469" i="6"/>
  <c r="AD493" i="6"/>
  <c r="AD1620" i="6"/>
  <c r="AD1142" i="6"/>
  <c r="AD1954" i="6"/>
  <c r="AD1087" i="6"/>
  <c r="AD338" i="6"/>
  <c r="AD1659" i="6"/>
  <c r="AD1408" i="6"/>
  <c r="AD1093" i="6"/>
  <c r="AD950" i="6"/>
  <c r="AD1465" i="6"/>
  <c r="AD1421" i="6"/>
  <c r="AD2057" i="6"/>
  <c r="AD1648" i="6"/>
  <c r="AD1007" i="6"/>
  <c r="AD2168" i="6"/>
  <c r="AD560" i="6"/>
  <c r="AD100" i="6"/>
  <c r="AD2026" i="6"/>
  <c r="AD561" i="6"/>
  <c r="AD2006" i="6"/>
  <c r="AD1466" i="6"/>
  <c r="AD522" i="6"/>
  <c r="AD194" i="6"/>
  <c r="AD1507" i="6"/>
  <c r="AD524" i="6"/>
  <c r="AD1998" i="6"/>
  <c r="AD401" i="6"/>
  <c r="AD2047" i="6"/>
  <c r="AD1165" i="6"/>
  <c r="AD687" i="6"/>
  <c r="AD220" i="6"/>
  <c r="AD119" i="6"/>
  <c r="AD1798" i="6"/>
  <c r="AD131" i="6"/>
  <c r="AD1158" i="6"/>
  <c r="AD298" i="6"/>
  <c r="AD1665" i="6"/>
  <c r="AD1227" i="6"/>
  <c r="AD1933" i="6"/>
  <c r="AD2071" i="6"/>
  <c r="AD44" i="6"/>
  <c r="AD1525" i="6"/>
  <c r="AD2033" i="6"/>
  <c r="AD419" i="6"/>
  <c r="AD413" i="6"/>
  <c r="AD743" i="6"/>
  <c r="AD72" i="6"/>
  <c r="AD662" i="6"/>
  <c r="AD369" i="6"/>
  <c r="AD1914" i="6"/>
  <c r="AD207" i="6"/>
  <c r="AD964" i="6"/>
  <c r="AD414" i="6"/>
  <c r="AD1946" i="6"/>
  <c r="AD578" i="6"/>
  <c r="AD750" i="6"/>
  <c r="AD1795" i="6"/>
  <c r="AD1018" i="6"/>
  <c r="AD786" i="6"/>
  <c r="AD954" i="6"/>
  <c r="AD395" i="6"/>
  <c r="AD1447" i="6"/>
  <c r="AD550" i="6"/>
  <c r="AD108" i="6"/>
  <c r="AD694" i="6"/>
  <c r="AD209" i="6"/>
  <c r="AD913" i="6"/>
  <c r="AD494" i="6"/>
  <c r="AD1487" i="6"/>
  <c r="AD1061" i="6"/>
  <c r="AD1919" i="6"/>
  <c r="AD875" i="6"/>
  <c r="AD121" i="6"/>
  <c r="AD149" i="6"/>
  <c r="AD174" i="6"/>
  <c r="AD1103" i="6"/>
  <c r="AD1581" i="6"/>
  <c r="AD1139" i="6"/>
  <c r="AD1469" i="6"/>
  <c r="AD1237" i="6"/>
  <c r="AD1580" i="6"/>
  <c r="AD1310" i="6"/>
  <c r="AD1923" i="6"/>
  <c r="AD2095" i="6"/>
  <c r="AD986" i="6"/>
  <c r="AD62" i="6"/>
  <c r="AD42" i="6"/>
  <c r="AD427" i="6"/>
  <c r="AD162" i="6"/>
  <c r="AD1704" i="6"/>
  <c r="AD587" i="6"/>
  <c r="AD287" i="6"/>
  <c r="AD1168" i="6"/>
  <c r="AD1280" i="6"/>
  <c r="AD1311" i="6"/>
  <c r="AD727" i="6"/>
  <c r="AD381" i="6"/>
  <c r="AD390" i="6"/>
  <c r="AD1055" i="6"/>
  <c r="AD1226" i="6"/>
  <c r="AD656" i="6"/>
  <c r="AD146" i="6"/>
  <c r="AD1444" i="6"/>
  <c r="AD1984" i="6"/>
  <c r="AD1582" i="6"/>
  <c r="AD148" i="6"/>
  <c r="AD517" i="6"/>
  <c r="AD846" i="6"/>
  <c r="AD232" i="6"/>
  <c r="AD193" i="6"/>
  <c r="AD1526" i="6"/>
  <c r="AD172" i="6"/>
  <c r="AD1497" i="6"/>
  <c r="AD1948" i="6"/>
  <c r="AD1252" i="6"/>
  <c r="AD1830" i="6"/>
  <c r="AD1361" i="6"/>
  <c r="AD1955" i="6"/>
  <c r="AD189" i="6"/>
  <c r="AD615" i="6"/>
  <c r="AD182" i="6"/>
  <c r="AD346" i="6"/>
  <c r="AD1931" i="6"/>
  <c r="AD690" i="6"/>
  <c r="AD1651" i="6"/>
  <c r="AD1727" i="6"/>
  <c r="AD436" i="6"/>
  <c r="AD1721" i="6"/>
  <c r="AD1144" i="6"/>
  <c r="AD2085" i="6"/>
  <c r="AD1288" i="6"/>
  <c r="AD852" i="6"/>
  <c r="AD710" i="6"/>
  <c r="AD810" i="6"/>
  <c r="AD2101" i="6"/>
  <c r="AD2153" i="6"/>
  <c r="AD2149" i="6"/>
  <c r="AD355" i="6"/>
  <c r="AD2197" i="6"/>
  <c r="AD922" i="6"/>
  <c r="AD1662" i="6"/>
  <c r="AD886" i="6"/>
  <c r="AD320" i="6"/>
  <c r="AD212" i="6"/>
  <c r="AD1794" i="6"/>
  <c r="AD141" i="6"/>
  <c r="AD1380" i="6"/>
  <c r="AD1890" i="6"/>
  <c r="AD85" i="6"/>
  <c r="AD1764" i="6"/>
  <c r="AD1967" i="6"/>
  <c r="AD1634" i="6"/>
  <c r="AD1397" i="6"/>
  <c r="AD379" i="6"/>
  <c r="AD477" i="6"/>
  <c r="AD1455" i="6"/>
  <c r="AD1177" i="6"/>
  <c r="AD1290" i="6"/>
  <c r="AD834" i="6"/>
  <c r="AD506" i="6"/>
  <c r="AD1396" i="6"/>
  <c r="AD2099" i="6"/>
  <c r="AD1555" i="6"/>
  <c r="AD309" i="6"/>
  <c r="AD386" i="6"/>
  <c r="AD1325" i="6"/>
  <c r="AD2042" i="6"/>
  <c r="AD1578" i="6"/>
  <c r="AD2224" i="6"/>
  <c r="AD1938" i="6"/>
  <c r="AD88" i="6"/>
  <c r="AD1750" i="6"/>
  <c r="AD1515" i="6"/>
  <c r="AD2226" i="6"/>
  <c r="AD2021" i="6"/>
  <c r="AD1966" i="6"/>
  <c r="AD1193" i="6"/>
  <c r="AD1697" i="6"/>
  <c r="AD2109" i="6"/>
  <c r="AD861" i="6"/>
  <c r="AD2142" i="6"/>
  <c r="AD1958" i="6"/>
  <c r="AD1483" i="6"/>
  <c r="AD963" i="6"/>
  <c r="AD344" i="6"/>
  <c r="AD67" i="6"/>
  <c r="AD804" i="6"/>
  <c r="AD504" i="6"/>
  <c r="AD1217" i="6"/>
  <c r="AD1921" i="6"/>
  <c r="AD2039" i="6"/>
  <c r="AD1052" i="6"/>
  <c r="AD1076" i="6"/>
  <c r="AD1330" i="6"/>
  <c r="AD926" i="6"/>
  <c r="AD1861" i="6"/>
  <c r="AD38" i="6"/>
  <c r="AD1062" i="6"/>
  <c r="AD1314" i="6"/>
  <c r="AD508" i="6"/>
  <c r="AD1434" i="6"/>
  <c r="AD1289" i="6"/>
  <c r="AD1056" i="6"/>
  <c r="AD2223" i="6"/>
  <c r="AD1313" i="6"/>
  <c r="AD594" i="6"/>
  <c r="AD520" i="6"/>
  <c r="AD93" i="6"/>
  <c r="AD1769" i="6"/>
  <c r="AD1746" i="6"/>
  <c r="AD1626" i="6"/>
  <c r="AD1518" i="6"/>
  <c r="AD1415" i="6"/>
  <c r="AD881" i="6"/>
  <c r="AD1936" i="6"/>
  <c r="AD1565" i="6"/>
  <c r="AD2072" i="6"/>
  <c r="AD1257" i="6"/>
  <c r="AD726" i="6"/>
  <c r="AD1482" i="6"/>
  <c r="AD1841" i="6"/>
  <c r="AD1005" i="6"/>
  <c r="AD1065" i="6"/>
  <c r="AD375" i="6"/>
  <c r="AD1939" i="6"/>
  <c r="AD407" i="6"/>
  <c r="AD607" i="6"/>
  <c r="AD2093" i="6"/>
  <c r="AD175" i="6"/>
  <c r="AD2196" i="6"/>
  <c r="AD905" i="6"/>
  <c r="AD809" i="6"/>
  <c r="AD1298" i="6"/>
  <c r="AD1960" i="6"/>
  <c r="AD2036" i="6"/>
  <c r="AD626" i="6"/>
  <c r="AD1300" i="6"/>
  <c r="AD654" i="6"/>
  <c r="AD221" i="6"/>
  <c r="AD1265" i="6"/>
  <c r="AD882" i="6"/>
  <c r="AD341" i="6"/>
  <c r="AD465" i="6"/>
  <c r="AD765" i="6"/>
  <c r="AD2065" i="6"/>
  <c r="AD36" i="6"/>
  <c r="AD1390" i="6"/>
  <c r="AD593" i="6"/>
  <c r="AD1813" i="6"/>
  <c r="AD995" i="6"/>
  <c r="AD643" i="6"/>
  <c r="AD2192" i="6"/>
  <c r="AD1584" i="6"/>
  <c r="AD1167" i="6"/>
  <c r="AD1437" i="6"/>
  <c r="AD1202" i="6"/>
  <c r="AD505" i="6"/>
  <c r="AD1026" i="6"/>
  <c r="AD1765" i="6"/>
  <c r="AD1602" i="6"/>
  <c r="AD526" i="6"/>
  <c r="AD1392" i="6"/>
  <c r="AD831" i="6"/>
  <c r="AD1452" i="6"/>
  <c r="AD2113" i="6"/>
  <c r="AD107" i="6"/>
  <c r="AD1787" i="6"/>
  <c r="AD1803" i="6"/>
  <c r="AD1176" i="6"/>
  <c r="AD856" i="6"/>
  <c r="AD745" i="6"/>
  <c r="AD1508" i="6"/>
  <c r="AD1112" i="6"/>
  <c r="AD1422" i="6"/>
  <c r="AD1707" i="6"/>
  <c r="AD613" i="6"/>
  <c r="AD1091" i="6"/>
  <c r="AD1705" i="6"/>
  <c r="AD824" i="6"/>
  <c r="AD618" i="6"/>
  <c r="AD396" i="6"/>
  <c r="AD1302" i="6"/>
  <c r="AD468" i="6"/>
  <c r="AD1911" i="6"/>
  <c r="AD437" i="6"/>
  <c r="AD600" i="6"/>
  <c r="AD1837" i="6"/>
  <c r="AD1215" i="6"/>
  <c r="AD1424" i="6"/>
  <c r="AD2043" i="6"/>
  <c r="AD762" i="6"/>
  <c r="AD1001" i="6"/>
  <c r="AD1742" i="6"/>
  <c r="AD2038" i="6"/>
  <c r="AD725" i="6"/>
  <c r="AD864" i="6"/>
  <c r="AD1881" i="6"/>
  <c r="AD84" i="6"/>
  <c r="AD597" i="6"/>
  <c r="AD1873" i="6"/>
  <c r="AD262" i="6"/>
  <c r="AD1476" i="6"/>
  <c r="AD1735" i="6"/>
  <c r="AD1605" i="6"/>
  <c r="AD1110" i="6"/>
  <c r="AD1389" i="6"/>
  <c r="AD1716" i="6"/>
  <c r="AD1305" i="6"/>
  <c r="AD483" i="6"/>
  <c r="AD89" i="6"/>
  <c r="AD1594" i="6"/>
  <c r="AD1732" i="6"/>
  <c r="AD776" i="6"/>
  <c r="AD729" i="6"/>
  <c r="AD537" i="6"/>
  <c r="AD1470" i="6"/>
  <c r="AD921" i="6"/>
  <c r="AD1297" i="6"/>
  <c r="AD156" i="6"/>
  <c r="AD692" i="6"/>
  <c r="AD1872" i="6"/>
  <c r="AD2045" i="6"/>
  <c r="AD1545" i="6"/>
  <c r="AD400" i="6"/>
  <c r="AD1262" i="6"/>
  <c r="AD334" i="6"/>
  <c r="AD2055" i="6"/>
  <c r="AD1611" i="6"/>
  <c r="AD373" i="6"/>
  <c r="AD1098" i="6"/>
  <c r="AD909" i="6"/>
  <c r="AD521" i="6"/>
  <c r="AD1827" i="6"/>
  <c r="AD1932" i="6"/>
  <c r="AD1000" i="6"/>
  <c r="AD1108" i="6"/>
  <c r="AD116" i="6"/>
  <c r="AD705" i="6"/>
  <c r="AD633" i="6"/>
  <c r="AD443" i="6"/>
  <c r="AD2147" i="6"/>
  <c r="AD685" i="6"/>
  <c r="AD716" i="6"/>
  <c r="AD688" i="6"/>
  <c r="AD936" i="6"/>
  <c r="AD1694" i="6"/>
  <c r="AD717" i="6"/>
  <c r="AD609" i="6"/>
  <c r="AD252" i="6"/>
  <c r="AD387" i="6"/>
  <c r="AD528" i="6"/>
  <c r="AD1291" i="6"/>
  <c r="AD803" i="6"/>
  <c r="AD1120" i="6"/>
  <c r="AD929" i="6"/>
  <c r="AD1595" i="6"/>
  <c r="AD1126" i="6"/>
  <c r="AD1844" i="6"/>
  <c r="AD1809" i="6"/>
  <c r="AD2100" i="6"/>
  <c r="AD249" i="6"/>
  <c r="AD2024" i="6"/>
  <c r="AD1188" i="6"/>
  <c r="AD723" i="6"/>
  <c r="AD767" i="6"/>
  <c r="AD2076" i="6"/>
  <c r="AD441" i="6"/>
  <c r="AD2182" i="6"/>
  <c r="AD1234" i="6"/>
  <c r="AD1282" i="6"/>
  <c r="AD1386" i="6"/>
  <c r="AD883" i="6"/>
  <c r="AD915" i="6"/>
  <c r="AD1398" i="6"/>
  <c r="AD708" i="6"/>
  <c r="AD15" i="6"/>
  <c r="AD1860" i="6"/>
  <c r="AD1715" i="6"/>
  <c r="AD331" i="6"/>
  <c r="AD1049" i="6"/>
  <c r="AD589" i="6"/>
  <c r="AD1760" i="6"/>
  <c r="AD308" i="6"/>
  <c r="AD178" i="6"/>
  <c r="AD827" i="6"/>
  <c r="AD1037" i="6"/>
  <c r="AD1587" i="6"/>
  <c r="AD1129" i="6"/>
  <c r="AD305" i="6"/>
  <c r="AD1303" i="6"/>
  <c r="AD185" i="6"/>
  <c r="AD2180" i="6"/>
  <c r="AD1494" i="6"/>
  <c r="AD354" i="6"/>
  <c r="AD1115" i="6"/>
  <c r="AD1646" i="6"/>
  <c r="AD284" i="6"/>
  <c r="AD211" i="6"/>
  <c r="AD1278" i="6"/>
  <c r="AD486" i="6"/>
  <c r="AD1111" i="6"/>
  <c r="AD366" i="6"/>
  <c r="AD205" i="6"/>
  <c r="AD1805" i="6"/>
  <c r="AD210" i="6"/>
  <c r="AD2229" i="6"/>
  <c r="AD177" i="6"/>
  <c r="AD826" i="6"/>
  <c r="AD367" i="6"/>
  <c r="AD1654" i="6"/>
  <c r="AD1969" i="6"/>
  <c r="AD261" i="6"/>
  <c r="AD1723" i="6"/>
  <c r="AD1540" i="6"/>
  <c r="AD584" i="6"/>
  <c r="AD2144" i="6"/>
  <c r="AD2013" i="6"/>
  <c r="AD1725" i="6"/>
  <c r="AD1322" i="6"/>
  <c r="AD2070" i="6"/>
  <c r="AD310" i="6"/>
  <c r="AD659" i="6"/>
  <c r="AD573" i="6"/>
  <c r="AD720" i="6"/>
  <c r="AD150" i="6"/>
  <c r="AD771" i="6"/>
  <c r="AD636" i="6"/>
  <c r="AD79" i="6"/>
  <c r="AD2003" i="6"/>
  <c r="AD292" i="6"/>
  <c r="AD435" i="6"/>
  <c r="AD1003" i="6"/>
  <c r="AD949" i="6"/>
  <c r="AD290" i="6"/>
  <c r="AD278" i="6"/>
  <c r="AD1391" i="6"/>
  <c r="AD1030" i="6"/>
  <c r="AD1194" i="6"/>
  <c r="AD180" i="6"/>
  <c r="AD244" i="6"/>
  <c r="AD1271" i="6"/>
  <c r="AD553" i="6"/>
  <c r="AD2074" i="6"/>
  <c r="AD945" i="6"/>
  <c r="AD1506" i="6"/>
  <c r="AD1436" i="6"/>
  <c r="AD1762" i="6"/>
  <c r="AD939" i="6"/>
  <c r="AD196" i="6"/>
  <c r="AD1828" i="6"/>
  <c r="AD780" i="6"/>
  <c r="AD982" i="6"/>
  <c r="AD1949" i="6"/>
  <c r="AD1570" i="6"/>
  <c r="AD981" i="6"/>
  <c r="AD201" i="6"/>
  <c r="AD1745" i="6"/>
  <c r="AD188" i="6"/>
  <c r="AD343" i="6"/>
  <c r="AD450" i="6"/>
  <c r="AD1630" i="6"/>
  <c r="AD1213" i="6"/>
  <c r="AD342" i="6"/>
  <c r="AD462" i="6"/>
  <c r="AD1222" i="6"/>
  <c r="AD596" i="6"/>
  <c r="AD444" i="6"/>
  <c r="AD1123" i="6"/>
  <c r="AD1285" i="6"/>
  <c r="AD147" i="6"/>
  <c r="AD869" i="6"/>
  <c r="AD1812" i="6"/>
  <c r="AD405" i="6"/>
  <c r="AD217" i="6"/>
  <c r="AD1856" i="6"/>
  <c r="AD2032" i="6"/>
  <c r="AD899" i="6"/>
  <c r="AD1680" i="6"/>
  <c r="AD994" i="6"/>
  <c r="AD113" i="6"/>
  <c r="AD1915" i="6"/>
  <c r="AD391" i="6"/>
  <c r="AD1947" i="6"/>
  <c r="AD324" i="6"/>
  <c r="AD1643" i="6"/>
  <c r="AD41" i="6"/>
  <c r="AD358" i="6"/>
  <c r="AD1714" i="6"/>
  <c r="AD453" i="6"/>
  <c r="AD985" i="6"/>
  <c r="AD30" i="6"/>
  <c r="AD566" i="6"/>
  <c r="AD1236" i="6"/>
  <c r="AD1503" i="6"/>
  <c r="AD1058" i="6"/>
  <c r="AD1441" i="6"/>
  <c r="AD241" i="6"/>
  <c r="AD125" i="6"/>
  <c r="AD365" i="6"/>
  <c r="AD556" i="6"/>
  <c r="AD1072" i="6"/>
  <c r="AD2127" i="6"/>
  <c r="AD1082" i="6"/>
  <c r="AD2172" i="6"/>
  <c r="AD92" i="6"/>
  <c r="AD1653" i="6"/>
  <c r="AD49" i="6"/>
  <c r="AD1796" i="6"/>
  <c r="AD168" i="6"/>
  <c r="AD1296" i="6"/>
  <c r="AD897" i="6"/>
  <c r="AD1676" i="6"/>
  <c r="AD1785" i="6"/>
  <c r="AD1909" i="6"/>
  <c r="AD1281" i="6"/>
  <c r="AD301" i="6"/>
  <c r="AD1574" i="6"/>
  <c r="AD1334" i="6"/>
  <c r="AD213" i="6"/>
  <c r="AD1699" i="6"/>
  <c r="AD1826" i="6"/>
  <c r="AD1085" i="6"/>
  <c r="AD1639" i="6"/>
  <c r="AD518" i="6"/>
  <c r="AD832" i="6"/>
  <c r="AD1681" i="6"/>
  <c r="AD1086" i="6"/>
  <c r="AD1121" i="6"/>
  <c r="AD1642" i="6"/>
  <c r="AD1980" i="6"/>
  <c r="AD1843" i="6"/>
  <c r="AD479" i="6"/>
  <c r="AD1067" i="6"/>
  <c r="AD1366" i="6"/>
  <c r="AD1099" i="6"/>
  <c r="AD693" i="6"/>
  <c r="AD1571" i="6"/>
  <c r="AD195" i="6"/>
  <c r="AD2073" i="6"/>
  <c r="AD456" i="6"/>
  <c r="AD1730" i="6"/>
  <c r="AD454" i="6"/>
  <c r="AD361" i="6"/>
  <c r="AD1775" i="6"/>
  <c r="AD1504" i="6"/>
  <c r="AD1046" i="6"/>
  <c r="AD1301" i="6"/>
  <c r="AD1474" i="6"/>
  <c r="AD111" i="6"/>
  <c r="AD1034" i="6"/>
  <c r="AD791" i="6"/>
  <c r="AD912" i="6"/>
  <c r="AD1539" i="6"/>
  <c r="AD1214" i="6"/>
  <c r="AD1956" i="6"/>
  <c r="AD1175" i="6"/>
  <c r="AD1454" i="6"/>
  <c r="AD942" i="6"/>
  <c r="AD1979" i="6"/>
  <c r="AD90" i="6"/>
  <c r="AD760" i="6"/>
  <c r="AD1797" i="6"/>
  <c r="AD935" i="6"/>
  <c r="AD186" i="6"/>
  <c r="AD1429" i="6"/>
  <c r="AD2002" i="6"/>
  <c r="AD1579" i="6"/>
  <c r="AD403" i="6"/>
  <c r="AD1588" i="6"/>
  <c r="AD658" i="6"/>
  <c r="AD495" i="6"/>
  <c r="AD1591" i="6"/>
  <c r="AD128" i="6"/>
  <c r="AD1770" i="6"/>
  <c r="AD1405" i="6"/>
  <c r="AD102" i="6"/>
  <c r="AD1791" i="6"/>
  <c r="AD2184" i="6"/>
  <c r="AD1013" i="6"/>
  <c r="AD1512" i="6"/>
  <c r="AD862" i="6"/>
  <c r="AD592" i="6"/>
  <c r="AD797" i="6"/>
  <c r="AD263" i="6"/>
  <c r="AD1404" i="6"/>
  <c r="AD1450" i="6"/>
  <c r="AD2056" i="6"/>
  <c r="AD1747" i="6"/>
  <c r="AD2134" i="6"/>
  <c r="AD1416" i="6"/>
  <c r="AD1907" i="6"/>
  <c r="AD1576" i="6"/>
  <c r="AD1446" i="6"/>
  <c r="AD1198" i="6"/>
  <c r="AD1766" i="6"/>
  <c r="AD515" i="6"/>
  <c r="AD1779" i="6"/>
  <c r="AD1668" i="6"/>
  <c r="AD1563" i="6"/>
  <c r="AD756" i="6"/>
  <c r="AD1338" i="6"/>
  <c r="AD655" i="6"/>
  <c r="AD78" i="6"/>
  <c r="AD2174" i="6"/>
  <c r="AD87" i="6"/>
  <c r="AD903" i="6"/>
  <c r="AD240" i="6"/>
  <c r="AD120" i="6"/>
  <c r="AD394" i="6"/>
  <c r="AD1369" i="6"/>
  <c r="AD1154" i="6"/>
  <c r="AD1636" i="6"/>
  <c r="AD1321" i="6"/>
  <c r="AD664" i="6"/>
  <c r="AD790" i="6"/>
  <c r="AD1326" i="6"/>
  <c r="AD1074" i="6"/>
  <c r="AD326" i="6"/>
  <c r="AD736" i="6"/>
  <c r="AD603" i="6"/>
  <c r="AD1649" i="6"/>
  <c r="AD957" i="6"/>
  <c r="AD514" i="6"/>
  <c r="AD540" i="6"/>
  <c r="AD1820" i="6"/>
  <c r="AD1632" i="6"/>
  <c r="AD2011" i="6"/>
  <c r="AD1119" i="6"/>
  <c r="AD1414" i="6"/>
  <c r="AD554" i="6"/>
  <c r="AD1800" i="6"/>
  <c r="AD1071" i="6"/>
  <c r="AD285" i="6"/>
  <c r="AD531" i="6"/>
  <c r="AD2185" i="6"/>
  <c r="AD71" i="6"/>
  <c r="AD1363" i="6"/>
  <c r="AD1340" i="6"/>
  <c r="AD1628" i="6"/>
  <c r="AD464" i="6"/>
  <c r="AD2188" i="6"/>
  <c r="AD1701" i="6"/>
  <c r="AD1543" i="6"/>
  <c r="AD825" i="6"/>
  <c r="AD498" i="6"/>
  <c r="AD461" i="6"/>
  <c r="AD519" i="6"/>
  <c r="AD1148" i="6"/>
  <c r="AD329" i="6"/>
  <c r="AD1017" i="6"/>
  <c r="AD901" i="6"/>
  <c r="AD2140" i="6"/>
  <c r="AD828" i="6"/>
  <c r="AD2143" i="6"/>
  <c r="AD1135" i="6"/>
  <c r="AD1927" i="6"/>
  <c r="AD1223" i="6"/>
  <c r="AD906" i="6"/>
  <c r="AD2019" i="6"/>
  <c r="AD1489" i="6"/>
  <c r="AD135" i="6"/>
  <c r="AD800" i="6"/>
  <c r="AD774" i="6"/>
  <c r="AD370" i="6"/>
  <c r="AD1496" i="6"/>
  <c r="AD1485" i="6"/>
  <c r="AD1989" i="6"/>
  <c r="AD889" i="6"/>
  <c r="AD267" i="6"/>
  <c r="AD547" i="6"/>
  <c r="AD2094" i="6"/>
  <c r="AD472" i="6"/>
  <c r="AD488" i="6"/>
  <c r="AD279" i="6"/>
  <c r="AD932" i="6"/>
  <c r="AD1276" i="6"/>
  <c r="AD1928" i="6"/>
  <c r="AD2131" i="6"/>
  <c r="AD2230" i="6"/>
  <c r="AD1393" i="6"/>
  <c r="AD1413" i="6"/>
  <c r="AD501" i="6"/>
  <c r="AD28" i="6"/>
  <c r="AD337" i="6"/>
  <c r="AD1132" i="6"/>
  <c r="AD1427" i="6"/>
  <c r="AD598" i="6"/>
  <c r="AD1548" i="6"/>
  <c r="AD1258" i="6"/>
  <c r="AD1987" i="6"/>
  <c r="AD510" i="6"/>
  <c r="AD434" i="6"/>
  <c r="AD1364" i="6"/>
  <c r="AD235" i="6"/>
  <c r="AD660" i="6"/>
  <c r="AD617" i="6"/>
  <c r="AD652" i="6"/>
  <c r="AD860" i="6"/>
  <c r="AD806" i="6"/>
  <c r="AD1360" i="6"/>
  <c r="AD1010" i="6"/>
  <c r="AD744" i="6"/>
  <c r="AD377" i="6"/>
  <c r="AD1004" i="6"/>
  <c r="AD1440" i="6"/>
  <c r="AD251" i="6"/>
  <c r="AD545" i="6"/>
  <c r="AD1833" i="6"/>
  <c r="AD1401" i="6"/>
  <c r="AD1583" i="6"/>
  <c r="AD293" i="6"/>
  <c r="AD151" i="6"/>
  <c r="AD208" i="6"/>
  <c r="AD1374" i="6"/>
  <c r="AD766" i="6"/>
  <c r="AD866" i="6"/>
  <c r="AD2086" i="6"/>
  <c r="AD722" i="6"/>
  <c r="AD478" i="6"/>
  <c r="AD1937" i="6"/>
  <c r="AD1173" i="6"/>
  <c r="AD917" i="6"/>
  <c r="AD2129" i="6"/>
  <c r="AD452" i="6"/>
  <c r="AD1255" i="6"/>
  <c r="AD1862" i="6"/>
  <c r="AD234" i="6"/>
  <c r="AD1192" i="6"/>
  <c r="AD1509" i="6"/>
  <c r="AD1036" i="6"/>
  <c r="AD877" i="6"/>
  <c r="AD1880" i="6"/>
  <c r="AD2091" i="6"/>
  <c r="AD317" i="6"/>
  <c r="AD1566" i="6"/>
  <c r="AD48" i="6"/>
  <c r="AD286" i="6"/>
  <c r="AD2175" i="6"/>
  <c r="AD1042" i="6"/>
  <c r="AD1116" i="6"/>
  <c r="AD1443" i="6"/>
  <c r="AD620" i="6"/>
  <c r="AD884" i="6"/>
  <c r="AD1350" i="6"/>
  <c r="AD835" i="6"/>
  <c r="AD1604" i="6"/>
  <c r="AD808" i="6"/>
  <c r="AD1077" i="6"/>
  <c r="AD684" i="6"/>
  <c r="AD37" i="6"/>
  <c r="AD340" i="6"/>
  <c r="AD645" i="6"/>
  <c r="AD1845" i="6"/>
  <c r="AD203" i="6"/>
  <c r="AD509" i="6"/>
  <c r="AD1411" i="6"/>
  <c r="AD1140" i="6"/>
  <c r="AD529" i="6"/>
  <c r="AD2034" i="6"/>
  <c r="AD713" i="6"/>
  <c r="AD237" i="6"/>
  <c r="AD1371" i="6"/>
  <c r="AD1981" i="6"/>
  <c r="AD1402" i="6"/>
  <c r="AD2183" i="6"/>
  <c r="AD2067" i="6"/>
  <c r="AD1893" i="6"/>
  <c r="AD2090" i="6"/>
  <c r="AD426" i="6"/>
  <c r="AD1190" i="6"/>
  <c r="AD1467" i="6"/>
  <c r="AD925" i="6"/>
  <c r="AD1345" i="6"/>
  <c r="AD931" i="6"/>
  <c r="AD868" i="6"/>
  <c r="AD1375" i="6"/>
  <c r="AD1983" i="6"/>
  <c r="AD1884" i="6"/>
  <c r="AD245" i="6"/>
  <c r="AD1023" i="6"/>
  <c r="AD1370" i="6"/>
  <c r="AD851" i="6"/>
  <c r="AD865" i="6"/>
  <c r="AD447" i="6"/>
  <c r="AD133" i="6"/>
  <c r="AD534" i="6"/>
  <c r="AD360" i="6"/>
  <c r="AD21" i="6"/>
  <c r="AD1113" i="6"/>
  <c r="AD1685" i="6"/>
  <c r="AD1242" i="6"/>
  <c r="AD817" i="6"/>
  <c r="AD197" i="6"/>
  <c r="AD1726" i="6"/>
  <c r="AD1024" i="6"/>
  <c r="AD1511" i="6"/>
  <c r="AD242" i="6"/>
  <c r="AD1016" i="6"/>
  <c r="AD69" i="6"/>
  <c r="AD966" i="6"/>
  <c r="AD1287" i="6"/>
  <c r="AD35" i="6"/>
  <c r="AD206" i="6"/>
  <c r="AD951" i="6"/>
  <c r="AD1917" i="6"/>
  <c r="AD1951" i="6"/>
  <c r="AD2051" i="6"/>
  <c r="AD702" i="6"/>
  <c r="AD543" i="6"/>
  <c r="AD1479" i="6"/>
  <c r="AD1045" i="6"/>
  <c r="AD1816" i="6"/>
  <c r="AD1293" i="6"/>
  <c r="AD1275" i="6"/>
  <c r="AD476" i="6"/>
  <c r="AD608" i="6"/>
  <c r="AD1498" i="6"/>
  <c r="AD638" i="6"/>
  <c r="AD823" i="6"/>
  <c r="AD314" i="6"/>
  <c r="AD1974" i="6"/>
  <c r="AD1786" i="6"/>
  <c r="AD351" i="6"/>
  <c r="AD541" i="6"/>
  <c r="AD740" i="6"/>
  <c r="AD2008" i="6"/>
  <c r="AD1270" i="6"/>
  <c r="AD1731" i="6"/>
  <c r="AD2080" i="6"/>
  <c r="AD1722" i="6"/>
  <c r="AD2017" i="6"/>
  <c r="AD1147" i="6"/>
  <c r="AD1395" i="6"/>
  <c r="AD24" i="6"/>
  <c r="AD1231" i="6"/>
  <c r="AD345" i="6"/>
  <c r="AD1308" i="6"/>
  <c r="AD304" i="6"/>
  <c r="AD1751" i="6"/>
  <c r="AD356" i="6"/>
  <c r="AD1696" i="6"/>
  <c r="AD1821" i="6"/>
  <c r="AD1179" i="6"/>
  <c r="AD1035" i="6"/>
  <c r="AD1053" i="6"/>
  <c r="AD799" i="6"/>
  <c r="AD672" i="6"/>
  <c r="AD1711" i="6"/>
  <c r="AD1117" i="6"/>
  <c r="AD1097" i="6"/>
  <c r="AD200" i="6"/>
  <c r="AD2098" i="6"/>
  <c r="AD130" i="6"/>
  <c r="AD1323" i="6"/>
  <c r="AD813" i="6"/>
  <c r="AD491" i="6"/>
  <c r="AD33" i="6"/>
  <c r="AD459" i="6"/>
  <c r="AD704" i="6"/>
  <c r="AD2082" i="6"/>
  <c r="AD32" i="6"/>
  <c r="AD830" i="6"/>
  <c r="AD924" i="6"/>
  <c r="AD1220" i="6"/>
  <c r="AD850" i="6"/>
  <c r="AD1558" i="6"/>
  <c r="AD2132" i="6"/>
  <c r="AD55" i="6"/>
  <c r="AD83" i="6"/>
  <c r="AD1823" i="6"/>
  <c r="AD604" i="6"/>
  <c r="AD2117" i="6"/>
  <c r="AD1623" i="6"/>
  <c r="AD446" i="6"/>
  <c r="AD1501" i="6"/>
  <c r="AD272" i="6"/>
  <c r="AD1373" i="6"/>
  <c r="AD422" i="6"/>
  <c r="AD1945" i="6"/>
  <c r="AD1433" i="6"/>
  <c r="AD1073" i="6"/>
  <c r="AD424" i="6"/>
  <c r="AD783" i="6"/>
  <c r="AD2151" i="6"/>
  <c r="AD1616" i="6"/>
  <c r="AD646" i="6"/>
  <c r="AD888" i="6"/>
  <c r="AD751" i="6"/>
  <c r="AD1988" i="6"/>
  <c r="AD1607" i="6"/>
  <c r="AD1870" i="6"/>
  <c r="AD784" i="6"/>
  <c r="AD276" i="6"/>
  <c r="AD973" i="6"/>
  <c r="AD907" i="6"/>
  <c r="AD1892" i="6"/>
  <c r="AD614" i="6"/>
  <c r="AD1094" i="6"/>
  <c r="AD46" i="6"/>
  <c r="AD223" i="6"/>
  <c r="AD1877" i="6"/>
  <c r="AD1664" i="6"/>
  <c r="AD2092" i="6"/>
  <c r="AD735" i="6"/>
  <c r="AD105" i="6"/>
  <c r="AD1692" i="6"/>
  <c r="AD1724" i="6"/>
  <c r="AD1866" i="6"/>
  <c r="AD1327" i="6"/>
  <c r="AD81" i="6"/>
  <c r="AD1674" i="6"/>
  <c r="AD1559" i="6"/>
  <c r="AD552" i="6"/>
  <c r="AD312" i="6"/>
  <c r="AD231" i="6"/>
  <c r="AD1182" i="6"/>
  <c r="AD539" i="6"/>
  <c r="AD1201" i="6"/>
  <c r="AD507" i="6"/>
  <c r="AD1556" i="6"/>
  <c r="AD1585" i="6"/>
  <c r="AD1567" i="6"/>
  <c r="AD977" i="6"/>
  <c r="AD880" i="6"/>
  <c r="AD843" i="6"/>
  <c r="AD1962" i="6"/>
  <c r="AD527" i="6"/>
  <c r="AD1609" i="6"/>
  <c r="AD1432" i="6"/>
  <c r="AD837" i="6"/>
  <c r="AD778" i="6"/>
  <c r="AD43" i="6"/>
  <c r="AD270" i="6"/>
  <c r="AD264" i="6"/>
  <c r="AD1457" i="6"/>
  <c r="AD1953" i="6"/>
  <c r="AD1831" i="6"/>
  <c r="AD2177" i="6"/>
  <c r="AD1601" i="6"/>
  <c r="AD1164" i="6"/>
  <c r="AD27" i="6"/>
  <c r="AD1183" i="6"/>
  <c r="AD1815" i="6"/>
  <c r="AD1133" i="6"/>
  <c r="AD525" i="6"/>
  <c r="AD1847" i="6"/>
  <c r="AD58" i="6"/>
  <c r="AD1095" i="6"/>
  <c r="AD191" i="6"/>
  <c r="AD1848" i="6"/>
  <c r="AD1944" i="6"/>
  <c r="AD2190" i="6"/>
  <c r="AD1304" i="6"/>
  <c r="AD227" i="6"/>
  <c r="AD845" i="6"/>
  <c r="AD1200" i="6"/>
  <c r="AD1894" i="6"/>
  <c r="AD1430" i="6"/>
  <c r="AD2078" i="6"/>
  <c r="AD2066" i="6"/>
  <c r="AD1858" i="6"/>
  <c r="AD1702" i="6"/>
  <c r="AD91" i="6"/>
  <c r="AD1458" i="6"/>
  <c r="AD582" i="6"/>
  <c r="AD1418" i="6"/>
  <c r="AD975" i="6"/>
  <c r="AD1661" i="6"/>
  <c r="AD1968" i="6"/>
  <c r="AD1719" i="6"/>
  <c r="AD2179" i="6"/>
  <c r="AD1631" i="6"/>
  <c r="AD785" i="6"/>
  <c r="AD1529" i="6"/>
  <c r="AD696" i="6"/>
  <c r="AD214" i="6"/>
  <c r="AD34" i="6"/>
  <c r="AD1063" i="6"/>
  <c r="AD1776" i="6"/>
  <c r="AD1600" i="6"/>
  <c r="AD1377" i="6"/>
  <c r="AD1153" i="6"/>
  <c r="AD728" i="6"/>
  <c r="AD255" i="6"/>
  <c r="AD1462" i="6"/>
  <c r="AD1248" i="6"/>
  <c r="AD971" i="6"/>
  <c r="AD1891" i="6"/>
  <c r="AD160" i="6"/>
  <c r="AD2077" i="6"/>
  <c r="AD2064" i="6"/>
  <c r="AD1358" i="6"/>
  <c r="AD1344" i="6"/>
  <c r="AD1864" i="6"/>
  <c r="AD1478" i="6"/>
  <c r="AD1513" i="6"/>
  <c r="AD621" i="6"/>
  <c r="AD1560" i="6"/>
  <c r="AD2087" i="6"/>
  <c r="AD1333" i="6"/>
  <c r="AD665" i="6"/>
  <c r="AD2084" i="6"/>
  <c r="AD1244" i="6"/>
  <c r="AD1971" i="6"/>
  <c r="AD60" i="6"/>
  <c r="AD1708" i="6"/>
  <c r="AD1516" i="6"/>
  <c r="AD564" i="6"/>
  <c r="AD768" i="6"/>
  <c r="AD1136" i="6"/>
  <c r="AD1399" i="6"/>
  <c r="AD637" i="6"/>
  <c r="AD1792" i="6"/>
  <c r="AD1394" i="6"/>
  <c r="AD1044" i="6"/>
  <c r="AD2014" i="6"/>
  <c r="AD1788" i="6"/>
  <c r="AD1051" i="6"/>
  <c r="AD755" i="6"/>
  <c r="AD1084" i="6"/>
  <c r="AD666" i="6"/>
  <c r="AD372" i="6"/>
  <c r="AD2015" i="6"/>
  <c r="AD2133" i="6"/>
  <c r="AD376" i="6"/>
  <c r="AD99" i="6"/>
  <c r="AA5" i="10"/>
  <c r="AE109" i="6"/>
  <c r="AE410" i="6"/>
  <c r="AE968" i="6"/>
  <c r="AE378" i="6"/>
  <c r="AE976" i="6"/>
  <c r="AC2364" i="6" l="1"/>
  <c r="AD2364" i="6" s="1"/>
  <c r="AE2364" i="6" s="1"/>
  <c r="AC2365" i="6"/>
  <c r="AD2365" i="6" s="1"/>
  <c r="AE2365" i="6" s="1"/>
  <c r="AC2366" i="6"/>
  <c r="AD2366" i="6" s="1"/>
  <c r="AE2366" i="6" s="1"/>
  <c r="AE2310" i="6"/>
  <c r="AC10" i="6"/>
  <c r="AD10" i="6" s="1"/>
  <c r="AA3" i="10"/>
  <c r="AE129" i="6"/>
  <c r="AA2219" i="6"/>
  <c r="AE2219" i="6" s="1"/>
  <c r="W1900" i="6"/>
  <c r="AA1900" i="6" s="1"/>
  <c r="AE1900" i="6" s="1"/>
  <c r="AA2278" i="6"/>
  <c r="AE2278" i="6" s="1"/>
  <c r="W2106" i="6"/>
  <c r="AA2106" i="6" s="1"/>
  <c r="W2214" i="6"/>
  <c r="AA2214" i="6" s="1"/>
  <c r="AE2214" i="6" s="1"/>
  <c r="W533" i="6"/>
  <c r="AA533" i="6" s="1"/>
  <c r="AE533" i="6" s="1"/>
  <c r="AA2297" i="6"/>
  <c r="AE2297" i="6" s="1"/>
  <c r="W829" i="6"/>
  <c r="AA829" i="6" s="1"/>
  <c r="AE829" i="6" s="1"/>
  <c r="AA2203" i="6"/>
  <c r="AE2203" i="6" s="1"/>
  <c r="AA2154" i="6"/>
  <c r="AE2154" i="6" s="1"/>
  <c r="W2268" i="6"/>
  <c r="AA2268" i="6" s="1"/>
  <c r="AE2268" i="6" s="1"/>
  <c r="AA2156" i="6"/>
  <c r="AE2156" i="6" s="1"/>
  <c r="W1898" i="6"/>
  <c r="AA1898" i="6" s="1"/>
  <c r="AE1898" i="6" s="1"/>
  <c r="W13" i="6"/>
  <c r="AA13" i="6" s="1"/>
  <c r="AE13" i="6" s="1"/>
  <c r="AA2363" i="6"/>
  <c r="AE2363" i="6" s="1"/>
  <c r="W678" i="6"/>
  <c r="W1992" i="6"/>
  <c r="AA1992" i="6" s="1"/>
  <c r="AE1992" i="6" s="1"/>
  <c r="W12" i="6"/>
  <c r="AA12" i="6" s="1"/>
  <c r="AE12" i="6" s="1"/>
  <c r="W2215" i="6"/>
  <c r="AA2215" i="6" s="1"/>
  <c r="AE2215" i="6" s="1"/>
  <c r="W2103" i="6"/>
  <c r="AA2103" i="6" s="1"/>
  <c r="AE2103" i="6" s="1"/>
  <c r="W2261" i="6"/>
  <c r="AA2261" i="6" s="1"/>
  <c r="AE2261" i="6" s="1"/>
  <c r="W1846" i="6"/>
  <c r="AA1846" i="6" s="1"/>
  <c r="AE1846" i="6" s="1"/>
  <c r="W2220" i="6"/>
  <c r="AA2220" i="6" s="1"/>
  <c r="W2271" i="6"/>
  <c r="AA2271" i="6" s="1"/>
  <c r="AE2271" i="6" s="1"/>
  <c r="AA2022" i="6"/>
  <c r="AE2022" i="6" s="1"/>
  <c r="W2288" i="6"/>
  <c r="AA2288" i="6" s="1"/>
  <c r="AE2288" i="6" s="1"/>
  <c r="W1273" i="6"/>
  <c r="AA1273" i="6" s="1"/>
  <c r="AE1273" i="6" s="1"/>
  <c r="AE2332" i="6"/>
  <c r="AA2272" i="6"/>
  <c r="AE2272" i="6" s="1"/>
  <c r="W2207" i="6"/>
  <c r="AA2207" i="6" s="1"/>
  <c r="AE2207" i="6" s="1"/>
  <c r="AA2280" i="6"/>
  <c r="AE2280" i="6" s="1"/>
  <c r="AE2315" i="6"/>
  <c r="AA2210" i="6"/>
  <c r="AE2210" i="6" s="1"/>
  <c r="W17" i="6"/>
  <c r="AA17" i="6" s="1"/>
  <c r="AE17" i="6" s="1"/>
  <c r="W1102" i="6"/>
  <c r="AA1102" i="6" s="1"/>
  <c r="AA2218" i="6"/>
  <c r="AE2218" i="6" s="1"/>
  <c r="AE2337" i="6"/>
  <c r="W1691" i="6"/>
  <c r="AA1691" i="6" s="1"/>
  <c r="AE1691" i="6" s="1"/>
  <c r="W2209" i="6"/>
  <c r="AA2209" i="6" s="1"/>
  <c r="AE2209" i="6" s="1"/>
  <c r="AA19" i="6"/>
  <c r="AE19" i="6" s="1"/>
  <c r="AA2308" i="6"/>
  <c r="AE2308" i="6" s="1"/>
  <c r="W2075" i="6"/>
  <c r="AA2075" i="6" s="1"/>
  <c r="AE2075" i="6" s="1"/>
  <c r="W2205" i="6"/>
  <c r="AA2205" i="6" s="1"/>
  <c r="AE2292" i="6"/>
  <c r="W2158" i="6"/>
  <c r="AA2158" i="6" s="1"/>
  <c r="AE2158" i="6" s="1"/>
  <c r="W362" i="6"/>
  <c r="AA362" i="6" s="1"/>
  <c r="AE362" i="6" s="1"/>
  <c r="W2216" i="6"/>
  <c r="AA2216" i="6" s="1"/>
  <c r="AA2253" i="6"/>
  <c r="AE2253" i="6" s="1"/>
  <c r="W2277" i="6"/>
  <c r="AA2277" i="6" s="1"/>
  <c r="AE2277" i="6" s="1"/>
  <c r="W2206" i="6"/>
  <c r="AA2206" i="6" s="1"/>
  <c r="AE2206" i="6" s="1"/>
  <c r="W1151" i="6"/>
  <c r="AA1151" i="6" s="1"/>
  <c r="AE1151" i="6" s="1"/>
  <c r="AA429" i="6"/>
  <c r="AE429" i="6" s="1"/>
  <c r="AA2204" i="6"/>
  <c r="AE2204" i="6" s="1"/>
  <c r="W683" i="6"/>
  <c r="AA683" i="6" s="1"/>
  <c r="W1339" i="6"/>
  <c r="AA1339" i="6" s="1"/>
  <c r="AE1339" i="6" s="1"/>
  <c r="W2293" i="6"/>
  <c r="AA2293" i="6" s="1"/>
  <c r="AE2293" i="6" s="1"/>
  <c r="W2096" i="6"/>
  <c r="AA2096" i="6" s="1"/>
  <c r="AE2096" i="6" s="1"/>
  <c r="W681" i="6"/>
  <c r="AA681" i="6" s="1"/>
  <c r="AE681" i="6" s="1"/>
  <c r="AA2348" i="6"/>
  <c r="AE2348" i="6" s="1"/>
  <c r="W2217" i="6"/>
  <c r="AA2217" i="6" s="1"/>
  <c r="AA432" i="6"/>
  <c r="AE432" i="6" s="1"/>
  <c r="AA2221" i="6"/>
  <c r="AE2221" i="6" s="1"/>
  <c r="AA1541" i="6"/>
  <c r="AE1541" i="6" s="1"/>
  <c r="AA2234" i="6"/>
  <c r="AE2234" i="6" s="1"/>
  <c r="W16" i="6"/>
  <c r="AA16" i="6" s="1"/>
  <c r="AE16" i="6" s="1"/>
  <c r="AE2318" i="6"/>
  <c r="AE1904" i="6"/>
  <c r="AE2270" i="6"/>
  <c r="W433" i="6"/>
  <c r="AA433" i="6" s="1"/>
  <c r="W697" i="6"/>
  <c r="AA697" i="6" s="1"/>
  <c r="W371" i="6"/>
  <c r="AA371" i="6" s="1"/>
  <c r="W1105" i="6"/>
  <c r="AA1105" i="6" s="1"/>
  <c r="V11" i="6"/>
  <c r="W686" i="6"/>
  <c r="AA686" i="6" s="1"/>
  <c r="AE686" i="6" s="1"/>
  <c r="W1152" i="6"/>
  <c r="AA1152" i="6" s="1"/>
  <c r="W1687" i="6"/>
  <c r="W2155" i="6"/>
  <c r="AA2155" i="6" s="1"/>
  <c r="AD2119" i="6"/>
  <c r="V2119" i="6"/>
  <c r="W2119" i="6" s="1"/>
  <c r="AD18" i="6"/>
  <c r="V18" i="6"/>
  <c r="W18" i="6" s="1"/>
  <c r="V10" i="6"/>
  <c r="AD11" i="6"/>
  <c r="I9" i="13"/>
  <c r="AE1435" i="6"/>
  <c r="AE2320" i="6"/>
  <c r="AE566" i="6"/>
  <c r="AE641" i="6"/>
  <c r="AE701" i="6"/>
  <c r="AE2150" i="6"/>
  <c r="AE2182" i="6"/>
  <c r="AE111" i="6"/>
  <c r="AE1123" i="6"/>
  <c r="AE1450" i="6"/>
  <c r="AE1591" i="6"/>
  <c r="AE450" i="6"/>
  <c r="AE1494" i="6"/>
  <c r="AE2264" i="6"/>
  <c r="AE624" i="6"/>
  <c r="AE1603" i="6"/>
  <c r="AE892" i="6"/>
  <c r="AE915" i="6"/>
  <c r="AE219" i="6"/>
  <c r="AE1816" i="6"/>
  <c r="AE928" i="6"/>
  <c r="AE113" i="6"/>
  <c r="AE1197" i="6"/>
  <c r="AE1370" i="6"/>
  <c r="AE1420" i="6"/>
  <c r="AE1752" i="6"/>
  <c r="AE1657" i="6"/>
  <c r="AE840" i="6"/>
  <c r="AE120" i="6"/>
  <c r="AE620" i="6"/>
  <c r="AE260" i="6"/>
  <c r="AE1116" i="6"/>
  <c r="AE197" i="6"/>
  <c r="AE649" i="6"/>
  <c r="AE302" i="6"/>
  <c r="AE1882" i="6"/>
  <c r="AE623" i="6"/>
  <c r="AE292" i="6"/>
  <c r="AE403" i="6"/>
  <c r="AE1453" i="6"/>
  <c r="AE890" i="6"/>
  <c r="AE1185" i="6"/>
  <c r="AE1164" i="6"/>
  <c r="AE280" i="6"/>
  <c r="AE264" i="6"/>
  <c r="AE614" i="6"/>
  <c r="AE1731" i="6"/>
  <c r="AE868" i="6"/>
  <c r="AE1973" i="6"/>
  <c r="AE1129" i="6"/>
  <c r="AE1760" i="6"/>
  <c r="AE1978" i="6"/>
  <c r="AE1985" i="6"/>
  <c r="AE361" i="6"/>
  <c r="AE225" i="6"/>
  <c r="AE133" i="6"/>
  <c r="AE335" i="6"/>
  <c r="AE903" i="6"/>
  <c r="AE1937" i="6"/>
  <c r="AE1679" i="6"/>
  <c r="AE1136" i="6"/>
  <c r="AE1244" i="6"/>
  <c r="AE601" i="6"/>
  <c r="AE1410" i="6"/>
  <c r="AE646" i="6"/>
  <c r="AE496" i="6"/>
  <c r="AE360" i="6"/>
  <c r="AE1983" i="6"/>
  <c r="AE577" i="6"/>
  <c r="AE1148" i="6"/>
  <c r="AE648" i="6"/>
  <c r="AE205" i="6"/>
  <c r="AE819" i="6"/>
  <c r="AE767" i="6"/>
  <c r="AE1281" i="6"/>
  <c r="AE1893" i="6"/>
  <c r="AE515" i="6"/>
  <c r="AE1429" i="6"/>
  <c r="AE1303" i="6"/>
  <c r="AE1359" i="6"/>
  <c r="AE1753" i="6"/>
  <c r="AE1867" i="6"/>
  <c r="AE1204" i="6"/>
  <c r="AE1796" i="6"/>
  <c r="AE266" i="6"/>
  <c r="AE1757" i="6"/>
  <c r="AE544" i="6"/>
  <c r="AE991" i="6"/>
  <c r="AE204" i="6"/>
  <c r="AE2066" i="6"/>
  <c r="AE888" i="6"/>
  <c r="AE426" i="6"/>
  <c r="AE2034" i="6"/>
  <c r="AE2176" i="6"/>
  <c r="AE1075" i="6"/>
  <c r="AE1326" i="6"/>
  <c r="AE1369" i="6"/>
  <c r="AE201" i="6"/>
  <c r="AE278" i="6"/>
  <c r="AE1061" i="6"/>
  <c r="AE214" i="6"/>
  <c r="AE37" i="6"/>
  <c r="AE1566" i="6"/>
  <c r="AE484" i="6"/>
  <c r="AE1619" i="6"/>
  <c r="AE188" i="6"/>
  <c r="AE1314" i="6"/>
  <c r="AE1956" i="6"/>
  <c r="AE1952" i="6"/>
  <c r="AE973" i="6"/>
  <c r="AE936" i="6"/>
  <c r="AE1320" i="6"/>
  <c r="AE788" i="6"/>
  <c r="AE397" i="6"/>
  <c r="AE2084" i="6"/>
  <c r="AE1519" i="6"/>
  <c r="AE1828" i="6"/>
  <c r="AE244" i="6"/>
  <c r="AE486" i="6"/>
  <c r="AE1414" i="6"/>
  <c r="AE1179" i="6"/>
  <c r="AE1308" i="6"/>
  <c r="AE2140" i="6"/>
  <c r="AE92" i="6"/>
  <c r="AE110" i="6"/>
  <c r="AE33" i="6"/>
  <c r="AE945" i="6"/>
  <c r="AE2116" i="6"/>
  <c r="AE223" i="6"/>
  <c r="AE1876" i="6"/>
  <c r="AE548" i="6"/>
  <c r="AE1172" i="6"/>
  <c r="AE612" i="6"/>
  <c r="AE1886" i="6"/>
  <c r="AE1823" i="6"/>
  <c r="AE271" i="6"/>
  <c r="AE1333" i="6"/>
  <c r="AE1261" i="6"/>
  <c r="AE1908" i="6"/>
  <c r="AE1327" i="6"/>
  <c r="AE604" i="6"/>
  <c r="AE55" i="6"/>
  <c r="AE914" i="6"/>
  <c r="AE328" i="6"/>
  <c r="AE967" i="6"/>
  <c r="AE1360" i="6"/>
  <c r="AE652" i="6"/>
  <c r="AE660" i="6"/>
  <c r="AE1710" i="6"/>
  <c r="AE464" i="6"/>
  <c r="AE122" i="6"/>
  <c r="AE596" i="6"/>
  <c r="AE795" i="6"/>
  <c r="AE1729" i="6"/>
  <c r="AE1220" i="6"/>
  <c r="AE1734" i="6"/>
  <c r="AE953" i="6"/>
  <c r="AE972" i="6"/>
  <c r="AE830" i="6"/>
  <c r="AE2194" i="6"/>
  <c r="AE1403" i="6"/>
  <c r="AE238" i="6"/>
  <c r="AE1711" i="6"/>
  <c r="AE345" i="6"/>
  <c r="AE1004" i="6"/>
  <c r="AE1010" i="6"/>
  <c r="AE1759" i="6"/>
  <c r="AE136" i="6"/>
  <c r="AE2097" i="6"/>
  <c r="AE631" i="6"/>
  <c r="AE993" i="6"/>
  <c r="AE1808" i="6"/>
  <c r="AE353" i="6"/>
  <c r="AE118" i="6"/>
  <c r="AE1780" i="6"/>
  <c r="AE2139" i="6"/>
  <c r="AE66" i="6"/>
  <c r="AE1854" i="6"/>
  <c r="AE1147" i="6"/>
  <c r="AE1986" i="6"/>
  <c r="AE1413" i="6"/>
  <c r="AE2230" i="6"/>
  <c r="AE770" i="6"/>
  <c r="AE1811" i="6"/>
  <c r="AE1743" i="6"/>
  <c r="AE2031" i="6"/>
  <c r="AE567" i="6"/>
  <c r="AE1926" i="6"/>
  <c r="AE1666" i="6"/>
  <c r="AE1144" i="6"/>
  <c r="AE510" i="6"/>
  <c r="AE657" i="6"/>
  <c r="AE739" i="6"/>
  <c r="AE540" i="6"/>
  <c r="AE1236" i="6"/>
  <c r="AE393" i="6"/>
  <c r="AE1673" i="6"/>
  <c r="AE2024" i="6"/>
  <c r="AE1443" i="6"/>
  <c r="AE520" i="6"/>
  <c r="AE922" i="6"/>
  <c r="AE1923" i="6"/>
  <c r="AE1469" i="6"/>
  <c r="AE174" i="6"/>
  <c r="AE1810" i="6"/>
  <c r="AE1248" i="6"/>
  <c r="AE1938" i="6"/>
  <c r="AE2099" i="6"/>
  <c r="AE379" i="6"/>
  <c r="AE886" i="6"/>
  <c r="AE1946" i="6"/>
  <c r="AE413" i="6"/>
  <c r="AE100" i="6"/>
  <c r="AE950" i="6"/>
  <c r="AE170" i="6"/>
  <c r="AE1064" i="6"/>
  <c r="AE1145" i="6"/>
  <c r="AE1763" i="6"/>
  <c r="AE1192" i="6"/>
  <c r="AE2063" i="6"/>
  <c r="AE332" i="6"/>
  <c r="AE1474" i="6"/>
  <c r="AE178" i="6"/>
  <c r="AE1676" i="6"/>
  <c r="AE449" i="6"/>
  <c r="AE291" i="6"/>
  <c r="AE1564" i="6"/>
  <c r="AE1771" i="6"/>
  <c r="AE202" i="6"/>
  <c r="AE258" i="6"/>
  <c r="AE487" i="6"/>
  <c r="AE1029" i="6"/>
  <c r="AE134" i="6"/>
  <c r="AE226" i="6"/>
  <c r="AE1160" i="6"/>
  <c r="AE904" i="6"/>
  <c r="AE851" i="6"/>
  <c r="AE713" i="6"/>
  <c r="AE203" i="6"/>
  <c r="AE645" i="6"/>
  <c r="AE513" i="6"/>
  <c r="AE457" i="6"/>
  <c r="AE576" i="6"/>
  <c r="AE603" i="6"/>
  <c r="AE1888" i="6"/>
  <c r="AE746" i="6"/>
  <c r="AE185" i="6"/>
  <c r="AE1506" i="6"/>
  <c r="AE1839" i="6"/>
  <c r="AE647" i="6"/>
  <c r="AE2088" i="6"/>
  <c r="AE1318" i="6"/>
  <c r="AE2132" i="6"/>
  <c r="AE1957" i="6"/>
  <c r="AE1088" i="6"/>
  <c r="AE932" i="6"/>
  <c r="AE1080" i="6"/>
  <c r="AE871" i="6"/>
  <c r="AE592" i="6"/>
  <c r="AE61" i="6"/>
  <c r="AE49" i="6"/>
  <c r="AE79" i="6"/>
  <c r="AE1027" i="6"/>
  <c r="AE546" i="6"/>
  <c r="AE621" i="6"/>
  <c r="AE710" i="6"/>
  <c r="AE897" i="6"/>
  <c r="AE923" i="6"/>
  <c r="AE2023" i="6"/>
  <c r="AE651" i="6"/>
  <c r="AE1021" i="6"/>
  <c r="AE1517" i="6"/>
  <c r="AE1216" i="6"/>
  <c r="AE365" i="6"/>
  <c r="AE354" i="6"/>
  <c r="AE989" i="6"/>
  <c r="AE167" i="6"/>
  <c r="AE2016" i="6"/>
  <c r="AE1590" i="6"/>
  <c r="AE635" i="6"/>
  <c r="AE1930" i="6"/>
  <c r="AE1856" i="6"/>
  <c r="AE723" i="6"/>
  <c r="AE1288" i="6"/>
  <c r="AE1055" i="6"/>
  <c r="AE338" i="6"/>
  <c r="AE2135" i="6"/>
  <c r="AE2128" i="6"/>
  <c r="AE782" i="6"/>
  <c r="AE1683" i="6"/>
  <c r="AE123" i="6"/>
  <c r="AE1036" i="6"/>
  <c r="AE259" i="6"/>
  <c r="AE1862" i="6"/>
  <c r="AE1074" i="6"/>
  <c r="AE790" i="6"/>
  <c r="AE1636" i="6"/>
  <c r="AE1222" i="6"/>
  <c r="AE2005" i="6"/>
  <c r="AE1638" i="6"/>
  <c r="AE2051" i="6"/>
  <c r="AE1551" i="6"/>
  <c r="AE529" i="6"/>
  <c r="AE1411" i="6"/>
  <c r="AE1478" i="6"/>
  <c r="AE1230" i="6"/>
  <c r="AE1625" i="6"/>
  <c r="AE1066" i="6"/>
  <c r="AE759" i="6"/>
  <c r="AE1999" i="6"/>
  <c r="AE2017" i="6"/>
  <c r="AE1032" i="6"/>
  <c r="AE1040" i="6"/>
  <c r="AE1295" i="6"/>
  <c r="AE1654" i="6"/>
  <c r="AE1805" i="6"/>
  <c r="AE1747" i="6"/>
  <c r="AE1516" i="6"/>
  <c r="AE2167" i="6"/>
  <c r="AE876" i="6"/>
  <c r="AE1301" i="6"/>
  <c r="AE289" i="6"/>
  <c r="AE1800" i="6"/>
  <c r="AE814" i="6"/>
  <c r="AE1976" i="6"/>
  <c r="AE1631" i="6"/>
  <c r="AE580" i="6"/>
  <c r="AE1068" i="6"/>
  <c r="AE1189" i="6"/>
  <c r="AE359" i="6"/>
  <c r="AE801" i="6"/>
  <c r="AE880" i="6"/>
  <c r="AE977" i="6"/>
  <c r="AE535" i="6"/>
  <c r="AE858" i="6"/>
  <c r="AE970" i="6"/>
  <c r="AE2171" i="6"/>
  <c r="AE552" i="6"/>
  <c r="AE855" i="6"/>
  <c r="AE2028" i="6"/>
  <c r="AE1751" i="6"/>
  <c r="AE1869" i="6"/>
  <c r="AE549" i="6"/>
  <c r="AE919" i="6"/>
  <c r="AE2002" i="6"/>
  <c r="AE1628" i="6"/>
  <c r="AE2170" i="6"/>
  <c r="AE1618" i="6"/>
  <c r="AE1812" i="6"/>
  <c r="AE1118" i="6"/>
  <c r="AE2185" i="6"/>
  <c r="AE309" i="6"/>
  <c r="AE1349" i="6"/>
  <c r="AE1586" i="6"/>
  <c r="AE1019" i="6"/>
  <c r="AE1630" i="6"/>
  <c r="AE443" i="6"/>
  <c r="AE1141" i="6"/>
  <c r="AE1503" i="6"/>
  <c r="AE1037" i="6"/>
  <c r="AE73" i="6"/>
  <c r="AE1582" i="6"/>
  <c r="AE730" i="6"/>
  <c r="AE644" i="6"/>
  <c r="AE2197" i="6"/>
  <c r="AE693" i="6"/>
  <c r="AE1706" i="6"/>
  <c r="AE961" i="6"/>
  <c r="AE299" i="6"/>
  <c r="AE389" i="6"/>
  <c r="AE1284" i="6"/>
  <c r="AE1880" i="6"/>
  <c r="AE1356" i="6"/>
  <c r="AE1268" i="6"/>
  <c r="AE1374" i="6"/>
  <c r="AE234" i="6"/>
  <c r="AE898" i="6"/>
  <c r="AE168" i="6"/>
  <c r="AE1607" i="6"/>
  <c r="AE1594" i="6"/>
  <c r="AE776" i="6"/>
  <c r="AE293" i="6"/>
  <c r="AE2039" i="6"/>
  <c r="AE1684" i="6"/>
  <c r="AE78" i="6"/>
  <c r="AE1366" i="6"/>
  <c r="AE1086" i="6"/>
  <c r="AE1714" i="6"/>
  <c r="AE1701" i="6"/>
  <c r="AE1487" i="6"/>
  <c r="AE969" i="6"/>
  <c r="AE423" i="6"/>
  <c r="AE1719" i="6"/>
  <c r="AE1350" i="6"/>
  <c r="AE2003" i="6"/>
  <c r="AE1703" i="6"/>
  <c r="AE524" i="6"/>
  <c r="AE1437" i="6"/>
  <c r="AE483" i="6"/>
  <c r="AE107" i="6"/>
  <c r="AE1110" i="6"/>
  <c r="AE1208" i="6"/>
  <c r="AE1282" i="6"/>
  <c r="AE810" i="6"/>
  <c r="AE320" i="6"/>
  <c r="AE1337" i="6"/>
  <c r="AE965" i="6"/>
  <c r="AE2083" i="6"/>
  <c r="AE849" i="6"/>
  <c r="AE1028" i="6"/>
  <c r="AE555" i="6"/>
  <c r="AE1292" i="6"/>
  <c r="AE57" i="6"/>
  <c r="AE1568" i="6"/>
  <c r="AE878" i="6"/>
  <c r="AE1817" i="6"/>
  <c r="AE1218" i="6"/>
  <c r="AE1664" i="6"/>
  <c r="AE1162" i="6"/>
  <c r="AE570" i="6"/>
  <c r="AE52" i="6"/>
  <c r="AE1000" i="6"/>
  <c r="AE2085" i="6"/>
  <c r="AE175" i="6"/>
  <c r="AE673" i="6"/>
  <c r="AE295" i="6"/>
  <c r="AE386" i="6"/>
  <c r="AE796" i="6"/>
  <c r="AE807" i="6"/>
  <c r="AE1791" i="6"/>
  <c r="AE658" i="6"/>
  <c r="AE2078" i="6"/>
  <c r="AE558" i="6"/>
  <c r="AE1696" i="6"/>
  <c r="AE1496" i="6"/>
  <c r="AE1797" i="6"/>
  <c r="AE2048" i="6"/>
  <c r="AE1572" i="6"/>
  <c r="AE82" i="6"/>
  <c r="AE764" i="6"/>
  <c r="AE300" i="6"/>
  <c r="AE2127" i="6"/>
  <c r="AE1125" i="6"/>
  <c r="AE1351" i="6"/>
  <c r="AE1653" i="6"/>
  <c r="AE1883" i="6"/>
  <c r="AE1935" i="6"/>
  <c r="AE149" i="6"/>
  <c r="AE317" i="6"/>
  <c r="AE1456" i="6"/>
  <c r="AE1555" i="6"/>
  <c r="AE1079" i="6"/>
  <c r="AE1727" i="6"/>
  <c r="AE1383" i="6"/>
  <c r="AE1089" i="6"/>
  <c r="AE1357" i="6"/>
  <c r="AE962" i="6"/>
  <c r="AE777" i="6"/>
  <c r="AE2092" i="6"/>
  <c r="AE941" i="6"/>
  <c r="AE2098" i="6"/>
  <c r="AE799" i="6"/>
  <c r="AE208" i="6"/>
  <c r="AE247" i="6"/>
  <c r="AE2172" i="6"/>
  <c r="AE798" i="6"/>
  <c r="AE982" i="6"/>
  <c r="AE366" i="6"/>
  <c r="AE1534" i="6"/>
  <c r="AE1307" i="6"/>
  <c r="AE1083" i="6"/>
  <c r="AE411" i="6"/>
  <c r="AE550" i="6"/>
  <c r="AE1227" i="6"/>
  <c r="AE833" i="6"/>
  <c r="AE1087" i="6"/>
  <c r="AE1379" i="6"/>
  <c r="AE1988" i="6"/>
  <c r="AE1404" i="6"/>
  <c r="AE1120" i="6"/>
  <c r="AE2095" i="6"/>
  <c r="AE1640" i="6"/>
  <c r="AE1280" i="6"/>
  <c r="AE438" i="6"/>
  <c r="AE852" i="6"/>
  <c r="AE1977" i="6"/>
  <c r="AE490" i="6"/>
  <c r="AE355" i="6"/>
  <c r="AE102" i="6"/>
  <c r="AE1967" i="6"/>
  <c r="AE756" i="6"/>
  <c r="AE1445" i="6"/>
  <c r="AE2049" i="6"/>
  <c r="AE1836" i="6"/>
  <c r="AE294" i="6"/>
  <c r="AE1891" i="6"/>
  <c r="AE1529" i="6"/>
  <c r="AE1263" i="6"/>
  <c r="AE499" i="6"/>
  <c r="AE751" i="6"/>
  <c r="AE1210" i="6"/>
  <c r="AE1323" i="6"/>
  <c r="AE709" i="6"/>
  <c r="AE139" i="6"/>
  <c r="AE1699" i="6"/>
  <c r="AE409" i="6"/>
  <c r="AE1762" i="6"/>
  <c r="AE2100" i="6"/>
  <c r="AE1758" i="6"/>
  <c r="AE1038" i="6"/>
  <c r="AE462" i="6"/>
  <c r="AE949" i="6"/>
  <c r="AE382" i="6"/>
  <c r="AE1738" i="6"/>
  <c r="AE2195" i="6"/>
  <c r="AE643" i="6"/>
  <c r="AE121" i="6"/>
  <c r="AE611" i="6"/>
  <c r="AE1779" i="6"/>
  <c r="AE1034" i="6"/>
  <c r="AE1715" i="6"/>
  <c r="AE40" i="6"/>
  <c r="AE1146" i="6"/>
  <c r="AE1095" i="6"/>
  <c r="AE608" i="6"/>
  <c r="AE69" i="6"/>
  <c r="AE775" i="6"/>
  <c r="AE1467" i="6"/>
  <c r="AE250" i="6"/>
  <c r="AE1423" i="6"/>
  <c r="AE1253" i="6"/>
  <c r="AE1857" i="6"/>
  <c r="AE2144" i="6"/>
  <c r="AE455" i="6"/>
  <c r="AE655" i="6"/>
  <c r="AE1259" i="6"/>
  <c r="AE1433" i="6"/>
  <c r="AE2181" i="6"/>
  <c r="AE661" i="6"/>
  <c r="AE820" i="6"/>
  <c r="AE157" i="6"/>
  <c r="AE575" i="6"/>
  <c r="AE1866" i="6"/>
  <c r="AE130" i="6"/>
  <c r="AE46" i="6"/>
  <c r="AE2060" i="6"/>
  <c r="AE1852" i="6"/>
  <c r="AE784" i="6"/>
  <c r="AE1989" i="6"/>
  <c r="AE1553" i="6"/>
  <c r="AE1096" i="6"/>
  <c r="AE581" i="6"/>
  <c r="AE1655" i="6"/>
  <c r="AE284" i="6"/>
  <c r="AE1639" i="6"/>
  <c r="AE1490" i="6"/>
  <c r="AE2074" i="6"/>
  <c r="AE392" i="6"/>
  <c r="AE357" i="6"/>
  <c r="AE125" i="6"/>
  <c r="AE1101" i="6"/>
  <c r="AE1471" i="6"/>
  <c r="AE233" i="6"/>
  <c r="AE1528" i="6"/>
  <c r="AE1026" i="6"/>
  <c r="AE504" i="6"/>
  <c r="AE1213" i="6"/>
  <c r="AE180" i="6"/>
  <c r="AE474" i="6"/>
  <c r="AE1260" i="6"/>
  <c r="AE348" i="6"/>
  <c r="AE2180" i="6"/>
  <c r="AE176" i="6"/>
  <c r="AE572" i="6"/>
  <c r="AE64" i="6"/>
  <c r="AE1113" i="6"/>
  <c r="AE1159" i="6"/>
  <c r="AE1316" i="6"/>
  <c r="AE1122" i="6"/>
  <c r="AE356" i="6"/>
  <c r="AE304" i="6"/>
  <c r="AE370" i="6"/>
  <c r="AE551" i="6"/>
  <c r="AE519" i="6"/>
  <c r="AE217" i="6"/>
  <c r="AE2013" i="6"/>
  <c r="AE1604" i="6"/>
  <c r="AE2041" i="6"/>
  <c r="AE2126" i="6"/>
  <c r="AE916" i="6"/>
  <c r="AE706" i="6"/>
  <c r="AE1024" i="6"/>
  <c r="AE245" i="6"/>
  <c r="AE237" i="6"/>
  <c r="AE691" i="6"/>
  <c r="AE1599" i="6"/>
  <c r="AE2080" i="6"/>
  <c r="AE585" i="6"/>
  <c r="AE1376" i="6"/>
  <c r="AE310" i="6"/>
  <c r="AE1203" i="6"/>
  <c r="AE935" i="6"/>
  <c r="AE1979" i="6"/>
  <c r="AE1775" i="6"/>
  <c r="AE556" i="6"/>
  <c r="AE1809" i="6"/>
  <c r="AE440" i="6"/>
  <c r="AE738" i="6"/>
  <c r="AE1789" i="6"/>
  <c r="AE272" i="6"/>
  <c r="AE1623" i="6"/>
  <c r="AE843" i="6"/>
  <c r="AE200" i="6"/>
  <c r="AE1877" i="6"/>
  <c r="AE1053" i="6"/>
  <c r="AE1035" i="6"/>
  <c r="AE2187" i="6"/>
  <c r="AE737" i="6"/>
  <c r="AE20" i="6"/>
  <c r="AE896" i="6"/>
  <c r="AE1804" i="6"/>
  <c r="AE285" i="6"/>
  <c r="AE1732" i="6"/>
  <c r="AE1481" i="6"/>
  <c r="AE1389" i="6"/>
  <c r="AE1919" i="6"/>
  <c r="AE334" i="6"/>
  <c r="AE2115" i="6"/>
  <c r="AE1863" i="6"/>
  <c r="AE2138" i="6"/>
  <c r="AE1542" i="6"/>
  <c r="AE1181" i="6"/>
  <c r="AE1858" i="6"/>
  <c r="AE1170" i="6"/>
  <c r="AE1554" i="6"/>
  <c r="AE1824" i="6"/>
  <c r="AE1117" i="6"/>
  <c r="AE672" i="6"/>
  <c r="AE1276" i="6"/>
  <c r="AE573" i="6"/>
  <c r="AE2076" i="6"/>
  <c r="AE912" i="6"/>
  <c r="AE838" i="6"/>
  <c r="AE1785" i="6"/>
  <c r="AE995" i="6"/>
  <c r="AE1077" i="6"/>
  <c r="AE636" i="6"/>
  <c r="AE1921" i="6"/>
  <c r="AE1400" i="6"/>
  <c r="AE1612" i="6"/>
  <c r="AE2082" i="6"/>
  <c r="AE1275" i="6"/>
  <c r="AE1277" i="6"/>
  <c r="AE1438" i="6"/>
  <c r="AE75" i="6"/>
  <c r="AE832" i="6"/>
  <c r="AE1049" i="6"/>
  <c r="AE986" i="6"/>
  <c r="AE1250" i="6"/>
  <c r="AE179" i="6"/>
  <c r="AE637" i="6"/>
  <c r="AE1214" i="6"/>
  <c r="AE1949" i="6"/>
  <c r="AE116" i="6"/>
  <c r="AE1932" i="6"/>
  <c r="AE1835" i="6"/>
  <c r="AE1675" i="6"/>
  <c r="AE1346" i="6"/>
  <c r="AE2110" i="6"/>
  <c r="AE1271" i="6"/>
  <c r="AE2012" i="6"/>
  <c r="AE1246" i="6"/>
  <c r="AE1114" i="6"/>
  <c r="AE2152" i="6"/>
  <c r="AE1407" i="6"/>
  <c r="AE1196" i="6"/>
  <c r="AE2006" i="6"/>
  <c r="AE1878" i="6"/>
  <c r="AE1225" i="6"/>
  <c r="AE1596" i="6"/>
  <c r="AE1982" i="6"/>
  <c r="AE2191" i="6"/>
  <c r="AE1488" i="6"/>
  <c r="AE274" i="6"/>
  <c r="AE1972" i="6"/>
  <c r="AE590" i="6"/>
  <c r="AE1243" i="6"/>
  <c r="AE1016" i="6"/>
  <c r="AE1511" i="6"/>
  <c r="AE1375" i="6"/>
  <c r="AE931" i="6"/>
  <c r="AE925" i="6"/>
  <c r="AE1912" i="6"/>
  <c r="AE1702" i="6"/>
  <c r="AE2124" i="6"/>
  <c r="AE181" i="6"/>
  <c r="AE642" i="6"/>
  <c r="AE960" i="6"/>
  <c r="AE269" i="6"/>
  <c r="AE183" i="6"/>
  <c r="AE1426" i="6"/>
  <c r="AE1163" i="6"/>
  <c r="AE862" i="6"/>
  <c r="AE1770" i="6"/>
  <c r="AE1175" i="6"/>
  <c r="AE103" i="6"/>
  <c r="AE1910" i="6"/>
  <c r="AE554" i="6"/>
  <c r="AE825" i="6"/>
  <c r="AE2231" i="6"/>
  <c r="AE872" i="6"/>
  <c r="AE1558" i="6"/>
  <c r="AE1801" i="6"/>
  <c r="AE1427" i="6"/>
  <c r="AE327" i="6"/>
  <c r="AE488" i="6"/>
  <c r="AE76" i="6"/>
  <c r="AE1678" i="6"/>
  <c r="AE68" i="6"/>
  <c r="AE1965" i="6"/>
  <c r="AE2111" i="6"/>
  <c r="AE23" i="6"/>
  <c r="AE158" i="6"/>
  <c r="AE669" i="6"/>
  <c r="AE2089" i="6"/>
  <c r="AE1278" i="6"/>
  <c r="AE1398" i="6"/>
  <c r="AE1363" i="6"/>
  <c r="AE419" i="6"/>
  <c r="AE522" i="6"/>
  <c r="AE1627" i="6"/>
  <c r="AE493" i="6"/>
  <c r="AE268" i="6"/>
  <c r="AE873" i="6"/>
  <c r="AE395" i="6"/>
  <c r="AE336" i="6"/>
  <c r="AE402" i="6"/>
  <c r="AE1025" i="6"/>
  <c r="AE1191" i="6"/>
  <c r="AE1737" i="6"/>
  <c r="AE1402" i="6"/>
  <c r="AE275" i="6"/>
  <c r="AE142" i="6"/>
  <c r="AE1054" i="6"/>
  <c r="AE171" i="6"/>
  <c r="AE1143" i="6"/>
  <c r="AE1659" i="6"/>
  <c r="AE1031" i="6"/>
  <c r="AE1879" i="6"/>
  <c r="AE786" i="6"/>
  <c r="AE298" i="6"/>
  <c r="AE560" i="6"/>
  <c r="AE1914" i="6"/>
  <c r="AE2014" i="6"/>
  <c r="AE218" i="6"/>
  <c r="AE469" i="6"/>
  <c r="AE979" i="6"/>
  <c r="AE1348" i="6"/>
  <c r="AE65" i="6"/>
  <c r="AE1382" i="6"/>
  <c r="AE1378" i="6"/>
  <c r="AE741" i="6"/>
  <c r="AE999" i="6"/>
  <c r="AE1692" i="6"/>
  <c r="AE1531" i="6"/>
  <c r="AE889" i="6"/>
  <c r="AE1970" i="6"/>
  <c r="AE1632" i="6"/>
  <c r="AE1825" i="6"/>
  <c r="AE2137" i="6"/>
  <c r="AE1247" i="6"/>
  <c r="AE2079" i="6"/>
  <c r="AE659" i="6"/>
  <c r="AE2229" i="6"/>
  <c r="AE211" i="6"/>
  <c r="AE2147" i="6"/>
  <c r="AE1889" i="6"/>
  <c r="AE1754" i="6"/>
  <c r="AE1013" i="6"/>
  <c r="AE1671" i="6"/>
  <c r="AE1312" i="6"/>
  <c r="AE1381" i="6"/>
  <c r="AE891" i="6"/>
  <c r="AE422" i="6"/>
  <c r="AE21" i="6"/>
  <c r="AE1023" i="6"/>
  <c r="AE279" i="6"/>
  <c r="AE114" i="6"/>
  <c r="AE1119" i="6"/>
  <c r="AE1504" i="6"/>
  <c r="AE990" i="6"/>
  <c r="AE216" i="6"/>
  <c r="AE911" i="6"/>
  <c r="AE492" i="6"/>
  <c r="AE1224" i="6"/>
  <c r="AE94" i="6"/>
  <c r="AE1084" i="6"/>
  <c r="AE1661" i="6"/>
  <c r="AE303" i="6"/>
  <c r="AE2227" i="6"/>
  <c r="AE1693" i="6"/>
  <c r="AE742" i="6"/>
  <c r="AE1235" i="6"/>
  <c r="AE321" i="6"/>
  <c r="AE802" i="6"/>
  <c r="AE622" i="6"/>
  <c r="AE421" i="6"/>
  <c r="AE155" i="6"/>
  <c r="AE374" i="6"/>
  <c r="AE26" i="6"/>
  <c r="AE2062" i="6"/>
  <c r="AE221" i="6"/>
  <c r="AE905" i="6"/>
  <c r="AE607" i="6"/>
  <c r="AE1939" i="6"/>
  <c r="AE2021" i="6"/>
  <c r="AE189" i="6"/>
  <c r="AE711" i="6"/>
  <c r="AE1388" i="6"/>
  <c r="AE1060" i="6"/>
  <c r="AE383" i="6"/>
  <c r="AE277" i="6"/>
  <c r="AE1171" i="6"/>
  <c r="AE781" i="6"/>
  <c r="AE602" i="6"/>
  <c r="AE398" i="6"/>
  <c r="AE1790" i="6"/>
  <c r="AE563" i="6"/>
  <c r="AE1772" i="6"/>
  <c r="AE2037" i="6"/>
  <c r="AE1008" i="6"/>
  <c r="AE745" i="6"/>
  <c r="AE526" i="6"/>
  <c r="AE1765" i="6"/>
  <c r="AE2223" i="6"/>
  <c r="AE148" i="6"/>
  <c r="AE1041" i="6"/>
  <c r="AE1523" i="6"/>
  <c r="AE1773" i="6"/>
  <c r="AE2123" i="6"/>
  <c r="AE1100" i="6"/>
  <c r="AE451" i="6"/>
  <c r="AE2081" i="6"/>
  <c r="AE1742" i="6"/>
  <c r="AE1508" i="6"/>
  <c r="AE926" i="6"/>
  <c r="AE1764" i="6"/>
  <c r="AE1651" i="6"/>
  <c r="AE152" i="6"/>
  <c r="AE2018" i="6"/>
  <c r="AE1294" i="6"/>
  <c r="AE629" i="6"/>
  <c r="AE1524" i="6"/>
  <c r="AE625" i="6"/>
  <c r="AE667" i="6"/>
  <c r="AE412" i="6"/>
  <c r="AE323" i="6"/>
  <c r="AE927" i="6"/>
  <c r="AE734" i="6"/>
  <c r="AE1492" i="6"/>
  <c r="AE1602" i="6"/>
  <c r="AE261" i="6"/>
  <c r="AE1850" i="6"/>
  <c r="AE1328" i="6"/>
  <c r="AE1855" i="6"/>
  <c r="AE994" i="6"/>
  <c r="AE2173" i="6"/>
  <c r="AE705" i="6"/>
  <c r="AE1174" i="6"/>
  <c r="AE842" i="6"/>
  <c r="AE1868" i="6"/>
  <c r="AE1245" i="6"/>
  <c r="AE992" i="6"/>
  <c r="AE1700" i="6"/>
  <c r="AE500" i="6"/>
  <c r="AE542" i="6"/>
  <c r="AE137" i="6"/>
  <c r="AE1460" i="6"/>
  <c r="AE1187" i="6"/>
  <c r="AE161" i="6"/>
  <c r="AE380" i="6"/>
  <c r="AE56" i="6"/>
  <c r="AE1020" i="6"/>
  <c r="AE1138" i="6"/>
  <c r="AE2072" i="6"/>
  <c r="AE1252" i="6"/>
  <c r="AE1108" i="6"/>
  <c r="AE1827" i="6"/>
  <c r="AE89" i="6"/>
  <c r="AE1202" i="6"/>
  <c r="AE1605" i="6"/>
  <c r="AE1302" i="6"/>
  <c r="AE613" i="6"/>
  <c r="AE1052" i="6"/>
  <c r="AE1353" i="6"/>
  <c r="AE339" i="6"/>
  <c r="AE1622" i="6"/>
  <c r="AE650" i="6"/>
  <c r="AE404" i="6"/>
  <c r="AE640" i="6"/>
  <c r="AE1497" i="6"/>
  <c r="AE1007" i="6"/>
  <c r="AE2057" i="6"/>
  <c r="AE306" i="6"/>
  <c r="AE663" i="6"/>
  <c r="AE2001" i="6"/>
  <c r="AE1713" i="6"/>
  <c r="AE1698" i="6"/>
  <c r="AE1205" i="6"/>
  <c r="AE1617" i="6"/>
  <c r="AE703" i="6"/>
  <c r="AE1155" i="6"/>
  <c r="AE1124" i="6"/>
  <c r="AE2054" i="6"/>
  <c r="AE523" i="6"/>
  <c r="AE1717" i="6"/>
  <c r="AE1840" i="6"/>
  <c r="AE562" i="6"/>
  <c r="AE1417" i="6"/>
  <c r="AE2112" i="6"/>
  <c r="AE2009" i="6"/>
  <c r="AE1419" i="6"/>
  <c r="AE39" i="6"/>
  <c r="AE1480" i="6"/>
  <c r="AE77" i="6"/>
  <c r="AE51" i="6"/>
  <c r="AE908" i="6"/>
  <c r="AE1166" i="6"/>
  <c r="AE1575" i="6"/>
  <c r="AE106" i="6"/>
  <c r="AE1335" i="6"/>
  <c r="AE115" i="6"/>
  <c r="AE502" i="6"/>
  <c r="AE811" i="6"/>
  <c r="AE2114" i="6"/>
  <c r="AE1011" i="6"/>
  <c r="AE2058" i="6"/>
  <c r="AE1562" i="6"/>
  <c r="AE1251" i="6"/>
  <c r="AE1361" i="6"/>
  <c r="AE1580" i="6"/>
  <c r="AE192" i="6"/>
  <c r="AE1670" i="6"/>
  <c r="AE980" i="6"/>
  <c r="AE1916" i="6"/>
  <c r="AE595" i="6"/>
  <c r="AE265" i="6"/>
  <c r="AE1109" i="6"/>
  <c r="AE1712" i="6"/>
  <c r="AE248" i="6"/>
  <c r="AE1635" i="6"/>
  <c r="AE1439" i="6"/>
  <c r="AE112" i="6"/>
  <c r="AE987" i="6"/>
  <c r="AE1663" i="6"/>
  <c r="AE243" i="6"/>
  <c r="AE902" i="6"/>
  <c r="AE947" i="6"/>
  <c r="AE124" i="6"/>
  <c r="AE364" i="6"/>
  <c r="AE2130" i="6"/>
  <c r="AE1209" i="6"/>
  <c r="AE1135" i="6"/>
  <c r="AE252" i="6"/>
  <c r="AE396" i="6"/>
  <c r="AE93" i="6"/>
  <c r="AE172" i="6"/>
  <c r="AE232" i="6"/>
  <c r="AE1626" i="6"/>
  <c r="AE1769" i="6"/>
  <c r="AE1076" i="6"/>
  <c r="AE67" i="6"/>
  <c r="AE875" i="6"/>
  <c r="AE1226" i="6"/>
  <c r="AE209" i="6"/>
  <c r="AE414" i="6"/>
  <c r="AE1798" i="6"/>
  <c r="AE401" i="6"/>
  <c r="AE1832" i="6"/>
  <c r="AE481" i="6"/>
  <c r="AE707" i="6"/>
  <c r="AE1959" i="6"/>
  <c r="AE857" i="6"/>
  <c r="AE2118" i="6"/>
  <c r="AE169" i="6"/>
  <c r="AE1022" i="6"/>
  <c r="AE1493" i="6"/>
  <c r="AE1849" i="6"/>
  <c r="AE1677" i="6"/>
  <c r="AE1448" i="6"/>
  <c r="AE955" i="6"/>
  <c r="AE1157" i="6"/>
  <c r="AE1842" i="6"/>
  <c r="AE714" i="6"/>
  <c r="AE1592" i="6"/>
  <c r="AE140" i="6"/>
  <c r="AE588" i="6"/>
  <c r="AE215" i="6"/>
  <c r="AE1577" i="6"/>
  <c r="AE2189" i="6"/>
  <c r="AE230" i="6"/>
  <c r="AE758" i="6"/>
  <c r="AE1597" i="6"/>
  <c r="AE583" i="6"/>
  <c r="AE1272" i="6"/>
  <c r="AE616" i="6"/>
  <c r="AE1887" i="6"/>
  <c r="AE536" i="6"/>
  <c r="AE2166" i="6"/>
  <c r="AE733" i="6"/>
  <c r="AE1740" i="6"/>
  <c r="AE127" i="6"/>
  <c r="AE1199" i="6"/>
  <c r="AE2122" i="6"/>
  <c r="AE2046" i="6"/>
  <c r="AE236" i="6"/>
  <c r="AE1934" i="6"/>
  <c r="AE712" i="6"/>
  <c r="AE571" i="6"/>
  <c r="AE619" i="6"/>
  <c r="AE458" i="6"/>
  <c r="AE1552" i="6"/>
  <c r="AE2033" i="6"/>
  <c r="AE1093" i="6"/>
  <c r="AE1954" i="6"/>
  <c r="AE1620" i="6"/>
  <c r="AE943" i="6"/>
  <c r="AE2004" i="6"/>
  <c r="AE565" i="6"/>
  <c r="AE1532" i="6"/>
  <c r="AE719" i="6"/>
  <c r="AE794" i="6"/>
  <c r="AE826" i="6"/>
  <c r="AE126" i="6"/>
  <c r="AE1306" i="6"/>
  <c r="AE895" i="6"/>
  <c r="AE239" i="6"/>
  <c r="AE2169" i="6"/>
  <c r="AE1656" i="6"/>
  <c r="AE1283" i="6"/>
  <c r="AE1595" i="6"/>
  <c r="AE163" i="6"/>
  <c r="AE1341" i="6"/>
  <c r="AE1329" i="6"/>
  <c r="AE1802" i="6"/>
  <c r="AE1256" i="6"/>
  <c r="AE416" i="6"/>
  <c r="AE1865" i="6"/>
  <c r="AE1352" i="6"/>
  <c r="AE224" i="6"/>
  <c r="AE946" i="6"/>
  <c r="AE1748" i="6"/>
  <c r="AE769" i="6"/>
  <c r="AE1491" i="6"/>
  <c r="AE1047" i="6"/>
  <c r="AE70" i="6"/>
  <c r="AE2178" i="6"/>
  <c r="AE1761" i="6"/>
  <c r="AE983" i="6"/>
  <c r="AE283" i="6"/>
  <c r="AE1573" i="6"/>
  <c r="AE940" i="6"/>
  <c r="AE53" i="6"/>
  <c r="AE1319" i="6"/>
  <c r="AE1002" i="6"/>
  <c r="AE453" i="6"/>
  <c r="AE15" i="6"/>
  <c r="AE815" i="6"/>
  <c r="AE1343" i="6"/>
  <c r="AE1853" i="6"/>
  <c r="AE870" i="6"/>
  <c r="AE1127" i="6"/>
  <c r="AE503" i="6"/>
  <c r="AE1128" i="6"/>
  <c r="AE632" i="6"/>
  <c r="AE1942" i="6"/>
  <c r="AE1241" i="6"/>
  <c r="AE349" i="6"/>
  <c r="AE104" i="6"/>
  <c r="AE685" i="6"/>
  <c r="AE2134" i="6"/>
  <c r="AE1570" i="6"/>
  <c r="AE1206" i="6"/>
  <c r="AE605" i="6"/>
  <c r="AE899" i="6"/>
  <c r="AE724" i="6"/>
  <c r="AE363" i="6"/>
  <c r="AE1669" i="6"/>
  <c r="AE720" i="6"/>
  <c r="AE358" i="6"/>
  <c r="AE1540" i="6"/>
  <c r="AE981" i="6"/>
  <c r="AE1894" i="6"/>
  <c r="AE164" i="6"/>
  <c r="AE1285" i="6"/>
  <c r="AE1520" i="6"/>
  <c r="AE1324" i="6"/>
  <c r="AE1473" i="6"/>
  <c r="AE1149" i="6"/>
  <c r="AE952" i="6"/>
  <c r="AE1050" i="6"/>
  <c r="AE1014" i="6"/>
  <c r="AE101" i="6"/>
  <c r="AE721" i="6"/>
  <c r="AE228" i="6"/>
  <c r="AE1589" i="6"/>
  <c r="AE1180" i="6"/>
  <c r="AE153" i="6"/>
  <c r="AE222" i="6"/>
  <c r="AE793" i="6"/>
  <c r="AE1030" i="6"/>
  <c r="AE1459" i="6"/>
  <c r="AE1720" i="6"/>
  <c r="AE1078" i="6"/>
  <c r="AE606" i="6"/>
  <c r="AE847" i="6"/>
  <c r="AE420" i="6"/>
  <c r="AE372" i="6"/>
  <c r="AE1820" i="6"/>
  <c r="AE1536" i="6"/>
  <c r="AE1505" i="6"/>
  <c r="AE1964" i="6"/>
  <c r="AE2061" i="6"/>
  <c r="AE2068" i="6"/>
  <c r="AE1647" i="6"/>
  <c r="AE1667" i="6"/>
  <c r="AE630" i="6"/>
  <c r="AE1741" i="6"/>
  <c r="AE511" i="6"/>
  <c r="AE2070" i="6"/>
  <c r="AE1643" i="6"/>
  <c r="I64" i="13" s="1"/>
  <c r="AE1104" i="6"/>
  <c r="AE1629" i="6"/>
  <c r="AE2059" i="6"/>
  <c r="AE435" i="6"/>
  <c r="AE399" i="6"/>
  <c r="AE779" i="6"/>
  <c r="AE1624" i="6"/>
  <c r="AE466" i="6"/>
  <c r="AE1774" i="6"/>
  <c r="AE448" i="6"/>
  <c r="AE822" i="6"/>
  <c r="AE1299" i="6"/>
  <c r="AE22" i="6"/>
  <c r="AE1485" i="6"/>
  <c r="AE887" i="6"/>
  <c r="AE735" i="6"/>
  <c r="AE1874" i="6"/>
  <c r="AE844" i="6"/>
  <c r="AE848" i="6"/>
  <c r="AE1782" i="6"/>
  <c r="AE2052" i="6"/>
  <c r="AE530" i="6"/>
  <c r="AE1767" i="6"/>
  <c r="AE98" i="6"/>
  <c r="AE1336" i="6"/>
  <c r="AE1530" i="6"/>
  <c r="AE1535" i="6"/>
  <c r="AE99" i="6"/>
  <c r="AE753" i="6"/>
  <c r="AE1254" i="6"/>
  <c r="AE2053" i="6"/>
  <c r="AE1239" i="6"/>
  <c r="AE288" i="6"/>
  <c r="AE2145" i="6"/>
  <c r="AE586" i="6"/>
  <c r="AE297" i="6"/>
  <c r="AE1925" i="6"/>
  <c r="AE1646" i="6"/>
  <c r="AE2148" i="6"/>
  <c r="AE1633" i="6"/>
  <c r="AE978" i="6"/>
  <c r="AE444" i="6"/>
  <c r="AE610" i="6"/>
  <c r="AE668" i="6"/>
  <c r="AE1510" i="6"/>
  <c r="AE63" i="6"/>
  <c r="AE1486" i="6"/>
  <c r="AE1896" i="6"/>
  <c r="AE408" i="6"/>
  <c r="AE1546" i="6"/>
  <c r="AE2050" i="6"/>
  <c r="AE417" i="6"/>
  <c r="AE2044" i="6"/>
  <c r="AE1929" i="6"/>
  <c r="AE1368" i="6"/>
  <c r="AE198" i="6"/>
  <c r="AE1922" i="6"/>
  <c r="AE942" i="6"/>
  <c r="AE557" i="6"/>
  <c r="AE988" i="6"/>
  <c r="AE1606" i="6"/>
  <c r="AE318" i="6"/>
  <c r="AE1267" i="6"/>
  <c r="AE156" i="6"/>
  <c r="AE618" i="6"/>
  <c r="AE36" i="6"/>
  <c r="AE1005" i="6"/>
  <c r="AE726" i="6"/>
  <c r="AE1056" i="6"/>
  <c r="AE1697" i="6"/>
  <c r="AE1380" i="6"/>
  <c r="AE436" i="6"/>
  <c r="AE1931" i="6"/>
  <c r="AE1153" i="6"/>
  <c r="AE42" i="6"/>
  <c r="AE324" i="6"/>
  <c r="AE305" i="6"/>
  <c r="AE716" i="6"/>
  <c r="AE2055" i="6"/>
  <c r="AE1716" i="6"/>
  <c r="AE864" i="6"/>
  <c r="AE1422" i="6"/>
  <c r="AE831" i="6"/>
  <c r="AE505" i="6"/>
  <c r="AE1167" i="6"/>
  <c r="AE1813" i="6"/>
  <c r="AE2196" i="6"/>
  <c r="AE1936" i="6"/>
  <c r="AE2226" i="6"/>
  <c r="AE1325" i="6"/>
  <c r="AE1984" i="6"/>
  <c r="AE587" i="6"/>
  <c r="AE34" i="6"/>
  <c r="AE147" i="6"/>
  <c r="AE128" i="6"/>
  <c r="AE665" i="6"/>
  <c r="AE1545" i="6"/>
  <c r="AE1001" i="6"/>
  <c r="AE1176" i="6"/>
  <c r="AE2065" i="6"/>
  <c r="AE1065" i="6"/>
  <c r="AE1257" i="6"/>
  <c r="AE1313" i="6"/>
  <c r="AE141" i="6"/>
  <c r="AE690" i="6"/>
  <c r="AE615" i="6"/>
  <c r="AE193" i="6"/>
  <c r="AE1103" i="6"/>
  <c r="AE108" i="6"/>
  <c r="AE391" i="6"/>
  <c r="AE60" i="6"/>
  <c r="AE883" i="6"/>
  <c r="AE150" i="6"/>
  <c r="AE387" i="6"/>
  <c r="AE717" i="6"/>
  <c r="AE909" i="6"/>
  <c r="AE537" i="6"/>
  <c r="AE1881" i="6"/>
  <c r="AE1215" i="6"/>
  <c r="AE1112" i="6"/>
  <c r="AE2113" i="6"/>
  <c r="AE1584" i="6"/>
  <c r="AE1960" i="6"/>
  <c r="AE881" i="6"/>
  <c r="AE971" i="6"/>
  <c r="AE517" i="6"/>
  <c r="AE1044" i="6"/>
  <c r="AE1831" i="6"/>
  <c r="AE1953" i="6"/>
  <c r="AE684" i="6"/>
  <c r="AE452" i="6"/>
  <c r="AE1569" i="6"/>
  <c r="AE1781" i="6"/>
  <c r="AE1385" i="6"/>
  <c r="AE2193" i="6"/>
  <c r="AE2228" i="6"/>
  <c r="AE797" i="6"/>
  <c r="AE90" i="6"/>
  <c r="AE1843" i="6"/>
  <c r="AE2071" i="6"/>
  <c r="AE1947" i="6"/>
  <c r="AE1915" i="6"/>
  <c r="AE771" i="6"/>
  <c r="AE322" i="6"/>
  <c r="AE867" i="6"/>
  <c r="AE1725" i="6"/>
  <c r="AE521" i="6"/>
  <c r="AE1611" i="6"/>
  <c r="AE400" i="6"/>
  <c r="AE692" i="6"/>
  <c r="AE921" i="6"/>
  <c r="AE1470" i="6"/>
  <c r="AE1305" i="6"/>
  <c r="AE262" i="6"/>
  <c r="AE1424" i="6"/>
  <c r="AE1705" i="6"/>
  <c r="AE1091" i="6"/>
  <c r="AE856" i="6"/>
  <c r="AE1482" i="6"/>
  <c r="AE594" i="6"/>
  <c r="AE508" i="6"/>
  <c r="AE1861" i="6"/>
  <c r="AE88" i="6"/>
  <c r="AE2042" i="6"/>
  <c r="AE834" i="6"/>
  <c r="AE1455" i="6"/>
  <c r="AE477" i="6"/>
  <c r="AE1890" i="6"/>
  <c r="AE2153" i="6"/>
  <c r="AE1721" i="6"/>
  <c r="AE346" i="6"/>
  <c r="AE1955" i="6"/>
  <c r="AE1830" i="6"/>
  <c r="AE1526" i="6"/>
  <c r="AE846" i="6"/>
  <c r="AE727" i="6"/>
  <c r="AE287" i="6"/>
  <c r="AE162" i="6"/>
  <c r="AE427" i="6"/>
  <c r="AE1237" i="6"/>
  <c r="AE954" i="6"/>
  <c r="AE750" i="6"/>
  <c r="AE964" i="6"/>
  <c r="AE369" i="6"/>
  <c r="AE44" i="6"/>
  <c r="AE1665" i="6"/>
  <c r="I93" i="13" s="1"/>
  <c r="AE1165" i="6"/>
  <c r="AE1998" i="6"/>
  <c r="AE561" i="6"/>
  <c r="AE2168" i="6"/>
  <c r="AE1421" i="6"/>
  <c r="AE1408" i="6"/>
  <c r="AE568" i="6"/>
  <c r="AE930" i="6"/>
  <c r="AE1736" i="6"/>
  <c r="AE2175" i="6"/>
  <c r="AE1418" i="6"/>
  <c r="AE315" i="6"/>
  <c r="AE2029" i="6"/>
  <c r="AE1322" i="6"/>
  <c r="AE2174" i="6"/>
  <c r="AE910" i="6"/>
  <c r="AE343" i="6"/>
  <c r="AE1067" i="6"/>
  <c r="AE1681" i="6"/>
  <c r="AE836" i="6"/>
  <c r="AE1334" i="6"/>
  <c r="AE196" i="6"/>
  <c r="AE1441" i="6"/>
  <c r="AE1291" i="6"/>
  <c r="AE257" i="6"/>
  <c r="AE1012" i="6"/>
  <c r="AE1362" i="6"/>
  <c r="AE463" i="6"/>
  <c r="AE281" i="6"/>
  <c r="AE384" i="6"/>
  <c r="AE1961" i="6"/>
  <c r="AE749" i="6"/>
  <c r="AE1733" i="6"/>
  <c r="AE574" i="6"/>
  <c r="AE376" i="6"/>
  <c r="AE1561" i="6"/>
  <c r="AE2133" i="6"/>
  <c r="AE2015" i="6"/>
  <c r="AE666" i="6"/>
  <c r="AE755" i="6"/>
  <c r="AE1051" i="6"/>
  <c r="AE1415" i="6"/>
  <c r="AE1394" i="6"/>
  <c r="AE728" i="6"/>
  <c r="AE1377" i="6"/>
  <c r="AE1776" i="6"/>
  <c r="AE97" i="6"/>
  <c r="AE1238" i="6"/>
  <c r="AE1309" i="6"/>
  <c r="AE2030" i="6"/>
  <c r="AE532" i="6"/>
  <c r="AE933" i="6"/>
  <c r="AE1468" i="6"/>
  <c r="AE2011" i="6"/>
  <c r="AE14" i="6"/>
  <c r="AE331" i="6"/>
  <c r="AE1860" i="6"/>
  <c r="AE1188" i="6"/>
  <c r="AE373" i="6"/>
  <c r="AE1262" i="6"/>
  <c r="AE1872" i="6"/>
  <c r="AE1476" i="6"/>
  <c r="AE84" i="6"/>
  <c r="AE2038" i="6"/>
  <c r="AE2043" i="6"/>
  <c r="AE600" i="6"/>
  <c r="AE1787" i="6"/>
  <c r="AE1390" i="6"/>
  <c r="AE1265" i="6"/>
  <c r="AE626" i="6"/>
  <c r="AE809" i="6"/>
  <c r="AE2093" i="6"/>
  <c r="AE375" i="6"/>
  <c r="AE1565" i="6"/>
  <c r="AE1518" i="6"/>
  <c r="AE1434" i="6"/>
  <c r="AE38" i="6"/>
  <c r="AE1217" i="6"/>
  <c r="AE804" i="6"/>
  <c r="AE1483" i="6"/>
  <c r="AE2142" i="6"/>
  <c r="AE2109" i="6"/>
  <c r="AE1966" i="6"/>
  <c r="AE1750" i="6"/>
  <c r="AE1578" i="6"/>
  <c r="AE506" i="6"/>
  <c r="AE1634" i="6"/>
  <c r="AE212" i="6"/>
  <c r="AE2149" i="6"/>
  <c r="AE656" i="6"/>
  <c r="AE381" i="6"/>
  <c r="AE1168" i="6"/>
  <c r="AE1581" i="6"/>
  <c r="AE913" i="6"/>
  <c r="AE694" i="6"/>
  <c r="AE1795" i="6"/>
  <c r="AE72" i="6"/>
  <c r="AE743" i="6"/>
  <c r="AE1525" i="6"/>
  <c r="AE1933" i="6"/>
  <c r="AE1158" i="6"/>
  <c r="AE131" i="6"/>
  <c r="AE687" i="6"/>
  <c r="AE1507" i="6"/>
  <c r="AE194" i="6"/>
  <c r="AE475" i="6"/>
  <c r="AE1499" i="6"/>
  <c r="AE1793" i="6"/>
  <c r="AE1652" i="6"/>
  <c r="I106" i="13" s="1"/>
  <c r="AE1924" i="6"/>
  <c r="AE31" i="6"/>
  <c r="AE313" i="6"/>
  <c r="AE482" i="6"/>
  <c r="AE1039" i="6"/>
  <c r="AE569" i="6"/>
  <c r="AE812" i="6"/>
  <c r="AE45" i="6"/>
  <c r="AE748" i="6"/>
  <c r="AE1232" i="6"/>
  <c r="AE1477" i="6"/>
  <c r="AE282" i="6"/>
  <c r="AE653" i="6"/>
  <c r="AE1538" i="6"/>
  <c r="AE1672" i="6"/>
  <c r="AE1822" i="6"/>
  <c r="AE1658" i="6"/>
  <c r="AE145" i="6"/>
  <c r="AE1264" i="6"/>
  <c r="AE1279" i="6"/>
  <c r="AE861" i="6"/>
  <c r="AE1784" i="6"/>
  <c r="AE1788" i="6"/>
  <c r="AE1792" i="6"/>
  <c r="AE1694" i="6"/>
  <c r="AE1462" i="6"/>
  <c r="AE2069" i="6"/>
  <c r="AE956" i="6"/>
  <c r="AE388" i="6"/>
  <c r="AE1015" i="6"/>
  <c r="AE579" i="6"/>
  <c r="AE1783" i="6"/>
  <c r="AE1571" i="6"/>
  <c r="I82" i="13" s="1"/>
  <c r="AE473" i="6"/>
  <c r="AE1297" i="6"/>
  <c r="AE729" i="6"/>
  <c r="AE1735" i="6"/>
  <c r="AE597" i="6"/>
  <c r="AE725" i="6"/>
  <c r="AE762" i="6"/>
  <c r="AE1837" i="6"/>
  <c r="AE1911" i="6"/>
  <c r="AE468" i="6"/>
  <c r="AE824" i="6"/>
  <c r="AE1392" i="6"/>
  <c r="AE2192" i="6"/>
  <c r="AE593" i="6"/>
  <c r="AE765" i="6"/>
  <c r="AE341" i="6"/>
  <c r="AE882" i="6"/>
  <c r="AE654" i="6"/>
  <c r="AE1300" i="6"/>
  <c r="AE1298" i="6"/>
  <c r="AE407" i="6"/>
  <c r="AE1841" i="6"/>
  <c r="AE1746" i="6"/>
  <c r="AE1289" i="6"/>
  <c r="AE1062" i="6"/>
  <c r="AE1330" i="6"/>
  <c r="AE344" i="6"/>
  <c r="AE963" i="6"/>
  <c r="AE1958" i="6"/>
  <c r="AE1193" i="6"/>
  <c r="AE1515" i="6"/>
  <c r="AE2224" i="6"/>
  <c r="AE1396" i="6"/>
  <c r="AE1290" i="6"/>
  <c r="AE1177" i="6"/>
  <c r="AE1397" i="6"/>
  <c r="AE85" i="6"/>
  <c r="AE1794" i="6"/>
  <c r="AE1662" i="6"/>
  <c r="AE2101" i="6"/>
  <c r="AE182" i="6"/>
  <c r="AE1948" i="6"/>
  <c r="AE1444" i="6"/>
  <c r="AE146" i="6"/>
  <c r="AE390" i="6"/>
  <c r="AE1311" i="6"/>
  <c r="AE1704" i="6"/>
  <c r="AE62" i="6"/>
  <c r="AE1310" i="6"/>
  <c r="AE494" i="6"/>
  <c r="AE1447" i="6"/>
  <c r="AE1018" i="6"/>
  <c r="AE578" i="6"/>
  <c r="AE207" i="6"/>
  <c r="AE662" i="6"/>
  <c r="AE119" i="6"/>
  <c r="AE220" i="6"/>
  <c r="AE2047" i="6"/>
  <c r="AE1466" i="6"/>
  <c r="AE2026" i="6"/>
  <c r="AE1648" i="6"/>
  <c r="AE1465" i="6"/>
  <c r="AE1142" i="6"/>
  <c r="AE1131" i="6"/>
  <c r="AE670" i="6"/>
  <c r="AE1644" i="6"/>
  <c r="AE634" i="6"/>
  <c r="AE1806" i="6"/>
  <c r="AE1943" i="6"/>
  <c r="AE439" i="6"/>
  <c r="AE246" i="6"/>
  <c r="AE1819" i="6"/>
  <c r="AE1777" i="6"/>
  <c r="AE1059" i="6"/>
  <c r="AE1645" i="6"/>
  <c r="AE538" i="6"/>
  <c r="AE2020" i="6"/>
  <c r="AE1229" i="6"/>
  <c r="AE2010" i="6"/>
  <c r="AE1814" i="6"/>
  <c r="AE1342" i="6"/>
  <c r="AE415" i="6"/>
  <c r="AE885" i="6"/>
  <c r="AE974" i="6"/>
  <c r="AE1895" i="6"/>
  <c r="AE1695" i="6"/>
  <c r="AE273" i="6"/>
  <c r="AE1913" i="6"/>
  <c r="AE787" i="6"/>
  <c r="AE1918" i="6"/>
  <c r="AE948" i="6"/>
  <c r="AE816" i="6"/>
  <c r="AE1709" i="6"/>
  <c r="AE2040" i="6"/>
  <c r="AE253" i="6"/>
  <c r="AE718" i="6"/>
  <c r="AE59" i="6"/>
  <c r="AE1006" i="6"/>
  <c r="AE256" i="6"/>
  <c r="AE789" i="6"/>
  <c r="AE1228" i="6"/>
  <c r="AE1331" i="6"/>
  <c r="AE772" i="6"/>
  <c r="AE689" i="6"/>
  <c r="AE1585" i="6"/>
  <c r="AE1399" i="6"/>
  <c r="AE768" i="6"/>
  <c r="AE2087" i="6"/>
  <c r="AE845" i="6"/>
  <c r="AE1304" i="6"/>
  <c r="AE1944" i="6"/>
  <c r="AE191" i="6"/>
  <c r="AE1601" i="6"/>
  <c r="AE43" i="6"/>
  <c r="AE1962" i="6"/>
  <c r="AE1567" i="6"/>
  <c r="AE1556" i="6"/>
  <c r="AE1201" i="6"/>
  <c r="AE564" i="6"/>
  <c r="AE2117" i="6"/>
  <c r="AE459" i="6"/>
  <c r="AE1722" i="6"/>
  <c r="AE2008" i="6"/>
  <c r="AE314" i="6"/>
  <c r="AE1479" i="6"/>
  <c r="AE702" i="6"/>
  <c r="AE1345" i="6"/>
  <c r="AE1981" i="6"/>
  <c r="AE48" i="6"/>
  <c r="AE866" i="6"/>
  <c r="AE2188" i="6"/>
  <c r="AE514" i="6"/>
  <c r="AE1649" i="6"/>
  <c r="AE1321" i="6"/>
  <c r="AE1198" i="6"/>
  <c r="AE1576" i="6"/>
  <c r="AE1416" i="6"/>
  <c r="AE263" i="6"/>
  <c r="AE1512" i="6"/>
  <c r="AE2184" i="6"/>
  <c r="AE454" i="6"/>
  <c r="AE195" i="6"/>
  <c r="AE1980" i="6"/>
  <c r="AE1121" i="6"/>
  <c r="AE1085" i="6"/>
  <c r="AE1909" i="6"/>
  <c r="AE1296" i="6"/>
  <c r="AE2151" i="6"/>
  <c r="AE424" i="6"/>
  <c r="AE1440" i="6"/>
  <c r="AE235" i="6"/>
  <c r="AE1987" i="6"/>
  <c r="AE800" i="6"/>
  <c r="AE1017" i="6"/>
  <c r="AE461" i="6"/>
  <c r="AE1221" i="6"/>
  <c r="AE405" i="6"/>
  <c r="AE869" i="6"/>
  <c r="AE342" i="6"/>
  <c r="AE939" i="6"/>
  <c r="AE1436" i="6"/>
  <c r="AE1194" i="6"/>
  <c r="AE1391" i="6"/>
  <c r="AE290" i="6"/>
  <c r="AE1003" i="6"/>
  <c r="AE584" i="6"/>
  <c r="AE1723" i="6"/>
  <c r="AE1969" i="6"/>
  <c r="AE210" i="6"/>
  <c r="AE1111" i="6"/>
  <c r="AE1587" i="6"/>
  <c r="AE827" i="6"/>
  <c r="AE589" i="6"/>
  <c r="AE708" i="6"/>
  <c r="AE1386" i="6"/>
  <c r="AE1234" i="6"/>
  <c r="AE441" i="6"/>
  <c r="AE249" i="6"/>
  <c r="AE1844" i="6"/>
  <c r="AE929" i="6"/>
  <c r="AE394" i="6"/>
  <c r="AE1907" i="6"/>
  <c r="AE1372" i="6"/>
  <c r="AE1223" i="6"/>
  <c r="AE329" i="6"/>
  <c r="AE893" i="6"/>
  <c r="AE2007" i="6"/>
  <c r="AE1871" i="6"/>
  <c r="AE2027" i="6"/>
  <c r="AE254" i="6"/>
  <c r="AE1092" i="6"/>
  <c r="AE854" i="6"/>
  <c r="AE1502" i="6"/>
  <c r="AE1641" i="6"/>
  <c r="AE1495" i="6"/>
  <c r="AE177" i="6"/>
  <c r="AE1115" i="6"/>
  <c r="AE1126" i="6"/>
  <c r="AE1745" i="6"/>
  <c r="AE186" i="6"/>
  <c r="AE780" i="6"/>
  <c r="AE553" i="6"/>
  <c r="AE296" i="6"/>
  <c r="AE828" i="6"/>
  <c r="AE985" i="6"/>
  <c r="AE445" i="6"/>
  <c r="AE736" i="6"/>
  <c r="AE151" i="6"/>
  <c r="AE1475" i="6"/>
  <c r="AE1521" i="6"/>
  <c r="AE1593" i="6"/>
  <c r="AE1082" i="6"/>
  <c r="AE1058" i="6"/>
  <c r="AE1637" i="6"/>
  <c r="AE428" i="6"/>
  <c r="AE959" i="6"/>
  <c r="AE531" i="6"/>
  <c r="AE1730" i="6"/>
  <c r="AE1778" i="6"/>
  <c r="AE498" i="6"/>
  <c r="AE791" i="6"/>
  <c r="AE71" i="6"/>
  <c r="AE1834" i="6"/>
  <c r="AE1756" i="6"/>
  <c r="AE1718" i="6"/>
  <c r="AE187" i="6"/>
  <c r="I51" i="13" s="1"/>
  <c r="AE1547" i="6"/>
  <c r="AE639" i="6"/>
  <c r="AE2120" i="6"/>
  <c r="AE308" i="6"/>
  <c r="AE367" i="6"/>
  <c r="AE479" i="6"/>
  <c r="AE996" i="6"/>
  <c r="AE1133" i="6"/>
  <c r="AE1347" i="6"/>
  <c r="AE1090" i="6"/>
  <c r="AE54" i="6"/>
  <c r="AE41" i="6"/>
  <c r="AE2032" i="6"/>
  <c r="AE901" i="6"/>
  <c r="AE1680" i="6"/>
  <c r="AE803" i="6"/>
  <c r="AE1543" i="6"/>
  <c r="AE1387" i="6"/>
  <c r="AE754" i="6"/>
  <c r="AE166" i="6"/>
  <c r="AE442" i="6"/>
  <c r="AE1588" i="6"/>
  <c r="AE1454" i="6"/>
  <c r="AE1826" i="6"/>
  <c r="AE144" i="6"/>
  <c r="AE1838" i="6"/>
  <c r="AE30" i="6"/>
  <c r="AE1340" i="6"/>
  <c r="AE1539" i="6"/>
  <c r="AE50" i="6"/>
  <c r="AE760" i="6"/>
  <c r="AE213" i="6"/>
  <c r="AE1072" i="6"/>
  <c r="AE326" i="6"/>
  <c r="AE1373" i="6"/>
  <c r="AE1500" i="6"/>
  <c r="AE1920" i="6"/>
  <c r="AE74" i="6"/>
  <c r="AE1046" i="6"/>
  <c r="AE87" i="6"/>
  <c r="AE301" i="6"/>
  <c r="AE1668" i="6"/>
  <c r="AE957" i="6"/>
  <c r="AE664" i="6"/>
  <c r="AE1766" i="6"/>
  <c r="AE2056" i="6"/>
  <c r="AE1099" i="6"/>
  <c r="AE1574" i="6"/>
  <c r="AE241" i="6"/>
  <c r="AE518" i="6"/>
  <c r="AE456" i="6"/>
  <c r="AE813" i="6"/>
  <c r="AE24" i="6"/>
  <c r="AE1917" i="6"/>
  <c r="AE1287" i="6"/>
  <c r="AE242" i="6"/>
  <c r="AE865" i="6"/>
  <c r="AE2183" i="6"/>
  <c r="AE917" i="6"/>
  <c r="AE1154" i="6"/>
  <c r="AE240" i="6"/>
  <c r="AE1563" i="6"/>
  <c r="AE1446" i="6"/>
  <c r="AE1405" i="6"/>
  <c r="AE206" i="6"/>
  <c r="AE1242" i="6"/>
  <c r="AE2086" i="6"/>
  <c r="AE495" i="6"/>
  <c r="AE2073" i="6"/>
  <c r="AE1451" i="6"/>
  <c r="AE58" i="6"/>
  <c r="AE1286" i="6"/>
  <c r="AE1833" i="6"/>
  <c r="AE1579" i="6"/>
  <c r="AE1609" i="6"/>
  <c r="AE190" i="6"/>
  <c r="AE96" i="6"/>
  <c r="AE2094" i="6"/>
  <c r="AE1815" i="6"/>
  <c r="AE352" i="6"/>
  <c r="AE1425" i="6"/>
  <c r="AE86" i="6"/>
  <c r="AE312" i="6"/>
  <c r="AE1550" i="6"/>
  <c r="AE1728" i="6"/>
  <c r="AE229" i="6"/>
  <c r="AE863" i="6"/>
  <c r="AE330" i="6"/>
  <c r="AE1409" i="6"/>
  <c r="AE1317" i="6"/>
  <c r="AE1354" i="6"/>
  <c r="AE154" i="6"/>
  <c r="AE938" i="6"/>
  <c r="AE81" i="6"/>
  <c r="AE29" i="6"/>
  <c r="AE377" i="6"/>
  <c r="AE1070" i="6"/>
  <c r="AE1818" i="6"/>
  <c r="AE958" i="6"/>
  <c r="AE906" i="6"/>
  <c r="AE747" i="6"/>
  <c r="AE1048" i="6"/>
  <c r="AE599" i="6"/>
  <c r="AE1928" i="6"/>
  <c r="AE1559" i="6"/>
  <c r="AE559" i="6"/>
  <c r="AE1134" i="6"/>
  <c r="AE497" i="6"/>
  <c r="AE117" i="6"/>
  <c r="AE1927" i="6"/>
  <c r="AE1548" i="6"/>
  <c r="AE1315" i="6"/>
  <c r="AE628" i="6"/>
  <c r="AE267" i="6"/>
  <c r="AE434" i="6"/>
  <c r="AE853" i="6"/>
  <c r="AE525" i="6"/>
  <c r="AE837" i="6"/>
  <c r="AE806" i="6"/>
  <c r="AE1338" i="6"/>
  <c r="AE1071" i="6"/>
  <c r="AE27" i="6"/>
  <c r="AE1892" i="6"/>
  <c r="AE1755" i="6"/>
  <c r="AE1799" i="6"/>
  <c r="AE1549" i="6"/>
  <c r="AE325" i="6"/>
  <c r="AE337" i="6"/>
  <c r="AE2025" i="6"/>
  <c r="AE143" i="6"/>
  <c r="AE1186" i="6"/>
  <c r="AE1885" i="6"/>
  <c r="AE1461" i="6"/>
  <c r="AE617" i="6"/>
  <c r="AE1851" i="6"/>
  <c r="AE2143" i="6"/>
  <c r="AE470" i="6"/>
  <c r="AE1642" i="6"/>
  <c r="AE1182" i="6"/>
  <c r="AE138" i="6"/>
  <c r="AE501" i="6"/>
  <c r="AE1406" i="6"/>
  <c r="AE1786" i="6"/>
  <c r="AE1513" i="6"/>
  <c r="AE1864" i="6"/>
  <c r="AE1358" i="6"/>
  <c r="AE2077" i="6"/>
  <c r="AE1600" i="6"/>
  <c r="AE1063" i="6"/>
  <c r="AE696" i="6"/>
  <c r="AE785" i="6"/>
  <c r="AE975" i="6"/>
  <c r="AE582" i="6"/>
  <c r="AE91" i="6"/>
  <c r="AE1073" i="6"/>
  <c r="AE1501" i="6"/>
  <c r="AE850" i="6"/>
  <c r="AE924" i="6"/>
  <c r="AE704" i="6"/>
  <c r="AE1395" i="6"/>
  <c r="AE1270" i="6"/>
  <c r="AE740" i="6"/>
  <c r="AE351" i="6"/>
  <c r="AE1974" i="6"/>
  <c r="AE1498" i="6"/>
  <c r="AE476" i="6"/>
  <c r="AE1293" i="6"/>
  <c r="AE1045" i="6"/>
  <c r="AE35" i="6"/>
  <c r="AE966" i="6"/>
  <c r="AE817" i="6"/>
  <c r="AE447" i="6"/>
  <c r="AE2067" i="6"/>
  <c r="AE340" i="6"/>
  <c r="AE884" i="6"/>
  <c r="AE1042" i="6"/>
  <c r="AE2091" i="6"/>
  <c r="AE1509" i="6"/>
  <c r="AE1255" i="6"/>
  <c r="AE2129" i="6"/>
  <c r="AE1173" i="6"/>
  <c r="AE478" i="6"/>
  <c r="AE766" i="6"/>
  <c r="AE1583" i="6"/>
  <c r="I108" i="13" s="1"/>
  <c r="AE774" i="6"/>
  <c r="AE1384" i="6"/>
  <c r="AE47" i="6"/>
  <c r="AE818" i="6"/>
  <c r="AE2190" i="6"/>
  <c r="AE25" i="6"/>
  <c r="AE467" i="6"/>
  <c r="AE695" i="6"/>
  <c r="AE859" i="6"/>
  <c r="AE347" i="6"/>
  <c r="AE805" i="6"/>
  <c r="AE1169" i="6"/>
  <c r="AE1183" i="6"/>
  <c r="AE105" i="6"/>
  <c r="AE2177" i="6"/>
  <c r="AE545" i="6"/>
  <c r="AE1431" i="6"/>
  <c r="AE1212" i="6"/>
  <c r="AE934" i="6"/>
  <c r="AE1749" i="6"/>
  <c r="AE1207" i="6"/>
  <c r="AE1401" i="6"/>
  <c r="AE1821" i="6"/>
  <c r="AE543" i="6"/>
  <c r="AE2186" i="6"/>
  <c r="AE1184" i="6"/>
  <c r="AE2045" i="6"/>
  <c r="AE773" i="6"/>
  <c r="AE1621" i="6"/>
  <c r="I114" i="13" s="1"/>
  <c r="AE1945" i="6"/>
  <c r="AE1685" i="6"/>
  <c r="AE1884" i="6"/>
  <c r="AE307" i="6"/>
  <c r="AE1249" i="6"/>
  <c r="AE1463" i="6"/>
  <c r="AE385" i="6"/>
  <c r="AE877" i="6"/>
  <c r="AE1412" i="6"/>
  <c r="AE2090" i="6"/>
  <c r="AE1557" i="6"/>
  <c r="AE688" i="6"/>
  <c r="AE839" i="6"/>
  <c r="AE715" i="6"/>
  <c r="AE1875" i="6"/>
  <c r="AE731" i="6"/>
  <c r="AE1544" i="6"/>
  <c r="AE83" i="6"/>
  <c r="AE32" i="6"/>
  <c r="AE1231" i="6"/>
  <c r="AE406" i="6"/>
  <c r="AE2222" i="6"/>
  <c r="AE350" i="6"/>
  <c r="AE333" i="6"/>
  <c r="AE159" i="6"/>
  <c r="AE591" i="6"/>
  <c r="AE1829" i="6"/>
  <c r="AE319" i="6"/>
  <c r="AE1081" i="6"/>
  <c r="AE1848" i="6"/>
  <c r="AE1971" i="6"/>
  <c r="AE1560" i="6"/>
  <c r="AE1344" i="6"/>
  <c r="AE160" i="6"/>
  <c r="AE1458" i="6"/>
  <c r="AE1430" i="6"/>
  <c r="AE1200" i="6"/>
  <c r="AE227" i="6"/>
  <c r="AE1847" i="6"/>
  <c r="AE507" i="6"/>
  <c r="AE231" i="6"/>
  <c r="AE1674" i="6"/>
  <c r="AE907" i="6"/>
  <c r="AE783" i="6"/>
  <c r="AE1951" i="6"/>
  <c r="AE1371" i="6"/>
  <c r="AE722" i="6"/>
  <c r="AE251" i="6"/>
  <c r="AE860" i="6"/>
  <c r="AE1393" i="6"/>
  <c r="AE1489" i="6"/>
  <c r="AE2019" i="6"/>
  <c r="AE527" i="6"/>
  <c r="AE900" i="6"/>
  <c r="AE1870" i="6"/>
  <c r="AE1365" i="6"/>
  <c r="AE1457" i="6"/>
  <c r="AE1537" i="6"/>
  <c r="AE472" i="6"/>
  <c r="AE638" i="6"/>
  <c r="AE1533" i="6"/>
  <c r="AE1057" i="6"/>
  <c r="AE276" i="6"/>
  <c r="AE1708" i="6"/>
  <c r="AE1140" i="6"/>
  <c r="AE528" i="6"/>
  <c r="AE2064" i="6"/>
  <c r="AE534" i="6"/>
  <c r="AE1364" i="6"/>
  <c r="AE821" i="6"/>
  <c r="AE311" i="6"/>
  <c r="AE874" i="6"/>
  <c r="AE1452" i="6"/>
  <c r="AE1137" i="6"/>
  <c r="AE1132" i="6"/>
  <c r="AE937" i="6"/>
  <c r="AE184" i="6"/>
  <c r="AE2141" i="6"/>
  <c r="AE1739" i="6"/>
  <c r="AE752" i="6"/>
  <c r="AE1355" i="6"/>
  <c r="AE1514" i="6"/>
  <c r="AE491" i="6"/>
  <c r="AE270" i="6"/>
  <c r="AE1724" i="6"/>
  <c r="AE1859" i="6"/>
  <c r="AE316" i="6"/>
  <c r="AE1269" i="6"/>
  <c r="AE627" i="6"/>
  <c r="AE1726" i="6"/>
  <c r="AE1258" i="6"/>
  <c r="AE509" i="6"/>
  <c r="AE1522" i="6"/>
  <c r="AE489" i="6"/>
  <c r="AE951" i="6"/>
  <c r="AE835" i="6"/>
  <c r="AE446" i="6"/>
  <c r="AE173" i="6"/>
  <c r="AE1897" i="6"/>
  <c r="AE1094" i="6"/>
  <c r="AE744" i="6"/>
  <c r="AE1190" i="6"/>
  <c r="AE547" i="6"/>
  <c r="AE28" i="6"/>
  <c r="AE633" i="6"/>
  <c r="AE2131" i="6"/>
  <c r="AE1449" i="6"/>
  <c r="AE1707" i="6"/>
  <c r="AE1098" i="6"/>
  <c r="AE1484" i="6"/>
  <c r="AE1432" i="6"/>
  <c r="AE539" i="6"/>
  <c r="AE1043" i="6"/>
  <c r="AE95" i="6"/>
  <c r="AE823" i="6"/>
  <c r="AE808" i="6"/>
  <c r="AE1332" i="6"/>
  <c r="AE1616" i="6"/>
  <c r="AE2036" i="6"/>
  <c r="AE135" i="6"/>
  <c r="AE286" i="6"/>
  <c r="AE1527" i="6"/>
  <c r="AE1975" i="6"/>
  <c r="AE1211" i="6"/>
  <c r="AE984" i="6"/>
  <c r="AE944" i="6"/>
  <c r="AE1069" i="6"/>
  <c r="AE1097" i="6"/>
  <c r="AE485" i="6"/>
  <c r="AE1950" i="6"/>
  <c r="AE516" i="6"/>
  <c r="AE1845" i="6"/>
  <c r="AE1161" i="6"/>
  <c r="AE732" i="6"/>
  <c r="AE778" i="6"/>
  <c r="AE598" i="6"/>
  <c r="AE894" i="6"/>
  <c r="AE425" i="6"/>
  <c r="AE1178" i="6"/>
  <c r="AE255" i="6"/>
  <c r="AE2225" i="6"/>
  <c r="AE1968" i="6"/>
  <c r="AE199" i="6"/>
  <c r="AE1367" i="6"/>
  <c r="AE437" i="6"/>
  <c r="AE2121" i="6"/>
  <c r="AE1660" i="6"/>
  <c r="AE2179" i="6"/>
  <c r="AE1195" i="6"/>
  <c r="AE1598" i="6"/>
  <c r="AE609" i="6"/>
  <c r="AE368" i="6"/>
  <c r="AE460" i="6"/>
  <c r="AE465" i="6"/>
  <c r="AE1963" i="6"/>
  <c r="AE763" i="6"/>
  <c r="AE920" i="6"/>
  <c r="AE1940" i="6"/>
  <c r="AE1744" i="6"/>
  <c r="AE512" i="6"/>
  <c r="AE1156" i="6"/>
  <c r="AE1941" i="6"/>
  <c r="AE879" i="6"/>
  <c r="AE1464" i="6"/>
  <c r="AE1803" i="6"/>
  <c r="AE1873" i="6"/>
  <c r="AE2125" i="6"/>
  <c r="AE418" i="6"/>
  <c r="AE1472" i="6"/>
  <c r="AE1219" i="6"/>
  <c r="AE471" i="6"/>
  <c r="AE80" i="6"/>
  <c r="AE671" i="6"/>
  <c r="I70" i="13"/>
  <c r="AE541" i="6"/>
  <c r="AE1807" i="6"/>
  <c r="I102" i="13"/>
  <c r="I110" i="13"/>
  <c r="AE1139" i="6"/>
  <c r="I12" i="13" l="1"/>
  <c r="AE1152" i="6"/>
  <c r="AE2220" i="6"/>
  <c r="AA18" i="6"/>
  <c r="AE18" i="6" s="1"/>
  <c r="I26" i="13" s="1"/>
  <c r="AE2216" i="6"/>
  <c r="AA2119" i="6"/>
  <c r="AE2119" i="6" s="1"/>
  <c r="AE2106" i="6"/>
  <c r="W11" i="6"/>
  <c r="AA11" i="6" s="1"/>
  <c r="AE1105" i="6"/>
  <c r="AE683" i="6"/>
  <c r="AE371" i="6"/>
  <c r="AE1102" i="6"/>
  <c r="AE697" i="6"/>
  <c r="AE2205" i="6"/>
  <c r="AE2155" i="6"/>
  <c r="AE433" i="6"/>
  <c r="AE2217" i="6"/>
  <c r="AA1687" i="6"/>
  <c r="AE1687" i="6" s="1"/>
  <c r="AA678" i="6"/>
  <c r="AE678" i="6" s="1"/>
  <c r="W10" i="6"/>
  <c r="AA10" i="6" s="1"/>
  <c r="AE10" i="6" s="1"/>
  <c r="AF8" i="6"/>
  <c r="I50" i="13"/>
  <c r="I48" i="13"/>
  <c r="I42" i="13"/>
  <c r="I44" i="13"/>
  <c r="I59" i="13"/>
  <c r="I95" i="13"/>
  <c r="I74" i="13"/>
  <c r="I91" i="13"/>
  <c r="I43" i="13"/>
  <c r="I123" i="13"/>
  <c r="M2296" i="6" s="1"/>
  <c r="I103" i="13"/>
  <c r="I113" i="13"/>
  <c r="I116" i="13"/>
  <c r="I90" i="13"/>
  <c r="I98" i="13"/>
  <c r="I100" i="13"/>
  <c r="I85" i="13"/>
  <c r="I117" i="13"/>
  <c r="I121" i="13"/>
  <c r="I32" i="13"/>
  <c r="I80" i="13"/>
  <c r="I66" i="13"/>
  <c r="I76" i="13"/>
  <c r="I86" i="13"/>
  <c r="I25" i="13"/>
  <c r="I21" i="13"/>
  <c r="I24" i="13"/>
  <c r="I109" i="13"/>
  <c r="I115" i="13"/>
  <c r="I73" i="13"/>
  <c r="I71" i="13"/>
  <c r="I79" i="13"/>
  <c r="I104" i="13"/>
  <c r="I20" i="13"/>
  <c r="I111" i="13"/>
  <c r="I87" i="13"/>
  <c r="I77" i="13"/>
  <c r="I56" i="13"/>
  <c r="I88" i="13"/>
  <c r="I122" i="13"/>
  <c r="I84" i="13"/>
  <c r="I92" i="13"/>
  <c r="I96" i="13"/>
  <c r="I119" i="13"/>
  <c r="I69" i="13"/>
  <c r="I78" i="13"/>
  <c r="I63" i="13"/>
  <c r="I81" i="13"/>
  <c r="I99" i="13"/>
  <c r="I89" i="13"/>
  <c r="I107" i="13"/>
  <c r="I49" i="13"/>
  <c r="I83" i="13"/>
  <c r="I65" i="13"/>
  <c r="I101" i="13"/>
  <c r="I72" i="13"/>
  <c r="I68" i="13"/>
  <c r="I94" i="13"/>
  <c r="I112" i="13"/>
  <c r="I45" i="13"/>
  <c r="I105" i="13"/>
  <c r="I120" i="13"/>
  <c r="I118" i="13"/>
  <c r="I58" i="13"/>
  <c r="I75" i="13"/>
  <c r="I67" i="13"/>
  <c r="I38" i="13"/>
  <c r="I39" i="13"/>
  <c r="I33" i="13"/>
  <c r="I30" i="13"/>
  <c r="I31" i="13"/>
  <c r="I36" i="13"/>
  <c r="I37" i="13"/>
  <c r="I27" i="13"/>
  <c r="R1614" i="6"/>
  <c r="S1614" i="6" s="1"/>
  <c r="AB1614" i="6" s="1"/>
  <c r="AC1614" i="6" s="1"/>
  <c r="R1650" i="6"/>
  <c r="S1650" i="6" s="1"/>
  <c r="AB1650" i="6" s="1"/>
  <c r="AC1650" i="6" s="1"/>
  <c r="R1615" i="6"/>
  <c r="S1615" i="6" s="1"/>
  <c r="AB1615" i="6" s="1"/>
  <c r="AC1615" i="6" s="1"/>
  <c r="R1610" i="6"/>
  <c r="S1610" i="6" s="1"/>
  <c r="AB1610" i="6" s="1"/>
  <c r="AC1610" i="6" s="1"/>
  <c r="R1613" i="6"/>
  <c r="S1613" i="6" s="1"/>
  <c r="AB1613" i="6" s="1"/>
  <c r="AC1613" i="6" s="1"/>
  <c r="R1608" i="6"/>
  <c r="S1608" i="6" s="1"/>
  <c r="AB1608" i="6" s="1"/>
  <c r="AC1608" i="6" s="1"/>
  <c r="I18" i="13" l="1"/>
  <c r="AE11" i="6"/>
  <c r="I19" i="13" s="1"/>
  <c r="V1650" i="6"/>
  <c r="W1650" i="6" s="1"/>
  <c r="V1613" i="6"/>
  <c r="W1613" i="6" s="1"/>
  <c r="V1608" i="6"/>
  <c r="V1610" i="6"/>
  <c r="V1615" i="6"/>
  <c r="W1615" i="6" s="1"/>
  <c r="V1614" i="6"/>
  <c r="O2296" i="6"/>
  <c r="R2296" i="6" s="1"/>
  <c r="S2296" i="6" s="1"/>
  <c r="AB2296" i="6" s="1"/>
  <c r="AC2296" i="6" s="1"/>
  <c r="W1610" i="6" l="1"/>
  <c r="AA1610" i="6" s="1"/>
  <c r="W1614" i="6"/>
  <c r="AA1614" i="6" s="1"/>
  <c r="W1608" i="6"/>
  <c r="AA1608" i="6" s="1"/>
  <c r="AA1615" i="6"/>
  <c r="AA1613" i="6"/>
  <c r="AA1650" i="6"/>
  <c r="V2296" i="6"/>
  <c r="AD2296" i="6"/>
  <c r="AD1613" i="6"/>
  <c r="AD1614" i="6"/>
  <c r="AD1608" i="6"/>
  <c r="AD1610" i="6"/>
  <c r="AD1615" i="6"/>
  <c r="AD1650" i="6"/>
  <c r="I35" i="13"/>
  <c r="I53" i="13"/>
  <c r="I41" i="13"/>
  <c r="W2296" i="6" l="1"/>
  <c r="AA2296" i="6" s="1"/>
  <c r="AE2296" i="6" s="1"/>
  <c r="AE1613" i="6"/>
  <c r="AE1615" i="6"/>
  <c r="AE1610" i="6"/>
  <c r="AE1608" i="6"/>
  <c r="I23" i="13"/>
  <c r="AE1650" i="6"/>
  <c r="I29" i="13"/>
  <c r="AE1614" i="6"/>
  <c r="I47" i="13"/>
  <c r="AE1682" i="6"/>
  <c r="I54" i="13" s="1"/>
  <c r="AE8" i="6" l="1"/>
  <c r="I28" i="13"/>
  <c r="I61" i="13"/>
  <c r="I46" i="13"/>
  <c r="I55" i="13"/>
  <c r="I40" i="13"/>
  <c r="I57" i="13"/>
  <c r="I22" i="13"/>
  <c r="I97" i="13"/>
  <c r="I34" i="13"/>
  <c r="I3" i="13" s="1"/>
  <c r="I62" i="13"/>
  <c r="I52" i="13"/>
  <c r="I60" i="13"/>
  <c r="I4" i="13" l="1"/>
  <c r="I17" i="13"/>
  <c r="I2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Melissa Jarmon</author>
  </authors>
  <commentList>
    <comment ref="F42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72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72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3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3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37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40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42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43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44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47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50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52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54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855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073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111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437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612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613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615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616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1620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2060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2069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2077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2078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  <comment ref="F2211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CEP HH</t>
        </r>
      </text>
    </comment>
  </commentList>
</comments>
</file>

<file path=xl/sharedStrings.xml><?xml version="1.0" encoding="utf-8"?>
<sst xmlns="http://schemas.openxmlformats.org/spreadsheetml/2006/main" count="29469" uniqueCount="3435">
  <si>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</si>
  <si>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</si>
  <si>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</si>
  <si>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</si>
  <si>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</si>
  <si>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</si>
  <si>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</si>
  <si>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</si>
  <si>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</si>
  <si>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</si>
  <si>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</si>
  <si>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</si>
  <si>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</si>
  <si>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</si>
  <si>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</si>
  <si>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</si>
  <si>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</si>
  <si>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</si>
  <si>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</si>
  <si>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</si>
  <si>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</si>
  <si>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</si>
  <si>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</si>
  <si>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</si>
  <si>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</si>
  <si>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</si>
  <si>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</si>
  <si>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</si>
  <si>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</si>
  <si>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</si>
  <si>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</si>
  <si>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</si>
  <si>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</si>
  <si>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</si>
  <si>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</si>
  <si>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</si>
  <si>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</si>
  <si>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</si>
  <si>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</si>
  <si>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</si>
  <si>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</si>
  <si>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</si>
  <si>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</si>
  <si>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</si>
  <si>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</si>
  <si>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</si>
  <si>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</si>
  <si>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</si>
  <si>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</si>
  <si>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</si>
  <si>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</si>
  <si>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</si>
  <si>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</si>
  <si>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</si>
  <si>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</si>
  <si>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</si>
  <si>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</si>
  <si>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</si>
  <si>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</si>
  <si>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</si>
  <si>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</si>
  <si>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</si>
  <si>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</si>
  <si>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Primary School</t>
  </si>
  <si>
    <t>Kiona-Benton City High School</t>
  </si>
  <si>
    <t>Kiona-Benton City Middle School</t>
  </si>
  <si>
    <t>Kiona-Benton Intermediate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</si>
  <si>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</si>
  <si>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</si>
  <si>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</si>
  <si>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</si>
  <si>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</si>
  <si>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</si>
  <si>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</si>
  <si>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</si>
  <si>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</si>
  <si>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</si>
  <si>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</si>
  <si>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Special Programs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</si>
  <si>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</si>
  <si>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</si>
  <si>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</si>
  <si>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</si>
  <si>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</si>
  <si>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</si>
  <si>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</si>
  <si>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</si>
  <si>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</si>
  <si>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</si>
  <si>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</si>
  <si>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</si>
  <si>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</si>
  <si>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</si>
  <si>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</si>
  <si>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</si>
  <si>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</si>
  <si>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</si>
  <si>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</si>
  <si>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</si>
  <si>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</si>
  <si>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</si>
  <si>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</si>
  <si>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</si>
  <si>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</si>
  <si>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</si>
  <si>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</si>
  <si>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</si>
  <si>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</si>
  <si>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</si>
  <si>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</si>
  <si>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</si>
  <si>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</si>
  <si>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</si>
  <si>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</si>
  <si>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</si>
  <si>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</si>
  <si>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</si>
  <si>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</si>
  <si>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</si>
  <si>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</si>
  <si>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</si>
  <si>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</si>
  <si>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</si>
  <si>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</si>
  <si>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</si>
  <si>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</si>
  <si>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</si>
  <si>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</si>
  <si>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</si>
  <si>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</si>
  <si>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</si>
  <si>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</si>
  <si>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</si>
  <si>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</si>
  <si>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</si>
  <si>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</si>
  <si>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</si>
  <si>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</si>
  <si>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</si>
  <si>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</si>
  <si>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</si>
  <si>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</si>
  <si>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</si>
  <si>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</si>
  <si>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</si>
  <si>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</si>
  <si>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</si>
  <si>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</si>
  <si>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</si>
  <si>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</si>
  <si>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</si>
  <si>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</si>
  <si>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</si>
  <si>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</si>
  <si>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</si>
  <si>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</si>
  <si>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</si>
  <si>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</si>
  <si>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District Run Home School</t>
  </si>
  <si>
    <t>Forks Junior-Senior High School</t>
  </si>
  <si>
    <t>Forks Elementary School</t>
  </si>
  <si>
    <t>Insight School of Washington</t>
  </si>
  <si>
    <t>Quileute Tribal School District</t>
  </si>
  <si>
    <t>Quileute Tribal School</t>
  </si>
  <si>
    <t>Vancouver School District</t>
  </si>
  <si>
    <t>Fir Grove Childrens Center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</si>
  <si>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</si>
  <si>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</si>
  <si>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</si>
  <si>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</si>
  <si>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</si>
  <si>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</si>
  <si>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</si>
  <si>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</si>
  <si>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</si>
  <si>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</si>
  <si>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</si>
  <si>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</si>
  <si>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</si>
  <si>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</si>
  <si>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</si>
  <si>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</si>
  <si>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</si>
  <si>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</si>
  <si>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</si>
  <si>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</si>
  <si>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</si>
  <si>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</si>
  <si>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</si>
  <si>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</si>
  <si>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</si>
  <si>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</si>
  <si>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</si>
  <si>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</si>
  <si>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</si>
  <si>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</si>
  <si>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</si>
  <si>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</si>
  <si>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</si>
  <si>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</si>
  <si>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</si>
  <si>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</si>
  <si>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</si>
  <si>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</si>
  <si>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</si>
  <si>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</si>
  <si>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</si>
  <si>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</si>
  <si>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</si>
  <si>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</si>
  <si>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La Center Home School Academy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</si>
  <si>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</si>
  <si>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</si>
  <si>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</si>
  <si>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</si>
  <si>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</si>
  <si>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</si>
  <si>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</si>
  <si>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</si>
  <si>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</si>
  <si>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</si>
  <si>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49th Street Academy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</si>
  <si>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</si>
  <si>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</si>
  <si>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</si>
  <si>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</si>
  <si>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</si>
  <si>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</si>
  <si>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</si>
  <si>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</si>
  <si>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</si>
  <si>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</si>
  <si>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</si>
  <si>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</si>
  <si>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</si>
  <si>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</si>
  <si>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</si>
  <si>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</si>
  <si>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</si>
  <si>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</si>
  <si>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</si>
  <si>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</si>
  <si>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</si>
  <si>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</si>
  <si>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</si>
  <si>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</si>
  <si>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</si>
  <si>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</si>
  <si>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</si>
  <si>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</si>
  <si>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</si>
  <si>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</si>
  <si>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</si>
  <si>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</si>
  <si>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</si>
  <si>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</si>
  <si>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</si>
  <si>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</si>
  <si>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</si>
  <si>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</si>
  <si>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</si>
  <si>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</si>
  <si>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</si>
  <si>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</si>
  <si>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</si>
  <si>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</si>
  <si>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</si>
  <si>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Homelink River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</si>
  <si>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</si>
  <si>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</si>
  <si>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</si>
  <si>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</si>
  <si>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</si>
  <si>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</si>
  <si>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</si>
  <si>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</si>
  <si>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</si>
  <si>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</si>
  <si>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</si>
  <si>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</si>
  <si>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</si>
  <si>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</si>
  <si>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</si>
  <si>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</si>
  <si>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</si>
  <si>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</si>
  <si>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</si>
  <si>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</si>
  <si>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</si>
  <si>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Educational Service District 112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</si>
  <si>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</si>
  <si>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</si>
  <si>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</si>
  <si>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</si>
  <si>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</si>
  <si>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</si>
  <si>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</si>
  <si>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</si>
  <si>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</si>
  <si>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</si>
  <si>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</si>
  <si>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</si>
  <si>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</si>
  <si>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</si>
  <si>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</si>
  <si>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</si>
  <si>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</si>
  <si>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</si>
  <si>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</si>
  <si>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</si>
  <si>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</si>
  <si>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</si>
  <si>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</si>
  <si>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</si>
  <si>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</si>
  <si>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</si>
  <si>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</si>
  <si>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</si>
  <si>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</si>
  <si>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</si>
  <si>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</si>
  <si>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</si>
  <si>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</si>
  <si>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</si>
  <si>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</si>
  <si>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</si>
  <si>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</si>
  <si>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</si>
  <si>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</si>
  <si>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</si>
  <si>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</si>
  <si>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Carrolls Elementary</t>
  </si>
  <si>
    <t>Huntington Middle School</t>
  </si>
  <si>
    <t>Butler Acres Elementary</t>
  </si>
  <si>
    <t>Coweeman Middle School</t>
  </si>
  <si>
    <t>Barnes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</si>
  <si>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</si>
  <si>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</si>
  <si>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</si>
  <si>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</si>
  <si>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</si>
  <si>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</si>
  <si>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</si>
  <si>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</si>
  <si>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</si>
  <si>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</si>
  <si>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</si>
  <si>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</si>
  <si>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</si>
  <si>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</si>
  <si>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</si>
  <si>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</si>
  <si>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</si>
  <si>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</si>
  <si>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</si>
  <si>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</si>
  <si>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</si>
  <si>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</si>
  <si>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</si>
  <si>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</si>
  <si>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</si>
  <si>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</si>
  <si>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</si>
  <si>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</si>
  <si>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</si>
  <si>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</si>
  <si>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</si>
  <si>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</si>
  <si>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</si>
  <si>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</si>
  <si>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Junior High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</si>
  <si>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</si>
  <si>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</si>
  <si>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</si>
  <si>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</si>
  <si>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</si>
  <si>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</si>
  <si>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</si>
  <si>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</si>
  <si>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</si>
  <si>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</si>
  <si>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</si>
  <si>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</si>
  <si>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</si>
  <si>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</si>
  <si>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</si>
  <si>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</si>
  <si>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</si>
  <si>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</si>
  <si>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</si>
  <si>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</si>
  <si>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</si>
  <si>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</si>
  <si>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</si>
  <si>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</si>
  <si>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</si>
  <si>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</si>
  <si>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</si>
  <si>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</si>
  <si>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</si>
  <si>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</si>
  <si>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</si>
  <si>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</si>
  <si>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</si>
  <si>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</si>
  <si>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</si>
  <si>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</si>
  <si>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</si>
  <si>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</si>
  <si>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</si>
  <si>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</si>
  <si>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</si>
  <si>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</si>
  <si>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</si>
  <si>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</si>
  <si>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</si>
  <si>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</si>
  <si>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</si>
  <si>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</si>
  <si>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</si>
  <si>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</si>
  <si>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</si>
  <si>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</si>
  <si>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</si>
  <si>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</si>
  <si>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</si>
  <si>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</si>
  <si>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</si>
  <si>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</si>
  <si>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</si>
  <si>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</si>
  <si>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</si>
  <si>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</si>
  <si>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</si>
  <si>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</si>
  <si>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</si>
  <si>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</si>
  <si>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</si>
  <si>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</si>
  <si>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</si>
  <si>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</si>
  <si>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</si>
  <si>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</si>
  <si>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</si>
  <si>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</si>
  <si>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</si>
  <si>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</si>
  <si>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</si>
  <si>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</si>
  <si>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</si>
  <si>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>Skill Source Learning Center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</si>
  <si>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</si>
  <si>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</si>
  <si>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</si>
  <si>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</si>
  <si>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</si>
  <si>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</si>
  <si>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</si>
  <si>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</si>
  <si>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</si>
  <si>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</si>
  <si>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</si>
  <si>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</si>
  <si>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</si>
  <si>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</si>
  <si>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</si>
  <si>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</si>
  <si>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</si>
  <si>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</si>
  <si>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</si>
  <si>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</si>
  <si>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</si>
  <si>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</si>
  <si>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</si>
  <si>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</si>
  <si>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</si>
  <si>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</si>
  <si>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</si>
  <si>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</si>
  <si>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</si>
  <si>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</si>
  <si>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</si>
  <si>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</si>
  <si>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</si>
  <si>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</si>
  <si>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</si>
  <si>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</si>
  <si>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</si>
  <si>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</si>
  <si>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</si>
  <si>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</si>
  <si>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</si>
  <si>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</si>
  <si>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</si>
  <si>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</si>
  <si>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</si>
  <si>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</si>
  <si>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</si>
  <si>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</si>
  <si>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</si>
  <si>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</si>
  <si>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</si>
  <si>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</si>
  <si>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</si>
  <si>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</si>
  <si>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</si>
  <si>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</si>
  <si>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</si>
  <si>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</si>
  <si>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</si>
  <si>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</si>
  <si>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</si>
  <si>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</si>
  <si>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</si>
  <si>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</si>
  <si>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</si>
  <si>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</si>
  <si>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</si>
  <si>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</si>
  <si>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</si>
  <si>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</si>
  <si>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</si>
  <si>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</si>
  <si>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</si>
  <si>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</si>
  <si>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</si>
  <si>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Open Den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</si>
  <si>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</si>
  <si>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</si>
  <si>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</si>
  <si>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</si>
  <si>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</si>
  <si>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</si>
  <si>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</si>
  <si>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</si>
  <si>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</si>
  <si>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</si>
  <si>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</si>
  <si>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</si>
  <si>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</si>
  <si>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</si>
  <si>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</si>
  <si>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</si>
  <si>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</si>
  <si>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</si>
  <si>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</si>
  <si>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</si>
  <si>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</si>
  <si>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</si>
  <si>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</si>
  <si>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</si>
  <si>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</si>
  <si>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</si>
  <si>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</si>
  <si>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</si>
  <si>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</si>
  <si>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</si>
  <si>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</si>
  <si>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</si>
  <si>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</si>
  <si>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</si>
  <si>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</si>
  <si>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</si>
  <si>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</si>
  <si>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</si>
  <si>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</si>
  <si>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</si>
  <si>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</si>
  <si>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</si>
  <si>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</si>
  <si>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</si>
  <si>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</si>
  <si>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</si>
  <si>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</si>
  <si>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</si>
  <si>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</si>
  <si>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</si>
  <si>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</si>
  <si>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</si>
  <si>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</si>
  <si>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</si>
  <si>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</si>
  <si>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</si>
  <si>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</si>
  <si>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</si>
  <si>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</si>
  <si>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</si>
  <si>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</si>
  <si>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</si>
  <si>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</si>
  <si>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</si>
  <si>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</si>
  <si>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</si>
  <si>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</si>
  <si>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</si>
  <si>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</si>
  <si>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</si>
  <si>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</si>
  <si>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</si>
  <si>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</si>
  <si>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</si>
  <si>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</si>
  <si>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</si>
  <si>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</si>
  <si>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</si>
  <si>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</si>
  <si>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</si>
  <si>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</si>
  <si>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</si>
  <si>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</si>
  <si>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</si>
  <si>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</si>
  <si>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</si>
  <si>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</si>
  <si>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</si>
  <si>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</si>
  <si>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</si>
  <si>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</si>
  <si>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</si>
  <si>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</si>
  <si>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</si>
  <si>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</si>
  <si>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</si>
  <si>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</si>
  <si>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</si>
  <si>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</si>
  <si>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</si>
  <si>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</si>
  <si>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</si>
  <si>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</si>
  <si>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</si>
  <si>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</si>
  <si>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</si>
  <si>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</si>
  <si>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</si>
  <si>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</si>
  <si>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</si>
  <si>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</si>
  <si>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</si>
  <si>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</si>
  <si>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</si>
  <si>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</si>
  <si>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</si>
  <si>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</si>
  <si>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</si>
  <si>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</si>
  <si>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</si>
  <si>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</si>
  <si>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</si>
  <si>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</si>
  <si>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</si>
  <si>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</si>
  <si>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</si>
  <si>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</si>
  <si>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</si>
  <si>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</si>
  <si>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</si>
  <si>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</si>
  <si>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</si>
  <si>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</si>
  <si>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</si>
  <si>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</si>
  <si>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</si>
  <si>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</si>
  <si>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</si>
  <si>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</si>
  <si>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</si>
  <si>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</si>
  <si>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</si>
  <si>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</si>
  <si>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</si>
  <si>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</si>
  <si>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</si>
  <si>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</si>
  <si>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</si>
  <si>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</si>
  <si>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</si>
  <si>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</si>
  <si>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</si>
  <si>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</si>
  <si>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</si>
  <si>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</si>
  <si>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</si>
  <si>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</si>
  <si>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</si>
  <si>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Enumclaw School District</t>
  </si>
  <si>
    <t>Special Ed School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</si>
  <si>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</si>
  <si>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</si>
  <si>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</si>
  <si>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</si>
  <si>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</si>
  <si>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</si>
  <si>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</si>
  <si>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</si>
  <si>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</si>
  <si>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</si>
  <si>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</si>
  <si>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</si>
  <si>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</si>
  <si>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</si>
  <si>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</si>
  <si>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</si>
  <si>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</si>
  <si>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New Start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</si>
  <si>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</si>
  <si>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</si>
  <si>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</si>
  <si>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</si>
  <si>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</si>
  <si>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</si>
  <si>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</si>
  <si>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</si>
  <si>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</si>
  <si>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</si>
  <si>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</si>
  <si>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</si>
  <si>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</si>
  <si>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Southern Heights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</si>
  <si>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</si>
  <si>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</si>
  <si>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</si>
  <si>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</si>
  <si>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</si>
  <si>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</si>
  <si>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</si>
  <si>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</si>
  <si>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Puget Sound High School</t>
  </si>
  <si>
    <t>Highline Open Doors 1418</t>
  </si>
  <si>
    <t>Highline Home School Center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</si>
  <si>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</si>
  <si>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</si>
  <si>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</si>
  <si>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</si>
  <si>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</si>
  <si>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</si>
  <si>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</si>
  <si>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Griffin Home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</si>
  <si>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</si>
  <si>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</si>
  <si>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</si>
  <si>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</si>
  <si>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</si>
  <si>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</si>
  <si>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</si>
  <si>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</si>
  <si>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</si>
  <si>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</si>
  <si>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</si>
  <si>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</si>
  <si>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</si>
  <si>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</si>
  <si>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</si>
  <si>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</si>
  <si>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</si>
  <si>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</si>
  <si>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</si>
  <si>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</si>
  <si>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</si>
  <si>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</si>
  <si>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</si>
  <si>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</si>
  <si>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</si>
  <si>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</si>
  <si>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</si>
  <si>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</si>
  <si>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</si>
  <si>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</si>
  <si>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</si>
  <si>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</si>
  <si>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</si>
  <si>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</si>
  <si>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</si>
  <si>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</si>
  <si>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</si>
  <si>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</si>
  <si>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</si>
  <si>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</si>
  <si>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</si>
  <si>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</si>
  <si>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</si>
  <si>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</si>
  <si>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</si>
  <si>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</si>
  <si>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</si>
  <si>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</si>
  <si>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</si>
  <si>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</si>
  <si>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</si>
  <si>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</si>
  <si>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</si>
  <si>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Grad Alliance Program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</si>
  <si>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</si>
  <si>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</si>
  <si>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</si>
  <si>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</si>
  <si>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</si>
  <si>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</si>
  <si>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</si>
  <si>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</si>
  <si>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</si>
  <si>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</si>
  <si>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Eagle Rock Multiage School</t>
  </si>
  <si>
    <t>Cherry Valley Elementary School</t>
  </si>
  <si>
    <t>Cedarcrest High School</t>
  </si>
  <si>
    <t>Tolt Middle School</t>
  </si>
  <si>
    <t>Stillwater Elementary</t>
  </si>
  <si>
    <t>Choice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</si>
  <si>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</si>
  <si>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</si>
  <si>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</si>
  <si>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</si>
  <si>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</si>
  <si>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</si>
  <si>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</si>
  <si>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</si>
  <si>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</si>
  <si>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</si>
  <si>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</si>
  <si>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</si>
  <si>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</si>
  <si>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</si>
  <si>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</si>
  <si>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</si>
  <si>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</si>
  <si>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</si>
  <si>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</si>
  <si>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</si>
  <si>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</si>
  <si>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</si>
  <si>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</si>
  <si>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</si>
  <si>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</si>
  <si>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</si>
  <si>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</si>
  <si>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</si>
  <si>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</si>
  <si>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</si>
  <si>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</si>
  <si>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</si>
  <si>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</si>
  <si>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</si>
  <si>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</si>
  <si>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</si>
  <si>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SVSD OPEN DOORS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</si>
  <si>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</si>
  <si>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</si>
  <si>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</si>
  <si>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</si>
  <si>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</si>
  <si>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</si>
  <si>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</si>
  <si>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</si>
  <si>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</si>
  <si>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</si>
  <si>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</si>
  <si>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</si>
  <si>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</si>
  <si>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</si>
  <si>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</si>
  <si>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</si>
  <si>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</si>
  <si>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</si>
  <si>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</si>
  <si>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</si>
  <si>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</si>
  <si>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</si>
  <si>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</si>
  <si>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</si>
  <si>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</si>
  <si>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</si>
  <si>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</si>
  <si>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</si>
  <si>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</si>
  <si>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</si>
  <si>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</si>
  <si>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</si>
  <si>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</si>
  <si>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</si>
  <si>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</si>
  <si>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</si>
  <si>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</si>
  <si>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</si>
  <si>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</si>
  <si>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</si>
  <si>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</si>
  <si>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</si>
  <si>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</si>
  <si>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</si>
  <si>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Contractual Schools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</si>
  <si>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</si>
  <si>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</si>
  <si>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</si>
  <si>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</si>
  <si>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</si>
  <si>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Futures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</si>
  <si>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</si>
  <si>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</si>
  <si>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</si>
  <si>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</si>
  <si>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</si>
  <si>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</si>
  <si>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</si>
  <si>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</si>
  <si>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</si>
  <si>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</si>
  <si>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</si>
  <si>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</si>
  <si>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</si>
  <si>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</si>
  <si>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</si>
  <si>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</si>
  <si>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</si>
  <si>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</si>
  <si>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</si>
  <si>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</si>
  <si>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</si>
  <si>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</si>
  <si>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</si>
  <si>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</si>
  <si>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</si>
  <si>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</si>
  <si>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</si>
  <si>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</si>
  <si>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</si>
  <si>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</si>
  <si>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</si>
  <si>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</si>
  <si>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</si>
  <si>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</si>
  <si>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</si>
  <si>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</si>
  <si>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</si>
  <si>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</si>
  <si>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</si>
  <si>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</si>
  <si>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</si>
  <si>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</si>
  <si>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</si>
  <si>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</si>
  <si>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</si>
  <si>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</si>
  <si>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</si>
  <si>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</si>
  <si>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</si>
  <si>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</si>
  <si>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</si>
  <si>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</si>
  <si>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</si>
  <si>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</si>
  <si>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</si>
  <si>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</si>
  <si>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</si>
  <si>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</si>
  <si>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</si>
  <si>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</si>
  <si>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</si>
  <si>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</si>
  <si>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</si>
  <si>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</si>
  <si>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</si>
  <si>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</si>
  <si>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</si>
  <si>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</si>
  <si>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</si>
  <si>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</si>
  <si>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</si>
  <si>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</si>
  <si>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</si>
  <si>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</si>
  <si>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</si>
  <si>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</si>
  <si>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</si>
  <si>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</si>
  <si>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</si>
  <si>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</si>
  <si>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</si>
  <si>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iGrad</t>
  </si>
  <si>
    <t>The Outreach Program</t>
  </si>
  <si>
    <t>Northshore School District</t>
  </si>
  <si>
    <t>Northshore Networks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</si>
  <si>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</si>
  <si>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</si>
  <si>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</si>
  <si>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</si>
  <si>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</si>
  <si>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</si>
  <si>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</si>
  <si>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</si>
  <si>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</si>
  <si>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</si>
  <si>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</si>
  <si>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</si>
  <si>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</si>
  <si>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</si>
  <si>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</si>
  <si>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</si>
  <si>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</si>
  <si>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</si>
  <si>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</si>
  <si>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</si>
  <si>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</si>
  <si>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</si>
  <si>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</si>
  <si>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</si>
  <si>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</si>
  <si>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</si>
  <si>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</si>
  <si>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</si>
  <si>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</si>
  <si>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</si>
  <si>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</si>
  <si>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</si>
  <si>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</si>
  <si>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</si>
  <si>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</si>
  <si>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Lake Washington Institute of Technology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</si>
  <si>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</si>
  <si>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</si>
  <si>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</si>
  <si>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</si>
  <si>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</si>
  <si>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</si>
  <si>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</si>
  <si>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</si>
  <si>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</si>
  <si>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</si>
  <si>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Career &amp; Academic Re-engagement Center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</si>
  <si>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</si>
  <si>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</si>
  <si>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</si>
  <si>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</si>
  <si>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</si>
  <si>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</si>
  <si>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</si>
  <si>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</si>
  <si>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</si>
  <si>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</si>
  <si>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</si>
  <si>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</si>
  <si>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</si>
  <si>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</si>
  <si>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</si>
  <si>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</si>
  <si>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</si>
  <si>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</si>
  <si>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</si>
  <si>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</si>
  <si>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</si>
  <si>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</si>
  <si>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</si>
  <si>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</si>
  <si>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</si>
  <si>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</si>
  <si>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</si>
  <si>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</si>
  <si>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</si>
  <si>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</si>
  <si>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</si>
  <si>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</si>
  <si>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</si>
  <si>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</si>
  <si>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</si>
  <si>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</si>
  <si>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</si>
  <si>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</si>
  <si>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</si>
  <si>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</si>
  <si>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</si>
  <si>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</si>
  <si>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</si>
  <si>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</si>
  <si>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</si>
  <si>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</si>
  <si>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</si>
  <si>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</si>
  <si>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</si>
  <si>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</si>
  <si>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</si>
  <si>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</si>
  <si>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</si>
  <si>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</si>
  <si>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</si>
  <si>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</si>
  <si>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</si>
  <si>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</si>
  <si>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</si>
  <si>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</si>
  <si>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</si>
  <si>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</si>
  <si>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</si>
  <si>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</si>
  <si>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</si>
  <si>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</si>
  <si>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K-12 Ellensburg Learning Center</t>
  </si>
  <si>
    <t>Kittitas School District</t>
  </si>
  <si>
    <t>Kittitas Elementary School</t>
  </si>
  <si>
    <t>Kittitas High School</t>
  </si>
  <si>
    <t>Kittitas B-5 Special Ed Program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</si>
  <si>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</si>
  <si>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</si>
  <si>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</si>
  <si>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</si>
  <si>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</si>
  <si>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</si>
  <si>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</si>
  <si>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</si>
  <si>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</si>
  <si>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</si>
  <si>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</si>
  <si>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</si>
  <si>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</si>
  <si>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</si>
  <si>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</si>
  <si>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</si>
  <si>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</si>
  <si>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</si>
  <si>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</si>
  <si>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</si>
  <si>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</si>
  <si>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</si>
  <si>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</si>
  <si>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</si>
  <si>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</si>
  <si>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</si>
  <si>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</si>
  <si>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</si>
  <si>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</si>
  <si>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</si>
  <si>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</si>
  <si>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</si>
  <si>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</si>
  <si>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</si>
  <si>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</si>
  <si>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</si>
  <si>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</si>
  <si>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</si>
  <si>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</si>
  <si>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</si>
  <si>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</si>
  <si>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</si>
  <si>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</si>
  <si>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</si>
  <si>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</si>
  <si>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</si>
  <si>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</si>
  <si>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</si>
  <si>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</si>
  <si>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</si>
  <si>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Winolequa Learning Academy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</si>
  <si>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</si>
  <si>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</si>
  <si>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</si>
  <si>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</si>
  <si>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</si>
  <si>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</si>
  <si>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</si>
  <si>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</si>
  <si>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</si>
  <si>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</si>
  <si>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</si>
  <si>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</si>
  <si>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</si>
  <si>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</si>
  <si>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</si>
  <si>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</si>
  <si>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</si>
  <si>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</si>
  <si>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</si>
  <si>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</si>
  <si>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</si>
  <si>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</si>
  <si>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</si>
  <si>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</si>
  <si>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</si>
  <si>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</si>
  <si>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</si>
  <si>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</si>
  <si>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</si>
  <si>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</si>
  <si>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</si>
  <si>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</si>
  <si>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</si>
  <si>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</si>
  <si>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</si>
  <si>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</si>
  <si>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</si>
  <si>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</si>
  <si>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</si>
  <si>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</si>
  <si>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</si>
  <si>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</si>
  <si>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</si>
  <si>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</si>
  <si>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</si>
  <si>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</si>
  <si>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</si>
  <si>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</si>
  <si>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</si>
  <si>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</si>
  <si>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</si>
  <si>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</si>
  <si>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</si>
  <si>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</si>
  <si>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</si>
  <si>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</si>
  <si>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</si>
  <si>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</si>
  <si>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</si>
  <si>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</si>
  <si>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</si>
  <si>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</si>
  <si>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Oakland Bay Junior High School</t>
  </si>
  <si>
    <t>Mary M Knight School District</t>
  </si>
  <si>
    <t>Mary M. Knight School</t>
  </si>
  <si>
    <t>Washington Connections Academy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</si>
  <si>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</si>
  <si>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</si>
  <si>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</si>
  <si>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</si>
  <si>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</si>
  <si>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</si>
  <si>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</si>
  <si>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</si>
  <si>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</si>
  <si>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</si>
  <si>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</si>
  <si>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</si>
  <si>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</si>
  <si>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</si>
  <si>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</si>
  <si>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Paschal Sherman</t>
  </si>
  <si>
    <t>Highlands High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</si>
  <si>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</si>
  <si>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</si>
  <si>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</si>
  <si>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</si>
  <si>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</si>
  <si>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</si>
  <si>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</si>
  <si>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</si>
  <si>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</si>
  <si>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</si>
  <si>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</si>
  <si>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</si>
  <si>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</si>
  <si>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</si>
  <si>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</si>
  <si>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</si>
  <si>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</si>
  <si>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</si>
  <si>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</si>
  <si>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</si>
  <si>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</si>
  <si>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</si>
  <si>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</si>
  <si>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</si>
  <si>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</si>
  <si>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</si>
  <si>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</si>
  <si>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</si>
  <si>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</si>
  <si>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</si>
  <si>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</si>
  <si>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</si>
  <si>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</si>
  <si>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Ocean Beach Alternative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</si>
  <si>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</si>
  <si>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</si>
  <si>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</si>
  <si>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</si>
  <si>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</si>
  <si>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</si>
  <si>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</si>
  <si>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</si>
  <si>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</si>
  <si>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</si>
  <si>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</si>
  <si>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</si>
  <si>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</si>
  <si>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</si>
  <si>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</si>
  <si>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</si>
  <si>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</si>
  <si>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</si>
  <si>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</si>
  <si>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</si>
  <si>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</si>
  <si>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</si>
  <si>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</si>
  <si>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</si>
  <si>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</si>
  <si>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</si>
  <si>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</si>
  <si>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</si>
  <si>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Cherrydale Elementary</t>
  </si>
  <si>
    <t>Saltars Point Elementary</t>
  </si>
  <si>
    <t>Steilacoom High</t>
  </si>
  <si>
    <t>Chloe Clark Elementary</t>
  </si>
  <si>
    <t>Puyallup School District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</si>
  <si>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</si>
  <si>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</si>
  <si>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</si>
  <si>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</si>
  <si>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</si>
  <si>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</si>
  <si>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</si>
  <si>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</si>
  <si>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</si>
  <si>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</si>
  <si>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</si>
  <si>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</si>
  <si>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</si>
  <si>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</si>
  <si>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</si>
  <si>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</si>
  <si>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</si>
  <si>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</si>
  <si>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</si>
  <si>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</si>
  <si>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</si>
  <si>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</si>
  <si>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</si>
  <si>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</si>
  <si>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</si>
  <si>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</si>
  <si>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</si>
  <si>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</si>
  <si>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</si>
  <si>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Puyallup Parent Partnership Program</t>
  </si>
  <si>
    <t>Tacoma School District</t>
  </si>
  <si>
    <t>Tacoma School of the Arts</t>
  </si>
  <si>
    <t>Larchmont</t>
  </si>
  <si>
    <t>Stadium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</si>
  <si>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</si>
  <si>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</si>
  <si>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</si>
  <si>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</si>
  <si>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</si>
  <si>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</si>
  <si>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</si>
  <si>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</si>
  <si>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</si>
  <si>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</si>
  <si>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</si>
  <si>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</si>
  <si>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</si>
  <si>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</si>
  <si>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Mason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</si>
  <si>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</si>
  <si>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</si>
  <si>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</si>
  <si>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</si>
  <si>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</si>
  <si>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</si>
  <si>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</si>
  <si>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</si>
  <si>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</si>
  <si>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</si>
  <si>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</si>
  <si>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</si>
  <si>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</si>
  <si>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</si>
  <si>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</si>
  <si>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</si>
  <si>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</si>
  <si>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Meeker</t>
  </si>
  <si>
    <t>Wilson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</si>
  <si>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</si>
  <si>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</si>
  <si>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</si>
  <si>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</si>
  <si>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</si>
  <si>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</si>
  <si>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</si>
  <si>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</si>
  <si>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</si>
  <si>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</si>
  <si>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</si>
  <si>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</si>
  <si>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</si>
  <si>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</si>
  <si>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Science and Math Institute</t>
  </si>
  <si>
    <t>First Creek Middle School</t>
  </si>
  <si>
    <t>Industrial Design Engineering and Art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</si>
  <si>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</si>
  <si>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</si>
  <si>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</si>
  <si>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</si>
  <si>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</si>
  <si>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</si>
  <si>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</si>
  <si>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</si>
  <si>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</si>
  <si>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</si>
  <si>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</si>
  <si>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</si>
  <si>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</si>
  <si>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</si>
  <si>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</si>
  <si>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</si>
  <si>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</si>
  <si>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</si>
  <si>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</si>
  <si>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</si>
  <si>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</si>
  <si>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</si>
  <si>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</si>
  <si>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</si>
  <si>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</si>
  <si>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</si>
  <si>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</si>
  <si>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</si>
  <si>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</si>
  <si>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Primary School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</si>
  <si>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</si>
  <si>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</si>
  <si>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</si>
  <si>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</si>
  <si>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</si>
  <si>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</si>
  <si>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</si>
  <si>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</si>
  <si>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</si>
  <si>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</si>
  <si>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</si>
  <si>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</si>
  <si>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</si>
  <si>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</si>
  <si>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</si>
  <si>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</si>
  <si>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</si>
  <si>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</si>
  <si>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</si>
  <si>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</si>
  <si>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</si>
  <si>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</si>
  <si>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</si>
  <si>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</si>
  <si>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</si>
  <si>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</si>
  <si>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</si>
  <si>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</si>
  <si>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</si>
  <si>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</si>
  <si>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</si>
  <si>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</si>
  <si>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</si>
  <si>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</si>
  <si>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</si>
  <si>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</si>
  <si>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</si>
  <si>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</si>
  <si>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</si>
  <si>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</si>
  <si>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</si>
  <si>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</si>
  <si>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</si>
  <si>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</si>
  <si>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</si>
  <si>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</si>
  <si>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</si>
  <si>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</si>
  <si>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</si>
  <si>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</si>
  <si>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</si>
  <si>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</si>
  <si>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</si>
  <si>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</si>
  <si>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</si>
  <si>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</si>
  <si>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</si>
  <si>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</si>
  <si>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</si>
  <si>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</si>
  <si>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</si>
  <si>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</si>
  <si>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</si>
  <si>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</si>
  <si>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</si>
  <si>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</si>
  <si>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</si>
  <si>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</si>
  <si>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</si>
  <si>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</si>
  <si>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</si>
  <si>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</si>
  <si>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</si>
  <si>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</si>
  <si>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</si>
  <si>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</si>
  <si>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</si>
  <si>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</si>
  <si>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</si>
  <si>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</si>
  <si>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</si>
  <si>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</si>
  <si>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</si>
  <si>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</si>
  <si>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</si>
  <si>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</si>
  <si>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</si>
  <si>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</si>
  <si>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</si>
  <si>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</si>
  <si>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</si>
  <si>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Mt. Rainier Parent Partnership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</si>
  <si>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</si>
  <si>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</si>
  <si>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</si>
  <si>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</si>
  <si>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</si>
  <si>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</si>
  <si>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</si>
  <si>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</si>
  <si>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</si>
  <si>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</si>
  <si>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</si>
  <si>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</si>
  <si>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</si>
  <si>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</si>
  <si>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</si>
  <si>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</si>
  <si>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Bates Technical College</t>
  </si>
  <si>
    <t>Clover Park Technical College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</si>
  <si>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</si>
  <si>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</si>
  <si>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</si>
  <si>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</si>
  <si>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</si>
  <si>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</si>
  <si>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</si>
  <si>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</si>
  <si>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</si>
  <si>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</si>
  <si>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</si>
  <si>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</si>
  <si>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</si>
  <si>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</si>
  <si>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</si>
  <si>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</si>
  <si>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</si>
  <si>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</si>
  <si>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Twin Cedars High School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</si>
  <si>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</si>
  <si>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</si>
  <si>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</si>
  <si>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</si>
  <si>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</si>
  <si>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</si>
  <si>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</si>
  <si>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</si>
  <si>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</si>
  <si>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</si>
  <si>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</si>
  <si>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</si>
  <si>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</si>
  <si>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</si>
  <si>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</si>
  <si>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</si>
  <si>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</si>
  <si>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</si>
  <si>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</si>
  <si>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</si>
  <si>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</si>
  <si>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</si>
  <si>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</si>
  <si>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</si>
  <si>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</si>
  <si>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</si>
  <si>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</si>
  <si>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</si>
  <si>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</si>
  <si>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</si>
  <si>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</si>
  <si>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</si>
  <si>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</si>
  <si>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</si>
  <si>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</si>
  <si>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</si>
  <si>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</si>
  <si>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Mount Baker Middle School</t>
  </si>
  <si>
    <t>Mount Vernon Open Doors</t>
  </si>
  <si>
    <t>Northwest Career &amp; Technical Academy</t>
  </si>
  <si>
    <t>Northwest Educational Service District 189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</si>
  <si>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</si>
  <si>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</si>
  <si>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</si>
  <si>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</si>
  <si>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</si>
  <si>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</si>
  <si>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</si>
  <si>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</si>
  <si>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</si>
  <si>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</si>
  <si>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NW Learning Center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</si>
  <si>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</si>
  <si>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</si>
  <si>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</si>
  <si>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</si>
  <si>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</si>
  <si>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</si>
  <si>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</si>
  <si>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</si>
  <si>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</si>
  <si>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</si>
  <si>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</si>
  <si>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</si>
  <si>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</si>
  <si>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</si>
  <si>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</si>
  <si>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</si>
  <si>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</si>
  <si>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</si>
  <si>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</si>
  <si>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</si>
  <si>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</si>
  <si>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</si>
  <si>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</si>
  <si>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</si>
  <si>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</si>
  <si>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</si>
  <si>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</si>
  <si>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</si>
  <si>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</si>
  <si>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</si>
  <si>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</si>
  <si>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</si>
  <si>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</si>
  <si>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</si>
  <si>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</si>
  <si>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</si>
  <si>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</si>
  <si>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</si>
  <si>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</si>
  <si>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</si>
  <si>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</si>
  <si>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</si>
  <si>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</si>
  <si>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</si>
  <si>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</si>
  <si>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</si>
  <si>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</si>
  <si>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</si>
  <si>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</si>
  <si>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</si>
  <si>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</si>
  <si>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</si>
  <si>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Unassigned School</t>
  </si>
  <si>
    <t>Maplewood Parent Coop</t>
  </si>
  <si>
    <t>Contracted Schools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</si>
  <si>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</si>
  <si>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</si>
  <si>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</si>
  <si>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</si>
  <si>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</si>
  <si>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</si>
  <si>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</si>
  <si>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</si>
  <si>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</si>
  <si>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</si>
  <si>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</si>
  <si>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</si>
  <si>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</si>
  <si>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</si>
  <si>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</si>
  <si>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</si>
  <si>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</si>
  <si>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</si>
  <si>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</si>
  <si>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</si>
  <si>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</si>
  <si>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</si>
  <si>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</si>
  <si>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</si>
  <si>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</si>
  <si>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</si>
  <si>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</si>
  <si>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</si>
  <si>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</si>
  <si>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</si>
  <si>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</si>
  <si>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</si>
  <si>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</si>
  <si>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</si>
  <si>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</si>
  <si>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</si>
  <si>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</si>
  <si>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</si>
  <si>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</si>
  <si>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</si>
  <si>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</si>
  <si>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</si>
  <si>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</si>
  <si>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Marysville SD Special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</si>
  <si>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</si>
  <si>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</si>
  <si>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</si>
  <si>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</si>
  <si>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</si>
  <si>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</si>
  <si>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</si>
  <si>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</si>
  <si>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</si>
  <si>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</si>
  <si>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</si>
  <si>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</si>
  <si>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</si>
  <si>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</si>
  <si>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</si>
  <si>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</si>
  <si>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</si>
  <si>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</si>
  <si>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</si>
  <si>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Youth Re-Engagement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</si>
  <si>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</si>
  <si>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</si>
  <si>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</si>
  <si>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</si>
  <si>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</si>
  <si>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</si>
  <si>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</si>
  <si>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</si>
  <si>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Shoreline-Monroe High School</t>
  </si>
  <si>
    <t>Snohomish School District</t>
  </si>
  <si>
    <t>Snohomish Center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</si>
  <si>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</si>
  <si>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</si>
  <si>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</si>
  <si>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</si>
  <si>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</si>
  <si>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</si>
  <si>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</si>
  <si>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</si>
  <si>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</si>
  <si>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</si>
  <si>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</si>
  <si>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</si>
  <si>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</si>
  <si>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</si>
  <si>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</si>
  <si>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</si>
  <si>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</si>
  <si>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</si>
  <si>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</si>
  <si>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</si>
  <si>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</si>
  <si>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</si>
  <si>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</si>
  <si>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</si>
  <si>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</si>
  <si>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</si>
  <si>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</si>
  <si>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</si>
  <si>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</si>
  <si>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</si>
  <si>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</si>
  <si>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</si>
  <si>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</si>
  <si>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</si>
  <si>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</si>
  <si>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</si>
  <si>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</si>
  <si>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</si>
  <si>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</si>
  <si>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</si>
  <si>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</si>
  <si>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</si>
  <si>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</si>
  <si>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</si>
  <si>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</si>
  <si>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</si>
  <si>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</si>
  <si>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</si>
  <si>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</si>
  <si>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Daybreak Alternative School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</si>
  <si>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</si>
  <si>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</si>
  <si>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</si>
  <si>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</si>
  <si>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</si>
  <si>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</si>
  <si>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</si>
  <si>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</si>
  <si>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</si>
  <si>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</si>
  <si>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</si>
  <si>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</si>
  <si>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</si>
  <si>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</si>
  <si>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</si>
  <si>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</si>
  <si>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</si>
  <si>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</si>
  <si>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</si>
  <si>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</si>
  <si>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</si>
  <si>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</si>
  <si>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</si>
  <si>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</si>
  <si>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</si>
  <si>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</si>
  <si>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</si>
  <si>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</si>
  <si>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</si>
  <si>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</si>
  <si>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</si>
  <si>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</si>
  <si>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</si>
  <si>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</si>
  <si>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</si>
  <si>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</si>
  <si>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</si>
  <si>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</si>
  <si>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</si>
  <si>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Sacred Heart Hospital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</si>
  <si>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</si>
  <si>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</si>
  <si>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</si>
  <si>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</si>
  <si>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</si>
  <si>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</si>
  <si>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</si>
  <si>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</si>
  <si>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</si>
  <si>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</si>
  <si>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</si>
  <si>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</si>
  <si>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</si>
  <si>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</si>
  <si>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</si>
  <si>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</si>
  <si>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</si>
  <si>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</si>
  <si>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</si>
  <si>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Hallett Elementary</t>
  </si>
  <si>
    <t>Michael Anderson Elementary</t>
  </si>
  <si>
    <t>Mead School District</t>
  </si>
  <si>
    <t>Mead Education Partnership Prog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</si>
  <si>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</si>
  <si>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</si>
  <si>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</si>
  <si>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</si>
  <si>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</si>
  <si>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</si>
  <si>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</si>
  <si>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</si>
  <si>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</si>
  <si>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</si>
  <si>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</si>
  <si>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Spokane Valley Learning Academy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</si>
  <si>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</si>
  <si>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</si>
  <si>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</si>
  <si>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</si>
  <si>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</si>
  <si>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</si>
  <si>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</si>
  <si>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</si>
  <si>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</si>
  <si>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</si>
  <si>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</si>
  <si>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</si>
  <si>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</si>
  <si>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</si>
  <si>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</si>
  <si>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</si>
  <si>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</si>
  <si>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</si>
  <si>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</si>
  <si>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</si>
  <si>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</si>
  <si>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</si>
  <si>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</si>
  <si>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</si>
  <si>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</si>
  <si>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</si>
  <si>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</si>
  <si>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</si>
  <si>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</si>
  <si>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</si>
  <si>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</si>
  <si>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</si>
  <si>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</si>
  <si>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</si>
  <si>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</si>
  <si>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</si>
  <si>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</si>
  <si>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</si>
  <si>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</si>
  <si>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</si>
  <si>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</si>
  <si>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</si>
  <si>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</si>
  <si>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</si>
  <si>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</si>
  <si>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</si>
  <si>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</si>
  <si>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</si>
  <si>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</si>
  <si>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</si>
  <si>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</si>
  <si>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</si>
  <si>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</si>
  <si>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</si>
  <si>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</si>
  <si>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</si>
  <si>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</si>
  <si>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</si>
  <si>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</si>
  <si>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</si>
  <si>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</si>
  <si>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</si>
  <si>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</si>
  <si>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</si>
  <si>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</si>
  <si>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</si>
  <si>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</si>
  <si>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</si>
  <si>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</si>
  <si>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Educational Service District 101</t>
  </si>
  <si>
    <t>Spokane International Academy</t>
  </si>
  <si>
    <t>PRIDE Prep Charter School District</t>
  </si>
  <si>
    <t>Onion Creek School District</t>
  </si>
  <si>
    <t>Onion Creek Elementary</t>
  </si>
  <si>
    <t>Chewelah School District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</si>
  <si>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</si>
  <si>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</si>
  <si>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</si>
  <si>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</si>
  <si>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</si>
  <si>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</si>
  <si>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</si>
  <si>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</si>
  <si>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</si>
  <si>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</si>
  <si>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</si>
  <si>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</si>
  <si>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</si>
  <si>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</si>
  <si>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</si>
  <si>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</si>
  <si>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</si>
  <si>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</si>
  <si>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</si>
  <si>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</si>
  <si>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</si>
  <si>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</si>
  <si>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</si>
  <si>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</si>
  <si>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</si>
  <si>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</si>
  <si>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</si>
  <si>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</si>
  <si>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</si>
  <si>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</si>
  <si>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</si>
  <si>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</si>
  <si>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</si>
  <si>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</si>
  <si>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</si>
  <si>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</si>
  <si>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</si>
  <si>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</si>
  <si>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</si>
  <si>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</si>
  <si>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</si>
  <si>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</si>
  <si>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</si>
  <si>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</si>
  <si>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</si>
  <si>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</si>
  <si>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</si>
  <si>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</si>
  <si>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</si>
  <si>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</si>
  <si>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</si>
  <si>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</si>
  <si>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</si>
  <si>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</si>
  <si>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</si>
  <si>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</si>
  <si>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</si>
  <si>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</si>
  <si>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</si>
  <si>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</si>
  <si>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</si>
  <si>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</si>
  <si>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</si>
  <si>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</si>
  <si>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</si>
  <si>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</si>
  <si>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</si>
  <si>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</si>
  <si>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Wa He Lut Indian School</t>
  </si>
  <si>
    <t>Tumwater School District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</si>
  <si>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</si>
  <si>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</si>
  <si>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</si>
  <si>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</si>
  <si>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</si>
  <si>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</si>
  <si>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</si>
  <si>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</si>
  <si>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</si>
  <si>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</si>
  <si>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</si>
  <si>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</si>
  <si>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</si>
  <si>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</si>
  <si>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</si>
  <si>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</si>
  <si>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</si>
  <si>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</si>
  <si>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</si>
  <si>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</si>
  <si>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</si>
  <si>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</si>
  <si>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</si>
  <si>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</si>
  <si>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</si>
  <si>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</si>
  <si>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</si>
  <si>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</si>
  <si>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</si>
  <si>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</si>
  <si>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</si>
  <si>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</si>
  <si>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</si>
  <si>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</si>
  <si>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</si>
  <si>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</si>
  <si>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</si>
  <si>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</si>
  <si>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</si>
  <si>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Capital Region ESD 113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</si>
  <si>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</si>
  <si>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</si>
  <si>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</si>
  <si>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</si>
  <si>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</si>
  <si>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</si>
  <si>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</si>
  <si>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</si>
  <si>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</si>
  <si>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</si>
  <si>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</si>
  <si>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</si>
  <si>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</si>
  <si>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</si>
  <si>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</si>
  <si>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</si>
  <si>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</si>
  <si>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</si>
  <si>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</si>
  <si>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</si>
  <si>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</si>
  <si>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</si>
  <si>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Preston Hall Middle School</t>
  </si>
  <si>
    <t>Waitsburg High School</t>
  </si>
  <si>
    <t>Waitsburg Elementary School</t>
  </si>
  <si>
    <t>Prescott School District</t>
  </si>
  <si>
    <t>Prescott Elementary School</t>
  </si>
  <si>
    <t>Prescott Jr Sr High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</si>
  <si>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</si>
  <si>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</si>
  <si>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</si>
  <si>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</si>
  <si>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</si>
  <si>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</si>
  <si>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</si>
  <si>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</si>
  <si>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</si>
  <si>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</si>
  <si>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</si>
  <si>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</si>
  <si>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</si>
  <si>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</si>
  <si>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</si>
  <si>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</si>
  <si>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</si>
  <si>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</si>
  <si>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</si>
  <si>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</si>
  <si>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</si>
  <si>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</si>
  <si>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</si>
  <si>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</si>
  <si>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</si>
  <si>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</si>
  <si>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</si>
  <si>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</si>
  <si>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</si>
  <si>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</si>
  <si>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</si>
  <si>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FERNDALE RE-ENGAGEMENT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</si>
  <si>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</si>
  <si>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</si>
  <si>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</si>
  <si>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</si>
  <si>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</si>
  <si>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</si>
  <si>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</si>
  <si>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</si>
  <si>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</si>
  <si>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</si>
  <si>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</si>
  <si>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</si>
  <si>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</si>
  <si>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</si>
  <si>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</si>
  <si>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</si>
  <si>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</si>
  <si>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</si>
  <si>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</si>
  <si>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</si>
  <si>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</si>
  <si>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</si>
  <si>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</si>
  <si>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</si>
  <si>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</si>
  <si>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</si>
  <si>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</si>
  <si>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</si>
  <si>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</si>
  <si>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</si>
  <si>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</si>
  <si>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</si>
  <si>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</si>
  <si>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</si>
  <si>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</si>
  <si>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</si>
  <si>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</si>
  <si>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</si>
  <si>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</si>
  <si>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</si>
  <si>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</si>
  <si>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</si>
  <si>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</si>
  <si>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</si>
  <si>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</si>
  <si>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</si>
  <si>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</si>
  <si>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</si>
  <si>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</si>
  <si>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</si>
  <si>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</si>
  <si>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</si>
  <si>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</si>
  <si>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</si>
  <si>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</si>
  <si>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</si>
  <si>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</si>
  <si>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</si>
  <si>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</si>
  <si>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</si>
  <si>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</si>
  <si>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</si>
  <si>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</si>
  <si>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</si>
  <si>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</si>
  <si>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</si>
  <si>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</si>
  <si>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</si>
  <si>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</si>
  <si>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</si>
  <si>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</si>
  <si>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</si>
  <si>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</si>
  <si>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</si>
  <si>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</si>
  <si>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</si>
  <si>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</si>
  <si>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</si>
  <si>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</si>
  <si>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</si>
  <si>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</si>
  <si>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</si>
  <si>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Discovery Lab School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</si>
  <si>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</si>
  <si>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</si>
  <si>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</si>
  <si>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</si>
  <si>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</si>
  <si>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</si>
  <si>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</si>
  <si>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</si>
  <si>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</si>
  <si>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</si>
  <si>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</si>
  <si>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</si>
  <si>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</si>
  <si>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</si>
  <si>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</si>
  <si>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</si>
  <si>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</si>
  <si>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</si>
  <si>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Selah HomeLink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</si>
  <si>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</si>
  <si>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</si>
  <si>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</si>
  <si>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</si>
  <si>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</si>
  <si>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</si>
  <si>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</si>
  <si>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</si>
  <si>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</si>
  <si>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</si>
  <si>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</si>
  <si>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</si>
  <si>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</si>
  <si>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</si>
  <si>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</si>
  <si>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</si>
  <si>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</si>
  <si>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</si>
  <si>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</si>
  <si>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</si>
  <si>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</si>
  <si>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</si>
  <si>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</si>
  <si>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</si>
  <si>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</si>
  <si>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</si>
  <si>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</si>
  <si>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</si>
  <si>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</si>
  <si>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Highland School District</t>
  </si>
  <si>
    <t>Highland Junior High School</t>
  </si>
  <si>
    <t>Marcus Whitman-Cowiche Elementary</t>
  </si>
  <si>
    <t>Tieton Intermediate School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</si>
  <si>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</si>
  <si>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</si>
  <si>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</si>
  <si>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</si>
  <si>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</si>
  <si>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</si>
  <si>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</si>
  <si>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</si>
  <si>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</si>
  <si>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</si>
  <si>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</si>
  <si>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</si>
  <si>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</si>
  <si>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</si>
  <si>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</si>
  <si>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</si>
  <si>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</si>
  <si>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</si>
  <si>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</si>
  <si>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</si>
  <si>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</si>
  <si>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</si>
  <si>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</si>
  <si>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</si>
  <si>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</si>
  <si>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</si>
  <si>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</si>
  <si>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</si>
  <si>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</si>
  <si>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</si>
  <si>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</si>
  <si>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</si>
  <si>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</si>
  <si>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</si>
  <si>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</si>
  <si>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</si>
  <si>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</si>
  <si>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</si>
  <si>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</si>
  <si>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</si>
  <si>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</si>
  <si>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</si>
  <si>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</si>
  <si>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</si>
  <si>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</si>
  <si>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</si>
  <si>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</si>
  <si>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</si>
  <si>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</si>
  <si>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</si>
  <si>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</si>
  <si>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</si>
  <si>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</si>
  <si>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</si>
  <si>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</si>
  <si>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</si>
  <si>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</si>
  <si>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</si>
  <si>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</si>
  <si>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</si>
  <si>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</si>
  <si>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06801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</si>
  <si>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</si>
  <si>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</si>
  <si>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</si>
  <si>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</si>
  <si>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</si>
  <si>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</si>
  <si>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</si>
  <si>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</si>
  <si>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</si>
  <si>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</si>
  <si>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</si>
  <si>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</si>
  <si>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</si>
  <si>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</si>
  <si>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</si>
  <si>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</si>
  <si>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</si>
  <si>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</si>
  <si>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</si>
  <si>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</si>
  <si>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</si>
  <si>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</si>
  <si>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</si>
  <si>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</si>
  <si>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</si>
  <si>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</si>
  <si>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</si>
  <si>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</si>
  <si>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</si>
  <si>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</si>
  <si>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</si>
  <si>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</si>
  <si>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</si>
  <si>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</si>
  <si>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</si>
  <si>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</si>
  <si>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</si>
  <si>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</si>
  <si>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</si>
  <si>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</si>
  <si>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</si>
  <si>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</si>
  <si>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</si>
  <si>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</si>
  <si>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</si>
  <si>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</si>
  <si>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</si>
  <si>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</si>
  <si>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</si>
  <si>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</si>
  <si>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</si>
  <si>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</si>
  <si>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</si>
  <si>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</si>
  <si>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</si>
  <si>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</si>
  <si>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</si>
  <si>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</si>
  <si>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</si>
  <si>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</si>
  <si>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</si>
  <si>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</si>
  <si>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</si>
  <si>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</si>
  <si>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</si>
  <si>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</si>
  <si>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</si>
  <si>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</si>
  <si>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</si>
  <si>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</si>
  <si>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</si>
  <si>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</si>
  <si>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</si>
  <si>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</si>
  <si>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</si>
  <si>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</si>
  <si>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</si>
  <si>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17937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</si>
  <si>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</si>
  <si>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</si>
  <si>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</si>
  <si>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</si>
  <si>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</si>
  <si>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</si>
  <si>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</si>
  <si>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</si>
  <si>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</si>
  <si>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</si>
  <si>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</si>
  <si>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</si>
  <si>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</si>
  <si>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</si>
  <si>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</si>
  <si>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</si>
  <si>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</si>
  <si>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</si>
  <si>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</si>
  <si>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</si>
  <si>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</si>
  <si>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</si>
  <si>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</si>
  <si>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</si>
  <si>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</si>
  <si>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</si>
  <si>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</si>
  <si>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</si>
  <si>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</si>
  <si>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</si>
  <si>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</si>
  <si>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</si>
  <si>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</si>
  <si>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</si>
  <si>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</si>
  <si>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</si>
  <si>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</si>
  <si>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</si>
  <si>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</si>
  <si>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</si>
  <si>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</si>
  <si>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</si>
  <si>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</si>
  <si>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</si>
  <si>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</si>
  <si>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</si>
  <si>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</si>
  <si>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</si>
  <si>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</si>
  <si>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</si>
  <si>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</si>
  <si>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</si>
  <si>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</si>
  <si>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</si>
  <si>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</si>
  <si>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</si>
  <si>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</si>
  <si>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</si>
  <si>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</si>
  <si>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</si>
  <si>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</si>
  <si>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</si>
  <si>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</si>
  <si>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</si>
  <si>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</si>
  <si>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</si>
  <si>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</si>
  <si>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</si>
  <si>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</si>
  <si>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</si>
  <si>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</si>
  <si>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</si>
  <si>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</si>
  <si>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</si>
  <si>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</si>
  <si>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</si>
  <si>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</si>
  <si>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</si>
  <si>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</si>
  <si>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</si>
  <si>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</si>
  <si>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</si>
  <si>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</si>
  <si>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27931</t>
  </si>
  <si>
    <t>27932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</si>
  <si>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</si>
  <si>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</si>
  <si>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</si>
  <si>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</si>
  <si>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</si>
  <si>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</si>
  <si>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</si>
  <si>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</si>
  <si>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</si>
  <si>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</si>
  <si>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</si>
  <si>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29801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</si>
  <si>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</si>
  <si>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</si>
  <si>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</si>
  <si>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</si>
  <si>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</si>
  <si>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</si>
  <si>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</si>
  <si>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</si>
  <si>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</si>
  <si>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</si>
  <si>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</si>
  <si>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</si>
  <si>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</si>
  <si>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</si>
  <si>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</si>
  <si>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</si>
  <si>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</si>
  <si>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</si>
  <si>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</si>
  <si>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</si>
  <si>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</si>
  <si>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</si>
  <si>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</si>
  <si>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</si>
  <si>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</si>
  <si>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</si>
  <si>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</si>
  <si>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</si>
  <si>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</si>
  <si>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</si>
  <si>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</si>
  <si>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</si>
  <si>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32801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</si>
  <si>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</si>
  <si>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</si>
  <si>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</si>
  <si>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</si>
  <si>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</si>
  <si>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</si>
  <si>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</si>
  <si>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</si>
  <si>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</si>
  <si>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</si>
  <si>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</si>
  <si>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</si>
  <si>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</si>
  <si>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</si>
  <si>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</si>
  <si>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</si>
  <si>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</si>
  <si>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</si>
  <si>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</si>
  <si>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</si>
  <si>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</si>
  <si>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</si>
  <si>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34801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</si>
  <si>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</si>
  <si>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</si>
  <si>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</si>
  <si>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</si>
  <si>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</si>
  <si>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</si>
  <si>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</si>
  <si>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</si>
  <si>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</si>
  <si>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</si>
  <si>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</si>
  <si>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</si>
  <si>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</si>
  <si>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</si>
  <si>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</si>
  <si>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</si>
  <si>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</si>
  <si>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</si>
  <si>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</si>
  <si>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</si>
  <si>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</si>
  <si>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</si>
  <si>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</si>
  <si>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</si>
  <si>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</si>
  <si>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</si>
  <si>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</si>
  <si>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</si>
  <si>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</si>
  <si>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</si>
  <si>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</si>
  <si>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</si>
  <si>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</si>
  <si>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</si>
  <si>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</si>
  <si>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</si>
  <si>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</si>
  <si>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</si>
  <si>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</si>
  <si>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</si>
  <si>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</si>
  <si>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</si>
  <si>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</si>
  <si>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</si>
  <si>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A school is eligible for the high poverty school LAP allocation if it:</t>
  </si>
  <si>
    <t>(1) has a valid CEDARS code</t>
  </si>
  <si>
    <t>Schools not funded through the prototypical schools formula are excluded.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</si>
  <si>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</si>
  <si>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</si>
  <si>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</si>
  <si>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</si>
  <si>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</si>
  <si>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</si>
  <si>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</si>
  <si>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</si>
  <si>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</si>
  <si>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Group Size</t>
  </si>
  <si>
    <t>LAP Groupings</t>
  </si>
  <si>
    <t>Instructional Hours/week</t>
  </si>
  <si>
    <t>Weeks/Yr</t>
  </si>
  <si>
    <t>Instructional Hours Total</t>
  </si>
  <si>
    <t>Cashmere School District</t>
  </si>
  <si>
    <t>17905</t>
  </si>
  <si>
    <t>17910</t>
  </si>
  <si>
    <t>Fringe + Health</t>
  </si>
  <si>
    <t>Calculator--DO NOT EDIT</t>
  </si>
  <si>
    <t>School Code</t>
  </si>
  <si>
    <t>District Code</t>
  </si>
  <si>
    <t>District Name</t>
  </si>
  <si>
    <t>School Name</t>
  </si>
  <si>
    <t>04801</t>
  </si>
  <si>
    <t>North Central Educational Service District 171</t>
  </si>
  <si>
    <t>04951</t>
  </si>
  <si>
    <t>Wenatchee Vally College</t>
  </si>
  <si>
    <t>05940</t>
  </si>
  <si>
    <t>Peninsula College</t>
  </si>
  <si>
    <t>06927</t>
  </si>
  <si>
    <t>Clark College</t>
  </si>
  <si>
    <t>11801</t>
  </si>
  <si>
    <t>Educational Service District 123</t>
  </si>
  <si>
    <t>11928</t>
  </si>
  <si>
    <t>Columbia Basin College</t>
  </si>
  <si>
    <t>13925</t>
  </si>
  <si>
    <t>Big Bend Community College</t>
  </si>
  <si>
    <t>14934</t>
  </si>
  <si>
    <t>Grays Harbor College</t>
  </si>
  <si>
    <t>17801</t>
  </si>
  <si>
    <t>Puget Sound Educational Service District 121</t>
  </si>
  <si>
    <t>17904</t>
  </si>
  <si>
    <t>University of Washington (17904)</t>
  </si>
  <si>
    <t>17924</t>
  </si>
  <si>
    <t>Bellevue Community College</t>
  </si>
  <si>
    <t>17935</t>
  </si>
  <si>
    <t>17936</t>
  </si>
  <si>
    <t>17938</t>
  </si>
  <si>
    <t>North Seattle Community College</t>
  </si>
  <si>
    <t>17941</t>
  </si>
  <si>
    <t>Renton Technical College</t>
  </si>
  <si>
    <t>17942</t>
  </si>
  <si>
    <t xml:space="preserve">Seattle Central Community College </t>
  </si>
  <si>
    <t>17943</t>
  </si>
  <si>
    <t>Shoreline Community College</t>
  </si>
  <si>
    <t>17946</t>
  </si>
  <si>
    <t>South Seattle Community College (CC Dist #6)</t>
  </si>
  <si>
    <t>18801</t>
  </si>
  <si>
    <t>Olympic Educational Service District 114</t>
  </si>
  <si>
    <t>18939</t>
  </si>
  <si>
    <t>Olympic College</t>
  </si>
  <si>
    <t>19901</t>
  </si>
  <si>
    <t>Central Washington University</t>
  </si>
  <si>
    <t>21926</t>
  </si>
  <si>
    <t>Centralia College</t>
  </si>
  <si>
    <t>27941</t>
  </si>
  <si>
    <t>Pierce College</t>
  </si>
  <si>
    <t>27949</t>
  </si>
  <si>
    <t>Tacoma Community College</t>
  </si>
  <si>
    <t>29944</t>
  </si>
  <si>
    <t>Skagit Valley College</t>
  </si>
  <si>
    <t>31932</t>
  </si>
  <si>
    <t>Edmonds Community College</t>
  </si>
  <si>
    <t>31933</t>
  </si>
  <si>
    <t>Everett Community College</t>
  </si>
  <si>
    <t>32902</t>
  </si>
  <si>
    <t>Eastern Washington University</t>
  </si>
  <si>
    <t>32911</t>
  </si>
  <si>
    <t>Spokane Public Schools Charter Authorizer</t>
  </si>
  <si>
    <t>32931</t>
  </si>
  <si>
    <t>Community Colleges of Spokane</t>
  </si>
  <si>
    <t>32948</t>
  </si>
  <si>
    <t>Spokane Falls Community College</t>
  </si>
  <si>
    <t>34903</t>
  </si>
  <si>
    <t>Evergreen State College</t>
  </si>
  <si>
    <t>34945</t>
  </si>
  <si>
    <t>Puget Sound Community College</t>
  </si>
  <si>
    <t>34950</t>
  </si>
  <si>
    <t>Washington State Charter School Commission</t>
  </si>
  <si>
    <t>34970</t>
  </si>
  <si>
    <t>DSHS</t>
  </si>
  <si>
    <t>34973</t>
  </si>
  <si>
    <t>Department of Corrections</t>
  </si>
  <si>
    <t>34974</t>
  </si>
  <si>
    <t>Office of the Governor (Sch for Blind)</t>
  </si>
  <si>
    <t>34975</t>
  </si>
  <si>
    <t>34977</t>
  </si>
  <si>
    <t>Department of Health</t>
  </si>
  <si>
    <t>34979</t>
  </si>
  <si>
    <t>Washington Military Department</t>
  </si>
  <si>
    <t>36950</t>
  </si>
  <si>
    <t>Walla Walla Community College</t>
  </si>
  <si>
    <t>37901</t>
  </si>
  <si>
    <t>Bellingham Technical College</t>
  </si>
  <si>
    <t>37906</t>
  </si>
  <si>
    <t>Western Washington University</t>
  </si>
  <si>
    <t>37952</t>
  </si>
  <si>
    <t>Whatcom Community College</t>
  </si>
  <si>
    <t>38905</t>
  </si>
  <si>
    <t>Washington State University</t>
  </si>
  <si>
    <t>39801</t>
  </si>
  <si>
    <t>Educational Service District 105</t>
  </si>
  <si>
    <t>39953</t>
  </si>
  <si>
    <t>Yakima Valley Community College</t>
  </si>
  <si>
    <t>(A17)</t>
  </si>
  <si>
    <t>OSPILegacyCode</t>
  </si>
  <si>
    <t>OrganizationName</t>
  </si>
  <si>
    <t>A17
Enroll Total w/ Run Start</t>
  </si>
  <si>
    <t>Total Prior Year AAFTE</t>
  </si>
  <si>
    <t>LAP FTE</t>
  </si>
  <si>
    <t>Final LAP CEDARS Poverty Percentage (SAFS)</t>
  </si>
  <si>
    <t>District Base Calculation</t>
  </si>
  <si>
    <t>District High Poverty Schools Calculation</t>
  </si>
  <si>
    <t>Drop down on Summary tab</t>
  </si>
  <si>
    <t>LAP District Base Allocation</t>
  </si>
  <si>
    <t>High Poverty Schools Prior Year AAFTE</t>
  </si>
  <si>
    <t>High Poverty Schools Allocation</t>
  </si>
  <si>
    <t>Enter if Changes</t>
  </si>
  <si>
    <t>(4) Open Door Programs are also included.</t>
  </si>
  <si>
    <t>About the data for the LAP High Poverty Schools:</t>
  </si>
  <si>
    <t>Eligibility for LAP High Poverty Schools: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</si>
  <si>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</si>
  <si>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</si>
  <si>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</si>
  <si>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>A. District AAFTE for the LAP Base Allocation</t>
  </si>
  <si>
    <t>B. School AAFTE for the LAP High Poverty School Allocation</t>
  </si>
  <si>
    <t>CCDDD</t>
  </si>
  <si>
    <t>17911</t>
  </si>
  <si>
    <t>Summit Public School: Atlas</t>
  </si>
  <si>
    <t>34901</t>
  </si>
  <si>
    <t>WA HE LUT Indian School Agency</t>
  </si>
  <si>
    <t>Arlington Open Doors</t>
  </si>
  <si>
    <t>Bethel Elementary Learning Academy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</si>
  <si>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</si>
  <si>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</si>
  <si>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</si>
  <si>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</si>
  <si>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</si>
  <si>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TAFA at Saghalie</t>
  </si>
  <si>
    <t>Rainier Valley Leadership Academy</t>
  </si>
  <si>
    <t>Tyee High School</t>
  </si>
  <si>
    <t>Washington Network for Innovative Careers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</si>
  <si>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</si>
  <si>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</si>
  <si>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</si>
  <si>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</si>
  <si>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</si>
  <si>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</si>
  <si>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</si>
  <si>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</si>
  <si>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</si>
  <si>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</si>
  <si>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</si>
  <si>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</si>
  <si>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</si>
  <si>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</si>
  <si>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</si>
  <si>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</si>
  <si>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</si>
  <si>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</si>
  <si>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</si>
  <si>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</si>
  <si>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</si>
  <si>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</si>
  <si>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</si>
  <si>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</si>
  <si>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Wellpinit Fort Simcoe SEA</t>
  </si>
  <si>
    <t xml:space="preserve">re-engagement </t>
  </si>
  <si>
    <t>WEST VALLEY VIRTUAL ACADEMY 7-8</t>
  </si>
  <si>
    <t>WEST VALLEY VIRTUAL ACADEMY 9-12</t>
  </si>
  <si>
    <t>WEST VALLEY VIRTUAL ACADEMY K-6</t>
  </si>
  <si>
    <t>Yes</t>
  </si>
  <si>
    <t>School Level Average</t>
  </si>
  <si>
    <t>06701</t>
  </si>
  <si>
    <t>ESA 112</t>
  </si>
  <si>
    <t>08937</t>
  </si>
  <si>
    <t>Lower Columbia College</t>
  </si>
  <si>
    <t>Highline College</t>
  </si>
  <si>
    <t>LAP Prof Learning Days Salaries</t>
  </si>
  <si>
    <t>LAP Prof Learning Days Fringe Benefit</t>
  </si>
  <si>
    <t>LAP Prof Learning Days Total</t>
  </si>
  <si>
    <t>27901</t>
  </si>
  <si>
    <t>39901</t>
  </si>
  <si>
    <t>Yakama Nation Tribal</t>
  </si>
  <si>
    <t>Nespelem School District #14</t>
  </si>
  <si>
    <t>Yakama Nation Tribal Compact</t>
  </si>
  <si>
    <t>School #</t>
  </si>
  <si>
    <t>K-12</t>
  </si>
  <si>
    <t>RS</t>
  </si>
  <si>
    <t>OD</t>
  </si>
  <si>
    <t>NS</t>
  </si>
  <si>
    <t>TOTAL</t>
  </si>
  <si>
    <t>HP ?</t>
  </si>
  <si>
    <t>Lacamas Lake Elementary</t>
  </si>
  <si>
    <t>Alpine Lakes Elementary</t>
  </si>
  <si>
    <t>Re-Entry High School</t>
  </si>
  <si>
    <t>Ferry County Open Doors</t>
  </si>
  <si>
    <t>Sage Hills Open Doors</t>
  </si>
  <si>
    <t>Cascadia Technical Academy Skills Center</t>
  </si>
  <si>
    <t>Puget Sound Skills Center</t>
  </si>
  <si>
    <t>Satellite High School</t>
  </si>
  <si>
    <t>Hood Canal Elementary School</t>
  </si>
  <si>
    <t>Kalama Middle School</t>
  </si>
  <si>
    <t>Tri-Tech Skills Center</t>
  </si>
  <si>
    <t>Regional Justice Center</t>
  </si>
  <si>
    <t>Mabton Step Up To College</t>
  </si>
  <si>
    <t>Medical Lake Endeavors</t>
  </si>
  <si>
    <t>Skagit Academy</t>
  </si>
  <si>
    <t>Homeconnection</t>
  </si>
  <si>
    <t>Salish Coast Elementary</t>
  </si>
  <si>
    <t>Lake Quinault School</t>
  </si>
  <si>
    <t xml:space="preserve">Spokane Area Professional-Technical Skills Center 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</si>
  <si>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</si>
  <si>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</si>
  <si>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</si>
  <si>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</si>
  <si>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</si>
  <si>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</si>
  <si>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</si>
  <si>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</si>
  <si>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Lake Roosevelt Alternative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</si>
  <si>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</si>
  <si>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</si>
  <si>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</si>
  <si>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</si>
  <si>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</si>
  <si>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</si>
  <si>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</si>
  <si>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</si>
  <si>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</si>
  <si>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Steilacoom PRIDE Academy</t>
  </si>
  <si>
    <t>Tukwila Online Learning</t>
  </si>
  <si>
    <t>Youthsource</t>
  </si>
  <si>
    <t>Enter if Changes for the schools.                                      Enter No if not accepting funding for an eligible school.</t>
  </si>
  <si>
    <t>Program Total</t>
  </si>
  <si>
    <t>Camas School District Open Doors</t>
  </si>
  <si>
    <t>Kalispel Language Immersion School</t>
  </si>
  <si>
    <t>Open Doors</t>
  </si>
  <si>
    <t>STEM Academy at SVT</t>
  </si>
  <si>
    <t>Wa He Lut Indian School Agency</t>
  </si>
  <si>
    <t>Valley Academy of Learning K-8</t>
  </si>
  <si>
    <t>Maple Grove Primary</t>
  </si>
  <si>
    <t>Three Rivers Elementary</t>
  </si>
  <si>
    <t>Ancient Lakes Elementary</t>
  </si>
  <si>
    <t>Moses Lake Big Picture</t>
  </si>
  <si>
    <t>Oakville Homelink</t>
  </si>
  <si>
    <t>Snoqualmie Middle School</t>
  </si>
  <si>
    <t>Timberline Middle School</t>
  </si>
  <si>
    <t>Northshore Family Partnership</t>
  </si>
  <si>
    <t>Pacific Northwest Connections Academy</t>
  </si>
  <si>
    <t>Tonasket Choice High School</t>
  </si>
  <si>
    <t>Tonasket Outreach School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</si>
  <si>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</si>
  <si>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</si>
  <si>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</si>
  <si>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</si>
  <si>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</si>
  <si>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Ferndale Virtual Academy</t>
  </si>
  <si>
    <t>Selah Academy Auxiliary</t>
  </si>
  <si>
    <t>Selah Academy BPL</t>
  </si>
  <si>
    <t>Tahoma Open Doors</t>
  </si>
  <si>
    <t>Connections Academy</t>
  </si>
  <si>
    <t>College Place Open Doors Program</t>
  </si>
  <si>
    <t>Nooksack Reengagement</t>
  </si>
  <si>
    <t>Naches Valley ESD 105 Open Doors</t>
  </si>
  <si>
    <t>Wapato ESD 105 Open Doors</t>
  </si>
  <si>
    <t>West Valley Open Doors</t>
  </si>
  <si>
    <t>Auburn Opportunity Project</t>
  </si>
  <si>
    <t>Monroe Special Ed Preschool</t>
  </si>
  <si>
    <t>Ocean Beach Early Childhood Center</t>
  </si>
  <si>
    <t>Orting Special Education</t>
  </si>
  <si>
    <t xml:space="preserve"> </t>
  </si>
  <si>
    <t>17916</t>
  </si>
  <si>
    <t>Impact Salish Sea</t>
  </si>
  <si>
    <t>17917</t>
  </si>
  <si>
    <t>18901</t>
  </si>
  <si>
    <t>32903</t>
  </si>
  <si>
    <t>37902</t>
  </si>
  <si>
    <t>Whatcom Intergenerational</t>
  </si>
  <si>
    <t>Whitney Early Childhood Education Center</t>
  </si>
  <si>
    <t>Stillaguamish Valley Learning Center</t>
  </si>
  <si>
    <t>Bowman Creek Elementary</t>
  </si>
  <si>
    <t>Daybreak Youth Services</t>
  </si>
  <si>
    <t>Wilburton Elementary School</t>
  </si>
  <si>
    <t>Bethel Virtual Academy</t>
  </si>
  <si>
    <t>View Ridge Elementary Arts Academy</t>
  </si>
  <si>
    <t>Odyssey Middle School</t>
  </si>
  <si>
    <t>Kodiak Virtual Academy</t>
  </si>
  <si>
    <t>Catalyst Public Schools</t>
  </si>
  <si>
    <t>John D. Bud Hawk Elementary at Jackson Park</t>
  </si>
  <si>
    <t>Riverbend Elementary School</t>
  </si>
  <si>
    <t>Quartzite Learning</t>
  </si>
  <si>
    <t>Chimacum Junior/Senior High School</t>
  </si>
  <si>
    <t>Clarkston Home Alliance</t>
  </si>
  <si>
    <t>Thomas Middle School</t>
  </si>
  <si>
    <t>Darrington High School</t>
  </si>
  <si>
    <t>Dayton School District Alternative Program</t>
  </si>
  <si>
    <t>East Farms STEAM School</t>
  </si>
  <si>
    <t>Eastmont Preschools</t>
  </si>
  <si>
    <t>Lee Elementary</t>
  </si>
  <si>
    <t>Madrona K-8 School</t>
  </si>
  <si>
    <t>Emerald Elementary School</t>
  </si>
  <si>
    <t>Henrietta Lacks Health and Bioscience High School</t>
  </si>
  <si>
    <t>Washington Connections Academy Goldendale</t>
  </si>
  <si>
    <t>Impact | Puget Sound Elementary</t>
  </si>
  <si>
    <t>Impact | Salish Sea Elementary</t>
  </si>
  <si>
    <t>Longview Virtual Academy</t>
  </si>
  <si>
    <t>Lumen High School</t>
  </si>
  <si>
    <t>Mary Walker Alternative Learning Experience</t>
  </si>
  <si>
    <t>Creekside Elementary School</t>
  </si>
  <si>
    <t>ILC Choice School</t>
  </si>
  <si>
    <t>Aspire Academy</t>
  </si>
  <si>
    <t xml:space="preserve">Centennial Elementary School </t>
  </si>
  <si>
    <t>North Kitsap Options</t>
  </si>
  <si>
    <t>Parent Assisted Learning</t>
  </si>
  <si>
    <t xml:space="preserve">North Mason Online  </t>
  </si>
  <si>
    <t>Envision Career Academy</t>
  </si>
  <si>
    <t>Innovation Lab High School</t>
  </si>
  <si>
    <t>Ruby Bridges Elementary</t>
  </si>
  <si>
    <t>Oak Harbor Virtual Academy</t>
  </si>
  <si>
    <t>Orient Elementary School</t>
  </si>
  <si>
    <t>Orting Elementary Online Academy</t>
  </si>
  <si>
    <t>Orting Secondary Online Academy</t>
  </si>
  <si>
    <t>Columbia River Elementary</t>
  </si>
  <si>
    <t>Ray Reynolds Middle School</t>
  </si>
  <si>
    <t>Peninsula Alternative Programs</t>
  </si>
  <si>
    <t>Seaview Academy</t>
  </si>
  <si>
    <t xml:space="preserve">PRIDE Prep School </t>
  </si>
  <si>
    <t>Prosser Opportunity Academy</t>
  </si>
  <si>
    <t>Kamiak Elementary</t>
  </si>
  <si>
    <t xml:space="preserve">Dessie F Evans Elementary </t>
  </si>
  <si>
    <t>Hunt Elementary</t>
  </si>
  <si>
    <t>Puyallup Online Academy/POA</t>
  </si>
  <si>
    <t>Puyallup Open Doors/POD</t>
  </si>
  <si>
    <t>Forks Middle School</t>
  </si>
  <si>
    <t>Quincy Innovation Academy</t>
  </si>
  <si>
    <t>Quincy Middle School</t>
  </si>
  <si>
    <t>Griffin Bay School Open Doors</t>
  </si>
  <si>
    <t>Magnolia Elementary</t>
  </si>
  <si>
    <t>Rising Star Elementary School</t>
  </si>
  <si>
    <t>Robert Lince Early Learning Center</t>
  </si>
  <si>
    <t>Selah Academy Online</t>
  </si>
  <si>
    <t>Dungeness Virtual School</t>
  </si>
  <si>
    <t>Olympic Peninsula Academy</t>
  </si>
  <si>
    <t>Cedar High School</t>
  </si>
  <si>
    <t>Choice Middle and High School</t>
  </si>
  <si>
    <t>Parent Partnership</t>
  </si>
  <si>
    <t>RISE Academy</t>
  </si>
  <si>
    <t>Mike Morris Elementary</t>
  </si>
  <si>
    <t>Pacific Virtual Learning</t>
  </si>
  <si>
    <t>John Sedgwick Middle School</t>
  </si>
  <si>
    <t>Marcus Whitman Middle School</t>
  </si>
  <si>
    <t>Pratt Academy</t>
  </si>
  <si>
    <t>Sultan Parent Partnership Program</t>
  </si>
  <si>
    <t>Sultan Virtual Academy</t>
  </si>
  <si>
    <t>Tehaleh Heights Elementary</t>
  </si>
  <si>
    <t>Bryant Montessori Middle School</t>
  </si>
  <si>
    <t>Tacoma Open Doors</t>
  </si>
  <si>
    <t>Cascadia High School</t>
  </si>
  <si>
    <t>Tumwater Virtual Academy</t>
  </si>
  <si>
    <t>Walla Walla Center for Children and Families</t>
  </si>
  <si>
    <t>Walla Walla Online</t>
  </si>
  <si>
    <t>Walla Walla Open Doors</t>
  </si>
  <si>
    <t>Simcoe Elementary School</t>
  </si>
  <si>
    <t>Washougal Learning Academy</t>
  </si>
  <si>
    <t>Castlerock Early Learning Center</t>
  </si>
  <si>
    <t>Wenatchee Internet Academy</t>
  </si>
  <si>
    <t>North Fork Elementary School</t>
  </si>
  <si>
    <t>FINAL High Poverty Eligibility for SY 2021-22</t>
  </si>
  <si>
    <t>Why Not You</t>
  </si>
  <si>
    <t>38901</t>
  </si>
  <si>
    <t>Pullman Community Montessori</t>
  </si>
  <si>
    <t>27902</t>
  </si>
  <si>
    <t>04901</t>
  </si>
  <si>
    <t>Pinnacles Prep Wenatchee</t>
  </si>
  <si>
    <t>17918</t>
  </si>
  <si>
    <t>21018</t>
  </si>
  <si>
    <t>34978</t>
  </si>
  <si>
    <t xml:space="preserve">Rainier Valley Leadership Academy </t>
  </si>
  <si>
    <t>Why Not You Academy</t>
  </si>
  <si>
    <t>University of Washington Early Entrance Program</t>
  </si>
  <si>
    <t>Green River College</t>
  </si>
  <si>
    <t>Vader School District</t>
  </si>
  <si>
    <t>Chief Leschi Tribal Compact</t>
  </si>
  <si>
    <t>Lumen Public School</t>
  </si>
  <si>
    <t>Washington Center for Deaf and Hard of Hearing Youth</t>
  </si>
  <si>
    <t>Department of Children Youth and Families</t>
  </si>
  <si>
    <t>Whatcom Intergenerational High School</t>
  </si>
  <si>
    <t>Easton Secondary School</t>
  </si>
  <si>
    <t>North Bell Learning Center</t>
  </si>
  <si>
    <t>Open Door Re-Engagement</t>
  </si>
  <si>
    <t>Quincy Innovation Academy Big Picture</t>
  </si>
  <si>
    <t>West Valley Virtual University</t>
  </si>
  <si>
    <t>Final District CEDARS Poverty Percentage October 1, 2020</t>
  </si>
  <si>
    <t xml:space="preserve">(2) has an 3 year average FRPL percentage at or above 50%. </t>
  </si>
  <si>
    <t>(5) CEP schools are held harmless if they were eligible for LAP High Poverty funding the first year they became CEP and their current 3 year average FRPL percentage is less than 50%.</t>
  </si>
  <si>
    <t>LAP Directors and Business Managers must work on this together.  This provides information needed for the F-203 and the iGrant FP218.</t>
  </si>
  <si>
    <t>Seattle Skills Center</t>
  </si>
  <si>
    <t>Lincoln County Tech</t>
  </si>
  <si>
    <t>Re-Entry Middle School</t>
  </si>
  <si>
    <t xml:space="preserve">Sno-Isle Skills Center </t>
  </si>
  <si>
    <t>Colville Fish Hatchery</t>
  </si>
  <si>
    <t>Yakima Valley Technical Skills Center</t>
  </si>
  <si>
    <t>Early Childhood Center</t>
  </si>
  <si>
    <t>Pateros Alternative School</t>
  </si>
  <si>
    <t>Ridgeview Group Home</t>
  </si>
  <si>
    <t>Impact | Commencement Bay</t>
  </si>
  <si>
    <t>Enrollment as of March 2022</t>
  </si>
  <si>
    <t xml:space="preserve">This calculator determines an LEA's Base LAP Allocation and High Poverty Schools allocation under the Learning Assistance Program for the 2022-23 school year.  </t>
  </si>
  <si>
    <r>
      <t xml:space="preserve"> If you have UPDATED 2021-22 AAFTE, ENTER the UPDATED VALUES on the Summary Tab</t>
    </r>
    <r>
      <rPr>
        <b/>
        <sz val="11"/>
        <color theme="9" tint="-0.249977111117893"/>
        <rFont val="Calibri"/>
        <family val="2"/>
        <scheme val="minor"/>
      </rPr>
      <t xml:space="preserve"> Cell G9</t>
    </r>
    <r>
      <rPr>
        <b/>
        <sz val="11"/>
        <color theme="1"/>
        <rFont val="Calibri"/>
        <family val="2"/>
        <scheme val="minor"/>
      </rPr>
      <t>. The total High Poverty Schools count should match what is reported on the F-203.</t>
    </r>
  </si>
  <si>
    <t xml:space="preserve">FRPL Percentage Data is October 1, 2021 Free and Reduced Price Lunch (FRPL) percentage using the total headcount (K-12) of the school and the FRPL headcount (K-12). </t>
  </si>
  <si>
    <t>The data comes from OSPI's student information pull of CEDARs as of 3/31/2022. Preschool students at the elementary school are excluded.</t>
  </si>
  <si>
    <t>AAFTE is from March 2022 pull of P223.</t>
  </si>
  <si>
    <t>(3) is funded through the prototypical schools formula and reported school based FTE in the P223 for the 2021-22 school year.</t>
  </si>
  <si>
    <t>LAP Calculator to Budget for the 2022-23 School Year</t>
  </si>
  <si>
    <t>Final CEDARS Poverty Data for 2022-23 School Year</t>
  </si>
  <si>
    <t>Difference</t>
  </si>
  <si>
    <t>Harbor Open Doors</t>
  </si>
  <si>
    <t>Auburn Online</t>
  </si>
  <si>
    <t>Katherine G. Johnson Elementary School</t>
  </si>
  <si>
    <t>Pre-Primary School</t>
  </si>
  <si>
    <t>Thompson Preschool</t>
  </si>
  <si>
    <t>Camas Connect Academy</t>
  </si>
  <si>
    <t>Rocket Virtual Academy</t>
  </si>
  <si>
    <t>Central Valley Virtual Learning</t>
  </si>
  <si>
    <t>Ridgeline High School</t>
  </si>
  <si>
    <t>Clovis Point Elementary School</t>
  </si>
  <si>
    <t>Eastmont Academy</t>
  </si>
  <si>
    <t>Sterling Jr. High School</t>
  </si>
  <si>
    <t>Edmonds K8 Online Academy</t>
  </si>
  <si>
    <t>Woodway Center</t>
  </si>
  <si>
    <t>JJ Smith Elementary</t>
  </si>
  <si>
    <t>Everett Virtual Academy</t>
  </si>
  <si>
    <t>Ferndale Special Services</t>
  </si>
  <si>
    <t>Fife Elementary School</t>
  </si>
  <si>
    <t>Highline Public Schools Virtual Academy</t>
  </si>
  <si>
    <t>Maritime High School</t>
  </si>
  <si>
    <t>Impact Public Schools</t>
  </si>
  <si>
    <t>CEDAR TRAILS ELEMENTARY</t>
  </si>
  <si>
    <t>COUGAR MOUNTAIN MIDDLE SCHOOL</t>
  </si>
  <si>
    <t>Lexington Elementary</t>
  </si>
  <si>
    <t>Kent Laboratory Academy</t>
  </si>
  <si>
    <t>River Ridge Elementary</t>
  </si>
  <si>
    <t>Lake Washington SD Online School</t>
  </si>
  <si>
    <t>ECEAP</t>
  </si>
  <si>
    <t>Digital Learning Center</t>
  </si>
  <si>
    <t>Vicki I. Groff Elementary</t>
  </si>
  <si>
    <t>Mukilteo Virtual Academy</t>
  </si>
  <si>
    <t>Newport Home Link</t>
  </si>
  <si>
    <t>Mary E. Theler Early Learning Center</t>
  </si>
  <si>
    <t>Ignite Family Academy</t>
  </si>
  <si>
    <t>Summit Virtual Academy</t>
  </si>
  <si>
    <t>Ocosta ALE</t>
  </si>
  <si>
    <t>Pasco Innovative Experiences and e-Learning</t>
  </si>
  <si>
    <t>Swift Water Elementary</t>
  </si>
  <si>
    <t>Pinnacles Prep Charter School</t>
  </si>
  <si>
    <t>Pioneer Virtual Academy</t>
  </si>
  <si>
    <t>Prescott Middle School</t>
  </si>
  <si>
    <t>PSD Special Services</t>
  </si>
  <si>
    <t>Reardan Options' Program</t>
  </si>
  <si>
    <t>Renton Online School</t>
  </si>
  <si>
    <t>Pacific Crest Online Academy</t>
  </si>
  <si>
    <t>Wisdom Ridge Academy</t>
  </si>
  <si>
    <t>Rochester Virtual Academy</t>
  </si>
  <si>
    <t>Good Beginnings Center</t>
  </si>
  <si>
    <t>Sedro-Woolley Virtual Learning Academy</t>
  </si>
  <si>
    <t>South Whidbey Special Services</t>
  </si>
  <si>
    <t>Spokane Virtual Academy</t>
  </si>
  <si>
    <t>Promise Program</t>
  </si>
  <si>
    <t>Hunt Middle School</t>
  </si>
  <si>
    <t>Tacoma Online</t>
  </si>
  <si>
    <t>West Valley Virtual Learning Center</t>
  </si>
  <si>
    <t>West Valley Innovation Center</t>
  </si>
  <si>
    <t>Cascade Public Schools</t>
  </si>
  <si>
    <t>3 Year Average for 2022-23 Eligibility</t>
  </si>
  <si>
    <t>FINAL High Poverty Eligibility for SY 2022-23</t>
  </si>
  <si>
    <t>2021-22 Enrollment as of March 2022</t>
  </si>
  <si>
    <t>Impact | Commencement Bay Elementary</t>
  </si>
  <si>
    <t xml:space="preserve">Nespelem School District  </t>
  </si>
  <si>
    <t>Pinnacles Prep</t>
  </si>
  <si>
    <t>Why Not You Academy (formerly Cascade: Midway charter)</t>
  </si>
  <si>
    <t>LEA Updated 2021-22 AAFTE (only if Claiming funds)</t>
  </si>
  <si>
    <t>2022-23 Reg Base</t>
  </si>
  <si>
    <t>2022-23 Reg Inc</t>
  </si>
  <si>
    <t>No</t>
  </si>
  <si>
    <t>LAP District Base HH Allocation</t>
  </si>
  <si>
    <t>2022-23 Poverty %</t>
  </si>
  <si>
    <t>Hold Harmless?</t>
  </si>
  <si>
    <t xml:space="preserve">Adjusted 2021-22 AAFTE </t>
  </si>
  <si>
    <t>Lincoln County Virtual Academy</t>
  </si>
  <si>
    <t>Echo Glen School</t>
  </si>
  <si>
    <t>Oakville Preschool</t>
  </si>
  <si>
    <t>Virtual Preparatory Academy</t>
  </si>
  <si>
    <t>Alternative Spcl Needs Div Occ</t>
  </si>
  <si>
    <t>Gateway</t>
  </si>
  <si>
    <t>White River Special Ed Services</t>
  </si>
  <si>
    <t>Stabilization?</t>
  </si>
  <si>
    <t>Stabilization Sec 517(6)(a)</t>
  </si>
  <si>
    <t>Stabilization Sec 517(6)(b)</t>
  </si>
  <si>
    <t>Final CEDARS Poverty Data for 2019-20 School Year</t>
  </si>
  <si>
    <t>AAFTE 2021-22 As of March 2022</t>
  </si>
  <si>
    <t>Stabilization % difference</t>
  </si>
  <si>
    <t>The AAFTE for the LAP District Allocation is pre-populated with the March's 2021-22 AAFTE</t>
  </si>
  <si>
    <t xml:space="preserve">The data is pre-populated with AAFTE by school from March 2022 from the P223. </t>
  </si>
  <si>
    <t xml:space="preserve"> If you have UPDATED 2021-22 AAFTE for the eligible High Poverty Schools, ENTER the UPDATED VALUES on the Summary Tab column G. </t>
  </si>
  <si>
    <t>Districts not claiming an allocation for a high poverty school should not report the enrollment on the F-203 and not report them on the iGrant 218.</t>
  </si>
  <si>
    <t xml:space="preserve">If you wish to not claim funding for an eligible High Poverty School, ENTER the word 'No' on the Summary Tab column G. </t>
  </si>
  <si>
    <t>or LAP at 360-725-6100</t>
  </si>
  <si>
    <t>lap@k12.wa.us</t>
  </si>
  <si>
    <t>STABILIZATION FUNDING FROM SECTION 517(6) OF THE OPERATING BUDGET IS ALSO INCLUDED IN THE ESTIMATE</t>
  </si>
  <si>
    <t xml:space="preserve">Under Sec 517(6)(b) LEA's Base LAP allocation for 2022-23 will be based on the higher percentage when comparing the 2019-20 and 2022-23 percentages. </t>
  </si>
  <si>
    <t>If you have a question regarding the eligibility for a school on the list, please contact:</t>
  </si>
  <si>
    <t xml:space="preserve"> SAFS at 360-725-6300 </t>
  </si>
  <si>
    <t>safs@k12.wa.us</t>
  </si>
  <si>
    <t>Washtucna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</si>
  <si>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</si>
  <si>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</si>
  <si>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</si>
  <si>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</si>
  <si>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</si>
  <si>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</si>
  <si>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</si>
  <si>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</si>
  <si>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 Benton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</si>
  <si>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</si>
  <si>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</si>
  <si>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</si>
  <si>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</si>
  <si>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</si>
  <si>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</si>
  <si>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</si>
  <si>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</si>
  <si>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</si>
  <si>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</si>
  <si>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</si>
  <si>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</si>
  <si>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</si>
  <si>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</si>
  <si>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</si>
  <si>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Quileute Tribal</t>
  </si>
  <si>
    <t>Vancouver</t>
  </si>
  <si>
    <t>Hockinson</t>
  </si>
  <si>
    <t>Lacenter</t>
  </si>
  <si>
    <t>Green Mountain</t>
  </si>
  <si>
    <t>Washougal</t>
  </si>
  <si>
    <t>Evergreen (Clark)</t>
  </si>
  <si>
    <t>Camas</t>
  </si>
  <si>
    <t>Battle Ground</t>
  </si>
  <si>
    <t>Ridgefield</t>
  </si>
  <si>
    <t>Dayton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</si>
  <si>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</si>
  <si>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</si>
  <si>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</si>
  <si>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</si>
  <si>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</si>
  <si>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</si>
  <si>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</si>
  <si>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</si>
  <si>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</si>
  <si>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</si>
  <si>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</si>
  <si>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</si>
  <si>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</si>
  <si>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</si>
  <si>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</si>
  <si>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</si>
  <si>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</si>
  <si>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</si>
  <si>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</si>
  <si>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</si>
  <si>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</si>
  <si>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</si>
  <si>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</si>
  <si>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</si>
  <si>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</si>
  <si>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</si>
  <si>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Coulee/Hartline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</si>
  <si>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</si>
  <si>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</si>
  <si>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</si>
  <si>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</si>
  <si>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</si>
  <si>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</si>
  <si>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</si>
  <si>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</si>
  <si>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</si>
  <si>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 Cleary</t>
  </si>
  <si>
    <t>Montesano</t>
  </si>
  <si>
    <t>Elma</t>
  </si>
  <si>
    <t>Taholah</t>
  </si>
  <si>
    <t>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</si>
  <si>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</si>
  <si>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</si>
  <si>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</si>
  <si>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</si>
  <si>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</si>
  <si>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</si>
  <si>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</si>
  <si>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</si>
  <si>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</si>
  <si>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</si>
  <si>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</si>
  <si>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</si>
  <si>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</si>
  <si>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</si>
  <si>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</si>
  <si>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</si>
  <si>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</si>
  <si>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</si>
  <si>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</si>
  <si>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</si>
  <si>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</si>
  <si>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</si>
  <si>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</si>
  <si>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</si>
  <si>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</si>
  <si>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</si>
  <si>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</si>
  <si>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</si>
  <si>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</si>
  <si>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</si>
  <si>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</si>
  <si>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</si>
  <si>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Summit Sierra Charter</t>
  </si>
  <si>
    <t>Muckleshoot Tribal</t>
  </si>
  <si>
    <t>Summit Atlas Charter</t>
  </si>
  <si>
    <t>Rainier Prep Charter</t>
  </si>
  <si>
    <t>Green Dot Seattle Charter</t>
  </si>
  <si>
    <t>IMPACT CHARTER</t>
  </si>
  <si>
    <t>Why Not You (Cascade Midway)</t>
  </si>
  <si>
    <t>Bremerton</t>
  </si>
  <si>
    <t>Bainbridge</t>
  </si>
  <si>
    <t>North Kitsap</t>
  </si>
  <si>
    <t>Central Kitsap</t>
  </si>
  <si>
    <t>South Kitsap</t>
  </si>
  <si>
    <t>Suquamish Tribal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</si>
  <si>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</si>
  <si>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</si>
  <si>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</si>
  <si>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</si>
  <si>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</si>
  <si>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</si>
  <si>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</si>
  <si>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</si>
  <si>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</si>
  <si>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</si>
  <si>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</si>
  <si>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</si>
  <si>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Goldendale</t>
  </si>
  <si>
    <t>White Salmon</t>
  </si>
  <si>
    <t>Lyle</t>
  </si>
  <si>
    <t>Napavine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</si>
  <si>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</si>
  <si>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</si>
  <si>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</si>
  <si>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</si>
  <si>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</si>
  <si>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</si>
  <si>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</si>
  <si>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</si>
  <si>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</si>
  <si>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</si>
  <si>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</si>
  <si>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</si>
  <si>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</si>
  <si>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</si>
  <si>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</si>
  <si>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</si>
  <si>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</si>
  <si>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</si>
  <si>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</si>
  <si>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</si>
  <si>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</si>
  <si>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</si>
  <si>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</si>
  <si>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</si>
  <si>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</si>
  <si>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</si>
  <si>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</si>
  <si>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</si>
  <si>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</si>
  <si>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</si>
  <si>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</si>
  <si>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</si>
  <si>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</si>
  <si>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</si>
  <si>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</si>
  <si>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Ocean Beach</t>
  </si>
  <si>
    <t>Raymond</t>
  </si>
  <si>
    <t>South Bend</t>
  </si>
  <si>
    <t>Naselle Grays Riv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</si>
  <si>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</si>
  <si>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</si>
  <si>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</si>
  <si>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</si>
  <si>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</si>
  <si>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</si>
  <si>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</si>
  <si>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</si>
  <si>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</si>
  <si>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</si>
  <si>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</si>
  <si>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</si>
  <si>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</si>
  <si>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</si>
  <si>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</si>
  <si>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</si>
  <si>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</si>
  <si>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</si>
  <si>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</si>
  <si>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</si>
  <si>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Chief Leschi</t>
  </si>
  <si>
    <t>Impact Tacoma (Commencement Bay)</t>
  </si>
  <si>
    <t>Summit Olympus Charter</t>
  </si>
  <si>
    <t>Shaw</t>
  </si>
  <si>
    <t>Orcas</t>
  </si>
  <si>
    <t>Lopez</t>
  </si>
  <si>
    <t>San Juan</t>
  </si>
  <si>
    <t>Concrete</t>
  </si>
  <si>
    <t>Burlington Edison</t>
  </si>
  <si>
    <t>Sedro Woolley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</si>
  <si>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</si>
  <si>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</si>
  <si>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</si>
  <si>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</si>
  <si>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</si>
  <si>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</si>
  <si>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</si>
  <si>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</si>
  <si>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</si>
  <si>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</si>
  <si>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</si>
  <si>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</si>
  <si>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</si>
  <si>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</si>
  <si>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</si>
  <si>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</si>
  <si>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</si>
  <si>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</si>
  <si>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</si>
  <si>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</si>
  <si>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</si>
  <si>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</si>
  <si>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</si>
  <si>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</si>
  <si>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</si>
  <si>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</si>
  <si>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</si>
  <si>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</si>
  <si>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</si>
  <si>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</si>
  <si>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</t>
  </si>
  <si>
    <t>Liberty</t>
  </si>
  <si>
    <t>West Valley (Spok</t>
  </si>
  <si>
    <t>Deer Park</t>
  </si>
  <si>
    <t>Riverside</t>
  </si>
  <si>
    <t>Spokane Int'l Charter</t>
  </si>
  <si>
    <t>Pride Prep Charter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</si>
  <si>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</si>
  <si>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</si>
  <si>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</si>
  <si>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</si>
  <si>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</si>
  <si>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</si>
  <si>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</si>
  <si>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(Stev)</t>
  </si>
  <si>
    <t>Columbia (Stev)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</si>
  <si>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</si>
  <si>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</si>
  <si>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</si>
  <si>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</si>
  <si>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</si>
  <si>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</si>
  <si>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</si>
  <si>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</si>
  <si>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</si>
  <si>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</si>
  <si>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</si>
  <si>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 He Lut Tribal</t>
  </si>
  <si>
    <t>Wahkiakum</t>
  </si>
  <si>
    <t>Dixie</t>
  </si>
  <si>
    <t>Walla Walla</t>
  </si>
  <si>
    <t>College Place</t>
  </si>
  <si>
    <t>Touchet</t>
  </si>
  <si>
    <t>Columbia (Walla)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</si>
  <si>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</si>
  <si>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</si>
  <si>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</si>
  <si>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</si>
  <si>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</si>
  <si>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</si>
  <si>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</si>
  <si>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</si>
  <si>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</si>
  <si>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Lummi Tribal</t>
  </si>
  <si>
    <t>Lacrosse Joint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</si>
  <si>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</si>
  <si>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</si>
  <si>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</si>
  <si>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</si>
  <si>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</si>
  <si>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</si>
  <si>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</si>
  <si>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</si>
  <si>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</si>
  <si>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</si>
  <si>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 John</t>
  </si>
  <si>
    <t>Oakesdale</t>
  </si>
  <si>
    <t>Union Gap</t>
  </si>
  <si>
    <t>Naches Valley</t>
  </si>
  <si>
    <t>Yakima</t>
  </si>
  <si>
    <t>East Valley (Yak)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</si>
  <si>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</si>
  <si>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</si>
  <si>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</si>
  <si>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</si>
  <si>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</si>
  <si>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</si>
  <si>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</si>
  <si>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</si>
  <si>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</si>
  <si>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(Yak)</t>
  </si>
  <si>
    <t>Mount Adams</t>
  </si>
  <si>
    <t>Yakama Nation</t>
  </si>
  <si>
    <t>Reg Base</t>
  </si>
  <si>
    <t>Reg &amp; Exp</t>
  </si>
  <si>
    <t>CIS Base</t>
  </si>
  <si>
    <t>CIS Inc</t>
  </si>
  <si>
    <t>CIS Ins Inc</t>
  </si>
  <si>
    <t>CIS Benefits Base</t>
  </si>
  <si>
    <t>CIS Benefits Inc</t>
  </si>
  <si>
    <t>If an LEA accepts funding for a High Poverty School, the funding from the school based allocation must go to the schools that generated those funds.</t>
  </si>
  <si>
    <t>USE THIS TOOL TO ESTIMATE YOUR ALLOCATION FOR THE F-203 and the iGrant FP218</t>
  </si>
  <si>
    <t xml:space="preserve">Under Sec 517(6)(a) schools who do not qualify as a High Poverty school for 2022-23 based on their actual poverty 3 year average percentage will be eligible if they were a High Poverty school for 2021-22. </t>
  </si>
  <si>
    <t>C. Save your work and print out a copy for completing the F-203 and the iGrant FP218</t>
  </si>
  <si>
    <t>Updated 4/1/22</t>
  </si>
  <si>
    <t>AAFTE 2021-22 as of March 2022</t>
  </si>
  <si>
    <t>Final 2021-22 AAFTE  (Should match F-203)</t>
  </si>
  <si>
    <t>Revenue 611155</t>
  </si>
  <si>
    <t>Revenue 4155</t>
  </si>
  <si>
    <t>Stabilization funds in Revenue 611155</t>
  </si>
  <si>
    <t>Funds in Revenue 4155</t>
  </si>
  <si>
    <t>2021-22 Poverty %</t>
  </si>
  <si>
    <t>LAP Base Total</t>
  </si>
  <si>
    <t>Reported 2021-22 AAFTE for LAP High Poverty Schools Allocation                                    (Total including Stabilization)</t>
  </si>
  <si>
    <t>Report the Total in Cell H15 on the F-203. LAP Line C</t>
  </si>
  <si>
    <r>
      <t xml:space="preserve">The total High Poverty School enrollment in Cell </t>
    </r>
    <r>
      <rPr>
        <b/>
        <sz val="11"/>
        <color rgb="FFFF0000"/>
        <rFont val="Calibri"/>
        <family val="2"/>
        <scheme val="minor"/>
      </rPr>
      <t>H15</t>
    </r>
    <r>
      <rPr>
        <b/>
        <sz val="11"/>
        <color theme="1"/>
        <rFont val="Calibri"/>
        <family val="2"/>
        <scheme val="minor"/>
      </rPr>
      <t xml:space="preserve"> should match what is reported on the F-203.</t>
    </r>
  </si>
  <si>
    <t>Stabilization funding is calculated seperatly and will be paid in Revenue Code 611155</t>
  </si>
  <si>
    <t>POVERTY PERCENTAGE AND ENROLLMENT IN BLUE CELLS ARE ENTERED INTO THE F-203</t>
  </si>
  <si>
    <t>The list of eligible schools is final. Your LEA can determine whether or not to accept the funding for a high poverty school. To accept funding LEAs will check a box for the eligible school in FP218.</t>
  </si>
  <si>
    <t>The values on the summary sheet are highlighted in orange and summarized at the top. But the calculated value can be added to the F-203.</t>
  </si>
  <si>
    <t>The calculator is populated with formulas that determine the LAP allocation and use 2022-23 school year salary and benefits.</t>
  </si>
  <si>
    <t>LAP Base Allocation</t>
  </si>
  <si>
    <t>Allocation for Eligible High Poverty Schools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</si>
</sst>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.00"/>
    <numFmt numFmtId="166" formatCode="&quot;$&quot;#,##0"/>
    <numFmt numFmtId="167" formatCode="_(* #,##0.0000_);_(* \(#,##0.0000\);_(* &quot;-&quot;??_);_(@_)"/>
    <numFmt numFmtId="168" formatCode="_(* #,##0_);_(* \(#,##0\);_(* &quot;-&quot;??_);_(@_)"/>
    <numFmt numFmtId="169" formatCode="0.0%"/>
    <numFmt numFmtId="170" formatCode="#,##0.00000;\-#,##0.00000;&quot;&quot;"/>
    <numFmt numFmtId="171" formatCode="0.00%;\-0.00%;\-"/>
    <numFmt numFmtId="172" formatCode="00000"/>
    <numFmt numFmtId="173" formatCode="_(* #,##0.000_);_(* \(#,##0.000\);_(* &quot;-&quot;??_);_(@_)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b/>
      <sz val="12"/>
      <name val="Calibri"/>
      <family val="2"/>
    </font>
    <font>
      <sz val="11"/>
      <color rgb="FFC00000"/>
      <name val="Calibri"/>
      <family val="2"/>
      <scheme val="minor"/>
    </font>
    <font>
      <sz val="11"/>
      <color rgb="FF339933"/>
      <name val="Calibri"/>
      <family val="2"/>
    </font>
    <font>
      <sz val="8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8" tint="0.59999389629810485"/>
      <name val="Calibri"/>
      <family val="2"/>
    </font>
    <font>
      <sz val="12"/>
      <name val="Arial"/>
      <family val="2"/>
    </font>
    <font>
      <sz val="8"/>
      <name val="Calibri"/>
      <family val="2"/>
    </font>
    <font>
      <sz val="8"/>
      <name val="SWIS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B0F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4" tint="0.59999389629810485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9"/>
      <color theme="4" tint="0.3999755851924192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B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7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0" borderId="0"/>
    <xf numFmtId="44" fontId="4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7" fillId="0" borderId="0"/>
    <xf numFmtId="0" fontId="54" fillId="0" borderId="0" applyNumberFormat="0" applyFill="0" applyBorder="0" applyAlignment="0" applyProtection="0"/>
  </cellStyleXfs>
  <cellXfs count="208">
    <xf numFmtId="0" fontId="0" fillId="0" borderId="0" xfId="0"/>
    <xf numFmtId="0" fontId="16" fillId="0" borderId="0" xfId="0" applyFont="1"/>
    <xf numFmtId="0" fontId="0" fillId="0" borderId="0" xfId="0" applyFill="1"/>
    <xf numFmtId="0" fontId="18" fillId="0" borderId="0" xfId="0" applyFont="1" applyFill="1"/>
    <xf numFmtId="0" fontId="0" fillId="0" borderId="0" xfId="0" applyAlignment="1">
      <alignment horizontal="center"/>
    </xf>
    <xf numFmtId="0" fontId="18" fillId="34" borderId="0" xfId="0" applyFont="1" applyFill="1"/>
    <xf numFmtId="0" fontId="0" fillId="0" borderId="0" xfId="0" applyAlignment="1">
      <alignment horizontal="center" vertical="center"/>
    </xf>
    <xf numFmtId="164" fontId="0" fillId="0" borderId="0" xfId="43" applyNumberFormat="1" applyFont="1"/>
    <xf numFmtId="0" fontId="16" fillId="0" borderId="0" xfId="0" applyFont="1" applyAlignment="1">
      <alignment wrapText="1"/>
    </xf>
    <xf numFmtId="0" fontId="24" fillId="0" borderId="0" xfId="44" applyNumberFormat="1" applyFont="1"/>
    <xf numFmtId="0" fontId="28" fillId="0" borderId="0" xfId="0" applyFont="1"/>
    <xf numFmtId="0" fontId="29" fillId="36" borderId="0" xfId="0" applyFont="1" applyFill="1" applyAlignment="1">
      <alignment wrapText="1"/>
    </xf>
    <xf numFmtId="0" fontId="26" fillId="36" borderId="0" xfId="44" applyNumberFormat="1" applyFont="1" applyFill="1" applyAlignment="1">
      <alignment wrapText="1"/>
    </xf>
    <xf numFmtId="0" fontId="26" fillId="36" borderId="0" xfId="46" applyFont="1" applyFill="1" applyAlignment="1" applyProtection="1">
      <alignment vertical="center" wrapText="1"/>
    </xf>
    <xf numFmtId="0" fontId="21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0" fontId="23" fillId="39" borderId="0" xfId="0" applyFont="1" applyFill="1"/>
    <xf numFmtId="166" fontId="23" fillId="39" borderId="0" xfId="0" applyNumberFormat="1" applyFont="1" applyFill="1"/>
    <xf numFmtId="166" fontId="25" fillId="39" borderId="0" xfId="44" applyNumberFormat="1" applyFont="1" applyFill="1"/>
    <xf numFmtId="10" fontId="23" fillId="39" borderId="0" xfId="43" applyNumberFormat="1" applyFont="1" applyFill="1"/>
    <xf numFmtId="0" fontId="25" fillId="39" borderId="0" xfId="44" applyNumberFormat="1" applyFont="1" applyFill="1"/>
    <xf numFmtId="168" fontId="23" fillId="39" borderId="0" xfId="43" applyNumberFormat="1" applyFont="1" applyFill="1"/>
    <xf numFmtId="164" fontId="25" fillId="39" borderId="0" xfId="47" applyNumberFormat="1" applyFont="1" applyFill="1"/>
    <xf numFmtId="43" fontId="25" fillId="39" borderId="0" xfId="44" applyNumberFormat="1" applyFont="1" applyFill="1"/>
    <xf numFmtId="0" fontId="18" fillId="39" borderId="0" xfId="7" applyFont="1" applyFill="1"/>
    <xf numFmtId="0" fontId="0" fillId="0" borderId="0" xfId="0" applyFont="1"/>
    <xf numFmtId="0" fontId="1" fillId="0" borderId="0" xfId="51"/>
    <xf numFmtId="0" fontId="31" fillId="0" borderId="0" xfId="48" applyNumberFormat="1" applyFont="1" applyAlignment="1">
      <alignment wrapText="1"/>
    </xf>
    <xf numFmtId="0" fontId="30" fillId="0" borderId="0" xfId="48" applyNumberFormat="1" applyFont="1"/>
    <xf numFmtId="0" fontId="31" fillId="0" borderId="0" xfId="48" applyNumberFormat="1" applyFont="1" applyAlignment="1">
      <alignment wrapText="1"/>
    </xf>
    <xf numFmtId="169" fontId="23" fillId="39" borderId="0" xfId="42" applyNumberFormat="1" applyFont="1" applyFill="1"/>
    <xf numFmtId="0" fontId="20" fillId="0" borderId="0" xfId="48" applyNumberFormat="1" applyFont="1" applyFill="1" applyAlignment="1">
      <alignment wrapText="1"/>
    </xf>
    <xf numFmtId="0" fontId="26" fillId="40" borderId="0" xfId="46" applyFont="1" applyFill="1" applyAlignment="1" applyProtection="1">
      <alignment vertical="center" wrapText="1"/>
    </xf>
    <xf numFmtId="0" fontId="26" fillId="41" borderId="0" xfId="44" applyNumberFormat="1" applyFont="1" applyFill="1" applyAlignment="1">
      <alignment wrapText="1"/>
    </xf>
    <xf numFmtId="0" fontId="26" fillId="41" borderId="0" xfId="46" applyFont="1" applyFill="1" applyAlignment="1" applyProtection="1">
      <alignment vertical="center" wrapText="1"/>
    </xf>
    <xf numFmtId="43" fontId="23" fillId="39" borderId="0" xfId="43" applyNumberFormat="1" applyFont="1" applyFill="1"/>
    <xf numFmtId="0" fontId="26" fillId="33" borderId="0" xfId="44" applyNumberFormat="1" applyFont="1" applyFill="1" applyAlignment="1">
      <alignment wrapText="1"/>
    </xf>
    <xf numFmtId="0" fontId="0" fillId="42" borderId="10" xfId="0" applyFill="1" applyBorder="1"/>
    <xf numFmtId="0" fontId="32" fillId="0" borderId="0" xfId="0" applyFont="1"/>
    <xf numFmtId="0" fontId="0" fillId="0" borderId="0" xfId="0" applyBorder="1"/>
    <xf numFmtId="171" fontId="0" fillId="0" borderId="0" xfId="42" applyNumberFormat="1" applyFont="1" applyBorder="1" applyAlignment="1">
      <alignment horizontal="center" vertical="center"/>
    </xf>
    <xf numFmtId="0" fontId="0" fillId="0" borderId="17" xfId="0" applyBorder="1"/>
    <xf numFmtId="171" fontId="0" fillId="0" borderId="17" xfId="42" applyNumberFormat="1" applyFont="1" applyBorder="1" applyAlignment="1">
      <alignment horizontal="center" vertical="center"/>
    </xf>
    <xf numFmtId="0" fontId="0" fillId="0" borderId="13" xfId="0" applyBorder="1"/>
    <xf numFmtId="171" fontId="0" fillId="0" borderId="13" xfId="42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3" xfId="0" applyBorder="1"/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/>
    <xf numFmtId="0" fontId="33" fillId="0" borderId="0" xfId="0" applyFont="1"/>
    <xf numFmtId="0" fontId="16" fillId="0" borderId="0" xfId="0" applyFont="1"/>
    <xf numFmtId="0" fontId="0" fillId="0" borderId="0" xfId="0" applyFont="1"/>
    <xf numFmtId="0" fontId="0" fillId="0" borderId="0" xfId="0" applyFill="1"/>
    <xf numFmtId="0" fontId="16" fillId="0" borderId="0" xfId="0" applyFont="1" applyFill="1"/>
    <xf numFmtId="0" fontId="0" fillId="0" borderId="0" xfId="0" applyFont="1" applyFill="1"/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171" fontId="16" fillId="0" borderId="13" xfId="0" applyNumberFormat="1" applyFont="1" applyBorder="1" applyAlignment="1">
      <alignment horizontal="center" vertical="center" wrapText="1"/>
    </xf>
    <xf numFmtId="43" fontId="16" fillId="0" borderId="13" xfId="43" applyFont="1" applyBorder="1" applyAlignment="1">
      <alignment horizontal="center" vertical="center" wrapText="1"/>
    </xf>
    <xf numFmtId="43" fontId="0" fillId="0" borderId="13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7" xfId="43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170" fontId="16" fillId="0" borderId="13" xfId="0" applyNumberFormat="1" applyFont="1" applyFill="1" applyBorder="1"/>
    <xf numFmtId="44" fontId="0" fillId="43" borderId="14" xfId="56" applyFont="1" applyFill="1" applyBorder="1"/>
    <xf numFmtId="44" fontId="0" fillId="43" borderId="16" xfId="56" applyFont="1" applyFill="1" applyBorder="1"/>
    <xf numFmtId="44" fontId="0" fillId="43" borderId="18" xfId="56" applyFont="1" applyFill="1" applyBorder="1"/>
    <xf numFmtId="43" fontId="0" fillId="0" borderId="0" xfId="0" applyNumberFormat="1"/>
    <xf numFmtId="43" fontId="0" fillId="0" borderId="13" xfId="43" applyNumberFormat="1" applyFont="1" applyBorder="1" applyAlignment="1">
      <alignment horizontal="center" vertical="center"/>
    </xf>
    <xf numFmtId="43" fontId="0" fillId="0" borderId="0" xfId="0" applyNumberFormat="1" applyFill="1" applyBorder="1"/>
    <xf numFmtId="43" fontId="0" fillId="0" borderId="17" xfId="0" applyNumberFormat="1" applyFill="1" applyBorder="1"/>
    <xf numFmtId="43" fontId="0" fillId="36" borderId="13" xfId="43" applyNumberFormat="1" applyFont="1" applyFill="1" applyBorder="1"/>
    <xf numFmtId="43" fontId="0" fillId="36" borderId="0" xfId="43" applyNumberFormat="1" applyFont="1" applyFill="1" applyBorder="1"/>
    <xf numFmtId="43" fontId="0" fillId="36" borderId="17" xfId="43" applyNumberFormat="1" applyFont="1" applyFill="1" applyBorder="1"/>
    <xf numFmtId="43" fontId="0" fillId="36" borderId="23" xfId="43" applyNumberFormat="1" applyFont="1" applyFill="1" applyBorder="1"/>
    <xf numFmtId="0" fontId="36" fillId="0" borderId="0" xfId="0" applyFont="1" applyAlignment="1">
      <alignment wrapText="1"/>
    </xf>
    <xf numFmtId="43" fontId="19" fillId="0" borderId="13" xfId="43" applyNumberFormat="1" applyFont="1" applyFill="1" applyBorder="1"/>
    <xf numFmtId="0" fontId="21" fillId="0" borderId="0" xfId="0" applyFont="1"/>
    <xf numFmtId="0" fontId="38" fillId="0" borderId="0" xfId="0" applyFont="1" applyAlignment="1">
      <alignment horizontal="center" vertical="center"/>
    </xf>
    <xf numFmtId="0" fontId="0" fillId="42" borderId="0" xfId="0" applyFill="1"/>
    <xf numFmtId="0" fontId="24" fillId="0" borderId="0" xfId="44" quotePrefix="1" applyNumberFormat="1" applyFont="1"/>
    <xf numFmtId="0" fontId="22" fillId="39" borderId="0" xfId="0" applyFont="1" applyFill="1"/>
    <xf numFmtId="44" fontId="0" fillId="43" borderId="24" xfId="56" applyFont="1" applyFill="1" applyBorder="1"/>
    <xf numFmtId="168" fontId="30" fillId="0" borderId="0" xfId="48" applyNumberFormat="1" applyFont="1"/>
    <xf numFmtId="0" fontId="26" fillId="37" borderId="0" xfId="46" applyFont="1" applyFill="1" applyAlignment="1" applyProtection="1">
      <alignment vertical="center" wrapText="1"/>
    </xf>
    <xf numFmtId="0" fontId="0" fillId="0" borderId="0" xfId="0" applyAlignment="1">
      <alignment horizontal="left"/>
    </xf>
    <xf numFmtId="0" fontId="0" fillId="0" borderId="0" xfId="0" applyNumberFormat="1" applyFont="1"/>
    <xf numFmtId="172" fontId="0" fillId="0" borderId="0" xfId="0" applyNumberFormat="1" applyAlignment="1">
      <alignment horizontal="left"/>
    </xf>
    <xf numFmtId="0" fontId="24" fillId="0" borderId="0" xfId="0" applyFont="1" applyFill="1" applyBorder="1" applyAlignment="1">
      <alignment horizontal="left"/>
    </xf>
    <xf numFmtId="0" fontId="24" fillId="0" borderId="0" xfId="50" applyNumberFormat="1" applyFont="1"/>
    <xf numFmtId="43" fontId="0" fillId="0" borderId="0" xfId="59" applyFont="1"/>
    <xf numFmtId="43" fontId="22" fillId="39" borderId="0" xfId="43" applyNumberFormat="1" applyFont="1" applyFill="1"/>
    <xf numFmtId="173" fontId="23" fillId="39" borderId="0" xfId="0" applyNumberFormat="1" applyFont="1" applyFill="1"/>
    <xf numFmtId="0" fontId="38" fillId="0" borderId="0" xfId="0" applyFont="1" applyAlignment="1">
      <alignment horizontal="right"/>
    </xf>
    <xf numFmtId="165" fontId="38" fillId="0" borderId="0" xfId="0" applyNumberFormat="1" applyFont="1"/>
    <xf numFmtId="0" fontId="38" fillId="0" borderId="0" xfId="0" applyFont="1"/>
    <xf numFmtId="0" fontId="24" fillId="0" borderId="0" xfId="50" applyNumberFormat="1" applyFont="1" applyFill="1" applyBorder="1" applyAlignment="1">
      <alignment horizontal="left"/>
    </xf>
    <xf numFmtId="0" fontId="24" fillId="0" borderId="0" xfId="50" applyNumberFormat="1" applyFont="1" applyFill="1" applyBorder="1"/>
    <xf numFmtId="43" fontId="20" fillId="0" borderId="0" xfId="59" applyFont="1" applyFill="1" applyAlignment="1">
      <alignment horizontal="center"/>
    </xf>
    <xf numFmtId="0" fontId="24" fillId="0" borderId="0" xfId="44" applyNumberFormat="1" applyFont="1" applyFill="1" applyBorder="1"/>
    <xf numFmtId="10" fontId="24" fillId="0" borderId="0" xfId="42" applyNumberFormat="1" applyFont="1" applyFill="1" applyBorder="1"/>
    <xf numFmtId="43" fontId="28" fillId="0" borderId="0" xfId="43" applyNumberFormat="1" applyFont="1" applyFill="1"/>
    <xf numFmtId="167" fontId="18" fillId="0" borderId="0" xfId="43" applyNumberFormat="1" applyFont="1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164" fontId="0" fillId="0" borderId="0" xfId="43" applyNumberFormat="1" applyFont="1" applyFill="1"/>
    <xf numFmtId="0" fontId="18" fillId="0" borderId="0" xfId="0" applyFont="1"/>
    <xf numFmtId="0" fontId="42" fillId="0" borderId="0" xfId="0" applyFont="1"/>
    <xf numFmtId="10" fontId="0" fillId="0" borderId="0" xfId="42" applyNumberFormat="1" applyFont="1" applyFill="1" applyAlignment="1">
      <alignment horizontal="center"/>
    </xf>
    <xf numFmtId="0" fontId="24" fillId="0" borderId="0" xfId="50" applyNumberFormat="1" applyFont="1" applyFill="1"/>
    <xf numFmtId="0" fontId="20" fillId="0" borderId="0" xfId="44" applyNumberFormat="1" applyFont="1" applyFill="1" applyBorder="1" applyAlignment="1">
      <alignment horizontal="center"/>
    </xf>
    <xf numFmtId="0" fontId="24" fillId="0" borderId="0" xfId="44" applyNumberFormat="1" applyFont="1" applyFill="1"/>
    <xf numFmtId="0" fontId="24" fillId="0" borderId="0" xfId="50" applyNumberFormat="1" applyFont="1" applyFill="1" applyAlignment="1">
      <alignment horizontal="center"/>
    </xf>
    <xf numFmtId="0" fontId="43" fillId="0" borderId="0" xfId="50" applyNumberFormat="1" applyFont="1" applyFill="1" applyBorder="1" applyAlignment="1">
      <alignment horizontal="center"/>
    </xf>
    <xf numFmtId="0" fontId="20" fillId="0" borderId="0" xfId="44" applyNumberFormat="1" applyFont="1" applyFill="1"/>
    <xf numFmtId="49" fontId="18" fillId="0" borderId="0" xfId="0" applyNumberFormat="1" applyFont="1" applyFill="1"/>
    <xf numFmtId="49" fontId="18" fillId="0" borderId="0" xfId="0" quotePrefix="1" applyNumberFormat="1" applyFont="1" applyFill="1"/>
    <xf numFmtId="43" fontId="18" fillId="0" borderId="0" xfId="43" applyFont="1" applyFill="1"/>
    <xf numFmtId="164" fontId="44" fillId="0" borderId="0" xfId="43" applyNumberFormat="1" applyFont="1"/>
    <xf numFmtId="169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left"/>
    </xf>
    <xf numFmtId="164" fontId="42" fillId="0" borderId="0" xfId="43" applyNumberFormat="1" applyFont="1" applyAlignment="1">
      <alignment horizontal="left"/>
    </xf>
    <xf numFmtId="43" fontId="30" fillId="0" borderId="0" xfId="43" applyFont="1"/>
    <xf numFmtId="43" fontId="45" fillId="0" borderId="0" xfId="0" applyNumberFormat="1" applyFont="1"/>
    <xf numFmtId="43" fontId="0" fillId="0" borderId="0" xfId="0" applyNumberFormat="1" applyFont="1"/>
    <xf numFmtId="172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/>
    <xf numFmtId="0" fontId="0" fillId="0" borderId="0" xfId="0" applyFont="1" applyAlignment="1">
      <alignment horizontal="left"/>
    </xf>
    <xf numFmtId="10" fontId="0" fillId="0" borderId="0" xfId="42" applyNumberFormat="1" applyFont="1" applyFill="1"/>
    <xf numFmtId="0" fontId="46" fillId="0" borderId="0" xfId="50" applyNumberFormat="1" applyFont="1"/>
    <xf numFmtId="0" fontId="0" fillId="0" borderId="26" xfId="0" applyBorder="1" applyAlignment="1">
      <alignment horizontal="center"/>
    </xf>
    <xf numFmtId="43" fontId="0" fillId="0" borderId="0" xfId="43" applyFont="1"/>
    <xf numFmtId="0" fontId="48" fillId="0" borderId="0" xfId="50" applyNumberFormat="1" applyFont="1" applyFill="1"/>
    <xf numFmtId="3" fontId="49" fillId="0" borderId="0" xfId="60" applyNumberFormat="1" applyFont="1" applyFill="1"/>
    <xf numFmtId="0" fontId="49" fillId="0" borderId="0" xfId="60" applyNumberFormat="1" applyFont="1" applyFill="1" applyAlignment="1"/>
    <xf numFmtId="0" fontId="24" fillId="0" borderId="0" xfId="50"/>
    <xf numFmtId="0" fontId="41" fillId="0" borderId="0" xfId="50" applyFont="1"/>
    <xf numFmtId="0" fontId="46" fillId="0" borderId="0" xfId="50" applyFont="1" applyAlignment="1">
      <alignment horizontal="center"/>
    </xf>
    <xf numFmtId="0" fontId="46" fillId="0" borderId="0" xfId="50" applyFont="1"/>
    <xf numFmtId="43" fontId="24" fillId="0" borderId="0" xfId="50" applyNumberFormat="1"/>
    <xf numFmtId="0" fontId="20" fillId="0" borderId="0" xfId="50" applyFont="1"/>
    <xf numFmtId="0" fontId="20" fillId="0" borderId="0" xfId="50" applyFont="1" applyAlignment="1">
      <alignment horizontal="center"/>
    </xf>
    <xf numFmtId="0" fontId="24" fillId="0" borderId="0" xfId="50" applyAlignment="1">
      <alignment horizontal="center"/>
    </xf>
    <xf numFmtId="0" fontId="31" fillId="0" borderId="0" xfId="48" applyNumberFormat="1" applyFont="1" applyFill="1" applyAlignment="1">
      <alignment wrapText="1"/>
    </xf>
    <xf numFmtId="0" fontId="52" fillId="0" borderId="0" xfId="0" applyFont="1"/>
    <xf numFmtId="0" fontId="52" fillId="0" borderId="0" xfId="51" applyFont="1"/>
    <xf numFmtId="0" fontId="52" fillId="0" borderId="0" xfId="51" applyFont="1" applyFill="1" applyAlignment="1">
      <alignment horizontal="center"/>
    </xf>
    <xf numFmtId="0" fontId="16" fillId="36" borderId="10" xfId="51" applyFont="1" applyFill="1" applyBorder="1" applyAlignment="1">
      <alignment horizontal="center" vertical="center" wrapText="1"/>
    </xf>
    <xf numFmtId="0" fontId="5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Fill="1" applyAlignment="1">
      <alignment horizontal="right"/>
    </xf>
    <xf numFmtId="0" fontId="0" fillId="0" borderId="0" xfId="0" applyFont="1" applyAlignment="1">
      <alignment horizontal="right"/>
    </xf>
    <xf numFmtId="43" fontId="0" fillId="0" borderId="27" xfId="43" applyFont="1" applyBorder="1" applyAlignment="1">
      <alignment horizontal="center" vertical="center"/>
    </xf>
    <xf numFmtId="0" fontId="53" fillId="0" borderId="0" xfId="0" applyFont="1" applyAlignment="1">
      <alignment horizontal="right"/>
    </xf>
    <xf numFmtId="166" fontId="0" fillId="0" borderId="0" xfId="0" applyNumberFormat="1"/>
    <xf numFmtId="0" fontId="16" fillId="0" borderId="11" xfId="0" applyFont="1" applyBorder="1" applyAlignment="1">
      <alignment vertical="top"/>
    </xf>
    <xf numFmtId="0" fontId="16" fillId="0" borderId="25" xfId="0" applyFont="1" applyBorder="1" applyAlignment="1">
      <alignment vertical="top"/>
    </xf>
    <xf numFmtId="0" fontId="21" fillId="0" borderId="25" xfId="0" applyFont="1" applyBorder="1" applyAlignment="1">
      <alignment vertical="top"/>
    </xf>
    <xf numFmtId="0" fontId="16" fillId="37" borderId="10" xfId="51" applyFont="1" applyFill="1" applyBorder="1" applyAlignment="1">
      <alignment horizontal="center" vertical="top" wrapText="1"/>
    </xf>
    <xf numFmtId="0" fontId="16" fillId="44" borderId="11" xfId="0" applyFont="1" applyFill="1" applyBorder="1" applyAlignment="1">
      <alignment horizontal="center" vertical="top" wrapText="1"/>
    </xf>
    <xf numFmtId="0" fontId="16" fillId="36" borderId="10" xfId="51" applyFont="1" applyFill="1" applyBorder="1" applyAlignment="1">
      <alignment horizontal="center" vertical="top" wrapText="1"/>
    </xf>
    <xf numFmtId="0" fontId="16" fillId="0" borderId="0" xfId="51" applyFont="1" applyFill="1" applyAlignment="1">
      <alignment vertical="top"/>
    </xf>
    <xf numFmtId="0" fontId="16" fillId="0" borderId="0" xfId="51" applyFont="1" applyAlignment="1">
      <alignment vertical="top"/>
    </xf>
    <xf numFmtId="0" fontId="16" fillId="45" borderId="10" xfId="51" applyFont="1" applyFill="1" applyBorder="1" applyAlignment="1">
      <alignment horizontal="center" vertical="top" wrapText="1"/>
    </xf>
    <xf numFmtId="168" fontId="0" fillId="0" borderId="0" xfId="43" applyNumberFormat="1" applyFont="1"/>
    <xf numFmtId="168" fontId="0" fillId="0" borderId="0" xfId="0" applyNumberFormat="1"/>
    <xf numFmtId="0" fontId="16" fillId="0" borderId="0" xfId="0" applyFont="1" applyAlignment="1">
      <alignment horizontal="right"/>
    </xf>
    <xf numFmtId="44" fontId="0" fillId="46" borderId="27" xfId="56" applyFont="1" applyFill="1" applyBorder="1"/>
    <xf numFmtId="0" fontId="0" fillId="46" borderId="0" xfId="0" applyFill="1"/>
    <xf numFmtId="165" fontId="53" fillId="46" borderId="0" xfId="0" applyNumberFormat="1" applyFont="1" applyFill="1"/>
    <xf numFmtId="0" fontId="16" fillId="46" borderId="0" xfId="0" applyFont="1" applyFill="1"/>
    <xf numFmtId="0" fontId="54" fillId="0" borderId="0" xfId="61"/>
    <xf numFmtId="0" fontId="55" fillId="0" borderId="0" xfId="0" applyFont="1"/>
    <xf numFmtId="2" fontId="56" fillId="0" borderId="0" xfId="0" applyNumberFormat="1" applyFont="1" applyAlignment="1">
      <alignment wrapText="1"/>
    </xf>
    <xf numFmtId="2" fontId="56" fillId="0" borderId="0" xfId="43" applyNumberFormat="1" applyFont="1"/>
    <xf numFmtId="2" fontId="56" fillId="42" borderId="0" xfId="43" applyNumberFormat="1" applyFont="1" applyFill="1"/>
    <xf numFmtId="0" fontId="57" fillId="0" borderId="0" xfId="0" applyFont="1"/>
    <xf numFmtId="168" fontId="56" fillId="0" borderId="0" xfId="43" applyNumberFormat="1" applyFont="1"/>
    <xf numFmtId="0" fontId="57" fillId="0" borderId="0" xfId="0" applyFont="1" applyAlignment="1">
      <alignment wrapText="1"/>
    </xf>
    <xf numFmtId="43" fontId="56" fillId="0" borderId="0" xfId="43" applyNumberFormat="1" applyFont="1"/>
    <xf numFmtId="167" fontId="56" fillId="0" borderId="0" xfId="43" applyNumberFormat="1" applyFont="1"/>
    <xf numFmtId="0" fontId="0" fillId="0" borderId="23" xfId="0" applyFill="1" applyBorder="1" applyAlignment="1">
      <alignment horizontal="right"/>
    </xf>
    <xf numFmtId="165" fontId="53" fillId="43" borderId="0" xfId="0" applyNumberFormat="1" applyFont="1" applyFill="1"/>
    <xf numFmtId="171" fontId="59" fillId="0" borderId="27" xfId="42" applyNumberFormat="1" applyFont="1" applyBorder="1" applyAlignment="1">
      <alignment horizontal="center" vertical="center"/>
    </xf>
    <xf numFmtId="44" fontId="16" fillId="0" borderId="27" xfId="56" applyFont="1" applyFill="1" applyBorder="1"/>
    <xf numFmtId="44" fontId="16" fillId="0" borderId="14" xfId="56" applyFont="1" applyFill="1" applyBorder="1"/>
    <xf numFmtId="43" fontId="21" fillId="37" borderId="17" xfId="43" applyNumberFormat="1" applyFont="1" applyFill="1" applyBorder="1"/>
    <xf numFmtId="171" fontId="0" fillId="37" borderId="27" xfId="42" applyNumberFormat="1" applyFont="1" applyFill="1" applyBorder="1" applyAlignment="1">
      <alignment horizontal="center" vertical="center"/>
    </xf>
    <xf numFmtId="171" fontId="0" fillId="46" borderId="27" xfId="42" applyNumberFormat="1" applyFont="1" applyFill="1" applyBorder="1" applyAlignment="1">
      <alignment horizontal="center" vertical="center"/>
    </xf>
    <xf numFmtId="0" fontId="16" fillId="37" borderId="0" xfId="0" applyFont="1" applyFill="1"/>
    <xf numFmtId="0" fontId="0" fillId="37" borderId="0" xfId="0" applyFill="1"/>
    <xf numFmtId="0" fontId="18" fillId="42" borderId="0" xfId="0" applyFont="1" applyFill="1"/>
    <xf numFmtId="0" fontId="16" fillId="0" borderId="0" xfId="0" applyFont="1" applyFill="1" applyAlignment="1">
      <alignment wrapText="1"/>
    </xf>
    <xf numFmtId="0" fontId="29" fillId="0" borderId="0" xfId="0" applyFont="1" applyAlignment="1">
      <alignment horizontal="center"/>
    </xf>
  </cellXfs>
  <cellStyles count="6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 xr:uid="{00000000-0005-0000-0000-00001C000000}"/>
    <cellStyle name="Comma 3" xfId="53" xr:uid="{00000000-0005-0000-0000-00001D000000}"/>
    <cellStyle name="Comma 3 2" xfId="59" xr:uid="{00000000-0005-0000-0000-00001E000000}"/>
    <cellStyle name="Currency" xfId="56" builtinId="4"/>
    <cellStyle name="Currency 2" xfId="58" xr:uid="{00000000-0005-0000-0000-000020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6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C000000}"/>
    <cellStyle name="Normal 2 2" xfId="51" xr:uid="{00000000-0005-0000-0000-00002D000000}"/>
    <cellStyle name="Normal 2 2 2 2" xfId="52" xr:uid="{00000000-0005-0000-0000-00002E000000}"/>
    <cellStyle name="Normal 2 3" xfId="49" xr:uid="{00000000-0005-0000-0000-00002F000000}"/>
    <cellStyle name="Normal 2 3 2" xfId="54" xr:uid="{00000000-0005-0000-0000-000030000000}"/>
    <cellStyle name="Normal 3" xfId="50" xr:uid="{00000000-0005-0000-0000-000031000000}"/>
    <cellStyle name="Normal 4" xfId="48" xr:uid="{00000000-0005-0000-0000-000032000000}"/>
    <cellStyle name="Normal 4 2" xfId="57" xr:uid="{00000000-0005-0000-0000-000033000000}"/>
    <cellStyle name="Normal_0709MegaModelNovG" xfId="46" xr:uid="{00000000-0005-0000-0000-000034000000}"/>
    <cellStyle name="Normal_1220R10" xfId="60" xr:uid="{00000000-0005-0000-0000-000035000000}"/>
    <cellStyle name="Note" xfId="15" builtinId="10" customBuiltin="1"/>
    <cellStyle name="Output" xfId="10" builtinId="21" customBuiltin="1"/>
    <cellStyle name="Percent" xfId="42" builtinId="5"/>
    <cellStyle name="Percent 2" xfId="45" xr:uid="{00000000-0005-0000-0000-000039000000}"/>
    <cellStyle name="Percent 2 2" xfId="55" xr:uid="{00000000-0005-0000-0000-00003A000000}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color rgb="FFC00000"/>
      </font>
    </dxf>
    <dxf>
      <font>
        <color rgb="FF00B050"/>
      </font>
    </dxf>
    <dxf>
      <font>
        <strike val="0"/>
        <color rgb="FFFF0000"/>
      </font>
    </dxf>
    <dxf>
      <font>
        <strike val="0"/>
        <color rgb="FF339933"/>
      </font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My%20Documents/08%20session/Federal%20way%20Ruling/Grandfathered%20salary%20districtsblow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apoly006\ftp_leg\K-12\2012%20Supp\New%20Stuff\option%202%20four%20fewer%20day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TSB%20Projects/DSH/17%20WMIP%20Update/WMIP%20RatingModel_20060414%20MP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\gwu\Documents%20and%20Settings\mann_mi\Desktop\09-11_MegaModel_ML_03.09.09_MarchLegM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page"/>
      <sheetName val="Calc Page"/>
      <sheetName val="Master Results - 2007-09"/>
      <sheetName val="Master Results - &quot;Raise Water&quot; "/>
      <sheetName val="Master Results - Melt Iceberg"/>
      <sheetName val="AsmMG"/>
      <sheetName val="RatesPg"/>
      <sheetName val="All Staff"/>
      <sheetName val="LEAP doc 2007session"/>
      <sheetName val="CIS Staff in all Programs S275"/>
      <sheetName val="BCP"/>
      <sheetName val="HouseItems"/>
      <sheetName val="WinsumItems"/>
      <sheetName val="OldTitles"/>
      <sheetName val="Titles"/>
      <sheetName val="Stp"/>
      <sheetName val="To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Ref"/>
      <sheetName val="LAP"/>
      <sheetName val="SAF"/>
      <sheetName val="Cmp"/>
      <sheetName val="MiscLoad"/>
      <sheetName val="WinSum"/>
      <sheetName val="CFL"/>
      <sheetName val="SalSch"/>
      <sheetName val="Allotments"/>
      <sheetName val="Source Notes"/>
      <sheetName val="Mac"/>
      <sheetName val="Mix"/>
      <sheetName val="1% exta each year"/>
      <sheetName val="1% w prorate at 25% of top4"/>
      <sheetName val="All at once in 09"/>
      <sheetName val="Utilities"/>
      <sheetName val="WinSumVBA"/>
      <sheetName val="Glob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Pension Rates"/>
      <sheetName val="Global Uploads Reconcilliation"/>
      <sheetName val="Apportionment Delay"/>
      <sheetName val="Small School NERC"/>
      <sheetName val="Cross Walk"/>
      <sheetName val="Cross Walk (2)"/>
      <sheetName val="School Days"/>
      <sheetName val="Preview"/>
      <sheetName val="Estimate Steps"/>
      <sheetName val="PivotStepTableNGFS"/>
      <sheetName val="BCP"/>
      <sheetName val="WinSum"/>
      <sheetName val="Titles"/>
      <sheetName val="Assumptions"/>
      <sheetName val="Totals"/>
      <sheetName val="Apportionment"/>
      <sheetName val="BEARate2261"/>
      <sheetName val="Transportation"/>
      <sheetName val="Comp"/>
      <sheetName val="SpecEd"/>
      <sheetName val="LAP"/>
      <sheetName val="Bilingual"/>
      <sheetName val="HighlyCapable"/>
      <sheetName val="LEA"/>
      <sheetName val="ESD"/>
      <sheetName val="SAF"/>
      <sheetName val="SPI"/>
      <sheetName val="EdReform"/>
      <sheetName val="Institutions"/>
      <sheetName val="StpDB"/>
      <sheetName val="Stp"/>
      <sheetName val="Misc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Item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"/>
      <sheetName val="MM"/>
      <sheetName val="CSDB"/>
      <sheetName val="NHCS"/>
      <sheetName val="1"/>
      <sheetName val="MO_VT"/>
      <sheetName val="DE_VT"/>
      <sheetName val="MO_TBI"/>
      <sheetName val="DE_TBI"/>
      <sheetName val="Index"/>
      <sheetName val="Summary"/>
      <sheetName val="Costmodel"/>
      <sheetName val="Rates"/>
      <sheetName val="TableIndex"/>
      <sheetName val="C-1"/>
      <sheetName val="C-2"/>
      <sheetName val="C-3"/>
      <sheetName val="C-4"/>
      <sheetName val="D-1"/>
      <sheetName val="D-2"/>
      <sheetName val="D-3"/>
      <sheetName val="E-1"/>
      <sheetName val="F-1"/>
      <sheetName val="D-1a"/>
      <sheetName val="D-2a"/>
      <sheetName val="D-1b"/>
      <sheetName val="D-2b"/>
      <sheetName val="Age_Gender"/>
      <sheetName val="Well Managed"/>
      <sheetName val="HMO_CY05"/>
      <sheetName val="HMO_CY06"/>
      <sheetName val="WM Adj."/>
      <sheetName val="65+ AF"/>
      <sheetName val="65+ Util"/>
      <sheetName val="65+ Cost"/>
      <sheetName val="65+ AG"/>
      <sheetName val="&lt;65 AG"/>
      <sheetName val="&lt;65 Util_Cost"/>
      <sheetName val="&lt;65 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P"/>
      <sheetName val="HouseItems"/>
      <sheetName val="WinsumItems"/>
      <sheetName val="OldTitles"/>
      <sheetName val="XTitles26Jan2009"/>
      <sheetName val="Titles"/>
      <sheetName val="StpPTTotal"/>
      <sheetName val="StpPTGFS"/>
      <sheetName val="StpPTNGFS"/>
      <sheetName val="Stp"/>
      <sheetName val="Asm"/>
      <sheetName val="Ref"/>
      <sheetName val="RatesPg"/>
      <sheetName val="Transparency"/>
      <sheetName val="Tot"/>
      <sheetName val="ReductionTarge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LAP"/>
      <sheetName val="SAF"/>
      <sheetName val="Cmp"/>
      <sheetName val="MiscLoad"/>
      <sheetName val="WinSum"/>
      <sheetName val="CFL"/>
      <sheetName val="SalSch"/>
      <sheetName val="Allotments"/>
      <sheetName val="Mac"/>
      <sheetName val="Utilities"/>
      <sheetName val="WinSumVBA"/>
      <sheetName val="Globals"/>
      <sheetName val="StpDB"/>
      <sheetName val="Proviso.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fs@k12.wa.us" TargetMode="External"/><Relationship Id="rId1" Type="http://schemas.openxmlformats.org/officeDocument/2006/relationships/hyperlink" Target="mailto:lap@k12.wa.u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2:K65"/>
  <sheetViews>
    <sheetView tabSelected="1" workbookViewId="0">
      <selection activeCell="B2" sqref="B2"/>
    </sheetView>
  </sheetViews>
  <sheetFormatPr defaultRowHeight="14.4"/>
  <cols>
    <col min="1" max="1" width="3.6640625" customWidth="1"/>
    <col min="2" max="2" width="23" customWidth="1"/>
    <col min="8" max="8" width="10.109375" customWidth="1"/>
  </cols>
  <sheetData>
    <row r="2" spans="2:11" ht="23.4">
      <c r="B2" s="57" t="s">
        <v>2995</v>
      </c>
    </row>
    <row r="3" spans="2:11" s="56" customFormat="1">
      <c r="B3" s="58"/>
    </row>
    <row r="4" spans="2:11" s="56" customFormat="1" ht="23.4">
      <c r="B4" s="57" t="s">
        <v>2977</v>
      </c>
    </row>
    <row r="5" spans="2:11">
      <c r="B5" s="58"/>
    </row>
    <row r="6" spans="2:11">
      <c r="B6" s="58" t="s">
        <v>2989</v>
      </c>
    </row>
    <row r="7" spans="2:11">
      <c r="B7" s="58" t="s">
        <v>3412</v>
      </c>
    </row>
    <row r="8" spans="2:11">
      <c r="B8" s="58"/>
    </row>
    <row r="9" spans="2:11">
      <c r="B9" s="58" t="s">
        <v>3413</v>
      </c>
    </row>
    <row r="10" spans="2:11">
      <c r="B10" s="59" t="s">
        <v>3432</v>
      </c>
    </row>
    <row r="11" spans="2:11">
      <c r="B11" s="59" t="s">
        <v>3430</v>
      </c>
    </row>
    <row r="12" spans="2:11" s="56" customFormat="1">
      <c r="B12" s="203" t="s">
        <v>3429</v>
      </c>
      <c r="C12" s="204"/>
      <c r="D12" s="204"/>
      <c r="E12" s="204"/>
      <c r="F12" s="204"/>
      <c r="G12" s="204"/>
      <c r="H12" s="204"/>
      <c r="I12" s="204"/>
      <c r="J12" s="204"/>
      <c r="K12" s="204"/>
    </row>
    <row r="13" spans="2:11" s="56" customFormat="1">
      <c r="B13" s="59"/>
    </row>
    <row r="14" spans="2:11" s="56" customFormat="1">
      <c r="B14" s="184" t="s">
        <v>3090</v>
      </c>
      <c r="C14" s="182"/>
      <c r="D14" s="182"/>
      <c r="E14" s="182"/>
      <c r="F14" s="182"/>
      <c r="G14" s="182"/>
      <c r="H14" s="182"/>
      <c r="I14" s="182"/>
      <c r="J14" s="182"/>
      <c r="K14" s="182"/>
    </row>
    <row r="15" spans="2:11" s="56" customFormat="1">
      <c r="B15" s="59" t="s">
        <v>3431</v>
      </c>
    </row>
    <row r="16" spans="2:11" s="56" customFormat="1">
      <c r="B16" s="59" t="s">
        <v>3414</v>
      </c>
    </row>
    <row r="17" spans="2:2" s="56" customFormat="1">
      <c r="B17" s="59" t="s">
        <v>3091</v>
      </c>
    </row>
    <row r="18" spans="2:2">
      <c r="B18" s="59"/>
    </row>
    <row r="19" spans="2:2">
      <c r="B19" s="58" t="s">
        <v>2702</v>
      </c>
    </row>
    <row r="20" spans="2:2">
      <c r="B20" s="61" t="s">
        <v>2705</v>
      </c>
    </row>
    <row r="21" spans="2:2">
      <c r="B21" s="62" t="s">
        <v>3083</v>
      </c>
    </row>
    <row r="22" spans="2:2">
      <c r="B22" s="61" t="s">
        <v>2990</v>
      </c>
    </row>
    <row r="23" spans="2:2" s="56" customFormat="1">
      <c r="B23" s="61"/>
    </row>
    <row r="24" spans="2:2">
      <c r="B24" s="61" t="s">
        <v>2706</v>
      </c>
    </row>
    <row r="25" spans="2:2">
      <c r="B25" s="60" t="s">
        <v>3084</v>
      </c>
    </row>
    <row r="26" spans="2:2">
      <c r="B26" s="61" t="s">
        <v>3085</v>
      </c>
    </row>
    <row r="27" spans="2:2" s="56" customFormat="1">
      <c r="B27" s="61" t="s">
        <v>3427</v>
      </c>
    </row>
    <row r="28" spans="2:2" s="56" customFormat="1">
      <c r="B28" s="62" t="s">
        <v>3428</v>
      </c>
    </row>
    <row r="29" spans="2:2">
      <c r="B29" s="70" t="s">
        <v>3086</v>
      </c>
    </row>
    <row r="30" spans="2:2" s="56" customFormat="1">
      <c r="B30" s="61" t="s">
        <v>3087</v>
      </c>
    </row>
    <row r="31" spans="2:2" s="56" customFormat="1">
      <c r="B31" s="70"/>
    </row>
    <row r="32" spans="2:2" s="56" customFormat="1">
      <c r="B32" s="87" t="s">
        <v>3415</v>
      </c>
    </row>
    <row r="33" spans="2:2" s="56" customFormat="1"/>
    <row r="34" spans="2:2">
      <c r="B34" s="58" t="s">
        <v>2700</v>
      </c>
    </row>
    <row r="35" spans="2:2">
      <c r="B35" s="56" t="s">
        <v>2991</v>
      </c>
    </row>
    <row r="36" spans="2:2" s="56" customFormat="1">
      <c r="B36" s="56" t="s">
        <v>2992</v>
      </c>
    </row>
    <row r="37" spans="2:2">
      <c r="B37" s="56" t="s">
        <v>2993</v>
      </c>
    </row>
    <row r="39" spans="2:2">
      <c r="B39" s="58" t="s">
        <v>2701</v>
      </c>
    </row>
    <row r="40" spans="2:2">
      <c r="B40" s="56" t="s">
        <v>2568</v>
      </c>
    </row>
    <row r="41" spans="2:2">
      <c r="B41" s="56" t="s">
        <v>2569</v>
      </c>
    </row>
    <row r="42" spans="2:2">
      <c r="B42" s="56" t="s">
        <v>2975</v>
      </c>
    </row>
    <row r="43" spans="2:2">
      <c r="B43" s="56" t="s">
        <v>2994</v>
      </c>
    </row>
    <row r="44" spans="2:2">
      <c r="B44" s="56" t="s">
        <v>2699</v>
      </c>
    </row>
    <row r="45" spans="2:2" s="56" customFormat="1">
      <c r="B45" s="56" t="s">
        <v>2976</v>
      </c>
    </row>
    <row r="47" spans="2:2">
      <c r="B47" s="56" t="s">
        <v>2570</v>
      </c>
    </row>
    <row r="49" spans="2:9">
      <c r="B49" s="58" t="s">
        <v>3092</v>
      </c>
      <c r="I49" s="185"/>
    </row>
    <row r="50" spans="2:9" s="56" customFormat="1">
      <c r="B50" s="180" t="s">
        <v>3093</v>
      </c>
      <c r="C50" s="185" t="s">
        <v>3094</v>
      </c>
      <c r="I50" s="185"/>
    </row>
    <row r="51" spans="2:9">
      <c r="B51" s="180" t="s">
        <v>3088</v>
      </c>
      <c r="C51" s="185" t="s">
        <v>3089</v>
      </c>
    </row>
    <row r="53" spans="2:9">
      <c r="B53" s="89" t="s">
        <v>3416</v>
      </c>
    </row>
    <row r="64" spans="2:9">
      <c r="B64" s="56"/>
    </row>
    <row r="65" spans="2:2">
      <c r="B65" s="56"/>
    </row>
  </sheetData>
  <hyperlinks>
    <hyperlink ref="C51" r:id="rId1" xr:uid="{00000000-0004-0000-0000-000000000000}"/>
    <hyperlink ref="C50" r:id="rId2" xr:uid="{00000000-0004-0000-0000-000001000000}"/>
  </hyperlinks>
  <pageMargins left="0.7" right="0.7" top="0.75" bottom="0.75" header="0.3" footer="0.3"/>
  <pageSetup scale="64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A4:I323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4.4"/>
  <cols>
    <col min="7" max="7" width="10.5546875" bestFit="1" customWidth="1"/>
  </cols>
  <sheetData>
    <row r="4" spans="1:9">
      <c r="A4" s="186">
        <v>1</v>
      </c>
      <c r="B4" s="186">
        <f>A4+1</f>
        <v>2</v>
      </c>
      <c r="C4" s="186">
        <f t="shared" ref="C4:I4" si="0">B4+1</f>
        <v>3</v>
      </c>
      <c r="D4" s="186">
        <f t="shared" si="0"/>
        <v>4</v>
      </c>
      <c r="E4" s="186">
        <f t="shared" si="0"/>
        <v>5</v>
      </c>
      <c r="F4" s="186">
        <f t="shared" si="0"/>
        <v>6</v>
      </c>
      <c r="G4" s="186">
        <f t="shared" si="0"/>
        <v>7</v>
      </c>
      <c r="H4" s="186">
        <f t="shared" si="0"/>
        <v>8</v>
      </c>
      <c r="I4" s="186">
        <f t="shared" si="0"/>
        <v>9</v>
      </c>
    </row>
    <row r="5" spans="1:9" ht="36.6">
      <c r="A5" s="56" t="s">
        <v>2707</v>
      </c>
      <c r="B5" s="56" t="s">
        <v>2571</v>
      </c>
      <c r="C5" s="187" t="s">
        <v>3405</v>
      </c>
      <c r="D5" s="187" t="s">
        <v>3406</v>
      </c>
      <c r="E5" s="190" t="s">
        <v>3407</v>
      </c>
      <c r="F5" s="190" t="s">
        <v>3408</v>
      </c>
      <c r="G5" s="192" t="s">
        <v>3409</v>
      </c>
      <c r="H5" s="192" t="s">
        <v>3410</v>
      </c>
      <c r="I5" s="192" t="s">
        <v>3411</v>
      </c>
    </row>
    <row r="6" spans="1:9">
      <c r="A6" s="56" t="s">
        <v>2257</v>
      </c>
      <c r="B6" s="56" t="s">
        <v>3095</v>
      </c>
      <c r="C6" s="188">
        <v>1</v>
      </c>
      <c r="D6" s="188">
        <v>1</v>
      </c>
      <c r="E6" s="191">
        <v>68937</v>
      </c>
      <c r="F6" s="191">
        <v>72728</v>
      </c>
      <c r="G6" s="193">
        <f>ROUND(1026*12*1.02,2)</f>
        <v>12558.24</v>
      </c>
      <c r="H6" s="194">
        <v>0.2298</v>
      </c>
      <c r="I6" s="194">
        <v>0.22339999999999999</v>
      </c>
    </row>
    <row r="7" spans="1:9">
      <c r="A7" s="56" t="s">
        <v>2258</v>
      </c>
      <c r="B7" s="56" t="s">
        <v>3096</v>
      </c>
      <c r="C7" s="188">
        <v>1</v>
      </c>
      <c r="D7" s="188">
        <v>1</v>
      </c>
      <c r="E7" s="191">
        <v>68937</v>
      </c>
      <c r="F7" s="191">
        <v>72728</v>
      </c>
      <c r="G7" s="193">
        <f t="shared" ref="G7:G70" si="1">ROUND(1026*12*1.02,2)</f>
        <v>12558.24</v>
      </c>
      <c r="H7" s="194">
        <v>0.2298</v>
      </c>
      <c r="I7" s="194">
        <v>0.22339999999999999</v>
      </c>
    </row>
    <row r="8" spans="1:9">
      <c r="A8" s="56" t="s">
        <v>2259</v>
      </c>
      <c r="B8" s="56" t="s">
        <v>3097</v>
      </c>
      <c r="C8" s="188">
        <v>1</v>
      </c>
      <c r="D8" s="188">
        <v>1</v>
      </c>
      <c r="E8" s="191">
        <v>68937</v>
      </c>
      <c r="F8" s="191">
        <v>72728</v>
      </c>
      <c r="G8" s="193">
        <f t="shared" si="1"/>
        <v>12558.24</v>
      </c>
      <c r="H8" s="194">
        <v>0.2298</v>
      </c>
      <c r="I8" s="194">
        <v>0.22339999999999999</v>
      </c>
    </row>
    <row r="9" spans="1:9">
      <c r="A9" s="56" t="s">
        <v>2260</v>
      </c>
      <c r="B9" s="56" t="s">
        <v>3098</v>
      </c>
      <c r="C9" s="188">
        <v>1</v>
      </c>
      <c r="D9" s="188">
        <v>1</v>
      </c>
      <c r="E9" s="191">
        <v>68937</v>
      </c>
      <c r="F9" s="191">
        <v>72728</v>
      </c>
      <c r="G9" s="193">
        <f t="shared" si="1"/>
        <v>12558.24</v>
      </c>
      <c r="H9" s="194">
        <v>0.2298</v>
      </c>
      <c r="I9" s="194">
        <v>0.22339999999999999</v>
      </c>
    </row>
    <row r="10" spans="1:9">
      <c r="A10" s="56" t="s">
        <v>2261</v>
      </c>
      <c r="B10" s="56" t="s">
        <v>3099</v>
      </c>
      <c r="C10" s="188">
        <v>1</v>
      </c>
      <c r="D10" s="188">
        <v>1.04</v>
      </c>
      <c r="E10" s="191">
        <v>68937</v>
      </c>
      <c r="F10" s="191">
        <v>72728</v>
      </c>
      <c r="G10" s="193">
        <f t="shared" si="1"/>
        <v>12558.24</v>
      </c>
      <c r="H10" s="194">
        <v>0.2298</v>
      </c>
      <c r="I10" s="194">
        <v>0.22339999999999999</v>
      </c>
    </row>
    <row r="11" spans="1:9">
      <c r="A11" s="56" t="s">
        <v>2262</v>
      </c>
      <c r="B11" s="56" t="s">
        <v>3100</v>
      </c>
      <c r="C11" s="188">
        <v>1</v>
      </c>
      <c r="D11" s="188">
        <v>1</v>
      </c>
      <c r="E11" s="191">
        <v>68937</v>
      </c>
      <c r="F11" s="191">
        <v>72728</v>
      </c>
      <c r="G11" s="193">
        <f t="shared" si="1"/>
        <v>12558.24</v>
      </c>
      <c r="H11" s="194">
        <v>0.2298</v>
      </c>
      <c r="I11" s="194">
        <v>0.22339999999999999</v>
      </c>
    </row>
    <row r="12" spans="1:9">
      <c r="A12" s="56" t="s">
        <v>2263</v>
      </c>
      <c r="B12" s="56" t="s">
        <v>3101</v>
      </c>
      <c r="C12" s="188">
        <v>1</v>
      </c>
      <c r="D12" s="188">
        <v>1</v>
      </c>
      <c r="E12" s="191">
        <v>68937</v>
      </c>
      <c r="F12" s="191">
        <v>72728</v>
      </c>
      <c r="G12" s="193">
        <f t="shared" si="1"/>
        <v>12558.24</v>
      </c>
      <c r="H12" s="194">
        <v>0.2298</v>
      </c>
      <c r="I12" s="194">
        <v>0.22339999999999999</v>
      </c>
    </row>
    <row r="13" spans="1:9">
      <c r="A13" s="56" t="s">
        <v>2264</v>
      </c>
      <c r="B13" s="56" t="s">
        <v>3102</v>
      </c>
      <c r="C13" s="188">
        <v>1</v>
      </c>
      <c r="D13" s="188">
        <v>1</v>
      </c>
      <c r="E13" s="191">
        <v>68937</v>
      </c>
      <c r="F13" s="191">
        <v>72728</v>
      </c>
      <c r="G13" s="193">
        <f t="shared" si="1"/>
        <v>12558.24</v>
      </c>
      <c r="H13" s="194">
        <v>0.2298</v>
      </c>
      <c r="I13" s="194">
        <v>0.22339999999999999</v>
      </c>
    </row>
    <row r="14" spans="1:9">
      <c r="A14" s="56" t="s">
        <v>2265</v>
      </c>
      <c r="B14" s="56" t="s">
        <v>3103</v>
      </c>
      <c r="C14" s="188">
        <v>1</v>
      </c>
      <c r="D14" s="188">
        <v>1</v>
      </c>
      <c r="E14" s="191">
        <v>68937</v>
      </c>
      <c r="F14" s="191">
        <v>72728</v>
      </c>
      <c r="G14" s="193">
        <f t="shared" si="1"/>
        <v>12558.24</v>
      </c>
      <c r="H14" s="194">
        <v>0.2298</v>
      </c>
      <c r="I14" s="194">
        <v>0.22339999999999999</v>
      </c>
    </row>
    <row r="15" spans="1:9">
      <c r="A15" s="56" t="s">
        <v>2266</v>
      </c>
      <c r="B15" s="56" t="s">
        <v>3104</v>
      </c>
      <c r="C15" s="188">
        <v>1</v>
      </c>
      <c r="D15" s="188">
        <v>1</v>
      </c>
      <c r="E15" s="191">
        <v>68937</v>
      </c>
      <c r="F15" s="191">
        <v>72728</v>
      </c>
      <c r="G15" s="193">
        <f t="shared" si="1"/>
        <v>12558.24</v>
      </c>
      <c r="H15" s="194">
        <v>0.2298</v>
      </c>
      <c r="I15" s="194">
        <v>0.22339999999999999</v>
      </c>
    </row>
    <row r="16" spans="1:9">
      <c r="A16" s="56" t="s">
        <v>2267</v>
      </c>
      <c r="B16" s="56" t="s">
        <v>3105</v>
      </c>
      <c r="C16" s="188">
        <v>1</v>
      </c>
      <c r="D16" s="188">
        <v>1</v>
      </c>
      <c r="E16" s="191">
        <v>68937</v>
      </c>
      <c r="F16" s="191">
        <v>72728</v>
      </c>
      <c r="G16" s="193">
        <f t="shared" si="1"/>
        <v>12558.24</v>
      </c>
      <c r="H16" s="194">
        <v>0.2298</v>
      </c>
      <c r="I16" s="194">
        <v>0.22339999999999999</v>
      </c>
    </row>
    <row r="17" spans="1:9">
      <c r="A17" s="56" t="s">
        <v>2268</v>
      </c>
      <c r="B17" s="56" t="s">
        <v>3106</v>
      </c>
      <c r="C17" s="188">
        <v>1</v>
      </c>
      <c r="D17" s="188">
        <v>1</v>
      </c>
      <c r="E17" s="191">
        <v>68937</v>
      </c>
      <c r="F17" s="191">
        <v>72728</v>
      </c>
      <c r="G17" s="193">
        <f t="shared" si="1"/>
        <v>12558.24</v>
      </c>
      <c r="H17" s="194">
        <v>0.2298</v>
      </c>
      <c r="I17" s="194">
        <v>0.22339999999999999</v>
      </c>
    </row>
    <row r="18" spans="1:9">
      <c r="A18" s="56" t="s">
        <v>2269</v>
      </c>
      <c r="B18" s="56" t="s">
        <v>3107</v>
      </c>
      <c r="C18" s="189">
        <v>1.03</v>
      </c>
      <c r="D18" s="189">
        <v>1.03</v>
      </c>
      <c r="E18" s="191">
        <v>68937</v>
      </c>
      <c r="F18" s="191">
        <v>72728</v>
      </c>
      <c r="G18" s="193">
        <f t="shared" si="1"/>
        <v>12558.24</v>
      </c>
      <c r="H18" s="194">
        <v>0.2298</v>
      </c>
      <c r="I18" s="194">
        <v>0.22339999999999999</v>
      </c>
    </row>
    <row r="19" spans="1:9">
      <c r="A19" s="56" t="s">
        <v>2270</v>
      </c>
      <c r="B19" s="56" t="s">
        <v>3108</v>
      </c>
      <c r="C19" s="188">
        <v>1</v>
      </c>
      <c r="D19" s="188">
        <v>1</v>
      </c>
      <c r="E19" s="191">
        <v>68937</v>
      </c>
      <c r="F19" s="191">
        <v>72728</v>
      </c>
      <c r="G19" s="193">
        <f t="shared" si="1"/>
        <v>12558.24</v>
      </c>
      <c r="H19" s="194">
        <v>0.2298</v>
      </c>
      <c r="I19" s="194">
        <v>0.22339999999999999</v>
      </c>
    </row>
    <row r="20" spans="1:9">
      <c r="A20" s="56" t="s">
        <v>2271</v>
      </c>
      <c r="B20" s="56" t="s">
        <v>3109</v>
      </c>
      <c r="C20" s="189">
        <v>1.03</v>
      </c>
      <c r="D20" s="189">
        <v>1.03</v>
      </c>
      <c r="E20" s="191">
        <v>68937</v>
      </c>
      <c r="F20" s="191">
        <v>72728</v>
      </c>
      <c r="G20" s="193">
        <f t="shared" si="1"/>
        <v>12558.24</v>
      </c>
      <c r="H20" s="194">
        <v>0.2298</v>
      </c>
      <c r="I20" s="194">
        <v>0.22339999999999999</v>
      </c>
    </row>
    <row r="21" spans="1:9">
      <c r="A21" s="56" t="s">
        <v>2272</v>
      </c>
      <c r="B21" s="56" t="s">
        <v>3110</v>
      </c>
      <c r="C21" s="188">
        <v>1</v>
      </c>
      <c r="D21" s="188">
        <v>1.04</v>
      </c>
      <c r="E21" s="191">
        <v>68937</v>
      </c>
      <c r="F21" s="191">
        <v>72728</v>
      </c>
      <c r="G21" s="193">
        <f t="shared" si="1"/>
        <v>12558.24</v>
      </c>
      <c r="H21" s="194">
        <v>0.2298</v>
      </c>
      <c r="I21" s="194">
        <v>0.22339999999999999</v>
      </c>
    </row>
    <row r="22" spans="1:9">
      <c r="A22" s="56" t="s">
        <v>2273</v>
      </c>
      <c r="B22" s="56" t="s">
        <v>3111</v>
      </c>
      <c r="C22" s="188">
        <v>1</v>
      </c>
      <c r="D22" s="188">
        <v>1</v>
      </c>
      <c r="E22" s="191">
        <v>68937</v>
      </c>
      <c r="F22" s="191">
        <v>72728</v>
      </c>
      <c r="G22" s="193">
        <f t="shared" si="1"/>
        <v>12558.24</v>
      </c>
      <c r="H22" s="194">
        <v>0.2298</v>
      </c>
      <c r="I22" s="194">
        <v>0.22339999999999999</v>
      </c>
    </row>
    <row r="23" spans="1:9">
      <c r="A23" s="56" t="s">
        <v>2274</v>
      </c>
      <c r="B23" s="56" t="s">
        <v>3112</v>
      </c>
      <c r="C23" s="188">
        <v>1</v>
      </c>
      <c r="D23" s="188">
        <v>1.04</v>
      </c>
      <c r="E23" s="191">
        <v>68937</v>
      </c>
      <c r="F23" s="191">
        <v>72728</v>
      </c>
      <c r="G23" s="193">
        <f t="shared" si="1"/>
        <v>12558.24</v>
      </c>
      <c r="H23" s="194">
        <v>0.2298</v>
      </c>
      <c r="I23" s="194">
        <v>0.22339999999999999</v>
      </c>
    </row>
    <row r="24" spans="1:9">
      <c r="A24" s="56" t="s">
        <v>2275</v>
      </c>
      <c r="B24" s="56" t="s">
        <v>3113</v>
      </c>
      <c r="C24" s="188">
        <v>1</v>
      </c>
      <c r="D24" s="188">
        <v>1</v>
      </c>
      <c r="E24" s="191">
        <v>68937</v>
      </c>
      <c r="F24" s="191">
        <v>72728</v>
      </c>
      <c r="G24" s="193">
        <f t="shared" si="1"/>
        <v>12558.24</v>
      </c>
      <c r="H24" s="194">
        <v>0.2298</v>
      </c>
      <c r="I24" s="194">
        <v>0.22339999999999999</v>
      </c>
    </row>
    <row r="25" spans="1:9">
      <c r="A25" s="56" t="s">
        <v>2276</v>
      </c>
      <c r="B25" s="56" t="s">
        <v>3114</v>
      </c>
      <c r="C25" s="189">
        <v>1.03</v>
      </c>
      <c r="D25" s="189">
        <v>1.03</v>
      </c>
      <c r="E25" s="191">
        <v>68937</v>
      </c>
      <c r="F25" s="191">
        <v>72728</v>
      </c>
      <c r="G25" s="193">
        <f t="shared" si="1"/>
        <v>12558.24</v>
      </c>
      <c r="H25" s="194">
        <v>0.2298</v>
      </c>
      <c r="I25" s="194">
        <v>0.22339999999999999</v>
      </c>
    </row>
    <row r="26" spans="1:9">
      <c r="A26" s="56" t="s">
        <v>2954</v>
      </c>
      <c r="B26" s="56" t="s">
        <v>2955</v>
      </c>
      <c r="C26" s="189">
        <v>1.03</v>
      </c>
      <c r="D26" s="189">
        <v>1.03</v>
      </c>
      <c r="E26" s="191">
        <v>68937</v>
      </c>
      <c r="F26" s="191">
        <v>72728</v>
      </c>
      <c r="G26" s="193">
        <f t="shared" si="1"/>
        <v>12558.24</v>
      </c>
      <c r="H26" s="194">
        <v>0.2298</v>
      </c>
      <c r="I26" s="194">
        <v>0.22339999999999999</v>
      </c>
    </row>
    <row r="27" spans="1:9">
      <c r="A27" s="56" t="s">
        <v>2277</v>
      </c>
      <c r="B27" s="56" t="s">
        <v>3115</v>
      </c>
      <c r="C27" s="189">
        <v>1.03</v>
      </c>
      <c r="D27" s="189">
        <v>1.03</v>
      </c>
      <c r="E27" s="191">
        <v>68937</v>
      </c>
      <c r="F27" s="191">
        <v>72728</v>
      </c>
      <c r="G27" s="193">
        <f t="shared" si="1"/>
        <v>12558.24</v>
      </c>
      <c r="H27" s="194">
        <v>0.2298</v>
      </c>
      <c r="I27" s="194">
        <v>0.22339999999999999</v>
      </c>
    </row>
    <row r="28" spans="1:9">
      <c r="A28" s="56" t="s">
        <v>2278</v>
      </c>
      <c r="B28" s="56" t="s">
        <v>3116</v>
      </c>
      <c r="C28" s="188">
        <v>1</v>
      </c>
      <c r="D28" s="188">
        <v>1</v>
      </c>
      <c r="E28" s="191">
        <v>68937</v>
      </c>
      <c r="F28" s="191">
        <v>72728</v>
      </c>
      <c r="G28" s="193">
        <f t="shared" si="1"/>
        <v>12558.24</v>
      </c>
      <c r="H28" s="194">
        <v>0.2298</v>
      </c>
      <c r="I28" s="194">
        <v>0.22339999999999999</v>
      </c>
    </row>
    <row r="29" spans="1:9">
      <c r="A29" s="56" t="s">
        <v>2279</v>
      </c>
      <c r="B29" s="56" t="s">
        <v>3117</v>
      </c>
      <c r="C29" s="188">
        <v>1.06</v>
      </c>
      <c r="D29" s="188">
        <v>1.06</v>
      </c>
      <c r="E29" s="191">
        <v>68937</v>
      </c>
      <c r="F29" s="191">
        <v>72728</v>
      </c>
      <c r="G29" s="193">
        <f t="shared" si="1"/>
        <v>12558.24</v>
      </c>
      <c r="H29" s="194">
        <v>0.2298</v>
      </c>
      <c r="I29" s="194">
        <v>0.22339999999999999</v>
      </c>
    </row>
    <row r="30" spans="1:9">
      <c r="A30" s="56" t="s">
        <v>2280</v>
      </c>
      <c r="B30" s="56" t="s">
        <v>3118</v>
      </c>
      <c r="C30" s="188">
        <v>1</v>
      </c>
      <c r="D30" s="188">
        <v>1</v>
      </c>
      <c r="E30" s="191">
        <v>68937</v>
      </c>
      <c r="F30" s="191">
        <v>72728</v>
      </c>
      <c r="G30" s="193">
        <f t="shared" si="1"/>
        <v>12558.24</v>
      </c>
      <c r="H30" s="194">
        <v>0.2298</v>
      </c>
      <c r="I30" s="194">
        <v>0.22339999999999999</v>
      </c>
    </row>
    <row r="31" spans="1:9">
      <c r="A31" s="56" t="s">
        <v>2281</v>
      </c>
      <c r="B31" s="56" t="s">
        <v>3119</v>
      </c>
      <c r="C31" s="188">
        <v>1</v>
      </c>
      <c r="D31" s="188">
        <v>1</v>
      </c>
      <c r="E31" s="191">
        <v>68937</v>
      </c>
      <c r="F31" s="191">
        <v>72728</v>
      </c>
      <c r="G31" s="193">
        <f t="shared" si="1"/>
        <v>12558.24</v>
      </c>
      <c r="H31" s="194">
        <v>0.2298</v>
      </c>
      <c r="I31" s="194">
        <v>0.22339999999999999</v>
      </c>
    </row>
    <row r="32" spans="1:9">
      <c r="A32" s="56" t="s">
        <v>2282</v>
      </c>
      <c r="B32" s="56" t="s">
        <v>3120</v>
      </c>
      <c r="C32" s="188">
        <v>1</v>
      </c>
      <c r="D32" s="188">
        <v>1</v>
      </c>
      <c r="E32" s="191">
        <v>68937</v>
      </c>
      <c r="F32" s="191">
        <v>72728</v>
      </c>
      <c r="G32" s="193">
        <f t="shared" si="1"/>
        <v>12558.24</v>
      </c>
      <c r="H32" s="194">
        <v>0.2298</v>
      </c>
      <c r="I32" s="194">
        <v>0.22339999999999999</v>
      </c>
    </row>
    <row r="33" spans="1:9">
      <c r="A33" s="56" t="s">
        <v>2283</v>
      </c>
      <c r="B33" s="56" t="s">
        <v>3121</v>
      </c>
      <c r="C33" s="188">
        <v>1.06</v>
      </c>
      <c r="D33" s="188">
        <v>1.06</v>
      </c>
      <c r="E33" s="191">
        <v>68937</v>
      </c>
      <c r="F33" s="191">
        <v>72728</v>
      </c>
      <c r="G33" s="193">
        <f t="shared" si="1"/>
        <v>12558.24</v>
      </c>
      <c r="H33" s="194">
        <v>0.2298</v>
      </c>
      <c r="I33" s="194">
        <v>0.22339999999999999</v>
      </c>
    </row>
    <row r="34" spans="1:9">
      <c r="A34" s="56" t="s">
        <v>2284</v>
      </c>
      <c r="B34" s="56" t="s">
        <v>3122</v>
      </c>
      <c r="C34" s="188">
        <v>1.06</v>
      </c>
      <c r="D34" s="188">
        <v>1.06</v>
      </c>
      <c r="E34" s="191">
        <v>68937</v>
      </c>
      <c r="F34" s="191">
        <v>72728</v>
      </c>
      <c r="G34" s="193">
        <f t="shared" si="1"/>
        <v>12558.24</v>
      </c>
      <c r="H34" s="194">
        <v>0.2298</v>
      </c>
      <c r="I34" s="194">
        <v>0.22339999999999999</v>
      </c>
    </row>
    <row r="35" spans="1:9">
      <c r="A35" s="56" t="s">
        <v>2285</v>
      </c>
      <c r="B35" s="56" t="s">
        <v>3123</v>
      </c>
      <c r="C35" s="188">
        <v>1.06</v>
      </c>
      <c r="D35" s="188">
        <v>1.1000000000000001</v>
      </c>
      <c r="E35" s="191">
        <v>68937</v>
      </c>
      <c r="F35" s="191">
        <v>72728</v>
      </c>
      <c r="G35" s="193">
        <f t="shared" si="1"/>
        <v>12558.24</v>
      </c>
      <c r="H35" s="194">
        <v>0.2298</v>
      </c>
      <c r="I35" s="194">
        <v>0.22339999999999999</v>
      </c>
    </row>
    <row r="36" spans="1:9">
      <c r="A36" s="56" t="s">
        <v>2286</v>
      </c>
      <c r="B36" s="56" t="s">
        <v>3124</v>
      </c>
      <c r="C36" s="188">
        <v>1</v>
      </c>
      <c r="D36" s="188">
        <v>1</v>
      </c>
      <c r="E36" s="191">
        <v>68937</v>
      </c>
      <c r="F36" s="191">
        <v>72728</v>
      </c>
      <c r="G36" s="193">
        <f t="shared" si="1"/>
        <v>12558.24</v>
      </c>
      <c r="H36" s="194">
        <v>0.2298</v>
      </c>
      <c r="I36" s="194">
        <v>0.22339999999999999</v>
      </c>
    </row>
    <row r="37" spans="1:9">
      <c r="A37" s="56" t="s">
        <v>2287</v>
      </c>
      <c r="B37" s="56" t="s">
        <v>3125</v>
      </c>
      <c r="C37" s="188">
        <v>1.06</v>
      </c>
      <c r="D37" s="188">
        <v>1.06</v>
      </c>
      <c r="E37" s="191">
        <v>68937</v>
      </c>
      <c r="F37" s="191">
        <v>72728</v>
      </c>
      <c r="G37" s="193">
        <f t="shared" si="1"/>
        <v>12558.24</v>
      </c>
      <c r="H37" s="194">
        <v>0.2298</v>
      </c>
      <c r="I37" s="194">
        <v>0.22339999999999999</v>
      </c>
    </row>
    <row r="38" spans="1:9">
      <c r="A38" s="56" t="s">
        <v>2288</v>
      </c>
      <c r="B38" s="56" t="s">
        <v>3126</v>
      </c>
      <c r="C38" s="188">
        <v>1.06</v>
      </c>
      <c r="D38" s="188">
        <v>1.06</v>
      </c>
      <c r="E38" s="191">
        <v>68937</v>
      </c>
      <c r="F38" s="191">
        <v>72728</v>
      </c>
      <c r="G38" s="193">
        <f t="shared" si="1"/>
        <v>12558.24</v>
      </c>
      <c r="H38" s="194">
        <v>0.2298</v>
      </c>
      <c r="I38" s="194">
        <v>0.22339999999999999</v>
      </c>
    </row>
    <row r="39" spans="1:9">
      <c r="A39" s="56" t="s">
        <v>2289</v>
      </c>
      <c r="B39" s="56" t="s">
        <v>3127</v>
      </c>
      <c r="C39" s="189">
        <v>1.0900000000000001</v>
      </c>
      <c r="D39" s="189">
        <v>1.0900000000000001</v>
      </c>
      <c r="E39" s="191">
        <v>68937</v>
      </c>
      <c r="F39" s="191">
        <v>72728</v>
      </c>
      <c r="G39" s="193">
        <f t="shared" si="1"/>
        <v>12558.24</v>
      </c>
      <c r="H39" s="194">
        <v>0.2298</v>
      </c>
      <c r="I39" s="194">
        <v>0.22339999999999999</v>
      </c>
    </row>
    <row r="40" spans="1:9">
      <c r="A40" s="56" t="s">
        <v>2290</v>
      </c>
      <c r="B40" s="56" t="s">
        <v>3128</v>
      </c>
      <c r="C40" s="188">
        <v>1.06</v>
      </c>
      <c r="D40" s="188">
        <v>1.06</v>
      </c>
      <c r="E40" s="191">
        <v>68937</v>
      </c>
      <c r="F40" s="191">
        <v>72728</v>
      </c>
      <c r="G40" s="193">
        <f t="shared" si="1"/>
        <v>12558.24</v>
      </c>
      <c r="H40" s="194">
        <v>0.2298</v>
      </c>
      <c r="I40" s="194">
        <v>0.22339999999999999</v>
      </c>
    </row>
    <row r="41" spans="1:9">
      <c r="A41" s="56" t="s">
        <v>2291</v>
      </c>
      <c r="B41" s="56" t="s">
        <v>3129</v>
      </c>
      <c r="C41" s="188">
        <v>1.06</v>
      </c>
      <c r="D41" s="188">
        <v>1.06</v>
      </c>
      <c r="E41" s="191">
        <v>68937</v>
      </c>
      <c r="F41" s="191">
        <v>72728</v>
      </c>
      <c r="G41" s="193">
        <f t="shared" si="1"/>
        <v>12558.24</v>
      </c>
      <c r="H41" s="194">
        <v>0.2298</v>
      </c>
      <c r="I41" s="194">
        <v>0.22339999999999999</v>
      </c>
    </row>
    <row r="42" spans="1:9">
      <c r="A42" s="56" t="s">
        <v>2293</v>
      </c>
      <c r="B42" s="56" t="s">
        <v>3130</v>
      </c>
      <c r="C42" s="188">
        <v>1</v>
      </c>
      <c r="D42" s="188">
        <v>1</v>
      </c>
      <c r="E42" s="191">
        <v>68937</v>
      </c>
      <c r="F42" s="191">
        <v>72728</v>
      </c>
      <c r="G42" s="193">
        <f t="shared" si="1"/>
        <v>12558.24</v>
      </c>
      <c r="H42" s="194">
        <v>0.2298</v>
      </c>
      <c r="I42" s="194">
        <v>0.22339999999999999</v>
      </c>
    </row>
    <row r="43" spans="1:9">
      <c r="A43" s="56" t="s">
        <v>2294</v>
      </c>
      <c r="B43" s="56" t="s">
        <v>3131</v>
      </c>
      <c r="C43" s="188">
        <v>1</v>
      </c>
      <c r="D43" s="188">
        <v>1</v>
      </c>
      <c r="E43" s="191">
        <v>68937</v>
      </c>
      <c r="F43" s="191">
        <v>72728</v>
      </c>
      <c r="G43" s="193">
        <f t="shared" si="1"/>
        <v>12558.24</v>
      </c>
      <c r="H43" s="194">
        <v>0.2298</v>
      </c>
      <c r="I43" s="194">
        <v>0.22339999999999999</v>
      </c>
    </row>
    <row r="44" spans="1:9">
      <c r="A44" s="56" t="s">
        <v>2295</v>
      </c>
      <c r="B44" s="56" t="s">
        <v>3132</v>
      </c>
      <c r="C44" s="188">
        <v>1</v>
      </c>
      <c r="D44" s="188">
        <v>1</v>
      </c>
      <c r="E44" s="191">
        <v>68937</v>
      </c>
      <c r="F44" s="191">
        <v>72728</v>
      </c>
      <c r="G44" s="193">
        <f t="shared" si="1"/>
        <v>12558.24</v>
      </c>
      <c r="H44" s="194">
        <v>0.2298</v>
      </c>
      <c r="I44" s="194">
        <v>0.22339999999999999</v>
      </c>
    </row>
    <row r="45" spans="1:9">
      <c r="A45" s="56" t="s">
        <v>2296</v>
      </c>
      <c r="B45" s="56" t="s">
        <v>3133</v>
      </c>
      <c r="C45" s="188">
        <v>1</v>
      </c>
      <c r="D45" s="188">
        <v>1.04</v>
      </c>
      <c r="E45" s="191">
        <v>68937</v>
      </c>
      <c r="F45" s="191">
        <v>72728</v>
      </c>
      <c r="G45" s="193">
        <f t="shared" si="1"/>
        <v>12558.24</v>
      </c>
      <c r="H45" s="194">
        <v>0.2298</v>
      </c>
      <c r="I45" s="194">
        <v>0.22339999999999999</v>
      </c>
    </row>
    <row r="46" spans="1:9">
      <c r="A46" s="56" t="s">
        <v>2297</v>
      </c>
      <c r="B46" s="56" t="s">
        <v>3134</v>
      </c>
      <c r="C46" s="188">
        <v>1</v>
      </c>
      <c r="D46" s="188">
        <v>1</v>
      </c>
      <c r="E46" s="191">
        <v>68937</v>
      </c>
      <c r="F46" s="191">
        <v>72728</v>
      </c>
      <c r="G46" s="193">
        <f t="shared" si="1"/>
        <v>12558.24</v>
      </c>
      <c r="H46" s="194">
        <v>0.2298</v>
      </c>
      <c r="I46" s="194">
        <v>0.22339999999999999</v>
      </c>
    </row>
    <row r="47" spans="1:9">
      <c r="A47" s="56" t="s">
        <v>2298</v>
      </c>
      <c r="B47" s="56" t="s">
        <v>3135</v>
      </c>
      <c r="C47" s="188">
        <v>1</v>
      </c>
      <c r="D47" s="188">
        <v>1</v>
      </c>
      <c r="E47" s="191">
        <v>68937</v>
      </c>
      <c r="F47" s="191">
        <v>72728</v>
      </c>
      <c r="G47" s="193">
        <f t="shared" si="1"/>
        <v>12558.24</v>
      </c>
      <c r="H47" s="194">
        <v>0.2298</v>
      </c>
      <c r="I47" s="194">
        <v>0.22339999999999999</v>
      </c>
    </row>
    <row r="48" spans="1:9">
      <c r="A48" s="56" t="s">
        <v>2299</v>
      </c>
      <c r="B48" s="56" t="s">
        <v>3136</v>
      </c>
      <c r="C48" s="188">
        <v>1</v>
      </c>
      <c r="D48" s="188">
        <v>1</v>
      </c>
      <c r="E48" s="191">
        <v>68937</v>
      </c>
      <c r="F48" s="191">
        <v>72728</v>
      </c>
      <c r="G48" s="193">
        <f t="shared" si="1"/>
        <v>12558.24</v>
      </c>
      <c r="H48" s="194">
        <v>0.2298</v>
      </c>
      <c r="I48" s="194">
        <v>0.22339999999999999</v>
      </c>
    </row>
    <row r="49" spans="1:9">
      <c r="A49" s="56" t="s">
        <v>2300</v>
      </c>
      <c r="B49" s="56" t="s">
        <v>3137</v>
      </c>
      <c r="C49" s="188">
        <v>1</v>
      </c>
      <c r="D49" s="188">
        <v>1</v>
      </c>
      <c r="E49" s="191">
        <v>68937</v>
      </c>
      <c r="F49" s="191">
        <v>72728</v>
      </c>
      <c r="G49" s="193">
        <f t="shared" si="1"/>
        <v>12558.24</v>
      </c>
      <c r="H49" s="194">
        <v>0.2298</v>
      </c>
      <c r="I49" s="194">
        <v>0.22339999999999999</v>
      </c>
    </row>
    <row r="50" spans="1:9">
      <c r="A50" s="56" t="s">
        <v>2301</v>
      </c>
      <c r="B50" s="56" t="s">
        <v>3138</v>
      </c>
      <c r="C50" s="188">
        <v>1</v>
      </c>
      <c r="D50" s="188">
        <v>1</v>
      </c>
      <c r="E50" s="191">
        <v>68937</v>
      </c>
      <c r="F50" s="191">
        <v>72728</v>
      </c>
      <c r="G50" s="193">
        <f t="shared" si="1"/>
        <v>12558.24</v>
      </c>
      <c r="H50" s="194">
        <v>0.2298</v>
      </c>
      <c r="I50" s="194">
        <v>0.22339999999999999</v>
      </c>
    </row>
    <row r="51" spans="1:9">
      <c r="A51" s="56" t="s">
        <v>2302</v>
      </c>
      <c r="B51" s="56" t="s">
        <v>3139</v>
      </c>
      <c r="C51" s="188">
        <v>1</v>
      </c>
      <c r="D51" s="188">
        <v>1</v>
      </c>
      <c r="E51" s="191">
        <v>68937</v>
      </c>
      <c r="F51" s="191">
        <v>72728</v>
      </c>
      <c r="G51" s="193">
        <f t="shared" si="1"/>
        <v>12558.24</v>
      </c>
      <c r="H51" s="194">
        <v>0.2298</v>
      </c>
      <c r="I51" s="194">
        <v>0.22339999999999999</v>
      </c>
    </row>
    <row r="52" spans="1:9">
      <c r="A52" s="56" t="s">
        <v>2303</v>
      </c>
      <c r="B52" s="56" t="s">
        <v>3140</v>
      </c>
      <c r="C52" s="188">
        <v>1</v>
      </c>
      <c r="D52" s="188">
        <v>1</v>
      </c>
      <c r="E52" s="191">
        <v>68937</v>
      </c>
      <c r="F52" s="191">
        <v>72728</v>
      </c>
      <c r="G52" s="193">
        <f t="shared" si="1"/>
        <v>12558.24</v>
      </c>
      <c r="H52" s="194">
        <v>0.2298</v>
      </c>
      <c r="I52" s="194">
        <v>0.22339999999999999</v>
      </c>
    </row>
    <row r="53" spans="1:9">
      <c r="A53" s="56" t="s">
        <v>2304</v>
      </c>
      <c r="B53" s="56" t="s">
        <v>3141</v>
      </c>
      <c r="C53" s="188">
        <v>1</v>
      </c>
      <c r="D53" s="188">
        <v>1</v>
      </c>
      <c r="E53" s="191">
        <v>68937</v>
      </c>
      <c r="F53" s="191">
        <v>72728</v>
      </c>
      <c r="G53" s="193">
        <f t="shared" si="1"/>
        <v>12558.24</v>
      </c>
      <c r="H53" s="194">
        <v>0.2298</v>
      </c>
      <c r="I53" s="194">
        <v>0.22339999999999999</v>
      </c>
    </row>
    <row r="54" spans="1:9">
      <c r="A54" s="56" t="s">
        <v>2305</v>
      </c>
      <c r="B54" s="56" t="s">
        <v>3142</v>
      </c>
      <c r="C54" s="188">
        <v>1</v>
      </c>
      <c r="D54" s="188">
        <v>1</v>
      </c>
      <c r="E54" s="191">
        <v>68937</v>
      </c>
      <c r="F54" s="191">
        <v>72728</v>
      </c>
      <c r="G54" s="193">
        <f t="shared" si="1"/>
        <v>12558.24</v>
      </c>
      <c r="H54" s="194">
        <v>0.2298</v>
      </c>
      <c r="I54" s="194">
        <v>0.22339999999999999</v>
      </c>
    </row>
    <row r="55" spans="1:9">
      <c r="A55" s="56" t="s">
        <v>2306</v>
      </c>
      <c r="B55" s="56" t="s">
        <v>3143</v>
      </c>
      <c r="C55" s="188">
        <v>1</v>
      </c>
      <c r="D55" s="188">
        <v>1</v>
      </c>
      <c r="E55" s="191">
        <v>68937</v>
      </c>
      <c r="F55" s="191">
        <v>72728</v>
      </c>
      <c r="G55" s="193">
        <f t="shared" si="1"/>
        <v>12558.24</v>
      </c>
      <c r="H55" s="194">
        <v>0.2298</v>
      </c>
      <c r="I55" s="194">
        <v>0.22339999999999999</v>
      </c>
    </row>
    <row r="56" spans="1:9">
      <c r="A56" s="56" t="s">
        <v>2307</v>
      </c>
      <c r="B56" s="56" t="s">
        <v>3144</v>
      </c>
      <c r="C56" s="188">
        <v>1</v>
      </c>
      <c r="D56" s="188">
        <v>1</v>
      </c>
      <c r="E56" s="191">
        <v>68937</v>
      </c>
      <c r="F56" s="191">
        <v>72728</v>
      </c>
      <c r="G56" s="193">
        <f t="shared" si="1"/>
        <v>12558.24</v>
      </c>
      <c r="H56" s="194">
        <v>0.2298</v>
      </c>
      <c r="I56" s="194">
        <v>0.22339999999999999</v>
      </c>
    </row>
    <row r="57" spans="1:9">
      <c r="A57" s="56" t="s">
        <v>2308</v>
      </c>
      <c r="B57" s="56" t="s">
        <v>3145</v>
      </c>
      <c r="C57" s="188">
        <v>1</v>
      </c>
      <c r="D57" s="188">
        <v>1.04</v>
      </c>
      <c r="E57" s="191">
        <v>68937</v>
      </c>
      <c r="F57" s="191">
        <v>72728</v>
      </c>
      <c r="G57" s="193">
        <f t="shared" si="1"/>
        <v>12558.24</v>
      </c>
      <c r="H57" s="194">
        <v>0.2298</v>
      </c>
      <c r="I57" s="194">
        <v>0.22339999999999999</v>
      </c>
    </row>
    <row r="58" spans="1:9">
      <c r="A58" s="56" t="s">
        <v>2309</v>
      </c>
      <c r="B58" s="56" t="s">
        <v>3146</v>
      </c>
      <c r="C58" s="188">
        <v>1</v>
      </c>
      <c r="D58" s="188">
        <v>1.04</v>
      </c>
      <c r="E58" s="191">
        <v>68937</v>
      </c>
      <c r="F58" s="191">
        <v>72728</v>
      </c>
      <c r="G58" s="193">
        <f t="shared" si="1"/>
        <v>12558.24</v>
      </c>
      <c r="H58" s="194">
        <v>0.2298</v>
      </c>
      <c r="I58" s="194">
        <v>0.22339999999999999</v>
      </c>
    </row>
    <row r="59" spans="1:9">
      <c r="A59" s="56" t="s">
        <v>2310</v>
      </c>
      <c r="B59" s="56" t="s">
        <v>3147</v>
      </c>
      <c r="C59" s="188">
        <v>1</v>
      </c>
      <c r="D59" s="188">
        <v>1</v>
      </c>
      <c r="E59" s="191">
        <v>68937</v>
      </c>
      <c r="F59" s="191">
        <v>72728</v>
      </c>
      <c r="G59" s="193">
        <f t="shared" si="1"/>
        <v>12558.24</v>
      </c>
      <c r="H59" s="194">
        <v>0.2298</v>
      </c>
      <c r="I59" s="194">
        <v>0.22339999999999999</v>
      </c>
    </row>
    <row r="60" spans="1:9">
      <c r="A60" s="56" t="s">
        <v>2311</v>
      </c>
      <c r="B60" s="56" t="s">
        <v>3148</v>
      </c>
      <c r="C60" s="188">
        <v>1</v>
      </c>
      <c r="D60" s="188">
        <v>1.04</v>
      </c>
      <c r="E60" s="191">
        <v>68937</v>
      </c>
      <c r="F60" s="191">
        <v>72728</v>
      </c>
      <c r="G60" s="193">
        <f t="shared" si="1"/>
        <v>12558.24</v>
      </c>
      <c r="H60" s="194">
        <v>0.2298</v>
      </c>
      <c r="I60" s="194">
        <v>0.22339999999999999</v>
      </c>
    </row>
    <row r="61" spans="1:9">
      <c r="A61" s="56" t="s">
        <v>2312</v>
      </c>
      <c r="B61" s="56" t="s">
        <v>3149</v>
      </c>
      <c r="C61" s="188">
        <v>1</v>
      </c>
      <c r="D61" s="188">
        <v>1</v>
      </c>
      <c r="E61" s="191">
        <v>68937</v>
      </c>
      <c r="F61" s="191">
        <v>72728</v>
      </c>
      <c r="G61" s="193">
        <f t="shared" si="1"/>
        <v>12558.24</v>
      </c>
      <c r="H61" s="194">
        <v>0.2298</v>
      </c>
      <c r="I61" s="194">
        <v>0.22339999999999999</v>
      </c>
    </row>
    <row r="62" spans="1:9">
      <c r="A62" s="56" t="s">
        <v>2313</v>
      </c>
      <c r="B62" s="56" t="s">
        <v>3150</v>
      </c>
      <c r="C62" s="188">
        <v>1</v>
      </c>
      <c r="D62" s="188">
        <v>1</v>
      </c>
      <c r="E62" s="191">
        <v>68937</v>
      </c>
      <c r="F62" s="191">
        <v>72728</v>
      </c>
      <c r="G62" s="193">
        <f t="shared" si="1"/>
        <v>12558.24</v>
      </c>
      <c r="H62" s="194">
        <v>0.2298</v>
      </c>
      <c r="I62" s="194">
        <v>0.22339999999999999</v>
      </c>
    </row>
    <row r="63" spans="1:9">
      <c r="A63" s="56" t="s">
        <v>2314</v>
      </c>
      <c r="B63" s="56" t="s">
        <v>3151</v>
      </c>
      <c r="C63" s="188">
        <v>1</v>
      </c>
      <c r="D63" s="188">
        <v>1</v>
      </c>
      <c r="E63" s="191">
        <v>68937</v>
      </c>
      <c r="F63" s="191">
        <v>72728</v>
      </c>
      <c r="G63" s="193">
        <f t="shared" si="1"/>
        <v>12558.24</v>
      </c>
      <c r="H63" s="194">
        <v>0.2298</v>
      </c>
      <c r="I63" s="194">
        <v>0.22339999999999999</v>
      </c>
    </row>
    <row r="64" spans="1:9">
      <c r="A64" s="56" t="s">
        <v>2315</v>
      </c>
      <c r="B64" s="56" t="s">
        <v>3152</v>
      </c>
      <c r="C64" s="188">
        <v>1</v>
      </c>
      <c r="D64" s="188">
        <v>1.04</v>
      </c>
      <c r="E64" s="191">
        <v>68937</v>
      </c>
      <c r="F64" s="191">
        <v>72728</v>
      </c>
      <c r="G64" s="193">
        <f t="shared" si="1"/>
        <v>12558.24</v>
      </c>
      <c r="H64" s="194">
        <v>0.2298</v>
      </c>
      <c r="I64" s="194">
        <v>0.22339999999999999</v>
      </c>
    </row>
    <row r="65" spans="1:9">
      <c r="A65" s="56" t="s">
        <v>2316</v>
      </c>
      <c r="B65" s="56" t="s">
        <v>3153</v>
      </c>
      <c r="C65" s="188">
        <v>1</v>
      </c>
      <c r="D65" s="188">
        <v>1.04</v>
      </c>
      <c r="E65" s="191">
        <v>68937</v>
      </c>
      <c r="F65" s="191">
        <v>72728</v>
      </c>
      <c r="G65" s="193">
        <f t="shared" si="1"/>
        <v>12558.24</v>
      </c>
      <c r="H65" s="194">
        <v>0.2298</v>
      </c>
      <c r="I65" s="194">
        <v>0.22339999999999999</v>
      </c>
    </row>
    <row r="66" spans="1:9">
      <c r="A66" s="56" t="s">
        <v>2317</v>
      </c>
      <c r="B66" s="56" t="s">
        <v>3154</v>
      </c>
      <c r="C66" s="188">
        <v>1</v>
      </c>
      <c r="D66" s="188">
        <v>1</v>
      </c>
      <c r="E66" s="191">
        <v>68937</v>
      </c>
      <c r="F66" s="191">
        <v>72728</v>
      </c>
      <c r="G66" s="193">
        <f t="shared" si="1"/>
        <v>12558.24</v>
      </c>
      <c r="H66" s="194">
        <v>0.2298</v>
      </c>
      <c r="I66" s="194">
        <v>0.22339999999999999</v>
      </c>
    </row>
    <row r="67" spans="1:9">
      <c r="A67" s="56" t="s">
        <v>2318</v>
      </c>
      <c r="B67" s="56" t="s">
        <v>3155</v>
      </c>
      <c r="C67" s="188">
        <v>1</v>
      </c>
      <c r="D67" s="188">
        <v>1</v>
      </c>
      <c r="E67" s="191">
        <v>68937</v>
      </c>
      <c r="F67" s="191">
        <v>72728</v>
      </c>
      <c r="G67" s="193">
        <f t="shared" si="1"/>
        <v>12558.24</v>
      </c>
      <c r="H67" s="194">
        <v>0.2298</v>
      </c>
      <c r="I67" s="194">
        <v>0.22339999999999999</v>
      </c>
    </row>
    <row r="68" spans="1:9">
      <c r="A68" s="56" t="s">
        <v>2319</v>
      </c>
      <c r="B68" s="56" t="s">
        <v>3156</v>
      </c>
      <c r="C68" s="188">
        <v>1</v>
      </c>
      <c r="D68" s="188">
        <v>1</v>
      </c>
      <c r="E68" s="191">
        <v>68937</v>
      </c>
      <c r="F68" s="191">
        <v>72728</v>
      </c>
      <c r="G68" s="193">
        <f t="shared" si="1"/>
        <v>12558.24</v>
      </c>
      <c r="H68" s="194">
        <v>0.2298</v>
      </c>
      <c r="I68" s="194">
        <v>0.22339999999999999</v>
      </c>
    </row>
    <row r="69" spans="1:9">
      <c r="A69" s="56" t="s">
        <v>2320</v>
      </c>
      <c r="B69" s="56" t="s">
        <v>3157</v>
      </c>
      <c r="C69" s="188">
        <v>1</v>
      </c>
      <c r="D69" s="188">
        <v>1</v>
      </c>
      <c r="E69" s="191">
        <v>68937</v>
      </c>
      <c r="F69" s="191">
        <v>72728</v>
      </c>
      <c r="G69" s="193">
        <f t="shared" si="1"/>
        <v>12558.24</v>
      </c>
      <c r="H69" s="194">
        <v>0.2298</v>
      </c>
      <c r="I69" s="194">
        <v>0.22339999999999999</v>
      </c>
    </row>
    <row r="70" spans="1:9">
      <c r="A70" s="56" t="s">
        <v>2321</v>
      </c>
      <c r="B70" s="56" t="s">
        <v>3158</v>
      </c>
      <c r="C70" s="188">
        <v>1</v>
      </c>
      <c r="D70" s="188">
        <v>1</v>
      </c>
      <c r="E70" s="191">
        <v>68937</v>
      </c>
      <c r="F70" s="191">
        <v>72728</v>
      </c>
      <c r="G70" s="193">
        <f t="shared" si="1"/>
        <v>12558.24</v>
      </c>
      <c r="H70" s="194">
        <v>0.2298</v>
      </c>
      <c r="I70" s="194">
        <v>0.22339999999999999</v>
      </c>
    </row>
    <row r="71" spans="1:9">
      <c r="A71" s="56" t="s">
        <v>2322</v>
      </c>
      <c r="B71" s="56" t="s">
        <v>3159</v>
      </c>
      <c r="C71" s="188">
        <v>1</v>
      </c>
      <c r="D71" s="188">
        <v>1</v>
      </c>
      <c r="E71" s="191">
        <v>68937</v>
      </c>
      <c r="F71" s="191">
        <v>72728</v>
      </c>
      <c r="G71" s="193">
        <f t="shared" ref="G71:G134" si="2">ROUND(1026*12*1.02,2)</f>
        <v>12558.24</v>
      </c>
      <c r="H71" s="194">
        <v>0.2298</v>
      </c>
      <c r="I71" s="194">
        <v>0.22339999999999999</v>
      </c>
    </row>
    <row r="72" spans="1:9">
      <c r="A72" s="56" t="s">
        <v>2323</v>
      </c>
      <c r="B72" s="56" t="s">
        <v>3160</v>
      </c>
      <c r="C72" s="189">
        <v>1.03</v>
      </c>
      <c r="D72" s="189">
        <v>1.03</v>
      </c>
      <c r="E72" s="191">
        <v>68937</v>
      </c>
      <c r="F72" s="191">
        <v>72728</v>
      </c>
      <c r="G72" s="193">
        <f t="shared" si="2"/>
        <v>12558.24</v>
      </c>
      <c r="H72" s="194">
        <v>0.2298</v>
      </c>
      <c r="I72" s="194">
        <v>0.22339999999999999</v>
      </c>
    </row>
    <row r="73" spans="1:9">
      <c r="A73" s="56" t="s">
        <v>2324</v>
      </c>
      <c r="B73" s="56" t="s">
        <v>3161</v>
      </c>
      <c r="C73" s="188">
        <v>1</v>
      </c>
      <c r="D73" s="188">
        <v>1.04</v>
      </c>
      <c r="E73" s="191">
        <v>68937</v>
      </c>
      <c r="F73" s="191">
        <v>72728</v>
      </c>
      <c r="G73" s="193">
        <f t="shared" si="2"/>
        <v>12558.24</v>
      </c>
      <c r="H73" s="194">
        <v>0.2298</v>
      </c>
      <c r="I73" s="194">
        <v>0.22339999999999999</v>
      </c>
    </row>
    <row r="74" spans="1:9">
      <c r="A74" s="56" t="s">
        <v>2325</v>
      </c>
      <c r="B74" s="56" t="s">
        <v>3162</v>
      </c>
      <c r="C74" s="188">
        <v>1</v>
      </c>
      <c r="D74" s="188">
        <v>1.04</v>
      </c>
      <c r="E74" s="191">
        <v>68937</v>
      </c>
      <c r="F74" s="191">
        <v>72728</v>
      </c>
      <c r="G74" s="193">
        <f t="shared" si="2"/>
        <v>12558.24</v>
      </c>
      <c r="H74" s="194">
        <v>0.2298</v>
      </c>
      <c r="I74" s="194">
        <v>0.22339999999999999</v>
      </c>
    </row>
    <row r="75" spans="1:9">
      <c r="A75" s="56" t="s">
        <v>2326</v>
      </c>
      <c r="B75" s="56" t="s">
        <v>3163</v>
      </c>
      <c r="C75" s="188">
        <v>1</v>
      </c>
      <c r="D75" s="188">
        <v>1</v>
      </c>
      <c r="E75" s="191">
        <v>68937</v>
      </c>
      <c r="F75" s="191">
        <v>72728</v>
      </c>
      <c r="G75" s="193">
        <f t="shared" si="2"/>
        <v>12558.24</v>
      </c>
      <c r="H75" s="194">
        <v>0.2298</v>
      </c>
      <c r="I75" s="194">
        <v>0.22339999999999999</v>
      </c>
    </row>
    <row r="76" spans="1:9">
      <c r="A76" s="56" t="s">
        <v>2327</v>
      </c>
      <c r="B76" s="56" t="s">
        <v>3164</v>
      </c>
      <c r="C76" s="188">
        <v>1</v>
      </c>
      <c r="D76" s="188">
        <v>1</v>
      </c>
      <c r="E76" s="191">
        <v>68937</v>
      </c>
      <c r="F76" s="191">
        <v>72728</v>
      </c>
      <c r="G76" s="193">
        <f t="shared" si="2"/>
        <v>12558.24</v>
      </c>
      <c r="H76" s="194">
        <v>0.2298</v>
      </c>
      <c r="I76" s="194">
        <v>0.22339999999999999</v>
      </c>
    </row>
    <row r="77" spans="1:9">
      <c r="A77" s="56" t="s">
        <v>2328</v>
      </c>
      <c r="B77" s="56" t="s">
        <v>3165</v>
      </c>
      <c r="C77" s="188">
        <v>1</v>
      </c>
      <c r="D77" s="188">
        <v>1</v>
      </c>
      <c r="E77" s="191">
        <v>68937</v>
      </c>
      <c r="F77" s="191">
        <v>72728</v>
      </c>
      <c r="G77" s="193">
        <f t="shared" si="2"/>
        <v>12558.24</v>
      </c>
      <c r="H77" s="194">
        <v>0.2298</v>
      </c>
      <c r="I77" s="194">
        <v>0.22339999999999999</v>
      </c>
    </row>
    <row r="78" spans="1:9">
      <c r="A78" s="56" t="s">
        <v>2329</v>
      </c>
      <c r="B78" s="56" t="s">
        <v>3166</v>
      </c>
      <c r="C78" s="188">
        <v>1</v>
      </c>
      <c r="D78" s="188">
        <v>1</v>
      </c>
      <c r="E78" s="191">
        <v>68937</v>
      </c>
      <c r="F78" s="191">
        <v>72728</v>
      </c>
      <c r="G78" s="193">
        <f t="shared" si="2"/>
        <v>12558.24</v>
      </c>
      <c r="H78" s="194">
        <v>0.2298</v>
      </c>
      <c r="I78" s="194">
        <v>0.22339999999999999</v>
      </c>
    </row>
    <row r="79" spans="1:9">
      <c r="A79" s="56" t="s">
        <v>2330</v>
      </c>
      <c r="B79" s="56" t="s">
        <v>3167</v>
      </c>
      <c r="C79" s="188">
        <v>1</v>
      </c>
      <c r="D79" s="188">
        <v>1</v>
      </c>
      <c r="E79" s="191">
        <v>68937</v>
      </c>
      <c r="F79" s="191">
        <v>72728</v>
      </c>
      <c r="G79" s="193">
        <f t="shared" si="2"/>
        <v>12558.24</v>
      </c>
      <c r="H79" s="194">
        <v>0.2298</v>
      </c>
      <c r="I79" s="194">
        <v>0.22339999999999999</v>
      </c>
    </row>
    <row r="80" spans="1:9">
      <c r="A80" s="56" t="s">
        <v>2331</v>
      </c>
      <c r="B80" s="56" t="s">
        <v>3168</v>
      </c>
      <c r="C80" s="188">
        <v>1</v>
      </c>
      <c r="D80" s="188">
        <v>1.04</v>
      </c>
      <c r="E80" s="191">
        <v>68937</v>
      </c>
      <c r="F80" s="191">
        <v>72728</v>
      </c>
      <c r="G80" s="193">
        <f t="shared" si="2"/>
        <v>12558.24</v>
      </c>
      <c r="H80" s="194">
        <v>0.2298</v>
      </c>
      <c r="I80" s="194">
        <v>0.22339999999999999</v>
      </c>
    </row>
    <row r="81" spans="1:9">
      <c r="A81" s="56" t="s">
        <v>2332</v>
      </c>
      <c r="B81" s="56" t="s">
        <v>3169</v>
      </c>
      <c r="C81" s="188">
        <v>1</v>
      </c>
      <c r="D81" s="188">
        <v>1.04</v>
      </c>
      <c r="E81" s="191">
        <v>68937</v>
      </c>
      <c r="F81" s="191">
        <v>72728</v>
      </c>
      <c r="G81" s="193">
        <f t="shared" si="2"/>
        <v>12558.24</v>
      </c>
      <c r="H81" s="194">
        <v>0.2298</v>
      </c>
      <c r="I81" s="194">
        <v>0.22339999999999999</v>
      </c>
    </row>
    <row r="82" spans="1:9">
      <c r="A82" s="56" t="s">
        <v>2333</v>
      </c>
      <c r="B82" s="56" t="s">
        <v>3170</v>
      </c>
      <c r="C82" s="188">
        <v>1</v>
      </c>
      <c r="D82" s="188">
        <v>1</v>
      </c>
      <c r="E82" s="191">
        <v>68937</v>
      </c>
      <c r="F82" s="191">
        <v>72728</v>
      </c>
      <c r="G82" s="193">
        <f t="shared" si="2"/>
        <v>12558.24</v>
      </c>
      <c r="H82" s="194">
        <v>0.2298</v>
      </c>
      <c r="I82" s="194">
        <v>0.22339999999999999</v>
      </c>
    </row>
    <row r="83" spans="1:9">
      <c r="A83" s="56" t="s">
        <v>2334</v>
      </c>
      <c r="B83" s="56" t="s">
        <v>3171</v>
      </c>
      <c r="C83" s="188">
        <v>1</v>
      </c>
      <c r="D83" s="188">
        <v>1</v>
      </c>
      <c r="E83" s="191">
        <v>68937</v>
      </c>
      <c r="F83" s="191">
        <v>72728</v>
      </c>
      <c r="G83" s="193">
        <f t="shared" si="2"/>
        <v>12558.24</v>
      </c>
      <c r="H83" s="194">
        <v>0.2298</v>
      </c>
      <c r="I83" s="194">
        <v>0.22339999999999999</v>
      </c>
    </row>
    <row r="84" spans="1:9">
      <c r="A84" s="56" t="s">
        <v>2335</v>
      </c>
      <c r="B84" s="56" t="s">
        <v>3172</v>
      </c>
      <c r="C84" s="188">
        <v>1</v>
      </c>
      <c r="D84" s="188">
        <v>1</v>
      </c>
      <c r="E84" s="191">
        <v>68937</v>
      </c>
      <c r="F84" s="191">
        <v>72728</v>
      </c>
      <c r="G84" s="193">
        <f t="shared" si="2"/>
        <v>12558.24</v>
      </c>
      <c r="H84" s="194">
        <v>0.2298</v>
      </c>
      <c r="I84" s="194">
        <v>0.22339999999999999</v>
      </c>
    </row>
    <row r="85" spans="1:9">
      <c r="A85" s="56" t="s">
        <v>2336</v>
      </c>
      <c r="B85" s="56" t="s">
        <v>3173</v>
      </c>
      <c r="C85" s="188">
        <v>1</v>
      </c>
      <c r="D85" s="188">
        <v>1</v>
      </c>
      <c r="E85" s="191">
        <v>68937</v>
      </c>
      <c r="F85" s="191">
        <v>72728</v>
      </c>
      <c r="G85" s="193">
        <f t="shared" si="2"/>
        <v>12558.24</v>
      </c>
      <c r="H85" s="194">
        <v>0.2298</v>
      </c>
      <c r="I85" s="194">
        <v>0.22339999999999999</v>
      </c>
    </row>
    <row r="86" spans="1:9">
      <c r="A86" s="56" t="s">
        <v>2337</v>
      </c>
      <c r="B86" s="56" t="s">
        <v>3174</v>
      </c>
      <c r="C86" s="188">
        <v>1</v>
      </c>
      <c r="D86" s="188">
        <v>1</v>
      </c>
      <c r="E86" s="191">
        <v>68937</v>
      </c>
      <c r="F86" s="191">
        <v>72728</v>
      </c>
      <c r="G86" s="193">
        <f t="shared" si="2"/>
        <v>12558.24</v>
      </c>
      <c r="H86" s="194">
        <v>0.2298</v>
      </c>
      <c r="I86" s="194">
        <v>0.22339999999999999</v>
      </c>
    </row>
    <row r="87" spans="1:9">
      <c r="A87" s="56" t="s">
        <v>2338</v>
      </c>
      <c r="B87" s="56" t="s">
        <v>3175</v>
      </c>
      <c r="C87" s="188">
        <v>1</v>
      </c>
      <c r="D87" s="188">
        <v>1</v>
      </c>
      <c r="E87" s="191">
        <v>68937</v>
      </c>
      <c r="F87" s="191">
        <v>72728</v>
      </c>
      <c r="G87" s="193">
        <f t="shared" si="2"/>
        <v>12558.24</v>
      </c>
      <c r="H87" s="194">
        <v>0.2298</v>
      </c>
      <c r="I87" s="194">
        <v>0.22339999999999999</v>
      </c>
    </row>
    <row r="88" spans="1:9">
      <c r="A88" s="56" t="s">
        <v>2339</v>
      </c>
      <c r="B88" s="56" t="s">
        <v>3176</v>
      </c>
      <c r="C88" s="188">
        <v>1</v>
      </c>
      <c r="D88" s="188">
        <v>1</v>
      </c>
      <c r="E88" s="191">
        <v>68937</v>
      </c>
      <c r="F88" s="191">
        <v>72728</v>
      </c>
      <c r="G88" s="193">
        <f t="shared" si="2"/>
        <v>12558.24</v>
      </c>
      <c r="H88" s="194">
        <v>0.2298</v>
      </c>
      <c r="I88" s="194">
        <v>0.22339999999999999</v>
      </c>
    </row>
    <row r="89" spans="1:9">
      <c r="A89" s="56" t="s">
        <v>2340</v>
      </c>
      <c r="B89" s="56" t="s">
        <v>3177</v>
      </c>
      <c r="C89" s="188">
        <v>1.1200000000000001</v>
      </c>
      <c r="D89" s="188">
        <v>1.1200000000000001</v>
      </c>
      <c r="E89" s="191">
        <v>68937</v>
      </c>
      <c r="F89" s="191">
        <v>72728</v>
      </c>
      <c r="G89" s="193">
        <f t="shared" si="2"/>
        <v>12558.24</v>
      </c>
      <c r="H89" s="194">
        <v>0.2298</v>
      </c>
      <c r="I89" s="194">
        <v>0.22339999999999999</v>
      </c>
    </row>
    <row r="90" spans="1:9">
      <c r="A90" s="56" t="s">
        <v>2341</v>
      </c>
      <c r="B90" s="56" t="s">
        <v>3178</v>
      </c>
      <c r="C90" s="188">
        <v>1.1200000000000001</v>
      </c>
      <c r="D90" s="188">
        <v>1.1600000000000001</v>
      </c>
      <c r="E90" s="191">
        <v>68937</v>
      </c>
      <c r="F90" s="191">
        <v>72728</v>
      </c>
      <c r="G90" s="193">
        <f t="shared" si="2"/>
        <v>12558.24</v>
      </c>
      <c r="H90" s="194">
        <v>0.2298</v>
      </c>
      <c r="I90" s="194">
        <v>0.22339999999999999</v>
      </c>
    </row>
    <row r="91" spans="1:9">
      <c r="A91" s="56" t="s">
        <v>2342</v>
      </c>
      <c r="B91" s="56" t="s">
        <v>3179</v>
      </c>
      <c r="C91" s="189">
        <v>1.18</v>
      </c>
      <c r="D91" s="189">
        <v>1.22</v>
      </c>
      <c r="E91" s="191">
        <v>68937</v>
      </c>
      <c r="F91" s="191">
        <v>72728</v>
      </c>
      <c r="G91" s="193">
        <f t="shared" si="2"/>
        <v>12558.24</v>
      </c>
      <c r="H91" s="194">
        <v>0.2298</v>
      </c>
      <c r="I91" s="194">
        <v>0.22339999999999999</v>
      </c>
    </row>
    <row r="92" spans="1:9">
      <c r="A92" s="56" t="s">
        <v>2343</v>
      </c>
      <c r="B92" s="56" t="s">
        <v>3180</v>
      </c>
      <c r="C92" s="188">
        <v>1</v>
      </c>
      <c r="D92" s="188">
        <v>1</v>
      </c>
      <c r="E92" s="191">
        <v>68937</v>
      </c>
      <c r="F92" s="191">
        <v>72728</v>
      </c>
      <c r="G92" s="193">
        <f t="shared" si="2"/>
        <v>12558.24</v>
      </c>
      <c r="H92" s="194">
        <v>0.2298</v>
      </c>
      <c r="I92" s="194">
        <v>0.22339999999999999</v>
      </c>
    </row>
    <row r="93" spans="1:9">
      <c r="A93" s="56" t="s">
        <v>2344</v>
      </c>
      <c r="B93" s="56" t="s">
        <v>3181</v>
      </c>
      <c r="C93" s="188">
        <v>1</v>
      </c>
      <c r="D93" s="188">
        <v>1</v>
      </c>
      <c r="E93" s="191">
        <v>68937</v>
      </c>
      <c r="F93" s="191">
        <v>72728</v>
      </c>
      <c r="G93" s="193">
        <f t="shared" si="2"/>
        <v>12558.24</v>
      </c>
      <c r="H93" s="194">
        <v>0.2298</v>
      </c>
      <c r="I93" s="194">
        <v>0.22339999999999999</v>
      </c>
    </row>
    <row r="94" spans="1:9">
      <c r="A94" s="56" t="s">
        <v>2345</v>
      </c>
      <c r="B94" s="56" t="s">
        <v>3182</v>
      </c>
      <c r="C94" s="188">
        <v>1.06</v>
      </c>
      <c r="D94" s="188">
        <v>1.06</v>
      </c>
      <c r="E94" s="191">
        <v>68937</v>
      </c>
      <c r="F94" s="191">
        <v>72728</v>
      </c>
      <c r="G94" s="193">
        <f t="shared" si="2"/>
        <v>12558.24</v>
      </c>
      <c r="H94" s="194">
        <v>0.2298</v>
      </c>
      <c r="I94" s="194">
        <v>0.22339999999999999</v>
      </c>
    </row>
    <row r="95" spans="1:9">
      <c r="A95" s="56" t="s">
        <v>2346</v>
      </c>
      <c r="B95" s="56" t="s">
        <v>3183</v>
      </c>
      <c r="C95" s="188">
        <v>1.1200000000000001</v>
      </c>
      <c r="D95" s="188">
        <v>1.1200000000000001</v>
      </c>
      <c r="E95" s="191">
        <v>68937</v>
      </c>
      <c r="F95" s="191">
        <v>72728</v>
      </c>
      <c r="G95" s="193">
        <f t="shared" si="2"/>
        <v>12558.24</v>
      </c>
      <c r="H95" s="194">
        <v>0.2298</v>
      </c>
      <c r="I95" s="194">
        <v>0.22339999999999999</v>
      </c>
    </row>
    <row r="96" spans="1:9">
      <c r="A96" s="56" t="s">
        <v>2347</v>
      </c>
      <c r="B96" s="56" t="s">
        <v>3184</v>
      </c>
      <c r="C96" s="188">
        <v>1.06</v>
      </c>
      <c r="D96" s="188">
        <v>1.1000000000000001</v>
      </c>
      <c r="E96" s="191">
        <v>68937</v>
      </c>
      <c r="F96" s="191">
        <v>72728</v>
      </c>
      <c r="G96" s="193">
        <f t="shared" si="2"/>
        <v>12558.24</v>
      </c>
      <c r="H96" s="194">
        <v>0.2298</v>
      </c>
      <c r="I96" s="194">
        <v>0.22339999999999999</v>
      </c>
    </row>
    <row r="97" spans="1:9">
      <c r="A97" s="56" t="s">
        <v>2348</v>
      </c>
      <c r="B97" s="56" t="s">
        <v>3185</v>
      </c>
      <c r="C97" s="188">
        <v>1.18</v>
      </c>
      <c r="D97" s="188">
        <v>1.18</v>
      </c>
      <c r="E97" s="191">
        <v>68937</v>
      </c>
      <c r="F97" s="191">
        <v>72728</v>
      </c>
      <c r="G97" s="193">
        <f t="shared" si="2"/>
        <v>12558.24</v>
      </c>
      <c r="H97" s="194">
        <v>0.2298</v>
      </c>
      <c r="I97" s="194">
        <v>0.22339999999999999</v>
      </c>
    </row>
    <row r="98" spans="1:9">
      <c r="A98" s="56" t="s">
        <v>2349</v>
      </c>
      <c r="B98" s="56" t="s">
        <v>3186</v>
      </c>
      <c r="C98" s="188">
        <v>1.1200000000000001</v>
      </c>
      <c r="D98" s="188">
        <v>1.1200000000000001</v>
      </c>
      <c r="E98" s="191">
        <v>68937</v>
      </c>
      <c r="F98" s="191">
        <v>72728</v>
      </c>
      <c r="G98" s="193">
        <f t="shared" si="2"/>
        <v>12558.24</v>
      </c>
      <c r="H98" s="194">
        <v>0.2298</v>
      </c>
      <c r="I98" s="194">
        <v>0.22339999999999999</v>
      </c>
    </row>
    <row r="99" spans="1:9">
      <c r="A99" s="56" t="s">
        <v>2350</v>
      </c>
      <c r="B99" s="56" t="s">
        <v>3187</v>
      </c>
      <c r="C99" s="188">
        <v>1.1200000000000001</v>
      </c>
      <c r="D99" s="188">
        <v>1.1600000000000001</v>
      </c>
      <c r="E99" s="191">
        <v>68937</v>
      </c>
      <c r="F99" s="191">
        <v>72728</v>
      </c>
      <c r="G99" s="193">
        <f t="shared" si="2"/>
        <v>12558.24</v>
      </c>
      <c r="H99" s="194">
        <v>0.2298</v>
      </c>
      <c r="I99" s="194">
        <v>0.22339999999999999</v>
      </c>
    </row>
    <row r="100" spans="1:9">
      <c r="A100" s="56" t="s">
        <v>2351</v>
      </c>
      <c r="B100" s="56" t="s">
        <v>3188</v>
      </c>
      <c r="C100" s="188">
        <v>1.18</v>
      </c>
      <c r="D100" s="188">
        <v>1.18</v>
      </c>
      <c r="E100" s="191">
        <v>68937</v>
      </c>
      <c r="F100" s="191">
        <v>72728</v>
      </c>
      <c r="G100" s="193">
        <f t="shared" si="2"/>
        <v>12558.24</v>
      </c>
      <c r="H100" s="194">
        <v>0.2298</v>
      </c>
      <c r="I100" s="194">
        <v>0.22339999999999999</v>
      </c>
    </row>
    <row r="101" spans="1:9">
      <c r="A101" s="56" t="s">
        <v>2352</v>
      </c>
      <c r="B101" s="56" t="s">
        <v>3189</v>
      </c>
      <c r="C101" s="188">
        <v>1.18</v>
      </c>
      <c r="D101" s="188">
        <v>1.18</v>
      </c>
      <c r="E101" s="191">
        <v>68937</v>
      </c>
      <c r="F101" s="191">
        <v>72728</v>
      </c>
      <c r="G101" s="193">
        <f t="shared" si="2"/>
        <v>12558.24</v>
      </c>
      <c r="H101" s="194">
        <v>0.2298</v>
      </c>
      <c r="I101" s="194">
        <v>0.22339999999999999</v>
      </c>
    </row>
    <row r="102" spans="1:9">
      <c r="A102" s="56" t="s">
        <v>2353</v>
      </c>
      <c r="B102" s="56" t="s">
        <v>3190</v>
      </c>
      <c r="C102" s="188">
        <v>1.1200000000000001</v>
      </c>
      <c r="D102" s="188">
        <v>1.1200000000000001</v>
      </c>
      <c r="E102" s="191">
        <v>68937</v>
      </c>
      <c r="F102" s="191">
        <v>72728</v>
      </c>
      <c r="G102" s="193">
        <f t="shared" si="2"/>
        <v>12558.24</v>
      </c>
      <c r="H102" s="194">
        <v>0.2298</v>
      </c>
      <c r="I102" s="194">
        <v>0.22339999999999999</v>
      </c>
    </row>
    <row r="103" spans="1:9">
      <c r="A103" s="56" t="s">
        <v>2354</v>
      </c>
      <c r="B103" s="56" t="s">
        <v>3191</v>
      </c>
      <c r="C103" s="188">
        <v>1.18</v>
      </c>
      <c r="D103" s="188">
        <v>1.18</v>
      </c>
      <c r="E103" s="191">
        <v>68937</v>
      </c>
      <c r="F103" s="191">
        <v>72728</v>
      </c>
      <c r="G103" s="193">
        <f t="shared" si="2"/>
        <v>12558.24</v>
      </c>
      <c r="H103" s="194">
        <v>0.2298</v>
      </c>
      <c r="I103" s="194">
        <v>0.22339999999999999</v>
      </c>
    </row>
    <row r="104" spans="1:9">
      <c r="A104" s="56" t="s">
        <v>2355</v>
      </c>
      <c r="B104" s="56" t="s">
        <v>3192</v>
      </c>
      <c r="C104" s="188">
        <v>1.18</v>
      </c>
      <c r="D104" s="188">
        <v>1.18</v>
      </c>
      <c r="E104" s="191">
        <v>68937</v>
      </c>
      <c r="F104" s="191">
        <v>72728</v>
      </c>
      <c r="G104" s="193">
        <f t="shared" si="2"/>
        <v>12558.24</v>
      </c>
      <c r="H104" s="194">
        <v>0.2298</v>
      </c>
      <c r="I104" s="194">
        <v>0.22339999999999999</v>
      </c>
    </row>
    <row r="105" spans="1:9">
      <c r="A105" s="56" t="s">
        <v>2356</v>
      </c>
      <c r="B105" s="56" t="s">
        <v>3193</v>
      </c>
      <c r="C105" s="188">
        <v>1.18</v>
      </c>
      <c r="D105" s="188">
        <v>1.18</v>
      </c>
      <c r="E105" s="191">
        <v>68937</v>
      </c>
      <c r="F105" s="191">
        <v>72728</v>
      </c>
      <c r="G105" s="193">
        <f t="shared" si="2"/>
        <v>12558.24</v>
      </c>
      <c r="H105" s="194">
        <v>0.2298</v>
      </c>
      <c r="I105" s="194">
        <v>0.22339999999999999</v>
      </c>
    </row>
    <row r="106" spans="1:9">
      <c r="A106" s="56" t="s">
        <v>2357</v>
      </c>
      <c r="B106" s="56" t="s">
        <v>3194</v>
      </c>
      <c r="C106" s="188">
        <v>1.18</v>
      </c>
      <c r="D106" s="188">
        <v>1.18</v>
      </c>
      <c r="E106" s="191">
        <v>68937</v>
      </c>
      <c r="F106" s="191">
        <v>72728</v>
      </c>
      <c r="G106" s="193">
        <f t="shared" si="2"/>
        <v>12558.24</v>
      </c>
      <c r="H106" s="194">
        <v>0.2298</v>
      </c>
      <c r="I106" s="194">
        <v>0.22339999999999999</v>
      </c>
    </row>
    <row r="107" spans="1:9">
      <c r="A107" s="56" t="s">
        <v>2358</v>
      </c>
      <c r="B107" s="56" t="s">
        <v>3195</v>
      </c>
      <c r="C107" s="188">
        <v>1.18</v>
      </c>
      <c r="D107" s="188">
        <v>1.18</v>
      </c>
      <c r="E107" s="191">
        <v>68937</v>
      </c>
      <c r="F107" s="191">
        <v>72728</v>
      </c>
      <c r="G107" s="193">
        <f t="shared" si="2"/>
        <v>12558.24</v>
      </c>
      <c r="H107" s="194">
        <v>0.2298</v>
      </c>
      <c r="I107" s="194">
        <v>0.22339999999999999</v>
      </c>
    </row>
    <row r="108" spans="1:9">
      <c r="A108" s="56" t="s">
        <v>2359</v>
      </c>
      <c r="B108" s="56" t="s">
        <v>3196</v>
      </c>
      <c r="C108" s="189">
        <v>1.1499999999999999</v>
      </c>
      <c r="D108" s="189">
        <v>1.1499999999999999</v>
      </c>
      <c r="E108" s="191">
        <v>68937</v>
      </c>
      <c r="F108" s="191">
        <v>72728</v>
      </c>
      <c r="G108" s="193">
        <f t="shared" si="2"/>
        <v>12558.24</v>
      </c>
      <c r="H108" s="194">
        <v>0.2298</v>
      </c>
      <c r="I108" s="194">
        <v>0.22339999999999999</v>
      </c>
    </row>
    <row r="109" spans="1:9">
      <c r="A109" s="56" t="s">
        <v>2360</v>
      </c>
      <c r="B109" s="56" t="s">
        <v>3197</v>
      </c>
      <c r="C109" s="188">
        <v>1.18</v>
      </c>
      <c r="D109" s="188">
        <v>1.22</v>
      </c>
      <c r="E109" s="191">
        <v>68937</v>
      </c>
      <c r="F109" s="191">
        <v>72728</v>
      </c>
      <c r="G109" s="193">
        <f t="shared" si="2"/>
        <v>12558.24</v>
      </c>
      <c r="H109" s="194">
        <v>0.2298</v>
      </c>
      <c r="I109" s="194">
        <v>0.22339999999999999</v>
      </c>
    </row>
    <row r="110" spans="1:9">
      <c r="A110" s="56" t="s">
        <v>2361</v>
      </c>
      <c r="B110" s="56" t="s">
        <v>3198</v>
      </c>
      <c r="C110" s="188">
        <v>1.18</v>
      </c>
      <c r="D110" s="188">
        <v>1.18</v>
      </c>
      <c r="E110" s="191">
        <v>68937</v>
      </c>
      <c r="F110" s="191">
        <v>72728</v>
      </c>
      <c r="G110" s="193">
        <f t="shared" si="2"/>
        <v>12558.24</v>
      </c>
      <c r="H110" s="194">
        <v>0.2298</v>
      </c>
      <c r="I110" s="194">
        <v>0.22339999999999999</v>
      </c>
    </row>
    <row r="111" spans="1:9">
      <c r="A111" s="56" t="s">
        <v>2362</v>
      </c>
      <c r="B111" s="56" t="s">
        <v>3199</v>
      </c>
      <c r="C111" s="188">
        <v>1.18</v>
      </c>
      <c r="D111" s="188">
        <v>1.18</v>
      </c>
      <c r="E111" s="191">
        <v>68937</v>
      </c>
      <c r="F111" s="191">
        <v>72728</v>
      </c>
      <c r="G111" s="193">
        <f t="shared" si="2"/>
        <v>12558.24</v>
      </c>
      <c r="H111" s="194">
        <v>0.2298</v>
      </c>
      <c r="I111" s="194">
        <v>0.22339999999999999</v>
      </c>
    </row>
    <row r="112" spans="1:9">
      <c r="A112" s="56" t="s">
        <v>2363</v>
      </c>
      <c r="B112" s="56" t="s">
        <v>3200</v>
      </c>
      <c r="C112" s="189">
        <v>1.18</v>
      </c>
      <c r="D112" s="189">
        <v>1.18</v>
      </c>
      <c r="E112" s="191">
        <v>68937</v>
      </c>
      <c r="F112" s="191">
        <v>72728</v>
      </c>
      <c r="G112" s="193">
        <f t="shared" si="2"/>
        <v>12558.24</v>
      </c>
      <c r="H112" s="194">
        <v>0.2298</v>
      </c>
      <c r="I112" s="194">
        <v>0.22339999999999999</v>
      </c>
    </row>
    <row r="113" spans="1:9">
      <c r="A113" s="56" t="s">
        <v>2364</v>
      </c>
      <c r="B113" s="56" t="s">
        <v>3201</v>
      </c>
      <c r="C113" s="188">
        <v>1.18</v>
      </c>
      <c r="D113" s="188">
        <v>1.18</v>
      </c>
      <c r="E113" s="191">
        <v>68937</v>
      </c>
      <c r="F113" s="191">
        <v>72728</v>
      </c>
      <c r="G113" s="193">
        <f t="shared" si="2"/>
        <v>12558.24</v>
      </c>
      <c r="H113" s="194">
        <v>0.2298</v>
      </c>
      <c r="I113" s="194">
        <v>0.22339999999999999</v>
      </c>
    </row>
    <row r="114" spans="1:9">
      <c r="A114" s="56" t="s">
        <v>2365</v>
      </c>
      <c r="B114" s="56" t="s">
        <v>3202</v>
      </c>
      <c r="C114" s="188">
        <v>1.18</v>
      </c>
      <c r="D114" s="188">
        <v>1.18</v>
      </c>
      <c r="E114" s="191">
        <v>68937</v>
      </c>
      <c r="F114" s="191">
        <v>72728</v>
      </c>
      <c r="G114" s="193">
        <f t="shared" si="2"/>
        <v>12558.24</v>
      </c>
      <c r="H114" s="194">
        <v>0.2298</v>
      </c>
      <c r="I114" s="194">
        <v>0.22339999999999999</v>
      </c>
    </row>
    <row r="115" spans="1:9">
      <c r="A115" s="56" t="s">
        <v>2366</v>
      </c>
      <c r="B115" s="56" t="s">
        <v>3203</v>
      </c>
      <c r="C115" s="188">
        <v>1.18</v>
      </c>
      <c r="D115" s="188">
        <v>1.18</v>
      </c>
      <c r="E115" s="191">
        <v>68937</v>
      </c>
      <c r="F115" s="191">
        <v>72728</v>
      </c>
      <c r="G115" s="193">
        <f t="shared" si="2"/>
        <v>12558.24</v>
      </c>
      <c r="H115" s="194">
        <v>0.2298</v>
      </c>
      <c r="I115" s="194">
        <v>0.22339999999999999</v>
      </c>
    </row>
    <row r="116" spans="1:9">
      <c r="A116" s="56" t="s">
        <v>2367</v>
      </c>
      <c r="B116" s="56" t="s">
        <v>3204</v>
      </c>
      <c r="C116" s="188">
        <v>1.18</v>
      </c>
      <c r="D116" s="188">
        <v>1.18</v>
      </c>
      <c r="E116" s="191">
        <v>68937</v>
      </c>
      <c r="F116" s="191">
        <v>72728</v>
      </c>
      <c r="G116" s="193">
        <f t="shared" si="2"/>
        <v>12558.24</v>
      </c>
      <c r="H116" s="194">
        <v>0.2298</v>
      </c>
      <c r="I116" s="194">
        <v>0.22339999999999999</v>
      </c>
    </row>
    <row r="117" spans="1:9">
      <c r="A117" s="56" t="s">
        <v>2368</v>
      </c>
      <c r="B117" s="56" t="s">
        <v>3205</v>
      </c>
      <c r="C117" s="188">
        <v>1.1800000000000002</v>
      </c>
      <c r="D117" s="188">
        <v>1.1800000000000002</v>
      </c>
      <c r="E117" s="191">
        <v>68937</v>
      </c>
      <c r="F117" s="191">
        <v>72728</v>
      </c>
      <c r="G117" s="193">
        <f t="shared" si="2"/>
        <v>12558.24</v>
      </c>
      <c r="H117" s="194">
        <v>0.2298</v>
      </c>
      <c r="I117" s="194">
        <v>0.22339999999999999</v>
      </c>
    </row>
    <row r="118" spans="1:9">
      <c r="A118" s="56" t="s">
        <v>2586</v>
      </c>
      <c r="B118" s="56" t="s">
        <v>3206</v>
      </c>
      <c r="C118" s="188">
        <v>1.18</v>
      </c>
      <c r="D118" s="188">
        <v>1.18</v>
      </c>
      <c r="E118" s="191">
        <v>68937</v>
      </c>
      <c r="F118" s="191">
        <v>72728</v>
      </c>
      <c r="G118" s="193">
        <f t="shared" si="2"/>
        <v>12558.24</v>
      </c>
      <c r="H118" s="194">
        <v>0.2298</v>
      </c>
      <c r="I118" s="194">
        <v>0.22339999999999999</v>
      </c>
    </row>
    <row r="119" spans="1:9">
      <c r="A119" s="56" t="s">
        <v>2369</v>
      </c>
      <c r="B119" s="56" t="s">
        <v>3207</v>
      </c>
      <c r="C119" s="188">
        <v>1.18</v>
      </c>
      <c r="D119" s="188">
        <v>1.18</v>
      </c>
      <c r="E119" s="191">
        <v>68937</v>
      </c>
      <c r="F119" s="191">
        <v>72728</v>
      </c>
      <c r="G119" s="193">
        <f t="shared" si="2"/>
        <v>12558.24</v>
      </c>
      <c r="H119" s="194">
        <v>0.2298</v>
      </c>
      <c r="I119" s="194">
        <v>0.22339999999999999</v>
      </c>
    </row>
    <row r="120" spans="1:9">
      <c r="A120" s="56" t="s">
        <v>2587</v>
      </c>
      <c r="B120" s="56" t="s">
        <v>3208</v>
      </c>
      <c r="C120" s="188">
        <v>1.18</v>
      </c>
      <c r="D120" s="188">
        <v>1.18</v>
      </c>
      <c r="E120" s="191">
        <v>68937</v>
      </c>
      <c r="F120" s="191">
        <v>72728</v>
      </c>
      <c r="G120" s="193">
        <f t="shared" si="2"/>
        <v>12558.24</v>
      </c>
      <c r="H120" s="194">
        <v>0.2298</v>
      </c>
      <c r="I120" s="194">
        <v>0.22339999999999999</v>
      </c>
    </row>
    <row r="121" spans="1:9">
      <c r="A121" s="56" t="s">
        <v>2708</v>
      </c>
      <c r="B121" s="56" t="s">
        <v>3209</v>
      </c>
      <c r="C121" s="188">
        <v>1.18</v>
      </c>
      <c r="D121" s="188">
        <v>1.18</v>
      </c>
      <c r="E121" s="191">
        <v>68937</v>
      </c>
      <c r="F121" s="191">
        <v>72728</v>
      </c>
      <c r="G121" s="193">
        <f t="shared" si="2"/>
        <v>12558.24</v>
      </c>
      <c r="H121" s="194">
        <v>0.2298</v>
      </c>
      <c r="I121" s="194">
        <v>0.22339999999999999</v>
      </c>
    </row>
    <row r="122" spans="1:9">
      <c r="A122" s="56" t="s">
        <v>2853</v>
      </c>
      <c r="B122" s="56" t="s">
        <v>2854</v>
      </c>
      <c r="C122" s="188">
        <v>1.18</v>
      </c>
      <c r="D122" s="188">
        <v>1.18</v>
      </c>
      <c r="E122" s="191">
        <v>68937</v>
      </c>
      <c r="F122" s="191">
        <v>72728</v>
      </c>
      <c r="G122" s="193">
        <f t="shared" si="2"/>
        <v>12558.24</v>
      </c>
      <c r="H122" s="194">
        <v>0.2298</v>
      </c>
      <c r="I122" s="194">
        <v>0.22339999999999999</v>
      </c>
    </row>
    <row r="123" spans="1:9">
      <c r="A123" s="56" t="s">
        <v>2855</v>
      </c>
      <c r="B123" s="56" t="s">
        <v>3210</v>
      </c>
      <c r="C123" s="188">
        <v>1.18</v>
      </c>
      <c r="D123" s="188">
        <v>1.18</v>
      </c>
      <c r="E123" s="191">
        <v>68937</v>
      </c>
      <c r="F123" s="191">
        <v>72728</v>
      </c>
      <c r="G123" s="193">
        <f t="shared" si="2"/>
        <v>12558.24</v>
      </c>
      <c r="H123" s="194">
        <v>0.2298</v>
      </c>
      <c r="I123" s="194">
        <v>0.22339999999999999</v>
      </c>
    </row>
    <row r="124" spans="1:9">
      <c r="A124" s="56" t="s">
        <v>2371</v>
      </c>
      <c r="B124" s="56" t="s">
        <v>3211</v>
      </c>
      <c r="C124" s="188">
        <v>1.18</v>
      </c>
      <c r="D124" s="188">
        <v>1.18</v>
      </c>
      <c r="E124" s="191">
        <v>68937</v>
      </c>
      <c r="F124" s="191">
        <v>72728</v>
      </c>
      <c r="G124" s="193">
        <f t="shared" si="2"/>
        <v>12558.24</v>
      </c>
      <c r="H124" s="194">
        <v>0.2298</v>
      </c>
      <c r="I124" s="194">
        <v>0.22339999999999999</v>
      </c>
    </row>
    <row r="125" spans="1:9">
      <c r="A125" s="56" t="s">
        <v>2372</v>
      </c>
      <c r="B125" s="56" t="s">
        <v>3212</v>
      </c>
      <c r="C125" s="188">
        <v>1.18</v>
      </c>
      <c r="D125" s="188">
        <v>1.18</v>
      </c>
      <c r="E125" s="191">
        <v>68937</v>
      </c>
      <c r="F125" s="191">
        <v>72728</v>
      </c>
      <c r="G125" s="193">
        <f t="shared" si="2"/>
        <v>12558.24</v>
      </c>
      <c r="H125" s="194">
        <v>0.2298</v>
      </c>
      <c r="I125" s="194">
        <v>0.22339999999999999</v>
      </c>
    </row>
    <row r="126" spans="1:9">
      <c r="A126" s="56" t="s">
        <v>2373</v>
      </c>
      <c r="B126" s="56" t="s">
        <v>3213</v>
      </c>
      <c r="C126" s="188">
        <v>1.18</v>
      </c>
      <c r="D126" s="188">
        <v>1.18</v>
      </c>
      <c r="E126" s="191">
        <v>68937</v>
      </c>
      <c r="F126" s="191">
        <v>72728</v>
      </c>
      <c r="G126" s="193">
        <f t="shared" si="2"/>
        <v>12558.24</v>
      </c>
      <c r="H126" s="194">
        <v>0.2298</v>
      </c>
      <c r="I126" s="194">
        <v>0.22339999999999999</v>
      </c>
    </row>
    <row r="127" spans="1:9">
      <c r="A127" s="56" t="s">
        <v>2374</v>
      </c>
      <c r="B127" s="56" t="s">
        <v>3214</v>
      </c>
      <c r="C127" s="188">
        <v>1.18</v>
      </c>
      <c r="D127" s="188">
        <v>1.18</v>
      </c>
      <c r="E127" s="191">
        <v>68937</v>
      </c>
      <c r="F127" s="191">
        <v>72728</v>
      </c>
      <c r="G127" s="193">
        <f t="shared" si="2"/>
        <v>12558.24</v>
      </c>
      <c r="H127" s="194">
        <v>0.2298</v>
      </c>
      <c r="I127" s="194">
        <v>0.22339999999999999</v>
      </c>
    </row>
    <row r="128" spans="1:9">
      <c r="A128" s="56" t="s">
        <v>2375</v>
      </c>
      <c r="B128" s="56" t="s">
        <v>3215</v>
      </c>
      <c r="C128" s="188">
        <v>1.18</v>
      </c>
      <c r="D128" s="188">
        <v>1.18</v>
      </c>
      <c r="E128" s="191">
        <v>68937</v>
      </c>
      <c r="F128" s="191">
        <v>72728</v>
      </c>
      <c r="G128" s="193">
        <f t="shared" si="2"/>
        <v>12558.24</v>
      </c>
      <c r="H128" s="194">
        <v>0.2298</v>
      </c>
      <c r="I128" s="194">
        <v>0.22339999999999999</v>
      </c>
    </row>
    <row r="129" spans="1:9">
      <c r="A129" s="56" t="s">
        <v>2856</v>
      </c>
      <c r="B129" s="56" t="s">
        <v>2869</v>
      </c>
      <c r="C129" s="188">
        <v>1.18</v>
      </c>
      <c r="D129" s="188">
        <v>1.18</v>
      </c>
      <c r="E129" s="191">
        <v>68937</v>
      </c>
      <c r="F129" s="191">
        <v>72728</v>
      </c>
      <c r="G129" s="193">
        <f t="shared" si="2"/>
        <v>12558.24</v>
      </c>
      <c r="H129" s="194">
        <v>0.2298</v>
      </c>
      <c r="I129" s="194">
        <v>0.22339999999999999</v>
      </c>
    </row>
    <row r="130" spans="1:9">
      <c r="A130" s="56" t="s">
        <v>2376</v>
      </c>
      <c r="B130" s="56" t="s">
        <v>3216</v>
      </c>
      <c r="C130" s="188">
        <v>1.18</v>
      </c>
      <c r="D130" s="188">
        <v>1.18</v>
      </c>
      <c r="E130" s="191">
        <v>68937</v>
      </c>
      <c r="F130" s="191">
        <v>72728</v>
      </c>
      <c r="G130" s="193">
        <f t="shared" si="2"/>
        <v>12558.24</v>
      </c>
      <c r="H130" s="194">
        <v>0.2298</v>
      </c>
      <c r="I130" s="194">
        <v>0.22339999999999999</v>
      </c>
    </row>
    <row r="131" spans="1:9">
      <c r="A131" s="56" t="s">
        <v>2377</v>
      </c>
      <c r="B131" s="56" t="s">
        <v>3217</v>
      </c>
      <c r="C131" s="188">
        <v>1</v>
      </c>
      <c r="D131" s="188">
        <v>1</v>
      </c>
      <c r="E131" s="191">
        <v>68937</v>
      </c>
      <c r="F131" s="191">
        <v>72728</v>
      </c>
      <c r="G131" s="193">
        <f t="shared" si="2"/>
        <v>12558.24</v>
      </c>
      <c r="H131" s="194">
        <v>0.2298</v>
      </c>
      <c r="I131" s="194">
        <v>0.22339999999999999</v>
      </c>
    </row>
    <row r="132" spans="1:9">
      <c r="A132" s="56" t="s">
        <v>2378</v>
      </c>
      <c r="B132" s="56" t="s">
        <v>3218</v>
      </c>
      <c r="C132" s="188">
        <v>1</v>
      </c>
      <c r="D132" s="188">
        <v>1</v>
      </c>
      <c r="E132" s="191">
        <v>68937</v>
      </c>
      <c r="F132" s="191">
        <v>72728</v>
      </c>
      <c r="G132" s="193">
        <f t="shared" si="2"/>
        <v>12558.24</v>
      </c>
      <c r="H132" s="194">
        <v>0.2298</v>
      </c>
      <c r="I132" s="194">
        <v>0.22339999999999999</v>
      </c>
    </row>
    <row r="133" spans="1:9">
      <c r="A133" s="56" t="s">
        <v>2379</v>
      </c>
      <c r="B133" s="56" t="s">
        <v>3219</v>
      </c>
      <c r="C133" s="188">
        <v>1</v>
      </c>
      <c r="D133" s="188">
        <v>1</v>
      </c>
      <c r="E133" s="191">
        <v>68937</v>
      </c>
      <c r="F133" s="191">
        <v>72728</v>
      </c>
      <c r="G133" s="193">
        <f t="shared" si="2"/>
        <v>12558.24</v>
      </c>
      <c r="H133" s="194">
        <v>0.2298</v>
      </c>
      <c r="I133" s="194">
        <v>0.22339999999999999</v>
      </c>
    </row>
    <row r="134" spans="1:9">
      <c r="A134" s="56" t="s">
        <v>2380</v>
      </c>
      <c r="B134" s="56" t="s">
        <v>3220</v>
      </c>
      <c r="C134" s="188">
        <v>1</v>
      </c>
      <c r="D134" s="188">
        <v>1</v>
      </c>
      <c r="E134" s="191">
        <v>68937</v>
      </c>
      <c r="F134" s="191">
        <v>72728</v>
      </c>
      <c r="G134" s="193">
        <f t="shared" si="2"/>
        <v>12558.24</v>
      </c>
      <c r="H134" s="194">
        <v>0.2298</v>
      </c>
      <c r="I134" s="194">
        <v>0.22339999999999999</v>
      </c>
    </row>
    <row r="135" spans="1:9">
      <c r="A135" s="56" t="s">
        <v>2381</v>
      </c>
      <c r="B135" s="56" t="s">
        <v>3221</v>
      </c>
      <c r="C135" s="188">
        <v>1</v>
      </c>
      <c r="D135" s="188">
        <v>1</v>
      </c>
      <c r="E135" s="191">
        <v>68937</v>
      </c>
      <c r="F135" s="191">
        <v>72728</v>
      </c>
      <c r="G135" s="193">
        <f t="shared" ref="G135:G198" si="3">ROUND(1026*12*1.02,2)</f>
        <v>12558.24</v>
      </c>
      <c r="H135" s="194">
        <v>0.2298</v>
      </c>
      <c r="I135" s="194">
        <v>0.22339999999999999</v>
      </c>
    </row>
    <row r="136" spans="1:9">
      <c r="A136" s="56" t="s">
        <v>2382</v>
      </c>
      <c r="B136" s="56" t="s">
        <v>3222</v>
      </c>
      <c r="C136" s="188">
        <v>1</v>
      </c>
      <c r="D136" s="188">
        <v>1</v>
      </c>
      <c r="E136" s="191">
        <v>68937</v>
      </c>
      <c r="F136" s="191">
        <v>72728</v>
      </c>
      <c r="G136" s="193">
        <f t="shared" si="3"/>
        <v>12558.24</v>
      </c>
      <c r="H136" s="194">
        <v>0.2298</v>
      </c>
      <c r="I136" s="194">
        <v>0.22339999999999999</v>
      </c>
    </row>
    <row r="137" spans="1:9">
      <c r="A137" s="56" t="s">
        <v>2383</v>
      </c>
      <c r="B137" s="56" t="s">
        <v>3223</v>
      </c>
      <c r="C137" s="188">
        <v>1</v>
      </c>
      <c r="D137" s="188">
        <v>1</v>
      </c>
      <c r="E137" s="191">
        <v>68937</v>
      </c>
      <c r="F137" s="191">
        <v>72728</v>
      </c>
      <c r="G137" s="193">
        <f t="shared" si="3"/>
        <v>12558.24</v>
      </c>
      <c r="H137" s="194">
        <v>0.2298</v>
      </c>
      <c r="I137" s="194">
        <v>0.22339999999999999</v>
      </c>
    </row>
    <row r="138" spans="1:9">
      <c r="A138" s="56" t="s">
        <v>2384</v>
      </c>
      <c r="B138" s="56" t="s">
        <v>3224</v>
      </c>
      <c r="C138" s="188">
        <v>1</v>
      </c>
      <c r="D138" s="188">
        <v>1</v>
      </c>
      <c r="E138" s="191">
        <v>68937</v>
      </c>
      <c r="F138" s="191">
        <v>72728</v>
      </c>
      <c r="G138" s="193">
        <f t="shared" si="3"/>
        <v>12558.24</v>
      </c>
      <c r="H138" s="194">
        <v>0.2298</v>
      </c>
      <c r="I138" s="194">
        <v>0.22339999999999999</v>
      </c>
    </row>
    <row r="139" spans="1:9">
      <c r="A139" s="56" t="s">
        <v>2385</v>
      </c>
      <c r="B139" s="56" t="s">
        <v>3225</v>
      </c>
      <c r="C139" s="188">
        <v>1</v>
      </c>
      <c r="D139" s="188">
        <v>1.04</v>
      </c>
      <c r="E139" s="191">
        <v>68937</v>
      </c>
      <c r="F139" s="191">
        <v>72728</v>
      </c>
      <c r="G139" s="193">
        <f t="shared" si="3"/>
        <v>12558.24</v>
      </c>
      <c r="H139" s="194">
        <v>0.2298</v>
      </c>
      <c r="I139" s="194">
        <v>0.22339999999999999</v>
      </c>
    </row>
    <row r="140" spans="1:9">
      <c r="A140" s="56" t="s">
        <v>2386</v>
      </c>
      <c r="B140" s="56" t="s">
        <v>3226</v>
      </c>
      <c r="C140" s="188">
        <v>1</v>
      </c>
      <c r="D140" s="188">
        <v>1</v>
      </c>
      <c r="E140" s="191">
        <v>68937</v>
      </c>
      <c r="F140" s="191">
        <v>72728</v>
      </c>
      <c r="G140" s="193">
        <f t="shared" si="3"/>
        <v>12558.24</v>
      </c>
      <c r="H140" s="194">
        <v>0.2298</v>
      </c>
      <c r="I140" s="194">
        <v>0.22339999999999999</v>
      </c>
    </row>
    <row r="141" spans="1:9">
      <c r="A141" s="56" t="s">
        <v>2387</v>
      </c>
      <c r="B141" s="56" t="s">
        <v>3227</v>
      </c>
      <c r="C141" s="188">
        <v>1</v>
      </c>
      <c r="D141" s="188">
        <v>1.04</v>
      </c>
      <c r="E141" s="191">
        <v>68937</v>
      </c>
      <c r="F141" s="191">
        <v>72728</v>
      </c>
      <c r="G141" s="193">
        <f t="shared" si="3"/>
        <v>12558.24</v>
      </c>
      <c r="H141" s="194">
        <v>0.2298</v>
      </c>
      <c r="I141" s="194">
        <v>0.22339999999999999</v>
      </c>
    </row>
    <row r="142" spans="1:9">
      <c r="A142" s="56" t="s">
        <v>2388</v>
      </c>
      <c r="B142" s="56" t="s">
        <v>3228</v>
      </c>
      <c r="C142" s="188">
        <v>1</v>
      </c>
      <c r="D142" s="188">
        <v>1.04</v>
      </c>
      <c r="E142" s="191">
        <v>68937</v>
      </c>
      <c r="F142" s="191">
        <v>72728</v>
      </c>
      <c r="G142" s="193">
        <f t="shared" si="3"/>
        <v>12558.24</v>
      </c>
      <c r="H142" s="194">
        <v>0.2298</v>
      </c>
      <c r="I142" s="194">
        <v>0.22339999999999999</v>
      </c>
    </row>
    <row r="143" spans="1:9">
      <c r="A143" s="56" t="s">
        <v>2389</v>
      </c>
      <c r="B143" s="56" t="s">
        <v>1343</v>
      </c>
      <c r="C143" s="188">
        <v>1</v>
      </c>
      <c r="D143" s="188">
        <v>1</v>
      </c>
      <c r="E143" s="191">
        <v>68937</v>
      </c>
      <c r="F143" s="191">
        <v>72728</v>
      </c>
      <c r="G143" s="193">
        <f t="shared" si="3"/>
        <v>12558.24</v>
      </c>
      <c r="H143" s="194">
        <v>0.2298</v>
      </c>
      <c r="I143" s="194">
        <v>0.22339999999999999</v>
      </c>
    </row>
    <row r="144" spans="1:9">
      <c r="A144" s="56" t="s">
        <v>2390</v>
      </c>
      <c r="B144" s="56" t="s">
        <v>3229</v>
      </c>
      <c r="C144" s="188">
        <v>1</v>
      </c>
      <c r="D144" s="188">
        <v>1</v>
      </c>
      <c r="E144" s="191">
        <v>68937</v>
      </c>
      <c r="F144" s="191">
        <v>72728</v>
      </c>
      <c r="G144" s="193">
        <f t="shared" si="3"/>
        <v>12558.24</v>
      </c>
      <c r="H144" s="194">
        <v>0.2298</v>
      </c>
      <c r="I144" s="194">
        <v>0.22339999999999999</v>
      </c>
    </row>
    <row r="145" spans="1:9">
      <c r="A145" s="56" t="s">
        <v>2391</v>
      </c>
      <c r="B145" s="56" t="s">
        <v>3230</v>
      </c>
      <c r="C145" s="188">
        <v>1</v>
      </c>
      <c r="D145" s="188">
        <v>1</v>
      </c>
      <c r="E145" s="191">
        <v>68937</v>
      </c>
      <c r="F145" s="191">
        <v>72728</v>
      </c>
      <c r="G145" s="193">
        <f t="shared" si="3"/>
        <v>12558.24</v>
      </c>
      <c r="H145" s="194">
        <v>0.2298</v>
      </c>
      <c r="I145" s="194">
        <v>0.22339999999999999</v>
      </c>
    </row>
    <row r="146" spans="1:9">
      <c r="A146" s="56" t="s">
        <v>2392</v>
      </c>
      <c r="B146" s="56" t="s">
        <v>3231</v>
      </c>
      <c r="C146" s="188">
        <v>1</v>
      </c>
      <c r="D146" s="188">
        <v>1</v>
      </c>
      <c r="E146" s="191">
        <v>68937</v>
      </c>
      <c r="F146" s="191">
        <v>72728</v>
      </c>
      <c r="G146" s="193">
        <f t="shared" si="3"/>
        <v>12558.24</v>
      </c>
      <c r="H146" s="194">
        <v>0.2298</v>
      </c>
      <c r="I146" s="194">
        <v>0.22339999999999999</v>
      </c>
    </row>
    <row r="147" spans="1:9">
      <c r="A147" s="56" t="s">
        <v>2393</v>
      </c>
      <c r="B147" s="56" t="s">
        <v>3232</v>
      </c>
      <c r="C147" s="188">
        <v>1</v>
      </c>
      <c r="D147" s="188">
        <v>1</v>
      </c>
      <c r="E147" s="191">
        <v>68937</v>
      </c>
      <c r="F147" s="191">
        <v>72728</v>
      </c>
      <c r="G147" s="193">
        <f t="shared" si="3"/>
        <v>12558.24</v>
      </c>
      <c r="H147" s="194">
        <v>0.2298</v>
      </c>
      <c r="I147" s="194">
        <v>0.22339999999999999</v>
      </c>
    </row>
    <row r="148" spans="1:9">
      <c r="A148" s="56" t="s">
        <v>2394</v>
      </c>
      <c r="B148" s="56" t="s">
        <v>3233</v>
      </c>
      <c r="C148" s="188">
        <v>1</v>
      </c>
      <c r="D148" s="188">
        <v>1</v>
      </c>
      <c r="E148" s="191">
        <v>68937</v>
      </c>
      <c r="F148" s="191">
        <v>72728</v>
      </c>
      <c r="G148" s="193">
        <f t="shared" si="3"/>
        <v>12558.24</v>
      </c>
      <c r="H148" s="194">
        <v>0.2298</v>
      </c>
      <c r="I148" s="194">
        <v>0.22339999999999999</v>
      </c>
    </row>
    <row r="149" spans="1:9">
      <c r="A149" s="56" t="s">
        <v>2395</v>
      </c>
      <c r="B149" s="56" t="s">
        <v>3234</v>
      </c>
      <c r="C149" s="188">
        <v>1</v>
      </c>
      <c r="D149" s="188">
        <v>1</v>
      </c>
      <c r="E149" s="191">
        <v>68937</v>
      </c>
      <c r="F149" s="191">
        <v>72728</v>
      </c>
      <c r="G149" s="193">
        <f t="shared" si="3"/>
        <v>12558.24</v>
      </c>
      <c r="H149" s="194">
        <v>0.2298</v>
      </c>
      <c r="I149" s="194">
        <v>0.22339999999999999</v>
      </c>
    </row>
    <row r="150" spans="1:9">
      <c r="A150" s="56" t="s">
        <v>2396</v>
      </c>
      <c r="B150" s="56" t="s">
        <v>3235</v>
      </c>
      <c r="C150" s="188">
        <v>1</v>
      </c>
      <c r="D150" s="188">
        <v>1</v>
      </c>
      <c r="E150" s="191">
        <v>68937</v>
      </c>
      <c r="F150" s="191">
        <v>72728</v>
      </c>
      <c r="G150" s="193">
        <f t="shared" si="3"/>
        <v>12558.24</v>
      </c>
      <c r="H150" s="194">
        <v>0.2298</v>
      </c>
      <c r="I150" s="194">
        <v>0.22339999999999999</v>
      </c>
    </row>
    <row r="151" spans="1:9">
      <c r="A151" s="56" t="s">
        <v>2397</v>
      </c>
      <c r="B151" s="56" t="s">
        <v>3236</v>
      </c>
      <c r="C151" s="188">
        <v>1</v>
      </c>
      <c r="D151" s="188">
        <v>1.04</v>
      </c>
      <c r="E151" s="191">
        <v>68937</v>
      </c>
      <c r="F151" s="191">
        <v>72728</v>
      </c>
      <c r="G151" s="193">
        <f t="shared" si="3"/>
        <v>12558.24</v>
      </c>
      <c r="H151" s="194">
        <v>0.2298</v>
      </c>
      <c r="I151" s="194">
        <v>0.22339999999999999</v>
      </c>
    </row>
    <row r="152" spans="1:9">
      <c r="A152" s="56" t="s">
        <v>2398</v>
      </c>
      <c r="B152" s="56" t="s">
        <v>3237</v>
      </c>
      <c r="C152" s="188">
        <v>1</v>
      </c>
      <c r="D152" s="188">
        <v>1.04</v>
      </c>
      <c r="E152" s="191">
        <v>68937</v>
      </c>
      <c r="F152" s="191">
        <v>72728</v>
      </c>
      <c r="G152" s="193">
        <f t="shared" si="3"/>
        <v>12558.24</v>
      </c>
      <c r="H152" s="194">
        <v>0.2298</v>
      </c>
      <c r="I152" s="194">
        <v>0.22339999999999999</v>
      </c>
    </row>
    <row r="153" spans="1:9">
      <c r="A153" s="56" t="s">
        <v>2399</v>
      </c>
      <c r="B153" s="56" t="s">
        <v>3238</v>
      </c>
      <c r="C153" s="188">
        <v>1</v>
      </c>
      <c r="D153" s="188">
        <v>1</v>
      </c>
      <c r="E153" s="191">
        <v>68937</v>
      </c>
      <c r="F153" s="191">
        <v>72728</v>
      </c>
      <c r="G153" s="193">
        <f t="shared" si="3"/>
        <v>12558.24</v>
      </c>
      <c r="H153" s="194">
        <v>0.2298</v>
      </c>
      <c r="I153" s="194">
        <v>0.22339999999999999</v>
      </c>
    </row>
    <row r="154" spans="1:9">
      <c r="A154" s="56" t="s">
        <v>2400</v>
      </c>
      <c r="B154" s="56" t="s">
        <v>3239</v>
      </c>
      <c r="C154" s="188">
        <v>1</v>
      </c>
      <c r="D154" s="188">
        <v>1.04</v>
      </c>
      <c r="E154" s="191">
        <v>68937</v>
      </c>
      <c r="F154" s="191">
        <v>72728</v>
      </c>
      <c r="G154" s="193">
        <f t="shared" si="3"/>
        <v>12558.24</v>
      </c>
      <c r="H154" s="194">
        <v>0.2298</v>
      </c>
      <c r="I154" s="194">
        <v>0.22339999999999999</v>
      </c>
    </row>
    <row r="155" spans="1:9">
      <c r="A155" s="56" t="s">
        <v>2401</v>
      </c>
      <c r="B155" s="56" t="s">
        <v>3240</v>
      </c>
      <c r="C155" s="188">
        <v>1</v>
      </c>
      <c r="D155" s="188">
        <v>1</v>
      </c>
      <c r="E155" s="191">
        <v>68937</v>
      </c>
      <c r="F155" s="191">
        <v>72728</v>
      </c>
      <c r="G155" s="193">
        <f t="shared" si="3"/>
        <v>12558.24</v>
      </c>
      <c r="H155" s="194">
        <v>0.2298</v>
      </c>
      <c r="I155" s="194">
        <v>0.22339999999999999</v>
      </c>
    </row>
    <row r="156" spans="1:9">
      <c r="A156" s="56" t="s">
        <v>2402</v>
      </c>
      <c r="B156" s="56" t="s">
        <v>3241</v>
      </c>
      <c r="C156" s="188">
        <v>1</v>
      </c>
      <c r="D156" s="188">
        <v>1.04</v>
      </c>
      <c r="E156" s="191">
        <v>68937</v>
      </c>
      <c r="F156" s="191">
        <v>72728</v>
      </c>
      <c r="G156" s="193">
        <f t="shared" si="3"/>
        <v>12558.24</v>
      </c>
      <c r="H156" s="194">
        <v>0.2298</v>
      </c>
      <c r="I156" s="194">
        <v>0.22339999999999999</v>
      </c>
    </row>
    <row r="157" spans="1:9">
      <c r="A157" s="56" t="s">
        <v>2403</v>
      </c>
      <c r="B157" s="56" t="s">
        <v>3242</v>
      </c>
      <c r="C157" s="188">
        <v>1</v>
      </c>
      <c r="D157" s="188">
        <v>1.04</v>
      </c>
      <c r="E157" s="191">
        <v>68937</v>
      </c>
      <c r="F157" s="191">
        <v>72728</v>
      </c>
      <c r="G157" s="193">
        <f t="shared" si="3"/>
        <v>12558.24</v>
      </c>
      <c r="H157" s="194">
        <v>0.2298</v>
      </c>
      <c r="I157" s="194">
        <v>0.22339999999999999</v>
      </c>
    </row>
    <row r="158" spans="1:9">
      <c r="A158" s="56" t="s">
        <v>2404</v>
      </c>
      <c r="B158" s="56" t="s">
        <v>3243</v>
      </c>
      <c r="C158" s="188">
        <v>1</v>
      </c>
      <c r="D158" s="188">
        <v>1</v>
      </c>
      <c r="E158" s="191">
        <v>68937</v>
      </c>
      <c r="F158" s="191">
        <v>72728</v>
      </c>
      <c r="G158" s="193">
        <f t="shared" si="3"/>
        <v>12558.24</v>
      </c>
      <c r="H158" s="194">
        <v>0.2298</v>
      </c>
      <c r="I158" s="194">
        <v>0.22339999999999999</v>
      </c>
    </row>
    <row r="159" spans="1:9">
      <c r="A159" s="56" t="s">
        <v>2405</v>
      </c>
      <c r="B159" s="56" t="s">
        <v>3244</v>
      </c>
      <c r="C159" s="188">
        <v>1</v>
      </c>
      <c r="D159" s="188">
        <v>1</v>
      </c>
      <c r="E159" s="191">
        <v>68937</v>
      </c>
      <c r="F159" s="191">
        <v>72728</v>
      </c>
      <c r="G159" s="193">
        <f t="shared" si="3"/>
        <v>12558.24</v>
      </c>
      <c r="H159" s="194">
        <v>0.2298</v>
      </c>
      <c r="I159" s="194">
        <v>0.22339999999999999</v>
      </c>
    </row>
    <row r="160" spans="1:9">
      <c r="A160" s="56" t="s">
        <v>2406</v>
      </c>
      <c r="B160" s="56" t="s">
        <v>3245</v>
      </c>
      <c r="C160" s="188">
        <v>1</v>
      </c>
      <c r="D160" s="188">
        <v>1</v>
      </c>
      <c r="E160" s="191">
        <v>68937</v>
      </c>
      <c r="F160" s="191">
        <v>72728</v>
      </c>
      <c r="G160" s="193">
        <f t="shared" si="3"/>
        <v>12558.24</v>
      </c>
      <c r="H160" s="194">
        <v>0.2298</v>
      </c>
      <c r="I160" s="194">
        <v>0.22339999999999999</v>
      </c>
    </row>
    <row r="161" spans="1:9">
      <c r="A161" s="56" t="s">
        <v>2407</v>
      </c>
      <c r="B161" s="56" t="s">
        <v>3246</v>
      </c>
      <c r="C161" s="188">
        <v>1</v>
      </c>
      <c r="D161" s="188">
        <v>1</v>
      </c>
      <c r="E161" s="191">
        <v>68937</v>
      </c>
      <c r="F161" s="191">
        <v>72728</v>
      </c>
      <c r="G161" s="193">
        <f t="shared" si="3"/>
        <v>12558.24</v>
      </c>
      <c r="H161" s="194">
        <v>0.2298</v>
      </c>
      <c r="I161" s="194">
        <v>0.22339999999999999</v>
      </c>
    </row>
    <row r="162" spans="1:9">
      <c r="A162" s="56" t="s">
        <v>2408</v>
      </c>
      <c r="B162" s="56" t="s">
        <v>3247</v>
      </c>
      <c r="C162" s="188">
        <v>1</v>
      </c>
      <c r="D162" s="188">
        <v>1.04</v>
      </c>
      <c r="E162" s="191">
        <v>68937</v>
      </c>
      <c r="F162" s="191">
        <v>72728</v>
      </c>
      <c r="G162" s="193">
        <f t="shared" si="3"/>
        <v>12558.24</v>
      </c>
      <c r="H162" s="194">
        <v>0.2298</v>
      </c>
      <c r="I162" s="194">
        <v>0.22339999999999999</v>
      </c>
    </row>
    <row r="163" spans="1:9">
      <c r="A163" s="56" t="s">
        <v>2409</v>
      </c>
      <c r="B163" s="56" t="s">
        <v>3248</v>
      </c>
      <c r="C163" s="188">
        <v>1</v>
      </c>
      <c r="D163" s="188">
        <v>1.04</v>
      </c>
      <c r="E163" s="191">
        <v>68937</v>
      </c>
      <c r="F163" s="191">
        <v>72728</v>
      </c>
      <c r="G163" s="193">
        <f t="shared" si="3"/>
        <v>12558.24</v>
      </c>
      <c r="H163" s="194">
        <v>0.2298</v>
      </c>
      <c r="I163" s="194">
        <v>0.22339999999999999</v>
      </c>
    </row>
    <row r="164" spans="1:9">
      <c r="A164" s="56" t="s">
        <v>2410</v>
      </c>
      <c r="B164" s="56" t="s">
        <v>3249</v>
      </c>
      <c r="C164" s="189">
        <v>1.03</v>
      </c>
      <c r="D164" s="189">
        <v>1.07</v>
      </c>
      <c r="E164" s="191">
        <v>68937</v>
      </c>
      <c r="F164" s="191">
        <v>72728</v>
      </c>
      <c r="G164" s="193">
        <f t="shared" si="3"/>
        <v>12558.24</v>
      </c>
      <c r="H164" s="194">
        <v>0.2298</v>
      </c>
      <c r="I164" s="194">
        <v>0.22339999999999999</v>
      </c>
    </row>
    <row r="165" spans="1:9">
      <c r="A165" s="56" t="s">
        <v>2411</v>
      </c>
      <c r="B165" s="56" t="s">
        <v>3250</v>
      </c>
      <c r="C165" s="188">
        <v>1</v>
      </c>
      <c r="D165" s="188">
        <v>1</v>
      </c>
      <c r="E165" s="191">
        <v>68937</v>
      </c>
      <c r="F165" s="191">
        <v>72728</v>
      </c>
      <c r="G165" s="193">
        <f t="shared" si="3"/>
        <v>12558.24</v>
      </c>
      <c r="H165" s="194">
        <v>0.2298</v>
      </c>
      <c r="I165" s="194">
        <v>0.22339999999999999</v>
      </c>
    </row>
    <row r="166" spans="1:9">
      <c r="A166" s="56" t="s">
        <v>2412</v>
      </c>
      <c r="B166" s="56" t="s">
        <v>3251</v>
      </c>
      <c r="C166" s="188">
        <v>1</v>
      </c>
      <c r="D166" s="188">
        <v>1.04</v>
      </c>
      <c r="E166" s="191">
        <v>68937</v>
      </c>
      <c r="F166" s="191">
        <v>72728</v>
      </c>
      <c r="G166" s="193">
        <f t="shared" si="3"/>
        <v>12558.24</v>
      </c>
      <c r="H166" s="194">
        <v>0.2298</v>
      </c>
      <c r="I166" s="194">
        <v>0.22339999999999999</v>
      </c>
    </row>
    <row r="167" spans="1:9">
      <c r="A167" s="56" t="s">
        <v>2413</v>
      </c>
      <c r="B167" s="56" t="s">
        <v>3252</v>
      </c>
      <c r="C167" s="188">
        <v>1</v>
      </c>
      <c r="D167" s="188">
        <v>1</v>
      </c>
      <c r="E167" s="191">
        <v>68937</v>
      </c>
      <c r="F167" s="191">
        <v>72728</v>
      </c>
      <c r="G167" s="193">
        <f t="shared" si="3"/>
        <v>12558.24</v>
      </c>
      <c r="H167" s="194">
        <v>0.2298</v>
      </c>
      <c r="I167" s="194">
        <v>0.22339999999999999</v>
      </c>
    </row>
    <row r="168" spans="1:9">
      <c r="A168" s="56" t="s">
        <v>2414</v>
      </c>
      <c r="B168" s="56" t="s">
        <v>3253</v>
      </c>
      <c r="C168" s="188">
        <v>1</v>
      </c>
      <c r="D168" s="188">
        <v>1</v>
      </c>
      <c r="E168" s="191">
        <v>68937</v>
      </c>
      <c r="F168" s="191">
        <v>72728</v>
      </c>
      <c r="G168" s="193">
        <f t="shared" si="3"/>
        <v>12558.24</v>
      </c>
      <c r="H168" s="194">
        <v>0.2298</v>
      </c>
      <c r="I168" s="194">
        <v>0.22339999999999999</v>
      </c>
    </row>
    <row r="169" spans="1:9">
      <c r="A169" s="56" t="s">
        <v>2415</v>
      </c>
      <c r="B169" s="56" t="s">
        <v>3254</v>
      </c>
      <c r="C169" s="188">
        <v>1</v>
      </c>
      <c r="D169" s="188">
        <v>1</v>
      </c>
      <c r="E169" s="191">
        <v>68937</v>
      </c>
      <c r="F169" s="191">
        <v>72728</v>
      </c>
      <c r="G169" s="193">
        <f t="shared" si="3"/>
        <v>12558.24</v>
      </c>
      <c r="H169" s="194">
        <v>0.2298</v>
      </c>
      <c r="I169" s="194">
        <v>0.22339999999999999</v>
      </c>
    </row>
    <row r="170" spans="1:9">
      <c r="A170" s="56" t="s">
        <v>2416</v>
      </c>
      <c r="B170" s="56" t="s">
        <v>3255</v>
      </c>
      <c r="C170" s="188">
        <v>1</v>
      </c>
      <c r="D170" s="188">
        <v>1</v>
      </c>
      <c r="E170" s="191">
        <v>68937</v>
      </c>
      <c r="F170" s="191">
        <v>72728</v>
      </c>
      <c r="G170" s="193">
        <f t="shared" si="3"/>
        <v>12558.24</v>
      </c>
      <c r="H170" s="194">
        <v>0.2298</v>
      </c>
      <c r="I170" s="194">
        <v>0.22339999999999999</v>
      </c>
    </row>
    <row r="171" spans="1:9">
      <c r="A171" s="56" t="s">
        <v>2417</v>
      </c>
      <c r="B171" s="56" t="s">
        <v>3256</v>
      </c>
      <c r="C171" s="188">
        <v>1</v>
      </c>
      <c r="D171" s="188">
        <v>1</v>
      </c>
      <c r="E171" s="191">
        <v>68937</v>
      </c>
      <c r="F171" s="191">
        <v>72728</v>
      </c>
      <c r="G171" s="193">
        <f t="shared" si="3"/>
        <v>12558.24</v>
      </c>
      <c r="H171" s="194">
        <v>0.2298</v>
      </c>
      <c r="I171" s="194">
        <v>0.22339999999999999</v>
      </c>
    </row>
    <row r="172" spans="1:9">
      <c r="A172" s="56" t="s">
        <v>2418</v>
      </c>
      <c r="B172" s="56" t="s">
        <v>3257</v>
      </c>
      <c r="C172" s="188">
        <v>1</v>
      </c>
      <c r="D172" s="188">
        <v>1</v>
      </c>
      <c r="E172" s="191">
        <v>68937</v>
      </c>
      <c r="F172" s="191">
        <v>72728</v>
      </c>
      <c r="G172" s="193">
        <f t="shared" si="3"/>
        <v>12558.24</v>
      </c>
      <c r="H172" s="194">
        <v>0.2298</v>
      </c>
      <c r="I172" s="194">
        <v>0.22339999999999999</v>
      </c>
    </row>
    <row r="173" spans="1:9">
      <c r="A173" s="56" t="s">
        <v>2419</v>
      </c>
      <c r="B173" s="56" t="s">
        <v>3258</v>
      </c>
      <c r="C173" s="188">
        <v>1.06</v>
      </c>
      <c r="D173" s="188">
        <v>1.06</v>
      </c>
      <c r="E173" s="191">
        <v>68937</v>
      </c>
      <c r="F173" s="191">
        <v>72728</v>
      </c>
      <c r="G173" s="193">
        <f t="shared" si="3"/>
        <v>12558.24</v>
      </c>
      <c r="H173" s="194">
        <v>0.2298</v>
      </c>
      <c r="I173" s="194">
        <v>0.22339999999999999</v>
      </c>
    </row>
    <row r="174" spans="1:9">
      <c r="A174" s="56" t="s">
        <v>2420</v>
      </c>
      <c r="B174" s="56" t="s">
        <v>3259</v>
      </c>
      <c r="C174" s="188">
        <v>1</v>
      </c>
      <c r="D174" s="188">
        <v>1</v>
      </c>
      <c r="E174" s="191">
        <v>68937</v>
      </c>
      <c r="F174" s="191">
        <v>72728</v>
      </c>
      <c r="G174" s="193">
        <f t="shared" si="3"/>
        <v>12558.24</v>
      </c>
      <c r="H174" s="194">
        <v>0.2298</v>
      </c>
      <c r="I174" s="194">
        <v>0.22339999999999999</v>
      </c>
    </row>
    <row r="175" spans="1:9">
      <c r="A175" s="56" t="s">
        <v>2421</v>
      </c>
      <c r="B175" s="56" t="s">
        <v>3260</v>
      </c>
      <c r="C175" s="188">
        <v>1</v>
      </c>
      <c r="D175" s="188">
        <v>1</v>
      </c>
      <c r="E175" s="191">
        <v>68937</v>
      </c>
      <c r="F175" s="191">
        <v>72728</v>
      </c>
      <c r="G175" s="193">
        <f t="shared" si="3"/>
        <v>12558.24</v>
      </c>
      <c r="H175" s="194">
        <v>0.2298</v>
      </c>
      <c r="I175" s="194">
        <v>0.22339999999999999</v>
      </c>
    </row>
    <row r="176" spans="1:9">
      <c r="A176" s="56" t="s">
        <v>2422</v>
      </c>
      <c r="B176" s="56" t="s">
        <v>3261</v>
      </c>
      <c r="C176" s="188">
        <v>1</v>
      </c>
      <c r="D176" s="188">
        <v>1</v>
      </c>
      <c r="E176" s="191">
        <v>68937</v>
      </c>
      <c r="F176" s="191">
        <v>72728</v>
      </c>
      <c r="G176" s="193">
        <f t="shared" si="3"/>
        <v>12558.24</v>
      </c>
      <c r="H176" s="194">
        <v>0.2298</v>
      </c>
      <c r="I176" s="194">
        <v>0.22339999999999999</v>
      </c>
    </row>
    <row r="177" spans="1:9">
      <c r="A177" s="56" t="s">
        <v>2423</v>
      </c>
      <c r="B177" s="56" t="s">
        <v>3262</v>
      </c>
      <c r="C177" s="188">
        <v>1</v>
      </c>
      <c r="D177" s="188">
        <v>1.04</v>
      </c>
      <c r="E177" s="191">
        <v>68937</v>
      </c>
      <c r="F177" s="191">
        <v>72728</v>
      </c>
      <c r="G177" s="193">
        <f t="shared" si="3"/>
        <v>12558.24</v>
      </c>
      <c r="H177" s="194">
        <v>0.2298</v>
      </c>
      <c r="I177" s="194">
        <v>0.22339999999999999</v>
      </c>
    </row>
    <row r="178" spans="1:9">
      <c r="A178" s="56" t="s">
        <v>2424</v>
      </c>
      <c r="B178" s="56" t="s">
        <v>3263</v>
      </c>
      <c r="C178" s="188">
        <v>1</v>
      </c>
      <c r="D178" s="188">
        <v>1</v>
      </c>
      <c r="E178" s="191">
        <v>68937</v>
      </c>
      <c r="F178" s="191">
        <v>72728</v>
      </c>
      <c r="G178" s="193">
        <f t="shared" si="3"/>
        <v>12558.24</v>
      </c>
      <c r="H178" s="194">
        <v>0.2298</v>
      </c>
      <c r="I178" s="194">
        <v>0.22339999999999999</v>
      </c>
    </row>
    <row r="179" spans="1:9">
      <c r="A179" s="56" t="s">
        <v>2425</v>
      </c>
      <c r="B179" s="56" t="s">
        <v>3264</v>
      </c>
      <c r="C179" s="188">
        <v>1</v>
      </c>
      <c r="D179" s="188">
        <v>1.04</v>
      </c>
      <c r="E179" s="191">
        <v>68937</v>
      </c>
      <c r="F179" s="191">
        <v>72728</v>
      </c>
      <c r="G179" s="193">
        <f t="shared" si="3"/>
        <v>12558.24</v>
      </c>
      <c r="H179" s="194">
        <v>0.2298</v>
      </c>
      <c r="I179" s="194">
        <v>0.22339999999999999</v>
      </c>
    </row>
    <row r="180" spans="1:9">
      <c r="A180" s="56" t="s">
        <v>2426</v>
      </c>
      <c r="B180" s="56" t="s">
        <v>3265</v>
      </c>
      <c r="C180" s="188">
        <v>1</v>
      </c>
      <c r="D180" s="188">
        <v>1</v>
      </c>
      <c r="E180" s="191">
        <v>68937</v>
      </c>
      <c r="F180" s="191">
        <v>72728</v>
      </c>
      <c r="G180" s="193">
        <f t="shared" si="3"/>
        <v>12558.24</v>
      </c>
      <c r="H180" s="194">
        <v>0.2298</v>
      </c>
      <c r="I180" s="194">
        <v>0.22339999999999999</v>
      </c>
    </row>
    <row r="181" spans="1:9">
      <c r="A181" s="56" t="s">
        <v>2427</v>
      </c>
      <c r="B181" s="56" t="s">
        <v>3266</v>
      </c>
      <c r="C181" s="188">
        <v>1</v>
      </c>
      <c r="D181" s="188">
        <v>1</v>
      </c>
      <c r="E181" s="191">
        <v>68937</v>
      </c>
      <c r="F181" s="191">
        <v>72728</v>
      </c>
      <c r="G181" s="193">
        <f t="shared" si="3"/>
        <v>12558.24</v>
      </c>
      <c r="H181" s="194">
        <v>0.2298</v>
      </c>
      <c r="I181" s="194">
        <v>0.22339999999999999</v>
      </c>
    </row>
    <row r="182" spans="1:9">
      <c r="A182" s="56" t="s">
        <v>2428</v>
      </c>
      <c r="B182" s="56" t="s">
        <v>3267</v>
      </c>
      <c r="C182" s="188">
        <v>1</v>
      </c>
      <c r="D182" s="188">
        <v>1</v>
      </c>
      <c r="E182" s="191">
        <v>68937</v>
      </c>
      <c r="F182" s="191">
        <v>72728</v>
      </c>
      <c r="G182" s="193">
        <f t="shared" si="3"/>
        <v>12558.24</v>
      </c>
      <c r="H182" s="194">
        <v>0.2298</v>
      </c>
      <c r="I182" s="194">
        <v>0.22339999999999999</v>
      </c>
    </row>
    <row r="183" spans="1:9">
      <c r="A183" s="56" t="s">
        <v>2429</v>
      </c>
      <c r="B183" s="56" t="s">
        <v>3268</v>
      </c>
      <c r="C183" s="188">
        <v>1</v>
      </c>
      <c r="D183" s="188">
        <v>1</v>
      </c>
      <c r="E183" s="191">
        <v>68937</v>
      </c>
      <c r="F183" s="191">
        <v>72728</v>
      </c>
      <c r="G183" s="193">
        <f t="shared" si="3"/>
        <v>12558.24</v>
      </c>
      <c r="H183" s="194">
        <v>0.2298</v>
      </c>
      <c r="I183" s="194">
        <v>0.22339999999999999</v>
      </c>
    </row>
    <row r="184" spans="1:9">
      <c r="A184" s="56" t="s">
        <v>2430</v>
      </c>
      <c r="B184" s="56" t="s">
        <v>3269</v>
      </c>
      <c r="C184" s="188">
        <v>1</v>
      </c>
      <c r="D184" s="188">
        <v>1</v>
      </c>
      <c r="E184" s="191">
        <v>68937</v>
      </c>
      <c r="F184" s="191">
        <v>72728</v>
      </c>
      <c r="G184" s="193">
        <f t="shared" si="3"/>
        <v>12558.24</v>
      </c>
      <c r="H184" s="194">
        <v>0.2298</v>
      </c>
      <c r="I184" s="194">
        <v>0.22339999999999999</v>
      </c>
    </row>
    <row r="185" spans="1:9">
      <c r="A185" s="56" t="s">
        <v>2431</v>
      </c>
      <c r="B185" s="56" t="s">
        <v>3270</v>
      </c>
      <c r="C185" s="188">
        <v>1</v>
      </c>
      <c r="D185" s="188">
        <v>1</v>
      </c>
      <c r="E185" s="191">
        <v>68937</v>
      </c>
      <c r="F185" s="191">
        <v>72728</v>
      </c>
      <c r="G185" s="193">
        <f t="shared" si="3"/>
        <v>12558.24</v>
      </c>
      <c r="H185" s="194">
        <v>0.2298</v>
      </c>
      <c r="I185" s="194">
        <v>0.22339999999999999</v>
      </c>
    </row>
    <row r="186" spans="1:9">
      <c r="A186" s="56" t="s">
        <v>2432</v>
      </c>
      <c r="B186" s="56" t="s">
        <v>3271</v>
      </c>
      <c r="C186" s="188">
        <v>1</v>
      </c>
      <c r="D186" s="188">
        <v>1.04</v>
      </c>
      <c r="E186" s="191">
        <v>68937</v>
      </c>
      <c r="F186" s="191">
        <v>72728</v>
      </c>
      <c r="G186" s="193">
        <f t="shared" si="3"/>
        <v>12558.24</v>
      </c>
      <c r="H186" s="194">
        <v>0.2298</v>
      </c>
      <c r="I186" s="194">
        <v>0.22339999999999999</v>
      </c>
    </row>
    <row r="187" spans="1:9">
      <c r="A187" s="56" t="s">
        <v>2433</v>
      </c>
      <c r="B187" s="56" t="s">
        <v>3272</v>
      </c>
      <c r="C187" s="188">
        <v>1</v>
      </c>
      <c r="D187" s="188">
        <v>1</v>
      </c>
      <c r="E187" s="191">
        <v>68937</v>
      </c>
      <c r="F187" s="191">
        <v>72728</v>
      </c>
      <c r="G187" s="193">
        <f t="shared" si="3"/>
        <v>12558.24</v>
      </c>
      <c r="H187" s="194">
        <v>0.2298</v>
      </c>
      <c r="I187" s="194">
        <v>0.22339999999999999</v>
      </c>
    </row>
    <row r="188" spans="1:9">
      <c r="A188" s="56" t="s">
        <v>2434</v>
      </c>
      <c r="B188" s="56" t="s">
        <v>3273</v>
      </c>
      <c r="C188" s="188">
        <v>1</v>
      </c>
      <c r="D188" s="188">
        <v>1</v>
      </c>
      <c r="E188" s="191">
        <v>68937</v>
      </c>
      <c r="F188" s="191">
        <v>72728</v>
      </c>
      <c r="G188" s="193">
        <f t="shared" si="3"/>
        <v>12558.24</v>
      </c>
      <c r="H188" s="194">
        <v>0.2298</v>
      </c>
      <c r="I188" s="194">
        <v>0.22339999999999999</v>
      </c>
    </row>
    <row r="189" spans="1:9">
      <c r="A189" s="56" t="s">
        <v>2435</v>
      </c>
      <c r="B189" s="56" t="s">
        <v>3274</v>
      </c>
      <c r="C189" s="188">
        <v>1</v>
      </c>
      <c r="D189" s="188">
        <v>1</v>
      </c>
      <c r="E189" s="191">
        <v>68937</v>
      </c>
      <c r="F189" s="191">
        <v>72728</v>
      </c>
      <c r="G189" s="193">
        <f t="shared" si="3"/>
        <v>12558.24</v>
      </c>
      <c r="H189" s="194">
        <v>0.2298</v>
      </c>
      <c r="I189" s="194">
        <v>0.22339999999999999</v>
      </c>
    </row>
    <row r="190" spans="1:9">
      <c r="A190" s="56" t="s">
        <v>2436</v>
      </c>
      <c r="B190" s="56" t="s">
        <v>3275</v>
      </c>
      <c r="C190" s="188">
        <v>1</v>
      </c>
      <c r="D190" s="188">
        <v>1</v>
      </c>
      <c r="E190" s="191">
        <v>68937</v>
      </c>
      <c r="F190" s="191">
        <v>72728</v>
      </c>
      <c r="G190" s="193">
        <f t="shared" si="3"/>
        <v>12558.24</v>
      </c>
      <c r="H190" s="194">
        <v>0.2298</v>
      </c>
      <c r="I190" s="194">
        <v>0.22339999999999999</v>
      </c>
    </row>
    <row r="191" spans="1:9">
      <c r="A191" s="56" t="s">
        <v>2437</v>
      </c>
      <c r="B191" s="56" t="s">
        <v>3276</v>
      </c>
      <c r="C191" s="188">
        <v>1</v>
      </c>
      <c r="D191" s="188">
        <v>1</v>
      </c>
      <c r="E191" s="191">
        <v>68937</v>
      </c>
      <c r="F191" s="191">
        <v>72728</v>
      </c>
      <c r="G191" s="193">
        <f t="shared" si="3"/>
        <v>12558.24</v>
      </c>
      <c r="H191" s="194">
        <v>0.2298</v>
      </c>
      <c r="I191" s="194">
        <v>0.22339999999999999</v>
      </c>
    </row>
    <row r="192" spans="1:9">
      <c r="A192" s="56" t="s">
        <v>2438</v>
      </c>
      <c r="B192" s="56" t="s">
        <v>3277</v>
      </c>
      <c r="C192" s="189">
        <v>1.03</v>
      </c>
      <c r="D192" s="189">
        <v>1.03</v>
      </c>
      <c r="E192" s="191">
        <v>68937</v>
      </c>
      <c r="F192" s="191">
        <v>72728</v>
      </c>
      <c r="G192" s="193">
        <f t="shared" si="3"/>
        <v>12558.24</v>
      </c>
      <c r="H192" s="194">
        <v>0.2298</v>
      </c>
      <c r="I192" s="194">
        <v>0.22339999999999999</v>
      </c>
    </row>
    <row r="193" spans="1:9">
      <c r="A193" s="56" t="s">
        <v>2439</v>
      </c>
      <c r="B193" s="56" t="s">
        <v>3278</v>
      </c>
      <c r="C193" s="188">
        <v>1.06</v>
      </c>
      <c r="D193" s="188">
        <v>1.06</v>
      </c>
      <c r="E193" s="191">
        <v>68937</v>
      </c>
      <c r="F193" s="191">
        <v>72728</v>
      </c>
      <c r="G193" s="193">
        <f t="shared" si="3"/>
        <v>12558.24</v>
      </c>
      <c r="H193" s="194">
        <v>0.2298</v>
      </c>
      <c r="I193" s="194">
        <v>0.22339999999999999</v>
      </c>
    </row>
    <row r="194" spans="1:9">
      <c r="A194" s="56" t="s">
        <v>2440</v>
      </c>
      <c r="B194" s="56" t="s">
        <v>3279</v>
      </c>
      <c r="C194" s="188">
        <v>1.1200000000000001</v>
      </c>
      <c r="D194" s="188">
        <v>1.1200000000000001</v>
      </c>
      <c r="E194" s="191">
        <v>68937</v>
      </c>
      <c r="F194" s="191">
        <v>72728</v>
      </c>
      <c r="G194" s="193">
        <f t="shared" si="3"/>
        <v>12558.24</v>
      </c>
      <c r="H194" s="194">
        <v>0.2298</v>
      </c>
      <c r="I194" s="194">
        <v>0.22339999999999999</v>
      </c>
    </row>
    <row r="195" spans="1:9">
      <c r="A195" s="56" t="s">
        <v>2441</v>
      </c>
      <c r="B195" s="56" t="s">
        <v>3280</v>
      </c>
      <c r="C195" s="188">
        <v>1.06</v>
      </c>
      <c r="D195" s="188">
        <v>1.1000000000000001</v>
      </c>
      <c r="E195" s="191">
        <v>68937</v>
      </c>
      <c r="F195" s="191">
        <v>72728</v>
      </c>
      <c r="G195" s="193">
        <f t="shared" si="3"/>
        <v>12558.24</v>
      </c>
      <c r="H195" s="194">
        <v>0.2298</v>
      </c>
      <c r="I195" s="194">
        <v>0.22339999999999999</v>
      </c>
    </row>
    <row r="196" spans="1:9">
      <c r="A196" s="56" t="s">
        <v>2442</v>
      </c>
      <c r="B196" s="56" t="s">
        <v>3281</v>
      </c>
      <c r="C196" s="188">
        <v>1.06</v>
      </c>
      <c r="D196" s="188">
        <v>1.1000000000000001</v>
      </c>
      <c r="E196" s="191">
        <v>68937</v>
      </c>
      <c r="F196" s="191">
        <v>72728</v>
      </c>
      <c r="G196" s="193">
        <f t="shared" si="3"/>
        <v>12558.24</v>
      </c>
      <c r="H196" s="194">
        <v>0.2298</v>
      </c>
      <c r="I196" s="194">
        <v>0.22339999999999999</v>
      </c>
    </row>
    <row r="197" spans="1:9">
      <c r="A197" s="56" t="s">
        <v>2443</v>
      </c>
      <c r="B197" s="56" t="s">
        <v>3282</v>
      </c>
      <c r="C197" s="188">
        <v>1.1200000000000001</v>
      </c>
      <c r="D197" s="188">
        <v>1.1200000000000001</v>
      </c>
      <c r="E197" s="191">
        <v>68937</v>
      </c>
      <c r="F197" s="191">
        <v>72728</v>
      </c>
      <c r="G197" s="193">
        <f t="shared" si="3"/>
        <v>12558.24</v>
      </c>
      <c r="H197" s="194">
        <v>0.2298</v>
      </c>
      <c r="I197" s="194">
        <v>0.22339999999999999</v>
      </c>
    </row>
    <row r="198" spans="1:9">
      <c r="A198" s="56" t="s">
        <v>2444</v>
      </c>
      <c r="B198" s="56" t="s">
        <v>3283</v>
      </c>
      <c r="C198" s="188">
        <v>1.1200000000000001</v>
      </c>
      <c r="D198" s="188">
        <v>1.1600000000000001</v>
      </c>
      <c r="E198" s="191">
        <v>68937</v>
      </c>
      <c r="F198" s="191">
        <v>72728</v>
      </c>
      <c r="G198" s="193">
        <f t="shared" si="3"/>
        <v>12558.24</v>
      </c>
      <c r="H198" s="194">
        <v>0.2298</v>
      </c>
      <c r="I198" s="194">
        <v>0.22339999999999999</v>
      </c>
    </row>
    <row r="199" spans="1:9">
      <c r="A199" s="56" t="s">
        <v>2445</v>
      </c>
      <c r="B199" s="56" t="s">
        <v>3284</v>
      </c>
      <c r="C199" s="188">
        <v>1.06</v>
      </c>
      <c r="D199" s="188">
        <v>1.06</v>
      </c>
      <c r="E199" s="191">
        <v>68937</v>
      </c>
      <c r="F199" s="191">
        <v>72728</v>
      </c>
      <c r="G199" s="193">
        <f t="shared" ref="G199:G262" si="4">ROUND(1026*12*1.02,2)</f>
        <v>12558.24</v>
      </c>
      <c r="H199" s="194">
        <v>0.2298</v>
      </c>
      <c r="I199" s="194">
        <v>0.22339999999999999</v>
      </c>
    </row>
    <row r="200" spans="1:9">
      <c r="A200" s="56" t="s">
        <v>2446</v>
      </c>
      <c r="B200" s="56" t="s">
        <v>3285</v>
      </c>
      <c r="C200" s="188">
        <v>1.06</v>
      </c>
      <c r="D200" s="188">
        <v>1.06</v>
      </c>
      <c r="E200" s="191">
        <v>68937</v>
      </c>
      <c r="F200" s="191">
        <v>72728</v>
      </c>
      <c r="G200" s="193">
        <f t="shared" si="4"/>
        <v>12558.24</v>
      </c>
      <c r="H200" s="194">
        <v>0.2298</v>
      </c>
      <c r="I200" s="194">
        <v>0.22339999999999999</v>
      </c>
    </row>
    <row r="201" spans="1:9">
      <c r="A201" s="56" t="s">
        <v>2447</v>
      </c>
      <c r="B201" s="56" t="s">
        <v>3286</v>
      </c>
      <c r="C201" s="188">
        <v>1.1200000000000001</v>
      </c>
      <c r="D201" s="188">
        <v>1.1600000000000001</v>
      </c>
      <c r="E201" s="191">
        <v>68937</v>
      </c>
      <c r="F201" s="191">
        <v>72728</v>
      </c>
      <c r="G201" s="193">
        <f t="shared" si="4"/>
        <v>12558.24</v>
      </c>
      <c r="H201" s="194">
        <v>0.2298</v>
      </c>
      <c r="I201" s="194">
        <v>0.22339999999999999</v>
      </c>
    </row>
    <row r="202" spans="1:9">
      <c r="A202" s="56" t="s">
        <v>2448</v>
      </c>
      <c r="B202" s="56" t="s">
        <v>3287</v>
      </c>
      <c r="C202" s="188">
        <v>1.06</v>
      </c>
      <c r="D202" s="188">
        <v>1.06</v>
      </c>
      <c r="E202" s="191">
        <v>68937</v>
      </c>
      <c r="F202" s="191">
        <v>72728</v>
      </c>
      <c r="G202" s="193">
        <f t="shared" si="4"/>
        <v>12558.24</v>
      </c>
      <c r="H202" s="194">
        <v>0.2298</v>
      </c>
      <c r="I202" s="194">
        <v>0.22339999999999999</v>
      </c>
    </row>
    <row r="203" spans="1:9">
      <c r="A203" s="56" t="s">
        <v>2449</v>
      </c>
      <c r="B203" s="56" t="s">
        <v>3288</v>
      </c>
      <c r="C203" s="188">
        <v>1</v>
      </c>
      <c r="D203" s="188">
        <v>1</v>
      </c>
      <c r="E203" s="191">
        <v>68937</v>
      </c>
      <c r="F203" s="191">
        <v>72728</v>
      </c>
      <c r="G203" s="193">
        <f t="shared" si="4"/>
        <v>12558.24</v>
      </c>
      <c r="H203" s="194">
        <v>0.2298</v>
      </c>
      <c r="I203" s="194">
        <v>0.22339999999999999</v>
      </c>
    </row>
    <row r="204" spans="1:9">
      <c r="A204" s="56" t="s">
        <v>2450</v>
      </c>
      <c r="B204" s="56" t="s">
        <v>3289</v>
      </c>
      <c r="C204" s="188">
        <v>1</v>
      </c>
      <c r="D204" s="188">
        <v>1</v>
      </c>
      <c r="E204" s="191">
        <v>68937</v>
      </c>
      <c r="F204" s="191">
        <v>72728</v>
      </c>
      <c r="G204" s="193">
        <f t="shared" si="4"/>
        <v>12558.24</v>
      </c>
      <c r="H204" s="194">
        <v>0.2298</v>
      </c>
      <c r="I204" s="194">
        <v>0.22339999999999999</v>
      </c>
    </row>
    <row r="205" spans="1:9">
      <c r="A205" s="56" t="s">
        <v>2451</v>
      </c>
      <c r="B205" s="56" t="s">
        <v>3290</v>
      </c>
      <c r="C205" s="188">
        <v>1.06</v>
      </c>
      <c r="D205" s="188">
        <v>1.06</v>
      </c>
      <c r="E205" s="191">
        <v>68937</v>
      </c>
      <c r="F205" s="191">
        <v>72728</v>
      </c>
      <c r="G205" s="193">
        <f t="shared" si="4"/>
        <v>12558.24</v>
      </c>
      <c r="H205" s="194">
        <v>0.2298</v>
      </c>
      <c r="I205" s="194">
        <v>0.22339999999999999</v>
      </c>
    </row>
    <row r="206" spans="1:9">
      <c r="A206" s="56" t="s">
        <v>2452</v>
      </c>
      <c r="B206" s="56" t="s">
        <v>3291</v>
      </c>
      <c r="C206" s="188">
        <v>1.1200000000000001</v>
      </c>
      <c r="D206" s="188">
        <v>1.1200000000000001</v>
      </c>
      <c r="E206" s="191">
        <v>68937</v>
      </c>
      <c r="F206" s="191">
        <v>72728</v>
      </c>
      <c r="G206" s="193">
        <f t="shared" si="4"/>
        <v>12558.24</v>
      </c>
      <c r="H206" s="194">
        <v>0.2298</v>
      </c>
      <c r="I206" s="194">
        <v>0.22339999999999999</v>
      </c>
    </row>
    <row r="207" spans="1:9">
      <c r="A207" s="56" t="s">
        <v>2762</v>
      </c>
      <c r="B207" s="56" t="s">
        <v>3292</v>
      </c>
      <c r="C207" s="188">
        <v>1.06</v>
      </c>
      <c r="D207" s="188">
        <v>1.06</v>
      </c>
      <c r="E207" s="191">
        <v>68937</v>
      </c>
      <c r="F207" s="191">
        <v>72728</v>
      </c>
      <c r="G207" s="193">
        <f t="shared" si="4"/>
        <v>12558.24</v>
      </c>
      <c r="H207" s="194">
        <v>0.2298</v>
      </c>
      <c r="I207" s="194">
        <v>0.22339999999999999</v>
      </c>
    </row>
    <row r="208" spans="1:9">
      <c r="A208" s="56" t="s">
        <v>2953</v>
      </c>
      <c r="B208" s="56" t="s">
        <v>3293</v>
      </c>
      <c r="C208" s="188">
        <v>1.1200000000000001</v>
      </c>
      <c r="D208" s="188">
        <v>1.1200000000000001</v>
      </c>
      <c r="E208" s="191">
        <v>68937</v>
      </c>
      <c r="F208" s="191">
        <v>72728</v>
      </c>
      <c r="G208" s="193">
        <f t="shared" si="4"/>
        <v>12558.24</v>
      </c>
      <c r="H208" s="194">
        <v>0.2298</v>
      </c>
      <c r="I208" s="194">
        <v>0.22339999999999999</v>
      </c>
    </row>
    <row r="209" spans="1:9">
      <c r="A209" s="56" t="s">
        <v>2453</v>
      </c>
      <c r="B209" s="56" t="s">
        <v>3294</v>
      </c>
      <c r="C209" s="188">
        <v>1.1200000000000001</v>
      </c>
      <c r="D209" s="188">
        <v>1.1200000000000001</v>
      </c>
      <c r="E209" s="191">
        <v>68937</v>
      </c>
      <c r="F209" s="191">
        <v>72728</v>
      </c>
      <c r="G209" s="193">
        <f t="shared" si="4"/>
        <v>12558.24</v>
      </c>
      <c r="H209" s="194">
        <v>0.2298</v>
      </c>
      <c r="I209" s="194">
        <v>0.22339999999999999</v>
      </c>
    </row>
    <row r="210" spans="1:9">
      <c r="A210" s="56" t="s">
        <v>2456</v>
      </c>
      <c r="B210" s="56" t="s">
        <v>3295</v>
      </c>
      <c r="C210" s="188">
        <v>1.1200000000000001</v>
      </c>
      <c r="D210" s="188">
        <v>1.1200000000000001</v>
      </c>
      <c r="E210" s="191">
        <v>68937</v>
      </c>
      <c r="F210" s="191">
        <v>72728</v>
      </c>
      <c r="G210" s="193">
        <f t="shared" si="4"/>
        <v>12558.24</v>
      </c>
      <c r="H210" s="194">
        <v>0.2298</v>
      </c>
      <c r="I210" s="194">
        <v>0.22339999999999999</v>
      </c>
    </row>
    <row r="211" spans="1:9">
      <c r="A211" s="56" t="s">
        <v>2457</v>
      </c>
      <c r="B211" s="56" t="s">
        <v>3296</v>
      </c>
      <c r="C211" s="188">
        <v>1.1200000000000001</v>
      </c>
      <c r="D211" s="188">
        <v>1.1200000000000001</v>
      </c>
      <c r="E211" s="191">
        <v>68937</v>
      </c>
      <c r="F211" s="191">
        <v>72728</v>
      </c>
      <c r="G211" s="193">
        <f t="shared" si="4"/>
        <v>12558.24</v>
      </c>
      <c r="H211" s="194">
        <v>0.2298</v>
      </c>
      <c r="I211" s="194">
        <v>0.22339999999999999</v>
      </c>
    </row>
    <row r="212" spans="1:9">
      <c r="A212" s="56" t="s">
        <v>2458</v>
      </c>
      <c r="B212" s="56" t="s">
        <v>3297</v>
      </c>
      <c r="C212" s="188">
        <v>1.1200000000000001</v>
      </c>
      <c r="D212" s="188">
        <v>1.1200000000000001</v>
      </c>
      <c r="E212" s="191">
        <v>68937</v>
      </c>
      <c r="F212" s="191">
        <v>72728</v>
      </c>
      <c r="G212" s="193">
        <f t="shared" si="4"/>
        <v>12558.24</v>
      </c>
      <c r="H212" s="194">
        <v>0.2298</v>
      </c>
      <c r="I212" s="194">
        <v>0.22339999999999999</v>
      </c>
    </row>
    <row r="213" spans="1:9">
      <c r="A213" s="56" t="s">
        <v>2459</v>
      </c>
      <c r="B213" s="56" t="s">
        <v>3298</v>
      </c>
      <c r="C213" s="188">
        <v>1.1200000000000001</v>
      </c>
      <c r="D213" s="188">
        <v>1.1200000000000001</v>
      </c>
      <c r="E213" s="191">
        <v>68937</v>
      </c>
      <c r="F213" s="191">
        <v>72728</v>
      </c>
      <c r="G213" s="193">
        <f t="shared" si="4"/>
        <v>12558.24</v>
      </c>
      <c r="H213" s="194">
        <v>0.2298</v>
      </c>
      <c r="I213" s="194">
        <v>0.22339999999999999</v>
      </c>
    </row>
    <row r="214" spans="1:9">
      <c r="A214" s="56" t="s">
        <v>2460</v>
      </c>
      <c r="B214" s="56" t="s">
        <v>3299</v>
      </c>
      <c r="C214" s="188">
        <v>1.1200000000000001</v>
      </c>
      <c r="D214" s="188">
        <v>1.1200000000000001</v>
      </c>
      <c r="E214" s="191">
        <v>68937</v>
      </c>
      <c r="F214" s="191">
        <v>72728</v>
      </c>
      <c r="G214" s="193">
        <f t="shared" si="4"/>
        <v>12558.24</v>
      </c>
      <c r="H214" s="194">
        <v>0.2298</v>
      </c>
      <c r="I214" s="194">
        <v>0.22339999999999999</v>
      </c>
    </row>
    <row r="215" spans="1:9">
      <c r="A215" s="56" t="s">
        <v>2461</v>
      </c>
      <c r="B215" s="56" t="s">
        <v>3300</v>
      </c>
      <c r="C215" s="189">
        <v>1.1499999999999999</v>
      </c>
      <c r="D215" s="189">
        <v>1.1499999999999999</v>
      </c>
      <c r="E215" s="191">
        <v>68937</v>
      </c>
      <c r="F215" s="191">
        <v>72728</v>
      </c>
      <c r="G215" s="193">
        <f t="shared" si="4"/>
        <v>12558.24</v>
      </c>
      <c r="H215" s="194">
        <v>0.2298</v>
      </c>
      <c r="I215" s="194">
        <v>0.22339999999999999</v>
      </c>
    </row>
    <row r="216" spans="1:9">
      <c r="A216" s="56" t="s">
        <v>2462</v>
      </c>
      <c r="B216" s="56" t="s">
        <v>3301</v>
      </c>
      <c r="C216" s="188">
        <v>1.1200000000000001</v>
      </c>
      <c r="D216" s="188">
        <v>1.1200000000000001</v>
      </c>
      <c r="E216" s="191">
        <v>68937</v>
      </c>
      <c r="F216" s="191">
        <v>72728</v>
      </c>
      <c r="G216" s="193">
        <f t="shared" si="4"/>
        <v>12558.24</v>
      </c>
      <c r="H216" s="194">
        <v>0.2298</v>
      </c>
      <c r="I216" s="194">
        <v>0.22339999999999999</v>
      </c>
    </row>
    <row r="217" spans="1:9">
      <c r="A217" s="56" t="s">
        <v>2463</v>
      </c>
      <c r="B217" s="56" t="s">
        <v>3302</v>
      </c>
      <c r="C217" s="188">
        <v>1.1200000000000001</v>
      </c>
      <c r="D217" s="188">
        <v>1.1200000000000001</v>
      </c>
      <c r="E217" s="191">
        <v>68937</v>
      </c>
      <c r="F217" s="191">
        <v>72728</v>
      </c>
      <c r="G217" s="193">
        <f t="shared" si="4"/>
        <v>12558.24</v>
      </c>
      <c r="H217" s="194">
        <v>0.2298</v>
      </c>
      <c r="I217" s="194">
        <v>0.22339999999999999</v>
      </c>
    </row>
    <row r="218" spans="1:9">
      <c r="A218" s="56" t="s">
        <v>2464</v>
      </c>
      <c r="B218" s="56" t="s">
        <v>3303</v>
      </c>
      <c r="C218" s="188">
        <v>1.1200000000000001</v>
      </c>
      <c r="D218" s="188">
        <v>1.1600000000000001</v>
      </c>
      <c r="E218" s="191">
        <v>68937</v>
      </c>
      <c r="F218" s="191">
        <v>72728</v>
      </c>
      <c r="G218" s="193">
        <f t="shared" si="4"/>
        <v>12558.24</v>
      </c>
      <c r="H218" s="194">
        <v>0.2298</v>
      </c>
      <c r="I218" s="194">
        <v>0.22339999999999999</v>
      </c>
    </row>
    <row r="219" spans="1:9">
      <c r="A219" s="56" t="s">
        <v>2465</v>
      </c>
      <c r="B219" s="56" t="s">
        <v>3304</v>
      </c>
      <c r="C219" s="189">
        <v>1.0900000000000001</v>
      </c>
      <c r="D219" s="189">
        <v>1.1299999999999999</v>
      </c>
      <c r="E219" s="191">
        <v>68937</v>
      </c>
      <c r="F219" s="191">
        <v>72728</v>
      </c>
      <c r="G219" s="193">
        <f t="shared" si="4"/>
        <v>12558.24</v>
      </c>
      <c r="H219" s="194">
        <v>0.2298</v>
      </c>
      <c r="I219" s="194">
        <v>0.22339999999999999</v>
      </c>
    </row>
    <row r="220" spans="1:9">
      <c r="A220" s="56" t="s">
        <v>2466</v>
      </c>
      <c r="B220" s="56" t="s">
        <v>3305</v>
      </c>
      <c r="C220" s="188">
        <v>1.1200000000000001</v>
      </c>
      <c r="D220" s="188">
        <v>1.1200000000000001</v>
      </c>
      <c r="E220" s="191">
        <v>68937</v>
      </c>
      <c r="F220" s="191">
        <v>72728</v>
      </c>
      <c r="G220" s="193">
        <f t="shared" si="4"/>
        <v>12558.24</v>
      </c>
      <c r="H220" s="194">
        <v>0.2298</v>
      </c>
      <c r="I220" s="194">
        <v>0.22339999999999999</v>
      </c>
    </row>
    <row r="221" spans="1:9">
      <c r="A221" s="56" t="s">
        <v>2468</v>
      </c>
      <c r="B221" s="56" t="s">
        <v>3306</v>
      </c>
      <c r="C221" s="188">
        <v>1</v>
      </c>
      <c r="D221" s="188">
        <v>1</v>
      </c>
      <c r="E221" s="191">
        <v>68937</v>
      </c>
      <c r="F221" s="191">
        <v>72728</v>
      </c>
      <c r="G221" s="193">
        <f t="shared" si="4"/>
        <v>12558.24</v>
      </c>
      <c r="H221" s="194">
        <v>0.2298</v>
      </c>
      <c r="I221" s="194">
        <v>0.22339999999999999</v>
      </c>
    </row>
    <row r="222" spans="1:9">
      <c r="A222" s="56" t="s">
        <v>2469</v>
      </c>
      <c r="B222" s="56" t="s">
        <v>3307</v>
      </c>
      <c r="C222" s="188">
        <v>1.06</v>
      </c>
      <c r="D222" s="188">
        <v>1.06</v>
      </c>
      <c r="E222" s="191">
        <v>68937</v>
      </c>
      <c r="F222" s="191">
        <v>72728</v>
      </c>
      <c r="G222" s="193">
        <f t="shared" si="4"/>
        <v>12558.24</v>
      </c>
      <c r="H222" s="194">
        <v>0.2298</v>
      </c>
      <c r="I222" s="194">
        <v>0.22339999999999999</v>
      </c>
    </row>
    <row r="223" spans="1:9">
      <c r="A223" s="56" t="s">
        <v>2470</v>
      </c>
      <c r="B223" s="56" t="s">
        <v>3308</v>
      </c>
      <c r="C223" s="188">
        <v>1</v>
      </c>
      <c r="D223" s="188">
        <v>1</v>
      </c>
      <c r="E223" s="191">
        <v>68937</v>
      </c>
      <c r="F223" s="191">
        <v>72728</v>
      </c>
      <c r="G223" s="193">
        <f t="shared" si="4"/>
        <v>12558.24</v>
      </c>
      <c r="H223" s="194">
        <v>0.2298</v>
      </c>
      <c r="I223" s="194">
        <v>0.22339999999999999</v>
      </c>
    </row>
    <row r="224" spans="1:9">
      <c r="A224" s="56" t="s">
        <v>2471</v>
      </c>
      <c r="B224" s="56" t="s">
        <v>3309</v>
      </c>
      <c r="C224" s="188">
        <v>1</v>
      </c>
      <c r="D224" s="188">
        <v>1</v>
      </c>
      <c r="E224" s="191">
        <v>68937</v>
      </c>
      <c r="F224" s="191">
        <v>72728</v>
      </c>
      <c r="G224" s="193">
        <f t="shared" si="4"/>
        <v>12558.24</v>
      </c>
      <c r="H224" s="194">
        <v>0.2298</v>
      </c>
      <c r="I224" s="194">
        <v>0.22339999999999999</v>
      </c>
    </row>
    <row r="225" spans="1:9">
      <c r="A225" s="56" t="s">
        <v>2472</v>
      </c>
      <c r="B225" s="56" t="s">
        <v>3310</v>
      </c>
      <c r="C225" s="189">
        <v>1.18</v>
      </c>
      <c r="D225" s="189">
        <v>1.18</v>
      </c>
      <c r="E225" s="191">
        <v>68937</v>
      </c>
      <c r="F225" s="191">
        <v>72728</v>
      </c>
      <c r="G225" s="193">
        <f t="shared" si="4"/>
        <v>12558.24</v>
      </c>
      <c r="H225" s="194">
        <v>0.2298</v>
      </c>
      <c r="I225" s="194">
        <v>0.22339999999999999</v>
      </c>
    </row>
    <row r="226" spans="1:9">
      <c r="A226" s="56" t="s">
        <v>2473</v>
      </c>
      <c r="B226" s="56" t="s">
        <v>3311</v>
      </c>
      <c r="C226" s="189">
        <v>1.18</v>
      </c>
      <c r="D226" s="189">
        <v>1.18</v>
      </c>
      <c r="E226" s="191">
        <v>68937</v>
      </c>
      <c r="F226" s="191">
        <v>72728</v>
      </c>
      <c r="G226" s="193">
        <f t="shared" si="4"/>
        <v>12558.24</v>
      </c>
      <c r="H226" s="194">
        <v>0.2298</v>
      </c>
      <c r="I226" s="194">
        <v>0.22339999999999999</v>
      </c>
    </row>
    <row r="227" spans="1:9">
      <c r="A227" s="56" t="s">
        <v>2474</v>
      </c>
      <c r="B227" s="56" t="s">
        <v>3312</v>
      </c>
      <c r="C227" s="189">
        <v>1.18</v>
      </c>
      <c r="D227" s="189">
        <v>1.18</v>
      </c>
      <c r="E227" s="191">
        <v>68937</v>
      </c>
      <c r="F227" s="191">
        <v>72728</v>
      </c>
      <c r="G227" s="193">
        <f t="shared" si="4"/>
        <v>12558.24</v>
      </c>
      <c r="H227" s="194">
        <v>0.2298</v>
      </c>
      <c r="I227" s="194">
        <v>0.22339999999999999</v>
      </c>
    </row>
    <row r="228" spans="1:9">
      <c r="A228" s="56" t="s">
        <v>2475</v>
      </c>
      <c r="B228" s="56" t="s">
        <v>3313</v>
      </c>
      <c r="C228" s="188">
        <v>1.18</v>
      </c>
      <c r="D228" s="188">
        <v>1.18</v>
      </c>
      <c r="E228" s="191">
        <v>68937</v>
      </c>
      <c r="F228" s="191">
        <v>72728</v>
      </c>
      <c r="G228" s="193">
        <f t="shared" si="4"/>
        <v>12558.24</v>
      </c>
      <c r="H228" s="194">
        <v>0.2298</v>
      </c>
      <c r="I228" s="194">
        <v>0.22339999999999999</v>
      </c>
    </row>
    <row r="229" spans="1:9">
      <c r="A229" s="56" t="s">
        <v>2476</v>
      </c>
      <c r="B229" s="56" t="s">
        <v>1361</v>
      </c>
      <c r="C229" s="189">
        <v>1.1499999999999999</v>
      </c>
      <c r="D229" s="189">
        <v>1.1499999999999999</v>
      </c>
      <c r="E229" s="191">
        <v>68937</v>
      </c>
      <c r="F229" s="191">
        <v>72728</v>
      </c>
      <c r="G229" s="193">
        <f t="shared" si="4"/>
        <v>12558.24</v>
      </c>
      <c r="H229" s="194">
        <v>0.2298</v>
      </c>
      <c r="I229" s="194">
        <v>0.22339999999999999</v>
      </c>
    </row>
    <row r="230" spans="1:9">
      <c r="A230" s="56" t="s">
        <v>2477</v>
      </c>
      <c r="B230" s="56" t="s">
        <v>3314</v>
      </c>
      <c r="C230" s="189">
        <v>1.1499999999999999</v>
      </c>
      <c r="D230" s="189">
        <v>1.1499999999999999</v>
      </c>
      <c r="E230" s="191">
        <v>68937</v>
      </c>
      <c r="F230" s="191">
        <v>72728</v>
      </c>
      <c r="G230" s="193">
        <f t="shared" si="4"/>
        <v>12558.24</v>
      </c>
      <c r="H230" s="194">
        <v>0.2298</v>
      </c>
      <c r="I230" s="194">
        <v>0.22339999999999999</v>
      </c>
    </row>
    <row r="231" spans="1:9">
      <c r="A231" s="56" t="s">
        <v>2478</v>
      </c>
      <c r="B231" s="56" t="s">
        <v>3315</v>
      </c>
      <c r="C231" s="188">
        <v>1.1200000000000001</v>
      </c>
      <c r="D231" s="188">
        <v>1.1200000000000001</v>
      </c>
      <c r="E231" s="191">
        <v>68937</v>
      </c>
      <c r="F231" s="191">
        <v>72728</v>
      </c>
      <c r="G231" s="193">
        <f t="shared" si="4"/>
        <v>12558.24</v>
      </c>
      <c r="H231" s="194">
        <v>0.2298</v>
      </c>
      <c r="I231" s="194">
        <v>0.22339999999999999</v>
      </c>
    </row>
    <row r="232" spans="1:9">
      <c r="A232" s="56" t="s">
        <v>2479</v>
      </c>
      <c r="B232" s="56" t="s">
        <v>3316</v>
      </c>
      <c r="C232" s="188">
        <v>1.18</v>
      </c>
      <c r="D232" s="188">
        <v>1.18</v>
      </c>
      <c r="E232" s="191">
        <v>68937</v>
      </c>
      <c r="F232" s="191">
        <v>72728</v>
      </c>
      <c r="G232" s="193">
        <f t="shared" si="4"/>
        <v>12558.24</v>
      </c>
      <c r="H232" s="194">
        <v>0.2298</v>
      </c>
      <c r="I232" s="194">
        <v>0.22339999999999999</v>
      </c>
    </row>
    <row r="233" spans="1:9">
      <c r="A233" s="56" t="s">
        <v>2480</v>
      </c>
      <c r="B233" s="56" t="s">
        <v>3317</v>
      </c>
      <c r="C233" s="189">
        <v>1.18</v>
      </c>
      <c r="D233" s="189">
        <v>1.18</v>
      </c>
      <c r="E233" s="191">
        <v>68937</v>
      </c>
      <c r="F233" s="191">
        <v>72728</v>
      </c>
      <c r="G233" s="193">
        <f t="shared" si="4"/>
        <v>12558.24</v>
      </c>
      <c r="H233" s="194">
        <v>0.2298</v>
      </c>
      <c r="I233" s="194">
        <v>0.22339999999999999</v>
      </c>
    </row>
    <row r="234" spans="1:9">
      <c r="A234" s="56" t="s">
        <v>2481</v>
      </c>
      <c r="B234" s="56" t="s">
        <v>3318</v>
      </c>
      <c r="C234" s="189">
        <v>1.1499999999999999</v>
      </c>
      <c r="D234" s="189">
        <v>1.1499999999999999</v>
      </c>
      <c r="E234" s="191">
        <v>68937</v>
      </c>
      <c r="F234" s="191">
        <v>72728</v>
      </c>
      <c r="G234" s="193">
        <f t="shared" si="4"/>
        <v>12558.24</v>
      </c>
      <c r="H234" s="194">
        <v>0.2298</v>
      </c>
      <c r="I234" s="194">
        <v>0.22339999999999999</v>
      </c>
    </row>
    <row r="235" spans="1:9">
      <c r="A235" s="56" t="s">
        <v>2482</v>
      </c>
      <c r="B235" s="56" t="s">
        <v>3319</v>
      </c>
      <c r="C235" s="188">
        <v>1.18</v>
      </c>
      <c r="D235" s="188">
        <v>1.18</v>
      </c>
      <c r="E235" s="191">
        <v>68937</v>
      </c>
      <c r="F235" s="191">
        <v>72728</v>
      </c>
      <c r="G235" s="193">
        <f t="shared" si="4"/>
        <v>12558.24</v>
      </c>
      <c r="H235" s="194">
        <v>0.2298</v>
      </c>
      <c r="I235" s="194">
        <v>0.22339999999999999</v>
      </c>
    </row>
    <row r="236" spans="1:9">
      <c r="A236" s="56" t="s">
        <v>2483</v>
      </c>
      <c r="B236" s="56" t="s">
        <v>3320</v>
      </c>
      <c r="C236" s="188">
        <v>1.1200000000000001</v>
      </c>
      <c r="D236" s="188">
        <v>1.1200000000000001</v>
      </c>
      <c r="E236" s="191">
        <v>68937</v>
      </c>
      <c r="F236" s="191">
        <v>72728</v>
      </c>
      <c r="G236" s="193">
        <f t="shared" si="4"/>
        <v>12558.24</v>
      </c>
      <c r="H236" s="194">
        <v>0.2298</v>
      </c>
      <c r="I236" s="194">
        <v>0.22339999999999999</v>
      </c>
    </row>
    <row r="237" spans="1:9">
      <c r="A237" s="56" t="s">
        <v>2484</v>
      </c>
      <c r="B237" s="56" t="s">
        <v>3321</v>
      </c>
      <c r="C237" s="188">
        <v>1.1200000000000001</v>
      </c>
      <c r="D237" s="188">
        <v>1.1200000000000001</v>
      </c>
      <c r="E237" s="191">
        <v>68937</v>
      </c>
      <c r="F237" s="191">
        <v>72728</v>
      </c>
      <c r="G237" s="193">
        <f t="shared" si="4"/>
        <v>12558.24</v>
      </c>
      <c r="H237" s="194">
        <v>0.2298</v>
      </c>
      <c r="I237" s="194">
        <v>0.22339999999999999</v>
      </c>
    </row>
    <row r="238" spans="1:9">
      <c r="A238" s="56" t="s">
        <v>2485</v>
      </c>
      <c r="B238" s="56" t="s">
        <v>3322</v>
      </c>
      <c r="C238" s="189">
        <v>1.1499999999999999</v>
      </c>
      <c r="D238" s="189">
        <v>1.19</v>
      </c>
      <c r="E238" s="191">
        <v>68937</v>
      </c>
      <c r="F238" s="191">
        <v>72728</v>
      </c>
      <c r="G238" s="193">
        <f t="shared" si="4"/>
        <v>12558.24</v>
      </c>
      <c r="H238" s="194">
        <v>0.2298</v>
      </c>
      <c r="I238" s="194">
        <v>0.22339999999999999</v>
      </c>
    </row>
    <row r="239" spans="1:9">
      <c r="A239" s="56" t="s">
        <v>2486</v>
      </c>
      <c r="B239" s="56" t="s">
        <v>3323</v>
      </c>
      <c r="C239" s="189">
        <v>1.03</v>
      </c>
      <c r="D239" s="189">
        <v>1.03</v>
      </c>
      <c r="E239" s="191">
        <v>68937</v>
      </c>
      <c r="F239" s="191">
        <v>72728</v>
      </c>
      <c r="G239" s="193">
        <f t="shared" si="4"/>
        <v>12558.24</v>
      </c>
      <c r="H239" s="194">
        <v>0.2298</v>
      </c>
      <c r="I239" s="194">
        <v>0.22339999999999999</v>
      </c>
    </row>
    <row r="240" spans="1:9">
      <c r="A240" s="56" t="s">
        <v>2487</v>
      </c>
      <c r="B240" s="56" t="s">
        <v>3324</v>
      </c>
      <c r="C240" s="188">
        <v>1</v>
      </c>
      <c r="D240" s="188">
        <v>1</v>
      </c>
      <c r="E240" s="191">
        <v>68937</v>
      </c>
      <c r="F240" s="191">
        <v>72728</v>
      </c>
      <c r="G240" s="193">
        <f t="shared" si="4"/>
        <v>12558.24</v>
      </c>
      <c r="H240" s="194">
        <v>0.2298</v>
      </c>
      <c r="I240" s="194">
        <v>0.22339999999999999</v>
      </c>
    </row>
    <row r="241" spans="1:9">
      <c r="A241" s="56" t="s">
        <v>2488</v>
      </c>
      <c r="B241" s="56" t="s">
        <v>3325</v>
      </c>
      <c r="C241" s="188">
        <v>1</v>
      </c>
      <c r="D241" s="188">
        <v>1</v>
      </c>
      <c r="E241" s="191">
        <v>68937</v>
      </c>
      <c r="F241" s="191">
        <v>72728</v>
      </c>
      <c r="G241" s="193">
        <f t="shared" si="4"/>
        <v>12558.24</v>
      </c>
      <c r="H241" s="194">
        <v>0.2298</v>
      </c>
      <c r="I241" s="194">
        <v>0.22339999999999999</v>
      </c>
    </row>
    <row r="242" spans="1:9">
      <c r="A242" s="56" t="s">
        <v>2489</v>
      </c>
      <c r="B242" s="56" t="s">
        <v>3326</v>
      </c>
      <c r="C242" s="188">
        <v>1</v>
      </c>
      <c r="D242" s="188">
        <v>1</v>
      </c>
      <c r="E242" s="191">
        <v>68937</v>
      </c>
      <c r="F242" s="191">
        <v>72728</v>
      </c>
      <c r="G242" s="193">
        <f t="shared" si="4"/>
        <v>12558.24</v>
      </c>
      <c r="H242" s="194">
        <v>0.2298</v>
      </c>
      <c r="I242" s="194">
        <v>0.22339999999999999</v>
      </c>
    </row>
    <row r="243" spans="1:9">
      <c r="A243" s="56" t="s">
        <v>2490</v>
      </c>
      <c r="B243" s="56" t="s">
        <v>3327</v>
      </c>
      <c r="C243" s="188">
        <v>1</v>
      </c>
      <c r="D243" s="188">
        <v>1</v>
      </c>
      <c r="E243" s="191">
        <v>68937</v>
      </c>
      <c r="F243" s="191">
        <v>72728</v>
      </c>
      <c r="G243" s="193">
        <f t="shared" si="4"/>
        <v>12558.24</v>
      </c>
      <c r="H243" s="194">
        <v>0.2298</v>
      </c>
      <c r="I243" s="194">
        <v>0.22339999999999999</v>
      </c>
    </row>
    <row r="244" spans="1:9">
      <c r="A244" s="56" t="s">
        <v>2491</v>
      </c>
      <c r="B244" s="56" t="s">
        <v>3328</v>
      </c>
      <c r="C244" s="189">
        <v>1.03</v>
      </c>
      <c r="D244" s="189">
        <v>1.03</v>
      </c>
      <c r="E244" s="191">
        <v>68937</v>
      </c>
      <c r="F244" s="191">
        <v>72728</v>
      </c>
      <c r="G244" s="193">
        <f t="shared" si="4"/>
        <v>12558.24</v>
      </c>
      <c r="H244" s="194">
        <v>0.2298</v>
      </c>
      <c r="I244" s="194">
        <v>0.22339999999999999</v>
      </c>
    </row>
    <row r="245" spans="1:9">
      <c r="A245" s="56" t="s">
        <v>2492</v>
      </c>
      <c r="B245" s="56" t="s">
        <v>3329</v>
      </c>
      <c r="C245" s="188">
        <v>1</v>
      </c>
      <c r="D245" s="188">
        <v>1</v>
      </c>
      <c r="E245" s="191">
        <v>68937</v>
      </c>
      <c r="F245" s="191">
        <v>72728</v>
      </c>
      <c r="G245" s="193">
        <f t="shared" si="4"/>
        <v>12558.24</v>
      </c>
      <c r="H245" s="194">
        <v>0.2298</v>
      </c>
      <c r="I245" s="194">
        <v>0.22339999999999999</v>
      </c>
    </row>
    <row r="246" spans="1:9">
      <c r="A246" s="56" t="s">
        <v>2493</v>
      </c>
      <c r="B246" s="56" t="s">
        <v>3330</v>
      </c>
      <c r="C246" s="188">
        <v>1</v>
      </c>
      <c r="D246" s="188">
        <v>1.04</v>
      </c>
      <c r="E246" s="191">
        <v>68937</v>
      </c>
      <c r="F246" s="191">
        <v>72728</v>
      </c>
      <c r="G246" s="193">
        <f t="shared" si="4"/>
        <v>12558.24</v>
      </c>
      <c r="H246" s="194">
        <v>0.2298</v>
      </c>
      <c r="I246" s="194">
        <v>0.22339999999999999</v>
      </c>
    </row>
    <row r="247" spans="1:9">
      <c r="A247" s="56" t="s">
        <v>2494</v>
      </c>
      <c r="B247" s="56" t="s">
        <v>3331</v>
      </c>
      <c r="C247" s="188">
        <v>1</v>
      </c>
      <c r="D247" s="188">
        <v>1</v>
      </c>
      <c r="E247" s="191">
        <v>68937</v>
      </c>
      <c r="F247" s="191">
        <v>72728</v>
      </c>
      <c r="G247" s="193">
        <f t="shared" si="4"/>
        <v>12558.24</v>
      </c>
      <c r="H247" s="194">
        <v>0.2298</v>
      </c>
      <c r="I247" s="194">
        <v>0.22339999999999999</v>
      </c>
    </row>
    <row r="248" spans="1:9">
      <c r="A248" s="56" t="s">
        <v>2495</v>
      </c>
      <c r="B248" s="56" t="s">
        <v>3332</v>
      </c>
      <c r="C248" s="188">
        <v>1</v>
      </c>
      <c r="D248" s="188">
        <v>1.04</v>
      </c>
      <c r="E248" s="191">
        <v>68937</v>
      </c>
      <c r="F248" s="191">
        <v>72728</v>
      </c>
      <c r="G248" s="193">
        <f t="shared" si="4"/>
        <v>12558.24</v>
      </c>
      <c r="H248" s="194">
        <v>0.2298</v>
      </c>
      <c r="I248" s="194">
        <v>0.22339999999999999</v>
      </c>
    </row>
    <row r="249" spans="1:9">
      <c r="A249" s="56" t="s">
        <v>2496</v>
      </c>
      <c r="B249" s="56" t="s">
        <v>3333</v>
      </c>
      <c r="C249" s="188">
        <v>1</v>
      </c>
      <c r="D249" s="188">
        <v>1</v>
      </c>
      <c r="E249" s="191">
        <v>68937</v>
      </c>
      <c r="F249" s="191">
        <v>72728</v>
      </c>
      <c r="G249" s="193">
        <f t="shared" si="4"/>
        <v>12558.24</v>
      </c>
      <c r="H249" s="194">
        <v>0.2298</v>
      </c>
      <c r="I249" s="194">
        <v>0.22339999999999999</v>
      </c>
    </row>
    <row r="250" spans="1:9">
      <c r="A250" s="56" t="s">
        <v>2497</v>
      </c>
      <c r="B250" s="56" t="s">
        <v>3334</v>
      </c>
      <c r="C250" s="188">
        <v>1</v>
      </c>
      <c r="D250" s="188">
        <v>1</v>
      </c>
      <c r="E250" s="191">
        <v>68937</v>
      </c>
      <c r="F250" s="191">
        <v>72728</v>
      </c>
      <c r="G250" s="193">
        <f t="shared" si="4"/>
        <v>12558.24</v>
      </c>
      <c r="H250" s="194">
        <v>0.2298</v>
      </c>
      <c r="I250" s="194">
        <v>0.22339999999999999</v>
      </c>
    </row>
    <row r="251" spans="1:9">
      <c r="A251" s="56" t="s">
        <v>2498</v>
      </c>
      <c r="B251" s="56" t="s">
        <v>3335</v>
      </c>
      <c r="C251" s="188">
        <v>1</v>
      </c>
      <c r="D251" s="188">
        <v>1</v>
      </c>
      <c r="E251" s="191">
        <v>68937</v>
      </c>
      <c r="F251" s="191">
        <v>72728</v>
      </c>
      <c r="G251" s="193">
        <f t="shared" si="4"/>
        <v>12558.24</v>
      </c>
      <c r="H251" s="194">
        <v>0.2298</v>
      </c>
      <c r="I251" s="194">
        <v>0.22339999999999999</v>
      </c>
    </row>
    <row r="252" spans="1:9">
      <c r="A252" s="56" t="s">
        <v>2499</v>
      </c>
      <c r="B252" s="56" t="s">
        <v>3336</v>
      </c>
      <c r="C252" s="188">
        <v>1</v>
      </c>
      <c r="D252" s="188">
        <v>1</v>
      </c>
      <c r="E252" s="191">
        <v>68937</v>
      </c>
      <c r="F252" s="191">
        <v>72728</v>
      </c>
      <c r="G252" s="193">
        <f t="shared" si="4"/>
        <v>12558.24</v>
      </c>
      <c r="H252" s="194">
        <v>0.2298</v>
      </c>
      <c r="I252" s="194">
        <v>0.22339999999999999</v>
      </c>
    </row>
    <row r="253" spans="1:9">
      <c r="A253" s="56" t="s">
        <v>2501</v>
      </c>
      <c r="B253" s="56" t="s">
        <v>3337</v>
      </c>
      <c r="C253" s="189">
        <v>1.03</v>
      </c>
      <c r="D253" s="189">
        <v>1.03</v>
      </c>
      <c r="E253" s="191">
        <v>68937</v>
      </c>
      <c r="F253" s="191">
        <v>72728</v>
      </c>
      <c r="G253" s="193">
        <f t="shared" si="4"/>
        <v>12558.24</v>
      </c>
      <c r="H253" s="194">
        <v>0.2298</v>
      </c>
      <c r="I253" s="194">
        <v>0.22339999999999999</v>
      </c>
    </row>
    <row r="254" spans="1:9">
      <c r="A254" s="56" t="s">
        <v>2857</v>
      </c>
      <c r="B254" s="56" t="s">
        <v>2888</v>
      </c>
      <c r="C254" s="189">
        <v>1.03</v>
      </c>
      <c r="D254" s="189">
        <v>1.03</v>
      </c>
      <c r="E254" s="191">
        <v>68937</v>
      </c>
      <c r="F254" s="191">
        <v>72728</v>
      </c>
      <c r="G254" s="193">
        <f t="shared" si="4"/>
        <v>12558.24</v>
      </c>
      <c r="H254" s="194">
        <v>0.2298</v>
      </c>
      <c r="I254" s="194">
        <v>0.22339999999999999</v>
      </c>
    </row>
    <row r="255" spans="1:9">
      <c r="A255" s="56" t="s">
        <v>2502</v>
      </c>
      <c r="B255" s="56" t="s">
        <v>3338</v>
      </c>
      <c r="C255" s="189">
        <v>1.03</v>
      </c>
      <c r="D255" s="189">
        <v>1.03</v>
      </c>
      <c r="E255" s="191">
        <v>68937</v>
      </c>
      <c r="F255" s="191">
        <v>72728</v>
      </c>
      <c r="G255" s="193">
        <f t="shared" si="4"/>
        <v>12558.24</v>
      </c>
      <c r="H255" s="194">
        <v>0.2298</v>
      </c>
      <c r="I255" s="194">
        <v>0.22339999999999999</v>
      </c>
    </row>
    <row r="256" spans="1:9">
      <c r="A256" s="56" t="s">
        <v>2503</v>
      </c>
      <c r="B256" s="56" t="s">
        <v>3339</v>
      </c>
      <c r="C256" s="188">
        <v>1</v>
      </c>
      <c r="D256" s="188">
        <v>1.04</v>
      </c>
      <c r="E256" s="191">
        <v>68937</v>
      </c>
      <c r="F256" s="191">
        <v>72728</v>
      </c>
      <c r="G256" s="193">
        <f t="shared" si="4"/>
        <v>12558.24</v>
      </c>
      <c r="H256" s="194">
        <v>0.2298</v>
      </c>
      <c r="I256" s="194">
        <v>0.22339999999999999</v>
      </c>
    </row>
    <row r="257" spans="1:9">
      <c r="A257" s="56" t="s">
        <v>2504</v>
      </c>
      <c r="B257" s="56" t="s">
        <v>3340</v>
      </c>
      <c r="C257" s="188">
        <v>1</v>
      </c>
      <c r="D257" s="188">
        <v>1</v>
      </c>
      <c r="E257" s="191">
        <v>68937</v>
      </c>
      <c r="F257" s="191">
        <v>72728</v>
      </c>
      <c r="G257" s="193">
        <f t="shared" si="4"/>
        <v>12558.24</v>
      </c>
      <c r="H257" s="194">
        <v>0.2298</v>
      </c>
      <c r="I257" s="194">
        <v>0.22339999999999999</v>
      </c>
    </row>
    <row r="258" spans="1:9">
      <c r="A258" s="56" t="s">
        <v>2505</v>
      </c>
      <c r="B258" s="56" t="s">
        <v>3341</v>
      </c>
      <c r="C258" s="188">
        <v>1</v>
      </c>
      <c r="D258" s="188">
        <v>1</v>
      </c>
      <c r="E258" s="191">
        <v>68937</v>
      </c>
      <c r="F258" s="191">
        <v>72728</v>
      </c>
      <c r="G258" s="193">
        <f t="shared" si="4"/>
        <v>12558.24</v>
      </c>
      <c r="H258" s="194">
        <v>0.2298</v>
      </c>
      <c r="I258" s="194">
        <v>0.22339999999999999</v>
      </c>
    </row>
    <row r="259" spans="1:9">
      <c r="A259" s="56" t="s">
        <v>2506</v>
      </c>
      <c r="B259" s="56" t="s">
        <v>3342</v>
      </c>
      <c r="C259" s="188">
        <v>1</v>
      </c>
      <c r="D259" s="188">
        <v>1</v>
      </c>
      <c r="E259" s="191">
        <v>68937</v>
      </c>
      <c r="F259" s="191">
        <v>72728</v>
      </c>
      <c r="G259" s="193">
        <f t="shared" si="4"/>
        <v>12558.24</v>
      </c>
      <c r="H259" s="194">
        <v>0.2298</v>
      </c>
      <c r="I259" s="194">
        <v>0.22339999999999999</v>
      </c>
    </row>
    <row r="260" spans="1:9">
      <c r="A260" s="56" t="s">
        <v>2507</v>
      </c>
      <c r="B260" s="56" t="s">
        <v>3343</v>
      </c>
      <c r="C260" s="188">
        <v>1</v>
      </c>
      <c r="D260" s="188">
        <v>1.04</v>
      </c>
      <c r="E260" s="191">
        <v>68937</v>
      </c>
      <c r="F260" s="191">
        <v>72728</v>
      </c>
      <c r="G260" s="193">
        <f t="shared" si="4"/>
        <v>12558.24</v>
      </c>
      <c r="H260" s="194">
        <v>0.2298</v>
      </c>
      <c r="I260" s="194">
        <v>0.22339999999999999</v>
      </c>
    </row>
    <row r="261" spans="1:9">
      <c r="A261" s="56" t="s">
        <v>2508</v>
      </c>
      <c r="B261" s="56" t="s">
        <v>3344</v>
      </c>
      <c r="C261" s="188">
        <v>1</v>
      </c>
      <c r="D261" s="188">
        <v>1</v>
      </c>
      <c r="E261" s="191">
        <v>68937</v>
      </c>
      <c r="F261" s="191">
        <v>72728</v>
      </c>
      <c r="G261" s="193">
        <f t="shared" si="4"/>
        <v>12558.24</v>
      </c>
      <c r="H261" s="194">
        <v>0.2298</v>
      </c>
      <c r="I261" s="194">
        <v>0.22339999999999999</v>
      </c>
    </row>
    <row r="262" spans="1:9">
      <c r="A262" s="56" t="s">
        <v>2509</v>
      </c>
      <c r="B262" s="56" t="s">
        <v>3345</v>
      </c>
      <c r="C262" s="188">
        <v>1</v>
      </c>
      <c r="D262" s="188">
        <v>1</v>
      </c>
      <c r="E262" s="191">
        <v>68937</v>
      </c>
      <c r="F262" s="191">
        <v>72728</v>
      </c>
      <c r="G262" s="193">
        <f t="shared" si="4"/>
        <v>12558.24</v>
      </c>
      <c r="H262" s="194">
        <v>0.2298</v>
      </c>
      <c r="I262" s="194">
        <v>0.22339999999999999</v>
      </c>
    </row>
    <row r="263" spans="1:9">
      <c r="A263" s="56" t="s">
        <v>2510</v>
      </c>
      <c r="B263" s="56" t="s">
        <v>3346</v>
      </c>
      <c r="C263" s="188">
        <v>1</v>
      </c>
      <c r="D263" s="188">
        <v>1</v>
      </c>
      <c r="E263" s="191">
        <v>68937</v>
      </c>
      <c r="F263" s="191">
        <v>72728</v>
      </c>
      <c r="G263" s="193">
        <f t="shared" ref="G263:G323" si="5">ROUND(1026*12*1.02,2)</f>
        <v>12558.24</v>
      </c>
      <c r="H263" s="194">
        <v>0.2298</v>
      </c>
      <c r="I263" s="194">
        <v>0.22339999999999999</v>
      </c>
    </row>
    <row r="264" spans="1:9">
      <c r="A264" s="56" t="s">
        <v>2511</v>
      </c>
      <c r="B264" s="56" t="s">
        <v>3347</v>
      </c>
      <c r="C264" s="188">
        <v>1</v>
      </c>
      <c r="D264" s="188">
        <v>1</v>
      </c>
      <c r="E264" s="191">
        <v>68937</v>
      </c>
      <c r="F264" s="191">
        <v>72728</v>
      </c>
      <c r="G264" s="193">
        <f t="shared" si="5"/>
        <v>12558.24</v>
      </c>
      <c r="H264" s="194">
        <v>0.2298</v>
      </c>
      <c r="I264" s="194">
        <v>0.22339999999999999</v>
      </c>
    </row>
    <row r="265" spans="1:9">
      <c r="A265" s="56" t="s">
        <v>2512</v>
      </c>
      <c r="B265" s="56" t="s">
        <v>3348</v>
      </c>
      <c r="C265" s="188">
        <v>1</v>
      </c>
      <c r="D265" s="188">
        <v>1</v>
      </c>
      <c r="E265" s="191">
        <v>68937</v>
      </c>
      <c r="F265" s="191">
        <v>72728</v>
      </c>
      <c r="G265" s="193">
        <f t="shared" si="5"/>
        <v>12558.24</v>
      </c>
      <c r="H265" s="194">
        <v>0.2298</v>
      </c>
      <c r="I265" s="194">
        <v>0.22339999999999999</v>
      </c>
    </row>
    <row r="266" spans="1:9">
      <c r="A266" s="56" t="s">
        <v>2513</v>
      </c>
      <c r="B266" s="56" t="s">
        <v>3349</v>
      </c>
      <c r="C266" s="188">
        <v>1</v>
      </c>
      <c r="D266" s="188">
        <v>1</v>
      </c>
      <c r="E266" s="191">
        <v>68937</v>
      </c>
      <c r="F266" s="191">
        <v>72728</v>
      </c>
      <c r="G266" s="193">
        <f t="shared" si="5"/>
        <v>12558.24</v>
      </c>
      <c r="H266" s="194">
        <v>0.2298</v>
      </c>
      <c r="I266" s="194">
        <v>0.22339999999999999</v>
      </c>
    </row>
    <row r="267" spans="1:9">
      <c r="A267" s="56" t="s">
        <v>2514</v>
      </c>
      <c r="B267" s="56" t="s">
        <v>3350</v>
      </c>
      <c r="C267" s="188">
        <v>1</v>
      </c>
      <c r="D267" s="188">
        <v>1.04</v>
      </c>
      <c r="E267" s="191">
        <v>68937</v>
      </c>
      <c r="F267" s="191">
        <v>72728</v>
      </c>
      <c r="G267" s="193">
        <f t="shared" si="5"/>
        <v>12558.24</v>
      </c>
      <c r="H267" s="194">
        <v>0.2298</v>
      </c>
      <c r="I267" s="194">
        <v>0.22339999999999999</v>
      </c>
    </row>
    <row r="268" spans="1:9">
      <c r="A268" s="56" t="s">
        <v>2515</v>
      </c>
      <c r="B268" s="56" t="s">
        <v>3351</v>
      </c>
      <c r="C268" s="188">
        <v>1</v>
      </c>
      <c r="D268" s="188">
        <v>1</v>
      </c>
      <c r="E268" s="191">
        <v>68937</v>
      </c>
      <c r="F268" s="191">
        <v>72728</v>
      </c>
      <c r="G268" s="193">
        <f t="shared" si="5"/>
        <v>12558.24</v>
      </c>
      <c r="H268" s="194">
        <v>0.2298</v>
      </c>
      <c r="I268" s="194">
        <v>0.22339999999999999</v>
      </c>
    </row>
    <row r="269" spans="1:9">
      <c r="A269" s="56" t="s">
        <v>2516</v>
      </c>
      <c r="B269" s="56" t="s">
        <v>3352</v>
      </c>
      <c r="C269" s="189">
        <v>1.03</v>
      </c>
      <c r="D269" s="189">
        <v>1.03</v>
      </c>
      <c r="E269" s="191">
        <v>68937</v>
      </c>
      <c r="F269" s="191">
        <v>72728</v>
      </c>
      <c r="G269" s="193">
        <f t="shared" si="5"/>
        <v>12558.24</v>
      </c>
      <c r="H269" s="194">
        <v>0.2298</v>
      </c>
      <c r="I269" s="194">
        <v>0.22339999999999999</v>
      </c>
    </row>
    <row r="270" spans="1:9">
      <c r="A270" s="56" t="s">
        <v>2517</v>
      </c>
      <c r="B270" s="56" t="s">
        <v>3353</v>
      </c>
      <c r="C270" s="188">
        <v>1</v>
      </c>
      <c r="D270" s="188">
        <v>1</v>
      </c>
      <c r="E270" s="191">
        <v>68937</v>
      </c>
      <c r="F270" s="191">
        <v>72728</v>
      </c>
      <c r="G270" s="193">
        <f t="shared" si="5"/>
        <v>12558.24</v>
      </c>
      <c r="H270" s="194">
        <v>0.2298</v>
      </c>
      <c r="I270" s="194">
        <v>0.22339999999999999</v>
      </c>
    </row>
    <row r="271" spans="1:9">
      <c r="A271" s="56" t="s">
        <v>2518</v>
      </c>
      <c r="B271" s="56" t="s">
        <v>3354</v>
      </c>
      <c r="C271" s="188">
        <v>1</v>
      </c>
      <c r="D271" s="188">
        <v>1.04</v>
      </c>
      <c r="E271" s="191">
        <v>68937</v>
      </c>
      <c r="F271" s="191">
        <v>72728</v>
      </c>
      <c r="G271" s="193">
        <f t="shared" si="5"/>
        <v>12558.24</v>
      </c>
      <c r="H271" s="194">
        <v>0.2298</v>
      </c>
      <c r="I271" s="194">
        <v>0.22339999999999999</v>
      </c>
    </row>
    <row r="272" spans="1:9">
      <c r="A272" s="56" t="s">
        <v>2519</v>
      </c>
      <c r="B272" s="56" t="s">
        <v>3355</v>
      </c>
      <c r="C272" s="188">
        <v>1</v>
      </c>
      <c r="D272" s="188">
        <v>1</v>
      </c>
      <c r="E272" s="191">
        <v>68937</v>
      </c>
      <c r="F272" s="191">
        <v>72728</v>
      </c>
      <c r="G272" s="193">
        <f t="shared" si="5"/>
        <v>12558.24</v>
      </c>
      <c r="H272" s="194">
        <v>0.2298</v>
      </c>
      <c r="I272" s="194">
        <v>0.22339999999999999</v>
      </c>
    </row>
    <row r="273" spans="1:9">
      <c r="A273" s="56" t="s">
        <v>2520</v>
      </c>
      <c r="B273" s="56" t="s">
        <v>3356</v>
      </c>
      <c r="C273" s="188">
        <v>1</v>
      </c>
      <c r="D273" s="188">
        <v>1</v>
      </c>
      <c r="E273" s="191">
        <v>68937</v>
      </c>
      <c r="F273" s="191">
        <v>72728</v>
      </c>
      <c r="G273" s="193">
        <f t="shared" si="5"/>
        <v>12558.24</v>
      </c>
      <c r="H273" s="194">
        <v>0.2298</v>
      </c>
      <c r="I273" s="194">
        <v>0.22339999999999999</v>
      </c>
    </row>
    <row r="274" spans="1:9">
      <c r="A274" s="56" t="s">
        <v>2521</v>
      </c>
      <c r="B274" s="56" t="s">
        <v>3357</v>
      </c>
      <c r="C274" s="188">
        <v>1</v>
      </c>
      <c r="D274" s="188">
        <v>1</v>
      </c>
      <c r="E274" s="191">
        <v>68937</v>
      </c>
      <c r="F274" s="191">
        <v>72728</v>
      </c>
      <c r="G274" s="193">
        <f t="shared" si="5"/>
        <v>12558.24</v>
      </c>
      <c r="H274" s="194">
        <v>0.2298</v>
      </c>
      <c r="I274" s="194">
        <v>0.22339999999999999</v>
      </c>
    </row>
    <row r="275" spans="1:9">
      <c r="A275" s="56" t="s">
        <v>2522</v>
      </c>
      <c r="B275" s="56" t="s">
        <v>3358</v>
      </c>
      <c r="C275" s="188">
        <v>1</v>
      </c>
      <c r="D275" s="188">
        <v>1</v>
      </c>
      <c r="E275" s="191">
        <v>68937</v>
      </c>
      <c r="F275" s="191">
        <v>72728</v>
      </c>
      <c r="G275" s="193">
        <f t="shared" si="5"/>
        <v>12558.24</v>
      </c>
      <c r="H275" s="194">
        <v>0.2298</v>
      </c>
      <c r="I275" s="194">
        <v>0.22339999999999999</v>
      </c>
    </row>
    <row r="276" spans="1:9">
      <c r="A276" s="56" t="s">
        <v>2710</v>
      </c>
      <c r="B276" s="56" t="s">
        <v>3359</v>
      </c>
      <c r="C276" s="189">
        <v>1.03</v>
      </c>
      <c r="D276" s="189">
        <v>1.03</v>
      </c>
      <c r="E276" s="191">
        <v>68937</v>
      </c>
      <c r="F276" s="191">
        <v>72728</v>
      </c>
      <c r="G276" s="193">
        <f t="shared" si="5"/>
        <v>12558.24</v>
      </c>
      <c r="H276" s="194">
        <v>0.2298</v>
      </c>
      <c r="I276" s="194">
        <v>0.22339999999999999</v>
      </c>
    </row>
    <row r="277" spans="1:9">
      <c r="A277" s="56" t="s">
        <v>2524</v>
      </c>
      <c r="B277" s="56" t="s">
        <v>3360</v>
      </c>
      <c r="C277" s="188">
        <v>1</v>
      </c>
      <c r="D277" s="188">
        <v>1.04</v>
      </c>
      <c r="E277" s="191">
        <v>68937</v>
      </c>
      <c r="F277" s="191">
        <v>72728</v>
      </c>
      <c r="G277" s="193">
        <f t="shared" si="5"/>
        <v>12558.24</v>
      </c>
      <c r="H277" s="194">
        <v>0.2298</v>
      </c>
      <c r="I277" s="194">
        <v>0.22339999999999999</v>
      </c>
    </row>
    <row r="278" spans="1:9">
      <c r="A278" s="56" t="s">
        <v>2525</v>
      </c>
      <c r="B278" s="56" t="s">
        <v>3361</v>
      </c>
      <c r="C278" s="188">
        <v>1</v>
      </c>
      <c r="D278" s="188">
        <v>1</v>
      </c>
      <c r="E278" s="191">
        <v>68937</v>
      </c>
      <c r="F278" s="191">
        <v>72728</v>
      </c>
      <c r="G278" s="193">
        <f t="shared" si="5"/>
        <v>12558.24</v>
      </c>
      <c r="H278" s="194">
        <v>0.2298</v>
      </c>
      <c r="I278" s="194">
        <v>0.22339999999999999</v>
      </c>
    </row>
    <row r="279" spans="1:9">
      <c r="A279" s="56" t="s">
        <v>2526</v>
      </c>
      <c r="B279" s="56" t="s">
        <v>3362</v>
      </c>
      <c r="C279" s="188">
        <v>1</v>
      </c>
      <c r="D279" s="188">
        <v>1.04</v>
      </c>
      <c r="E279" s="191">
        <v>68937</v>
      </c>
      <c r="F279" s="191">
        <v>72728</v>
      </c>
      <c r="G279" s="193">
        <f t="shared" si="5"/>
        <v>12558.24</v>
      </c>
      <c r="H279" s="194">
        <v>0.2298</v>
      </c>
      <c r="I279" s="194">
        <v>0.22339999999999999</v>
      </c>
    </row>
    <row r="280" spans="1:9">
      <c r="A280" s="56" t="s">
        <v>2527</v>
      </c>
      <c r="B280" s="56" t="s">
        <v>3363</v>
      </c>
      <c r="C280" s="188">
        <v>1</v>
      </c>
      <c r="D280" s="188">
        <v>1</v>
      </c>
      <c r="E280" s="191">
        <v>68937</v>
      </c>
      <c r="F280" s="191">
        <v>72728</v>
      </c>
      <c r="G280" s="193">
        <f t="shared" si="5"/>
        <v>12558.24</v>
      </c>
      <c r="H280" s="194">
        <v>0.2298</v>
      </c>
      <c r="I280" s="194">
        <v>0.22339999999999999</v>
      </c>
    </row>
    <row r="281" spans="1:9">
      <c r="A281" s="56" t="s">
        <v>2528</v>
      </c>
      <c r="B281" s="56" t="s">
        <v>3364</v>
      </c>
      <c r="C281" s="188">
        <v>1</v>
      </c>
      <c r="D281" s="188">
        <v>1</v>
      </c>
      <c r="E281" s="191">
        <v>68937</v>
      </c>
      <c r="F281" s="191">
        <v>72728</v>
      </c>
      <c r="G281" s="193">
        <f t="shared" si="5"/>
        <v>12558.24</v>
      </c>
      <c r="H281" s="194">
        <v>0.2298</v>
      </c>
      <c r="I281" s="194">
        <v>0.22339999999999999</v>
      </c>
    </row>
    <row r="282" spans="1:9">
      <c r="A282" s="56" t="s">
        <v>2529</v>
      </c>
      <c r="B282" s="56" t="s">
        <v>3365</v>
      </c>
      <c r="C282" s="188">
        <v>1</v>
      </c>
      <c r="D282" s="188">
        <v>1.04</v>
      </c>
      <c r="E282" s="191">
        <v>68937</v>
      </c>
      <c r="F282" s="191">
        <v>72728</v>
      </c>
      <c r="G282" s="193">
        <f t="shared" si="5"/>
        <v>12558.24</v>
      </c>
      <c r="H282" s="194">
        <v>0.2298</v>
      </c>
      <c r="I282" s="194">
        <v>0.22339999999999999</v>
      </c>
    </row>
    <row r="283" spans="1:9">
      <c r="A283" s="56" t="s">
        <v>2530</v>
      </c>
      <c r="B283" s="56" t="s">
        <v>3366</v>
      </c>
      <c r="C283" s="188">
        <v>1</v>
      </c>
      <c r="D283" s="188">
        <v>1</v>
      </c>
      <c r="E283" s="191">
        <v>68937</v>
      </c>
      <c r="F283" s="191">
        <v>72728</v>
      </c>
      <c r="G283" s="193">
        <f t="shared" si="5"/>
        <v>12558.24</v>
      </c>
      <c r="H283" s="194">
        <v>0.2298</v>
      </c>
      <c r="I283" s="194">
        <v>0.22339999999999999</v>
      </c>
    </row>
    <row r="284" spans="1:9">
      <c r="A284" s="56" t="s">
        <v>2531</v>
      </c>
      <c r="B284" s="56" t="s">
        <v>3367</v>
      </c>
      <c r="C284" s="188">
        <v>1</v>
      </c>
      <c r="D284" s="188">
        <v>1</v>
      </c>
      <c r="E284" s="191">
        <v>68937</v>
      </c>
      <c r="F284" s="191">
        <v>72728</v>
      </c>
      <c r="G284" s="193">
        <f t="shared" si="5"/>
        <v>12558.24</v>
      </c>
      <c r="H284" s="194">
        <v>0.2298</v>
      </c>
      <c r="I284" s="194">
        <v>0.22339999999999999</v>
      </c>
    </row>
    <row r="285" spans="1:9">
      <c r="A285" s="56" t="s">
        <v>2532</v>
      </c>
      <c r="B285" s="56" t="s">
        <v>3368</v>
      </c>
      <c r="C285" s="189">
        <v>1.0900000000000001</v>
      </c>
      <c r="D285" s="189">
        <v>1.0900000000000001</v>
      </c>
      <c r="E285" s="191">
        <v>68937</v>
      </c>
      <c r="F285" s="191">
        <v>72728</v>
      </c>
      <c r="G285" s="193">
        <f t="shared" si="5"/>
        <v>12558.24</v>
      </c>
      <c r="H285" s="194">
        <v>0.2298</v>
      </c>
      <c r="I285" s="194">
        <v>0.22339999999999999</v>
      </c>
    </row>
    <row r="286" spans="1:9">
      <c r="A286" s="56" t="s">
        <v>2533</v>
      </c>
      <c r="B286" s="56" t="s">
        <v>3369</v>
      </c>
      <c r="C286" s="189">
        <v>1.0900000000000001</v>
      </c>
      <c r="D286" s="189">
        <v>1.0900000000000001</v>
      </c>
      <c r="E286" s="191">
        <v>68937</v>
      </c>
      <c r="F286" s="191">
        <v>72728</v>
      </c>
      <c r="G286" s="193">
        <f t="shared" si="5"/>
        <v>12558.24</v>
      </c>
      <c r="H286" s="194">
        <v>0.2298</v>
      </c>
      <c r="I286" s="194">
        <v>0.22339999999999999</v>
      </c>
    </row>
    <row r="287" spans="1:9">
      <c r="A287" s="56" t="s">
        <v>2534</v>
      </c>
      <c r="B287" s="56" t="s">
        <v>3370</v>
      </c>
      <c r="C287" s="188">
        <v>1.1200000000000001</v>
      </c>
      <c r="D287" s="188">
        <v>1.1600000000000001</v>
      </c>
      <c r="E287" s="191">
        <v>68937</v>
      </c>
      <c r="F287" s="191">
        <v>72728</v>
      </c>
      <c r="G287" s="193">
        <f t="shared" si="5"/>
        <v>12558.24</v>
      </c>
      <c r="H287" s="194">
        <v>0.2298</v>
      </c>
      <c r="I287" s="194">
        <v>0.22339999999999999</v>
      </c>
    </row>
    <row r="288" spans="1:9">
      <c r="A288" s="56" t="s">
        <v>2535</v>
      </c>
      <c r="B288" s="56" t="s">
        <v>3371</v>
      </c>
      <c r="C288" s="188">
        <v>1.06</v>
      </c>
      <c r="D288" s="188">
        <v>1.06</v>
      </c>
      <c r="E288" s="191">
        <v>68937</v>
      </c>
      <c r="F288" s="191">
        <v>72728</v>
      </c>
      <c r="G288" s="193">
        <f t="shared" si="5"/>
        <v>12558.24</v>
      </c>
      <c r="H288" s="194">
        <v>0.2298</v>
      </c>
      <c r="I288" s="194">
        <v>0.22339999999999999</v>
      </c>
    </row>
    <row r="289" spans="1:9">
      <c r="A289" s="56" t="s">
        <v>2536</v>
      </c>
      <c r="B289" s="56" t="s">
        <v>3372</v>
      </c>
      <c r="C289" s="188">
        <v>1.06</v>
      </c>
      <c r="D289" s="188">
        <v>1.06</v>
      </c>
      <c r="E289" s="191">
        <v>68937</v>
      </c>
      <c r="F289" s="191">
        <v>72728</v>
      </c>
      <c r="G289" s="193">
        <f t="shared" si="5"/>
        <v>12558.24</v>
      </c>
      <c r="H289" s="194">
        <v>0.2298</v>
      </c>
      <c r="I289" s="194">
        <v>0.22339999999999999</v>
      </c>
    </row>
    <row r="290" spans="1:9">
      <c r="A290" s="56" t="s">
        <v>2537</v>
      </c>
      <c r="B290" s="56" t="s">
        <v>3373</v>
      </c>
      <c r="C290" s="188">
        <v>1.06</v>
      </c>
      <c r="D290" s="188">
        <v>1.06</v>
      </c>
      <c r="E290" s="191">
        <v>68937</v>
      </c>
      <c r="F290" s="191">
        <v>72728</v>
      </c>
      <c r="G290" s="193">
        <f t="shared" si="5"/>
        <v>12558.24</v>
      </c>
      <c r="H290" s="194">
        <v>0.2298</v>
      </c>
      <c r="I290" s="194">
        <v>0.22339999999999999</v>
      </c>
    </row>
    <row r="291" spans="1:9">
      <c r="A291" s="56" t="s">
        <v>2538</v>
      </c>
      <c r="B291" s="56" t="s">
        <v>3374</v>
      </c>
      <c r="C291" s="188">
        <v>1.1200000000000001</v>
      </c>
      <c r="D291" s="188">
        <v>1.1200000000000001</v>
      </c>
      <c r="E291" s="191">
        <v>68937</v>
      </c>
      <c r="F291" s="191">
        <v>72728</v>
      </c>
      <c r="G291" s="193">
        <f t="shared" si="5"/>
        <v>12558.24</v>
      </c>
      <c r="H291" s="194">
        <v>0.2298</v>
      </c>
      <c r="I291" s="194">
        <v>0.22339999999999999</v>
      </c>
    </row>
    <row r="292" spans="1:9">
      <c r="A292" s="56" t="s">
        <v>2858</v>
      </c>
      <c r="B292" s="56" t="s">
        <v>2859</v>
      </c>
      <c r="C292" s="189">
        <v>1.0900000000000001</v>
      </c>
      <c r="D292" s="189">
        <v>1.0900000000000001</v>
      </c>
      <c r="E292" s="191">
        <v>68937</v>
      </c>
      <c r="F292" s="191">
        <v>72728</v>
      </c>
      <c r="G292" s="193">
        <f t="shared" si="5"/>
        <v>12558.24</v>
      </c>
      <c r="H292" s="194">
        <v>0.2298</v>
      </c>
      <c r="I292" s="194">
        <v>0.22339999999999999</v>
      </c>
    </row>
    <row r="293" spans="1:9">
      <c r="A293" s="56" t="s">
        <v>2539</v>
      </c>
      <c r="B293" s="56" t="s">
        <v>3375</v>
      </c>
      <c r="C293" s="189">
        <v>1.0900000000000001</v>
      </c>
      <c r="D293" s="189">
        <v>1.0900000000000001</v>
      </c>
      <c r="E293" s="191">
        <v>68937</v>
      </c>
      <c r="F293" s="191">
        <v>72728</v>
      </c>
      <c r="G293" s="193">
        <f t="shared" si="5"/>
        <v>12558.24</v>
      </c>
      <c r="H293" s="194">
        <v>0.2298</v>
      </c>
      <c r="I293" s="194">
        <v>0.22339999999999999</v>
      </c>
    </row>
    <row r="294" spans="1:9">
      <c r="A294" s="56" t="s">
        <v>2540</v>
      </c>
      <c r="B294" s="56" t="s">
        <v>3376</v>
      </c>
      <c r="C294" s="188">
        <v>1</v>
      </c>
      <c r="D294" s="188">
        <v>1.04</v>
      </c>
      <c r="E294" s="191">
        <v>68937</v>
      </c>
      <c r="F294" s="191">
        <v>72728</v>
      </c>
      <c r="G294" s="193">
        <f t="shared" si="5"/>
        <v>12558.24</v>
      </c>
      <c r="H294" s="194">
        <v>0.2298</v>
      </c>
      <c r="I294" s="194">
        <v>0.22339999999999999</v>
      </c>
    </row>
    <row r="295" spans="1:9">
      <c r="A295" s="56" t="s">
        <v>2541</v>
      </c>
      <c r="B295" s="56" t="s">
        <v>3377</v>
      </c>
      <c r="C295" s="188">
        <v>1</v>
      </c>
      <c r="D295" s="188">
        <v>1</v>
      </c>
      <c r="E295" s="191">
        <v>68937</v>
      </c>
      <c r="F295" s="191">
        <v>72728</v>
      </c>
      <c r="G295" s="193">
        <f t="shared" si="5"/>
        <v>12558.24</v>
      </c>
      <c r="H295" s="194">
        <v>0.2298</v>
      </c>
      <c r="I295" s="194">
        <v>0.22339999999999999</v>
      </c>
    </row>
    <row r="296" spans="1:9">
      <c r="A296" s="56" t="s">
        <v>2542</v>
      </c>
      <c r="B296" s="56" t="s">
        <v>3378</v>
      </c>
      <c r="C296" s="188">
        <v>1</v>
      </c>
      <c r="D296" s="188">
        <v>1.04</v>
      </c>
      <c r="E296" s="191">
        <v>68937</v>
      </c>
      <c r="F296" s="191">
        <v>72728</v>
      </c>
      <c r="G296" s="193">
        <f t="shared" si="5"/>
        <v>12558.24</v>
      </c>
      <c r="H296" s="194">
        <v>0.2298</v>
      </c>
      <c r="I296" s="194">
        <v>0.22339999999999999</v>
      </c>
    </row>
    <row r="297" spans="1:9">
      <c r="A297" s="56" t="s">
        <v>2543</v>
      </c>
      <c r="B297" s="56" t="s">
        <v>3379</v>
      </c>
      <c r="C297" s="188">
        <v>1</v>
      </c>
      <c r="D297" s="188">
        <v>1</v>
      </c>
      <c r="E297" s="191">
        <v>68937</v>
      </c>
      <c r="F297" s="191">
        <v>72728</v>
      </c>
      <c r="G297" s="193">
        <f t="shared" si="5"/>
        <v>12558.24</v>
      </c>
      <c r="H297" s="194">
        <v>0.2298</v>
      </c>
      <c r="I297" s="194">
        <v>0.22339999999999999</v>
      </c>
    </row>
    <row r="298" spans="1:9">
      <c r="A298" s="56" t="s">
        <v>2544</v>
      </c>
      <c r="B298" s="56" t="s">
        <v>3380</v>
      </c>
      <c r="C298" s="188">
        <v>1</v>
      </c>
      <c r="D298" s="188">
        <v>1</v>
      </c>
      <c r="E298" s="191">
        <v>68937</v>
      </c>
      <c r="F298" s="191">
        <v>72728</v>
      </c>
      <c r="G298" s="193">
        <f t="shared" si="5"/>
        <v>12558.24</v>
      </c>
      <c r="H298" s="194">
        <v>0.2298</v>
      </c>
      <c r="I298" s="194">
        <v>0.22339999999999999</v>
      </c>
    </row>
    <row r="299" spans="1:9">
      <c r="A299" s="56" t="s">
        <v>2545</v>
      </c>
      <c r="B299" s="56" t="s">
        <v>3381</v>
      </c>
      <c r="C299" s="188">
        <v>1</v>
      </c>
      <c r="D299" s="188">
        <v>1</v>
      </c>
      <c r="E299" s="191">
        <v>68937</v>
      </c>
      <c r="F299" s="191">
        <v>72728</v>
      </c>
      <c r="G299" s="193">
        <f t="shared" si="5"/>
        <v>12558.24</v>
      </c>
      <c r="H299" s="194">
        <v>0.2298</v>
      </c>
      <c r="I299" s="194">
        <v>0.22339999999999999</v>
      </c>
    </row>
    <row r="300" spans="1:9">
      <c r="A300" s="56" t="s">
        <v>2546</v>
      </c>
      <c r="B300" s="56" t="s">
        <v>3382</v>
      </c>
      <c r="C300" s="188">
        <v>1</v>
      </c>
      <c r="D300" s="188">
        <v>1</v>
      </c>
      <c r="E300" s="191">
        <v>68937</v>
      </c>
      <c r="F300" s="191">
        <v>72728</v>
      </c>
      <c r="G300" s="193">
        <f t="shared" si="5"/>
        <v>12558.24</v>
      </c>
      <c r="H300" s="194">
        <v>0.2298</v>
      </c>
      <c r="I300" s="194">
        <v>0.22339999999999999</v>
      </c>
    </row>
    <row r="301" spans="1:9">
      <c r="A301" s="56" t="s">
        <v>2547</v>
      </c>
      <c r="B301" s="56" t="s">
        <v>3383</v>
      </c>
      <c r="C301" s="188">
        <v>1</v>
      </c>
      <c r="D301" s="188">
        <v>1</v>
      </c>
      <c r="E301" s="191">
        <v>68937</v>
      </c>
      <c r="F301" s="191">
        <v>72728</v>
      </c>
      <c r="G301" s="193">
        <f t="shared" si="5"/>
        <v>12558.24</v>
      </c>
      <c r="H301" s="194">
        <v>0.2298</v>
      </c>
      <c r="I301" s="194">
        <v>0.22339999999999999</v>
      </c>
    </row>
    <row r="302" spans="1:9">
      <c r="A302" s="56" t="s">
        <v>2548</v>
      </c>
      <c r="B302" s="56" t="s">
        <v>3384</v>
      </c>
      <c r="C302" s="188">
        <v>1</v>
      </c>
      <c r="D302" s="188">
        <v>1.04</v>
      </c>
      <c r="E302" s="191">
        <v>68937</v>
      </c>
      <c r="F302" s="191">
        <v>72728</v>
      </c>
      <c r="G302" s="193">
        <f t="shared" si="5"/>
        <v>12558.24</v>
      </c>
      <c r="H302" s="194">
        <v>0.2298</v>
      </c>
      <c r="I302" s="194">
        <v>0.22339999999999999</v>
      </c>
    </row>
    <row r="303" spans="1:9">
      <c r="A303" s="56" t="s">
        <v>2549</v>
      </c>
      <c r="B303" s="56" t="s">
        <v>3385</v>
      </c>
      <c r="C303" s="188">
        <v>1</v>
      </c>
      <c r="D303" s="188">
        <v>1</v>
      </c>
      <c r="E303" s="191">
        <v>68937</v>
      </c>
      <c r="F303" s="191">
        <v>72728</v>
      </c>
      <c r="G303" s="193">
        <f t="shared" si="5"/>
        <v>12558.24</v>
      </c>
      <c r="H303" s="194">
        <v>0.2298</v>
      </c>
      <c r="I303" s="194">
        <v>0.22339999999999999</v>
      </c>
    </row>
    <row r="304" spans="1:9">
      <c r="A304" s="56" t="s">
        <v>2550</v>
      </c>
      <c r="B304" s="56" t="s">
        <v>3386</v>
      </c>
      <c r="C304" s="188">
        <v>1</v>
      </c>
      <c r="D304" s="188">
        <v>1.04</v>
      </c>
      <c r="E304" s="191">
        <v>68937</v>
      </c>
      <c r="F304" s="191">
        <v>72728</v>
      </c>
      <c r="G304" s="193">
        <f t="shared" si="5"/>
        <v>12558.24</v>
      </c>
      <c r="H304" s="194">
        <v>0.2298</v>
      </c>
      <c r="I304" s="194">
        <v>0.22339999999999999</v>
      </c>
    </row>
    <row r="305" spans="1:9">
      <c r="A305" s="56" t="s">
        <v>2551</v>
      </c>
      <c r="B305" s="56" t="s">
        <v>3387</v>
      </c>
      <c r="C305" s="188">
        <v>1</v>
      </c>
      <c r="D305" s="188">
        <v>1</v>
      </c>
      <c r="E305" s="191">
        <v>68937</v>
      </c>
      <c r="F305" s="191">
        <v>72728</v>
      </c>
      <c r="G305" s="193">
        <f t="shared" si="5"/>
        <v>12558.24</v>
      </c>
      <c r="H305" s="194">
        <v>0.2298</v>
      </c>
      <c r="I305" s="194">
        <v>0.22339999999999999</v>
      </c>
    </row>
    <row r="306" spans="1:9">
      <c r="A306" s="56" t="s">
        <v>2552</v>
      </c>
      <c r="B306" s="56" t="s">
        <v>3388</v>
      </c>
      <c r="C306" s="188">
        <v>1</v>
      </c>
      <c r="D306" s="188">
        <v>1.04</v>
      </c>
      <c r="E306" s="191">
        <v>68937</v>
      </c>
      <c r="F306" s="191">
        <v>72728</v>
      </c>
      <c r="G306" s="193">
        <f t="shared" si="5"/>
        <v>12558.24</v>
      </c>
      <c r="H306" s="194">
        <v>0.2298</v>
      </c>
      <c r="I306" s="194">
        <v>0.22339999999999999</v>
      </c>
    </row>
    <row r="307" spans="1:9">
      <c r="A307" s="56" t="s">
        <v>2951</v>
      </c>
      <c r="B307" s="56" t="s">
        <v>2952</v>
      </c>
      <c r="C307" s="188">
        <v>1</v>
      </c>
      <c r="D307" s="188">
        <v>1</v>
      </c>
      <c r="E307" s="191">
        <v>68937</v>
      </c>
      <c r="F307" s="191">
        <v>72728</v>
      </c>
      <c r="G307" s="193">
        <f t="shared" si="5"/>
        <v>12558.24</v>
      </c>
      <c r="H307" s="194">
        <v>0.2298</v>
      </c>
      <c r="I307" s="194">
        <v>0.22339999999999999</v>
      </c>
    </row>
    <row r="308" spans="1:9">
      <c r="A308" s="56" t="s">
        <v>2553</v>
      </c>
      <c r="B308" s="56" t="s">
        <v>3389</v>
      </c>
      <c r="C308" s="188">
        <v>1</v>
      </c>
      <c r="D308" s="188">
        <v>1</v>
      </c>
      <c r="E308" s="191">
        <v>68937</v>
      </c>
      <c r="F308" s="191">
        <v>72728</v>
      </c>
      <c r="G308" s="193">
        <f t="shared" si="5"/>
        <v>12558.24</v>
      </c>
      <c r="H308" s="194">
        <v>0.2298</v>
      </c>
      <c r="I308" s="194">
        <v>0.22339999999999999</v>
      </c>
    </row>
    <row r="309" spans="1:9">
      <c r="A309" s="56" t="s">
        <v>2554</v>
      </c>
      <c r="B309" s="56" t="s">
        <v>3390</v>
      </c>
      <c r="C309" s="188">
        <v>1</v>
      </c>
      <c r="D309" s="188">
        <v>1</v>
      </c>
      <c r="E309" s="191">
        <v>68937</v>
      </c>
      <c r="F309" s="191">
        <v>72728</v>
      </c>
      <c r="G309" s="193">
        <f t="shared" si="5"/>
        <v>12558.24</v>
      </c>
      <c r="H309" s="194">
        <v>0.2298</v>
      </c>
      <c r="I309" s="194">
        <v>0.22339999999999999</v>
      </c>
    </row>
    <row r="310" spans="1:9">
      <c r="A310" s="56" t="s">
        <v>2555</v>
      </c>
      <c r="B310" s="56" t="s">
        <v>3391</v>
      </c>
      <c r="C310" s="188">
        <v>1</v>
      </c>
      <c r="D310" s="188">
        <v>1</v>
      </c>
      <c r="E310" s="191">
        <v>68937</v>
      </c>
      <c r="F310" s="191">
        <v>72728</v>
      </c>
      <c r="G310" s="193">
        <f t="shared" si="5"/>
        <v>12558.24</v>
      </c>
      <c r="H310" s="194">
        <v>0.2298</v>
      </c>
      <c r="I310" s="194">
        <v>0.22339999999999999</v>
      </c>
    </row>
    <row r="311" spans="1:9">
      <c r="A311" s="56" t="s">
        <v>2556</v>
      </c>
      <c r="B311" s="56" t="s">
        <v>3392</v>
      </c>
      <c r="C311" s="188">
        <v>1</v>
      </c>
      <c r="D311" s="188">
        <v>1</v>
      </c>
      <c r="E311" s="191">
        <v>68937</v>
      </c>
      <c r="F311" s="191">
        <v>72728</v>
      </c>
      <c r="G311" s="193">
        <f t="shared" si="5"/>
        <v>12558.24</v>
      </c>
      <c r="H311" s="194">
        <v>0.2298</v>
      </c>
      <c r="I311" s="194">
        <v>0.22339999999999999</v>
      </c>
    </row>
    <row r="312" spans="1:9">
      <c r="A312" s="56" t="s">
        <v>2557</v>
      </c>
      <c r="B312" s="56" t="s">
        <v>3393</v>
      </c>
      <c r="C312" s="188">
        <v>1</v>
      </c>
      <c r="D312" s="188">
        <v>1</v>
      </c>
      <c r="E312" s="191">
        <v>68937</v>
      </c>
      <c r="F312" s="191">
        <v>72728</v>
      </c>
      <c r="G312" s="193">
        <f t="shared" si="5"/>
        <v>12558.24</v>
      </c>
      <c r="H312" s="194">
        <v>0.2298</v>
      </c>
      <c r="I312" s="194">
        <v>0.22339999999999999</v>
      </c>
    </row>
    <row r="313" spans="1:9">
      <c r="A313" s="56" t="s">
        <v>2558</v>
      </c>
      <c r="B313" s="56" t="s">
        <v>3394</v>
      </c>
      <c r="C313" s="188">
        <v>1</v>
      </c>
      <c r="D313" s="188">
        <v>1</v>
      </c>
      <c r="E313" s="191">
        <v>68937</v>
      </c>
      <c r="F313" s="191">
        <v>72728</v>
      </c>
      <c r="G313" s="193">
        <f t="shared" si="5"/>
        <v>12558.24</v>
      </c>
      <c r="H313" s="194">
        <v>0.2298</v>
      </c>
      <c r="I313" s="194">
        <v>0.22339999999999999</v>
      </c>
    </row>
    <row r="314" spans="1:9">
      <c r="A314" s="56" t="s">
        <v>2559</v>
      </c>
      <c r="B314" s="56" t="s">
        <v>3395</v>
      </c>
      <c r="C314" s="188">
        <v>1</v>
      </c>
      <c r="D314" s="188">
        <v>1</v>
      </c>
      <c r="E314" s="191">
        <v>68937</v>
      </c>
      <c r="F314" s="191">
        <v>72728</v>
      </c>
      <c r="G314" s="193">
        <f t="shared" si="5"/>
        <v>12558.24</v>
      </c>
      <c r="H314" s="194">
        <v>0.2298</v>
      </c>
      <c r="I314" s="194">
        <v>0.22339999999999999</v>
      </c>
    </row>
    <row r="315" spans="1:9">
      <c r="A315" s="56" t="s">
        <v>2560</v>
      </c>
      <c r="B315" s="56" t="s">
        <v>3396</v>
      </c>
      <c r="C315" s="188">
        <v>1</v>
      </c>
      <c r="D315" s="188">
        <v>1</v>
      </c>
      <c r="E315" s="191">
        <v>68937</v>
      </c>
      <c r="F315" s="191">
        <v>72728</v>
      </c>
      <c r="G315" s="193">
        <f t="shared" si="5"/>
        <v>12558.24</v>
      </c>
      <c r="H315" s="194">
        <v>0.2298</v>
      </c>
      <c r="I315" s="194">
        <v>0.22339999999999999</v>
      </c>
    </row>
    <row r="316" spans="1:9">
      <c r="A316" s="56" t="s">
        <v>2561</v>
      </c>
      <c r="B316" s="56" t="s">
        <v>3397</v>
      </c>
      <c r="C316" s="188">
        <v>1</v>
      </c>
      <c r="D316" s="188">
        <v>1</v>
      </c>
      <c r="E316" s="191">
        <v>68937</v>
      </c>
      <c r="F316" s="191">
        <v>72728</v>
      </c>
      <c r="G316" s="193">
        <f t="shared" si="5"/>
        <v>12558.24</v>
      </c>
      <c r="H316" s="194">
        <v>0.2298</v>
      </c>
      <c r="I316" s="194">
        <v>0.22339999999999999</v>
      </c>
    </row>
    <row r="317" spans="1:9">
      <c r="A317" s="56" t="s">
        <v>2562</v>
      </c>
      <c r="B317" s="56" t="s">
        <v>3398</v>
      </c>
      <c r="C317" s="188">
        <v>1</v>
      </c>
      <c r="D317" s="188">
        <v>1</v>
      </c>
      <c r="E317" s="191">
        <v>68937</v>
      </c>
      <c r="F317" s="191">
        <v>72728</v>
      </c>
      <c r="G317" s="193">
        <f t="shared" si="5"/>
        <v>12558.24</v>
      </c>
      <c r="H317" s="194">
        <v>0.2298</v>
      </c>
      <c r="I317" s="194">
        <v>0.22339999999999999</v>
      </c>
    </row>
    <row r="318" spans="1:9">
      <c r="A318" s="56" t="s">
        <v>2563</v>
      </c>
      <c r="B318" s="56" t="s">
        <v>3399</v>
      </c>
      <c r="C318" s="188">
        <v>1</v>
      </c>
      <c r="D318" s="188">
        <v>1</v>
      </c>
      <c r="E318" s="191">
        <v>68937</v>
      </c>
      <c r="F318" s="191">
        <v>72728</v>
      </c>
      <c r="G318" s="193">
        <f t="shared" si="5"/>
        <v>12558.24</v>
      </c>
      <c r="H318" s="194">
        <v>0.2298</v>
      </c>
      <c r="I318" s="194">
        <v>0.22339999999999999</v>
      </c>
    </row>
    <row r="319" spans="1:9">
      <c r="A319" s="56" t="s">
        <v>2564</v>
      </c>
      <c r="B319" s="56" t="s">
        <v>3400</v>
      </c>
      <c r="C319" s="188">
        <v>1</v>
      </c>
      <c r="D319" s="188">
        <v>1</v>
      </c>
      <c r="E319" s="191">
        <v>68937</v>
      </c>
      <c r="F319" s="191">
        <v>72728</v>
      </c>
      <c r="G319" s="193">
        <f t="shared" si="5"/>
        <v>12558.24</v>
      </c>
      <c r="H319" s="194">
        <v>0.2298</v>
      </c>
      <c r="I319" s="194">
        <v>0.22339999999999999</v>
      </c>
    </row>
    <row r="320" spans="1:9">
      <c r="A320" s="56" t="s">
        <v>2565</v>
      </c>
      <c r="B320" s="56" t="s">
        <v>3401</v>
      </c>
      <c r="C320" s="188">
        <v>1</v>
      </c>
      <c r="D320" s="188">
        <v>1</v>
      </c>
      <c r="E320" s="191">
        <v>68937</v>
      </c>
      <c r="F320" s="191">
        <v>72728</v>
      </c>
      <c r="G320" s="193">
        <f t="shared" si="5"/>
        <v>12558.24</v>
      </c>
      <c r="H320" s="194">
        <v>0.2298</v>
      </c>
      <c r="I320" s="194">
        <v>0.22339999999999999</v>
      </c>
    </row>
    <row r="321" spans="1:9">
      <c r="A321" s="56" t="s">
        <v>2566</v>
      </c>
      <c r="B321" s="56" t="s">
        <v>3402</v>
      </c>
      <c r="C321" s="189">
        <v>1.03</v>
      </c>
      <c r="D321" s="189">
        <v>1.03</v>
      </c>
      <c r="E321" s="191">
        <v>68937</v>
      </c>
      <c r="F321" s="191">
        <v>72728</v>
      </c>
      <c r="G321" s="193">
        <f t="shared" si="5"/>
        <v>12558.24</v>
      </c>
      <c r="H321" s="194">
        <v>0.2298</v>
      </c>
      <c r="I321" s="194">
        <v>0.22339999999999999</v>
      </c>
    </row>
    <row r="322" spans="1:9">
      <c r="A322" s="56" t="s">
        <v>2567</v>
      </c>
      <c r="B322" s="56" t="s">
        <v>3403</v>
      </c>
      <c r="C322" s="188">
        <v>1</v>
      </c>
      <c r="D322" s="188">
        <v>1</v>
      </c>
      <c r="E322" s="191">
        <v>68937</v>
      </c>
      <c r="F322" s="191">
        <v>72728</v>
      </c>
      <c r="G322" s="193">
        <f t="shared" si="5"/>
        <v>12558.24</v>
      </c>
      <c r="H322" s="194">
        <v>0.2298</v>
      </c>
      <c r="I322" s="194">
        <v>0.22339999999999999</v>
      </c>
    </row>
    <row r="323" spans="1:9">
      <c r="A323" s="56" t="s">
        <v>2763</v>
      </c>
      <c r="B323" s="56" t="s">
        <v>3404</v>
      </c>
      <c r="C323" s="188">
        <v>1</v>
      </c>
      <c r="D323" s="188">
        <v>1</v>
      </c>
      <c r="E323" s="191">
        <v>68937</v>
      </c>
      <c r="F323" s="191">
        <v>72728</v>
      </c>
      <c r="G323" s="193">
        <f t="shared" si="5"/>
        <v>12558.24</v>
      </c>
      <c r="H323" s="194">
        <v>0.2298</v>
      </c>
      <c r="I323" s="194">
        <v>0.22339999999999999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23"/>
  <sheetViews>
    <sheetView zoomScale="90" zoomScaleNormal="90" workbookViewId="0">
      <selection activeCell="B4" sqref="B4"/>
    </sheetView>
  </sheetViews>
  <sheetFormatPr defaultColWidth="0" defaultRowHeight="14.4"/>
  <cols>
    <col min="1" max="1" width="4.33203125" customWidth="1"/>
    <col min="2" max="2" width="28.5546875" customWidth="1"/>
    <col min="3" max="3" width="51.44140625" customWidth="1"/>
    <col min="4" max="4" width="21" customWidth="1"/>
    <col min="5" max="5" width="13.88671875" style="56" customWidth="1"/>
    <col min="6" max="6" width="18.6640625" customWidth="1"/>
    <col min="7" max="7" width="21" customWidth="1"/>
    <col min="8" max="8" width="21" style="56" customWidth="1"/>
    <col min="9" max="9" width="21" customWidth="1"/>
    <col min="10" max="10" width="4.44140625" customWidth="1"/>
    <col min="11" max="12" width="0" hidden="1" customWidth="1"/>
    <col min="13" max="16384" width="9.109375" hidden="1"/>
  </cols>
  <sheetData>
    <row r="1" spans="2:9" ht="18">
      <c r="B1" s="105" t="str">
        <f>'Instructions and about the data'!B2</f>
        <v>LAP Calculator to Budget for the 2022-23 School Year</v>
      </c>
    </row>
    <row r="2" spans="2:9" ht="18">
      <c r="H2" s="103" t="s">
        <v>2815</v>
      </c>
      <c r="I2" s="104">
        <f>SUM(I9,I17,I11)</f>
        <v>2431154.7199999997</v>
      </c>
    </row>
    <row r="3" spans="2:9" ht="18.600000000000001" thickBot="1">
      <c r="B3" s="88" t="s">
        <v>2703</v>
      </c>
      <c r="C3" t="s">
        <v>2704</v>
      </c>
      <c r="H3" s="167" t="s">
        <v>3421</v>
      </c>
      <c r="I3" s="183">
        <f>I11+SUMIF(E18:E123,"Yes",I18:I123)</f>
        <v>0</v>
      </c>
    </row>
    <row r="4" spans="2:9" ht="18.600000000000001" thickBot="1">
      <c r="B4" s="41" t="s">
        <v>465</v>
      </c>
      <c r="H4" s="167" t="s">
        <v>3422</v>
      </c>
      <c r="I4" s="196">
        <f>I9+SUMIF(E18:E123,"No",I18:I123)</f>
        <v>2431154.7199999997</v>
      </c>
    </row>
    <row r="5" spans="2:9">
      <c r="I5" s="56"/>
    </row>
    <row r="6" spans="2:9" ht="15.6">
      <c r="B6" s="42" t="s">
        <v>2692</v>
      </c>
      <c r="I6" s="56"/>
    </row>
    <row r="7" spans="2:9">
      <c r="G7" s="71" t="s">
        <v>2698</v>
      </c>
      <c r="H7" s="71"/>
    </row>
    <row r="8" spans="2:9" ht="43.2">
      <c r="B8" s="49" t="s">
        <v>2591</v>
      </c>
      <c r="C8" s="50" t="s">
        <v>2592</v>
      </c>
      <c r="D8" s="50" t="s">
        <v>2974</v>
      </c>
      <c r="F8" s="50" t="s">
        <v>3417</v>
      </c>
      <c r="G8" s="50" t="s">
        <v>3418</v>
      </c>
      <c r="H8" s="50"/>
      <c r="I8" s="51" t="s">
        <v>3433</v>
      </c>
    </row>
    <row r="9" spans="2:9">
      <c r="B9" s="52" t="str">
        <f>VLOOKUP($B$4,AAFTE!$B:$E,4,0)</f>
        <v>14005</v>
      </c>
      <c r="C9" s="53" t="str">
        <f>$B$4</f>
        <v>Aberdeen School District</v>
      </c>
      <c r="D9" s="201">
        <f>IFERROR(VLOOKUP(B9,'CEDARS District FRPL'!A:C,3,FALSE),"No Data")</f>
        <v>0.72529999999999994</v>
      </c>
      <c r="F9" s="166">
        <f>VLOOKUP($B$9,Districts,4,0)</f>
        <v>3111.81</v>
      </c>
      <c r="G9" s="84"/>
      <c r="H9" s="195" t="s">
        <v>3420</v>
      </c>
      <c r="I9" s="92">
        <f>VLOOKUP($B$9,Districts,'District LAP Calculation'!AA$1,0)</f>
        <v>1492895.99</v>
      </c>
    </row>
    <row r="10" spans="2:9" s="56" customFormat="1" ht="28.8">
      <c r="B10" s="64"/>
      <c r="C10" s="64"/>
      <c r="D10" s="50" t="s">
        <v>3082</v>
      </c>
      <c r="I10" s="50" t="str">
        <f>'CEDARS District FRPL'!E2</f>
        <v>Stabilization Sec 517(6)(b)</v>
      </c>
    </row>
    <row r="11" spans="2:9" s="56" customFormat="1">
      <c r="B11" s="52" t="str">
        <f>VLOOKUP($B$4,AAFTE!$B:$E,4,0)</f>
        <v>14005</v>
      </c>
      <c r="C11" s="53" t="str">
        <f>$B$4</f>
        <v>Aberdeen School District</v>
      </c>
      <c r="D11" s="202">
        <f>IFERROR(VLOOKUP(B9,'CEDARS District FRPL'!A:F,6,FALSE),"No Data")</f>
        <v>0</v>
      </c>
      <c r="H11" s="163" t="s">
        <v>3419</v>
      </c>
      <c r="I11" s="181">
        <f>VLOOKUP($B$9,Districts_HH,'District LAP HH Calculation'!AA$1,0)</f>
        <v>0</v>
      </c>
    </row>
    <row r="12" spans="2:9">
      <c r="C12" s="163" t="s">
        <v>3423</v>
      </c>
      <c r="D12" s="197">
        <f>D9+D11</f>
        <v>0.72529999999999994</v>
      </c>
      <c r="H12" s="180" t="s">
        <v>3424</v>
      </c>
      <c r="I12" s="198">
        <f>SUM(I11,I9)</f>
        <v>1492895.99</v>
      </c>
    </row>
    <row r="13" spans="2:9" ht="15.6">
      <c r="B13" s="42" t="s">
        <v>2693</v>
      </c>
    </row>
    <row r="14" spans="2:9" s="56" customFormat="1" ht="24.6">
      <c r="F14" s="77"/>
      <c r="G14" s="72"/>
      <c r="H14" s="85" t="s">
        <v>3426</v>
      </c>
    </row>
    <row r="15" spans="2:9" ht="60.6">
      <c r="F15" s="77"/>
      <c r="G15" s="72" t="s">
        <v>2814</v>
      </c>
      <c r="H15" s="200">
        <f>SUMIF(E18:E123,"No",H18:H123)</f>
        <v>3091.52</v>
      </c>
    </row>
    <row r="16" spans="2:9" ht="86.4">
      <c r="B16" s="49" t="s">
        <v>2590</v>
      </c>
      <c r="C16" s="50" t="s">
        <v>2593</v>
      </c>
      <c r="D16" s="50" t="str">
        <f>'CEDARS School FRPL'!E3</f>
        <v>3 Year Average for 2022-23 Eligibility</v>
      </c>
      <c r="E16" s="50" t="str">
        <f>'CEDARS School FRPL'!H3</f>
        <v>Stabilization Sec 517(6)(a)</v>
      </c>
      <c r="F16" s="50" t="str">
        <f>F8</f>
        <v>AAFTE 2021-22 as of March 2022</v>
      </c>
      <c r="G16" s="50" t="s">
        <v>3069</v>
      </c>
      <c r="H16" s="50" t="s">
        <v>3425</v>
      </c>
      <c r="I16" s="51" t="s">
        <v>3434</v>
      </c>
    </row>
    <row r="17" spans="2:9" s="56" customFormat="1">
      <c r="B17" s="63"/>
      <c r="C17" s="64" t="s">
        <v>2753</v>
      </c>
      <c r="D17" s="65">
        <f>IFERROR(AVERAGEIF(D18:D123,"&gt;0"),"No Data")</f>
        <v>0.6807333333333333</v>
      </c>
      <c r="E17" s="65"/>
      <c r="F17" s="66">
        <f>SUMIFS(F18:F123,D18:D123,"&gt;=0.5")+SUMIFS(F18:F123,E18:E123,"Yes")</f>
        <v>3091.52</v>
      </c>
      <c r="G17" s="73"/>
      <c r="H17" s="86">
        <f>SUM(H18:H123)</f>
        <v>3091.52</v>
      </c>
      <c r="I17" s="199">
        <f>SUMIF($D$18:$D$123,"&lt;&gt;0",I18:I123)</f>
        <v>938258.73</v>
      </c>
    </row>
    <row r="18" spans="2:9">
      <c r="B18" s="54">
        <f t="array" ref="B18">IFERROR(INDEX('HP Schools Calculation'!$C$10:$C$2366,SMALL(IF('HP Schools Calculation'!$A$10:$A$2366=Summary!$B$9,ROW('HP Schools Calculation'!$C$10:$C$2366)-ROW('HP Schools Calculation'!C$10)+1),ROWS('HP Schools Calculation'!C$10:C10))),"")</f>
        <v>2305</v>
      </c>
      <c r="C18" s="47" t="str">
        <f>_xlfn.IFNA(VLOOKUP($B18,Schools,'HP Schools Calculation'!D$1,0),"")</f>
        <v>Miller Junior High</v>
      </c>
      <c r="D18" s="48">
        <f>_xlfn.IFNA(VLOOKUP($B18,Schools,'HP Schools Calculation'!E$1,0),"")</f>
        <v>0.75636666666666663</v>
      </c>
      <c r="E18" s="48" t="str">
        <f>_xlfn.IFNA(VLOOKUP($B18,Schools,'HP Schools Calculation'!G$1,0),"")</f>
        <v>No</v>
      </c>
      <c r="F18" s="67">
        <f>_xlfn.IFNA(VLOOKUP($B18,Schools,'HP Schools Calculation'!H$1,0),"")</f>
        <v>729.62</v>
      </c>
      <c r="G18" s="81"/>
      <c r="H18" s="78">
        <f>_xlfn.IFNA(VLOOKUP($B18,Schools,'HP Schools Calculation'!M$1,0),"")</f>
        <v>729.62</v>
      </c>
      <c r="I18" s="74">
        <f>_xlfn.IFNA(VLOOKUP($B18,Schools,'HP Schools Calculation'!AE$1,0),"")</f>
        <v>221399.69</v>
      </c>
    </row>
    <row r="19" spans="2:9">
      <c r="B19" s="55">
        <f t="array" ref="B19">IFERROR(INDEX('HP Schools Calculation'!$C$10:$C$2366,SMALL(IF('HP Schools Calculation'!$A$10:$A$2366=Summary!$B$9,ROW('HP Schools Calculation'!$C$10:$C$2366)-ROW('HP Schools Calculation'!C$10)+1),ROWS('HP Schools Calculation'!C$10:C11))),"")</f>
        <v>2449</v>
      </c>
      <c r="C19" s="43" t="str">
        <f>_xlfn.IFNA(VLOOKUP($B19,Schools,'HP Schools Calculation'!D$1,0),"")</f>
        <v>McDermoth Elementary</v>
      </c>
      <c r="D19" s="44">
        <f>_xlfn.IFNA(VLOOKUP($B19,Schools,'HP Schools Calculation'!E$1,0),"")</f>
        <v>0.67303333333333326</v>
      </c>
      <c r="E19" s="44" t="str">
        <f>_xlfn.IFNA(VLOOKUP($B19,Schools,'HP Schools Calculation'!G$1,0),"")</f>
        <v>No</v>
      </c>
      <c r="F19" s="68">
        <f>_xlfn.IFNA(VLOOKUP($B19,Schools,'HP Schools Calculation'!H$1,0),"")</f>
        <v>272</v>
      </c>
      <c r="G19" s="82"/>
      <c r="H19" s="79">
        <f>_xlfn.IFNA(VLOOKUP($B19,Schools,'HP Schools Calculation'!M$1,0),"")</f>
        <v>272</v>
      </c>
      <c r="I19" s="75">
        <f>_xlfn.IFNA(VLOOKUP($B19,Schools,'HP Schools Calculation'!AE$1,0),"")</f>
        <v>82559.31</v>
      </c>
    </row>
    <row r="20" spans="2:9">
      <c r="B20" s="55">
        <f t="array" ref="B20">IFERROR(INDEX('HP Schools Calculation'!$C$10:$C$2366,SMALL(IF('HP Schools Calculation'!$A$10:$A$2366=Summary!$B$9,ROW('HP Schools Calculation'!$C$10:$C$2366)-ROW('HP Schools Calculation'!C$10)+1),ROWS('HP Schools Calculation'!C$10:C12))),"")</f>
        <v>2763</v>
      </c>
      <c r="C20" s="43" t="str">
        <f>_xlfn.IFNA(VLOOKUP($B20,Schools,'HP Schools Calculation'!D$1,0),"")</f>
        <v>Robert Gray Elementary</v>
      </c>
      <c r="D20" s="44">
        <f>_xlfn.IFNA(VLOOKUP($B20,Schools,'HP Schools Calculation'!E$1,0),"")</f>
        <v>0.82520000000000004</v>
      </c>
      <c r="E20" s="44" t="str">
        <f>_xlfn.IFNA(VLOOKUP($B20,Schools,'HP Schools Calculation'!G$1,0),"")</f>
        <v>No</v>
      </c>
      <c r="F20" s="68">
        <f>_xlfn.IFNA(VLOOKUP($B20,Schools,'HP Schools Calculation'!H$1,0),"")</f>
        <v>259.14</v>
      </c>
      <c r="G20" s="82"/>
      <c r="H20" s="79">
        <f>_xlfn.IFNA(VLOOKUP($B20,Schools,'HP Schools Calculation'!M$1,0),"")</f>
        <v>259.14</v>
      </c>
      <c r="I20" s="75">
        <f>_xlfn.IFNA(VLOOKUP($B20,Schools,'HP Schools Calculation'!AE$1,0),"")</f>
        <v>78627.92</v>
      </c>
    </row>
    <row r="21" spans="2:9">
      <c r="B21" s="55">
        <f t="array" ref="B21">IFERROR(INDEX('HP Schools Calculation'!$C$10:$C$2366,SMALL(IF('HP Schools Calculation'!$A$10:$A$2366=Summary!$B$9,ROW('HP Schools Calculation'!$C$10:$C$2366)-ROW('HP Schools Calculation'!C$10)+1),ROWS('HP Schools Calculation'!C$10:C13))),"")</f>
        <v>2834</v>
      </c>
      <c r="C21" s="43" t="str">
        <f>_xlfn.IFNA(VLOOKUP($B21,Schools,'HP Schools Calculation'!D$1,0),"")</f>
        <v>A J West Elementary</v>
      </c>
      <c r="D21" s="44">
        <f>_xlfn.IFNA(VLOOKUP($B21,Schools,'HP Schools Calculation'!E$1,0),"")</f>
        <v>0.80509999999999993</v>
      </c>
      <c r="E21" s="44" t="str">
        <f>_xlfn.IFNA(VLOOKUP($B21,Schools,'HP Schools Calculation'!G$1,0),"")</f>
        <v>No</v>
      </c>
      <c r="F21" s="68">
        <f>_xlfn.IFNA(VLOOKUP($B21,Schools,'HP Schools Calculation'!H$1,0),"")</f>
        <v>297.45</v>
      </c>
      <c r="G21" s="82"/>
      <c r="H21" s="79">
        <f>_xlfn.IFNA(VLOOKUP($B21,Schools,'HP Schools Calculation'!M$1,0),"")</f>
        <v>297.45</v>
      </c>
      <c r="I21" s="75">
        <f>_xlfn.IFNA(VLOOKUP($B21,Schools,'HP Schools Calculation'!AE$1,0),"")</f>
        <v>90318.65</v>
      </c>
    </row>
    <row r="22" spans="2:9">
      <c r="B22" s="55">
        <f t="array" ref="B22">IFERROR(INDEX('HP Schools Calculation'!$C$10:$C$2366,SMALL(IF('HP Schools Calculation'!$A$10:$A$2366=Summary!$B$9,ROW('HP Schools Calculation'!$C$10:$C$2366)-ROW('HP Schools Calculation'!C$10)+1),ROWS('HP Schools Calculation'!C$10:C14))),"")</f>
        <v>2971</v>
      </c>
      <c r="C22" s="43" t="str">
        <f>_xlfn.IFNA(VLOOKUP($B22,Schools,'HP Schools Calculation'!D$1,0),"")</f>
        <v>Stevens Elementary School</v>
      </c>
      <c r="D22" s="44">
        <f>_xlfn.IFNA(VLOOKUP($B22,Schools,'HP Schools Calculation'!E$1,0),"")</f>
        <v>0.8622333333333333</v>
      </c>
      <c r="E22" s="44" t="str">
        <f>_xlfn.IFNA(VLOOKUP($B22,Schools,'HP Schools Calculation'!G$1,0),"")</f>
        <v>No</v>
      </c>
      <c r="F22" s="68">
        <f>_xlfn.IFNA(VLOOKUP($B22,Schools,'HP Schools Calculation'!H$1,0),"")</f>
        <v>307.70999999999998</v>
      </c>
      <c r="G22" s="82"/>
      <c r="H22" s="79">
        <f>_xlfn.IFNA(VLOOKUP($B22,Schools,'HP Schools Calculation'!M$1,0),"")</f>
        <v>307.70999999999998</v>
      </c>
      <c r="I22" s="75">
        <f>_xlfn.IFNA(VLOOKUP($B22,Schools,'HP Schools Calculation'!AE$1,0),"")</f>
        <v>93422.38</v>
      </c>
    </row>
    <row r="23" spans="2:9">
      <c r="B23" s="55">
        <f t="array" ref="B23">IFERROR(INDEX('HP Schools Calculation'!$C$10:$C$2366,SMALL(IF('HP Schools Calculation'!$A$10:$A$2366=Summary!$B$9,ROW('HP Schools Calculation'!$C$10:$C$2366)-ROW('HP Schools Calculation'!C$10)+1),ROWS('HP Schools Calculation'!C$10:C15))),"")</f>
        <v>3216</v>
      </c>
      <c r="C23" s="43" t="str">
        <f>_xlfn.IFNA(VLOOKUP($B23,Schools,'HP Schools Calculation'!D$1,0),"")</f>
        <v>Central Park Elementary</v>
      </c>
      <c r="D23" s="44">
        <f>_xlfn.IFNA(VLOOKUP($B23,Schools,'HP Schools Calculation'!E$1,0),"")</f>
        <v>0.56226666666666658</v>
      </c>
      <c r="E23" s="44" t="str">
        <f>_xlfn.IFNA(VLOOKUP($B23,Schools,'HP Schools Calculation'!G$1,0),"")</f>
        <v>No</v>
      </c>
      <c r="F23" s="68">
        <f>_xlfn.IFNA(VLOOKUP($B23,Schools,'HP Schools Calculation'!H$1,0),"")</f>
        <v>132.71</v>
      </c>
      <c r="G23" s="82"/>
      <c r="H23" s="79">
        <f>_xlfn.IFNA(VLOOKUP($B23,Schools,'HP Schools Calculation'!M$1,0),"")</f>
        <v>132.71</v>
      </c>
      <c r="I23" s="75">
        <f>_xlfn.IFNA(VLOOKUP($B23,Schools,'HP Schools Calculation'!AE$1,0),"")</f>
        <v>40245.08</v>
      </c>
    </row>
    <row r="24" spans="2:9">
      <c r="B24" s="55">
        <f t="array" ref="B24">IFERROR(INDEX('HP Schools Calculation'!$C$10:$C$2366,SMALL(IF('HP Schools Calculation'!$A$10:$A$2366=Summary!$B$9,ROW('HP Schools Calculation'!$C$10:$C$2366)-ROW('HP Schools Calculation'!C$10)+1),ROWS('HP Schools Calculation'!C$10:C16))),"")</f>
        <v>3476</v>
      </c>
      <c r="C24" s="43" t="str">
        <f>_xlfn.IFNA(VLOOKUP($B24,Schools,'HP Schools Calculation'!D$1,0),"")</f>
        <v>J M Weatherwax High School</v>
      </c>
      <c r="D24" s="44">
        <f>_xlfn.IFNA(VLOOKUP($B24,Schools,'HP Schools Calculation'!E$1,0),"")</f>
        <v>0.62853333333333339</v>
      </c>
      <c r="E24" s="44" t="str">
        <f>_xlfn.IFNA(VLOOKUP($B24,Schools,'HP Schools Calculation'!G$1,0),"")</f>
        <v>No</v>
      </c>
      <c r="F24" s="68">
        <f>_xlfn.IFNA(VLOOKUP($B24,Schools,'HP Schools Calculation'!H$1,0),"")</f>
        <v>878.43999999999994</v>
      </c>
      <c r="G24" s="82"/>
      <c r="H24" s="79">
        <f>_xlfn.IFNA(VLOOKUP($B24,Schools,'HP Schools Calculation'!M$1,0),"")</f>
        <v>878.43999999999994</v>
      </c>
      <c r="I24" s="75">
        <f>_xlfn.IFNA(VLOOKUP($B24,Schools,'HP Schools Calculation'!AE$1,0),"")</f>
        <v>266610.75</v>
      </c>
    </row>
    <row r="25" spans="2:9">
      <c r="B25" s="55">
        <f t="array" ref="B25">IFERROR(INDEX('HP Schools Calculation'!$C$10:$C$2366,SMALL(IF('HP Schools Calculation'!$A$10:$A$2366=Summary!$B$9,ROW('HP Schools Calculation'!$C$10:$C$2366)-ROW('HP Schools Calculation'!C$10)+1),ROWS('HP Schools Calculation'!C$10:C17))),"")</f>
        <v>3857</v>
      </c>
      <c r="C25" s="43" t="str">
        <f>_xlfn.IFNA(VLOOKUP($B25,Schools,'HP Schools Calculation'!D$1,0),"")</f>
        <v>Harbor High School</v>
      </c>
      <c r="D25" s="44">
        <f>_xlfn.IFNA(VLOOKUP($B25,Schools,'HP Schools Calculation'!E$1,0),"")</f>
        <v>0.74696666666666667</v>
      </c>
      <c r="E25" s="44" t="str">
        <f>_xlfn.IFNA(VLOOKUP($B25,Schools,'HP Schools Calculation'!G$1,0),"")</f>
        <v>No</v>
      </c>
      <c r="F25" s="68">
        <f>_xlfn.IFNA(VLOOKUP($B25,Schools,'HP Schools Calculation'!H$1,0),"")</f>
        <v>88.97</v>
      </c>
      <c r="G25" s="82"/>
      <c r="H25" s="79">
        <f>_xlfn.IFNA(VLOOKUP($B25,Schools,'HP Schools Calculation'!M$1,0),"")</f>
        <v>88.97</v>
      </c>
      <c r="I25" s="75">
        <f>_xlfn.IFNA(VLOOKUP($B25,Schools,'HP Schools Calculation'!AE$1,0),"")</f>
        <v>27002.489999999998</v>
      </c>
    </row>
    <row r="26" spans="2:9">
      <c r="B26" s="55">
        <f t="array" ref="B26">IFERROR(INDEX('HP Schools Calculation'!$C$10:$C$2366,SMALL(IF('HP Schools Calculation'!$A$10:$A$2366=Summary!$B$9,ROW('HP Schools Calculation'!$C$10:$C$2366)-ROW('HP Schools Calculation'!C$10)+1),ROWS('HP Schools Calculation'!C$10:C18))),"")</f>
        <v>5208</v>
      </c>
      <c r="C26" s="43" t="str">
        <f>_xlfn.IFNA(VLOOKUP($B26,Schools,'HP Schools Calculation'!D$1,0),"")</f>
        <v>Twin Harbors - A Branch of New Market Skills Center</v>
      </c>
      <c r="D26" s="44">
        <f>_xlfn.IFNA(VLOOKUP($B26,Schools,'HP Schools Calculation'!E$1,0),"")</f>
        <v>9.5233333333333337E-2</v>
      </c>
      <c r="E26" s="44" t="str">
        <f>_xlfn.IFNA(VLOOKUP($B26,Schools,'HP Schools Calculation'!G$1,0),"")</f>
        <v>No</v>
      </c>
      <c r="F26" s="68">
        <f>_xlfn.IFNA(VLOOKUP($B26,Schools,'HP Schools Calculation'!H$1,0),"")</f>
        <v>20.27</v>
      </c>
      <c r="G26" s="82"/>
      <c r="H26" s="79">
        <f>_xlfn.IFNA(VLOOKUP($B26,Schools,'HP Schools Calculation'!M$1,0),"")</f>
        <v>0</v>
      </c>
      <c r="I26" s="75">
        <f>_xlfn.IFNA(VLOOKUP($B26,Schools,'HP Schools Calculation'!AE$1,0),"")</f>
        <v>0</v>
      </c>
    </row>
    <row r="27" spans="2:9">
      <c r="B27" s="55">
        <f t="array" ref="B27">IFERROR(INDEX('HP Schools Calculation'!$C$10:$C$2366,SMALL(IF('HP Schools Calculation'!$A$10:$A$2366=Summary!$B$9,ROW('HP Schools Calculation'!$C$10:$C$2366)-ROW('HP Schools Calculation'!C$10)+1),ROWS('HP Schools Calculation'!C$10:C19))),"")</f>
        <v>5514</v>
      </c>
      <c r="C27" s="43" t="str">
        <f>_xlfn.IFNA(VLOOKUP($B27,Schools,'HP Schools Calculation'!D$1,0),"")</f>
        <v>Grays Harbor Academy</v>
      </c>
      <c r="D27" s="44">
        <f>_xlfn.IFNA(VLOOKUP($B27,Schools,'HP Schools Calculation'!E$1,0),"")</f>
        <v>0.67603333333333337</v>
      </c>
      <c r="E27" s="44" t="str">
        <f>_xlfn.IFNA(VLOOKUP($B27,Schools,'HP Schools Calculation'!G$1,0),"")</f>
        <v>No</v>
      </c>
      <c r="F27" s="68">
        <f>_xlfn.IFNA(VLOOKUP($B27,Schools,'HP Schools Calculation'!H$1,0),"")</f>
        <v>108.77</v>
      </c>
      <c r="G27" s="82"/>
      <c r="H27" s="79">
        <f>_xlfn.IFNA(VLOOKUP($B27,Schools,'HP Schools Calculation'!M$1,0),"")</f>
        <v>108.77</v>
      </c>
      <c r="I27" s="75">
        <f>_xlfn.IFNA(VLOOKUP($B27,Schools,'HP Schools Calculation'!AE$1,0),"")</f>
        <v>33003.03</v>
      </c>
    </row>
    <row r="28" spans="2:9">
      <c r="B28" s="55">
        <f t="array" ref="B28">IFERROR(INDEX('HP Schools Calculation'!$C$10:$C$2366,SMALL(IF('HP Schools Calculation'!$A$10:$A$2366=Summary!$B$9,ROW('HP Schools Calculation'!$C$10:$C$2366)-ROW('HP Schools Calculation'!C$10)+1),ROWS('HP Schools Calculation'!C$10:C20))),"")</f>
        <v>5663</v>
      </c>
      <c r="C28" s="43" t="str">
        <f>_xlfn.IFNA(VLOOKUP($B28,Schools,'HP Schools Calculation'!D$1,0),"")</f>
        <v>Harbor Open Doors</v>
      </c>
      <c r="D28" s="44">
        <f>_xlfn.IFNA(VLOOKUP($B28,Schools,'HP Schools Calculation'!E$1,0),"")</f>
        <v>0.85709999999999997</v>
      </c>
      <c r="E28" s="44" t="str">
        <f>_xlfn.IFNA(VLOOKUP($B28,Schools,'HP Schools Calculation'!G$1,0),"")</f>
        <v>No</v>
      </c>
      <c r="F28" s="68">
        <f>_xlfn.IFNA(VLOOKUP($B28,Schools,'HP Schools Calculation'!H$1,0),"")</f>
        <v>16.71</v>
      </c>
      <c r="G28" s="82"/>
      <c r="H28" s="79">
        <f>_xlfn.IFNA(VLOOKUP($B28,Schools,'HP Schools Calculation'!M$1,0),"")</f>
        <v>16.71</v>
      </c>
      <c r="I28" s="75">
        <f>_xlfn.IFNA(VLOOKUP($B28,Schools,'HP Schools Calculation'!AE$1,0),"")</f>
        <v>5069.43</v>
      </c>
    </row>
    <row r="29" spans="2:9">
      <c r="B29" s="55" t="str">
        <f t="array" ref="B29">IFERROR(INDEX('HP Schools Calculation'!$C$10:$C$2366,SMALL(IF('HP Schools Calculation'!$A$10:$A$2366=Summary!$B$9,ROW('HP Schools Calculation'!$C$10:$C$2366)-ROW('HP Schools Calculation'!C$10)+1),ROWS('HP Schools Calculation'!C$10:C21))),"")</f>
        <v/>
      </c>
      <c r="C29" s="43" t="str">
        <f>_xlfn.IFNA(VLOOKUP($B29,Schools,'HP Schools Calculation'!D$1,0),"")</f>
        <v/>
      </c>
      <c r="D29" s="44" t="str">
        <f>_xlfn.IFNA(VLOOKUP($B29,Schools,'HP Schools Calculation'!E$1,0),"")</f>
        <v/>
      </c>
      <c r="E29" s="44" t="str">
        <f>_xlfn.IFNA(VLOOKUP($B29,Schools,'HP Schools Calculation'!G$1,0),"")</f>
        <v/>
      </c>
      <c r="F29" s="68" t="str">
        <f>_xlfn.IFNA(VLOOKUP($B29,Schools,'HP Schools Calculation'!H$1,0),"")</f>
        <v/>
      </c>
      <c r="G29" s="82"/>
      <c r="H29" s="79" t="str">
        <f>_xlfn.IFNA(VLOOKUP($B29,Schools,'HP Schools Calculation'!M$1,0),"")</f>
        <v/>
      </c>
      <c r="I29" s="75" t="str">
        <f>_xlfn.IFNA(VLOOKUP($B29,Schools,'HP Schools Calculation'!AE$1,0),"")</f>
        <v/>
      </c>
    </row>
    <row r="30" spans="2:9">
      <c r="B30" s="55" t="str">
        <f t="array" ref="B30">IFERROR(INDEX('HP Schools Calculation'!$C$10:$C$2366,SMALL(IF('HP Schools Calculation'!$A$10:$A$2366=Summary!$B$9,ROW('HP Schools Calculation'!$C$10:$C$2366)-ROW('HP Schools Calculation'!C$10)+1),ROWS('HP Schools Calculation'!C$10:C22))),"")</f>
        <v/>
      </c>
      <c r="C30" s="43" t="str">
        <f>_xlfn.IFNA(VLOOKUP($B30,Schools,'HP Schools Calculation'!D$1,0),"")</f>
        <v/>
      </c>
      <c r="D30" s="44" t="str">
        <f>_xlfn.IFNA(VLOOKUP($B30,Schools,'HP Schools Calculation'!E$1,0),"")</f>
        <v/>
      </c>
      <c r="E30" s="44" t="str">
        <f>_xlfn.IFNA(VLOOKUP($B30,Schools,'HP Schools Calculation'!G$1,0),"")</f>
        <v/>
      </c>
      <c r="F30" s="68" t="str">
        <f>_xlfn.IFNA(VLOOKUP($B30,Schools,'HP Schools Calculation'!H$1,0),"")</f>
        <v/>
      </c>
      <c r="G30" s="82"/>
      <c r="H30" s="79" t="str">
        <f>_xlfn.IFNA(VLOOKUP($B30,Schools,'HP Schools Calculation'!M$1,0),"")</f>
        <v/>
      </c>
      <c r="I30" s="75" t="str">
        <f>_xlfn.IFNA(VLOOKUP($B30,Schools,'HP Schools Calculation'!AE$1,0),"")</f>
        <v/>
      </c>
    </row>
    <row r="31" spans="2:9">
      <c r="B31" s="55" t="str">
        <f t="array" ref="B31">IFERROR(INDEX('HP Schools Calculation'!$C$10:$C$2366,SMALL(IF('HP Schools Calculation'!$A$10:$A$2366=Summary!$B$9,ROW('HP Schools Calculation'!$C$10:$C$2366)-ROW('HP Schools Calculation'!C$10)+1),ROWS('HP Schools Calculation'!C$10:C23))),"")</f>
        <v/>
      </c>
      <c r="C31" s="43" t="str">
        <f>_xlfn.IFNA(VLOOKUP($B31,Schools,'HP Schools Calculation'!D$1,0),"")</f>
        <v/>
      </c>
      <c r="D31" s="44" t="str">
        <f>_xlfn.IFNA(VLOOKUP($B31,Schools,'HP Schools Calculation'!E$1,0),"")</f>
        <v/>
      </c>
      <c r="E31" s="44" t="str">
        <f>_xlfn.IFNA(VLOOKUP($B31,Schools,'HP Schools Calculation'!G$1,0),"")</f>
        <v/>
      </c>
      <c r="F31" s="68" t="str">
        <f>_xlfn.IFNA(VLOOKUP($B31,Schools,'HP Schools Calculation'!H$1,0),"")</f>
        <v/>
      </c>
      <c r="G31" s="82"/>
      <c r="H31" s="79" t="str">
        <f>_xlfn.IFNA(VLOOKUP($B31,Schools,'HP Schools Calculation'!M$1,0),"")</f>
        <v/>
      </c>
      <c r="I31" s="75" t="str">
        <f>_xlfn.IFNA(VLOOKUP($B31,Schools,'HP Schools Calculation'!AE$1,0),"")</f>
        <v/>
      </c>
    </row>
    <row r="32" spans="2:9">
      <c r="B32" s="55" t="str">
        <f t="array" ref="B32">IFERROR(INDEX('HP Schools Calculation'!$C$10:$C$2366,SMALL(IF('HP Schools Calculation'!$A$10:$A$2366=Summary!$B$9,ROW('HP Schools Calculation'!$C$10:$C$2366)-ROW('HP Schools Calculation'!C$10)+1),ROWS('HP Schools Calculation'!C$10:C24))),"")</f>
        <v/>
      </c>
      <c r="C32" s="43" t="str">
        <f>_xlfn.IFNA(VLOOKUP($B32,Schools,'HP Schools Calculation'!D$1,0),"")</f>
        <v/>
      </c>
      <c r="D32" s="44" t="str">
        <f>_xlfn.IFNA(VLOOKUP($B32,Schools,'HP Schools Calculation'!E$1,0),"")</f>
        <v/>
      </c>
      <c r="E32" s="44" t="str">
        <f>_xlfn.IFNA(VLOOKUP($B32,Schools,'HP Schools Calculation'!G$1,0),"")</f>
        <v/>
      </c>
      <c r="F32" s="68" t="str">
        <f>_xlfn.IFNA(VLOOKUP($B32,Schools,'HP Schools Calculation'!H$1,0),"")</f>
        <v/>
      </c>
      <c r="G32" s="82"/>
      <c r="H32" s="79" t="str">
        <f>_xlfn.IFNA(VLOOKUP($B32,Schools,'HP Schools Calculation'!M$1,0),"")</f>
        <v/>
      </c>
      <c r="I32" s="75" t="str">
        <f>_xlfn.IFNA(VLOOKUP($B32,Schools,'HP Schools Calculation'!AE$1,0),"")</f>
        <v/>
      </c>
    </row>
    <row r="33" spans="2:9">
      <c r="B33" s="55" t="str">
        <f t="array" ref="B33">IFERROR(INDEX('HP Schools Calculation'!$C$10:$C$2366,SMALL(IF('HP Schools Calculation'!$A$10:$A$2366=Summary!$B$9,ROW('HP Schools Calculation'!$C$10:$C$2366)-ROW('HP Schools Calculation'!C$10)+1),ROWS('HP Schools Calculation'!C$10:C25))),"")</f>
        <v/>
      </c>
      <c r="C33" s="43" t="str">
        <f>_xlfn.IFNA(VLOOKUP($B33,Schools,'HP Schools Calculation'!D$1,0),"")</f>
        <v/>
      </c>
      <c r="D33" s="44" t="str">
        <f>_xlfn.IFNA(VLOOKUP($B33,Schools,'HP Schools Calculation'!E$1,0),"")</f>
        <v/>
      </c>
      <c r="E33" s="44" t="str">
        <f>_xlfn.IFNA(VLOOKUP($B33,Schools,'HP Schools Calculation'!G$1,0),"")</f>
        <v/>
      </c>
      <c r="F33" s="68" t="str">
        <f>_xlfn.IFNA(VLOOKUP($B33,Schools,'HP Schools Calculation'!H$1,0),"")</f>
        <v/>
      </c>
      <c r="G33" s="82"/>
      <c r="H33" s="79" t="str">
        <f>_xlfn.IFNA(VLOOKUP($B33,Schools,'HP Schools Calculation'!M$1,0),"")</f>
        <v/>
      </c>
      <c r="I33" s="75" t="str">
        <f>_xlfn.IFNA(VLOOKUP($B33,Schools,'HP Schools Calculation'!AE$1,0),"")</f>
        <v/>
      </c>
    </row>
    <row r="34" spans="2:9">
      <c r="B34" s="55" t="str">
        <f t="array" ref="B34">IFERROR(INDEX('HP Schools Calculation'!$C$10:$C$2366,SMALL(IF('HP Schools Calculation'!$A$10:$A$2366=Summary!$B$9,ROW('HP Schools Calculation'!$C$10:$C$2366)-ROW('HP Schools Calculation'!C$10)+1),ROWS('HP Schools Calculation'!C$10:C26))),"")</f>
        <v/>
      </c>
      <c r="C34" s="43" t="str">
        <f>_xlfn.IFNA(VLOOKUP($B34,Schools,'HP Schools Calculation'!D$1,0),"")</f>
        <v/>
      </c>
      <c r="D34" s="44" t="str">
        <f>_xlfn.IFNA(VLOOKUP($B34,Schools,'HP Schools Calculation'!E$1,0),"")</f>
        <v/>
      </c>
      <c r="E34" s="44" t="str">
        <f>_xlfn.IFNA(VLOOKUP($B34,Schools,'HP Schools Calculation'!G$1,0),"")</f>
        <v/>
      </c>
      <c r="F34" s="68" t="str">
        <f>_xlfn.IFNA(VLOOKUP($B34,Schools,'HP Schools Calculation'!H$1,0),"")</f>
        <v/>
      </c>
      <c r="G34" s="82"/>
      <c r="H34" s="79" t="str">
        <f>_xlfn.IFNA(VLOOKUP($B34,Schools,'HP Schools Calculation'!M$1,0),"")</f>
        <v/>
      </c>
      <c r="I34" s="75" t="str">
        <f>_xlfn.IFNA(VLOOKUP($B34,Schools,'HP Schools Calculation'!AE$1,0),"")</f>
        <v/>
      </c>
    </row>
    <row r="35" spans="2:9">
      <c r="B35" s="55" t="str">
        <f t="array" ref="B35">IFERROR(INDEX('HP Schools Calculation'!$C$10:$C$2366,SMALL(IF('HP Schools Calculation'!$A$10:$A$2366=Summary!$B$9,ROW('HP Schools Calculation'!$C$10:$C$2366)-ROW('HP Schools Calculation'!C$10)+1),ROWS('HP Schools Calculation'!C$10:C27))),"")</f>
        <v/>
      </c>
      <c r="C35" s="43" t="str">
        <f>_xlfn.IFNA(VLOOKUP($B35,Schools,'HP Schools Calculation'!D$1,0),"")</f>
        <v/>
      </c>
      <c r="D35" s="44" t="str">
        <f>_xlfn.IFNA(VLOOKUP($B35,Schools,'HP Schools Calculation'!E$1,0),"")</f>
        <v/>
      </c>
      <c r="E35" s="44" t="str">
        <f>_xlfn.IFNA(VLOOKUP($B35,Schools,'HP Schools Calculation'!G$1,0),"")</f>
        <v/>
      </c>
      <c r="F35" s="68" t="str">
        <f>_xlfn.IFNA(VLOOKUP($B35,Schools,'HP Schools Calculation'!H$1,0),"")</f>
        <v/>
      </c>
      <c r="G35" s="82"/>
      <c r="H35" s="79" t="str">
        <f>_xlfn.IFNA(VLOOKUP($B35,Schools,'HP Schools Calculation'!M$1,0),"")</f>
        <v/>
      </c>
      <c r="I35" s="75" t="str">
        <f>_xlfn.IFNA(VLOOKUP($B35,Schools,'HP Schools Calculation'!AE$1,0),"")</f>
        <v/>
      </c>
    </row>
    <row r="36" spans="2:9">
      <c r="B36" s="55" t="str">
        <f t="array" ref="B36">IFERROR(INDEX('HP Schools Calculation'!$C$10:$C$2366,SMALL(IF('HP Schools Calculation'!$A$10:$A$2366=Summary!$B$9,ROW('HP Schools Calculation'!$C$10:$C$2366)-ROW('HP Schools Calculation'!C$10)+1),ROWS('HP Schools Calculation'!C$10:C28))),"")</f>
        <v/>
      </c>
      <c r="C36" s="43" t="str">
        <f>_xlfn.IFNA(VLOOKUP($B36,Schools,'HP Schools Calculation'!D$1,0),"")</f>
        <v/>
      </c>
      <c r="D36" s="44" t="str">
        <f>_xlfn.IFNA(VLOOKUP($B36,Schools,'HP Schools Calculation'!E$1,0),"")</f>
        <v/>
      </c>
      <c r="E36" s="44" t="str">
        <f>_xlfn.IFNA(VLOOKUP($B36,Schools,'HP Schools Calculation'!G$1,0),"")</f>
        <v/>
      </c>
      <c r="F36" s="68" t="str">
        <f>_xlfn.IFNA(VLOOKUP($B36,Schools,'HP Schools Calculation'!H$1,0),"")</f>
        <v/>
      </c>
      <c r="G36" s="82"/>
      <c r="H36" s="79" t="str">
        <f>_xlfn.IFNA(VLOOKUP($B36,Schools,'HP Schools Calculation'!M$1,0),"")</f>
        <v/>
      </c>
      <c r="I36" s="75" t="str">
        <f>_xlfn.IFNA(VLOOKUP($B36,Schools,'HP Schools Calculation'!AE$1,0),"")</f>
        <v/>
      </c>
    </row>
    <row r="37" spans="2:9">
      <c r="B37" s="55" t="str">
        <f t="array" ref="B37">IFERROR(INDEX('HP Schools Calculation'!$C$10:$C$2366,SMALL(IF('HP Schools Calculation'!$A$10:$A$2366=Summary!$B$9,ROW('HP Schools Calculation'!$C$10:$C$2366)-ROW('HP Schools Calculation'!C$10)+1),ROWS('HP Schools Calculation'!C$10:C29))),"")</f>
        <v/>
      </c>
      <c r="C37" s="43" t="str">
        <f>_xlfn.IFNA(VLOOKUP($B37,Schools,'HP Schools Calculation'!D$1,0),"")</f>
        <v/>
      </c>
      <c r="D37" s="44" t="str">
        <f>_xlfn.IFNA(VLOOKUP($B37,Schools,'HP Schools Calculation'!E$1,0),"")</f>
        <v/>
      </c>
      <c r="E37" s="44" t="str">
        <f>_xlfn.IFNA(VLOOKUP($B37,Schools,'HP Schools Calculation'!G$1,0),"")</f>
        <v/>
      </c>
      <c r="F37" s="68" t="str">
        <f>_xlfn.IFNA(VLOOKUP($B37,Schools,'HP Schools Calculation'!H$1,0),"")</f>
        <v/>
      </c>
      <c r="G37" s="82"/>
      <c r="H37" s="79" t="str">
        <f>_xlfn.IFNA(VLOOKUP($B37,Schools,'HP Schools Calculation'!M$1,0),"")</f>
        <v/>
      </c>
      <c r="I37" s="75" t="str">
        <f>_xlfn.IFNA(VLOOKUP($B37,Schools,'HP Schools Calculation'!AE$1,0),"")</f>
        <v/>
      </c>
    </row>
    <row r="38" spans="2:9">
      <c r="B38" s="55" t="str">
        <f t="array" ref="B38">IFERROR(INDEX('HP Schools Calculation'!$C$10:$C$2366,SMALL(IF('HP Schools Calculation'!$A$10:$A$2366=Summary!$B$9,ROW('HP Schools Calculation'!$C$10:$C$2366)-ROW('HP Schools Calculation'!C$10)+1),ROWS('HP Schools Calculation'!C$10:C30))),"")</f>
        <v/>
      </c>
      <c r="C38" s="43" t="str">
        <f>_xlfn.IFNA(VLOOKUP($B38,Schools,'HP Schools Calculation'!D$1,0),"")</f>
        <v/>
      </c>
      <c r="D38" s="44" t="str">
        <f>_xlfn.IFNA(VLOOKUP($B38,Schools,'HP Schools Calculation'!E$1,0),"")</f>
        <v/>
      </c>
      <c r="E38" s="44" t="str">
        <f>_xlfn.IFNA(VLOOKUP($B38,Schools,'HP Schools Calculation'!G$1,0),"")</f>
        <v/>
      </c>
      <c r="F38" s="68" t="str">
        <f>_xlfn.IFNA(VLOOKUP($B38,Schools,'HP Schools Calculation'!H$1,0),"")</f>
        <v/>
      </c>
      <c r="G38" s="82"/>
      <c r="H38" s="79" t="str">
        <f>_xlfn.IFNA(VLOOKUP($B38,Schools,'HP Schools Calculation'!M$1,0),"")</f>
        <v/>
      </c>
      <c r="I38" s="75" t="str">
        <f>_xlfn.IFNA(VLOOKUP($B38,Schools,'HP Schools Calculation'!AE$1,0),"")</f>
        <v/>
      </c>
    </row>
    <row r="39" spans="2:9">
      <c r="B39" s="55" t="str">
        <f t="array" ref="B39">IFERROR(INDEX('HP Schools Calculation'!$C$10:$C$2366,SMALL(IF('HP Schools Calculation'!$A$10:$A$2366=Summary!$B$9,ROW('HP Schools Calculation'!$C$10:$C$2366)-ROW('HP Schools Calculation'!C$10)+1),ROWS('HP Schools Calculation'!C$10:C31))),"")</f>
        <v/>
      </c>
      <c r="C39" s="43" t="str">
        <f>_xlfn.IFNA(VLOOKUP($B39,Schools,'HP Schools Calculation'!D$1,0),"")</f>
        <v/>
      </c>
      <c r="D39" s="44" t="str">
        <f>_xlfn.IFNA(VLOOKUP($B39,Schools,'HP Schools Calculation'!E$1,0),"")</f>
        <v/>
      </c>
      <c r="E39" s="44" t="str">
        <f>_xlfn.IFNA(VLOOKUP($B39,Schools,'HP Schools Calculation'!G$1,0),"")</f>
        <v/>
      </c>
      <c r="F39" s="68" t="str">
        <f>_xlfn.IFNA(VLOOKUP($B39,Schools,'HP Schools Calculation'!H$1,0),"")</f>
        <v/>
      </c>
      <c r="G39" s="82"/>
      <c r="H39" s="79" t="str">
        <f>_xlfn.IFNA(VLOOKUP($B39,Schools,'HP Schools Calculation'!M$1,0),"")</f>
        <v/>
      </c>
      <c r="I39" s="75" t="str">
        <f>_xlfn.IFNA(VLOOKUP($B39,Schools,'HP Schools Calculation'!AE$1,0),"")</f>
        <v/>
      </c>
    </row>
    <row r="40" spans="2:9">
      <c r="B40" s="55" t="str">
        <f t="array" ref="B40">IFERROR(INDEX('HP Schools Calculation'!$C$10:$C$2366,SMALL(IF('HP Schools Calculation'!$A$10:$A$2366=Summary!$B$9,ROW('HP Schools Calculation'!$C$10:$C$2366)-ROW('HP Schools Calculation'!C$10)+1),ROWS('HP Schools Calculation'!C$10:C32))),"")</f>
        <v/>
      </c>
      <c r="C40" s="43" t="str">
        <f>_xlfn.IFNA(VLOOKUP($B40,Schools,'HP Schools Calculation'!D$1,0),"")</f>
        <v/>
      </c>
      <c r="D40" s="44" t="str">
        <f>_xlfn.IFNA(VLOOKUP($B40,Schools,'HP Schools Calculation'!E$1,0),"")</f>
        <v/>
      </c>
      <c r="E40" s="44" t="str">
        <f>_xlfn.IFNA(VLOOKUP($B40,Schools,'HP Schools Calculation'!G$1,0),"")</f>
        <v/>
      </c>
      <c r="F40" s="68" t="str">
        <f>_xlfn.IFNA(VLOOKUP($B40,Schools,'HP Schools Calculation'!H$1,0),"")</f>
        <v/>
      </c>
      <c r="G40" s="82"/>
      <c r="H40" s="79" t="str">
        <f>_xlfn.IFNA(VLOOKUP($B40,Schools,'HP Schools Calculation'!M$1,0),"")</f>
        <v/>
      </c>
      <c r="I40" s="75" t="str">
        <f>_xlfn.IFNA(VLOOKUP($B40,Schools,'HP Schools Calculation'!AE$1,0),"")</f>
        <v/>
      </c>
    </row>
    <row r="41" spans="2:9">
      <c r="B41" s="55" t="str">
        <f t="array" ref="B41">IFERROR(INDEX('HP Schools Calculation'!$C$10:$C$2366,SMALL(IF('HP Schools Calculation'!$A$10:$A$2366=Summary!$B$9,ROW('HP Schools Calculation'!$C$10:$C$2366)-ROW('HP Schools Calculation'!C$10)+1),ROWS('HP Schools Calculation'!C$10:C33))),"")</f>
        <v/>
      </c>
      <c r="C41" s="43" t="str">
        <f>_xlfn.IFNA(VLOOKUP($B41,Schools,'HP Schools Calculation'!D$1,0),"")</f>
        <v/>
      </c>
      <c r="D41" s="44" t="str">
        <f>_xlfn.IFNA(VLOOKUP($B41,Schools,'HP Schools Calculation'!E$1,0),"")</f>
        <v/>
      </c>
      <c r="E41" s="44" t="str">
        <f>_xlfn.IFNA(VLOOKUP($B41,Schools,'HP Schools Calculation'!G$1,0),"")</f>
        <v/>
      </c>
      <c r="F41" s="68" t="str">
        <f>_xlfn.IFNA(VLOOKUP($B41,Schools,'HP Schools Calculation'!H$1,0),"")</f>
        <v/>
      </c>
      <c r="G41" s="82"/>
      <c r="H41" s="79" t="str">
        <f>_xlfn.IFNA(VLOOKUP($B41,Schools,'HP Schools Calculation'!M$1,0),"")</f>
        <v/>
      </c>
      <c r="I41" s="75" t="str">
        <f>_xlfn.IFNA(VLOOKUP($B41,Schools,'HP Schools Calculation'!AE$1,0),"")</f>
        <v/>
      </c>
    </row>
    <row r="42" spans="2:9">
      <c r="B42" s="55" t="str">
        <f t="array" ref="B42">IFERROR(INDEX('HP Schools Calculation'!$C$10:$C$2366,SMALL(IF('HP Schools Calculation'!$A$10:$A$2366=Summary!$B$9,ROW('HP Schools Calculation'!$C$10:$C$2366)-ROW('HP Schools Calculation'!C$10)+1),ROWS('HP Schools Calculation'!C$10:C34))),"")</f>
        <v/>
      </c>
      <c r="C42" s="43" t="str">
        <f>_xlfn.IFNA(VLOOKUP($B42,Schools,'HP Schools Calculation'!D$1,0),"")</f>
        <v/>
      </c>
      <c r="D42" s="44" t="str">
        <f>_xlfn.IFNA(VLOOKUP($B42,Schools,'HP Schools Calculation'!E$1,0),"")</f>
        <v/>
      </c>
      <c r="E42" s="44" t="str">
        <f>_xlfn.IFNA(VLOOKUP($B42,Schools,'HP Schools Calculation'!G$1,0),"")</f>
        <v/>
      </c>
      <c r="F42" s="68" t="str">
        <f>_xlfn.IFNA(VLOOKUP($B42,Schools,'HP Schools Calculation'!H$1,0),"")</f>
        <v/>
      </c>
      <c r="G42" s="82"/>
      <c r="H42" s="79" t="str">
        <f>_xlfn.IFNA(VLOOKUP($B42,Schools,'HP Schools Calculation'!M$1,0),"")</f>
        <v/>
      </c>
      <c r="I42" s="75" t="str">
        <f>_xlfn.IFNA(VLOOKUP($B42,Schools,'HP Schools Calculation'!AE$1,0),"")</f>
        <v/>
      </c>
    </row>
    <row r="43" spans="2:9">
      <c r="B43" s="55" t="str">
        <f t="array" ref="B43">IFERROR(INDEX('HP Schools Calculation'!$C$10:$C$2366,SMALL(IF('HP Schools Calculation'!$A$10:$A$2366=Summary!$B$9,ROW('HP Schools Calculation'!$C$10:$C$2366)-ROW('HP Schools Calculation'!C$10)+1),ROWS('HP Schools Calculation'!C$10:C35))),"")</f>
        <v/>
      </c>
      <c r="C43" s="43" t="str">
        <f>_xlfn.IFNA(VLOOKUP($B43,Schools,'HP Schools Calculation'!D$1,0),"")</f>
        <v/>
      </c>
      <c r="D43" s="44" t="str">
        <f>_xlfn.IFNA(VLOOKUP($B43,Schools,'HP Schools Calculation'!E$1,0),"")</f>
        <v/>
      </c>
      <c r="E43" s="44" t="str">
        <f>_xlfn.IFNA(VLOOKUP($B43,Schools,'HP Schools Calculation'!G$1,0),"")</f>
        <v/>
      </c>
      <c r="F43" s="68" t="str">
        <f>_xlfn.IFNA(VLOOKUP($B43,Schools,'HP Schools Calculation'!H$1,0),"")</f>
        <v/>
      </c>
      <c r="G43" s="82"/>
      <c r="H43" s="79" t="str">
        <f>_xlfn.IFNA(VLOOKUP($B43,Schools,'HP Schools Calculation'!M$1,0),"")</f>
        <v/>
      </c>
      <c r="I43" s="75" t="str">
        <f>_xlfn.IFNA(VLOOKUP($B43,Schools,'HP Schools Calculation'!AE$1,0),"")</f>
        <v/>
      </c>
    </row>
    <row r="44" spans="2:9">
      <c r="B44" s="55" t="str">
        <f t="array" ref="B44">IFERROR(INDEX('HP Schools Calculation'!$C$10:$C$2366,SMALL(IF('HP Schools Calculation'!$A$10:$A$2366=Summary!$B$9,ROW('HP Schools Calculation'!$C$10:$C$2366)-ROW('HP Schools Calculation'!C$10)+1),ROWS('HP Schools Calculation'!C$10:C36))),"")</f>
        <v/>
      </c>
      <c r="C44" s="43" t="str">
        <f>_xlfn.IFNA(VLOOKUP($B44,Schools,'HP Schools Calculation'!D$1,0),"")</f>
        <v/>
      </c>
      <c r="D44" s="44" t="str">
        <f>_xlfn.IFNA(VLOOKUP($B44,Schools,'HP Schools Calculation'!E$1,0),"")</f>
        <v/>
      </c>
      <c r="E44" s="44" t="str">
        <f>_xlfn.IFNA(VLOOKUP($B44,Schools,'HP Schools Calculation'!G$1,0),"")</f>
        <v/>
      </c>
      <c r="F44" s="68" t="str">
        <f>_xlfn.IFNA(VLOOKUP($B44,Schools,'HP Schools Calculation'!H$1,0),"")</f>
        <v/>
      </c>
      <c r="G44" s="82"/>
      <c r="H44" s="79" t="str">
        <f>_xlfn.IFNA(VLOOKUP($B44,Schools,'HP Schools Calculation'!M$1,0),"")</f>
        <v/>
      </c>
      <c r="I44" s="75" t="str">
        <f>_xlfn.IFNA(VLOOKUP($B44,Schools,'HP Schools Calculation'!AE$1,0),"")</f>
        <v/>
      </c>
    </row>
    <row r="45" spans="2:9">
      <c r="B45" s="55" t="str">
        <f t="array" ref="B45">IFERROR(INDEX('HP Schools Calculation'!$C$10:$C$2366,SMALL(IF('HP Schools Calculation'!$A$10:$A$2366=Summary!$B$9,ROW('HP Schools Calculation'!$C$10:$C$2366)-ROW('HP Schools Calculation'!C$10)+1),ROWS('HP Schools Calculation'!C$10:C37))),"")</f>
        <v/>
      </c>
      <c r="C45" s="43" t="str">
        <f>_xlfn.IFNA(VLOOKUP($B45,Schools,'HP Schools Calculation'!D$1,0),"")</f>
        <v/>
      </c>
      <c r="D45" s="44" t="str">
        <f>_xlfn.IFNA(VLOOKUP($B45,Schools,'HP Schools Calculation'!E$1,0),"")</f>
        <v/>
      </c>
      <c r="E45" s="44" t="str">
        <f>_xlfn.IFNA(VLOOKUP($B45,Schools,'HP Schools Calculation'!G$1,0),"")</f>
        <v/>
      </c>
      <c r="F45" s="68" t="str">
        <f>_xlfn.IFNA(VLOOKUP($B45,Schools,'HP Schools Calculation'!H$1,0),"")</f>
        <v/>
      </c>
      <c r="G45" s="82"/>
      <c r="H45" s="79" t="str">
        <f>_xlfn.IFNA(VLOOKUP($B45,Schools,'HP Schools Calculation'!M$1,0),"")</f>
        <v/>
      </c>
      <c r="I45" s="75" t="str">
        <f>_xlfn.IFNA(VLOOKUP($B45,Schools,'HP Schools Calculation'!AE$1,0),"")</f>
        <v/>
      </c>
    </row>
    <row r="46" spans="2:9">
      <c r="B46" s="55" t="str">
        <f t="array" ref="B46">IFERROR(INDEX('HP Schools Calculation'!$C$10:$C$2366,SMALL(IF('HP Schools Calculation'!$A$10:$A$2366=Summary!$B$9,ROW('HP Schools Calculation'!$C$10:$C$2366)-ROW('HP Schools Calculation'!C$10)+1),ROWS('HP Schools Calculation'!C$10:C38))),"")</f>
        <v/>
      </c>
      <c r="C46" s="43" t="str">
        <f>_xlfn.IFNA(VLOOKUP($B46,Schools,'HP Schools Calculation'!D$1,0),"")</f>
        <v/>
      </c>
      <c r="D46" s="44" t="str">
        <f>_xlfn.IFNA(VLOOKUP($B46,Schools,'HP Schools Calculation'!E$1,0),"")</f>
        <v/>
      </c>
      <c r="E46" s="44" t="str">
        <f>_xlfn.IFNA(VLOOKUP($B46,Schools,'HP Schools Calculation'!G$1,0),"")</f>
        <v/>
      </c>
      <c r="F46" s="68" t="str">
        <f>_xlfn.IFNA(VLOOKUP($B46,Schools,'HP Schools Calculation'!H$1,0),"")</f>
        <v/>
      </c>
      <c r="G46" s="82"/>
      <c r="H46" s="79" t="str">
        <f>_xlfn.IFNA(VLOOKUP($B46,Schools,'HP Schools Calculation'!M$1,0),"")</f>
        <v/>
      </c>
      <c r="I46" s="75" t="str">
        <f>_xlfn.IFNA(VLOOKUP($B46,Schools,'HP Schools Calculation'!AE$1,0),"")</f>
        <v/>
      </c>
    </row>
    <row r="47" spans="2:9">
      <c r="B47" s="55" t="str">
        <f t="array" ref="B47">IFERROR(INDEX('HP Schools Calculation'!$C$10:$C$2366,SMALL(IF('HP Schools Calculation'!$A$10:$A$2366=Summary!$B$9,ROW('HP Schools Calculation'!$C$10:$C$2366)-ROW('HP Schools Calculation'!C$10)+1),ROWS('HP Schools Calculation'!C$10:C39))),"")</f>
        <v/>
      </c>
      <c r="C47" s="43" t="str">
        <f>_xlfn.IFNA(VLOOKUP($B47,Schools,'HP Schools Calculation'!D$1,0),"")</f>
        <v/>
      </c>
      <c r="D47" s="44" t="str">
        <f>_xlfn.IFNA(VLOOKUP($B47,Schools,'HP Schools Calculation'!E$1,0),"")</f>
        <v/>
      </c>
      <c r="E47" s="44" t="str">
        <f>_xlfn.IFNA(VLOOKUP($B47,Schools,'HP Schools Calculation'!G$1,0),"")</f>
        <v/>
      </c>
      <c r="F47" s="68" t="str">
        <f>_xlfn.IFNA(VLOOKUP($B47,Schools,'HP Schools Calculation'!H$1,0),"")</f>
        <v/>
      </c>
      <c r="G47" s="82"/>
      <c r="H47" s="79" t="str">
        <f>_xlfn.IFNA(VLOOKUP($B47,Schools,'HP Schools Calculation'!M$1,0),"")</f>
        <v/>
      </c>
      <c r="I47" s="75" t="str">
        <f>_xlfn.IFNA(VLOOKUP($B47,Schools,'HP Schools Calculation'!AE$1,0),"")</f>
        <v/>
      </c>
    </row>
    <row r="48" spans="2:9">
      <c r="B48" s="55" t="str">
        <f t="array" ref="B48">IFERROR(INDEX('HP Schools Calculation'!$C$10:$C$2366,SMALL(IF('HP Schools Calculation'!$A$10:$A$2366=Summary!$B$9,ROW('HP Schools Calculation'!$C$10:$C$2366)-ROW('HP Schools Calculation'!C$10)+1),ROWS('HP Schools Calculation'!C$10:C40))),"")</f>
        <v/>
      </c>
      <c r="C48" s="43" t="str">
        <f>_xlfn.IFNA(VLOOKUP($B48,Schools,'HP Schools Calculation'!D$1,0),"")</f>
        <v/>
      </c>
      <c r="D48" s="44" t="str">
        <f>_xlfn.IFNA(VLOOKUP($B48,Schools,'HP Schools Calculation'!E$1,0),"")</f>
        <v/>
      </c>
      <c r="E48" s="44" t="str">
        <f>_xlfn.IFNA(VLOOKUP($B48,Schools,'HP Schools Calculation'!G$1,0),"")</f>
        <v/>
      </c>
      <c r="F48" s="68" t="str">
        <f>_xlfn.IFNA(VLOOKUP($B48,Schools,'HP Schools Calculation'!H$1,0),"")</f>
        <v/>
      </c>
      <c r="G48" s="82"/>
      <c r="H48" s="79" t="str">
        <f>_xlfn.IFNA(VLOOKUP($B48,Schools,'HP Schools Calculation'!M$1,0),"")</f>
        <v/>
      </c>
      <c r="I48" s="75" t="str">
        <f>_xlfn.IFNA(VLOOKUP($B48,Schools,'HP Schools Calculation'!AE$1,0),"")</f>
        <v/>
      </c>
    </row>
    <row r="49" spans="2:9">
      <c r="B49" s="55" t="str">
        <f t="array" ref="B49">IFERROR(INDEX('HP Schools Calculation'!$C$10:$C$2366,SMALL(IF('HP Schools Calculation'!$A$10:$A$2366=Summary!$B$9,ROW('HP Schools Calculation'!$C$10:$C$2366)-ROW('HP Schools Calculation'!C$10)+1),ROWS('HP Schools Calculation'!C$10:C41))),"")</f>
        <v/>
      </c>
      <c r="C49" s="43" t="str">
        <f>_xlfn.IFNA(VLOOKUP($B49,Schools,'HP Schools Calculation'!D$1,0),"")</f>
        <v/>
      </c>
      <c r="D49" s="44" t="str">
        <f>_xlfn.IFNA(VLOOKUP($B49,Schools,'HP Schools Calculation'!E$1,0),"")</f>
        <v/>
      </c>
      <c r="E49" s="44" t="str">
        <f>_xlfn.IFNA(VLOOKUP($B49,Schools,'HP Schools Calculation'!G$1,0),"")</f>
        <v/>
      </c>
      <c r="F49" s="68" t="str">
        <f>_xlfn.IFNA(VLOOKUP($B49,Schools,'HP Schools Calculation'!H$1,0),"")</f>
        <v/>
      </c>
      <c r="G49" s="82"/>
      <c r="H49" s="79" t="str">
        <f>_xlfn.IFNA(VLOOKUP($B49,Schools,'HP Schools Calculation'!M$1,0),"")</f>
        <v/>
      </c>
      <c r="I49" s="75" t="str">
        <f>_xlfn.IFNA(VLOOKUP($B49,Schools,'HP Schools Calculation'!AE$1,0),"")</f>
        <v/>
      </c>
    </row>
    <row r="50" spans="2:9">
      <c r="B50" s="55" t="str">
        <f t="array" ref="B50">IFERROR(INDEX('HP Schools Calculation'!$C$10:$C$2366,SMALL(IF('HP Schools Calculation'!$A$10:$A$2366=Summary!$B$9,ROW('HP Schools Calculation'!$C$10:$C$2366)-ROW('HP Schools Calculation'!C$10)+1),ROWS('HP Schools Calculation'!C$10:C42))),"")</f>
        <v/>
      </c>
      <c r="C50" s="43" t="str">
        <f>_xlfn.IFNA(VLOOKUP($B50,Schools,'HP Schools Calculation'!D$1,0),"")</f>
        <v/>
      </c>
      <c r="D50" s="44" t="str">
        <f>_xlfn.IFNA(VLOOKUP($B50,Schools,'HP Schools Calculation'!E$1,0),"")</f>
        <v/>
      </c>
      <c r="E50" s="44" t="str">
        <f>_xlfn.IFNA(VLOOKUP($B50,Schools,'HP Schools Calculation'!G$1,0),"")</f>
        <v/>
      </c>
      <c r="F50" s="68" t="str">
        <f>_xlfn.IFNA(VLOOKUP($B50,Schools,'HP Schools Calculation'!H$1,0),"")</f>
        <v/>
      </c>
      <c r="G50" s="82"/>
      <c r="H50" s="79" t="str">
        <f>_xlfn.IFNA(VLOOKUP($B50,Schools,'HP Schools Calculation'!M$1,0),"")</f>
        <v/>
      </c>
      <c r="I50" s="75" t="str">
        <f>_xlfn.IFNA(VLOOKUP($B50,Schools,'HP Schools Calculation'!AE$1,0),"")</f>
        <v/>
      </c>
    </row>
    <row r="51" spans="2:9">
      <c r="B51" s="55" t="str">
        <f t="array" ref="B51">IFERROR(INDEX('HP Schools Calculation'!$C$10:$C$2366,SMALL(IF('HP Schools Calculation'!$A$10:$A$2366=Summary!$B$9,ROW('HP Schools Calculation'!$C$10:$C$2366)-ROW('HP Schools Calculation'!C$10)+1),ROWS('HP Schools Calculation'!C$10:C43))),"")</f>
        <v/>
      </c>
      <c r="C51" s="43" t="str">
        <f>_xlfn.IFNA(VLOOKUP($B51,Schools,'HP Schools Calculation'!D$1,0),"")</f>
        <v/>
      </c>
      <c r="D51" s="44" t="str">
        <f>_xlfn.IFNA(VLOOKUP($B51,Schools,'HP Schools Calculation'!E$1,0),"")</f>
        <v/>
      </c>
      <c r="E51" s="44" t="str">
        <f>_xlfn.IFNA(VLOOKUP($B51,Schools,'HP Schools Calculation'!G$1,0),"")</f>
        <v/>
      </c>
      <c r="F51" s="68" t="str">
        <f>_xlfn.IFNA(VLOOKUP($B51,Schools,'HP Schools Calculation'!H$1,0),"")</f>
        <v/>
      </c>
      <c r="G51" s="82"/>
      <c r="H51" s="79" t="str">
        <f>_xlfn.IFNA(VLOOKUP($B51,Schools,'HP Schools Calculation'!M$1,0),"")</f>
        <v/>
      </c>
      <c r="I51" s="75" t="str">
        <f>_xlfn.IFNA(VLOOKUP($B51,Schools,'HP Schools Calculation'!AE$1,0),"")</f>
        <v/>
      </c>
    </row>
    <row r="52" spans="2:9">
      <c r="B52" s="55" t="str">
        <f t="array" ref="B52">IFERROR(INDEX('HP Schools Calculation'!$C$10:$C$2366,SMALL(IF('HP Schools Calculation'!$A$10:$A$2366=Summary!$B$9,ROW('HP Schools Calculation'!$C$10:$C$2366)-ROW('HP Schools Calculation'!C$10)+1),ROWS('HP Schools Calculation'!C$10:C44))),"")</f>
        <v/>
      </c>
      <c r="C52" s="43" t="str">
        <f>_xlfn.IFNA(VLOOKUP($B52,Schools,'HP Schools Calculation'!D$1,0),"")</f>
        <v/>
      </c>
      <c r="D52" s="44" t="str">
        <f>_xlfn.IFNA(VLOOKUP($B52,Schools,'HP Schools Calculation'!E$1,0),"")</f>
        <v/>
      </c>
      <c r="E52" s="44" t="str">
        <f>_xlfn.IFNA(VLOOKUP($B52,Schools,'HP Schools Calculation'!G$1,0),"")</f>
        <v/>
      </c>
      <c r="F52" s="68" t="str">
        <f>_xlfn.IFNA(VLOOKUP($B52,Schools,'HP Schools Calculation'!H$1,0),"")</f>
        <v/>
      </c>
      <c r="G52" s="82"/>
      <c r="H52" s="79" t="str">
        <f>_xlfn.IFNA(VLOOKUP($B52,Schools,'HP Schools Calculation'!M$1,0),"")</f>
        <v/>
      </c>
      <c r="I52" s="75" t="str">
        <f>_xlfn.IFNA(VLOOKUP($B52,Schools,'HP Schools Calculation'!AE$1,0),"")</f>
        <v/>
      </c>
    </row>
    <row r="53" spans="2:9">
      <c r="B53" s="55" t="str">
        <f t="array" ref="B53">IFERROR(INDEX('HP Schools Calculation'!$C$10:$C$2366,SMALL(IF('HP Schools Calculation'!$A$10:$A$2366=Summary!$B$9,ROW('HP Schools Calculation'!$C$10:$C$2366)-ROW('HP Schools Calculation'!C$10)+1),ROWS('HP Schools Calculation'!C$10:C45))),"")</f>
        <v/>
      </c>
      <c r="C53" s="43" t="str">
        <f>_xlfn.IFNA(VLOOKUP($B53,Schools,'HP Schools Calculation'!D$1,0),"")</f>
        <v/>
      </c>
      <c r="D53" s="44" t="str">
        <f>_xlfn.IFNA(VLOOKUP($B53,Schools,'HP Schools Calculation'!E$1,0),"")</f>
        <v/>
      </c>
      <c r="E53" s="44" t="str">
        <f>_xlfn.IFNA(VLOOKUP($B53,Schools,'HP Schools Calculation'!G$1,0),"")</f>
        <v/>
      </c>
      <c r="F53" s="68" t="str">
        <f>_xlfn.IFNA(VLOOKUP($B53,Schools,'HP Schools Calculation'!H$1,0),"")</f>
        <v/>
      </c>
      <c r="G53" s="82"/>
      <c r="H53" s="79" t="str">
        <f>_xlfn.IFNA(VLOOKUP($B53,Schools,'HP Schools Calculation'!M$1,0),"")</f>
        <v/>
      </c>
      <c r="I53" s="75" t="str">
        <f>_xlfn.IFNA(VLOOKUP($B53,Schools,'HP Schools Calculation'!AE$1,0),"")</f>
        <v/>
      </c>
    </row>
    <row r="54" spans="2:9">
      <c r="B54" s="55" t="str">
        <f t="array" ref="B54">IFERROR(INDEX('HP Schools Calculation'!$C$10:$C$2366,SMALL(IF('HP Schools Calculation'!$A$10:$A$2366=Summary!$B$9,ROW('HP Schools Calculation'!$C$10:$C$2366)-ROW('HP Schools Calculation'!C$10)+1),ROWS('HP Schools Calculation'!C$10:C46))),"")</f>
        <v/>
      </c>
      <c r="C54" s="43" t="str">
        <f>_xlfn.IFNA(VLOOKUP($B54,Schools,'HP Schools Calculation'!D$1,0),"")</f>
        <v/>
      </c>
      <c r="D54" s="44" t="str">
        <f>_xlfn.IFNA(VLOOKUP($B54,Schools,'HP Schools Calculation'!E$1,0),"")</f>
        <v/>
      </c>
      <c r="E54" s="44" t="str">
        <f>_xlfn.IFNA(VLOOKUP($B54,Schools,'HP Schools Calculation'!G$1,0),"")</f>
        <v/>
      </c>
      <c r="F54" s="68" t="str">
        <f>_xlfn.IFNA(VLOOKUP($B54,Schools,'HP Schools Calculation'!H$1,0),"")</f>
        <v/>
      </c>
      <c r="G54" s="82"/>
      <c r="H54" s="79" t="str">
        <f>_xlfn.IFNA(VLOOKUP($B54,Schools,'HP Schools Calculation'!M$1,0),"")</f>
        <v/>
      </c>
      <c r="I54" s="75" t="str">
        <f>_xlfn.IFNA(VLOOKUP($B54,Schools,'HP Schools Calculation'!AE$1,0),"")</f>
        <v/>
      </c>
    </row>
    <row r="55" spans="2:9">
      <c r="B55" s="55" t="str">
        <f t="array" ref="B55">IFERROR(INDEX('HP Schools Calculation'!$C$10:$C$2366,SMALL(IF('HP Schools Calculation'!$A$10:$A$2366=Summary!$B$9,ROW('HP Schools Calculation'!$C$10:$C$2366)-ROW('HP Schools Calculation'!C$10)+1),ROWS('HP Schools Calculation'!C$10:C47))),"")</f>
        <v/>
      </c>
      <c r="C55" s="43" t="str">
        <f>_xlfn.IFNA(VLOOKUP($B55,Schools,'HP Schools Calculation'!D$1,0),"")</f>
        <v/>
      </c>
      <c r="D55" s="44" t="str">
        <f>_xlfn.IFNA(VLOOKUP($B55,Schools,'HP Schools Calculation'!E$1,0),"")</f>
        <v/>
      </c>
      <c r="E55" s="44" t="str">
        <f>_xlfn.IFNA(VLOOKUP($B55,Schools,'HP Schools Calculation'!G$1,0),"")</f>
        <v/>
      </c>
      <c r="F55" s="68" t="str">
        <f>_xlfn.IFNA(VLOOKUP($B55,Schools,'HP Schools Calculation'!H$1,0),"")</f>
        <v/>
      </c>
      <c r="G55" s="82"/>
      <c r="H55" s="79" t="str">
        <f>_xlfn.IFNA(VLOOKUP($B55,Schools,'HP Schools Calculation'!M$1,0),"")</f>
        <v/>
      </c>
      <c r="I55" s="75" t="str">
        <f>_xlfn.IFNA(VLOOKUP($B55,Schools,'HP Schools Calculation'!AE$1,0),"")</f>
        <v/>
      </c>
    </row>
    <row r="56" spans="2:9">
      <c r="B56" s="55" t="str">
        <f t="array" ref="B56">IFERROR(INDEX('HP Schools Calculation'!$C$10:$C$2366,SMALL(IF('HP Schools Calculation'!$A$10:$A$2366=Summary!$B$9,ROW('HP Schools Calculation'!$C$10:$C$2366)-ROW('HP Schools Calculation'!C$10)+1),ROWS('HP Schools Calculation'!C$10:C48))),"")</f>
        <v/>
      </c>
      <c r="C56" s="43" t="str">
        <f>_xlfn.IFNA(VLOOKUP($B56,Schools,'HP Schools Calculation'!D$1,0),"")</f>
        <v/>
      </c>
      <c r="D56" s="44" t="str">
        <f>_xlfn.IFNA(VLOOKUP($B56,Schools,'HP Schools Calculation'!E$1,0),"")</f>
        <v/>
      </c>
      <c r="E56" s="44" t="str">
        <f>_xlfn.IFNA(VLOOKUP($B56,Schools,'HP Schools Calculation'!G$1,0),"")</f>
        <v/>
      </c>
      <c r="F56" s="68" t="str">
        <f>_xlfn.IFNA(VLOOKUP($B56,Schools,'HP Schools Calculation'!H$1,0),"")</f>
        <v/>
      </c>
      <c r="G56" s="82"/>
      <c r="H56" s="79" t="str">
        <f>_xlfn.IFNA(VLOOKUP($B56,Schools,'HP Schools Calculation'!M$1,0),"")</f>
        <v/>
      </c>
      <c r="I56" s="75" t="str">
        <f>_xlfn.IFNA(VLOOKUP($B56,Schools,'HP Schools Calculation'!AE$1,0),"")</f>
        <v/>
      </c>
    </row>
    <row r="57" spans="2:9">
      <c r="B57" s="55" t="str">
        <f t="array" ref="B57">IFERROR(INDEX('HP Schools Calculation'!$C$10:$C$2366,SMALL(IF('HP Schools Calculation'!$A$10:$A$2366=Summary!$B$9,ROW('HP Schools Calculation'!$C$10:$C$2366)-ROW('HP Schools Calculation'!C$10)+1),ROWS('HP Schools Calculation'!C$10:C49))),"")</f>
        <v/>
      </c>
      <c r="C57" s="43" t="str">
        <f>_xlfn.IFNA(VLOOKUP($B57,Schools,'HP Schools Calculation'!D$1,0),"")</f>
        <v/>
      </c>
      <c r="D57" s="44" t="str">
        <f>_xlfn.IFNA(VLOOKUP($B57,Schools,'HP Schools Calculation'!E$1,0),"")</f>
        <v/>
      </c>
      <c r="E57" s="44" t="str">
        <f>_xlfn.IFNA(VLOOKUP($B57,Schools,'HP Schools Calculation'!G$1,0),"")</f>
        <v/>
      </c>
      <c r="F57" s="68" t="str">
        <f>_xlfn.IFNA(VLOOKUP($B57,Schools,'HP Schools Calculation'!H$1,0),"")</f>
        <v/>
      </c>
      <c r="G57" s="82"/>
      <c r="H57" s="79" t="str">
        <f>_xlfn.IFNA(VLOOKUP($B57,Schools,'HP Schools Calculation'!M$1,0),"")</f>
        <v/>
      </c>
      <c r="I57" s="75" t="str">
        <f>_xlfn.IFNA(VLOOKUP($B57,Schools,'HP Schools Calculation'!AE$1,0),"")</f>
        <v/>
      </c>
    </row>
    <row r="58" spans="2:9">
      <c r="B58" s="55" t="str">
        <f t="array" ref="B58">IFERROR(INDEX('HP Schools Calculation'!$C$10:$C$2366,SMALL(IF('HP Schools Calculation'!$A$10:$A$2366=Summary!$B$9,ROW('HP Schools Calculation'!$C$10:$C$2366)-ROW('HP Schools Calculation'!C$10)+1),ROWS('HP Schools Calculation'!C$10:C50))),"")</f>
        <v/>
      </c>
      <c r="C58" s="43" t="str">
        <f>_xlfn.IFNA(VLOOKUP($B58,Schools,'HP Schools Calculation'!D$1,0),"")</f>
        <v/>
      </c>
      <c r="D58" s="44" t="str">
        <f>_xlfn.IFNA(VLOOKUP($B58,Schools,'HP Schools Calculation'!E$1,0),"")</f>
        <v/>
      </c>
      <c r="E58" s="44" t="str">
        <f>_xlfn.IFNA(VLOOKUP($B58,Schools,'HP Schools Calculation'!G$1,0),"")</f>
        <v/>
      </c>
      <c r="F58" s="68" t="str">
        <f>_xlfn.IFNA(VLOOKUP($B58,Schools,'HP Schools Calculation'!H$1,0),"")</f>
        <v/>
      </c>
      <c r="G58" s="82"/>
      <c r="H58" s="79" t="str">
        <f>_xlfn.IFNA(VLOOKUP($B58,Schools,'HP Schools Calculation'!M$1,0),"")</f>
        <v/>
      </c>
      <c r="I58" s="75" t="str">
        <f>_xlfn.IFNA(VLOOKUP($B58,Schools,'HP Schools Calculation'!AE$1,0),"")</f>
        <v/>
      </c>
    </row>
    <row r="59" spans="2:9">
      <c r="B59" s="55" t="str">
        <f t="array" ref="B59">IFERROR(INDEX('HP Schools Calculation'!$C$10:$C$2366,SMALL(IF('HP Schools Calculation'!$A$10:$A$2366=Summary!$B$9,ROW('HP Schools Calculation'!$C$10:$C$2366)-ROW('HP Schools Calculation'!C$10)+1),ROWS('HP Schools Calculation'!C$10:C51))),"")</f>
        <v/>
      </c>
      <c r="C59" s="43" t="str">
        <f>_xlfn.IFNA(VLOOKUP($B59,Schools,'HP Schools Calculation'!D$1,0),"")</f>
        <v/>
      </c>
      <c r="D59" s="44" t="str">
        <f>_xlfn.IFNA(VLOOKUP($B59,Schools,'HP Schools Calculation'!E$1,0),"")</f>
        <v/>
      </c>
      <c r="E59" s="44" t="str">
        <f>_xlfn.IFNA(VLOOKUP($B59,Schools,'HP Schools Calculation'!G$1,0),"")</f>
        <v/>
      </c>
      <c r="F59" s="68" t="str">
        <f>_xlfn.IFNA(VLOOKUP($B59,Schools,'HP Schools Calculation'!H$1,0),"")</f>
        <v/>
      </c>
      <c r="G59" s="82"/>
      <c r="H59" s="79" t="str">
        <f>_xlfn.IFNA(VLOOKUP($B59,Schools,'HP Schools Calculation'!M$1,0),"")</f>
        <v/>
      </c>
      <c r="I59" s="75" t="str">
        <f>_xlfn.IFNA(VLOOKUP($B59,Schools,'HP Schools Calculation'!AE$1,0),"")</f>
        <v/>
      </c>
    </row>
    <row r="60" spans="2:9">
      <c r="B60" s="55" t="str">
        <f t="array" ref="B60">IFERROR(INDEX('HP Schools Calculation'!$C$10:$C$2366,SMALL(IF('HP Schools Calculation'!$A$10:$A$2366=Summary!$B$9,ROW('HP Schools Calculation'!$C$10:$C$2366)-ROW('HP Schools Calculation'!C$10)+1),ROWS('HP Schools Calculation'!C$10:C52))),"")</f>
        <v/>
      </c>
      <c r="C60" s="43" t="str">
        <f>_xlfn.IFNA(VLOOKUP($B60,Schools,'HP Schools Calculation'!D$1,0),"")</f>
        <v/>
      </c>
      <c r="D60" s="44" t="str">
        <f>_xlfn.IFNA(VLOOKUP($B60,Schools,'HP Schools Calculation'!E$1,0),"")</f>
        <v/>
      </c>
      <c r="E60" s="44" t="str">
        <f>_xlfn.IFNA(VLOOKUP($B60,Schools,'HP Schools Calculation'!G$1,0),"")</f>
        <v/>
      </c>
      <c r="F60" s="68" t="str">
        <f>_xlfn.IFNA(VLOOKUP($B60,Schools,'HP Schools Calculation'!H$1,0),"")</f>
        <v/>
      </c>
      <c r="G60" s="82"/>
      <c r="H60" s="79" t="str">
        <f>_xlfn.IFNA(VLOOKUP($B60,Schools,'HP Schools Calculation'!M$1,0),"")</f>
        <v/>
      </c>
      <c r="I60" s="75" t="str">
        <f>_xlfn.IFNA(VLOOKUP($B60,Schools,'HP Schools Calculation'!AE$1,0),"")</f>
        <v/>
      </c>
    </row>
    <row r="61" spans="2:9">
      <c r="B61" s="55" t="str">
        <f t="array" ref="B61">IFERROR(INDEX('HP Schools Calculation'!$C$10:$C$2366,SMALL(IF('HP Schools Calculation'!$A$10:$A$2366=Summary!$B$9,ROW('HP Schools Calculation'!$C$10:$C$2366)-ROW('HP Schools Calculation'!C$10)+1),ROWS('HP Schools Calculation'!C$10:C53))),"")</f>
        <v/>
      </c>
      <c r="C61" s="43" t="str">
        <f>_xlfn.IFNA(VLOOKUP($B61,Schools,'HP Schools Calculation'!D$1,0),"")</f>
        <v/>
      </c>
      <c r="D61" s="44" t="str">
        <f>_xlfn.IFNA(VLOOKUP($B61,Schools,'HP Schools Calculation'!E$1,0),"")</f>
        <v/>
      </c>
      <c r="E61" s="44" t="str">
        <f>_xlfn.IFNA(VLOOKUP($B61,Schools,'HP Schools Calculation'!G$1,0),"")</f>
        <v/>
      </c>
      <c r="F61" s="68" t="str">
        <f>_xlfn.IFNA(VLOOKUP($B61,Schools,'HP Schools Calculation'!H$1,0),"")</f>
        <v/>
      </c>
      <c r="G61" s="82"/>
      <c r="H61" s="79" t="str">
        <f>_xlfn.IFNA(VLOOKUP($B61,Schools,'HP Schools Calculation'!M$1,0),"")</f>
        <v/>
      </c>
      <c r="I61" s="75" t="str">
        <f>_xlfn.IFNA(VLOOKUP($B61,Schools,'HP Schools Calculation'!AE$1,0),"")</f>
        <v/>
      </c>
    </row>
    <row r="62" spans="2:9">
      <c r="B62" s="55" t="str">
        <f t="array" ref="B62">IFERROR(INDEX('HP Schools Calculation'!$C$10:$C$2366,SMALL(IF('HP Schools Calculation'!$A$10:$A$2366=Summary!$B$9,ROW('HP Schools Calculation'!$C$10:$C$2366)-ROW('HP Schools Calculation'!C$10)+1),ROWS('HP Schools Calculation'!C$10:C54))),"")</f>
        <v/>
      </c>
      <c r="C62" s="43" t="str">
        <f>_xlfn.IFNA(VLOOKUP($B62,Schools,'HP Schools Calculation'!D$1,0),"")</f>
        <v/>
      </c>
      <c r="D62" s="44" t="str">
        <f>_xlfn.IFNA(VLOOKUP($B62,Schools,'HP Schools Calculation'!E$1,0),"")</f>
        <v/>
      </c>
      <c r="E62" s="44" t="str">
        <f>_xlfn.IFNA(VLOOKUP($B62,Schools,'HP Schools Calculation'!G$1,0),"")</f>
        <v/>
      </c>
      <c r="F62" s="68" t="str">
        <f>_xlfn.IFNA(VLOOKUP($B62,Schools,'HP Schools Calculation'!H$1,0),"")</f>
        <v/>
      </c>
      <c r="G62" s="82"/>
      <c r="H62" s="79" t="str">
        <f>_xlfn.IFNA(VLOOKUP($B62,Schools,'HP Schools Calculation'!M$1,0),"")</f>
        <v/>
      </c>
      <c r="I62" s="75" t="str">
        <f>_xlfn.IFNA(VLOOKUP($B62,Schools,'HP Schools Calculation'!AE$1,0),"")</f>
        <v/>
      </c>
    </row>
    <row r="63" spans="2:9">
      <c r="B63" s="55" t="str">
        <f t="array" ref="B63">IFERROR(INDEX('HP Schools Calculation'!$C$10:$C$2366,SMALL(IF('HP Schools Calculation'!$A$10:$A$2366=Summary!$B$9,ROW('HP Schools Calculation'!$C$10:$C$2366)-ROW('HP Schools Calculation'!C$10)+1),ROWS('HP Schools Calculation'!C$10:C55))),"")</f>
        <v/>
      </c>
      <c r="C63" s="43" t="str">
        <f>_xlfn.IFNA(VLOOKUP($B63,Schools,'HP Schools Calculation'!D$1,0),"")</f>
        <v/>
      </c>
      <c r="D63" s="44" t="str">
        <f>_xlfn.IFNA(VLOOKUP($B63,Schools,'HP Schools Calculation'!E$1,0),"")</f>
        <v/>
      </c>
      <c r="E63" s="44" t="str">
        <f>_xlfn.IFNA(VLOOKUP($B63,Schools,'HP Schools Calculation'!G$1,0),"")</f>
        <v/>
      </c>
      <c r="F63" s="68" t="str">
        <f>_xlfn.IFNA(VLOOKUP($B63,Schools,'HP Schools Calculation'!H$1,0),"")</f>
        <v/>
      </c>
      <c r="G63" s="82"/>
      <c r="H63" s="79" t="str">
        <f>_xlfn.IFNA(VLOOKUP($B63,Schools,'HP Schools Calculation'!M$1,0),"")</f>
        <v/>
      </c>
      <c r="I63" s="75" t="str">
        <f>_xlfn.IFNA(VLOOKUP($B63,Schools,'HP Schools Calculation'!AE$1,0),"")</f>
        <v/>
      </c>
    </row>
    <row r="64" spans="2:9">
      <c r="B64" s="55" t="str">
        <f t="array" ref="B64">IFERROR(INDEX('HP Schools Calculation'!$C$10:$C$2366,SMALL(IF('HP Schools Calculation'!$A$10:$A$2366=Summary!$B$9,ROW('HP Schools Calculation'!$C$10:$C$2366)-ROW('HP Schools Calculation'!C$10)+1),ROWS('HP Schools Calculation'!C$10:C56))),"")</f>
        <v/>
      </c>
      <c r="C64" s="43" t="str">
        <f>_xlfn.IFNA(VLOOKUP($B64,Schools,'HP Schools Calculation'!D$1,0),"")</f>
        <v/>
      </c>
      <c r="D64" s="44" t="str">
        <f>_xlfn.IFNA(VLOOKUP($B64,Schools,'HP Schools Calculation'!E$1,0),"")</f>
        <v/>
      </c>
      <c r="E64" s="44" t="str">
        <f>_xlfn.IFNA(VLOOKUP($B64,Schools,'HP Schools Calculation'!G$1,0),"")</f>
        <v/>
      </c>
      <c r="F64" s="68" t="str">
        <f>_xlfn.IFNA(VLOOKUP($B64,Schools,'HP Schools Calculation'!H$1,0),"")</f>
        <v/>
      </c>
      <c r="G64" s="82"/>
      <c r="H64" s="79" t="str">
        <f>_xlfn.IFNA(VLOOKUP($B64,Schools,'HP Schools Calculation'!M$1,0),"")</f>
        <v/>
      </c>
      <c r="I64" s="75" t="str">
        <f>_xlfn.IFNA(VLOOKUP($B64,Schools,'HP Schools Calculation'!AE$1,0),"")</f>
        <v/>
      </c>
    </row>
    <row r="65" spans="2:9">
      <c r="B65" s="55" t="str">
        <f t="array" ref="B65">IFERROR(INDEX('HP Schools Calculation'!$C$10:$C$2366,SMALL(IF('HP Schools Calculation'!$A$10:$A$2366=Summary!$B$9,ROW('HP Schools Calculation'!$C$10:$C$2366)-ROW('HP Schools Calculation'!C$10)+1),ROWS('HP Schools Calculation'!C$10:C57))),"")</f>
        <v/>
      </c>
      <c r="C65" s="43" t="str">
        <f>_xlfn.IFNA(VLOOKUP($B65,Schools,'HP Schools Calculation'!D$1,0),"")</f>
        <v/>
      </c>
      <c r="D65" s="44" t="str">
        <f>_xlfn.IFNA(VLOOKUP($B65,Schools,'HP Schools Calculation'!E$1,0),"")</f>
        <v/>
      </c>
      <c r="E65" s="44" t="str">
        <f>_xlfn.IFNA(VLOOKUP($B65,Schools,'HP Schools Calculation'!G$1,0),"")</f>
        <v/>
      </c>
      <c r="F65" s="68" t="str">
        <f>_xlfn.IFNA(VLOOKUP($B65,Schools,'HP Schools Calculation'!H$1,0),"")</f>
        <v/>
      </c>
      <c r="G65" s="82"/>
      <c r="H65" s="79" t="str">
        <f>_xlfn.IFNA(VLOOKUP($B65,Schools,'HP Schools Calculation'!M$1,0),"")</f>
        <v/>
      </c>
      <c r="I65" s="75" t="str">
        <f>_xlfn.IFNA(VLOOKUP($B65,Schools,'HP Schools Calculation'!AE$1,0),"")</f>
        <v/>
      </c>
    </row>
    <row r="66" spans="2:9">
      <c r="B66" s="55" t="str">
        <f t="array" ref="B66">IFERROR(INDEX('HP Schools Calculation'!$C$10:$C$2366,SMALL(IF('HP Schools Calculation'!$A$10:$A$2366=Summary!$B$9,ROW('HP Schools Calculation'!$C$10:$C$2366)-ROW('HP Schools Calculation'!C$10)+1),ROWS('HP Schools Calculation'!C$10:C58))),"")</f>
        <v/>
      </c>
      <c r="C66" s="43" t="str">
        <f>_xlfn.IFNA(VLOOKUP($B66,Schools,'HP Schools Calculation'!D$1,0),"")</f>
        <v/>
      </c>
      <c r="D66" s="44" t="str">
        <f>_xlfn.IFNA(VLOOKUP($B66,Schools,'HP Schools Calculation'!E$1,0),"")</f>
        <v/>
      </c>
      <c r="E66" s="44" t="str">
        <f>_xlfn.IFNA(VLOOKUP($B66,Schools,'HP Schools Calculation'!G$1,0),"")</f>
        <v/>
      </c>
      <c r="F66" s="68" t="str">
        <f>_xlfn.IFNA(VLOOKUP($B66,Schools,'HP Schools Calculation'!H$1,0),"")</f>
        <v/>
      </c>
      <c r="G66" s="82"/>
      <c r="H66" s="79" t="str">
        <f>_xlfn.IFNA(VLOOKUP($B66,Schools,'HP Schools Calculation'!M$1,0),"")</f>
        <v/>
      </c>
      <c r="I66" s="75" t="str">
        <f>_xlfn.IFNA(VLOOKUP($B66,Schools,'HP Schools Calculation'!AE$1,0),"")</f>
        <v/>
      </c>
    </row>
    <row r="67" spans="2:9">
      <c r="B67" s="55" t="str">
        <f t="array" ref="B67">IFERROR(INDEX('HP Schools Calculation'!$C$10:$C$2366,SMALL(IF('HP Schools Calculation'!$A$10:$A$2366=Summary!$B$9,ROW('HP Schools Calculation'!$C$10:$C$2366)-ROW('HP Schools Calculation'!C$10)+1),ROWS('HP Schools Calculation'!C$10:C59))),"")</f>
        <v/>
      </c>
      <c r="C67" s="43" t="str">
        <f>_xlfn.IFNA(VLOOKUP($B67,Schools,'HP Schools Calculation'!D$1,0),"")</f>
        <v/>
      </c>
      <c r="D67" s="44" t="str">
        <f>_xlfn.IFNA(VLOOKUP($B67,Schools,'HP Schools Calculation'!E$1,0),"")</f>
        <v/>
      </c>
      <c r="E67" s="44" t="str">
        <f>_xlfn.IFNA(VLOOKUP($B67,Schools,'HP Schools Calculation'!G$1,0),"")</f>
        <v/>
      </c>
      <c r="F67" s="68" t="str">
        <f>_xlfn.IFNA(VLOOKUP($B67,Schools,'HP Schools Calculation'!H$1,0),"")</f>
        <v/>
      </c>
      <c r="G67" s="82"/>
      <c r="H67" s="79" t="str">
        <f>_xlfn.IFNA(VLOOKUP($B67,Schools,'HP Schools Calculation'!M$1,0),"")</f>
        <v/>
      </c>
      <c r="I67" s="75" t="str">
        <f>_xlfn.IFNA(VLOOKUP($B67,Schools,'HP Schools Calculation'!AE$1,0),"")</f>
        <v/>
      </c>
    </row>
    <row r="68" spans="2:9">
      <c r="B68" s="55" t="str">
        <f t="array" ref="B68">IFERROR(INDEX('HP Schools Calculation'!$C$10:$C$2366,SMALL(IF('HP Schools Calculation'!$A$10:$A$2366=Summary!$B$9,ROW('HP Schools Calculation'!$C$10:$C$2366)-ROW('HP Schools Calculation'!C$10)+1),ROWS('HP Schools Calculation'!C$10:C60))),"")</f>
        <v/>
      </c>
      <c r="C68" s="43" t="str">
        <f>_xlfn.IFNA(VLOOKUP($B68,Schools,'HP Schools Calculation'!D$1,0),"")</f>
        <v/>
      </c>
      <c r="D68" s="44" t="str">
        <f>_xlfn.IFNA(VLOOKUP($B68,Schools,'HP Schools Calculation'!E$1,0),"")</f>
        <v/>
      </c>
      <c r="E68" s="44" t="str">
        <f>_xlfn.IFNA(VLOOKUP($B68,Schools,'HP Schools Calculation'!G$1,0),"")</f>
        <v/>
      </c>
      <c r="F68" s="68" t="str">
        <f>_xlfn.IFNA(VLOOKUP($B68,Schools,'HP Schools Calculation'!H$1,0),"")</f>
        <v/>
      </c>
      <c r="G68" s="82"/>
      <c r="H68" s="79" t="str">
        <f>_xlfn.IFNA(VLOOKUP($B68,Schools,'HP Schools Calculation'!M$1,0),"")</f>
        <v/>
      </c>
      <c r="I68" s="75" t="str">
        <f>_xlfn.IFNA(VLOOKUP($B68,Schools,'HP Schools Calculation'!AE$1,0),"")</f>
        <v/>
      </c>
    </row>
    <row r="69" spans="2:9">
      <c r="B69" s="55" t="str">
        <f t="array" ref="B69">IFERROR(INDEX('HP Schools Calculation'!$C$10:$C$2366,SMALL(IF('HP Schools Calculation'!$A$10:$A$2366=Summary!$B$9,ROW('HP Schools Calculation'!$C$10:$C$2366)-ROW('HP Schools Calculation'!C$10)+1),ROWS('HP Schools Calculation'!C$10:C61))),"")</f>
        <v/>
      </c>
      <c r="C69" s="43" t="str">
        <f>_xlfn.IFNA(VLOOKUP($B69,Schools,'HP Schools Calculation'!D$1,0),"")</f>
        <v/>
      </c>
      <c r="D69" s="44" t="str">
        <f>_xlfn.IFNA(VLOOKUP($B69,Schools,'HP Schools Calculation'!E$1,0),"")</f>
        <v/>
      </c>
      <c r="E69" s="44" t="str">
        <f>_xlfn.IFNA(VLOOKUP($B69,Schools,'HP Schools Calculation'!G$1,0),"")</f>
        <v/>
      </c>
      <c r="F69" s="68" t="str">
        <f>_xlfn.IFNA(VLOOKUP($B69,Schools,'HP Schools Calculation'!H$1,0),"")</f>
        <v/>
      </c>
      <c r="G69" s="82"/>
      <c r="H69" s="79" t="str">
        <f>_xlfn.IFNA(VLOOKUP($B69,Schools,'HP Schools Calculation'!M$1,0),"")</f>
        <v/>
      </c>
      <c r="I69" s="75" t="str">
        <f>_xlfn.IFNA(VLOOKUP($B69,Schools,'HP Schools Calculation'!AE$1,0),"")</f>
        <v/>
      </c>
    </row>
    <row r="70" spans="2:9">
      <c r="B70" s="55" t="str">
        <f t="array" ref="B70">IFERROR(INDEX('HP Schools Calculation'!$C$10:$C$2366,SMALL(IF('HP Schools Calculation'!$A$10:$A$2366=Summary!$B$9,ROW('HP Schools Calculation'!$C$10:$C$2366)-ROW('HP Schools Calculation'!C$10)+1),ROWS('HP Schools Calculation'!C$10:C62))),"")</f>
        <v/>
      </c>
      <c r="C70" s="43" t="str">
        <f>_xlfn.IFNA(VLOOKUP($B70,Schools,'HP Schools Calculation'!D$1,0),"")</f>
        <v/>
      </c>
      <c r="D70" s="44" t="str">
        <f>_xlfn.IFNA(VLOOKUP($B70,Schools,'HP Schools Calculation'!E$1,0),"")</f>
        <v/>
      </c>
      <c r="E70" s="44" t="str">
        <f>_xlfn.IFNA(VLOOKUP($B70,Schools,'HP Schools Calculation'!G$1,0),"")</f>
        <v/>
      </c>
      <c r="F70" s="68" t="str">
        <f>_xlfn.IFNA(VLOOKUP($B70,Schools,'HP Schools Calculation'!H$1,0),"")</f>
        <v/>
      </c>
      <c r="G70" s="82"/>
      <c r="H70" s="79" t="str">
        <f>_xlfn.IFNA(VLOOKUP($B70,Schools,'HP Schools Calculation'!M$1,0),"")</f>
        <v/>
      </c>
      <c r="I70" s="75" t="str">
        <f>_xlfn.IFNA(VLOOKUP($B70,Schools,'HP Schools Calculation'!AE$1,0),"")</f>
        <v/>
      </c>
    </row>
    <row r="71" spans="2:9">
      <c r="B71" s="55" t="str">
        <f t="array" ref="B71">IFERROR(INDEX('HP Schools Calculation'!$C$10:$C$2366,SMALL(IF('HP Schools Calculation'!$A$10:$A$2366=Summary!$B$9,ROW('HP Schools Calculation'!$C$10:$C$2366)-ROW('HP Schools Calculation'!C$10)+1),ROWS('HP Schools Calculation'!C$10:C63))),"")</f>
        <v/>
      </c>
      <c r="C71" s="43" t="str">
        <f>_xlfn.IFNA(VLOOKUP($B71,Schools,'HP Schools Calculation'!D$1,0),"")</f>
        <v/>
      </c>
      <c r="D71" s="44" t="str">
        <f>_xlfn.IFNA(VLOOKUP($B71,Schools,'HP Schools Calculation'!E$1,0),"")</f>
        <v/>
      </c>
      <c r="E71" s="44" t="str">
        <f>_xlfn.IFNA(VLOOKUP($B71,Schools,'HP Schools Calculation'!G$1,0),"")</f>
        <v/>
      </c>
      <c r="F71" s="68" t="str">
        <f>_xlfn.IFNA(VLOOKUP($B71,Schools,'HP Schools Calculation'!H$1,0),"")</f>
        <v/>
      </c>
      <c r="G71" s="82"/>
      <c r="H71" s="79" t="str">
        <f>_xlfn.IFNA(VLOOKUP($B71,Schools,'HP Schools Calculation'!M$1,0),"")</f>
        <v/>
      </c>
      <c r="I71" s="75" t="str">
        <f>_xlfn.IFNA(VLOOKUP($B71,Schools,'HP Schools Calculation'!AE$1,0),"")</f>
        <v/>
      </c>
    </row>
    <row r="72" spans="2:9">
      <c r="B72" s="55" t="str">
        <f t="array" ref="B72">IFERROR(INDEX('HP Schools Calculation'!$C$10:$C$2366,SMALL(IF('HP Schools Calculation'!$A$10:$A$2366=Summary!$B$9,ROW('HP Schools Calculation'!$C$10:$C$2366)-ROW('HP Schools Calculation'!C$10)+1),ROWS('HP Schools Calculation'!C$10:C64))),"")</f>
        <v/>
      </c>
      <c r="C72" s="43" t="str">
        <f>_xlfn.IFNA(VLOOKUP($B72,Schools,'HP Schools Calculation'!D$1,0),"")</f>
        <v/>
      </c>
      <c r="D72" s="44" t="str">
        <f>_xlfn.IFNA(VLOOKUP($B72,Schools,'HP Schools Calculation'!E$1,0),"")</f>
        <v/>
      </c>
      <c r="E72" s="44" t="str">
        <f>_xlfn.IFNA(VLOOKUP($B72,Schools,'HP Schools Calculation'!G$1,0),"")</f>
        <v/>
      </c>
      <c r="F72" s="68" t="str">
        <f>_xlfn.IFNA(VLOOKUP($B72,Schools,'HP Schools Calculation'!H$1,0),"")</f>
        <v/>
      </c>
      <c r="G72" s="82"/>
      <c r="H72" s="79" t="str">
        <f>_xlfn.IFNA(VLOOKUP($B72,Schools,'HP Schools Calculation'!M$1,0),"")</f>
        <v/>
      </c>
      <c r="I72" s="75" t="str">
        <f>_xlfn.IFNA(VLOOKUP($B72,Schools,'HP Schools Calculation'!AE$1,0),"")</f>
        <v/>
      </c>
    </row>
    <row r="73" spans="2:9">
      <c r="B73" s="55" t="str">
        <f t="array" ref="B73">IFERROR(INDEX('HP Schools Calculation'!$C$10:$C$2366,SMALL(IF('HP Schools Calculation'!$A$10:$A$2366=Summary!$B$9,ROW('HP Schools Calculation'!$C$10:$C$2366)-ROW('HP Schools Calculation'!C$10)+1),ROWS('HP Schools Calculation'!C$10:C65))),"")</f>
        <v/>
      </c>
      <c r="C73" s="43" t="str">
        <f>_xlfn.IFNA(VLOOKUP($B73,Schools,'HP Schools Calculation'!D$1,0),"")</f>
        <v/>
      </c>
      <c r="D73" s="44" t="str">
        <f>_xlfn.IFNA(VLOOKUP($B73,Schools,'HP Schools Calculation'!E$1,0),"")</f>
        <v/>
      </c>
      <c r="E73" s="44" t="str">
        <f>_xlfn.IFNA(VLOOKUP($B73,Schools,'HP Schools Calculation'!G$1,0),"")</f>
        <v/>
      </c>
      <c r="F73" s="68" t="str">
        <f>_xlfn.IFNA(VLOOKUP($B73,Schools,'HP Schools Calculation'!H$1,0),"")</f>
        <v/>
      </c>
      <c r="G73" s="82"/>
      <c r="H73" s="79" t="str">
        <f>_xlfn.IFNA(VLOOKUP($B73,Schools,'HP Schools Calculation'!M$1,0),"")</f>
        <v/>
      </c>
      <c r="I73" s="75" t="str">
        <f>_xlfn.IFNA(VLOOKUP($B73,Schools,'HP Schools Calculation'!AE$1,0),"")</f>
        <v/>
      </c>
    </row>
    <row r="74" spans="2:9">
      <c r="B74" s="55" t="str">
        <f t="array" ref="B74">IFERROR(INDEX('HP Schools Calculation'!$C$10:$C$2366,SMALL(IF('HP Schools Calculation'!$A$10:$A$2366=Summary!$B$9,ROW('HP Schools Calculation'!$C$10:$C$2366)-ROW('HP Schools Calculation'!C$10)+1),ROWS('HP Schools Calculation'!C$10:C66))),"")</f>
        <v/>
      </c>
      <c r="C74" s="43" t="str">
        <f>_xlfn.IFNA(VLOOKUP($B74,Schools,'HP Schools Calculation'!D$1,0),"")</f>
        <v/>
      </c>
      <c r="D74" s="44" t="str">
        <f>_xlfn.IFNA(VLOOKUP($B74,Schools,'HP Schools Calculation'!E$1,0),"")</f>
        <v/>
      </c>
      <c r="E74" s="44" t="str">
        <f>_xlfn.IFNA(VLOOKUP($B74,Schools,'HP Schools Calculation'!G$1,0),"")</f>
        <v/>
      </c>
      <c r="F74" s="68" t="str">
        <f>_xlfn.IFNA(VLOOKUP($B74,Schools,'HP Schools Calculation'!H$1,0),"")</f>
        <v/>
      </c>
      <c r="G74" s="82"/>
      <c r="H74" s="79" t="str">
        <f>_xlfn.IFNA(VLOOKUP($B74,Schools,'HP Schools Calculation'!M$1,0),"")</f>
        <v/>
      </c>
      <c r="I74" s="75" t="str">
        <f>_xlfn.IFNA(VLOOKUP($B74,Schools,'HP Schools Calculation'!AE$1,0),"")</f>
        <v/>
      </c>
    </row>
    <row r="75" spans="2:9">
      <c r="B75" s="55" t="str">
        <f t="array" ref="B75">IFERROR(INDEX('HP Schools Calculation'!$C$10:$C$2366,SMALL(IF('HP Schools Calculation'!$A$10:$A$2366=Summary!$B$9,ROW('HP Schools Calculation'!$C$10:$C$2366)-ROW('HP Schools Calculation'!C$10)+1),ROWS('HP Schools Calculation'!C$10:C67))),"")</f>
        <v/>
      </c>
      <c r="C75" s="43" t="str">
        <f>_xlfn.IFNA(VLOOKUP($B75,Schools,'HP Schools Calculation'!D$1,0),"")</f>
        <v/>
      </c>
      <c r="D75" s="44" t="str">
        <f>_xlfn.IFNA(VLOOKUP($B75,Schools,'HP Schools Calculation'!E$1,0),"")</f>
        <v/>
      </c>
      <c r="E75" s="44" t="str">
        <f>_xlfn.IFNA(VLOOKUP($B75,Schools,'HP Schools Calculation'!G$1,0),"")</f>
        <v/>
      </c>
      <c r="F75" s="68" t="str">
        <f>_xlfn.IFNA(VLOOKUP($B75,Schools,'HP Schools Calculation'!H$1,0),"")</f>
        <v/>
      </c>
      <c r="G75" s="82"/>
      <c r="H75" s="79" t="str">
        <f>_xlfn.IFNA(VLOOKUP($B75,Schools,'HP Schools Calculation'!M$1,0),"")</f>
        <v/>
      </c>
      <c r="I75" s="75" t="str">
        <f>_xlfn.IFNA(VLOOKUP($B75,Schools,'HP Schools Calculation'!AE$1,0),"")</f>
        <v/>
      </c>
    </row>
    <row r="76" spans="2:9">
      <c r="B76" s="55" t="str">
        <f t="array" ref="B76">IFERROR(INDEX('HP Schools Calculation'!$C$10:$C$2366,SMALL(IF('HP Schools Calculation'!$A$10:$A$2366=Summary!$B$9,ROW('HP Schools Calculation'!$C$10:$C$2366)-ROW('HP Schools Calculation'!C$10)+1),ROWS('HP Schools Calculation'!C$10:C68))),"")</f>
        <v/>
      </c>
      <c r="C76" s="43" t="str">
        <f>_xlfn.IFNA(VLOOKUP($B76,Schools,'HP Schools Calculation'!D$1,0),"")</f>
        <v/>
      </c>
      <c r="D76" s="44" t="str">
        <f>_xlfn.IFNA(VLOOKUP($B76,Schools,'HP Schools Calculation'!E$1,0),"")</f>
        <v/>
      </c>
      <c r="E76" s="44" t="str">
        <f>_xlfn.IFNA(VLOOKUP($B76,Schools,'HP Schools Calculation'!G$1,0),"")</f>
        <v/>
      </c>
      <c r="F76" s="68" t="str">
        <f>_xlfn.IFNA(VLOOKUP($B76,Schools,'HP Schools Calculation'!H$1,0),"")</f>
        <v/>
      </c>
      <c r="G76" s="82"/>
      <c r="H76" s="79" t="str">
        <f>_xlfn.IFNA(VLOOKUP($B76,Schools,'HP Schools Calculation'!M$1,0),"")</f>
        <v/>
      </c>
      <c r="I76" s="75" t="str">
        <f>_xlfn.IFNA(VLOOKUP($B76,Schools,'HP Schools Calculation'!AE$1,0),"")</f>
        <v/>
      </c>
    </row>
    <row r="77" spans="2:9">
      <c r="B77" s="55" t="str">
        <f t="array" ref="B77">IFERROR(INDEX('HP Schools Calculation'!$C$10:$C$2366,SMALL(IF('HP Schools Calculation'!$A$10:$A$2366=Summary!$B$9,ROW('HP Schools Calculation'!$C$10:$C$2366)-ROW('HP Schools Calculation'!C$10)+1),ROWS('HP Schools Calculation'!C$10:C69))),"")</f>
        <v/>
      </c>
      <c r="C77" s="43" t="str">
        <f>_xlfn.IFNA(VLOOKUP($B77,Schools,'HP Schools Calculation'!D$1,0),"")</f>
        <v/>
      </c>
      <c r="D77" s="44" t="str">
        <f>_xlfn.IFNA(VLOOKUP($B77,Schools,'HP Schools Calculation'!E$1,0),"")</f>
        <v/>
      </c>
      <c r="E77" s="44" t="str">
        <f>_xlfn.IFNA(VLOOKUP($B77,Schools,'HP Schools Calculation'!G$1,0),"")</f>
        <v/>
      </c>
      <c r="F77" s="68" t="str">
        <f>_xlfn.IFNA(VLOOKUP($B77,Schools,'HP Schools Calculation'!H$1,0),"")</f>
        <v/>
      </c>
      <c r="G77" s="82"/>
      <c r="H77" s="79" t="str">
        <f>_xlfn.IFNA(VLOOKUP($B77,Schools,'HP Schools Calculation'!M$1,0),"")</f>
        <v/>
      </c>
      <c r="I77" s="75" t="str">
        <f>_xlfn.IFNA(VLOOKUP($B77,Schools,'HP Schools Calculation'!AE$1,0),"")</f>
        <v/>
      </c>
    </row>
    <row r="78" spans="2:9">
      <c r="B78" s="55" t="str">
        <f t="array" ref="B78">IFERROR(INDEX('HP Schools Calculation'!$C$10:$C$2366,SMALL(IF('HP Schools Calculation'!$A$10:$A$2366=Summary!$B$9,ROW('HP Schools Calculation'!$C$10:$C$2366)-ROW('HP Schools Calculation'!C$10)+1),ROWS('HP Schools Calculation'!C$10:C70))),"")</f>
        <v/>
      </c>
      <c r="C78" s="43" t="str">
        <f>_xlfn.IFNA(VLOOKUP($B78,Schools,'HP Schools Calculation'!D$1,0),"")</f>
        <v/>
      </c>
      <c r="D78" s="44" t="str">
        <f>_xlfn.IFNA(VLOOKUP($B78,Schools,'HP Schools Calculation'!E$1,0),"")</f>
        <v/>
      </c>
      <c r="E78" s="44" t="str">
        <f>_xlfn.IFNA(VLOOKUP($B78,Schools,'HP Schools Calculation'!G$1,0),"")</f>
        <v/>
      </c>
      <c r="F78" s="68" t="str">
        <f>_xlfn.IFNA(VLOOKUP($B78,Schools,'HP Schools Calculation'!H$1,0),"")</f>
        <v/>
      </c>
      <c r="G78" s="82"/>
      <c r="H78" s="79" t="str">
        <f>_xlfn.IFNA(VLOOKUP($B78,Schools,'HP Schools Calculation'!M$1,0),"")</f>
        <v/>
      </c>
      <c r="I78" s="75" t="str">
        <f>_xlfn.IFNA(VLOOKUP($B78,Schools,'HP Schools Calculation'!AE$1,0),"")</f>
        <v/>
      </c>
    </row>
    <row r="79" spans="2:9">
      <c r="B79" s="55" t="str">
        <f t="array" ref="B79">IFERROR(INDEX('HP Schools Calculation'!$C$10:$C$2366,SMALL(IF('HP Schools Calculation'!$A$10:$A$2366=Summary!$B$9,ROW('HP Schools Calculation'!$C$10:$C$2366)-ROW('HP Schools Calculation'!C$10)+1),ROWS('HP Schools Calculation'!C$10:C71))),"")</f>
        <v/>
      </c>
      <c r="C79" s="43" t="str">
        <f>_xlfn.IFNA(VLOOKUP($B79,Schools,'HP Schools Calculation'!D$1,0),"")</f>
        <v/>
      </c>
      <c r="D79" s="44" t="str">
        <f>_xlfn.IFNA(VLOOKUP($B79,Schools,'HP Schools Calculation'!E$1,0),"")</f>
        <v/>
      </c>
      <c r="E79" s="44" t="str">
        <f>_xlfn.IFNA(VLOOKUP($B79,Schools,'HP Schools Calculation'!G$1,0),"")</f>
        <v/>
      </c>
      <c r="F79" s="68" t="str">
        <f>_xlfn.IFNA(VLOOKUP($B79,Schools,'HP Schools Calculation'!H$1,0),"")</f>
        <v/>
      </c>
      <c r="G79" s="82"/>
      <c r="H79" s="79" t="str">
        <f>_xlfn.IFNA(VLOOKUP($B79,Schools,'HP Schools Calculation'!M$1,0),"")</f>
        <v/>
      </c>
      <c r="I79" s="75" t="str">
        <f>_xlfn.IFNA(VLOOKUP($B79,Schools,'HP Schools Calculation'!AE$1,0),"")</f>
        <v/>
      </c>
    </row>
    <row r="80" spans="2:9">
      <c r="B80" s="55" t="str">
        <f t="array" ref="B80">IFERROR(INDEX('HP Schools Calculation'!$C$10:$C$2366,SMALL(IF('HP Schools Calculation'!$A$10:$A$2366=Summary!$B$9,ROW('HP Schools Calculation'!$C$10:$C$2366)-ROW('HP Schools Calculation'!C$10)+1),ROWS('HP Schools Calculation'!C$10:C72))),"")</f>
        <v/>
      </c>
      <c r="C80" s="43" t="str">
        <f>_xlfn.IFNA(VLOOKUP($B80,Schools,'HP Schools Calculation'!D$1,0),"")</f>
        <v/>
      </c>
      <c r="D80" s="44" t="str">
        <f>_xlfn.IFNA(VLOOKUP($B80,Schools,'HP Schools Calculation'!E$1,0),"")</f>
        <v/>
      </c>
      <c r="E80" s="44" t="str">
        <f>_xlfn.IFNA(VLOOKUP($B80,Schools,'HP Schools Calculation'!G$1,0),"")</f>
        <v/>
      </c>
      <c r="F80" s="68" t="str">
        <f>_xlfn.IFNA(VLOOKUP($B80,Schools,'HP Schools Calculation'!H$1,0),"")</f>
        <v/>
      </c>
      <c r="G80" s="82"/>
      <c r="H80" s="79" t="str">
        <f>_xlfn.IFNA(VLOOKUP($B80,Schools,'HP Schools Calculation'!M$1,0),"")</f>
        <v/>
      </c>
      <c r="I80" s="75" t="str">
        <f>_xlfn.IFNA(VLOOKUP($B80,Schools,'HP Schools Calculation'!AE$1,0),"")</f>
        <v/>
      </c>
    </row>
    <row r="81" spans="2:9">
      <c r="B81" s="55" t="str">
        <f t="array" ref="B81">IFERROR(INDEX('HP Schools Calculation'!$C$10:$C$2366,SMALL(IF('HP Schools Calculation'!$A$10:$A$2366=Summary!$B$9,ROW('HP Schools Calculation'!$C$10:$C$2366)-ROW('HP Schools Calculation'!C$10)+1),ROWS('HP Schools Calculation'!C$10:C73))),"")</f>
        <v/>
      </c>
      <c r="C81" s="43" t="str">
        <f>_xlfn.IFNA(VLOOKUP($B81,Schools,'HP Schools Calculation'!D$1,0),"")</f>
        <v/>
      </c>
      <c r="D81" s="44" t="str">
        <f>_xlfn.IFNA(VLOOKUP($B81,Schools,'HP Schools Calculation'!E$1,0),"")</f>
        <v/>
      </c>
      <c r="E81" s="44" t="str">
        <f>_xlfn.IFNA(VLOOKUP($B81,Schools,'HP Schools Calculation'!G$1,0),"")</f>
        <v/>
      </c>
      <c r="F81" s="68" t="str">
        <f>_xlfn.IFNA(VLOOKUP($B81,Schools,'HP Schools Calculation'!H$1,0),"")</f>
        <v/>
      </c>
      <c r="G81" s="82"/>
      <c r="H81" s="79" t="str">
        <f>_xlfn.IFNA(VLOOKUP($B81,Schools,'HP Schools Calculation'!M$1,0),"")</f>
        <v/>
      </c>
      <c r="I81" s="75" t="str">
        <f>_xlfn.IFNA(VLOOKUP($B81,Schools,'HP Schools Calculation'!AE$1,0),"")</f>
        <v/>
      </c>
    </row>
    <row r="82" spans="2:9">
      <c r="B82" s="55" t="str">
        <f t="array" ref="B82">IFERROR(INDEX('HP Schools Calculation'!$C$10:$C$2366,SMALL(IF('HP Schools Calculation'!$A$10:$A$2366=Summary!$B$9,ROW('HP Schools Calculation'!$C$10:$C$2366)-ROW('HP Schools Calculation'!C$10)+1),ROWS('HP Schools Calculation'!C$10:C74))),"")</f>
        <v/>
      </c>
      <c r="C82" s="43" t="str">
        <f>_xlfn.IFNA(VLOOKUP($B82,Schools,'HP Schools Calculation'!D$1,0),"")</f>
        <v/>
      </c>
      <c r="D82" s="44" t="str">
        <f>_xlfn.IFNA(VLOOKUP($B82,Schools,'HP Schools Calculation'!E$1,0),"")</f>
        <v/>
      </c>
      <c r="E82" s="44" t="str">
        <f>_xlfn.IFNA(VLOOKUP($B82,Schools,'HP Schools Calculation'!G$1,0),"")</f>
        <v/>
      </c>
      <c r="F82" s="68" t="str">
        <f>_xlfn.IFNA(VLOOKUP($B82,Schools,'HP Schools Calculation'!H$1,0),"")</f>
        <v/>
      </c>
      <c r="G82" s="82"/>
      <c r="H82" s="79" t="str">
        <f>_xlfn.IFNA(VLOOKUP($B82,Schools,'HP Schools Calculation'!M$1,0),"")</f>
        <v/>
      </c>
      <c r="I82" s="75" t="str">
        <f>_xlfn.IFNA(VLOOKUP($B82,Schools,'HP Schools Calculation'!AE$1,0),"")</f>
        <v/>
      </c>
    </row>
    <row r="83" spans="2:9">
      <c r="B83" s="55" t="str">
        <f t="array" ref="B83">IFERROR(INDEX('HP Schools Calculation'!$C$10:$C$2366,SMALL(IF('HP Schools Calculation'!$A$10:$A$2366=Summary!$B$9,ROW('HP Schools Calculation'!$C$10:$C$2366)-ROW('HP Schools Calculation'!C$10)+1),ROWS('HP Schools Calculation'!C$10:C75))),"")</f>
        <v/>
      </c>
      <c r="C83" s="43" t="str">
        <f>_xlfn.IFNA(VLOOKUP($B83,Schools,'HP Schools Calculation'!D$1,0),"")</f>
        <v/>
      </c>
      <c r="D83" s="44" t="str">
        <f>_xlfn.IFNA(VLOOKUP($B83,Schools,'HP Schools Calculation'!E$1,0),"")</f>
        <v/>
      </c>
      <c r="E83" s="44" t="str">
        <f>_xlfn.IFNA(VLOOKUP($B83,Schools,'HP Schools Calculation'!G$1,0),"")</f>
        <v/>
      </c>
      <c r="F83" s="68" t="str">
        <f>_xlfn.IFNA(VLOOKUP($B83,Schools,'HP Schools Calculation'!H$1,0),"")</f>
        <v/>
      </c>
      <c r="G83" s="82"/>
      <c r="H83" s="79" t="str">
        <f>_xlfn.IFNA(VLOOKUP($B83,Schools,'HP Schools Calculation'!M$1,0),"")</f>
        <v/>
      </c>
      <c r="I83" s="75" t="str">
        <f>_xlfn.IFNA(VLOOKUP($B83,Schools,'HP Schools Calculation'!AE$1,0),"")</f>
        <v/>
      </c>
    </row>
    <row r="84" spans="2:9">
      <c r="B84" s="55" t="str">
        <f t="array" ref="B84">IFERROR(INDEX('HP Schools Calculation'!$C$10:$C$2366,SMALL(IF('HP Schools Calculation'!$A$10:$A$2366=Summary!$B$9,ROW('HP Schools Calculation'!$C$10:$C$2366)-ROW('HP Schools Calculation'!C$10)+1),ROWS('HP Schools Calculation'!C$10:C76))),"")</f>
        <v/>
      </c>
      <c r="C84" s="43" t="str">
        <f>_xlfn.IFNA(VLOOKUP($B84,Schools,'HP Schools Calculation'!D$1,0),"")</f>
        <v/>
      </c>
      <c r="D84" s="44" t="str">
        <f>_xlfn.IFNA(VLOOKUP($B84,Schools,'HP Schools Calculation'!E$1,0),"")</f>
        <v/>
      </c>
      <c r="E84" s="44" t="str">
        <f>_xlfn.IFNA(VLOOKUP($B84,Schools,'HP Schools Calculation'!G$1,0),"")</f>
        <v/>
      </c>
      <c r="F84" s="68" t="str">
        <f>_xlfn.IFNA(VLOOKUP($B84,Schools,'HP Schools Calculation'!H$1,0),"")</f>
        <v/>
      </c>
      <c r="G84" s="82"/>
      <c r="H84" s="79" t="str">
        <f>_xlfn.IFNA(VLOOKUP($B84,Schools,'HP Schools Calculation'!M$1,0),"")</f>
        <v/>
      </c>
      <c r="I84" s="75" t="str">
        <f>_xlfn.IFNA(VLOOKUP($B84,Schools,'HP Schools Calculation'!AE$1,0),"")</f>
        <v/>
      </c>
    </row>
    <row r="85" spans="2:9">
      <c r="B85" s="55" t="str">
        <f t="array" ref="B85">IFERROR(INDEX('HP Schools Calculation'!$C$10:$C$2366,SMALL(IF('HP Schools Calculation'!$A$10:$A$2366=Summary!$B$9,ROW('HP Schools Calculation'!$C$10:$C$2366)-ROW('HP Schools Calculation'!C$10)+1),ROWS('HP Schools Calculation'!C$10:C77))),"")</f>
        <v/>
      </c>
      <c r="C85" s="43" t="str">
        <f>_xlfn.IFNA(VLOOKUP($B85,Schools,'HP Schools Calculation'!D$1,0),"")</f>
        <v/>
      </c>
      <c r="D85" s="44" t="str">
        <f>_xlfn.IFNA(VLOOKUP($B85,Schools,'HP Schools Calculation'!E$1,0),"")</f>
        <v/>
      </c>
      <c r="E85" s="44" t="str">
        <f>_xlfn.IFNA(VLOOKUP($B85,Schools,'HP Schools Calculation'!G$1,0),"")</f>
        <v/>
      </c>
      <c r="F85" s="68" t="str">
        <f>_xlfn.IFNA(VLOOKUP($B85,Schools,'HP Schools Calculation'!H$1,0),"")</f>
        <v/>
      </c>
      <c r="G85" s="82"/>
      <c r="H85" s="79" t="str">
        <f>_xlfn.IFNA(VLOOKUP($B85,Schools,'HP Schools Calculation'!M$1,0),"")</f>
        <v/>
      </c>
      <c r="I85" s="75" t="str">
        <f>_xlfn.IFNA(VLOOKUP($B85,Schools,'HP Schools Calculation'!AE$1,0),"")</f>
        <v/>
      </c>
    </row>
    <row r="86" spans="2:9">
      <c r="B86" s="55" t="str">
        <f t="array" ref="B86">IFERROR(INDEX('HP Schools Calculation'!$C$10:$C$2366,SMALL(IF('HP Schools Calculation'!$A$10:$A$2366=Summary!$B$9,ROW('HP Schools Calculation'!$C$10:$C$2366)-ROW('HP Schools Calculation'!C$10)+1),ROWS('HP Schools Calculation'!C$10:C78))),"")</f>
        <v/>
      </c>
      <c r="C86" s="43" t="str">
        <f>_xlfn.IFNA(VLOOKUP($B86,Schools,'HP Schools Calculation'!D$1,0),"")</f>
        <v/>
      </c>
      <c r="D86" s="44" t="str">
        <f>_xlfn.IFNA(VLOOKUP($B86,Schools,'HP Schools Calculation'!E$1,0),"")</f>
        <v/>
      </c>
      <c r="E86" s="44" t="str">
        <f>_xlfn.IFNA(VLOOKUP($B86,Schools,'HP Schools Calculation'!G$1,0),"")</f>
        <v/>
      </c>
      <c r="F86" s="68" t="str">
        <f>_xlfn.IFNA(VLOOKUP($B86,Schools,'HP Schools Calculation'!H$1,0),"")</f>
        <v/>
      </c>
      <c r="G86" s="82"/>
      <c r="H86" s="79" t="str">
        <f>_xlfn.IFNA(VLOOKUP($B86,Schools,'HP Schools Calculation'!M$1,0),"")</f>
        <v/>
      </c>
      <c r="I86" s="75" t="str">
        <f>_xlfn.IFNA(VLOOKUP($B86,Schools,'HP Schools Calculation'!AE$1,0),"")</f>
        <v/>
      </c>
    </row>
    <row r="87" spans="2:9">
      <c r="B87" s="55" t="str">
        <f t="array" ref="B87">IFERROR(INDEX('HP Schools Calculation'!$C$10:$C$2366,SMALL(IF('HP Schools Calculation'!$A$10:$A$2366=Summary!$B$9,ROW('HP Schools Calculation'!$C$10:$C$2366)-ROW('HP Schools Calculation'!C$10)+1),ROWS('HP Schools Calculation'!C$10:C79))),"")</f>
        <v/>
      </c>
      <c r="C87" s="43" t="str">
        <f>_xlfn.IFNA(VLOOKUP($B87,Schools,'HP Schools Calculation'!D$1,0),"")</f>
        <v/>
      </c>
      <c r="D87" s="44" t="str">
        <f>_xlfn.IFNA(VLOOKUP($B87,Schools,'HP Schools Calculation'!E$1,0),"")</f>
        <v/>
      </c>
      <c r="E87" s="44" t="str">
        <f>_xlfn.IFNA(VLOOKUP($B87,Schools,'HP Schools Calculation'!G$1,0),"")</f>
        <v/>
      </c>
      <c r="F87" s="68" t="str">
        <f>_xlfn.IFNA(VLOOKUP($B87,Schools,'HP Schools Calculation'!H$1,0),"")</f>
        <v/>
      </c>
      <c r="G87" s="82"/>
      <c r="H87" s="79" t="str">
        <f>_xlfn.IFNA(VLOOKUP($B87,Schools,'HP Schools Calculation'!M$1,0),"")</f>
        <v/>
      </c>
      <c r="I87" s="75" t="str">
        <f>_xlfn.IFNA(VLOOKUP($B87,Schools,'HP Schools Calculation'!AE$1,0),"")</f>
        <v/>
      </c>
    </row>
    <row r="88" spans="2:9">
      <c r="B88" s="55" t="str">
        <f t="array" ref="B88">IFERROR(INDEX('HP Schools Calculation'!$C$10:$C$2366,SMALL(IF('HP Schools Calculation'!$A$10:$A$2366=Summary!$B$9,ROW('HP Schools Calculation'!$C$10:$C$2366)-ROW('HP Schools Calculation'!C$10)+1),ROWS('HP Schools Calculation'!C$10:C80))),"")</f>
        <v/>
      </c>
      <c r="C88" s="43" t="str">
        <f>_xlfn.IFNA(VLOOKUP($B88,Schools,'HP Schools Calculation'!D$1,0),"")</f>
        <v/>
      </c>
      <c r="D88" s="44" t="str">
        <f>_xlfn.IFNA(VLOOKUP($B88,Schools,'HP Schools Calculation'!E$1,0),"")</f>
        <v/>
      </c>
      <c r="E88" s="44" t="str">
        <f>_xlfn.IFNA(VLOOKUP($B88,Schools,'HP Schools Calculation'!G$1,0),"")</f>
        <v/>
      </c>
      <c r="F88" s="68" t="str">
        <f>_xlfn.IFNA(VLOOKUP($B88,Schools,'HP Schools Calculation'!H$1,0),"")</f>
        <v/>
      </c>
      <c r="G88" s="82"/>
      <c r="H88" s="79" t="str">
        <f>_xlfn.IFNA(VLOOKUP($B88,Schools,'HP Schools Calculation'!M$1,0),"")</f>
        <v/>
      </c>
      <c r="I88" s="75" t="str">
        <f>_xlfn.IFNA(VLOOKUP($B88,Schools,'HP Schools Calculation'!AE$1,0),"")</f>
        <v/>
      </c>
    </row>
    <row r="89" spans="2:9">
      <c r="B89" s="55" t="str">
        <f t="array" ref="B89">IFERROR(INDEX('HP Schools Calculation'!$C$10:$C$2366,SMALL(IF('HP Schools Calculation'!$A$10:$A$2366=Summary!$B$9,ROW('HP Schools Calculation'!$C$10:$C$2366)-ROW('HP Schools Calculation'!C$10)+1),ROWS('HP Schools Calculation'!C$10:C81))),"")</f>
        <v/>
      </c>
      <c r="C89" s="43" t="str">
        <f>_xlfn.IFNA(VLOOKUP($B89,Schools,'HP Schools Calculation'!D$1,0),"")</f>
        <v/>
      </c>
      <c r="D89" s="44" t="str">
        <f>_xlfn.IFNA(VLOOKUP($B89,Schools,'HP Schools Calculation'!E$1,0),"")</f>
        <v/>
      </c>
      <c r="E89" s="44" t="str">
        <f>_xlfn.IFNA(VLOOKUP($B89,Schools,'HP Schools Calculation'!G$1,0),"")</f>
        <v/>
      </c>
      <c r="F89" s="68" t="str">
        <f>_xlfn.IFNA(VLOOKUP($B89,Schools,'HP Schools Calculation'!H$1,0),"")</f>
        <v/>
      </c>
      <c r="G89" s="82"/>
      <c r="H89" s="79" t="str">
        <f>_xlfn.IFNA(VLOOKUP($B89,Schools,'HP Schools Calculation'!M$1,0),"")</f>
        <v/>
      </c>
      <c r="I89" s="75" t="str">
        <f>_xlfn.IFNA(VLOOKUP($B89,Schools,'HP Schools Calculation'!AE$1,0),"")</f>
        <v/>
      </c>
    </row>
    <row r="90" spans="2:9">
      <c r="B90" s="55" t="str">
        <f t="array" ref="B90">IFERROR(INDEX('HP Schools Calculation'!$C$10:$C$2366,SMALL(IF('HP Schools Calculation'!$A$10:$A$2366=Summary!$B$9,ROW('HP Schools Calculation'!$C$10:$C$2366)-ROW('HP Schools Calculation'!C$10)+1),ROWS('HP Schools Calculation'!C$10:C82))),"")</f>
        <v/>
      </c>
      <c r="C90" s="43" t="str">
        <f>_xlfn.IFNA(VLOOKUP($B90,Schools,'HP Schools Calculation'!D$1,0),"")</f>
        <v/>
      </c>
      <c r="D90" s="44" t="str">
        <f>_xlfn.IFNA(VLOOKUP($B90,Schools,'HP Schools Calculation'!E$1,0),"")</f>
        <v/>
      </c>
      <c r="E90" s="44" t="str">
        <f>_xlfn.IFNA(VLOOKUP($B90,Schools,'HP Schools Calculation'!G$1,0),"")</f>
        <v/>
      </c>
      <c r="F90" s="68" t="str">
        <f>_xlfn.IFNA(VLOOKUP($B90,Schools,'HP Schools Calculation'!H$1,0),"")</f>
        <v/>
      </c>
      <c r="G90" s="82"/>
      <c r="H90" s="79" t="str">
        <f>_xlfn.IFNA(VLOOKUP($B90,Schools,'HP Schools Calculation'!M$1,0),"")</f>
        <v/>
      </c>
      <c r="I90" s="75" t="str">
        <f>_xlfn.IFNA(VLOOKUP($B90,Schools,'HP Schools Calculation'!AE$1,0),"")</f>
        <v/>
      </c>
    </row>
    <row r="91" spans="2:9">
      <c r="B91" s="55" t="str">
        <f t="array" ref="B91">IFERROR(INDEX('HP Schools Calculation'!$C$10:$C$2366,SMALL(IF('HP Schools Calculation'!$A$10:$A$2366=Summary!$B$9,ROW('HP Schools Calculation'!$C$10:$C$2366)-ROW('HP Schools Calculation'!C$10)+1),ROWS('HP Schools Calculation'!C$10:C83))),"")</f>
        <v/>
      </c>
      <c r="C91" s="43" t="str">
        <f>_xlfn.IFNA(VLOOKUP($B91,Schools,'HP Schools Calculation'!D$1,0),"")</f>
        <v/>
      </c>
      <c r="D91" s="44" t="str">
        <f>_xlfn.IFNA(VLOOKUP($B91,Schools,'HP Schools Calculation'!E$1,0),"")</f>
        <v/>
      </c>
      <c r="E91" s="44" t="str">
        <f>_xlfn.IFNA(VLOOKUP($B91,Schools,'HP Schools Calculation'!G$1,0),"")</f>
        <v/>
      </c>
      <c r="F91" s="68" t="str">
        <f>_xlfn.IFNA(VLOOKUP($B91,Schools,'HP Schools Calculation'!H$1,0),"")</f>
        <v/>
      </c>
      <c r="G91" s="82"/>
      <c r="H91" s="79" t="str">
        <f>_xlfn.IFNA(VLOOKUP($B91,Schools,'HP Schools Calculation'!M$1,0),"")</f>
        <v/>
      </c>
      <c r="I91" s="75" t="str">
        <f>_xlfn.IFNA(VLOOKUP($B91,Schools,'HP Schools Calculation'!AE$1,0),"")</f>
        <v/>
      </c>
    </row>
    <row r="92" spans="2:9">
      <c r="B92" s="55" t="str">
        <f t="array" ref="B92">IFERROR(INDEX('HP Schools Calculation'!$C$10:$C$2366,SMALL(IF('HP Schools Calculation'!$A$10:$A$2366=Summary!$B$9,ROW('HP Schools Calculation'!$C$10:$C$2366)-ROW('HP Schools Calculation'!C$10)+1),ROWS('HP Schools Calculation'!C$10:C84))),"")</f>
        <v/>
      </c>
      <c r="C92" s="43" t="str">
        <f>_xlfn.IFNA(VLOOKUP($B92,Schools,'HP Schools Calculation'!D$1,0),"")</f>
        <v/>
      </c>
      <c r="D92" s="44" t="str">
        <f>_xlfn.IFNA(VLOOKUP($B92,Schools,'HP Schools Calculation'!E$1,0),"")</f>
        <v/>
      </c>
      <c r="E92" s="44" t="str">
        <f>_xlfn.IFNA(VLOOKUP($B92,Schools,'HP Schools Calculation'!G$1,0),"")</f>
        <v/>
      </c>
      <c r="F92" s="68" t="str">
        <f>_xlfn.IFNA(VLOOKUP($B92,Schools,'HP Schools Calculation'!H$1,0),"")</f>
        <v/>
      </c>
      <c r="G92" s="82"/>
      <c r="H92" s="79" t="str">
        <f>_xlfn.IFNA(VLOOKUP($B92,Schools,'HP Schools Calculation'!M$1,0),"")</f>
        <v/>
      </c>
      <c r="I92" s="75" t="str">
        <f>_xlfn.IFNA(VLOOKUP($B92,Schools,'HP Schools Calculation'!AE$1,0),"")</f>
        <v/>
      </c>
    </row>
    <row r="93" spans="2:9">
      <c r="B93" s="55" t="str">
        <f t="array" ref="B93">IFERROR(INDEX('HP Schools Calculation'!$C$10:$C$2366,SMALL(IF('HP Schools Calculation'!$A$10:$A$2366=Summary!$B$9,ROW('HP Schools Calculation'!$C$10:$C$2366)-ROW('HP Schools Calculation'!C$10)+1),ROWS('HP Schools Calculation'!C$10:C85))),"")</f>
        <v/>
      </c>
      <c r="C93" s="43" t="str">
        <f>_xlfn.IFNA(VLOOKUP($B93,Schools,'HP Schools Calculation'!D$1,0),"")</f>
        <v/>
      </c>
      <c r="D93" s="44" t="str">
        <f>_xlfn.IFNA(VLOOKUP($B93,Schools,'HP Schools Calculation'!E$1,0),"")</f>
        <v/>
      </c>
      <c r="E93" s="44" t="str">
        <f>_xlfn.IFNA(VLOOKUP($B93,Schools,'HP Schools Calculation'!G$1,0),"")</f>
        <v/>
      </c>
      <c r="F93" s="68" t="str">
        <f>_xlfn.IFNA(VLOOKUP($B93,Schools,'HP Schools Calculation'!H$1,0),"")</f>
        <v/>
      </c>
      <c r="G93" s="82"/>
      <c r="H93" s="79" t="str">
        <f>_xlfn.IFNA(VLOOKUP($B93,Schools,'HP Schools Calculation'!M$1,0),"")</f>
        <v/>
      </c>
      <c r="I93" s="75" t="str">
        <f>_xlfn.IFNA(VLOOKUP($B93,Schools,'HP Schools Calculation'!AE$1,0),"")</f>
        <v/>
      </c>
    </row>
    <row r="94" spans="2:9">
      <c r="B94" s="55" t="str">
        <f t="array" ref="B94">IFERROR(INDEX('HP Schools Calculation'!$C$10:$C$2366,SMALL(IF('HP Schools Calculation'!$A$10:$A$2366=Summary!$B$9,ROW('HP Schools Calculation'!$C$10:$C$2366)-ROW('HP Schools Calculation'!C$10)+1),ROWS('HP Schools Calculation'!C$10:C86))),"")</f>
        <v/>
      </c>
      <c r="C94" s="43" t="str">
        <f>_xlfn.IFNA(VLOOKUP($B94,Schools,'HP Schools Calculation'!D$1,0),"")</f>
        <v/>
      </c>
      <c r="D94" s="44" t="str">
        <f>_xlfn.IFNA(VLOOKUP($B94,Schools,'HP Schools Calculation'!E$1,0),"")</f>
        <v/>
      </c>
      <c r="E94" s="44" t="str">
        <f>_xlfn.IFNA(VLOOKUP($B94,Schools,'HP Schools Calculation'!G$1,0),"")</f>
        <v/>
      </c>
      <c r="F94" s="68" t="str">
        <f>_xlfn.IFNA(VLOOKUP($B94,Schools,'HP Schools Calculation'!H$1,0),"")</f>
        <v/>
      </c>
      <c r="G94" s="82"/>
      <c r="H94" s="79" t="str">
        <f>_xlfn.IFNA(VLOOKUP($B94,Schools,'HP Schools Calculation'!M$1,0),"")</f>
        <v/>
      </c>
      <c r="I94" s="75" t="str">
        <f>_xlfn.IFNA(VLOOKUP($B94,Schools,'HP Schools Calculation'!AE$1,0),"")</f>
        <v/>
      </c>
    </row>
    <row r="95" spans="2:9">
      <c r="B95" s="55" t="str">
        <f t="array" ref="B95">IFERROR(INDEX('HP Schools Calculation'!$C$10:$C$2366,SMALL(IF('HP Schools Calculation'!$A$10:$A$2366=Summary!$B$9,ROW('HP Schools Calculation'!$C$10:$C$2366)-ROW('HP Schools Calculation'!C$10)+1),ROWS('HP Schools Calculation'!C$10:C87))),"")</f>
        <v/>
      </c>
      <c r="C95" s="43" t="str">
        <f>_xlfn.IFNA(VLOOKUP($B95,Schools,'HP Schools Calculation'!D$1,0),"")</f>
        <v/>
      </c>
      <c r="D95" s="44" t="str">
        <f>_xlfn.IFNA(VLOOKUP($B95,Schools,'HP Schools Calculation'!E$1,0),"")</f>
        <v/>
      </c>
      <c r="E95" s="44" t="str">
        <f>_xlfn.IFNA(VLOOKUP($B95,Schools,'HP Schools Calculation'!G$1,0),"")</f>
        <v/>
      </c>
      <c r="F95" s="68" t="str">
        <f>_xlfn.IFNA(VLOOKUP($B95,Schools,'HP Schools Calculation'!H$1,0),"")</f>
        <v/>
      </c>
      <c r="G95" s="82"/>
      <c r="H95" s="79" t="str">
        <f>_xlfn.IFNA(VLOOKUP($B95,Schools,'HP Schools Calculation'!M$1,0),"")</f>
        <v/>
      </c>
      <c r="I95" s="75" t="str">
        <f>_xlfn.IFNA(VLOOKUP($B95,Schools,'HP Schools Calculation'!AE$1,0),"")</f>
        <v/>
      </c>
    </row>
    <row r="96" spans="2:9">
      <c r="B96" s="55" t="str">
        <f t="array" ref="B96">IFERROR(INDEX('HP Schools Calculation'!$C$10:$C$2366,SMALL(IF('HP Schools Calculation'!$A$10:$A$2366=Summary!$B$9,ROW('HP Schools Calculation'!$C$10:$C$2366)-ROW('HP Schools Calculation'!C$10)+1),ROWS('HP Schools Calculation'!C$10:C88))),"")</f>
        <v/>
      </c>
      <c r="C96" s="43" t="str">
        <f>_xlfn.IFNA(VLOOKUP($B96,Schools,'HP Schools Calculation'!D$1,0),"")</f>
        <v/>
      </c>
      <c r="D96" s="44" t="str">
        <f>_xlfn.IFNA(VLOOKUP($B96,Schools,'HP Schools Calculation'!E$1,0),"")</f>
        <v/>
      </c>
      <c r="E96" s="44" t="str">
        <f>_xlfn.IFNA(VLOOKUP($B96,Schools,'HP Schools Calculation'!G$1,0),"")</f>
        <v/>
      </c>
      <c r="F96" s="68" t="str">
        <f>_xlfn.IFNA(VLOOKUP($B96,Schools,'HP Schools Calculation'!H$1,0),"")</f>
        <v/>
      </c>
      <c r="G96" s="82"/>
      <c r="H96" s="79" t="str">
        <f>_xlfn.IFNA(VLOOKUP($B96,Schools,'HP Schools Calculation'!M$1,0),"")</f>
        <v/>
      </c>
      <c r="I96" s="75" t="str">
        <f>_xlfn.IFNA(VLOOKUP($B96,Schools,'HP Schools Calculation'!AE$1,0),"")</f>
        <v/>
      </c>
    </row>
    <row r="97" spans="2:9">
      <c r="B97" s="55" t="str">
        <f t="array" ref="B97">IFERROR(INDEX('HP Schools Calculation'!$C$10:$C$2366,SMALL(IF('HP Schools Calculation'!$A$10:$A$2366=Summary!$B$9,ROW('HP Schools Calculation'!$C$10:$C$2366)-ROW('HP Schools Calculation'!C$10)+1),ROWS('HP Schools Calculation'!C$10:C89))),"")</f>
        <v/>
      </c>
      <c r="C97" s="43" t="str">
        <f>_xlfn.IFNA(VLOOKUP($B97,Schools,'HP Schools Calculation'!D$1,0),"")</f>
        <v/>
      </c>
      <c r="D97" s="44" t="str">
        <f>_xlfn.IFNA(VLOOKUP($B97,Schools,'HP Schools Calculation'!E$1,0),"")</f>
        <v/>
      </c>
      <c r="E97" s="44" t="str">
        <f>_xlfn.IFNA(VLOOKUP($B97,Schools,'HP Schools Calculation'!G$1,0),"")</f>
        <v/>
      </c>
      <c r="F97" s="68" t="str">
        <f>_xlfn.IFNA(VLOOKUP($B97,Schools,'HP Schools Calculation'!H$1,0),"")</f>
        <v/>
      </c>
      <c r="G97" s="82"/>
      <c r="H97" s="79" t="str">
        <f>_xlfn.IFNA(VLOOKUP($B97,Schools,'HP Schools Calculation'!M$1,0),"")</f>
        <v/>
      </c>
      <c r="I97" s="75" t="str">
        <f>_xlfn.IFNA(VLOOKUP($B97,Schools,'HP Schools Calculation'!AE$1,0),"")</f>
        <v/>
      </c>
    </row>
    <row r="98" spans="2:9">
      <c r="B98" s="55" t="str">
        <f t="array" ref="B98">IFERROR(INDEX('HP Schools Calculation'!$C$10:$C$2366,SMALL(IF('HP Schools Calculation'!$A$10:$A$2366=Summary!$B$9,ROW('HP Schools Calculation'!$C$10:$C$2366)-ROW('HP Schools Calculation'!C$10)+1),ROWS('HP Schools Calculation'!C$10:C90))),"")</f>
        <v/>
      </c>
      <c r="C98" s="43" t="str">
        <f>_xlfn.IFNA(VLOOKUP($B98,Schools,'HP Schools Calculation'!D$1,0),"")</f>
        <v/>
      </c>
      <c r="D98" s="44" t="str">
        <f>_xlfn.IFNA(VLOOKUP($B98,Schools,'HP Schools Calculation'!E$1,0),"")</f>
        <v/>
      </c>
      <c r="E98" s="44" t="str">
        <f>_xlfn.IFNA(VLOOKUP($B98,Schools,'HP Schools Calculation'!G$1,0),"")</f>
        <v/>
      </c>
      <c r="F98" s="68" t="str">
        <f>_xlfn.IFNA(VLOOKUP($B98,Schools,'HP Schools Calculation'!H$1,0),"")</f>
        <v/>
      </c>
      <c r="G98" s="82"/>
      <c r="H98" s="79" t="str">
        <f>_xlfn.IFNA(VLOOKUP($B98,Schools,'HP Schools Calculation'!M$1,0),"")</f>
        <v/>
      </c>
      <c r="I98" s="75" t="str">
        <f>_xlfn.IFNA(VLOOKUP($B98,Schools,'HP Schools Calculation'!AE$1,0),"")</f>
        <v/>
      </c>
    </row>
    <row r="99" spans="2:9">
      <c r="B99" s="55" t="str">
        <f t="array" ref="B99">IFERROR(INDEX('HP Schools Calculation'!$C$10:$C$2366,SMALL(IF('HP Schools Calculation'!$A$10:$A$2366=Summary!$B$9,ROW('HP Schools Calculation'!$C$10:$C$2366)-ROW('HP Schools Calculation'!C$10)+1),ROWS('HP Schools Calculation'!C$10:C91))),"")</f>
        <v/>
      </c>
      <c r="C99" s="43" t="str">
        <f>_xlfn.IFNA(VLOOKUP($B99,Schools,'HP Schools Calculation'!D$1,0),"")</f>
        <v/>
      </c>
      <c r="D99" s="44" t="str">
        <f>_xlfn.IFNA(VLOOKUP($B99,Schools,'HP Schools Calculation'!E$1,0),"")</f>
        <v/>
      </c>
      <c r="E99" s="44" t="str">
        <f>_xlfn.IFNA(VLOOKUP($B99,Schools,'HP Schools Calculation'!G$1,0),"")</f>
        <v/>
      </c>
      <c r="F99" s="68" t="str">
        <f>_xlfn.IFNA(VLOOKUP($B99,Schools,'HP Schools Calculation'!H$1,0),"")</f>
        <v/>
      </c>
      <c r="G99" s="82"/>
      <c r="H99" s="79" t="str">
        <f>_xlfn.IFNA(VLOOKUP($B99,Schools,'HP Schools Calculation'!M$1,0),"")</f>
        <v/>
      </c>
      <c r="I99" s="75" t="str">
        <f>_xlfn.IFNA(VLOOKUP($B99,Schools,'HP Schools Calculation'!AE$1,0),"")</f>
        <v/>
      </c>
    </row>
    <row r="100" spans="2:9">
      <c r="B100" s="55" t="str">
        <f t="array" ref="B100">IFERROR(INDEX('HP Schools Calculation'!$C$10:$C$2366,SMALL(IF('HP Schools Calculation'!$A$10:$A$2366=Summary!$B$9,ROW('HP Schools Calculation'!$C$10:$C$2366)-ROW('HP Schools Calculation'!C$10)+1),ROWS('HP Schools Calculation'!C$10:C92))),"")</f>
        <v/>
      </c>
      <c r="C100" s="43" t="str">
        <f>_xlfn.IFNA(VLOOKUP($B100,Schools,'HP Schools Calculation'!D$1,0),"")</f>
        <v/>
      </c>
      <c r="D100" s="44" t="str">
        <f>_xlfn.IFNA(VLOOKUP($B100,Schools,'HP Schools Calculation'!E$1,0),"")</f>
        <v/>
      </c>
      <c r="E100" s="44" t="str">
        <f>_xlfn.IFNA(VLOOKUP($B100,Schools,'HP Schools Calculation'!G$1,0),"")</f>
        <v/>
      </c>
      <c r="F100" s="68" t="str">
        <f>_xlfn.IFNA(VLOOKUP($B100,Schools,'HP Schools Calculation'!H$1,0),"")</f>
        <v/>
      </c>
      <c r="G100" s="82"/>
      <c r="H100" s="79" t="str">
        <f>_xlfn.IFNA(VLOOKUP($B100,Schools,'HP Schools Calculation'!M$1,0),"")</f>
        <v/>
      </c>
      <c r="I100" s="75" t="str">
        <f>_xlfn.IFNA(VLOOKUP($B100,Schools,'HP Schools Calculation'!AE$1,0),"")</f>
        <v/>
      </c>
    </row>
    <row r="101" spans="2:9">
      <c r="B101" s="55" t="str">
        <f t="array" ref="B101">IFERROR(INDEX('HP Schools Calculation'!$C$10:$C$2366,SMALL(IF('HP Schools Calculation'!$A$10:$A$2366=Summary!$B$9,ROW('HP Schools Calculation'!$C$10:$C$2366)-ROW('HP Schools Calculation'!C$10)+1),ROWS('HP Schools Calculation'!C$10:C93))),"")</f>
        <v/>
      </c>
      <c r="C101" s="43" t="str">
        <f>_xlfn.IFNA(VLOOKUP($B101,Schools,'HP Schools Calculation'!D$1,0),"")</f>
        <v/>
      </c>
      <c r="D101" s="44" t="str">
        <f>_xlfn.IFNA(VLOOKUP($B101,Schools,'HP Schools Calculation'!E$1,0),"")</f>
        <v/>
      </c>
      <c r="E101" s="44" t="str">
        <f>_xlfn.IFNA(VLOOKUP($B101,Schools,'HP Schools Calculation'!G$1,0),"")</f>
        <v/>
      </c>
      <c r="F101" s="68" t="str">
        <f>_xlfn.IFNA(VLOOKUP($B101,Schools,'HP Schools Calculation'!H$1,0),"")</f>
        <v/>
      </c>
      <c r="G101" s="82"/>
      <c r="H101" s="79" t="str">
        <f>_xlfn.IFNA(VLOOKUP($B101,Schools,'HP Schools Calculation'!M$1,0),"")</f>
        <v/>
      </c>
      <c r="I101" s="75" t="str">
        <f>_xlfn.IFNA(VLOOKUP($B101,Schools,'HP Schools Calculation'!AE$1,0),"")</f>
        <v/>
      </c>
    </row>
    <row r="102" spans="2:9">
      <c r="B102" s="55" t="str">
        <f t="array" ref="B102">IFERROR(INDEX('HP Schools Calculation'!$C$10:$C$2366,SMALL(IF('HP Schools Calculation'!$A$10:$A$2366=Summary!$B$9,ROW('HP Schools Calculation'!$C$10:$C$2366)-ROW('HP Schools Calculation'!C$10)+1),ROWS('HP Schools Calculation'!C$10:C94))),"")</f>
        <v/>
      </c>
      <c r="C102" s="43" t="str">
        <f>_xlfn.IFNA(VLOOKUP($B102,Schools,'HP Schools Calculation'!D$1,0),"")</f>
        <v/>
      </c>
      <c r="D102" s="44" t="str">
        <f>_xlfn.IFNA(VLOOKUP($B102,Schools,'HP Schools Calculation'!E$1,0),"")</f>
        <v/>
      </c>
      <c r="E102" s="44" t="str">
        <f>_xlfn.IFNA(VLOOKUP($B102,Schools,'HP Schools Calculation'!G$1,0),"")</f>
        <v/>
      </c>
      <c r="F102" s="68" t="str">
        <f>_xlfn.IFNA(VLOOKUP($B102,Schools,'HP Schools Calculation'!H$1,0),"")</f>
        <v/>
      </c>
      <c r="G102" s="82"/>
      <c r="H102" s="79" t="str">
        <f>_xlfn.IFNA(VLOOKUP($B102,Schools,'HP Schools Calculation'!M$1,0),"")</f>
        <v/>
      </c>
      <c r="I102" s="75" t="str">
        <f>_xlfn.IFNA(VLOOKUP($B102,Schools,'HP Schools Calculation'!AE$1,0),"")</f>
        <v/>
      </c>
    </row>
    <row r="103" spans="2:9">
      <c r="B103" s="55" t="str">
        <f t="array" ref="B103">IFERROR(INDEX('HP Schools Calculation'!$C$10:$C$2366,SMALL(IF('HP Schools Calculation'!$A$10:$A$2366=Summary!$B$9,ROW('HP Schools Calculation'!$C$10:$C$2366)-ROW('HP Schools Calculation'!C$10)+1),ROWS('HP Schools Calculation'!C$10:C95))),"")</f>
        <v/>
      </c>
      <c r="C103" s="43" t="str">
        <f>_xlfn.IFNA(VLOOKUP($B103,Schools,'HP Schools Calculation'!D$1,0),"")</f>
        <v/>
      </c>
      <c r="D103" s="44" t="str">
        <f>_xlfn.IFNA(VLOOKUP($B103,Schools,'HP Schools Calculation'!E$1,0),"")</f>
        <v/>
      </c>
      <c r="E103" s="44" t="str">
        <f>_xlfn.IFNA(VLOOKUP($B103,Schools,'HP Schools Calculation'!G$1,0),"")</f>
        <v/>
      </c>
      <c r="F103" s="68" t="str">
        <f>_xlfn.IFNA(VLOOKUP($B103,Schools,'HP Schools Calculation'!H$1,0),"")</f>
        <v/>
      </c>
      <c r="G103" s="82"/>
      <c r="H103" s="79" t="str">
        <f>_xlfn.IFNA(VLOOKUP($B103,Schools,'HP Schools Calculation'!M$1,0),"")</f>
        <v/>
      </c>
      <c r="I103" s="75" t="str">
        <f>_xlfn.IFNA(VLOOKUP($B103,Schools,'HP Schools Calculation'!AE$1,0),"")</f>
        <v/>
      </c>
    </row>
    <row r="104" spans="2:9">
      <c r="B104" s="55" t="str">
        <f t="array" ref="B104">IFERROR(INDEX('HP Schools Calculation'!$C$10:$C$2366,SMALL(IF('HP Schools Calculation'!$A$10:$A$2366=Summary!$B$9,ROW('HP Schools Calculation'!$C$10:$C$2366)-ROW('HP Schools Calculation'!C$10)+1),ROWS('HP Schools Calculation'!C$10:C96))),"")</f>
        <v/>
      </c>
      <c r="C104" s="43" t="str">
        <f>_xlfn.IFNA(VLOOKUP($B104,Schools,'HP Schools Calculation'!D$1,0),"")</f>
        <v/>
      </c>
      <c r="D104" s="44" t="str">
        <f>_xlfn.IFNA(VLOOKUP($B104,Schools,'HP Schools Calculation'!E$1,0),"")</f>
        <v/>
      </c>
      <c r="E104" s="44" t="str">
        <f>_xlfn.IFNA(VLOOKUP($B104,Schools,'HP Schools Calculation'!G$1,0),"")</f>
        <v/>
      </c>
      <c r="F104" s="68" t="str">
        <f>_xlfn.IFNA(VLOOKUP($B104,Schools,'HP Schools Calculation'!H$1,0),"")</f>
        <v/>
      </c>
      <c r="G104" s="82"/>
      <c r="H104" s="79" t="str">
        <f>_xlfn.IFNA(VLOOKUP($B104,Schools,'HP Schools Calculation'!M$1,0),"")</f>
        <v/>
      </c>
      <c r="I104" s="75" t="str">
        <f>_xlfn.IFNA(VLOOKUP($B104,Schools,'HP Schools Calculation'!AE$1,0),"")</f>
        <v/>
      </c>
    </row>
    <row r="105" spans="2:9">
      <c r="B105" s="55" t="str">
        <f t="array" ref="B105">IFERROR(INDEX('HP Schools Calculation'!$C$10:$C$2366,SMALL(IF('HP Schools Calculation'!$A$10:$A$2366=Summary!$B$9,ROW('HP Schools Calculation'!$C$10:$C$2366)-ROW('HP Schools Calculation'!C$10)+1),ROWS('HP Schools Calculation'!C$10:C97))),"")</f>
        <v/>
      </c>
      <c r="C105" s="43" t="str">
        <f>_xlfn.IFNA(VLOOKUP($B105,Schools,'HP Schools Calculation'!D$1,0),"")</f>
        <v/>
      </c>
      <c r="D105" s="44" t="str">
        <f>_xlfn.IFNA(VLOOKUP($B105,Schools,'HP Schools Calculation'!E$1,0),"")</f>
        <v/>
      </c>
      <c r="E105" s="44" t="str">
        <f>_xlfn.IFNA(VLOOKUP($B105,Schools,'HP Schools Calculation'!G$1,0),"")</f>
        <v/>
      </c>
      <c r="F105" s="68" t="str">
        <f>_xlfn.IFNA(VLOOKUP($B105,Schools,'HP Schools Calculation'!H$1,0),"")</f>
        <v/>
      </c>
      <c r="G105" s="82"/>
      <c r="H105" s="79" t="str">
        <f>_xlfn.IFNA(VLOOKUP($B105,Schools,'HP Schools Calculation'!M$1,0),"")</f>
        <v/>
      </c>
      <c r="I105" s="75" t="str">
        <f>_xlfn.IFNA(VLOOKUP($B105,Schools,'HP Schools Calculation'!AE$1,0),"")</f>
        <v/>
      </c>
    </row>
    <row r="106" spans="2:9">
      <c r="B106" s="55" t="str">
        <f t="array" ref="B106">IFERROR(INDEX('HP Schools Calculation'!$C$10:$C$2366,SMALL(IF('HP Schools Calculation'!$A$10:$A$2366=Summary!$B$9,ROW('HP Schools Calculation'!$C$10:$C$2366)-ROW('HP Schools Calculation'!C$10)+1),ROWS('HP Schools Calculation'!C$10:C98))),"")</f>
        <v/>
      </c>
      <c r="C106" s="43" t="str">
        <f>_xlfn.IFNA(VLOOKUP($B106,Schools,'HP Schools Calculation'!D$1,0),"")</f>
        <v/>
      </c>
      <c r="D106" s="44" t="str">
        <f>_xlfn.IFNA(VLOOKUP($B106,Schools,'HP Schools Calculation'!E$1,0),"")</f>
        <v/>
      </c>
      <c r="E106" s="44" t="str">
        <f>_xlfn.IFNA(VLOOKUP($B106,Schools,'HP Schools Calculation'!G$1,0),"")</f>
        <v/>
      </c>
      <c r="F106" s="68" t="str">
        <f>_xlfn.IFNA(VLOOKUP($B106,Schools,'HP Schools Calculation'!H$1,0),"")</f>
        <v/>
      </c>
      <c r="G106" s="82"/>
      <c r="H106" s="79" t="str">
        <f>_xlfn.IFNA(VLOOKUP($B106,Schools,'HP Schools Calculation'!M$1,0),"")</f>
        <v/>
      </c>
      <c r="I106" s="75" t="str">
        <f>_xlfn.IFNA(VLOOKUP($B106,Schools,'HP Schools Calculation'!AE$1,0),"")</f>
        <v/>
      </c>
    </row>
    <row r="107" spans="2:9">
      <c r="B107" s="55" t="str">
        <f t="array" ref="B107">IFERROR(INDEX('HP Schools Calculation'!$C$10:$C$2366,SMALL(IF('HP Schools Calculation'!$A$10:$A$2366=Summary!$B$9,ROW('HP Schools Calculation'!$C$10:$C$2366)-ROW('HP Schools Calculation'!C$10)+1),ROWS('HP Schools Calculation'!C$10:C99))),"")</f>
        <v/>
      </c>
      <c r="C107" s="43" t="str">
        <f>_xlfn.IFNA(VLOOKUP($B107,Schools,'HP Schools Calculation'!D$1,0),"")</f>
        <v/>
      </c>
      <c r="D107" s="44" t="str">
        <f>_xlfn.IFNA(VLOOKUP($B107,Schools,'HP Schools Calculation'!E$1,0),"")</f>
        <v/>
      </c>
      <c r="E107" s="44" t="str">
        <f>_xlfn.IFNA(VLOOKUP($B107,Schools,'HP Schools Calculation'!G$1,0),"")</f>
        <v/>
      </c>
      <c r="F107" s="68" t="str">
        <f>_xlfn.IFNA(VLOOKUP($B107,Schools,'HP Schools Calculation'!H$1,0),"")</f>
        <v/>
      </c>
      <c r="G107" s="82"/>
      <c r="H107" s="79" t="str">
        <f>_xlfn.IFNA(VLOOKUP($B107,Schools,'HP Schools Calculation'!M$1,0),"")</f>
        <v/>
      </c>
      <c r="I107" s="75" t="str">
        <f>_xlfn.IFNA(VLOOKUP($B107,Schools,'HP Schools Calculation'!AE$1,0),"")</f>
        <v/>
      </c>
    </row>
    <row r="108" spans="2:9">
      <c r="B108" s="55" t="str">
        <f t="array" ref="B108">IFERROR(INDEX('HP Schools Calculation'!$C$10:$C$2366,SMALL(IF('HP Schools Calculation'!$A$10:$A$2366=Summary!$B$9,ROW('HP Schools Calculation'!$C$10:$C$2366)-ROW('HP Schools Calculation'!C$10)+1),ROWS('HP Schools Calculation'!C$10:C100))),"")</f>
        <v/>
      </c>
      <c r="C108" s="43" t="str">
        <f>_xlfn.IFNA(VLOOKUP($B108,Schools,'HP Schools Calculation'!D$1,0),"")</f>
        <v/>
      </c>
      <c r="D108" s="44" t="str">
        <f>_xlfn.IFNA(VLOOKUP($B108,Schools,'HP Schools Calculation'!E$1,0),"")</f>
        <v/>
      </c>
      <c r="E108" s="44" t="str">
        <f>_xlfn.IFNA(VLOOKUP($B108,Schools,'HP Schools Calculation'!G$1,0),"")</f>
        <v/>
      </c>
      <c r="F108" s="68" t="str">
        <f>_xlfn.IFNA(VLOOKUP($B108,Schools,'HP Schools Calculation'!H$1,0),"")</f>
        <v/>
      </c>
      <c r="G108" s="82"/>
      <c r="H108" s="79" t="str">
        <f>_xlfn.IFNA(VLOOKUP($B108,Schools,'HP Schools Calculation'!M$1,0),"")</f>
        <v/>
      </c>
      <c r="I108" s="75" t="str">
        <f>_xlfn.IFNA(VLOOKUP($B108,Schools,'HP Schools Calculation'!AE$1,0),"")</f>
        <v/>
      </c>
    </row>
    <row r="109" spans="2:9">
      <c r="B109" s="55" t="str">
        <f t="array" ref="B109">IFERROR(INDEX('HP Schools Calculation'!$C$10:$C$2366,SMALL(IF('HP Schools Calculation'!$A$10:$A$2366=Summary!$B$9,ROW('HP Schools Calculation'!$C$10:$C$2366)-ROW('HP Schools Calculation'!C$10)+1),ROWS('HP Schools Calculation'!C$10:C101))),"")</f>
        <v/>
      </c>
      <c r="C109" s="43" t="str">
        <f>_xlfn.IFNA(VLOOKUP($B109,Schools,'HP Schools Calculation'!D$1,0),"")</f>
        <v/>
      </c>
      <c r="D109" s="44" t="str">
        <f>_xlfn.IFNA(VLOOKUP($B109,Schools,'HP Schools Calculation'!E$1,0),"")</f>
        <v/>
      </c>
      <c r="E109" s="44" t="str">
        <f>_xlfn.IFNA(VLOOKUP($B109,Schools,'HP Schools Calculation'!G$1,0),"")</f>
        <v/>
      </c>
      <c r="F109" s="68" t="str">
        <f>_xlfn.IFNA(VLOOKUP($B109,Schools,'HP Schools Calculation'!H$1,0),"")</f>
        <v/>
      </c>
      <c r="G109" s="82"/>
      <c r="H109" s="79" t="str">
        <f>_xlfn.IFNA(VLOOKUP($B109,Schools,'HP Schools Calculation'!M$1,0),"")</f>
        <v/>
      </c>
      <c r="I109" s="75" t="str">
        <f>_xlfn.IFNA(VLOOKUP($B109,Schools,'HP Schools Calculation'!AE$1,0),"")</f>
        <v/>
      </c>
    </row>
    <row r="110" spans="2:9">
      <c r="B110" s="55" t="str">
        <f t="array" ref="B110">IFERROR(INDEX('HP Schools Calculation'!$C$10:$C$2366,SMALL(IF('HP Schools Calculation'!$A$10:$A$2366=Summary!$B$9,ROW('HP Schools Calculation'!$C$10:$C$2366)-ROW('HP Schools Calculation'!C$10)+1),ROWS('HP Schools Calculation'!C$10:C102))),"")</f>
        <v/>
      </c>
      <c r="C110" s="43" t="str">
        <f>_xlfn.IFNA(VLOOKUP($B110,Schools,'HP Schools Calculation'!D$1,0),"")</f>
        <v/>
      </c>
      <c r="D110" s="44" t="str">
        <f>_xlfn.IFNA(VLOOKUP($B110,Schools,'HP Schools Calculation'!E$1,0),"")</f>
        <v/>
      </c>
      <c r="E110" s="44" t="str">
        <f>_xlfn.IFNA(VLOOKUP($B110,Schools,'HP Schools Calculation'!G$1,0),"")</f>
        <v/>
      </c>
      <c r="F110" s="68" t="str">
        <f>_xlfn.IFNA(VLOOKUP($B110,Schools,'HP Schools Calculation'!H$1,0),"")</f>
        <v/>
      </c>
      <c r="G110" s="82"/>
      <c r="H110" s="79" t="str">
        <f>_xlfn.IFNA(VLOOKUP($B110,Schools,'HP Schools Calculation'!M$1,0),"")</f>
        <v/>
      </c>
      <c r="I110" s="75" t="str">
        <f>_xlfn.IFNA(VLOOKUP($B110,Schools,'HP Schools Calculation'!AE$1,0),"")</f>
        <v/>
      </c>
    </row>
    <row r="111" spans="2:9">
      <c r="B111" s="55" t="str">
        <f t="array" ref="B111">IFERROR(INDEX('HP Schools Calculation'!$C$10:$C$2366,SMALL(IF('HP Schools Calculation'!$A$10:$A$2366=Summary!$B$9,ROW('HP Schools Calculation'!$C$10:$C$2366)-ROW('HP Schools Calculation'!C$10)+1),ROWS('HP Schools Calculation'!C$10:C103))),"")</f>
        <v/>
      </c>
      <c r="C111" s="43" t="str">
        <f>_xlfn.IFNA(VLOOKUP($B111,Schools,'HP Schools Calculation'!D$1,0),"")</f>
        <v/>
      </c>
      <c r="D111" s="44" t="str">
        <f>_xlfn.IFNA(VLOOKUP($B111,Schools,'HP Schools Calculation'!E$1,0),"")</f>
        <v/>
      </c>
      <c r="E111" s="44" t="str">
        <f>_xlfn.IFNA(VLOOKUP($B111,Schools,'HP Schools Calculation'!G$1,0),"")</f>
        <v/>
      </c>
      <c r="F111" s="68" t="str">
        <f>_xlfn.IFNA(VLOOKUP($B111,Schools,'HP Schools Calculation'!H$1,0),"")</f>
        <v/>
      </c>
      <c r="G111" s="82"/>
      <c r="H111" s="79" t="str">
        <f>_xlfn.IFNA(VLOOKUP($B111,Schools,'HP Schools Calculation'!M$1,0),"")</f>
        <v/>
      </c>
      <c r="I111" s="75" t="str">
        <f>_xlfn.IFNA(VLOOKUP($B111,Schools,'HP Schools Calculation'!AE$1,0),"")</f>
        <v/>
      </c>
    </row>
    <row r="112" spans="2:9">
      <c r="B112" s="55" t="str">
        <f t="array" ref="B112">IFERROR(INDEX('HP Schools Calculation'!$C$10:$C$2366,SMALL(IF('HP Schools Calculation'!$A$10:$A$2366=Summary!$B$9,ROW('HP Schools Calculation'!$C$10:$C$2366)-ROW('HP Schools Calculation'!C$10)+1),ROWS('HP Schools Calculation'!C$10:C104))),"")</f>
        <v/>
      </c>
      <c r="C112" s="43" t="str">
        <f>_xlfn.IFNA(VLOOKUP($B112,Schools,'HP Schools Calculation'!D$1,0),"")</f>
        <v/>
      </c>
      <c r="D112" s="44" t="str">
        <f>_xlfn.IFNA(VLOOKUP($B112,Schools,'HP Schools Calculation'!E$1,0),"")</f>
        <v/>
      </c>
      <c r="E112" s="44" t="str">
        <f>_xlfn.IFNA(VLOOKUP($B112,Schools,'HP Schools Calculation'!G$1,0),"")</f>
        <v/>
      </c>
      <c r="F112" s="68" t="str">
        <f>_xlfn.IFNA(VLOOKUP($B112,Schools,'HP Schools Calculation'!H$1,0),"")</f>
        <v/>
      </c>
      <c r="G112" s="82"/>
      <c r="H112" s="79" t="str">
        <f>_xlfn.IFNA(VLOOKUP($B112,Schools,'HP Schools Calculation'!M$1,0),"")</f>
        <v/>
      </c>
      <c r="I112" s="75" t="str">
        <f>_xlfn.IFNA(VLOOKUP($B112,Schools,'HP Schools Calculation'!AE$1,0),"")</f>
        <v/>
      </c>
    </row>
    <row r="113" spans="2:9">
      <c r="B113" s="55" t="str">
        <f t="array" ref="B113">IFERROR(INDEX('HP Schools Calculation'!$C$10:$C$2366,SMALL(IF('HP Schools Calculation'!$A$10:$A$2366=Summary!$B$9,ROW('HP Schools Calculation'!$C$10:$C$2366)-ROW('HP Schools Calculation'!C$10)+1),ROWS('HP Schools Calculation'!C$10:C105))),"")</f>
        <v/>
      </c>
      <c r="C113" s="43" t="str">
        <f>_xlfn.IFNA(VLOOKUP($B113,Schools,'HP Schools Calculation'!D$1,0),"")</f>
        <v/>
      </c>
      <c r="D113" s="44" t="str">
        <f>_xlfn.IFNA(VLOOKUP($B113,Schools,'HP Schools Calculation'!E$1,0),"")</f>
        <v/>
      </c>
      <c r="E113" s="44" t="str">
        <f>_xlfn.IFNA(VLOOKUP($B113,Schools,'HP Schools Calculation'!G$1,0),"")</f>
        <v/>
      </c>
      <c r="F113" s="68" t="str">
        <f>_xlfn.IFNA(VLOOKUP($B113,Schools,'HP Schools Calculation'!H$1,0),"")</f>
        <v/>
      </c>
      <c r="G113" s="82"/>
      <c r="H113" s="79" t="str">
        <f>_xlfn.IFNA(VLOOKUP($B113,Schools,'HP Schools Calculation'!M$1,0),"")</f>
        <v/>
      </c>
      <c r="I113" s="75" t="str">
        <f>_xlfn.IFNA(VLOOKUP($B113,Schools,'HP Schools Calculation'!AE$1,0),"")</f>
        <v/>
      </c>
    </row>
    <row r="114" spans="2:9">
      <c r="B114" s="55" t="str">
        <f t="array" ref="B114">IFERROR(INDEX('HP Schools Calculation'!$C$10:$C$2366,SMALL(IF('HP Schools Calculation'!$A$10:$A$2366=Summary!$B$9,ROW('HP Schools Calculation'!$C$10:$C$2366)-ROW('HP Schools Calculation'!C$10)+1),ROWS('HP Schools Calculation'!C$10:C106))),"")</f>
        <v/>
      </c>
      <c r="C114" s="43" t="str">
        <f>_xlfn.IFNA(VLOOKUP($B114,Schools,'HP Schools Calculation'!D$1,0),"")</f>
        <v/>
      </c>
      <c r="D114" s="44" t="str">
        <f>_xlfn.IFNA(VLOOKUP($B114,Schools,'HP Schools Calculation'!E$1,0),"")</f>
        <v/>
      </c>
      <c r="E114" s="44" t="str">
        <f>_xlfn.IFNA(VLOOKUP($B114,Schools,'HP Schools Calculation'!G$1,0),"")</f>
        <v/>
      </c>
      <c r="F114" s="68" t="str">
        <f>_xlfn.IFNA(VLOOKUP($B114,Schools,'HP Schools Calculation'!H$1,0),"")</f>
        <v/>
      </c>
      <c r="G114" s="82"/>
      <c r="H114" s="79" t="str">
        <f>_xlfn.IFNA(VLOOKUP($B114,Schools,'HP Schools Calculation'!M$1,0),"")</f>
        <v/>
      </c>
      <c r="I114" s="75" t="str">
        <f>_xlfn.IFNA(VLOOKUP($B114,Schools,'HP Schools Calculation'!AE$1,0),"")</f>
        <v/>
      </c>
    </row>
    <row r="115" spans="2:9">
      <c r="B115" s="55" t="str">
        <f t="array" ref="B115">IFERROR(INDEX('HP Schools Calculation'!$C$10:$C$2366,SMALL(IF('HP Schools Calculation'!$A$10:$A$2366=Summary!$B$9,ROW('HP Schools Calculation'!$C$10:$C$2366)-ROW('HP Schools Calculation'!C$10)+1),ROWS('HP Schools Calculation'!C$10:C107))),"")</f>
        <v/>
      </c>
      <c r="C115" s="43" t="str">
        <f>_xlfn.IFNA(VLOOKUP($B115,Schools,'HP Schools Calculation'!D$1,0),"")</f>
        <v/>
      </c>
      <c r="D115" s="44" t="str">
        <f>_xlfn.IFNA(VLOOKUP($B115,Schools,'HP Schools Calculation'!E$1,0),"")</f>
        <v/>
      </c>
      <c r="E115" s="44" t="str">
        <f>_xlfn.IFNA(VLOOKUP($B115,Schools,'HP Schools Calculation'!G$1,0),"")</f>
        <v/>
      </c>
      <c r="F115" s="68" t="str">
        <f>_xlfn.IFNA(VLOOKUP($B115,Schools,'HP Schools Calculation'!H$1,0),"")</f>
        <v/>
      </c>
      <c r="G115" s="82"/>
      <c r="H115" s="79" t="str">
        <f>_xlfn.IFNA(VLOOKUP($B115,Schools,'HP Schools Calculation'!M$1,0),"")</f>
        <v/>
      </c>
      <c r="I115" s="75" t="str">
        <f>_xlfn.IFNA(VLOOKUP($B115,Schools,'HP Schools Calculation'!AE$1,0),"")</f>
        <v/>
      </c>
    </row>
    <row r="116" spans="2:9">
      <c r="B116" s="55" t="str">
        <f t="array" ref="B116">IFERROR(INDEX('HP Schools Calculation'!$C$10:$C$2366,SMALL(IF('HP Schools Calculation'!$A$10:$A$2366=Summary!$B$9,ROW('HP Schools Calculation'!$C$10:$C$2366)-ROW('HP Schools Calculation'!C$10)+1),ROWS('HP Schools Calculation'!C$10:C108))),"")</f>
        <v/>
      </c>
      <c r="C116" s="43" t="str">
        <f>_xlfn.IFNA(VLOOKUP($B116,Schools,'HP Schools Calculation'!D$1,0),"")</f>
        <v/>
      </c>
      <c r="D116" s="44" t="str">
        <f>_xlfn.IFNA(VLOOKUP($B116,Schools,'HP Schools Calculation'!E$1,0),"")</f>
        <v/>
      </c>
      <c r="E116" s="44" t="str">
        <f>_xlfn.IFNA(VLOOKUP($B116,Schools,'HP Schools Calculation'!G$1,0),"")</f>
        <v/>
      </c>
      <c r="F116" s="68" t="str">
        <f>_xlfn.IFNA(VLOOKUP($B116,Schools,'HP Schools Calculation'!H$1,0),"")</f>
        <v/>
      </c>
      <c r="G116" s="82"/>
      <c r="H116" s="79" t="str">
        <f>_xlfn.IFNA(VLOOKUP($B116,Schools,'HP Schools Calculation'!M$1,0),"")</f>
        <v/>
      </c>
      <c r="I116" s="75" t="str">
        <f>_xlfn.IFNA(VLOOKUP($B116,Schools,'HP Schools Calculation'!AE$1,0),"")</f>
        <v/>
      </c>
    </row>
    <row r="117" spans="2:9">
      <c r="B117" s="55" t="str">
        <f t="array" ref="B117">IFERROR(INDEX('HP Schools Calculation'!$C$10:$C$2366,SMALL(IF('HP Schools Calculation'!$A$10:$A$2366=Summary!$B$9,ROW('HP Schools Calculation'!$C$10:$C$2366)-ROW('HP Schools Calculation'!C$10)+1),ROWS('HP Schools Calculation'!C$10:C109))),"")</f>
        <v/>
      </c>
      <c r="C117" s="43" t="str">
        <f>_xlfn.IFNA(VLOOKUP($B117,Schools,'HP Schools Calculation'!D$1,0),"")</f>
        <v/>
      </c>
      <c r="D117" s="44" t="str">
        <f>_xlfn.IFNA(VLOOKUP($B117,Schools,'HP Schools Calculation'!E$1,0),"")</f>
        <v/>
      </c>
      <c r="E117" s="44" t="str">
        <f>_xlfn.IFNA(VLOOKUP($B117,Schools,'HP Schools Calculation'!G$1,0),"")</f>
        <v/>
      </c>
      <c r="F117" s="68" t="str">
        <f>_xlfn.IFNA(VLOOKUP($B117,Schools,'HP Schools Calculation'!H$1,0),"")</f>
        <v/>
      </c>
      <c r="G117" s="82"/>
      <c r="H117" s="79" t="str">
        <f>_xlfn.IFNA(VLOOKUP($B117,Schools,'HP Schools Calculation'!M$1,0),"")</f>
        <v/>
      </c>
      <c r="I117" s="75" t="str">
        <f>_xlfn.IFNA(VLOOKUP($B117,Schools,'HP Schools Calculation'!AE$1,0),"")</f>
        <v/>
      </c>
    </row>
    <row r="118" spans="2:9">
      <c r="B118" s="55" t="str">
        <f t="array" ref="B118">IFERROR(INDEX('HP Schools Calculation'!$C$10:$C$2366,SMALL(IF('HP Schools Calculation'!$A$10:$A$2366=Summary!$B$9,ROW('HP Schools Calculation'!$C$10:$C$2366)-ROW('HP Schools Calculation'!C$10)+1),ROWS('HP Schools Calculation'!C$10:C110))),"")</f>
        <v/>
      </c>
      <c r="C118" s="43" t="str">
        <f>_xlfn.IFNA(VLOOKUP($B118,Schools,'HP Schools Calculation'!D$1,0),"")</f>
        <v/>
      </c>
      <c r="D118" s="44" t="str">
        <f>_xlfn.IFNA(VLOOKUP($B118,Schools,'HP Schools Calculation'!E$1,0),"")</f>
        <v/>
      </c>
      <c r="E118" s="44" t="str">
        <f>_xlfn.IFNA(VLOOKUP($B118,Schools,'HP Schools Calculation'!G$1,0),"")</f>
        <v/>
      </c>
      <c r="F118" s="68" t="str">
        <f>_xlfn.IFNA(VLOOKUP($B118,Schools,'HP Schools Calculation'!H$1,0),"")</f>
        <v/>
      </c>
      <c r="G118" s="82"/>
      <c r="H118" s="79" t="str">
        <f>_xlfn.IFNA(VLOOKUP($B118,Schools,'HP Schools Calculation'!M$1,0),"")</f>
        <v/>
      </c>
      <c r="I118" s="75" t="str">
        <f>_xlfn.IFNA(VLOOKUP($B118,Schools,'HP Schools Calculation'!AE$1,0),"")</f>
        <v/>
      </c>
    </row>
    <row r="119" spans="2:9">
      <c r="B119" s="55" t="str">
        <f t="array" ref="B119">IFERROR(INDEX('HP Schools Calculation'!$C$10:$C$2366,SMALL(IF('HP Schools Calculation'!$A$10:$A$2366=Summary!$B$9,ROW('HP Schools Calculation'!$C$10:$C$2366)-ROW('HP Schools Calculation'!C$10)+1),ROWS('HP Schools Calculation'!C$10:C111))),"")</f>
        <v/>
      </c>
      <c r="C119" s="43" t="str">
        <f>_xlfn.IFNA(VLOOKUP($B119,Schools,'HP Schools Calculation'!D$1,0),"")</f>
        <v/>
      </c>
      <c r="D119" s="44" t="str">
        <f>_xlfn.IFNA(VLOOKUP($B119,Schools,'HP Schools Calculation'!E$1,0),"")</f>
        <v/>
      </c>
      <c r="E119" s="44" t="str">
        <f>_xlfn.IFNA(VLOOKUP($B119,Schools,'HP Schools Calculation'!G$1,0),"")</f>
        <v/>
      </c>
      <c r="F119" s="68" t="str">
        <f>_xlfn.IFNA(VLOOKUP($B119,Schools,'HP Schools Calculation'!H$1,0),"")</f>
        <v/>
      </c>
      <c r="G119" s="82"/>
      <c r="H119" s="79" t="str">
        <f>_xlfn.IFNA(VLOOKUP($B119,Schools,'HP Schools Calculation'!M$1,0),"")</f>
        <v/>
      </c>
      <c r="I119" s="75" t="str">
        <f>_xlfn.IFNA(VLOOKUP($B119,Schools,'HP Schools Calculation'!AE$1,0),"")</f>
        <v/>
      </c>
    </row>
    <row r="120" spans="2:9">
      <c r="B120" s="55" t="str">
        <f t="array" ref="B120">IFERROR(INDEX('HP Schools Calculation'!$C$10:$C$2366,SMALL(IF('HP Schools Calculation'!$A$10:$A$2366=Summary!$B$9,ROW('HP Schools Calculation'!$C$10:$C$2366)-ROW('HP Schools Calculation'!C$10)+1),ROWS('HP Schools Calculation'!C$10:C112))),"")</f>
        <v/>
      </c>
      <c r="C120" s="43" t="str">
        <f>_xlfn.IFNA(VLOOKUP($B120,Schools,'HP Schools Calculation'!D$1,0),"")</f>
        <v/>
      </c>
      <c r="D120" s="44" t="str">
        <f>_xlfn.IFNA(VLOOKUP($B120,Schools,'HP Schools Calculation'!E$1,0),"")</f>
        <v/>
      </c>
      <c r="E120" s="44" t="str">
        <f>_xlfn.IFNA(VLOOKUP($B120,Schools,'HP Schools Calculation'!G$1,0),"")</f>
        <v/>
      </c>
      <c r="F120" s="68" t="str">
        <f>_xlfn.IFNA(VLOOKUP($B120,Schools,'HP Schools Calculation'!H$1,0),"")</f>
        <v/>
      </c>
      <c r="G120" s="82"/>
      <c r="H120" s="79" t="str">
        <f>_xlfn.IFNA(VLOOKUP($B120,Schools,'HP Schools Calculation'!M$1,0),"")</f>
        <v/>
      </c>
      <c r="I120" s="75" t="str">
        <f>_xlfn.IFNA(VLOOKUP($B120,Schools,'HP Schools Calculation'!AE$1,0),"")</f>
        <v/>
      </c>
    </row>
    <row r="121" spans="2:9">
      <c r="B121" s="55" t="str">
        <f t="array" ref="B121">IFERROR(INDEX('HP Schools Calculation'!$C$10:$C$2366,SMALL(IF('HP Schools Calculation'!$A$10:$A$2366=Summary!$B$9,ROW('HP Schools Calculation'!$C$10:$C$2366)-ROW('HP Schools Calculation'!C$10)+1),ROWS('HP Schools Calculation'!C$10:C113))),"")</f>
        <v/>
      </c>
      <c r="C121" s="43" t="str">
        <f>_xlfn.IFNA(VLOOKUP($B121,Schools,'HP Schools Calculation'!D$1,0),"")</f>
        <v/>
      </c>
      <c r="D121" s="44" t="str">
        <f>_xlfn.IFNA(VLOOKUP($B121,Schools,'HP Schools Calculation'!E$1,0),"")</f>
        <v/>
      </c>
      <c r="E121" s="44" t="str">
        <f>_xlfn.IFNA(VLOOKUP($B121,Schools,'HP Schools Calculation'!G$1,0),"")</f>
        <v/>
      </c>
      <c r="F121" s="68" t="str">
        <f>_xlfn.IFNA(VLOOKUP($B121,Schools,'HP Schools Calculation'!H$1,0),"")</f>
        <v/>
      </c>
      <c r="G121" s="82"/>
      <c r="H121" s="79" t="str">
        <f>_xlfn.IFNA(VLOOKUP($B121,Schools,'HP Schools Calculation'!M$1,0),"")</f>
        <v/>
      </c>
      <c r="I121" s="75" t="str">
        <f>_xlfn.IFNA(VLOOKUP($B121,Schools,'HP Schools Calculation'!AE$1,0),"")</f>
        <v/>
      </c>
    </row>
    <row r="122" spans="2:9">
      <c r="B122" s="55" t="str">
        <f t="array" ref="B122">IFERROR(INDEX('HP Schools Calculation'!$C$10:$C$2366,SMALL(IF('HP Schools Calculation'!$A$10:$A$2366=Summary!$B$9,ROW('HP Schools Calculation'!$C$10:$C$2366)-ROW('HP Schools Calculation'!C$10)+1),ROWS('HP Schools Calculation'!C$10:C114))),"")</f>
        <v/>
      </c>
      <c r="C122" s="43" t="str">
        <f>_xlfn.IFNA(VLOOKUP($B122,Schools,'HP Schools Calculation'!D$1,0),"")</f>
        <v/>
      </c>
      <c r="D122" s="44" t="str">
        <f>_xlfn.IFNA(VLOOKUP($B122,Schools,'HP Schools Calculation'!E$1,0),"")</f>
        <v/>
      </c>
      <c r="E122" s="44" t="str">
        <f>_xlfn.IFNA(VLOOKUP($B122,Schools,'HP Schools Calculation'!G$1,0),"")</f>
        <v/>
      </c>
      <c r="F122" s="68" t="str">
        <f>_xlfn.IFNA(VLOOKUP($B122,Schools,'HP Schools Calculation'!H$1,0),"")</f>
        <v/>
      </c>
      <c r="G122" s="82"/>
      <c r="H122" s="79" t="str">
        <f>_xlfn.IFNA(VLOOKUP($B122,Schools,'HP Schools Calculation'!M$1,0),"")</f>
        <v/>
      </c>
      <c r="I122" s="75" t="str">
        <f>_xlfn.IFNA(VLOOKUP($B122,Schools,'HP Schools Calculation'!AE$1,0),"")</f>
        <v/>
      </c>
    </row>
    <row r="123" spans="2:9">
      <c r="B123" s="144" t="str">
        <f t="array" ref="B123">IFERROR(INDEX('HP Schools Calculation'!$C$10:$C$2366,SMALL(IF('HP Schools Calculation'!$A$10:$A$2366=Summary!$B$9,ROW('HP Schools Calculation'!$C$10:$C$2366)-ROW('HP Schools Calculation'!C$10)+1),ROWS('HP Schools Calculation'!C$10:C115))),"")</f>
        <v/>
      </c>
      <c r="C123" s="45" t="str">
        <f>_xlfn.IFNA(VLOOKUP($B123,Schools,'HP Schools Calculation'!D$1,0),"")</f>
        <v/>
      </c>
      <c r="D123" s="46" t="str">
        <f>_xlfn.IFNA(VLOOKUP($B123,Schools,'HP Schools Calculation'!E$1,0),"")</f>
        <v/>
      </c>
      <c r="E123" s="46" t="str">
        <f>_xlfn.IFNA(VLOOKUP($B123,Schools,'HP Schools Calculation'!G$1,0),"")</f>
        <v/>
      </c>
      <c r="F123" s="69" t="str">
        <f>_xlfn.IFNA(VLOOKUP($B123,Schools,'HP Schools Calculation'!H$1,0),"")</f>
        <v/>
      </c>
      <c r="G123" s="83"/>
      <c r="H123" s="80" t="str">
        <f>_xlfn.IFNA(VLOOKUP($B123,Schools,'HP Schools Calculation'!M$1,0),"")</f>
        <v/>
      </c>
      <c r="I123" s="76" t="str">
        <f>_xlfn.IFNA(VLOOKUP($B123,Schools,'HP Schools Calculation'!AE$1,0),"")</f>
        <v/>
      </c>
    </row>
  </sheetData>
  <phoneticPr fontId="58" type="noConversion"/>
  <conditionalFormatting sqref="I18:I123">
    <cfRule type="expression" dxfId="4" priority="1">
      <formula>$E18="Yes"</formula>
    </cfRule>
  </conditionalFormatting>
  <dataValidations count="2">
    <dataValidation type="custom" allowBlank="1" showInputMessage="1" showErrorMessage="1" sqref="H19:H123 G18:G123" xr:uid="{00000000-0002-0000-0100-000000000000}">
      <formula1>G1048519&gt;=0</formula1>
    </dataValidation>
    <dataValidation type="custom" allowBlank="1" showInputMessage="1" showErrorMessage="1" sqref="G9:H9" xr:uid="{00000000-0002-0000-0100-000001000000}">
      <formula1>G9&gt;=0</formula1>
    </dataValidation>
  </dataValidations>
  <pageMargins left="0.7" right="0.7" top="0.75" bottom="0.75" header="0.3" footer="0.3"/>
  <pageSetup paperSize="5" scale="43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'District LAP Calculation'!$B$5:$B$322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X2366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9" sqref="B9"/>
    </sheetView>
  </sheetViews>
  <sheetFormatPr defaultRowHeight="14.4"/>
  <cols>
    <col min="1" max="1" width="10.44140625" customWidth="1"/>
    <col min="2" max="2" width="38.44140625" bestFit="1" customWidth="1"/>
    <col min="3" max="3" width="11.44140625" style="4" bestFit="1" customWidth="1"/>
    <col min="4" max="4" width="53.33203125" bestFit="1" customWidth="1"/>
    <col min="5" max="5" width="15" style="6" customWidth="1"/>
    <col min="6" max="6" width="15" style="4" customWidth="1"/>
    <col min="7" max="7" width="12.44140625" style="4" customWidth="1"/>
    <col min="8" max="8" width="11.109375" style="7" customWidth="1"/>
    <col min="9" max="9" width="17.44140625" customWidth="1"/>
    <col min="10" max="10" width="13" style="10" customWidth="1"/>
    <col min="11" max="11" width="9.109375" customWidth="1"/>
    <col min="12" max="12" width="9.109375" style="56" customWidth="1"/>
    <col min="13" max="15" width="9.109375" customWidth="1"/>
    <col min="16" max="16" width="11.88671875" style="2" customWidth="1"/>
    <col min="17" max="17" width="9.109375" customWidth="1"/>
    <col min="18" max="18" width="13.5546875" customWidth="1"/>
    <col min="19" max="19" width="9.109375" customWidth="1"/>
    <col min="20" max="20" width="10.109375" customWidth="1"/>
    <col min="21" max="21" width="9.109375" customWidth="1"/>
    <col min="22" max="22" width="12.5546875" customWidth="1"/>
    <col min="23" max="23" width="17.44140625" customWidth="1"/>
    <col min="24" max="26" width="9.109375" customWidth="1"/>
    <col min="27" max="27" width="9.88671875" customWidth="1"/>
    <col min="28" max="28" width="17.44140625" style="56" customWidth="1"/>
    <col min="29" max="30" width="9.109375" style="56" customWidth="1"/>
    <col min="31" max="31" width="15.6640625" bestFit="1" customWidth="1"/>
    <col min="32" max="32" width="13.44140625" bestFit="1" customWidth="1"/>
    <col min="33" max="284" width="8.88671875" style="60"/>
  </cols>
  <sheetData>
    <row r="1" spans="1:284">
      <c r="C1" s="4">
        <f>COLUMN(A1)</f>
        <v>1</v>
      </c>
      <c r="D1">
        <f t="shared" ref="D1" si="0">COLUMN(B1)</f>
        <v>2</v>
      </c>
      <c r="E1" s="56">
        <f t="shared" ref="E1" si="1">COLUMN(C1)</f>
        <v>3</v>
      </c>
      <c r="F1" s="56">
        <f t="shared" ref="F1" si="2">COLUMN(D1)</f>
        <v>4</v>
      </c>
      <c r="G1" s="56">
        <f>COLUMN(E1)</f>
        <v>5</v>
      </c>
      <c r="H1" s="56">
        <f>COLUMN(F1)</f>
        <v>6</v>
      </c>
      <c r="I1" s="56">
        <f t="shared" ref="I1:AF1" si="3">COLUMN(G1)</f>
        <v>7</v>
      </c>
      <c r="J1" s="56">
        <f t="shared" si="3"/>
        <v>8</v>
      </c>
      <c r="K1" s="56">
        <f t="shared" si="3"/>
        <v>9</v>
      </c>
      <c r="L1" s="56">
        <f t="shared" si="3"/>
        <v>10</v>
      </c>
      <c r="M1" s="56">
        <f t="shared" si="3"/>
        <v>11</v>
      </c>
      <c r="N1" s="56">
        <f t="shared" si="3"/>
        <v>12</v>
      </c>
      <c r="O1" s="56">
        <f t="shared" si="3"/>
        <v>13</v>
      </c>
      <c r="P1" s="56">
        <f t="shared" si="3"/>
        <v>14</v>
      </c>
      <c r="Q1" s="56">
        <f t="shared" si="3"/>
        <v>15</v>
      </c>
      <c r="R1" s="56">
        <f t="shared" si="3"/>
        <v>16</v>
      </c>
      <c r="S1" s="56">
        <f t="shared" si="3"/>
        <v>17</v>
      </c>
      <c r="T1" s="56">
        <f t="shared" si="3"/>
        <v>18</v>
      </c>
      <c r="U1" s="56">
        <f t="shared" si="3"/>
        <v>19</v>
      </c>
      <c r="V1" s="56">
        <f t="shared" si="3"/>
        <v>20</v>
      </c>
      <c r="W1" s="56">
        <f t="shared" si="3"/>
        <v>21</v>
      </c>
      <c r="X1" s="56">
        <f t="shared" si="3"/>
        <v>22</v>
      </c>
      <c r="Y1" s="56">
        <f t="shared" si="3"/>
        <v>23</v>
      </c>
      <c r="Z1" s="56">
        <f t="shared" si="3"/>
        <v>24</v>
      </c>
      <c r="AA1" s="56">
        <f t="shared" si="3"/>
        <v>25</v>
      </c>
      <c r="AB1" s="56">
        <f t="shared" si="3"/>
        <v>26</v>
      </c>
      <c r="AC1" s="56">
        <f t="shared" si="3"/>
        <v>27</v>
      </c>
      <c r="AD1" s="56">
        <f t="shared" si="3"/>
        <v>28</v>
      </c>
      <c r="AE1" s="56">
        <f t="shared" si="3"/>
        <v>29</v>
      </c>
      <c r="AF1" s="56">
        <f t="shared" si="3"/>
        <v>30</v>
      </c>
    </row>
    <row r="2" spans="1:284" hidden="1"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</row>
    <row r="3" spans="1:284" hidden="1">
      <c r="B3" s="1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</row>
    <row r="4" spans="1:284" hidden="1">
      <c r="A4" s="56"/>
      <c r="H4" s="128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</row>
    <row r="5" spans="1:284" hidden="1">
      <c r="H5" s="128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</row>
    <row r="6" spans="1:284" hidden="1">
      <c r="E6" s="131"/>
      <c r="F6" s="132"/>
      <c r="G6" s="132"/>
      <c r="H6" s="133"/>
      <c r="I6" t="s">
        <v>2852</v>
      </c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</row>
    <row r="7" spans="1:284" hidden="1"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</row>
    <row r="8" spans="1:284" ht="15" thickBot="1">
      <c r="A8" s="60"/>
      <c r="B8" s="60"/>
      <c r="C8" s="114"/>
      <c r="D8" s="60"/>
      <c r="E8" s="113"/>
      <c r="F8" s="114"/>
      <c r="G8" s="114"/>
      <c r="H8" s="115"/>
      <c r="I8" s="1"/>
      <c r="J8" s="207" t="s">
        <v>2589</v>
      </c>
      <c r="K8" s="207"/>
      <c r="L8" s="207"/>
      <c r="AE8" s="145">
        <f>SUM(AE10:AE2366)-AF8</f>
        <v>137642081.56000015</v>
      </c>
      <c r="AF8" s="145">
        <f>SUMIF(AF10:AF2366,"Yes",AE10:AE2366)</f>
        <v>3686948.05</v>
      </c>
    </row>
    <row r="9" spans="1:284" s="8" customFormat="1" ht="58.2" thickBot="1">
      <c r="A9" s="16" t="s">
        <v>2591</v>
      </c>
      <c r="B9" s="17" t="s">
        <v>2592</v>
      </c>
      <c r="C9" s="18" t="s">
        <v>2590</v>
      </c>
      <c r="D9" s="16" t="s">
        <v>2593</v>
      </c>
      <c r="E9" s="18" t="str">
        <f>'CEDARS School FRPL'!E3</f>
        <v>3 Year Average for 2022-23 Eligibility</v>
      </c>
      <c r="F9" s="18" t="str">
        <f>'CEDARS School FRPL'!F3</f>
        <v>FINAL High Poverty Eligibility for SY 2022-23</v>
      </c>
      <c r="G9" s="161" t="str">
        <f>'CEDARS School FRPL'!H3</f>
        <v>Stabilization Sec 517(6)(a)</v>
      </c>
      <c r="H9" s="130" t="str">
        <f>'2021-22 School Level AAFTE'!A1</f>
        <v>2021-22 Enrollment as of March 2022</v>
      </c>
      <c r="I9" s="15" t="s">
        <v>3062</v>
      </c>
      <c r="J9" s="11" t="s">
        <v>3081</v>
      </c>
      <c r="K9" s="37" t="s">
        <v>3063</v>
      </c>
      <c r="L9" s="37" t="s">
        <v>3064</v>
      </c>
      <c r="M9" s="38" t="s">
        <v>2696</v>
      </c>
      <c r="N9" s="38" t="s">
        <v>2580</v>
      </c>
      <c r="O9" s="38" t="s">
        <v>2581</v>
      </c>
      <c r="P9" s="38" t="s">
        <v>2582</v>
      </c>
      <c r="Q9" s="38" t="s">
        <v>2583</v>
      </c>
      <c r="R9" s="38" t="s">
        <v>2584</v>
      </c>
      <c r="S9" s="40" t="s">
        <v>2574</v>
      </c>
      <c r="T9" s="12" t="s">
        <v>2572</v>
      </c>
      <c r="U9" s="12" t="s">
        <v>2573</v>
      </c>
      <c r="V9" s="36" t="s">
        <v>2575</v>
      </c>
      <c r="W9" s="36" t="s">
        <v>2576</v>
      </c>
      <c r="X9" s="13" t="s">
        <v>2577</v>
      </c>
      <c r="Y9" s="13" t="s">
        <v>2578</v>
      </c>
      <c r="Z9" s="13" t="s">
        <v>2579</v>
      </c>
      <c r="AA9" s="36" t="s">
        <v>2588</v>
      </c>
      <c r="AB9" s="94" t="s">
        <v>2759</v>
      </c>
      <c r="AC9" s="94" t="s">
        <v>2760</v>
      </c>
      <c r="AD9" s="94" t="s">
        <v>2761</v>
      </c>
      <c r="AE9" s="13" t="s">
        <v>2697</v>
      </c>
      <c r="AF9" s="8" t="s">
        <v>3068</v>
      </c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  <c r="GK9" s="206"/>
      <c r="GL9" s="206"/>
      <c r="GM9" s="206"/>
      <c r="GN9" s="206"/>
      <c r="GO9" s="206"/>
      <c r="GP9" s="206"/>
      <c r="GQ9" s="206"/>
      <c r="GR9" s="206"/>
      <c r="GS9" s="206"/>
      <c r="GT9" s="206"/>
      <c r="GU9" s="206"/>
      <c r="GV9" s="206"/>
      <c r="GW9" s="206"/>
      <c r="GX9" s="206"/>
      <c r="GY9" s="206"/>
      <c r="GZ9" s="206"/>
      <c r="HA9" s="206"/>
      <c r="HB9" s="206"/>
      <c r="HC9" s="206"/>
      <c r="HD9" s="206"/>
      <c r="HE9" s="206"/>
      <c r="HF9" s="206"/>
      <c r="HG9" s="206"/>
      <c r="HH9" s="206"/>
      <c r="HI9" s="206"/>
      <c r="HJ9" s="206"/>
      <c r="HK9" s="206"/>
      <c r="HL9" s="206"/>
      <c r="HM9" s="206"/>
      <c r="HN9" s="206"/>
      <c r="HO9" s="206"/>
      <c r="HP9" s="206"/>
      <c r="HQ9" s="206"/>
      <c r="HR9" s="206"/>
      <c r="HS9" s="206"/>
      <c r="HT9" s="206"/>
      <c r="HU9" s="206"/>
      <c r="HV9" s="206"/>
      <c r="HW9" s="206"/>
      <c r="HX9" s="206"/>
      <c r="HY9" s="206"/>
      <c r="HZ9" s="206"/>
      <c r="IA9" s="206"/>
      <c r="IB9" s="206"/>
      <c r="IC9" s="206"/>
      <c r="ID9" s="206"/>
      <c r="IE9" s="206"/>
      <c r="IF9" s="206"/>
      <c r="IG9" s="206"/>
      <c r="IH9" s="206"/>
      <c r="II9" s="206"/>
      <c r="IJ9" s="206"/>
      <c r="IK9" s="206"/>
      <c r="IL9" s="206"/>
      <c r="IM9" s="206"/>
      <c r="IN9" s="206"/>
      <c r="IO9" s="206"/>
      <c r="IP9" s="206"/>
      <c r="IQ9" s="206"/>
      <c r="IR9" s="206"/>
      <c r="IS9" s="206"/>
      <c r="IT9" s="206"/>
      <c r="IU9" s="206"/>
      <c r="IV9" s="206"/>
      <c r="IW9" s="206"/>
      <c r="IX9" s="206"/>
      <c r="IY9" s="206"/>
      <c r="IZ9" s="206"/>
      <c r="JA9" s="206"/>
      <c r="JB9" s="206"/>
      <c r="JC9" s="206"/>
      <c r="JD9" s="206"/>
      <c r="JE9" s="206"/>
      <c r="JF9" s="206"/>
      <c r="JG9" s="206"/>
      <c r="JH9" s="206"/>
      <c r="JI9" s="206"/>
      <c r="JJ9" s="206"/>
      <c r="JK9" s="206"/>
      <c r="JL9" s="206"/>
      <c r="JM9" s="206"/>
      <c r="JN9" s="206"/>
      <c r="JO9" s="206"/>
      <c r="JP9" s="206"/>
      <c r="JQ9" s="206"/>
      <c r="JR9" s="206"/>
      <c r="JS9" s="206"/>
      <c r="JT9" s="206"/>
      <c r="JU9" s="206"/>
      <c r="JV9" s="206"/>
      <c r="JW9" s="206"/>
      <c r="JX9" s="206"/>
    </row>
    <row r="10" spans="1:284" s="19" customFormat="1">
      <c r="A10" s="97" t="s">
        <v>2327</v>
      </c>
      <c r="B10" s="97" t="s">
        <v>465</v>
      </c>
      <c r="C10" s="95">
        <v>2305</v>
      </c>
      <c r="D10" s="95" t="s">
        <v>466</v>
      </c>
      <c r="E10" s="129">
        <f>VLOOKUP($C10,'2021-22 School Level AAFTE'!$C:$Z,11,FALSE)</f>
        <v>0.75636666666666663</v>
      </c>
      <c r="F10" s="129" t="str">
        <f>VLOOKUP($C10,'2021-22 School Level AAFTE'!$C:$Z,8,FALSE)</f>
        <v>Yes</v>
      </c>
      <c r="G10" s="129" t="str">
        <f>VLOOKUP($C10,'2021-22 School Level AAFTE'!$C:$Z,12,FALSE)</f>
        <v>No</v>
      </c>
      <c r="H10" s="127">
        <f>VLOOKUP($C10,'2021-22 School Level AAFTE'!$C:$I,7,FALSE)</f>
        <v>729.62</v>
      </c>
      <c r="I10" s="112">
        <f>IFERROR(IF(OR(G10="yes",F10= "yes"),VLOOKUP(C10,Summary!$B:$J,6,0),0),0)</f>
        <v>0</v>
      </c>
      <c r="J10" s="111">
        <f>IF(OR(G10="yes",F10= "yes"), H10,0)</f>
        <v>729.62</v>
      </c>
      <c r="K10" s="91">
        <f>VLOOKUP($A10,'2022-23 Salary &amp; Benefits'!$A:$I,3,FALSE)</f>
        <v>1</v>
      </c>
      <c r="L10" s="91">
        <f>VLOOKUP($A10,'2022-23 Salary &amp; Benefits'!$A:$I,4,FALSE)</f>
        <v>1</v>
      </c>
      <c r="M10" s="101">
        <f>IF(I10&gt;0,I10,J10)</f>
        <v>729.62</v>
      </c>
      <c r="N10" s="24">
        <v>15</v>
      </c>
      <c r="O10" s="26">
        <f t="shared" ref="O10:O73" si="4">IF(M10="no",0,M10/N10)</f>
        <v>48.641333333333336</v>
      </c>
      <c r="P10" s="24">
        <v>1.1000000000000001</v>
      </c>
      <c r="Q10" s="24">
        <v>36</v>
      </c>
      <c r="R10" s="27">
        <f t="shared" ref="R10:R73" si="5">IF(M10="no",0,O10*P10*Q10)</f>
        <v>1926.1968000000002</v>
      </c>
      <c r="S10" s="102">
        <f>ROUND(IF(M10="no",0,R10/900),3)</f>
        <v>2.14</v>
      </c>
      <c r="T10" s="21">
        <f>VLOOKUP($A10,'2022-23 Salary &amp; Benefits'!$A:$I,5,FALSE)</f>
        <v>68937</v>
      </c>
      <c r="U10" s="21">
        <f>VLOOKUP($A10,'2022-23 Salary &amp; Benefits'!$A:$I,6,FALSE)</f>
        <v>72728</v>
      </c>
      <c r="V10" s="22">
        <f>ROUND($K10*$T10*$S10,2)</f>
        <v>147525.18</v>
      </c>
      <c r="W10" s="22">
        <f>ROUND($L10*$U10*$S10,2)-V10</f>
        <v>8112.7400000000198</v>
      </c>
      <c r="X10" s="22">
        <f>'2022-23 Salary &amp; Benefits'!$G$6</f>
        <v>12558.24</v>
      </c>
      <c r="Y10" s="23">
        <f>'2022-23 Salary &amp; Benefits'!$H$6</f>
        <v>0.2298</v>
      </c>
      <c r="Z10" s="23">
        <f>'2022-23 Salary &amp; Benefits'!$I$6</f>
        <v>0.22339999999999999</v>
      </c>
      <c r="AA10" s="22">
        <f>ROUND(V10*Y10+W10*Z10+S10*X10,2)</f>
        <v>62588.31</v>
      </c>
      <c r="AB10" s="22">
        <f>ROUND(($U10*$L10*$S10/180*3),2)</f>
        <v>2593.9699999999998</v>
      </c>
      <c r="AC10" s="22">
        <f>ROUND(AB10*Z10,2)</f>
        <v>579.49</v>
      </c>
      <c r="AD10" s="22">
        <f>SUM(AB10:AC10)</f>
        <v>3173.46</v>
      </c>
      <c r="AE10" s="22">
        <f>SUM(AA10,V10:W10,AD10)</f>
        <v>221399.69</v>
      </c>
      <c r="AF10" s="19" t="str">
        <f>VLOOKUP(C10,'2021-22 School Level AAFTE'!C:N,12,FALSE)</f>
        <v>No</v>
      </c>
    </row>
    <row r="11" spans="1:284" s="19" customFormat="1">
      <c r="A11" s="97" t="s">
        <v>2327</v>
      </c>
      <c r="B11" s="97" t="s">
        <v>465</v>
      </c>
      <c r="C11" s="95">
        <v>2449</v>
      </c>
      <c r="D11" s="95" t="s">
        <v>467</v>
      </c>
      <c r="E11" s="129">
        <f>VLOOKUP($C11,'2021-22 School Level AAFTE'!$C:$Z,11,FALSE)</f>
        <v>0.67303333333333326</v>
      </c>
      <c r="F11" s="129" t="str">
        <f>VLOOKUP($C11,'2021-22 School Level AAFTE'!$C:$Z,8,FALSE)</f>
        <v>Yes</v>
      </c>
      <c r="G11" s="129" t="str">
        <f>VLOOKUP($C11,'2021-22 School Level AAFTE'!$C:$Z,12,FALSE)</f>
        <v>No</v>
      </c>
      <c r="H11" s="127">
        <f>VLOOKUP($C11,'2021-22 School Level AAFTE'!$C:$I,7,FALSE)</f>
        <v>272</v>
      </c>
      <c r="I11" s="112">
        <f>IFERROR(IF(OR(G11="yes",F11= "yes"),VLOOKUP(C11,Summary!$B:$J,6,0),0),0)</f>
        <v>0</v>
      </c>
      <c r="J11" s="111">
        <f t="shared" ref="J11:J74" si="6">IF(OR(G11="yes",F11= "yes"), H11,0)</f>
        <v>272</v>
      </c>
      <c r="K11" s="91">
        <f>VLOOKUP($A11,'2022-23 Salary &amp; Benefits'!$A:$I,3,FALSE)</f>
        <v>1</v>
      </c>
      <c r="L11" s="91">
        <f>VLOOKUP($A11,'2022-23 Salary &amp; Benefits'!$A:$I,4,FALSE)</f>
        <v>1</v>
      </c>
      <c r="M11" s="101">
        <f t="shared" ref="M11:M70" si="7">IF(I11&gt;0,I11,J11)</f>
        <v>272</v>
      </c>
      <c r="N11" s="24">
        <v>15</v>
      </c>
      <c r="O11" s="26">
        <f t="shared" si="4"/>
        <v>18.133333333333333</v>
      </c>
      <c r="P11" s="24">
        <v>1.1000000000000001</v>
      </c>
      <c r="Q11" s="24">
        <v>36</v>
      </c>
      <c r="R11" s="27">
        <f t="shared" si="5"/>
        <v>718.08</v>
      </c>
      <c r="S11" s="102">
        <f t="shared" ref="S11:S74" si="8">ROUND(IF(M11="no",0,R11/900),3)</f>
        <v>0.79800000000000004</v>
      </c>
      <c r="T11" s="21">
        <f>VLOOKUP($A11,'2022-23 Salary &amp; Benefits'!$A:$I,5,FALSE)</f>
        <v>68937</v>
      </c>
      <c r="U11" s="21">
        <f>VLOOKUP($A11,'2022-23 Salary &amp; Benefits'!$A:$I,6,FALSE)</f>
        <v>72728</v>
      </c>
      <c r="V11" s="22">
        <f t="shared" ref="V11:V74" si="9">ROUND($K11*$T11*$S11,2)</f>
        <v>55011.73</v>
      </c>
      <c r="W11" s="22">
        <f t="shared" ref="W11:W74" si="10">ROUND($L11*$U11*$S11,2)-V11</f>
        <v>3025.2099999999991</v>
      </c>
      <c r="X11" s="22">
        <f>'2022-23 Salary &amp; Benefits'!$G$6</f>
        <v>12558.24</v>
      </c>
      <c r="Y11" s="23">
        <f>'2022-23 Salary &amp; Benefits'!$H$6</f>
        <v>0.2298</v>
      </c>
      <c r="Z11" s="23">
        <f>'2022-23 Salary &amp; Benefits'!$I$6</f>
        <v>0.22339999999999999</v>
      </c>
      <c r="AA11" s="22">
        <f t="shared" ref="AA11:AA74" si="11">ROUND(V11*Y11+W11*Z11+S11*X11,2)</f>
        <v>23339</v>
      </c>
      <c r="AB11" s="22">
        <f t="shared" ref="AB11:AB74" si="12">ROUND(($U11*$L11*$S11/180*3),2)</f>
        <v>967.28</v>
      </c>
      <c r="AC11" s="22">
        <f t="shared" ref="AC11:AC74" si="13">ROUND(AB11*Z11,2)</f>
        <v>216.09</v>
      </c>
      <c r="AD11" s="22">
        <f t="shared" ref="AD11:AD70" si="14">SUM(AB11:AC11)</f>
        <v>1183.3699999999999</v>
      </c>
      <c r="AE11" s="22">
        <f t="shared" ref="AE11:AE70" si="15">SUM(AA11,V11:W11,AD11)</f>
        <v>82559.31</v>
      </c>
      <c r="AF11" s="19" t="str">
        <f>VLOOKUP(C11,'2021-22 School Level AAFTE'!C:N,12,FALSE)</f>
        <v>No</v>
      </c>
    </row>
    <row r="12" spans="1:284" s="19" customFormat="1">
      <c r="A12" s="97" t="s">
        <v>2327</v>
      </c>
      <c r="B12" s="97" t="s">
        <v>465</v>
      </c>
      <c r="C12" s="95">
        <v>2763</v>
      </c>
      <c r="D12" s="95" t="s">
        <v>304</v>
      </c>
      <c r="E12" s="129">
        <f>VLOOKUP($C12,'2021-22 School Level AAFTE'!$C:$Z,11,FALSE)</f>
        <v>0.82520000000000004</v>
      </c>
      <c r="F12" s="129" t="str">
        <f>VLOOKUP($C12,'2021-22 School Level AAFTE'!$C:$Z,8,FALSE)</f>
        <v>Yes</v>
      </c>
      <c r="G12" s="129" t="str">
        <f>VLOOKUP($C12,'2021-22 School Level AAFTE'!$C:$Z,12,FALSE)</f>
        <v>No</v>
      </c>
      <c r="H12" s="127">
        <f>VLOOKUP($C12,'2021-22 School Level AAFTE'!$C:$I,7,FALSE)</f>
        <v>259.14</v>
      </c>
      <c r="I12" s="112">
        <f>IFERROR(IF(OR(G12="yes",F12= "yes"),VLOOKUP(C12,Summary!$B:$J,6,0),0),0)</f>
        <v>0</v>
      </c>
      <c r="J12" s="111">
        <f t="shared" si="6"/>
        <v>259.14</v>
      </c>
      <c r="K12" s="91">
        <f>VLOOKUP($A12,'2022-23 Salary &amp; Benefits'!$A:$I,3,FALSE)</f>
        <v>1</v>
      </c>
      <c r="L12" s="91">
        <f>VLOOKUP($A12,'2022-23 Salary &amp; Benefits'!$A:$I,4,FALSE)</f>
        <v>1</v>
      </c>
      <c r="M12" s="101">
        <f t="shared" si="7"/>
        <v>259.14</v>
      </c>
      <c r="N12" s="24">
        <v>15</v>
      </c>
      <c r="O12" s="26">
        <f t="shared" si="4"/>
        <v>17.276</v>
      </c>
      <c r="P12" s="24">
        <v>1.1000000000000001</v>
      </c>
      <c r="Q12" s="24">
        <v>36</v>
      </c>
      <c r="R12" s="27">
        <f t="shared" si="5"/>
        <v>684.1296000000001</v>
      </c>
      <c r="S12" s="102">
        <f t="shared" si="8"/>
        <v>0.76</v>
      </c>
      <c r="T12" s="21">
        <f>VLOOKUP($A12,'2022-23 Salary &amp; Benefits'!$A:$I,5,FALSE)</f>
        <v>68937</v>
      </c>
      <c r="U12" s="21">
        <f>VLOOKUP($A12,'2022-23 Salary &amp; Benefits'!$A:$I,6,FALSE)</f>
        <v>72728</v>
      </c>
      <c r="V12" s="22">
        <f t="shared" si="9"/>
        <v>52392.12</v>
      </c>
      <c r="W12" s="22">
        <f t="shared" si="10"/>
        <v>2881.1599999999962</v>
      </c>
      <c r="X12" s="22">
        <f>'2022-23 Salary &amp; Benefits'!$G$6</f>
        <v>12558.24</v>
      </c>
      <c r="Y12" s="23">
        <f>'2022-23 Salary &amp; Benefits'!$H$6</f>
        <v>0.2298</v>
      </c>
      <c r="Z12" s="23">
        <f>'2022-23 Salary &amp; Benefits'!$I$6</f>
        <v>0.22339999999999999</v>
      </c>
      <c r="AA12" s="22">
        <f t="shared" si="11"/>
        <v>22227.62</v>
      </c>
      <c r="AB12" s="22">
        <f t="shared" si="12"/>
        <v>921.22</v>
      </c>
      <c r="AC12" s="22">
        <f t="shared" si="13"/>
        <v>205.8</v>
      </c>
      <c r="AD12" s="22">
        <f t="shared" si="14"/>
        <v>1127.02</v>
      </c>
      <c r="AE12" s="22">
        <f t="shared" si="15"/>
        <v>78627.92</v>
      </c>
      <c r="AF12" s="19" t="str">
        <f>VLOOKUP(C12,'2021-22 School Level AAFTE'!C:N,12,FALSE)</f>
        <v>No</v>
      </c>
    </row>
    <row r="13" spans="1:284" s="19" customFormat="1">
      <c r="A13" s="97" t="s">
        <v>2327</v>
      </c>
      <c r="B13" s="97" t="s">
        <v>465</v>
      </c>
      <c r="C13" s="95">
        <v>2834</v>
      </c>
      <c r="D13" s="95" t="s">
        <v>468</v>
      </c>
      <c r="E13" s="129">
        <f>VLOOKUP($C13,'2021-22 School Level AAFTE'!$C:$Z,11,FALSE)</f>
        <v>0.80509999999999993</v>
      </c>
      <c r="F13" s="129" t="str">
        <f>VLOOKUP($C13,'2021-22 School Level AAFTE'!$C:$Z,8,FALSE)</f>
        <v>Yes</v>
      </c>
      <c r="G13" s="129" t="str">
        <f>VLOOKUP($C13,'2021-22 School Level AAFTE'!$C:$Z,12,FALSE)</f>
        <v>No</v>
      </c>
      <c r="H13" s="127">
        <f>VLOOKUP($C13,'2021-22 School Level AAFTE'!$C:$I,7,FALSE)</f>
        <v>297.45</v>
      </c>
      <c r="I13" s="112">
        <f>IFERROR(IF(OR(G13="yes",F13= "yes"),VLOOKUP(C13,Summary!$B:$J,6,0),0),0)</f>
        <v>0</v>
      </c>
      <c r="J13" s="111">
        <f t="shared" si="6"/>
        <v>297.45</v>
      </c>
      <c r="K13" s="91">
        <f>VLOOKUP($A13,'2022-23 Salary &amp; Benefits'!$A:$I,3,FALSE)</f>
        <v>1</v>
      </c>
      <c r="L13" s="91">
        <f>VLOOKUP($A13,'2022-23 Salary &amp; Benefits'!$A:$I,4,FALSE)</f>
        <v>1</v>
      </c>
      <c r="M13" s="39">
        <f t="shared" si="7"/>
        <v>297.45</v>
      </c>
      <c r="N13" s="24">
        <v>15</v>
      </c>
      <c r="O13" s="26">
        <f t="shared" si="4"/>
        <v>19.829999999999998</v>
      </c>
      <c r="P13" s="24">
        <v>1.1000000000000001</v>
      </c>
      <c r="Q13" s="24">
        <v>36</v>
      </c>
      <c r="R13" s="27">
        <f t="shared" si="5"/>
        <v>785.26799999999992</v>
      </c>
      <c r="S13" s="102">
        <f t="shared" si="8"/>
        <v>0.873</v>
      </c>
      <c r="T13" s="21">
        <f>VLOOKUP($A13,'2022-23 Salary &amp; Benefits'!$A:$I,5,FALSE)</f>
        <v>68937</v>
      </c>
      <c r="U13" s="21">
        <f>VLOOKUP($A13,'2022-23 Salary &amp; Benefits'!$A:$I,6,FALSE)</f>
        <v>72728</v>
      </c>
      <c r="V13" s="22">
        <f t="shared" si="9"/>
        <v>60182</v>
      </c>
      <c r="W13" s="22">
        <f t="shared" si="10"/>
        <v>3309.5400000000009</v>
      </c>
      <c r="X13" s="22">
        <f>'2022-23 Salary &amp; Benefits'!$G$6</f>
        <v>12558.24</v>
      </c>
      <c r="Y13" s="23">
        <f>'2022-23 Salary &amp; Benefits'!$H$6</f>
        <v>0.2298</v>
      </c>
      <c r="Z13" s="23">
        <f>'2022-23 Salary &amp; Benefits'!$I$6</f>
        <v>0.22339999999999999</v>
      </c>
      <c r="AA13" s="22">
        <f t="shared" si="11"/>
        <v>25532.52</v>
      </c>
      <c r="AB13" s="22">
        <f t="shared" si="12"/>
        <v>1058.19</v>
      </c>
      <c r="AC13" s="22">
        <f t="shared" si="13"/>
        <v>236.4</v>
      </c>
      <c r="AD13" s="22">
        <f t="shared" si="14"/>
        <v>1294.5900000000001</v>
      </c>
      <c r="AE13" s="22">
        <f t="shared" si="15"/>
        <v>90318.65</v>
      </c>
      <c r="AF13" s="19" t="str">
        <f>VLOOKUP(C13,'2021-22 School Level AAFTE'!C:N,12,FALSE)</f>
        <v>No</v>
      </c>
    </row>
    <row r="14" spans="1:284" s="19" customFormat="1">
      <c r="A14" s="97" t="s">
        <v>2327</v>
      </c>
      <c r="B14" s="97" t="s">
        <v>465</v>
      </c>
      <c r="C14" s="95">
        <v>2971</v>
      </c>
      <c r="D14" s="95" t="s">
        <v>469</v>
      </c>
      <c r="E14" s="129">
        <f>VLOOKUP($C14,'2021-22 School Level AAFTE'!$C:$Z,11,FALSE)</f>
        <v>0.8622333333333333</v>
      </c>
      <c r="F14" s="129" t="str">
        <f>VLOOKUP($C14,'2021-22 School Level AAFTE'!$C:$Z,8,FALSE)</f>
        <v>Yes</v>
      </c>
      <c r="G14" s="129" t="str">
        <f>VLOOKUP($C14,'2021-22 School Level AAFTE'!$C:$Z,12,FALSE)</f>
        <v>No</v>
      </c>
      <c r="H14" s="127">
        <f>VLOOKUP($C14,'2021-22 School Level AAFTE'!$C:$I,7,FALSE)</f>
        <v>307.70999999999998</v>
      </c>
      <c r="I14" s="112">
        <f>IFERROR(IF(OR(G14="yes",F14= "yes"),VLOOKUP(C14,Summary!$B:$J,6,0),0),0)</f>
        <v>0</v>
      </c>
      <c r="J14" s="111">
        <f t="shared" si="6"/>
        <v>307.70999999999998</v>
      </c>
      <c r="K14" s="91">
        <f>VLOOKUP($A14,'2022-23 Salary &amp; Benefits'!$A:$I,3,FALSE)</f>
        <v>1</v>
      </c>
      <c r="L14" s="91">
        <f>VLOOKUP($A14,'2022-23 Salary &amp; Benefits'!$A:$I,4,FALSE)</f>
        <v>1</v>
      </c>
      <c r="M14" s="101">
        <f t="shared" si="7"/>
        <v>307.70999999999998</v>
      </c>
      <c r="N14" s="24">
        <v>15</v>
      </c>
      <c r="O14" s="26">
        <f t="shared" si="4"/>
        <v>20.513999999999999</v>
      </c>
      <c r="P14" s="24">
        <v>1.1000000000000001</v>
      </c>
      <c r="Q14" s="24">
        <v>36</v>
      </c>
      <c r="R14" s="27">
        <f t="shared" si="5"/>
        <v>812.35440000000006</v>
      </c>
      <c r="S14" s="102">
        <f t="shared" si="8"/>
        <v>0.90300000000000002</v>
      </c>
      <c r="T14" s="21">
        <f>VLOOKUP($A14,'2022-23 Salary &amp; Benefits'!$A:$I,5,FALSE)</f>
        <v>68937</v>
      </c>
      <c r="U14" s="21">
        <f>VLOOKUP($A14,'2022-23 Salary &amp; Benefits'!$A:$I,6,FALSE)</f>
        <v>72728</v>
      </c>
      <c r="V14" s="22">
        <f t="shared" si="9"/>
        <v>62250.11</v>
      </c>
      <c r="W14" s="22">
        <f t="shared" si="10"/>
        <v>3423.2700000000041</v>
      </c>
      <c r="X14" s="22">
        <f>'2022-23 Salary &amp; Benefits'!$G$6</f>
        <v>12558.24</v>
      </c>
      <c r="Y14" s="23">
        <f>'2022-23 Salary &amp; Benefits'!$H$6</f>
        <v>0.2298</v>
      </c>
      <c r="Z14" s="23">
        <f>'2022-23 Salary &amp; Benefits'!$I$6</f>
        <v>0.22339999999999999</v>
      </c>
      <c r="AA14" s="22">
        <f t="shared" si="11"/>
        <v>26409.919999999998</v>
      </c>
      <c r="AB14" s="22">
        <f t="shared" si="12"/>
        <v>1094.56</v>
      </c>
      <c r="AC14" s="22">
        <f t="shared" si="13"/>
        <v>244.52</v>
      </c>
      <c r="AD14" s="22">
        <f t="shared" si="14"/>
        <v>1339.08</v>
      </c>
      <c r="AE14" s="22">
        <f t="shared" si="15"/>
        <v>93422.38</v>
      </c>
      <c r="AF14" s="19" t="str">
        <f>VLOOKUP(C14,'2021-22 School Level AAFTE'!C:N,12,FALSE)</f>
        <v>No</v>
      </c>
    </row>
    <row r="15" spans="1:284" s="19" customFormat="1">
      <c r="A15" s="97" t="s">
        <v>2327</v>
      </c>
      <c r="B15" s="97" t="s">
        <v>465</v>
      </c>
      <c r="C15" s="95">
        <v>3216</v>
      </c>
      <c r="D15" s="95" t="s">
        <v>470</v>
      </c>
      <c r="E15" s="129">
        <f>VLOOKUP($C15,'2021-22 School Level AAFTE'!$C:$Z,11,FALSE)</f>
        <v>0.56226666666666658</v>
      </c>
      <c r="F15" s="129" t="str">
        <f>VLOOKUP($C15,'2021-22 School Level AAFTE'!$C:$Z,8,FALSE)</f>
        <v>Yes</v>
      </c>
      <c r="G15" s="129" t="str">
        <f>VLOOKUP($C15,'2021-22 School Level AAFTE'!$C:$Z,12,FALSE)</f>
        <v>No</v>
      </c>
      <c r="H15" s="127">
        <f>VLOOKUP($C15,'2021-22 School Level AAFTE'!$C:$I,7,FALSE)</f>
        <v>132.71</v>
      </c>
      <c r="I15" s="112">
        <f>IFERROR(IF(OR(G15="yes",F15= "yes"),VLOOKUP(C15,Summary!$B:$J,6,0),0),0)</f>
        <v>0</v>
      </c>
      <c r="J15" s="111">
        <f t="shared" si="6"/>
        <v>132.71</v>
      </c>
      <c r="K15" s="91">
        <f>VLOOKUP($A15,'2022-23 Salary &amp; Benefits'!$A:$I,3,FALSE)</f>
        <v>1</v>
      </c>
      <c r="L15" s="91">
        <f>VLOOKUP($A15,'2022-23 Salary &amp; Benefits'!$A:$I,4,FALSE)</f>
        <v>1</v>
      </c>
      <c r="M15" s="39">
        <f t="shared" si="7"/>
        <v>132.71</v>
      </c>
      <c r="N15" s="24">
        <v>15</v>
      </c>
      <c r="O15" s="26">
        <f t="shared" si="4"/>
        <v>8.8473333333333333</v>
      </c>
      <c r="P15" s="24">
        <v>1.1000000000000001</v>
      </c>
      <c r="Q15" s="24">
        <v>36</v>
      </c>
      <c r="R15" s="27">
        <f t="shared" si="5"/>
        <v>350.35440000000006</v>
      </c>
      <c r="S15" s="102">
        <f t="shared" si="8"/>
        <v>0.38900000000000001</v>
      </c>
      <c r="T15" s="21">
        <f>VLOOKUP($A15,'2022-23 Salary &amp; Benefits'!$A:$I,5,FALSE)</f>
        <v>68937</v>
      </c>
      <c r="U15" s="21">
        <f>VLOOKUP($A15,'2022-23 Salary &amp; Benefits'!$A:$I,6,FALSE)</f>
        <v>72728</v>
      </c>
      <c r="V15" s="22">
        <f t="shared" si="9"/>
        <v>26816.49</v>
      </c>
      <c r="W15" s="22">
        <f t="shared" si="10"/>
        <v>1474.6999999999971</v>
      </c>
      <c r="X15" s="22">
        <f>'2022-23 Salary &amp; Benefits'!$G$6</f>
        <v>12558.24</v>
      </c>
      <c r="Y15" s="23">
        <f>'2022-23 Salary &amp; Benefits'!$H$6</f>
        <v>0.2298</v>
      </c>
      <c r="Z15" s="23">
        <f>'2022-23 Salary &amp; Benefits'!$I$6</f>
        <v>0.22339999999999999</v>
      </c>
      <c r="AA15" s="22">
        <f t="shared" si="11"/>
        <v>11377.03</v>
      </c>
      <c r="AB15" s="22">
        <f t="shared" si="12"/>
        <v>471.52</v>
      </c>
      <c r="AC15" s="22">
        <f t="shared" si="13"/>
        <v>105.34</v>
      </c>
      <c r="AD15" s="22">
        <f t="shared" si="14"/>
        <v>576.86</v>
      </c>
      <c r="AE15" s="22">
        <f t="shared" si="15"/>
        <v>40245.08</v>
      </c>
      <c r="AF15" s="19" t="str">
        <f>VLOOKUP(C15,'2021-22 School Level AAFTE'!C:N,12,FALSE)</f>
        <v>No</v>
      </c>
    </row>
    <row r="16" spans="1:284" s="19" customFormat="1">
      <c r="A16" s="97" t="s">
        <v>2327</v>
      </c>
      <c r="B16" s="97" t="s">
        <v>465</v>
      </c>
      <c r="C16" s="95">
        <v>3476</v>
      </c>
      <c r="D16" s="95" t="s">
        <v>471</v>
      </c>
      <c r="E16" s="129">
        <f>VLOOKUP($C16,'2021-22 School Level AAFTE'!$C:$Z,11,FALSE)</f>
        <v>0.62853333333333339</v>
      </c>
      <c r="F16" s="129" t="str">
        <f>VLOOKUP($C16,'2021-22 School Level AAFTE'!$C:$Z,8,FALSE)</f>
        <v>Yes</v>
      </c>
      <c r="G16" s="129" t="str">
        <f>VLOOKUP($C16,'2021-22 School Level AAFTE'!$C:$Z,12,FALSE)</f>
        <v>No</v>
      </c>
      <c r="H16" s="127">
        <f>VLOOKUP($C16,'2021-22 School Level AAFTE'!$C:$I,7,FALSE)</f>
        <v>878.43999999999994</v>
      </c>
      <c r="I16" s="112">
        <f>IFERROR(IF(OR(G16="yes",F16= "yes"),VLOOKUP(C16,Summary!$B:$J,6,0),0),0)</f>
        <v>0</v>
      </c>
      <c r="J16" s="111">
        <f t="shared" si="6"/>
        <v>878.43999999999994</v>
      </c>
      <c r="K16" s="91">
        <f>VLOOKUP($A16,'2022-23 Salary &amp; Benefits'!$A:$I,3,FALSE)</f>
        <v>1</v>
      </c>
      <c r="L16" s="91">
        <f>VLOOKUP($A16,'2022-23 Salary &amp; Benefits'!$A:$I,4,FALSE)</f>
        <v>1</v>
      </c>
      <c r="M16" s="39">
        <f t="shared" si="7"/>
        <v>878.43999999999994</v>
      </c>
      <c r="N16" s="24">
        <v>15</v>
      </c>
      <c r="O16" s="26">
        <f t="shared" si="4"/>
        <v>58.562666666666665</v>
      </c>
      <c r="P16" s="24">
        <v>1.1000000000000001</v>
      </c>
      <c r="Q16" s="24">
        <v>36</v>
      </c>
      <c r="R16" s="27">
        <f t="shared" si="5"/>
        <v>2319.0816000000004</v>
      </c>
      <c r="S16" s="102">
        <f t="shared" si="8"/>
        <v>2.577</v>
      </c>
      <c r="T16" s="21">
        <f>VLOOKUP($A16,'2022-23 Salary &amp; Benefits'!$A:$I,5,FALSE)</f>
        <v>68937</v>
      </c>
      <c r="U16" s="21">
        <f>VLOOKUP($A16,'2022-23 Salary &amp; Benefits'!$A:$I,6,FALSE)</f>
        <v>72728</v>
      </c>
      <c r="V16" s="22">
        <f t="shared" si="9"/>
        <v>177650.65</v>
      </c>
      <c r="W16" s="22">
        <f t="shared" si="10"/>
        <v>9769.4100000000035</v>
      </c>
      <c r="X16" s="22">
        <f>'2022-23 Salary &amp; Benefits'!$G$6</f>
        <v>12558.24</v>
      </c>
      <c r="Y16" s="23">
        <f>'2022-23 Salary &amp; Benefits'!$H$6</f>
        <v>0.2298</v>
      </c>
      <c r="Z16" s="23">
        <f>'2022-23 Salary &amp; Benefits'!$I$6</f>
        <v>0.22339999999999999</v>
      </c>
      <c r="AA16" s="22">
        <f t="shared" si="11"/>
        <v>75369.19</v>
      </c>
      <c r="AB16" s="22">
        <f t="shared" si="12"/>
        <v>3123.67</v>
      </c>
      <c r="AC16" s="22">
        <f t="shared" si="13"/>
        <v>697.83</v>
      </c>
      <c r="AD16" s="22">
        <f t="shared" si="14"/>
        <v>3821.5</v>
      </c>
      <c r="AE16" s="22">
        <f t="shared" si="15"/>
        <v>266610.75</v>
      </c>
      <c r="AF16" s="19" t="str">
        <f>VLOOKUP(C16,'2021-22 School Level AAFTE'!C:N,12,FALSE)</f>
        <v>No</v>
      </c>
    </row>
    <row r="17" spans="1:32" s="19" customFormat="1">
      <c r="A17" s="97" t="s">
        <v>2327</v>
      </c>
      <c r="B17" s="97" t="s">
        <v>465</v>
      </c>
      <c r="C17" s="95">
        <v>3857</v>
      </c>
      <c r="D17" s="95" t="s">
        <v>472</v>
      </c>
      <c r="E17" s="129">
        <f>VLOOKUP($C17,'2021-22 School Level AAFTE'!$C:$Z,11,FALSE)</f>
        <v>0.74696666666666667</v>
      </c>
      <c r="F17" s="129" t="str">
        <f>VLOOKUP($C17,'2021-22 School Level AAFTE'!$C:$Z,8,FALSE)</f>
        <v>Yes</v>
      </c>
      <c r="G17" s="129" t="str">
        <f>VLOOKUP($C17,'2021-22 School Level AAFTE'!$C:$Z,12,FALSE)</f>
        <v>No</v>
      </c>
      <c r="H17" s="127">
        <f>VLOOKUP($C17,'2021-22 School Level AAFTE'!$C:$I,7,FALSE)</f>
        <v>88.97</v>
      </c>
      <c r="I17" s="112">
        <f>IFERROR(IF(OR(G17="yes",F17= "yes"),VLOOKUP(C17,Summary!$B:$J,6,0),0),0)</f>
        <v>0</v>
      </c>
      <c r="J17" s="111">
        <f t="shared" si="6"/>
        <v>88.97</v>
      </c>
      <c r="K17" s="91">
        <f>VLOOKUP($A17,'2022-23 Salary &amp; Benefits'!$A:$I,3,FALSE)</f>
        <v>1</v>
      </c>
      <c r="L17" s="91">
        <f>VLOOKUP($A17,'2022-23 Salary &amp; Benefits'!$A:$I,4,FALSE)</f>
        <v>1</v>
      </c>
      <c r="M17" s="39">
        <f t="shared" si="7"/>
        <v>88.97</v>
      </c>
      <c r="N17" s="24">
        <v>15</v>
      </c>
      <c r="O17" s="26">
        <f t="shared" si="4"/>
        <v>5.9313333333333329</v>
      </c>
      <c r="P17" s="24">
        <v>1.1000000000000001</v>
      </c>
      <c r="Q17" s="24">
        <v>36</v>
      </c>
      <c r="R17" s="27">
        <f t="shared" si="5"/>
        <v>234.88080000000002</v>
      </c>
      <c r="S17" s="102">
        <f t="shared" si="8"/>
        <v>0.26100000000000001</v>
      </c>
      <c r="T17" s="21">
        <f>VLOOKUP($A17,'2022-23 Salary &amp; Benefits'!$A:$I,5,FALSE)</f>
        <v>68937</v>
      </c>
      <c r="U17" s="21">
        <f>VLOOKUP($A17,'2022-23 Salary &amp; Benefits'!$A:$I,6,FALSE)</f>
        <v>72728</v>
      </c>
      <c r="V17" s="22">
        <f t="shared" si="9"/>
        <v>17992.560000000001</v>
      </c>
      <c r="W17" s="22">
        <f t="shared" si="10"/>
        <v>989.44999999999709</v>
      </c>
      <c r="X17" s="22">
        <f>'2022-23 Salary &amp; Benefits'!$G$6</f>
        <v>12558.24</v>
      </c>
      <c r="Y17" s="23">
        <f>'2022-23 Salary &amp; Benefits'!$H$6</f>
        <v>0.2298</v>
      </c>
      <c r="Z17" s="23">
        <f>'2022-23 Salary &amp; Benefits'!$I$6</f>
        <v>0.22339999999999999</v>
      </c>
      <c r="AA17" s="22">
        <f t="shared" si="11"/>
        <v>7633.43</v>
      </c>
      <c r="AB17" s="22">
        <f t="shared" si="12"/>
        <v>316.37</v>
      </c>
      <c r="AC17" s="22">
        <f t="shared" si="13"/>
        <v>70.680000000000007</v>
      </c>
      <c r="AD17" s="22">
        <f t="shared" si="14"/>
        <v>387.05</v>
      </c>
      <c r="AE17" s="22">
        <f t="shared" si="15"/>
        <v>27002.489999999998</v>
      </c>
      <c r="AF17" s="19" t="str">
        <f>VLOOKUP(C17,'2021-22 School Level AAFTE'!C:N,12,FALSE)</f>
        <v>No</v>
      </c>
    </row>
    <row r="18" spans="1:32" s="19" customFormat="1">
      <c r="A18" s="97" t="s">
        <v>2327</v>
      </c>
      <c r="B18" s="97" t="s">
        <v>465</v>
      </c>
      <c r="C18" s="95">
        <v>5208</v>
      </c>
      <c r="D18" s="95" t="s">
        <v>473</v>
      </c>
      <c r="E18" s="129">
        <f>VLOOKUP($C18,'2021-22 School Level AAFTE'!$C:$Z,11,FALSE)</f>
        <v>9.5233333333333337E-2</v>
      </c>
      <c r="F18" s="129" t="str">
        <f>VLOOKUP($C18,'2021-22 School Level AAFTE'!$C:$Z,8,FALSE)</f>
        <v>No</v>
      </c>
      <c r="G18" s="129" t="str">
        <f>VLOOKUP($C18,'2021-22 School Level AAFTE'!$C:$Z,12,FALSE)</f>
        <v>No</v>
      </c>
      <c r="H18" s="127">
        <f>VLOOKUP($C18,'2021-22 School Level AAFTE'!$C:$I,7,FALSE)</f>
        <v>20.27</v>
      </c>
      <c r="I18" s="112">
        <f>IFERROR(IF(OR(G18="yes",F18= "yes"),VLOOKUP(C18,Summary!$B:$J,6,0),0),0)</f>
        <v>0</v>
      </c>
      <c r="J18" s="111">
        <f t="shared" si="6"/>
        <v>0</v>
      </c>
      <c r="K18" s="91">
        <f>VLOOKUP($A18,'2022-23 Salary &amp; Benefits'!$A:$I,3,FALSE)</f>
        <v>1</v>
      </c>
      <c r="L18" s="91">
        <f>VLOOKUP($A18,'2022-23 Salary &amp; Benefits'!$A:$I,4,FALSE)</f>
        <v>1</v>
      </c>
      <c r="M18" s="101">
        <f t="shared" si="7"/>
        <v>0</v>
      </c>
      <c r="N18" s="24">
        <v>15</v>
      </c>
      <c r="O18" s="26">
        <f t="shared" si="4"/>
        <v>0</v>
      </c>
      <c r="P18" s="24">
        <v>1.1000000000000001</v>
      </c>
      <c r="Q18" s="24">
        <v>36</v>
      </c>
      <c r="R18" s="27">
        <f t="shared" si="5"/>
        <v>0</v>
      </c>
      <c r="S18" s="102">
        <f t="shared" si="8"/>
        <v>0</v>
      </c>
      <c r="T18" s="21">
        <f>VLOOKUP($A18,'2022-23 Salary &amp; Benefits'!$A:$I,5,FALSE)</f>
        <v>68937</v>
      </c>
      <c r="U18" s="21">
        <f>VLOOKUP($A18,'2022-23 Salary &amp; Benefits'!$A:$I,6,FALSE)</f>
        <v>72728</v>
      </c>
      <c r="V18" s="22">
        <f t="shared" si="9"/>
        <v>0</v>
      </c>
      <c r="W18" s="22">
        <f t="shared" si="10"/>
        <v>0</v>
      </c>
      <c r="X18" s="22">
        <f>'2022-23 Salary &amp; Benefits'!$G$6</f>
        <v>12558.24</v>
      </c>
      <c r="Y18" s="23">
        <f>'2022-23 Salary &amp; Benefits'!$H$6</f>
        <v>0.2298</v>
      </c>
      <c r="Z18" s="23">
        <f>'2022-23 Salary &amp; Benefits'!$I$6</f>
        <v>0.22339999999999999</v>
      </c>
      <c r="AA18" s="22">
        <f t="shared" si="11"/>
        <v>0</v>
      </c>
      <c r="AB18" s="22">
        <f t="shared" si="12"/>
        <v>0</v>
      </c>
      <c r="AC18" s="22">
        <f t="shared" si="13"/>
        <v>0</v>
      </c>
      <c r="AD18" s="22">
        <f t="shared" si="14"/>
        <v>0</v>
      </c>
      <c r="AE18" s="22">
        <f t="shared" si="15"/>
        <v>0</v>
      </c>
      <c r="AF18" s="19" t="str">
        <f>VLOOKUP(C18,'2021-22 School Level AAFTE'!C:N,12,FALSE)</f>
        <v>No</v>
      </c>
    </row>
    <row r="19" spans="1:32" s="19" customFormat="1">
      <c r="A19" s="97" t="s">
        <v>2327</v>
      </c>
      <c r="B19" s="97" t="s">
        <v>465</v>
      </c>
      <c r="C19" s="95">
        <v>5514</v>
      </c>
      <c r="D19" s="95" t="s">
        <v>2795</v>
      </c>
      <c r="E19" s="129">
        <f>VLOOKUP($C19,'2021-22 School Level AAFTE'!$C:$Z,11,FALSE)</f>
        <v>0.67603333333333337</v>
      </c>
      <c r="F19" s="129" t="str">
        <f>VLOOKUP($C19,'2021-22 School Level AAFTE'!$C:$Z,8,FALSE)</f>
        <v>Yes</v>
      </c>
      <c r="G19" s="129" t="str">
        <f>VLOOKUP($C19,'2021-22 School Level AAFTE'!$C:$Z,12,FALSE)</f>
        <v>No</v>
      </c>
      <c r="H19" s="127">
        <f>VLOOKUP($C19,'2021-22 School Level AAFTE'!$C:$I,7,FALSE)</f>
        <v>108.77</v>
      </c>
      <c r="I19" s="112">
        <f>IFERROR(IF(OR(G19="yes",F19= "yes"),VLOOKUP(C19,Summary!$B:$J,6,0),0),0)</f>
        <v>0</v>
      </c>
      <c r="J19" s="111">
        <f t="shared" si="6"/>
        <v>108.77</v>
      </c>
      <c r="K19" s="91">
        <f>VLOOKUP($A19,'2022-23 Salary &amp; Benefits'!$A:$I,3,FALSE)</f>
        <v>1</v>
      </c>
      <c r="L19" s="91">
        <f>VLOOKUP($A19,'2022-23 Salary &amp; Benefits'!$A:$I,4,FALSE)</f>
        <v>1</v>
      </c>
      <c r="M19" s="39">
        <f t="shared" si="7"/>
        <v>108.77</v>
      </c>
      <c r="N19" s="24">
        <v>15</v>
      </c>
      <c r="O19" s="26">
        <f t="shared" si="4"/>
        <v>7.2513333333333332</v>
      </c>
      <c r="P19" s="24">
        <v>1.1000000000000001</v>
      </c>
      <c r="Q19" s="24">
        <v>36</v>
      </c>
      <c r="R19" s="27">
        <f t="shared" si="5"/>
        <v>287.15280000000001</v>
      </c>
      <c r="S19" s="102">
        <f t="shared" si="8"/>
        <v>0.31900000000000001</v>
      </c>
      <c r="T19" s="21">
        <f>VLOOKUP($A19,'2022-23 Salary &amp; Benefits'!$A:$I,5,FALSE)</f>
        <v>68937</v>
      </c>
      <c r="U19" s="21">
        <f>VLOOKUP($A19,'2022-23 Salary &amp; Benefits'!$A:$I,6,FALSE)</f>
        <v>72728</v>
      </c>
      <c r="V19" s="22">
        <f t="shared" si="9"/>
        <v>21990.9</v>
      </c>
      <c r="W19" s="22">
        <f t="shared" si="10"/>
        <v>1209.3299999999981</v>
      </c>
      <c r="X19" s="22">
        <f>'2022-23 Salary &amp; Benefits'!$G$6</f>
        <v>12558.24</v>
      </c>
      <c r="Y19" s="23">
        <f>'2022-23 Salary &amp; Benefits'!$H$6</f>
        <v>0.2298</v>
      </c>
      <c r="Z19" s="23">
        <f>'2022-23 Salary &amp; Benefits'!$I$6</f>
        <v>0.22339999999999999</v>
      </c>
      <c r="AA19" s="22">
        <f t="shared" si="11"/>
        <v>9329.75</v>
      </c>
      <c r="AB19" s="22">
        <f t="shared" si="12"/>
        <v>386.67</v>
      </c>
      <c r="AC19" s="22">
        <f t="shared" si="13"/>
        <v>86.38</v>
      </c>
      <c r="AD19" s="22">
        <f t="shared" si="14"/>
        <v>473.05</v>
      </c>
      <c r="AE19" s="22">
        <f t="shared" si="15"/>
        <v>33003.03</v>
      </c>
      <c r="AF19" s="19" t="str">
        <f>VLOOKUP(C19,'2021-22 School Level AAFTE'!C:N,12,FALSE)</f>
        <v>No</v>
      </c>
    </row>
    <row r="20" spans="1:32" s="19" customFormat="1">
      <c r="A20" s="97" t="s">
        <v>2327</v>
      </c>
      <c r="B20" s="97" t="s">
        <v>465</v>
      </c>
      <c r="C20" s="95">
        <v>5663</v>
      </c>
      <c r="D20" s="95" t="s">
        <v>2998</v>
      </c>
      <c r="E20" s="129">
        <f>VLOOKUP($C20,'2021-22 School Level AAFTE'!$C:$Z,11,FALSE)</f>
        <v>0.85709999999999997</v>
      </c>
      <c r="F20" s="129" t="str">
        <f>VLOOKUP($C20,'2021-22 School Level AAFTE'!$C:$Z,8,FALSE)</f>
        <v>Yes</v>
      </c>
      <c r="G20" s="129" t="str">
        <f>VLOOKUP($C20,'2021-22 School Level AAFTE'!$C:$Z,12,FALSE)</f>
        <v>No</v>
      </c>
      <c r="H20" s="127">
        <f>VLOOKUP($C20,'2021-22 School Level AAFTE'!$C:$I,7,FALSE)</f>
        <v>16.71</v>
      </c>
      <c r="I20" s="112">
        <f>IFERROR(IF(OR(G20="yes",F20= "yes"),VLOOKUP(C20,Summary!$B:$J,6,0),0),0)</f>
        <v>0</v>
      </c>
      <c r="J20" s="111">
        <f t="shared" si="6"/>
        <v>16.71</v>
      </c>
      <c r="K20" s="91">
        <f>VLOOKUP($A20,'2022-23 Salary &amp; Benefits'!$A:$I,3,FALSE)</f>
        <v>1</v>
      </c>
      <c r="L20" s="91">
        <f>VLOOKUP($A20,'2022-23 Salary &amp; Benefits'!$A:$I,4,FALSE)</f>
        <v>1</v>
      </c>
      <c r="M20" s="101">
        <f t="shared" si="7"/>
        <v>16.71</v>
      </c>
      <c r="N20" s="24">
        <v>15</v>
      </c>
      <c r="O20" s="26">
        <f t="shared" si="4"/>
        <v>1.1140000000000001</v>
      </c>
      <c r="P20" s="24">
        <v>1.1000000000000001</v>
      </c>
      <c r="Q20" s="24">
        <v>36</v>
      </c>
      <c r="R20" s="27">
        <f t="shared" si="5"/>
        <v>44.11440000000001</v>
      </c>
      <c r="S20" s="102">
        <f t="shared" si="8"/>
        <v>4.9000000000000002E-2</v>
      </c>
      <c r="T20" s="21">
        <f>VLOOKUP($A20,'2022-23 Salary &amp; Benefits'!$A:$I,5,FALSE)</f>
        <v>68937</v>
      </c>
      <c r="U20" s="21">
        <f>VLOOKUP($A20,'2022-23 Salary &amp; Benefits'!$A:$I,6,FALSE)</f>
        <v>72728</v>
      </c>
      <c r="V20" s="22">
        <f t="shared" si="9"/>
        <v>3377.91</v>
      </c>
      <c r="W20" s="22">
        <f t="shared" si="10"/>
        <v>185.76000000000022</v>
      </c>
      <c r="X20" s="22">
        <f>'2022-23 Salary &amp; Benefits'!$G$6</f>
        <v>12558.24</v>
      </c>
      <c r="Y20" s="23">
        <f>'2022-23 Salary &amp; Benefits'!$H$6</f>
        <v>0.2298</v>
      </c>
      <c r="Z20" s="23">
        <f>'2022-23 Salary &amp; Benefits'!$I$6</f>
        <v>0.22339999999999999</v>
      </c>
      <c r="AA20" s="22">
        <f t="shared" si="11"/>
        <v>1433.1</v>
      </c>
      <c r="AB20" s="22">
        <f t="shared" si="12"/>
        <v>59.39</v>
      </c>
      <c r="AC20" s="22">
        <f t="shared" si="13"/>
        <v>13.27</v>
      </c>
      <c r="AD20" s="22">
        <f t="shared" si="14"/>
        <v>72.66</v>
      </c>
      <c r="AE20" s="22">
        <f t="shared" si="15"/>
        <v>5069.43</v>
      </c>
      <c r="AF20" s="19" t="str">
        <f>VLOOKUP(C20,'2021-22 School Level AAFTE'!C:N,12,FALSE)</f>
        <v>No</v>
      </c>
    </row>
    <row r="21" spans="1:32" s="19" customFormat="1">
      <c r="A21" s="97" t="s">
        <v>2397</v>
      </c>
      <c r="B21" s="97" t="s">
        <v>1145</v>
      </c>
      <c r="C21" s="95">
        <v>2227</v>
      </c>
      <c r="D21" s="95" t="s">
        <v>1146</v>
      </c>
      <c r="E21" s="129">
        <f>VLOOKUP($C21,'2021-22 School Level AAFTE'!$C:$Z,11,FALSE)</f>
        <v>0.24303333333333332</v>
      </c>
      <c r="F21" s="129" t="str">
        <f>VLOOKUP($C21,'2021-22 School Level AAFTE'!$C:$Z,8,FALSE)</f>
        <v>No</v>
      </c>
      <c r="G21" s="129" t="str">
        <f>VLOOKUP($C21,'2021-22 School Level AAFTE'!$C:$Z,12,FALSE)</f>
        <v>No</v>
      </c>
      <c r="H21" s="127">
        <f>VLOOKUP($C21,'2021-22 School Level AAFTE'!$C:$I,7,FALSE)</f>
        <v>253.34</v>
      </c>
      <c r="I21" s="112">
        <f>IFERROR(IF(OR(G21="yes",F21= "yes"),VLOOKUP(C21,Summary!$B:$J,6,0),0),0)</f>
        <v>0</v>
      </c>
      <c r="J21" s="111">
        <f t="shared" si="6"/>
        <v>0</v>
      </c>
      <c r="K21" s="91">
        <f>VLOOKUP($A21,'2022-23 Salary &amp; Benefits'!$A:$I,3,FALSE)</f>
        <v>1</v>
      </c>
      <c r="L21" s="91">
        <f>VLOOKUP($A21,'2022-23 Salary &amp; Benefits'!$A:$I,4,FALSE)</f>
        <v>1.04</v>
      </c>
      <c r="M21" s="101">
        <f t="shared" si="7"/>
        <v>0</v>
      </c>
      <c r="N21" s="24">
        <v>15</v>
      </c>
      <c r="O21" s="26">
        <f t="shared" si="4"/>
        <v>0</v>
      </c>
      <c r="P21" s="24">
        <v>1.1000000000000001</v>
      </c>
      <c r="Q21" s="24">
        <v>36</v>
      </c>
      <c r="R21" s="27">
        <f t="shared" si="5"/>
        <v>0</v>
      </c>
      <c r="S21" s="102">
        <f t="shared" si="8"/>
        <v>0</v>
      </c>
      <c r="T21" s="21">
        <f>VLOOKUP($A21,'2022-23 Salary &amp; Benefits'!$A:$I,5,FALSE)</f>
        <v>68937</v>
      </c>
      <c r="U21" s="21">
        <f>VLOOKUP($A21,'2022-23 Salary &amp; Benefits'!$A:$I,6,FALSE)</f>
        <v>72728</v>
      </c>
      <c r="V21" s="22">
        <f t="shared" si="9"/>
        <v>0</v>
      </c>
      <c r="W21" s="22">
        <f t="shared" si="10"/>
        <v>0</v>
      </c>
      <c r="X21" s="22">
        <f>'2022-23 Salary &amp; Benefits'!$G$6</f>
        <v>12558.24</v>
      </c>
      <c r="Y21" s="23">
        <f>'2022-23 Salary &amp; Benefits'!$H$6</f>
        <v>0.2298</v>
      </c>
      <c r="Z21" s="23">
        <f>'2022-23 Salary &amp; Benefits'!$I$6</f>
        <v>0.22339999999999999</v>
      </c>
      <c r="AA21" s="22">
        <f t="shared" si="11"/>
        <v>0</v>
      </c>
      <c r="AB21" s="22">
        <f t="shared" si="12"/>
        <v>0</v>
      </c>
      <c r="AC21" s="22">
        <f t="shared" si="13"/>
        <v>0</v>
      </c>
      <c r="AD21" s="22">
        <f t="shared" si="14"/>
        <v>0</v>
      </c>
      <c r="AE21" s="22">
        <f t="shared" si="15"/>
        <v>0</v>
      </c>
      <c r="AF21" s="19" t="str">
        <f>VLOOKUP(C21,'2021-22 School Level AAFTE'!C:N,12,FALSE)</f>
        <v>No</v>
      </c>
    </row>
    <row r="22" spans="1:32" s="19" customFormat="1">
      <c r="A22" s="97" t="s">
        <v>2397</v>
      </c>
      <c r="B22" s="97" t="s">
        <v>1145</v>
      </c>
      <c r="C22" s="95">
        <v>2441</v>
      </c>
      <c r="D22" s="95" t="s">
        <v>1147</v>
      </c>
      <c r="E22" s="129">
        <f>VLOOKUP($C22,'2021-22 School Level AAFTE'!$C:$Z,11,FALSE)</f>
        <v>0.29216666666666663</v>
      </c>
      <c r="F22" s="129" t="str">
        <f>VLOOKUP($C22,'2021-22 School Level AAFTE'!$C:$Z,8,FALSE)</f>
        <v>No</v>
      </c>
      <c r="G22" s="129" t="str">
        <f>VLOOKUP($C22,'2021-22 School Level AAFTE'!$C:$Z,12,FALSE)</f>
        <v>No</v>
      </c>
      <c r="H22" s="127">
        <f>VLOOKUP($C22,'2021-22 School Level AAFTE'!$C:$I,7,FALSE)</f>
        <v>362.69</v>
      </c>
      <c r="I22" s="112">
        <f>IFERROR(IF(OR(G22="yes",F22= "yes"),VLOOKUP(C22,Summary!$B:$J,6,0),0),0)</f>
        <v>0</v>
      </c>
      <c r="J22" s="111">
        <f t="shared" si="6"/>
        <v>0</v>
      </c>
      <c r="K22" s="91">
        <f>VLOOKUP($A22,'2022-23 Salary &amp; Benefits'!$A:$I,3,FALSE)</f>
        <v>1</v>
      </c>
      <c r="L22" s="91">
        <f>VLOOKUP($A22,'2022-23 Salary &amp; Benefits'!$A:$I,4,FALSE)</f>
        <v>1.04</v>
      </c>
      <c r="M22" s="39">
        <f t="shared" si="7"/>
        <v>0</v>
      </c>
      <c r="N22" s="24">
        <v>15</v>
      </c>
      <c r="O22" s="26">
        <f t="shared" si="4"/>
        <v>0</v>
      </c>
      <c r="P22" s="24">
        <v>1.1000000000000001</v>
      </c>
      <c r="Q22" s="24">
        <v>36</v>
      </c>
      <c r="R22" s="27">
        <f t="shared" si="5"/>
        <v>0</v>
      </c>
      <c r="S22" s="102">
        <f t="shared" si="8"/>
        <v>0</v>
      </c>
      <c r="T22" s="21">
        <f>VLOOKUP($A22,'2022-23 Salary &amp; Benefits'!$A:$I,5,FALSE)</f>
        <v>68937</v>
      </c>
      <c r="U22" s="21">
        <f>VLOOKUP($A22,'2022-23 Salary &amp; Benefits'!$A:$I,6,FALSE)</f>
        <v>72728</v>
      </c>
      <c r="V22" s="22">
        <f t="shared" si="9"/>
        <v>0</v>
      </c>
      <c r="W22" s="22">
        <f t="shared" si="10"/>
        <v>0</v>
      </c>
      <c r="X22" s="22">
        <f>'2022-23 Salary &amp; Benefits'!$G$6</f>
        <v>12558.24</v>
      </c>
      <c r="Y22" s="23">
        <f>'2022-23 Salary &amp; Benefits'!$H$6</f>
        <v>0.2298</v>
      </c>
      <c r="Z22" s="23">
        <f>'2022-23 Salary &amp; Benefits'!$I$6</f>
        <v>0.22339999999999999</v>
      </c>
      <c r="AA22" s="22">
        <f t="shared" si="11"/>
        <v>0</v>
      </c>
      <c r="AB22" s="22">
        <f t="shared" si="12"/>
        <v>0</v>
      </c>
      <c r="AC22" s="22">
        <f t="shared" si="13"/>
        <v>0</v>
      </c>
      <c r="AD22" s="22">
        <f t="shared" si="14"/>
        <v>0</v>
      </c>
      <c r="AE22" s="22">
        <f t="shared" si="15"/>
        <v>0</v>
      </c>
      <c r="AF22" s="19" t="str">
        <f>VLOOKUP(C22,'2021-22 School Level AAFTE'!C:N,12,FALSE)</f>
        <v>No</v>
      </c>
    </row>
    <row r="23" spans="1:32" s="19" customFormat="1">
      <c r="A23" s="97" t="s">
        <v>2408</v>
      </c>
      <c r="B23" s="97" t="s">
        <v>1187</v>
      </c>
      <c r="C23" s="95">
        <v>2860</v>
      </c>
      <c r="D23" s="95" t="s">
        <v>1188</v>
      </c>
      <c r="E23" s="129">
        <f>VLOOKUP($C23,'2021-22 School Level AAFTE'!$C:$Z,11,FALSE)</f>
        <v>0.33346666666666663</v>
      </c>
      <c r="F23" s="129" t="str">
        <f>VLOOKUP($C23,'2021-22 School Level AAFTE'!$C:$Z,8,FALSE)</f>
        <v>No</v>
      </c>
      <c r="G23" s="129" t="str">
        <f>VLOOKUP($C23,'2021-22 School Level AAFTE'!$C:$Z,12,FALSE)</f>
        <v>No</v>
      </c>
      <c r="H23" s="127">
        <f>VLOOKUP($C23,'2021-22 School Level AAFTE'!$C:$I,7,FALSE)</f>
        <v>96.42</v>
      </c>
      <c r="I23" s="112">
        <f>IFERROR(IF(OR(G23="yes",F23= "yes"),VLOOKUP(C23,Summary!$B:$J,6,0),0),0)</f>
        <v>0</v>
      </c>
      <c r="J23" s="111">
        <f t="shared" si="6"/>
        <v>0</v>
      </c>
      <c r="K23" s="91">
        <f>VLOOKUP($A23,'2022-23 Salary &amp; Benefits'!$A:$I,3,FALSE)</f>
        <v>1</v>
      </c>
      <c r="L23" s="91">
        <f>VLOOKUP($A23,'2022-23 Salary &amp; Benefits'!$A:$I,4,FALSE)</f>
        <v>1.04</v>
      </c>
      <c r="M23" s="39">
        <f t="shared" si="7"/>
        <v>0</v>
      </c>
      <c r="N23" s="24">
        <v>15</v>
      </c>
      <c r="O23" s="26">
        <f t="shared" si="4"/>
        <v>0</v>
      </c>
      <c r="P23" s="24">
        <v>1.1000000000000001</v>
      </c>
      <c r="Q23" s="24">
        <v>36</v>
      </c>
      <c r="R23" s="27">
        <f t="shared" si="5"/>
        <v>0</v>
      </c>
      <c r="S23" s="102">
        <f t="shared" si="8"/>
        <v>0</v>
      </c>
      <c r="T23" s="21">
        <f>VLOOKUP($A23,'2022-23 Salary &amp; Benefits'!$A:$I,5,FALSE)</f>
        <v>68937</v>
      </c>
      <c r="U23" s="21">
        <f>VLOOKUP($A23,'2022-23 Salary &amp; Benefits'!$A:$I,6,FALSE)</f>
        <v>72728</v>
      </c>
      <c r="V23" s="22">
        <f t="shared" si="9"/>
        <v>0</v>
      </c>
      <c r="W23" s="22">
        <f t="shared" si="10"/>
        <v>0</v>
      </c>
      <c r="X23" s="22">
        <f>'2022-23 Salary &amp; Benefits'!$G$6</f>
        <v>12558.24</v>
      </c>
      <c r="Y23" s="23">
        <f>'2022-23 Salary &amp; Benefits'!$H$6</f>
        <v>0.2298</v>
      </c>
      <c r="Z23" s="23">
        <f>'2022-23 Salary &amp; Benefits'!$I$6</f>
        <v>0.22339999999999999</v>
      </c>
      <c r="AA23" s="22">
        <f t="shared" si="11"/>
        <v>0</v>
      </c>
      <c r="AB23" s="22">
        <f t="shared" si="12"/>
        <v>0</v>
      </c>
      <c r="AC23" s="22">
        <f t="shared" si="13"/>
        <v>0</v>
      </c>
      <c r="AD23" s="22">
        <f t="shared" si="14"/>
        <v>0</v>
      </c>
      <c r="AE23" s="22">
        <f t="shared" si="15"/>
        <v>0</v>
      </c>
      <c r="AF23" s="19" t="str">
        <f>VLOOKUP(C23,'2021-22 School Level AAFTE'!C:N,12,FALSE)</f>
        <v>No</v>
      </c>
    </row>
    <row r="24" spans="1:32" s="19" customFormat="1">
      <c r="A24" s="97" t="s">
        <v>2463</v>
      </c>
      <c r="B24" s="97" t="s">
        <v>1562</v>
      </c>
      <c r="C24" s="95">
        <v>2467</v>
      </c>
      <c r="D24" s="95" t="s">
        <v>1563</v>
      </c>
      <c r="E24" s="129">
        <f>VLOOKUP($C24,'2021-22 School Level AAFTE'!$C:$Z,11,FALSE)</f>
        <v>0.21333333333333335</v>
      </c>
      <c r="F24" s="129" t="str">
        <f>VLOOKUP($C24,'2021-22 School Level AAFTE'!$C:$Z,8,FALSE)</f>
        <v>No</v>
      </c>
      <c r="G24" s="129" t="str">
        <f>VLOOKUP($C24,'2021-22 School Level AAFTE'!$C:$Z,12,FALSE)</f>
        <v>No</v>
      </c>
      <c r="H24" s="127">
        <f>VLOOKUP($C24,'2021-22 School Level AAFTE'!$C:$I,7,FALSE)</f>
        <v>731.98</v>
      </c>
      <c r="I24" s="112">
        <f>IFERROR(IF(OR(G24="yes",F24= "yes"),VLOOKUP(C24,Summary!$B:$J,6,0),0),0)</f>
        <v>0</v>
      </c>
      <c r="J24" s="111">
        <f t="shared" si="6"/>
        <v>0</v>
      </c>
      <c r="K24" s="91">
        <f>VLOOKUP($A24,'2022-23 Salary &amp; Benefits'!$A:$I,3,FALSE)</f>
        <v>1.1200000000000001</v>
      </c>
      <c r="L24" s="91">
        <f>VLOOKUP($A24,'2022-23 Salary &amp; Benefits'!$A:$I,4,FALSE)</f>
        <v>1.1200000000000001</v>
      </c>
      <c r="M24" s="39">
        <f t="shared" si="7"/>
        <v>0</v>
      </c>
      <c r="N24" s="24">
        <v>15</v>
      </c>
      <c r="O24" s="26">
        <f t="shared" si="4"/>
        <v>0</v>
      </c>
      <c r="P24" s="24">
        <v>1.1000000000000001</v>
      </c>
      <c r="Q24" s="24">
        <v>36</v>
      </c>
      <c r="R24" s="27">
        <f t="shared" si="5"/>
        <v>0</v>
      </c>
      <c r="S24" s="102">
        <f t="shared" si="8"/>
        <v>0</v>
      </c>
      <c r="T24" s="21">
        <f>VLOOKUP($A24,'2022-23 Salary &amp; Benefits'!$A:$I,5,FALSE)</f>
        <v>68937</v>
      </c>
      <c r="U24" s="21">
        <f>VLOOKUP($A24,'2022-23 Salary &amp; Benefits'!$A:$I,6,FALSE)</f>
        <v>72728</v>
      </c>
      <c r="V24" s="22">
        <f t="shared" si="9"/>
        <v>0</v>
      </c>
      <c r="W24" s="22">
        <f t="shared" si="10"/>
        <v>0</v>
      </c>
      <c r="X24" s="22">
        <f>'2022-23 Salary &amp; Benefits'!$G$6</f>
        <v>12558.24</v>
      </c>
      <c r="Y24" s="23">
        <f>'2022-23 Salary &amp; Benefits'!$H$6</f>
        <v>0.2298</v>
      </c>
      <c r="Z24" s="23">
        <f>'2022-23 Salary &amp; Benefits'!$I$6</f>
        <v>0.22339999999999999</v>
      </c>
      <c r="AA24" s="22">
        <f t="shared" si="11"/>
        <v>0</v>
      </c>
      <c r="AB24" s="22">
        <f t="shared" si="12"/>
        <v>0</v>
      </c>
      <c r="AC24" s="22">
        <f t="shared" si="13"/>
        <v>0</v>
      </c>
      <c r="AD24" s="22">
        <f t="shared" si="14"/>
        <v>0</v>
      </c>
      <c r="AE24" s="22">
        <f t="shared" si="15"/>
        <v>0</v>
      </c>
      <c r="AF24" s="19" t="str">
        <f>VLOOKUP(C24,'2021-22 School Level AAFTE'!C:N,12,FALSE)</f>
        <v>No</v>
      </c>
    </row>
    <row r="25" spans="1:32" s="19" customFormat="1">
      <c r="A25" s="97" t="s">
        <v>2463</v>
      </c>
      <c r="B25" s="97" t="s">
        <v>1562</v>
      </c>
      <c r="C25" s="95">
        <v>2707</v>
      </c>
      <c r="D25" s="95" t="s">
        <v>1564</v>
      </c>
      <c r="E25" s="129">
        <f>VLOOKUP($C25,'2021-22 School Level AAFTE'!$C:$Z,11,FALSE)</f>
        <v>0.28839999999999999</v>
      </c>
      <c r="F25" s="129" t="str">
        <f>VLOOKUP($C25,'2021-22 School Level AAFTE'!$C:$Z,8,FALSE)</f>
        <v>No</v>
      </c>
      <c r="G25" s="129" t="str">
        <f>VLOOKUP($C25,'2021-22 School Level AAFTE'!$C:$Z,12,FALSE)</f>
        <v>No</v>
      </c>
      <c r="H25" s="127">
        <f>VLOOKUP($C25,'2021-22 School Level AAFTE'!$C:$I,7,FALSE)</f>
        <v>584.04</v>
      </c>
      <c r="I25" s="112">
        <f>IFERROR(IF(OR(G25="yes",F25= "yes"),VLOOKUP(C25,Summary!$B:$J,6,0),0),0)</f>
        <v>0</v>
      </c>
      <c r="J25" s="111">
        <f t="shared" si="6"/>
        <v>0</v>
      </c>
      <c r="K25" s="91">
        <f>VLOOKUP($A25,'2022-23 Salary &amp; Benefits'!$A:$I,3,FALSE)</f>
        <v>1.1200000000000001</v>
      </c>
      <c r="L25" s="91">
        <f>VLOOKUP($A25,'2022-23 Salary &amp; Benefits'!$A:$I,4,FALSE)</f>
        <v>1.1200000000000001</v>
      </c>
      <c r="M25" s="39">
        <f t="shared" si="7"/>
        <v>0</v>
      </c>
      <c r="N25" s="24">
        <v>15</v>
      </c>
      <c r="O25" s="26">
        <f t="shared" si="4"/>
        <v>0</v>
      </c>
      <c r="P25" s="24">
        <v>1.1000000000000001</v>
      </c>
      <c r="Q25" s="24">
        <v>36</v>
      </c>
      <c r="R25" s="27">
        <f t="shared" si="5"/>
        <v>0</v>
      </c>
      <c r="S25" s="102">
        <f t="shared" si="8"/>
        <v>0</v>
      </c>
      <c r="T25" s="21">
        <f>VLOOKUP($A25,'2022-23 Salary &amp; Benefits'!$A:$I,5,FALSE)</f>
        <v>68937</v>
      </c>
      <c r="U25" s="21">
        <f>VLOOKUP($A25,'2022-23 Salary &amp; Benefits'!$A:$I,6,FALSE)</f>
        <v>72728</v>
      </c>
      <c r="V25" s="22">
        <f t="shared" si="9"/>
        <v>0</v>
      </c>
      <c r="W25" s="22">
        <f t="shared" si="10"/>
        <v>0</v>
      </c>
      <c r="X25" s="22">
        <f>'2022-23 Salary &amp; Benefits'!$G$6</f>
        <v>12558.24</v>
      </c>
      <c r="Y25" s="23">
        <f>'2022-23 Salary &amp; Benefits'!$H$6</f>
        <v>0.2298</v>
      </c>
      <c r="Z25" s="23">
        <f>'2022-23 Salary &amp; Benefits'!$I$6</f>
        <v>0.22339999999999999</v>
      </c>
      <c r="AA25" s="22">
        <f t="shared" si="11"/>
        <v>0</v>
      </c>
      <c r="AB25" s="22">
        <f t="shared" si="12"/>
        <v>0</v>
      </c>
      <c r="AC25" s="22">
        <f t="shared" si="13"/>
        <v>0</v>
      </c>
      <c r="AD25" s="22">
        <f t="shared" si="14"/>
        <v>0</v>
      </c>
      <c r="AE25" s="22">
        <f t="shared" si="15"/>
        <v>0</v>
      </c>
      <c r="AF25" s="19" t="str">
        <f>VLOOKUP(C25,'2021-22 School Level AAFTE'!C:N,12,FALSE)</f>
        <v>No</v>
      </c>
    </row>
    <row r="26" spans="1:32" s="19" customFormat="1">
      <c r="A26" s="97" t="s">
        <v>2463</v>
      </c>
      <c r="B26" s="97" t="s">
        <v>1562</v>
      </c>
      <c r="C26" s="95">
        <v>3057</v>
      </c>
      <c r="D26" s="95" t="s">
        <v>1565</v>
      </c>
      <c r="E26" s="129">
        <f>VLOOKUP($C26,'2021-22 School Level AAFTE'!$C:$Z,11,FALSE)</f>
        <v>0.29623333333333335</v>
      </c>
      <c r="F26" s="129" t="str">
        <f>VLOOKUP($C26,'2021-22 School Level AAFTE'!$C:$Z,8,FALSE)</f>
        <v>No</v>
      </c>
      <c r="G26" s="129" t="str">
        <f>VLOOKUP($C26,'2021-22 School Level AAFTE'!$C:$Z,12,FALSE)</f>
        <v>No</v>
      </c>
      <c r="H26" s="127">
        <f>VLOOKUP($C26,'2021-22 School Level AAFTE'!$C:$I,7,FALSE)</f>
        <v>332.72</v>
      </c>
      <c r="I26" s="112">
        <f>IFERROR(IF(OR(G26="yes",F26= "yes"),VLOOKUP(C26,Summary!$B:$J,6,0),0),0)</f>
        <v>0</v>
      </c>
      <c r="J26" s="111">
        <f t="shared" si="6"/>
        <v>0</v>
      </c>
      <c r="K26" s="91">
        <f>VLOOKUP($A26,'2022-23 Salary &amp; Benefits'!$A:$I,3,FALSE)</f>
        <v>1.1200000000000001</v>
      </c>
      <c r="L26" s="91">
        <f>VLOOKUP($A26,'2022-23 Salary &amp; Benefits'!$A:$I,4,FALSE)</f>
        <v>1.1200000000000001</v>
      </c>
      <c r="M26" s="39">
        <f t="shared" si="7"/>
        <v>0</v>
      </c>
      <c r="N26" s="24">
        <v>15</v>
      </c>
      <c r="O26" s="26">
        <f t="shared" si="4"/>
        <v>0</v>
      </c>
      <c r="P26" s="24">
        <v>1.1000000000000001</v>
      </c>
      <c r="Q26" s="24">
        <v>36</v>
      </c>
      <c r="R26" s="27">
        <f t="shared" si="5"/>
        <v>0</v>
      </c>
      <c r="S26" s="102">
        <f t="shared" si="8"/>
        <v>0</v>
      </c>
      <c r="T26" s="21">
        <f>VLOOKUP($A26,'2022-23 Salary &amp; Benefits'!$A:$I,5,FALSE)</f>
        <v>68937</v>
      </c>
      <c r="U26" s="21">
        <f>VLOOKUP($A26,'2022-23 Salary &amp; Benefits'!$A:$I,6,FALSE)</f>
        <v>72728</v>
      </c>
      <c r="V26" s="22">
        <f t="shared" si="9"/>
        <v>0</v>
      </c>
      <c r="W26" s="22">
        <f t="shared" si="10"/>
        <v>0</v>
      </c>
      <c r="X26" s="22">
        <f>'2022-23 Salary &amp; Benefits'!$G$6</f>
        <v>12558.24</v>
      </c>
      <c r="Y26" s="23">
        <f>'2022-23 Salary &amp; Benefits'!$H$6</f>
        <v>0.2298</v>
      </c>
      <c r="Z26" s="23">
        <f>'2022-23 Salary &amp; Benefits'!$I$6</f>
        <v>0.22339999999999999</v>
      </c>
      <c r="AA26" s="22">
        <f t="shared" si="11"/>
        <v>0</v>
      </c>
      <c r="AB26" s="22">
        <f t="shared" si="12"/>
        <v>0</v>
      </c>
      <c r="AC26" s="22">
        <f t="shared" si="13"/>
        <v>0</v>
      </c>
      <c r="AD26" s="22">
        <f t="shared" si="14"/>
        <v>0</v>
      </c>
      <c r="AE26" s="22">
        <f t="shared" si="15"/>
        <v>0</v>
      </c>
      <c r="AF26" s="19" t="str">
        <f>VLOOKUP(C26,'2021-22 School Level AAFTE'!C:N,12,FALSE)</f>
        <v>No</v>
      </c>
    </row>
    <row r="27" spans="1:32" s="19" customFormat="1">
      <c r="A27" s="97" t="s">
        <v>2463</v>
      </c>
      <c r="B27" s="97" t="s">
        <v>1562</v>
      </c>
      <c r="C27" s="95">
        <v>3182</v>
      </c>
      <c r="D27" s="95" t="s">
        <v>1566</v>
      </c>
      <c r="E27" s="129">
        <f>VLOOKUP($C27,'2021-22 School Level AAFTE'!$C:$Z,11,FALSE)</f>
        <v>0.3115666666666666</v>
      </c>
      <c r="F27" s="129" t="str">
        <f>VLOOKUP($C27,'2021-22 School Level AAFTE'!$C:$Z,8,FALSE)</f>
        <v>No</v>
      </c>
      <c r="G27" s="129" t="str">
        <f>VLOOKUP($C27,'2021-22 School Level AAFTE'!$C:$Z,12,FALSE)</f>
        <v>No</v>
      </c>
      <c r="H27" s="127">
        <f>VLOOKUP($C27,'2021-22 School Level AAFTE'!$C:$I,7,FALSE)</f>
        <v>331.89</v>
      </c>
      <c r="I27" s="112">
        <f>IFERROR(IF(OR(G27="yes",F27= "yes"),VLOOKUP(C27,Summary!$B:$J,6,0),0),0)</f>
        <v>0</v>
      </c>
      <c r="J27" s="111">
        <f t="shared" si="6"/>
        <v>0</v>
      </c>
      <c r="K27" s="91">
        <f>VLOOKUP($A27,'2022-23 Salary &amp; Benefits'!$A:$I,3,FALSE)</f>
        <v>1.1200000000000001</v>
      </c>
      <c r="L27" s="91">
        <f>VLOOKUP($A27,'2022-23 Salary &amp; Benefits'!$A:$I,4,FALSE)</f>
        <v>1.1200000000000001</v>
      </c>
      <c r="M27" s="39">
        <f t="shared" si="7"/>
        <v>0</v>
      </c>
      <c r="N27" s="24">
        <v>15</v>
      </c>
      <c r="O27" s="26">
        <f t="shared" si="4"/>
        <v>0</v>
      </c>
      <c r="P27" s="24">
        <v>1.1000000000000001</v>
      </c>
      <c r="Q27" s="24">
        <v>36</v>
      </c>
      <c r="R27" s="27">
        <f t="shared" si="5"/>
        <v>0</v>
      </c>
      <c r="S27" s="102">
        <f t="shared" si="8"/>
        <v>0</v>
      </c>
      <c r="T27" s="21">
        <f>VLOOKUP($A27,'2022-23 Salary &amp; Benefits'!$A:$I,5,FALSE)</f>
        <v>68937</v>
      </c>
      <c r="U27" s="21">
        <f>VLOOKUP($A27,'2022-23 Salary &amp; Benefits'!$A:$I,6,FALSE)</f>
        <v>72728</v>
      </c>
      <c r="V27" s="22">
        <f t="shared" si="9"/>
        <v>0</v>
      </c>
      <c r="W27" s="22">
        <f t="shared" si="10"/>
        <v>0</v>
      </c>
      <c r="X27" s="22">
        <f>'2022-23 Salary &amp; Benefits'!$G$6</f>
        <v>12558.24</v>
      </c>
      <c r="Y27" s="23">
        <f>'2022-23 Salary &amp; Benefits'!$H$6</f>
        <v>0.2298</v>
      </c>
      <c r="Z27" s="23">
        <f>'2022-23 Salary &amp; Benefits'!$I$6</f>
        <v>0.22339999999999999</v>
      </c>
      <c r="AA27" s="22">
        <f t="shared" si="11"/>
        <v>0</v>
      </c>
      <c r="AB27" s="22">
        <f t="shared" si="12"/>
        <v>0</v>
      </c>
      <c r="AC27" s="22">
        <f t="shared" si="13"/>
        <v>0</v>
      </c>
      <c r="AD27" s="22">
        <f t="shared" si="14"/>
        <v>0</v>
      </c>
      <c r="AE27" s="22">
        <f t="shared" si="15"/>
        <v>0</v>
      </c>
      <c r="AF27" s="19" t="str">
        <f>VLOOKUP(C27,'2021-22 School Level AAFTE'!C:N,12,FALSE)</f>
        <v>No</v>
      </c>
    </row>
    <row r="28" spans="1:32" s="19" customFormat="1">
      <c r="A28" s="97" t="s">
        <v>2463</v>
      </c>
      <c r="B28" s="97" t="s">
        <v>1562</v>
      </c>
      <c r="C28" s="95">
        <v>3252</v>
      </c>
      <c r="D28" s="95" t="s">
        <v>1567</v>
      </c>
      <c r="E28" s="129">
        <f>VLOOKUP($C28,'2021-22 School Level AAFTE'!$C:$Z,11,FALSE)</f>
        <v>0.2435333333333333</v>
      </c>
      <c r="F28" s="129" t="str">
        <f>VLOOKUP($C28,'2021-22 School Level AAFTE'!$C:$Z,8,FALSE)</f>
        <v>No</v>
      </c>
      <c r="G28" s="129" t="str">
        <f>VLOOKUP($C28,'2021-22 School Level AAFTE'!$C:$Z,12,FALSE)</f>
        <v>No</v>
      </c>
      <c r="H28" s="127">
        <f>VLOOKUP($C28,'2021-22 School Level AAFTE'!$C:$I,7,FALSE)</f>
        <v>430.25</v>
      </c>
      <c r="I28" s="112">
        <f>IFERROR(IF(OR(G28="yes",F28= "yes"),VLOOKUP(C28,Summary!$B:$J,6,0),0),0)</f>
        <v>0</v>
      </c>
      <c r="J28" s="111">
        <f t="shared" si="6"/>
        <v>0</v>
      </c>
      <c r="K28" s="91">
        <f>VLOOKUP($A28,'2022-23 Salary &amp; Benefits'!$A:$I,3,FALSE)</f>
        <v>1.1200000000000001</v>
      </c>
      <c r="L28" s="91">
        <f>VLOOKUP($A28,'2022-23 Salary &amp; Benefits'!$A:$I,4,FALSE)</f>
        <v>1.1200000000000001</v>
      </c>
      <c r="M28" s="39">
        <f t="shared" si="7"/>
        <v>0</v>
      </c>
      <c r="N28" s="24">
        <v>15</v>
      </c>
      <c r="O28" s="26">
        <f t="shared" si="4"/>
        <v>0</v>
      </c>
      <c r="P28" s="24">
        <v>1.1000000000000001</v>
      </c>
      <c r="Q28" s="24">
        <v>36</v>
      </c>
      <c r="R28" s="27">
        <f t="shared" si="5"/>
        <v>0</v>
      </c>
      <c r="S28" s="102">
        <f t="shared" si="8"/>
        <v>0</v>
      </c>
      <c r="T28" s="21">
        <f>VLOOKUP($A28,'2022-23 Salary &amp; Benefits'!$A:$I,5,FALSE)</f>
        <v>68937</v>
      </c>
      <c r="U28" s="21">
        <f>VLOOKUP($A28,'2022-23 Salary &amp; Benefits'!$A:$I,6,FALSE)</f>
        <v>72728</v>
      </c>
      <c r="V28" s="22">
        <f t="shared" si="9"/>
        <v>0</v>
      </c>
      <c r="W28" s="22">
        <f t="shared" si="10"/>
        <v>0</v>
      </c>
      <c r="X28" s="22">
        <f>'2022-23 Salary &amp; Benefits'!$G$6</f>
        <v>12558.24</v>
      </c>
      <c r="Y28" s="23">
        <f>'2022-23 Salary &amp; Benefits'!$H$6</f>
        <v>0.2298</v>
      </c>
      <c r="Z28" s="23">
        <f>'2022-23 Salary &amp; Benefits'!$I$6</f>
        <v>0.22339999999999999</v>
      </c>
      <c r="AA28" s="22">
        <f t="shared" si="11"/>
        <v>0</v>
      </c>
      <c r="AB28" s="22">
        <f t="shared" si="12"/>
        <v>0</v>
      </c>
      <c r="AC28" s="22">
        <f t="shared" si="13"/>
        <v>0</v>
      </c>
      <c r="AD28" s="22">
        <f t="shared" si="14"/>
        <v>0</v>
      </c>
      <c r="AE28" s="22">
        <f t="shared" si="15"/>
        <v>0</v>
      </c>
      <c r="AF28" s="19" t="str">
        <f>VLOOKUP(C28,'2021-22 School Level AAFTE'!C:N,12,FALSE)</f>
        <v>No</v>
      </c>
    </row>
    <row r="29" spans="1:32" s="19" customFormat="1">
      <c r="A29" s="97" t="s">
        <v>2463</v>
      </c>
      <c r="B29" s="97" t="s">
        <v>1562</v>
      </c>
      <c r="C29" s="95">
        <v>3404</v>
      </c>
      <c r="D29" s="95" t="s">
        <v>2860</v>
      </c>
      <c r="E29" s="129">
        <f>VLOOKUP($C29,'2021-22 School Level AAFTE'!$C:$Z,11,FALSE)</f>
        <v>0.22876666666666667</v>
      </c>
      <c r="F29" s="129" t="str">
        <f>VLOOKUP($C29,'2021-22 School Level AAFTE'!$C:$Z,8,FALSE)</f>
        <v>No</v>
      </c>
      <c r="G29" s="129" t="str">
        <f>VLOOKUP($C29,'2021-22 School Level AAFTE'!$C:$Z,12,FALSE)</f>
        <v>No</v>
      </c>
      <c r="H29" s="127">
        <f>VLOOKUP($C29,'2021-22 School Level AAFTE'!$C:$I,7,FALSE)</f>
        <v>19.440000000000001</v>
      </c>
      <c r="I29" s="112">
        <f>IFERROR(IF(OR(G29="yes",F29= "yes"),VLOOKUP(C29,Summary!$B:$J,6,0),0),0)</f>
        <v>0</v>
      </c>
      <c r="J29" s="111">
        <f t="shared" si="6"/>
        <v>0</v>
      </c>
      <c r="K29" s="91">
        <f>VLOOKUP($A29,'2022-23 Salary &amp; Benefits'!$A:$I,3,FALSE)</f>
        <v>1.1200000000000001</v>
      </c>
      <c r="L29" s="91">
        <f>VLOOKUP($A29,'2022-23 Salary &amp; Benefits'!$A:$I,4,FALSE)</f>
        <v>1.1200000000000001</v>
      </c>
      <c r="M29" s="39">
        <f t="shared" si="7"/>
        <v>0</v>
      </c>
      <c r="N29" s="24">
        <v>15</v>
      </c>
      <c r="O29" s="26">
        <f t="shared" si="4"/>
        <v>0</v>
      </c>
      <c r="P29" s="24">
        <v>1.1000000000000001</v>
      </c>
      <c r="Q29" s="24">
        <v>36</v>
      </c>
      <c r="R29" s="27">
        <f t="shared" si="5"/>
        <v>0</v>
      </c>
      <c r="S29" s="102">
        <f t="shared" si="8"/>
        <v>0</v>
      </c>
      <c r="T29" s="21">
        <f>VLOOKUP($A29,'2022-23 Salary &amp; Benefits'!$A:$I,5,FALSE)</f>
        <v>68937</v>
      </c>
      <c r="U29" s="21">
        <f>VLOOKUP($A29,'2022-23 Salary &amp; Benefits'!$A:$I,6,FALSE)</f>
        <v>72728</v>
      </c>
      <c r="V29" s="22">
        <f t="shared" si="9"/>
        <v>0</v>
      </c>
      <c r="W29" s="22">
        <f t="shared" si="10"/>
        <v>0</v>
      </c>
      <c r="X29" s="22">
        <f>'2022-23 Salary &amp; Benefits'!$G$6</f>
        <v>12558.24</v>
      </c>
      <c r="Y29" s="23">
        <f>'2022-23 Salary &amp; Benefits'!$H$6</f>
        <v>0.2298</v>
      </c>
      <c r="Z29" s="23">
        <f>'2022-23 Salary &amp; Benefits'!$I$6</f>
        <v>0.22339999999999999</v>
      </c>
      <c r="AA29" s="22">
        <f t="shared" si="11"/>
        <v>0</v>
      </c>
      <c r="AB29" s="22">
        <f t="shared" si="12"/>
        <v>0</v>
      </c>
      <c r="AC29" s="22">
        <f t="shared" si="13"/>
        <v>0</v>
      </c>
      <c r="AD29" s="22">
        <f t="shared" si="14"/>
        <v>0</v>
      </c>
      <c r="AE29" s="22">
        <f t="shared" si="15"/>
        <v>0</v>
      </c>
      <c r="AF29" s="19" t="str">
        <f>VLOOKUP(C29,'2021-22 School Level AAFTE'!C:N,12,FALSE)</f>
        <v>No</v>
      </c>
    </row>
    <row r="30" spans="1:32" s="28" customFormat="1">
      <c r="A30" s="97" t="s">
        <v>2463</v>
      </c>
      <c r="B30" s="97" t="s">
        <v>1562</v>
      </c>
      <c r="C30" s="95">
        <v>5176</v>
      </c>
      <c r="D30" s="95" t="s">
        <v>1568</v>
      </c>
      <c r="E30" s="129">
        <f>VLOOKUP($C30,'2021-22 School Level AAFTE'!$C:$Z,11,FALSE)</f>
        <v>0.54286666666666672</v>
      </c>
      <c r="F30" s="129" t="str">
        <f>VLOOKUP($C30,'2021-22 School Level AAFTE'!$C:$Z,8,FALSE)</f>
        <v>Yes</v>
      </c>
      <c r="G30" s="129" t="str">
        <f>VLOOKUP($C30,'2021-22 School Level AAFTE'!$C:$Z,12,FALSE)</f>
        <v>No</v>
      </c>
      <c r="H30" s="127">
        <f>VLOOKUP($C30,'2021-22 School Level AAFTE'!$C:$I,7,FALSE)</f>
        <v>66.64</v>
      </c>
      <c r="I30" s="112">
        <f>IFERROR(IF(OR(G30="yes",F30= "yes"),VLOOKUP(C30,Summary!$B:$J,6,0),0),0)</f>
        <v>0</v>
      </c>
      <c r="J30" s="111">
        <f t="shared" si="6"/>
        <v>66.64</v>
      </c>
      <c r="K30" s="91">
        <f>VLOOKUP($A30,'2022-23 Salary &amp; Benefits'!$A:$I,3,FALSE)</f>
        <v>1.1200000000000001</v>
      </c>
      <c r="L30" s="91">
        <f>VLOOKUP($A30,'2022-23 Salary &amp; Benefits'!$A:$I,4,FALSE)</f>
        <v>1.1200000000000001</v>
      </c>
      <c r="M30" s="39">
        <f t="shared" si="7"/>
        <v>66.64</v>
      </c>
      <c r="N30" s="24">
        <v>15</v>
      </c>
      <c r="O30" s="26">
        <f t="shared" si="4"/>
        <v>4.4426666666666668</v>
      </c>
      <c r="P30" s="24">
        <v>1.1000000000000001</v>
      </c>
      <c r="Q30" s="24">
        <v>36</v>
      </c>
      <c r="R30" s="27">
        <f t="shared" si="5"/>
        <v>175.92960000000002</v>
      </c>
      <c r="S30" s="102">
        <f t="shared" si="8"/>
        <v>0.19500000000000001</v>
      </c>
      <c r="T30" s="21">
        <f>VLOOKUP($A30,'2022-23 Salary &amp; Benefits'!$A:$I,5,FALSE)</f>
        <v>68937</v>
      </c>
      <c r="U30" s="21">
        <f>VLOOKUP($A30,'2022-23 Salary &amp; Benefits'!$A:$I,6,FALSE)</f>
        <v>72728</v>
      </c>
      <c r="V30" s="22">
        <f t="shared" si="9"/>
        <v>15055.84</v>
      </c>
      <c r="W30" s="22">
        <f t="shared" si="10"/>
        <v>827.95999999999913</v>
      </c>
      <c r="X30" s="22">
        <f>'2022-23 Salary &amp; Benefits'!$G$6</f>
        <v>12558.24</v>
      </c>
      <c r="Y30" s="23">
        <f>'2022-23 Salary &amp; Benefits'!$H$6</f>
        <v>0.2298</v>
      </c>
      <c r="Z30" s="23">
        <f>'2022-23 Salary &amp; Benefits'!$I$6</f>
        <v>0.22339999999999999</v>
      </c>
      <c r="AA30" s="22">
        <f t="shared" si="11"/>
        <v>6093.66</v>
      </c>
      <c r="AB30" s="22">
        <f t="shared" si="12"/>
        <v>264.73</v>
      </c>
      <c r="AC30" s="22">
        <f t="shared" si="13"/>
        <v>59.14</v>
      </c>
      <c r="AD30" s="22">
        <f t="shared" si="14"/>
        <v>323.87</v>
      </c>
      <c r="AE30" s="22">
        <f t="shared" si="15"/>
        <v>22301.329999999998</v>
      </c>
      <c r="AF30" s="19" t="str">
        <f>VLOOKUP(C30,'2021-22 School Level AAFTE'!C:N,12,FALSE)</f>
        <v>No</v>
      </c>
    </row>
    <row r="31" spans="1:32" s="19" customFormat="1">
      <c r="A31" s="97" t="s">
        <v>2463</v>
      </c>
      <c r="B31" s="97" t="s">
        <v>1562</v>
      </c>
      <c r="C31" s="95">
        <v>5588</v>
      </c>
      <c r="D31" s="95" t="s">
        <v>2818</v>
      </c>
      <c r="E31" s="129">
        <f>VLOOKUP($C31,'2021-22 School Level AAFTE'!$C:$Z,11,FALSE)</f>
        <v>0.20833333333333334</v>
      </c>
      <c r="F31" s="129" t="str">
        <f>VLOOKUP($C31,'2021-22 School Level AAFTE'!$C:$Z,8,FALSE)</f>
        <v>No</v>
      </c>
      <c r="G31" s="129" t="str">
        <f>VLOOKUP($C31,'2021-22 School Level AAFTE'!$C:$Z,12,FALSE)</f>
        <v>No</v>
      </c>
      <c r="H31" s="127">
        <f>VLOOKUP($C31,'2021-22 School Level AAFTE'!$C:$I,7,FALSE)</f>
        <v>4.8599999999999994</v>
      </c>
      <c r="I31" s="112">
        <f>IFERROR(IF(OR(G31="yes",F31= "yes"),VLOOKUP(C31,Summary!$B:$J,6,0),0),0)</f>
        <v>0</v>
      </c>
      <c r="J31" s="111">
        <f t="shared" si="6"/>
        <v>0</v>
      </c>
      <c r="K31" s="91">
        <f>VLOOKUP($A31,'2022-23 Salary &amp; Benefits'!$A:$I,3,FALSE)</f>
        <v>1.1200000000000001</v>
      </c>
      <c r="L31" s="91">
        <f>VLOOKUP($A31,'2022-23 Salary &amp; Benefits'!$A:$I,4,FALSE)</f>
        <v>1.1200000000000001</v>
      </c>
      <c r="M31" s="39">
        <f t="shared" si="7"/>
        <v>0</v>
      </c>
      <c r="N31" s="24">
        <v>15</v>
      </c>
      <c r="O31" s="26">
        <f t="shared" si="4"/>
        <v>0</v>
      </c>
      <c r="P31" s="24">
        <v>1.1000000000000001</v>
      </c>
      <c r="Q31" s="24">
        <v>36</v>
      </c>
      <c r="R31" s="27">
        <f t="shared" si="5"/>
        <v>0</v>
      </c>
      <c r="S31" s="102">
        <f t="shared" si="8"/>
        <v>0</v>
      </c>
      <c r="T31" s="21">
        <f>VLOOKUP($A31,'2022-23 Salary &amp; Benefits'!$A:$I,5,FALSE)</f>
        <v>68937</v>
      </c>
      <c r="U31" s="21">
        <f>VLOOKUP($A31,'2022-23 Salary &amp; Benefits'!$A:$I,6,FALSE)</f>
        <v>72728</v>
      </c>
      <c r="V31" s="22">
        <f t="shared" si="9"/>
        <v>0</v>
      </c>
      <c r="W31" s="22">
        <f t="shared" si="10"/>
        <v>0</v>
      </c>
      <c r="X31" s="22">
        <f>'2022-23 Salary &amp; Benefits'!$G$6</f>
        <v>12558.24</v>
      </c>
      <c r="Y31" s="23">
        <f>'2022-23 Salary &amp; Benefits'!$H$6</f>
        <v>0.2298</v>
      </c>
      <c r="Z31" s="23">
        <f>'2022-23 Salary &amp; Benefits'!$I$6</f>
        <v>0.22339999999999999</v>
      </c>
      <c r="AA31" s="22">
        <f t="shared" si="11"/>
        <v>0</v>
      </c>
      <c r="AB31" s="22">
        <f t="shared" si="12"/>
        <v>0</v>
      </c>
      <c r="AC31" s="22">
        <f t="shared" si="13"/>
        <v>0</v>
      </c>
      <c r="AD31" s="22">
        <f t="shared" si="14"/>
        <v>0</v>
      </c>
      <c r="AE31" s="22">
        <f t="shared" si="15"/>
        <v>0</v>
      </c>
      <c r="AF31" s="19" t="str">
        <f>VLOOKUP(C31,'2021-22 School Level AAFTE'!C:N,12,FALSE)</f>
        <v>No</v>
      </c>
    </row>
    <row r="32" spans="1:32" s="19" customFormat="1">
      <c r="A32" s="97" t="s">
        <v>2476</v>
      </c>
      <c r="B32" s="97" t="s">
        <v>1681</v>
      </c>
      <c r="C32" s="95">
        <v>1714</v>
      </c>
      <c r="D32" s="95" t="s">
        <v>2861</v>
      </c>
      <c r="E32" s="129">
        <f>VLOOKUP($C32,'2021-22 School Level AAFTE'!$C:$Z,11,FALSE)</f>
        <v>0.2888</v>
      </c>
      <c r="F32" s="129" t="str">
        <f>VLOOKUP($C32,'2021-22 School Level AAFTE'!$C:$Z,8,FALSE)</f>
        <v>No</v>
      </c>
      <c r="G32" s="129" t="str">
        <f>VLOOKUP($C32,'2021-22 School Level AAFTE'!$C:$Z,12,FALSE)</f>
        <v>No</v>
      </c>
      <c r="H32" s="127">
        <f>VLOOKUP($C32,'2021-22 School Level AAFTE'!$C:$I,7,FALSE)</f>
        <v>223.8</v>
      </c>
      <c r="I32" s="112">
        <f>IFERROR(IF(OR(G32="yes",F32= "yes"),VLOOKUP(C32,Summary!$B:$J,6,0),0),0)</f>
        <v>0</v>
      </c>
      <c r="J32" s="111">
        <f t="shared" si="6"/>
        <v>0</v>
      </c>
      <c r="K32" s="91">
        <f>VLOOKUP($A32,'2022-23 Salary &amp; Benefits'!$A:$I,3,FALSE)</f>
        <v>1.1499999999999999</v>
      </c>
      <c r="L32" s="91">
        <f>VLOOKUP($A32,'2022-23 Salary &amp; Benefits'!$A:$I,4,FALSE)</f>
        <v>1.1499999999999999</v>
      </c>
      <c r="M32" s="39">
        <f t="shared" si="7"/>
        <v>0</v>
      </c>
      <c r="N32" s="24">
        <v>15</v>
      </c>
      <c r="O32" s="26">
        <f t="shared" si="4"/>
        <v>0</v>
      </c>
      <c r="P32" s="24">
        <v>1.1000000000000001</v>
      </c>
      <c r="Q32" s="24">
        <v>36</v>
      </c>
      <c r="R32" s="27">
        <f t="shared" si="5"/>
        <v>0</v>
      </c>
      <c r="S32" s="102">
        <f t="shared" si="8"/>
        <v>0</v>
      </c>
      <c r="T32" s="21">
        <f>VLOOKUP($A32,'2022-23 Salary &amp; Benefits'!$A:$I,5,FALSE)</f>
        <v>68937</v>
      </c>
      <c r="U32" s="21">
        <f>VLOOKUP($A32,'2022-23 Salary &amp; Benefits'!$A:$I,6,FALSE)</f>
        <v>72728</v>
      </c>
      <c r="V32" s="22">
        <f t="shared" si="9"/>
        <v>0</v>
      </c>
      <c r="W32" s="22">
        <f t="shared" si="10"/>
        <v>0</v>
      </c>
      <c r="X32" s="22">
        <f>'2022-23 Salary &amp; Benefits'!$G$6</f>
        <v>12558.24</v>
      </c>
      <c r="Y32" s="23">
        <f>'2022-23 Salary &amp; Benefits'!$H$6</f>
        <v>0.2298</v>
      </c>
      <c r="Z32" s="23">
        <f>'2022-23 Salary &amp; Benefits'!$I$6</f>
        <v>0.22339999999999999</v>
      </c>
      <c r="AA32" s="22">
        <f t="shared" si="11"/>
        <v>0</v>
      </c>
      <c r="AB32" s="22">
        <f t="shared" si="12"/>
        <v>0</v>
      </c>
      <c r="AC32" s="22">
        <f t="shared" si="13"/>
        <v>0</v>
      </c>
      <c r="AD32" s="22">
        <f t="shared" si="14"/>
        <v>0</v>
      </c>
      <c r="AE32" s="22">
        <f t="shared" si="15"/>
        <v>0</v>
      </c>
      <c r="AF32" s="19" t="str">
        <f>VLOOKUP(C32,'2021-22 School Level AAFTE'!C:N,12,FALSE)</f>
        <v>No</v>
      </c>
    </row>
    <row r="33" spans="1:32" s="19" customFormat="1">
      <c r="A33" s="97" t="s">
        <v>2476</v>
      </c>
      <c r="B33" s="97" t="s">
        <v>1681</v>
      </c>
      <c r="C33" s="95">
        <v>2523</v>
      </c>
      <c r="D33" s="95" t="s">
        <v>1682</v>
      </c>
      <c r="E33" s="129">
        <f>VLOOKUP($C33,'2021-22 School Level AAFTE'!$C:$Z,11,FALSE)</f>
        <v>0.29776666666666668</v>
      </c>
      <c r="F33" s="129" t="str">
        <f>VLOOKUP($C33,'2021-22 School Level AAFTE'!$C:$Z,8,FALSE)</f>
        <v>No</v>
      </c>
      <c r="G33" s="129" t="str">
        <f>VLOOKUP($C33,'2021-22 School Level AAFTE'!$C:$Z,12,FALSE)</f>
        <v>No</v>
      </c>
      <c r="H33" s="127">
        <f>VLOOKUP($C33,'2021-22 School Level AAFTE'!$C:$I,7,FALSE)</f>
        <v>1585.76</v>
      </c>
      <c r="I33" s="112">
        <f>IFERROR(IF(OR(G33="yes",F33= "yes"),VLOOKUP(C33,Summary!$B:$J,6,0),0),0)</f>
        <v>0</v>
      </c>
      <c r="J33" s="111">
        <f t="shared" si="6"/>
        <v>0</v>
      </c>
      <c r="K33" s="91">
        <f>VLOOKUP($A33,'2022-23 Salary &amp; Benefits'!$A:$I,3,FALSE)</f>
        <v>1.1499999999999999</v>
      </c>
      <c r="L33" s="91">
        <f>VLOOKUP($A33,'2022-23 Salary &amp; Benefits'!$A:$I,4,FALSE)</f>
        <v>1.1499999999999999</v>
      </c>
      <c r="M33" s="39">
        <f t="shared" si="7"/>
        <v>0</v>
      </c>
      <c r="N33" s="24">
        <v>15</v>
      </c>
      <c r="O33" s="26">
        <f t="shared" si="4"/>
        <v>0</v>
      </c>
      <c r="P33" s="24">
        <v>1.1000000000000001</v>
      </c>
      <c r="Q33" s="24">
        <v>36</v>
      </c>
      <c r="R33" s="27">
        <f t="shared" si="5"/>
        <v>0</v>
      </c>
      <c r="S33" s="102">
        <f t="shared" si="8"/>
        <v>0</v>
      </c>
      <c r="T33" s="21">
        <f>VLOOKUP($A33,'2022-23 Salary &amp; Benefits'!$A:$I,5,FALSE)</f>
        <v>68937</v>
      </c>
      <c r="U33" s="21">
        <f>VLOOKUP($A33,'2022-23 Salary &amp; Benefits'!$A:$I,6,FALSE)</f>
        <v>72728</v>
      </c>
      <c r="V33" s="22">
        <f t="shared" si="9"/>
        <v>0</v>
      </c>
      <c r="W33" s="22">
        <f t="shared" si="10"/>
        <v>0</v>
      </c>
      <c r="X33" s="22">
        <f>'2022-23 Salary &amp; Benefits'!$G$6</f>
        <v>12558.24</v>
      </c>
      <c r="Y33" s="23">
        <f>'2022-23 Salary &amp; Benefits'!$H$6</f>
        <v>0.2298</v>
      </c>
      <c r="Z33" s="23">
        <f>'2022-23 Salary &amp; Benefits'!$I$6</f>
        <v>0.22339999999999999</v>
      </c>
      <c r="AA33" s="22">
        <f t="shared" si="11"/>
        <v>0</v>
      </c>
      <c r="AB33" s="22">
        <f t="shared" si="12"/>
        <v>0</v>
      </c>
      <c r="AC33" s="22">
        <f t="shared" si="13"/>
        <v>0</v>
      </c>
      <c r="AD33" s="22">
        <f t="shared" si="14"/>
        <v>0</v>
      </c>
      <c r="AE33" s="22">
        <f t="shared" si="15"/>
        <v>0</v>
      </c>
      <c r="AF33" s="19" t="str">
        <f>VLOOKUP(C33,'2021-22 School Level AAFTE'!C:N,12,FALSE)</f>
        <v>No</v>
      </c>
    </row>
    <row r="34" spans="1:32" s="19" customFormat="1">
      <c r="A34" s="97" t="s">
        <v>2476</v>
      </c>
      <c r="B34" s="97" t="s">
        <v>1681</v>
      </c>
      <c r="C34" s="95">
        <v>3124</v>
      </c>
      <c r="D34" s="95" t="s">
        <v>1683</v>
      </c>
      <c r="E34" s="129">
        <f>VLOOKUP($C34,'2021-22 School Level AAFTE'!$C:$Z,11,FALSE)</f>
        <v>0.38586666666666664</v>
      </c>
      <c r="F34" s="129" t="str">
        <f>VLOOKUP($C34,'2021-22 School Level AAFTE'!$C:$Z,8,FALSE)</f>
        <v>No</v>
      </c>
      <c r="G34" s="129" t="str">
        <f>VLOOKUP($C34,'2021-22 School Level AAFTE'!$C:$Z,12,FALSE)</f>
        <v>No</v>
      </c>
      <c r="H34" s="127">
        <f>VLOOKUP($C34,'2021-22 School Level AAFTE'!$C:$I,7,FALSE)</f>
        <v>634.29999999999995</v>
      </c>
      <c r="I34" s="112">
        <f>IFERROR(IF(OR(G34="yes",F34= "yes"),VLOOKUP(C34,Summary!$B:$J,6,0),0),0)</f>
        <v>0</v>
      </c>
      <c r="J34" s="111">
        <f t="shared" si="6"/>
        <v>0</v>
      </c>
      <c r="K34" s="91">
        <f>VLOOKUP($A34,'2022-23 Salary &amp; Benefits'!$A:$I,3,FALSE)</f>
        <v>1.1499999999999999</v>
      </c>
      <c r="L34" s="91">
        <f>VLOOKUP($A34,'2022-23 Salary &amp; Benefits'!$A:$I,4,FALSE)</f>
        <v>1.1499999999999999</v>
      </c>
      <c r="M34" s="39">
        <f t="shared" si="7"/>
        <v>0</v>
      </c>
      <c r="N34" s="24">
        <v>15</v>
      </c>
      <c r="O34" s="26">
        <f t="shared" si="4"/>
        <v>0</v>
      </c>
      <c r="P34" s="24">
        <v>1.1000000000000001</v>
      </c>
      <c r="Q34" s="24">
        <v>36</v>
      </c>
      <c r="R34" s="27">
        <f t="shared" si="5"/>
        <v>0</v>
      </c>
      <c r="S34" s="102">
        <f t="shared" si="8"/>
        <v>0</v>
      </c>
      <c r="T34" s="21">
        <f>VLOOKUP($A34,'2022-23 Salary &amp; Benefits'!$A:$I,5,FALSE)</f>
        <v>68937</v>
      </c>
      <c r="U34" s="21">
        <f>VLOOKUP($A34,'2022-23 Salary &amp; Benefits'!$A:$I,6,FALSE)</f>
        <v>72728</v>
      </c>
      <c r="V34" s="22">
        <f t="shared" si="9"/>
        <v>0</v>
      </c>
      <c r="W34" s="22">
        <f t="shared" si="10"/>
        <v>0</v>
      </c>
      <c r="X34" s="22">
        <f>'2022-23 Salary &amp; Benefits'!$G$6</f>
        <v>12558.24</v>
      </c>
      <c r="Y34" s="23">
        <f>'2022-23 Salary &amp; Benefits'!$H$6</f>
        <v>0.2298</v>
      </c>
      <c r="Z34" s="23">
        <f>'2022-23 Salary &amp; Benefits'!$I$6</f>
        <v>0.22339999999999999</v>
      </c>
      <c r="AA34" s="22">
        <f t="shared" si="11"/>
        <v>0</v>
      </c>
      <c r="AB34" s="22">
        <f t="shared" si="12"/>
        <v>0</v>
      </c>
      <c r="AC34" s="22">
        <f t="shared" si="13"/>
        <v>0</v>
      </c>
      <c r="AD34" s="22">
        <f t="shared" si="14"/>
        <v>0</v>
      </c>
      <c r="AE34" s="22">
        <f t="shared" si="15"/>
        <v>0</v>
      </c>
      <c r="AF34" s="19" t="str">
        <f>VLOOKUP(C34,'2021-22 School Level AAFTE'!C:N,12,FALSE)</f>
        <v>No</v>
      </c>
    </row>
    <row r="35" spans="1:32" s="19" customFormat="1">
      <c r="A35" s="97" t="s">
        <v>2476</v>
      </c>
      <c r="B35" s="97" t="s">
        <v>1681</v>
      </c>
      <c r="C35" s="95">
        <v>4154</v>
      </c>
      <c r="D35" s="95" t="s">
        <v>1684</v>
      </c>
      <c r="E35" s="129">
        <f>VLOOKUP($C35,'2021-22 School Level AAFTE'!$C:$Z,11,FALSE)</f>
        <v>0.34066666666666667</v>
      </c>
      <c r="F35" s="129" t="str">
        <f>VLOOKUP($C35,'2021-22 School Level AAFTE'!$C:$Z,8,FALSE)</f>
        <v>No</v>
      </c>
      <c r="G35" s="129" t="str">
        <f>VLOOKUP($C35,'2021-22 School Level AAFTE'!$C:$Z,12,FALSE)</f>
        <v>No</v>
      </c>
      <c r="H35" s="127">
        <f>VLOOKUP($C35,'2021-22 School Level AAFTE'!$C:$I,7,FALSE)</f>
        <v>480.33</v>
      </c>
      <c r="I35" s="112">
        <f>IFERROR(IF(OR(G35="yes",F35= "yes"),VLOOKUP(C35,Summary!$B:$J,6,0),0),0)</f>
        <v>0</v>
      </c>
      <c r="J35" s="111">
        <f t="shared" si="6"/>
        <v>0</v>
      </c>
      <c r="K35" s="91">
        <f>VLOOKUP($A35,'2022-23 Salary &amp; Benefits'!$A:$I,3,FALSE)</f>
        <v>1.1499999999999999</v>
      </c>
      <c r="L35" s="91">
        <f>VLOOKUP($A35,'2022-23 Salary &amp; Benefits'!$A:$I,4,FALSE)</f>
        <v>1.1499999999999999</v>
      </c>
      <c r="M35" s="39">
        <f t="shared" si="7"/>
        <v>0</v>
      </c>
      <c r="N35" s="24">
        <v>15</v>
      </c>
      <c r="O35" s="26">
        <f t="shared" si="4"/>
        <v>0</v>
      </c>
      <c r="P35" s="24">
        <v>1.1000000000000001</v>
      </c>
      <c r="Q35" s="24">
        <v>36</v>
      </c>
      <c r="R35" s="27">
        <f t="shared" si="5"/>
        <v>0</v>
      </c>
      <c r="S35" s="102">
        <f t="shared" si="8"/>
        <v>0</v>
      </c>
      <c r="T35" s="21">
        <f>VLOOKUP($A35,'2022-23 Salary &amp; Benefits'!$A:$I,5,FALSE)</f>
        <v>68937</v>
      </c>
      <c r="U35" s="21">
        <f>VLOOKUP($A35,'2022-23 Salary &amp; Benefits'!$A:$I,6,FALSE)</f>
        <v>72728</v>
      </c>
      <c r="V35" s="22">
        <f t="shared" si="9"/>
        <v>0</v>
      </c>
      <c r="W35" s="22">
        <f t="shared" si="10"/>
        <v>0</v>
      </c>
      <c r="X35" s="22">
        <f>'2022-23 Salary &amp; Benefits'!$G$6</f>
        <v>12558.24</v>
      </c>
      <c r="Y35" s="23">
        <f>'2022-23 Salary &amp; Benefits'!$H$6</f>
        <v>0.2298</v>
      </c>
      <c r="Z35" s="23">
        <f>'2022-23 Salary &amp; Benefits'!$I$6</f>
        <v>0.22339999999999999</v>
      </c>
      <c r="AA35" s="22">
        <f t="shared" si="11"/>
        <v>0</v>
      </c>
      <c r="AB35" s="22">
        <f t="shared" si="12"/>
        <v>0</v>
      </c>
      <c r="AC35" s="22">
        <f t="shared" si="13"/>
        <v>0</v>
      </c>
      <c r="AD35" s="22">
        <f t="shared" si="14"/>
        <v>0</v>
      </c>
      <c r="AE35" s="22">
        <f t="shared" si="15"/>
        <v>0</v>
      </c>
      <c r="AF35" s="19" t="str">
        <f>VLOOKUP(C35,'2021-22 School Level AAFTE'!C:N,12,FALSE)</f>
        <v>No</v>
      </c>
    </row>
    <row r="36" spans="1:32" s="19" customFormat="1">
      <c r="A36" s="97" t="s">
        <v>2476</v>
      </c>
      <c r="B36" s="97" t="s">
        <v>1681</v>
      </c>
      <c r="C36" s="95">
        <v>4287</v>
      </c>
      <c r="D36" s="95" t="s">
        <v>1685</v>
      </c>
      <c r="E36" s="129">
        <f>VLOOKUP($C36,'2021-22 School Level AAFTE'!$C:$Z,11,FALSE)</f>
        <v>0.43906666666666666</v>
      </c>
      <c r="F36" s="129" t="str">
        <f>VLOOKUP($C36,'2021-22 School Level AAFTE'!$C:$Z,8,FALSE)</f>
        <v>No</v>
      </c>
      <c r="G36" s="129" t="str">
        <f>VLOOKUP($C36,'2021-22 School Level AAFTE'!$C:$Z,12,FALSE)</f>
        <v>No</v>
      </c>
      <c r="H36" s="127">
        <f>VLOOKUP($C36,'2021-22 School Level AAFTE'!$C:$I,7,FALSE)</f>
        <v>93.33</v>
      </c>
      <c r="I36" s="112">
        <f>IFERROR(IF(OR(G36="yes",F36= "yes"),VLOOKUP(C36,Summary!$B:$J,6,0),0),0)</f>
        <v>0</v>
      </c>
      <c r="J36" s="111">
        <f t="shared" si="6"/>
        <v>0</v>
      </c>
      <c r="K36" s="91">
        <f>VLOOKUP($A36,'2022-23 Salary &amp; Benefits'!$A:$I,3,FALSE)</f>
        <v>1.1499999999999999</v>
      </c>
      <c r="L36" s="91">
        <f>VLOOKUP($A36,'2022-23 Salary &amp; Benefits'!$A:$I,4,FALSE)</f>
        <v>1.1499999999999999</v>
      </c>
      <c r="M36" s="101">
        <f t="shared" si="7"/>
        <v>0</v>
      </c>
      <c r="N36" s="24">
        <v>15</v>
      </c>
      <c r="O36" s="26">
        <f t="shared" si="4"/>
        <v>0</v>
      </c>
      <c r="P36" s="24">
        <v>1.1000000000000001</v>
      </c>
      <c r="Q36" s="24">
        <v>36</v>
      </c>
      <c r="R36" s="27">
        <f t="shared" si="5"/>
        <v>0</v>
      </c>
      <c r="S36" s="102">
        <f t="shared" si="8"/>
        <v>0</v>
      </c>
      <c r="T36" s="21">
        <f>VLOOKUP($A36,'2022-23 Salary &amp; Benefits'!$A:$I,5,FALSE)</f>
        <v>68937</v>
      </c>
      <c r="U36" s="21">
        <f>VLOOKUP($A36,'2022-23 Salary &amp; Benefits'!$A:$I,6,FALSE)</f>
        <v>72728</v>
      </c>
      <c r="V36" s="22">
        <f t="shared" si="9"/>
        <v>0</v>
      </c>
      <c r="W36" s="22">
        <f t="shared" si="10"/>
        <v>0</v>
      </c>
      <c r="X36" s="22">
        <f>'2022-23 Salary &amp; Benefits'!$G$6</f>
        <v>12558.24</v>
      </c>
      <c r="Y36" s="23">
        <f>'2022-23 Salary &amp; Benefits'!$H$6</f>
        <v>0.2298</v>
      </c>
      <c r="Z36" s="23">
        <f>'2022-23 Salary &amp; Benefits'!$I$6</f>
        <v>0.22339999999999999</v>
      </c>
      <c r="AA36" s="22">
        <f t="shared" si="11"/>
        <v>0</v>
      </c>
      <c r="AB36" s="22">
        <f t="shared" si="12"/>
        <v>0</v>
      </c>
      <c r="AC36" s="22">
        <f t="shared" si="13"/>
        <v>0</v>
      </c>
      <c r="AD36" s="22">
        <f t="shared" si="14"/>
        <v>0</v>
      </c>
      <c r="AE36" s="22">
        <f t="shared" si="15"/>
        <v>0</v>
      </c>
      <c r="AF36" s="19" t="str">
        <f>VLOOKUP(C36,'2021-22 School Level AAFTE'!C:N,12,FALSE)</f>
        <v>No</v>
      </c>
    </row>
    <row r="37" spans="1:32" s="19" customFormat="1">
      <c r="A37" s="97" t="s">
        <v>2476</v>
      </c>
      <c r="B37" s="97" t="s">
        <v>1681</v>
      </c>
      <c r="C37" s="95">
        <v>4327</v>
      </c>
      <c r="D37" s="95" t="s">
        <v>1686</v>
      </c>
      <c r="E37" s="129">
        <f>VLOOKUP($C37,'2021-22 School Level AAFTE'!$C:$Z,11,FALSE)</f>
        <v>0.37836666666666668</v>
      </c>
      <c r="F37" s="129" t="str">
        <f>VLOOKUP($C37,'2021-22 School Level AAFTE'!$C:$Z,8,FALSE)</f>
        <v>No</v>
      </c>
      <c r="G37" s="129" t="str">
        <f>VLOOKUP($C37,'2021-22 School Level AAFTE'!$C:$Z,12,FALSE)</f>
        <v>No</v>
      </c>
      <c r="H37" s="127">
        <f>VLOOKUP($C37,'2021-22 School Level AAFTE'!$C:$I,7,FALSE)</f>
        <v>616.03</v>
      </c>
      <c r="I37" s="112">
        <f>IFERROR(IF(OR(G37="yes",F37= "yes"),VLOOKUP(C37,Summary!$B:$J,6,0),0),0)</f>
        <v>0</v>
      </c>
      <c r="J37" s="111">
        <f t="shared" si="6"/>
        <v>0</v>
      </c>
      <c r="K37" s="91">
        <f>VLOOKUP($A37,'2022-23 Salary &amp; Benefits'!$A:$I,3,FALSE)</f>
        <v>1.1499999999999999</v>
      </c>
      <c r="L37" s="91">
        <f>VLOOKUP($A37,'2022-23 Salary &amp; Benefits'!$A:$I,4,FALSE)</f>
        <v>1.1499999999999999</v>
      </c>
      <c r="M37" s="39">
        <f t="shared" si="7"/>
        <v>0</v>
      </c>
      <c r="N37" s="24">
        <v>15</v>
      </c>
      <c r="O37" s="26">
        <f t="shared" si="4"/>
        <v>0</v>
      </c>
      <c r="P37" s="24">
        <v>1.1000000000000001</v>
      </c>
      <c r="Q37" s="24">
        <v>36</v>
      </c>
      <c r="R37" s="27">
        <f t="shared" si="5"/>
        <v>0</v>
      </c>
      <c r="S37" s="102">
        <f t="shared" si="8"/>
        <v>0</v>
      </c>
      <c r="T37" s="21">
        <f>VLOOKUP($A37,'2022-23 Salary &amp; Benefits'!$A:$I,5,FALSE)</f>
        <v>68937</v>
      </c>
      <c r="U37" s="21">
        <f>VLOOKUP($A37,'2022-23 Salary &amp; Benefits'!$A:$I,6,FALSE)</f>
        <v>72728</v>
      </c>
      <c r="V37" s="22">
        <f t="shared" si="9"/>
        <v>0</v>
      </c>
      <c r="W37" s="22">
        <f t="shared" si="10"/>
        <v>0</v>
      </c>
      <c r="X37" s="22">
        <f>'2022-23 Salary &amp; Benefits'!$G$6</f>
        <v>12558.24</v>
      </c>
      <c r="Y37" s="23">
        <f>'2022-23 Salary &amp; Benefits'!$H$6</f>
        <v>0.2298</v>
      </c>
      <c r="Z37" s="23">
        <f>'2022-23 Salary &amp; Benefits'!$I$6</f>
        <v>0.22339999999999999</v>
      </c>
      <c r="AA37" s="22">
        <f t="shared" si="11"/>
        <v>0</v>
      </c>
      <c r="AB37" s="22">
        <f t="shared" si="12"/>
        <v>0</v>
      </c>
      <c r="AC37" s="22">
        <f t="shared" si="13"/>
        <v>0</v>
      </c>
      <c r="AD37" s="22">
        <f t="shared" si="14"/>
        <v>0</v>
      </c>
      <c r="AE37" s="22">
        <f t="shared" si="15"/>
        <v>0</v>
      </c>
      <c r="AF37" s="19" t="str">
        <f>VLOOKUP(C37,'2021-22 School Level AAFTE'!C:N,12,FALSE)</f>
        <v>No</v>
      </c>
    </row>
    <row r="38" spans="1:32" s="19" customFormat="1">
      <c r="A38" s="97" t="s">
        <v>2476</v>
      </c>
      <c r="B38" s="97" t="s">
        <v>1681</v>
      </c>
      <c r="C38" s="95">
        <v>4436</v>
      </c>
      <c r="D38" s="95" t="s">
        <v>1687</v>
      </c>
      <c r="E38" s="129">
        <f>VLOOKUP($C38,'2021-22 School Level AAFTE'!$C:$Z,11,FALSE)</f>
        <v>0.37333333333333329</v>
      </c>
      <c r="F38" s="129" t="str">
        <f>VLOOKUP($C38,'2021-22 School Level AAFTE'!$C:$Z,8,FALSE)</f>
        <v>No</v>
      </c>
      <c r="G38" s="129" t="str">
        <f>VLOOKUP($C38,'2021-22 School Level AAFTE'!$C:$Z,12,FALSE)</f>
        <v>No</v>
      </c>
      <c r="H38" s="127">
        <f>VLOOKUP($C38,'2021-22 School Level AAFTE'!$C:$I,7,FALSE)</f>
        <v>596.72</v>
      </c>
      <c r="I38" s="112">
        <f>IFERROR(IF(OR(G38="yes",F38= "yes"),VLOOKUP(C38,Summary!$B:$J,6,0),0),0)</f>
        <v>0</v>
      </c>
      <c r="J38" s="111">
        <f t="shared" si="6"/>
        <v>0</v>
      </c>
      <c r="K38" s="91">
        <f>VLOOKUP($A38,'2022-23 Salary &amp; Benefits'!$A:$I,3,FALSE)</f>
        <v>1.1499999999999999</v>
      </c>
      <c r="L38" s="91">
        <f>VLOOKUP($A38,'2022-23 Salary &amp; Benefits'!$A:$I,4,FALSE)</f>
        <v>1.1499999999999999</v>
      </c>
      <c r="M38" s="39">
        <f t="shared" si="7"/>
        <v>0</v>
      </c>
      <c r="N38" s="24">
        <v>15</v>
      </c>
      <c r="O38" s="26">
        <f t="shared" si="4"/>
        <v>0</v>
      </c>
      <c r="P38" s="24">
        <v>1.1000000000000001</v>
      </c>
      <c r="Q38" s="24">
        <v>36</v>
      </c>
      <c r="R38" s="27">
        <f t="shared" si="5"/>
        <v>0</v>
      </c>
      <c r="S38" s="102">
        <f t="shared" si="8"/>
        <v>0</v>
      </c>
      <c r="T38" s="21">
        <f>VLOOKUP($A38,'2022-23 Salary &amp; Benefits'!$A:$I,5,FALSE)</f>
        <v>68937</v>
      </c>
      <c r="U38" s="21">
        <f>VLOOKUP($A38,'2022-23 Salary &amp; Benefits'!$A:$I,6,FALSE)</f>
        <v>72728</v>
      </c>
      <c r="V38" s="22">
        <f t="shared" si="9"/>
        <v>0</v>
      </c>
      <c r="W38" s="22">
        <f t="shared" si="10"/>
        <v>0</v>
      </c>
      <c r="X38" s="22">
        <f>'2022-23 Salary &amp; Benefits'!$G$6</f>
        <v>12558.24</v>
      </c>
      <c r="Y38" s="23">
        <f>'2022-23 Salary &amp; Benefits'!$H$6</f>
        <v>0.2298</v>
      </c>
      <c r="Z38" s="23">
        <f>'2022-23 Salary &amp; Benefits'!$I$6</f>
        <v>0.22339999999999999</v>
      </c>
      <c r="AA38" s="22">
        <f t="shared" si="11"/>
        <v>0</v>
      </c>
      <c r="AB38" s="22">
        <f t="shared" si="12"/>
        <v>0</v>
      </c>
      <c r="AC38" s="22">
        <f t="shared" si="13"/>
        <v>0</v>
      </c>
      <c r="AD38" s="22">
        <f t="shared" si="14"/>
        <v>0</v>
      </c>
      <c r="AE38" s="22">
        <f t="shared" si="15"/>
        <v>0</v>
      </c>
      <c r="AF38" s="19" t="str">
        <f>VLOOKUP(C38,'2021-22 School Level AAFTE'!C:N,12,FALSE)</f>
        <v>No</v>
      </c>
    </row>
    <row r="39" spans="1:32" s="19" customFormat="1">
      <c r="A39" s="97" t="s">
        <v>2476</v>
      </c>
      <c r="B39" s="97" t="s">
        <v>1681</v>
      </c>
      <c r="C39" s="95">
        <v>4573</v>
      </c>
      <c r="D39" s="95" t="s">
        <v>416</v>
      </c>
      <c r="E39" s="129">
        <f>VLOOKUP($C39,'2021-22 School Level AAFTE'!$C:$Z,11,FALSE)</f>
        <v>0.28983333333333333</v>
      </c>
      <c r="F39" s="129" t="str">
        <f>VLOOKUP($C39,'2021-22 School Level AAFTE'!$C:$Z,8,FALSE)</f>
        <v>No</v>
      </c>
      <c r="G39" s="129" t="str">
        <f>VLOOKUP($C39,'2021-22 School Level AAFTE'!$C:$Z,12,FALSE)</f>
        <v>No</v>
      </c>
      <c r="H39" s="127">
        <f>VLOOKUP($C39,'2021-22 School Level AAFTE'!$C:$I,7,FALSE)</f>
        <v>501.31</v>
      </c>
      <c r="I39" s="112">
        <f>IFERROR(IF(OR(G39="yes",F39= "yes"),VLOOKUP(C39,Summary!$B:$J,6,0),0),0)</f>
        <v>0</v>
      </c>
      <c r="J39" s="111">
        <f t="shared" si="6"/>
        <v>0</v>
      </c>
      <c r="K39" s="91">
        <f>VLOOKUP($A39,'2022-23 Salary &amp; Benefits'!$A:$I,3,FALSE)</f>
        <v>1.1499999999999999</v>
      </c>
      <c r="L39" s="91">
        <f>VLOOKUP($A39,'2022-23 Salary &amp; Benefits'!$A:$I,4,FALSE)</f>
        <v>1.1499999999999999</v>
      </c>
      <c r="M39" s="101">
        <f t="shared" si="7"/>
        <v>0</v>
      </c>
      <c r="N39" s="24">
        <v>15</v>
      </c>
      <c r="O39" s="26">
        <f t="shared" si="4"/>
        <v>0</v>
      </c>
      <c r="P39" s="24">
        <v>1.1000000000000001</v>
      </c>
      <c r="Q39" s="24">
        <v>36</v>
      </c>
      <c r="R39" s="27">
        <f t="shared" si="5"/>
        <v>0</v>
      </c>
      <c r="S39" s="102">
        <f t="shared" si="8"/>
        <v>0</v>
      </c>
      <c r="T39" s="21">
        <f>VLOOKUP($A39,'2022-23 Salary &amp; Benefits'!$A:$I,5,FALSE)</f>
        <v>68937</v>
      </c>
      <c r="U39" s="21">
        <f>VLOOKUP($A39,'2022-23 Salary &amp; Benefits'!$A:$I,6,FALSE)</f>
        <v>72728</v>
      </c>
      <c r="V39" s="22">
        <f t="shared" si="9"/>
        <v>0</v>
      </c>
      <c r="W39" s="22">
        <f t="shared" si="10"/>
        <v>0</v>
      </c>
      <c r="X39" s="22">
        <f>'2022-23 Salary &amp; Benefits'!$G$6</f>
        <v>12558.24</v>
      </c>
      <c r="Y39" s="23">
        <f>'2022-23 Salary &amp; Benefits'!$H$6</f>
        <v>0.2298</v>
      </c>
      <c r="Z39" s="23">
        <f>'2022-23 Salary &amp; Benefits'!$I$6</f>
        <v>0.22339999999999999</v>
      </c>
      <c r="AA39" s="22">
        <f t="shared" si="11"/>
        <v>0</v>
      </c>
      <c r="AB39" s="22">
        <f t="shared" si="12"/>
        <v>0</v>
      </c>
      <c r="AC39" s="22">
        <f t="shared" si="13"/>
        <v>0</v>
      </c>
      <c r="AD39" s="22">
        <f t="shared" si="14"/>
        <v>0</v>
      </c>
      <c r="AE39" s="22">
        <f t="shared" si="15"/>
        <v>0</v>
      </c>
      <c r="AF39" s="19" t="str">
        <f>VLOOKUP(C39,'2021-22 School Level AAFTE'!C:N,12,FALSE)</f>
        <v>No</v>
      </c>
    </row>
    <row r="40" spans="1:32" s="19" customFormat="1">
      <c r="A40" s="97" t="s">
        <v>2476</v>
      </c>
      <c r="B40" s="97" t="s">
        <v>1681</v>
      </c>
      <c r="C40" s="95">
        <v>5010</v>
      </c>
      <c r="D40" s="95" t="s">
        <v>1688</v>
      </c>
      <c r="E40" s="129">
        <f>VLOOKUP($C40,'2021-22 School Level AAFTE'!$C:$Z,11,FALSE)</f>
        <v>0.33116666666666666</v>
      </c>
      <c r="F40" s="129" t="str">
        <f>VLOOKUP($C40,'2021-22 School Level AAFTE'!$C:$Z,8,FALSE)</f>
        <v>No</v>
      </c>
      <c r="G40" s="129" t="str">
        <f>VLOOKUP($C40,'2021-22 School Level AAFTE'!$C:$Z,12,FALSE)</f>
        <v>No</v>
      </c>
      <c r="H40" s="127">
        <f>VLOOKUP($C40,'2021-22 School Level AAFTE'!$C:$I,7,FALSE)</f>
        <v>576.72</v>
      </c>
      <c r="I40" s="112">
        <f>IFERROR(IF(OR(G40="yes",F40= "yes"),VLOOKUP(C40,Summary!$B:$J,6,0),0),0)</f>
        <v>0</v>
      </c>
      <c r="J40" s="111">
        <f t="shared" si="6"/>
        <v>0</v>
      </c>
      <c r="K40" s="91">
        <f>VLOOKUP($A40,'2022-23 Salary &amp; Benefits'!$A:$I,3,FALSE)</f>
        <v>1.1499999999999999</v>
      </c>
      <c r="L40" s="91">
        <f>VLOOKUP($A40,'2022-23 Salary &amp; Benefits'!$A:$I,4,FALSE)</f>
        <v>1.1499999999999999</v>
      </c>
      <c r="M40" s="39">
        <f t="shared" si="7"/>
        <v>0</v>
      </c>
      <c r="N40" s="24">
        <v>15</v>
      </c>
      <c r="O40" s="26">
        <f t="shared" si="4"/>
        <v>0</v>
      </c>
      <c r="P40" s="24">
        <v>1.1000000000000001</v>
      </c>
      <c r="Q40" s="24">
        <v>36</v>
      </c>
      <c r="R40" s="27">
        <f t="shared" si="5"/>
        <v>0</v>
      </c>
      <c r="S40" s="102">
        <f t="shared" si="8"/>
        <v>0</v>
      </c>
      <c r="T40" s="21">
        <f>VLOOKUP($A40,'2022-23 Salary &amp; Benefits'!$A:$I,5,FALSE)</f>
        <v>68937</v>
      </c>
      <c r="U40" s="21">
        <f>VLOOKUP($A40,'2022-23 Salary &amp; Benefits'!$A:$I,6,FALSE)</f>
        <v>72728</v>
      </c>
      <c r="V40" s="22">
        <f t="shared" si="9"/>
        <v>0</v>
      </c>
      <c r="W40" s="22">
        <f t="shared" si="10"/>
        <v>0</v>
      </c>
      <c r="X40" s="22">
        <f>'2022-23 Salary &amp; Benefits'!$G$6</f>
        <v>12558.24</v>
      </c>
      <c r="Y40" s="23">
        <f>'2022-23 Salary &amp; Benefits'!$H$6</f>
        <v>0.2298</v>
      </c>
      <c r="Z40" s="23">
        <f>'2022-23 Salary &amp; Benefits'!$I$6</f>
        <v>0.22339999999999999</v>
      </c>
      <c r="AA40" s="22">
        <f t="shared" si="11"/>
        <v>0</v>
      </c>
      <c r="AB40" s="22">
        <f t="shared" si="12"/>
        <v>0</v>
      </c>
      <c r="AC40" s="22">
        <f t="shared" si="13"/>
        <v>0</v>
      </c>
      <c r="AD40" s="22">
        <f t="shared" si="14"/>
        <v>0</v>
      </c>
      <c r="AE40" s="22">
        <f t="shared" si="15"/>
        <v>0</v>
      </c>
      <c r="AF40" s="19" t="str">
        <f>VLOOKUP(C40,'2021-22 School Level AAFTE'!C:N,12,FALSE)</f>
        <v>No</v>
      </c>
    </row>
    <row r="41" spans="1:32" s="19" customFormat="1">
      <c r="A41" s="97" t="s">
        <v>2476</v>
      </c>
      <c r="B41" s="97" t="s">
        <v>1681</v>
      </c>
      <c r="C41" s="95">
        <v>5495</v>
      </c>
      <c r="D41" s="95" t="s">
        <v>2712</v>
      </c>
      <c r="E41" s="129">
        <f>VLOOKUP($C41,'2021-22 School Level AAFTE'!$C:$Z,11,FALSE)</f>
        <v>0.48896666666666661</v>
      </c>
      <c r="F41" s="129" t="str">
        <f>VLOOKUP($C41,'2021-22 School Level AAFTE'!$C:$Z,8,FALSE)</f>
        <v>No</v>
      </c>
      <c r="G41" s="129" t="str">
        <f>VLOOKUP($C41,'2021-22 School Level AAFTE'!$C:$Z,12,FALSE)</f>
        <v>No</v>
      </c>
      <c r="H41" s="127">
        <f>VLOOKUP($C41,'2021-22 School Level AAFTE'!$C:$I,7,FALSE)</f>
        <v>35</v>
      </c>
      <c r="I41" s="112">
        <f>IFERROR(IF(OR(G41="yes",F41= "yes"),VLOOKUP(C41,Summary!$B:$J,6,0),0),0)</f>
        <v>0</v>
      </c>
      <c r="J41" s="111">
        <f t="shared" si="6"/>
        <v>0</v>
      </c>
      <c r="K41" s="91">
        <f>VLOOKUP($A41,'2022-23 Salary &amp; Benefits'!$A:$I,3,FALSE)</f>
        <v>1.1499999999999999</v>
      </c>
      <c r="L41" s="91">
        <f>VLOOKUP($A41,'2022-23 Salary &amp; Benefits'!$A:$I,4,FALSE)</f>
        <v>1.1499999999999999</v>
      </c>
      <c r="M41" s="39">
        <f t="shared" si="7"/>
        <v>0</v>
      </c>
      <c r="N41" s="24">
        <v>15</v>
      </c>
      <c r="O41" s="26">
        <f t="shared" si="4"/>
        <v>0</v>
      </c>
      <c r="P41" s="24">
        <v>1.1000000000000001</v>
      </c>
      <c r="Q41" s="24">
        <v>36</v>
      </c>
      <c r="R41" s="27">
        <f t="shared" si="5"/>
        <v>0</v>
      </c>
      <c r="S41" s="102">
        <f t="shared" si="8"/>
        <v>0</v>
      </c>
      <c r="T41" s="21">
        <f>VLOOKUP($A41,'2022-23 Salary &amp; Benefits'!$A:$I,5,FALSE)</f>
        <v>68937</v>
      </c>
      <c r="U41" s="21">
        <f>VLOOKUP($A41,'2022-23 Salary &amp; Benefits'!$A:$I,6,FALSE)</f>
        <v>72728</v>
      </c>
      <c r="V41" s="22">
        <f t="shared" si="9"/>
        <v>0</v>
      </c>
      <c r="W41" s="22">
        <f t="shared" si="10"/>
        <v>0</v>
      </c>
      <c r="X41" s="22">
        <f>'2022-23 Salary &amp; Benefits'!$G$6</f>
        <v>12558.24</v>
      </c>
      <c r="Y41" s="23">
        <f>'2022-23 Salary &amp; Benefits'!$H$6</f>
        <v>0.2298</v>
      </c>
      <c r="Z41" s="23">
        <f>'2022-23 Salary &amp; Benefits'!$I$6</f>
        <v>0.22339999999999999</v>
      </c>
      <c r="AA41" s="22">
        <f t="shared" si="11"/>
        <v>0</v>
      </c>
      <c r="AB41" s="22">
        <f t="shared" si="12"/>
        <v>0</v>
      </c>
      <c r="AC41" s="22">
        <f t="shared" si="13"/>
        <v>0</v>
      </c>
      <c r="AD41" s="22">
        <f t="shared" si="14"/>
        <v>0</v>
      </c>
      <c r="AE41" s="22">
        <f t="shared" si="15"/>
        <v>0</v>
      </c>
      <c r="AF41" s="19" t="str">
        <f>VLOOKUP(C41,'2021-22 School Level AAFTE'!C:N,12,FALSE)</f>
        <v>No</v>
      </c>
    </row>
    <row r="42" spans="1:32" s="19" customFormat="1">
      <c r="A42" s="97" t="s">
        <v>2263</v>
      </c>
      <c r="B42" s="97" t="s">
        <v>30</v>
      </c>
      <c r="C42" s="95">
        <v>2434</v>
      </c>
      <c r="D42" s="95" t="s">
        <v>31</v>
      </c>
      <c r="E42" s="129">
        <f>VLOOKUP($C42,'2021-22 School Level AAFTE'!$C:$Z,11,FALSE)</f>
        <v>0.2923</v>
      </c>
      <c r="F42" s="129" t="str">
        <f>VLOOKUP($C42,'2021-22 School Level AAFTE'!$C:$Z,8,FALSE)</f>
        <v>No</v>
      </c>
      <c r="G42" s="129" t="str">
        <f>VLOOKUP($C42,'2021-22 School Level AAFTE'!$C:$Z,12,FALSE)</f>
        <v>No</v>
      </c>
      <c r="H42" s="127">
        <f>VLOOKUP($C42,'2021-22 School Level AAFTE'!$C:$I,7,FALSE)</f>
        <v>313.65999999999997</v>
      </c>
      <c r="I42" s="112">
        <f>IFERROR(IF(OR(G42="yes",F42= "yes"),VLOOKUP(C42,Summary!$B:$J,6,0),0),0)</f>
        <v>0</v>
      </c>
      <c r="J42" s="111">
        <f t="shared" si="6"/>
        <v>0</v>
      </c>
      <c r="K42" s="91">
        <f>VLOOKUP($A42,'2022-23 Salary &amp; Benefits'!$A:$I,3,FALSE)</f>
        <v>1</v>
      </c>
      <c r="L42" s="91">
        <f>VLOOKUP($A42,'2022-23 Salary &amp; Benefits'!$A:$I,4,FALSE)</f>
        <v>1</v>
      </c>
      <c r="M42" s="39">
        <f t="shared" si="7"/>
        <v>0</v>
      </c>
      <c r="N42" s="24">
        <v>15</v>
      </c>
      <c r="O42" s="26">
        <f t="shared" si="4"/>
        <v>0</v>
      </c>
      <c r="P42" s="24">
        <v>1.1000000000000001</v>
      </c>
      <c r="Q42" s="24">
        <v>36</v>
      </c>
      <c r="R42" s="27">
        <f t="shared" si="5"/>
        <v>0</v>
      </c>
      <c r="S42" s="102">
        <f t="shared" si="8"/>
        <v>0</v>
      </c>
      <c r="T42" s="21">
        <f>VLOOKUP($A42,'2022-23 Salary &amp; Benefits'!$A:$I,5,FALSE)</f>
        <v>68937</v>
      </c>
      <c r="U42" s="21">
        <f>VLOOKUP($A42,'2022-23 Salary &amp; Benefits'!$A:$I,6,FALSE)</f>
        <v>72728</v>
      </c>
      <c r="V42" s="22">
        <f t="shared" si="9"/>
        <v>0</v>
      </c>
      <c r="W42" s="22">
        <f t="shared" si="10"/>
        <v>0</v>
      </c>
      <c r="X42" s="22">
        <f>'2022-23 Salary &amp; Benefits'!$G$6</f>
        <v>12558.24</v>
      </c>
      <c r="Y42" s="23">
        <f>'2022-23 Salary &amp; Benefits'!$H$6</f>
        <v>0.2298</v>
      </c>
      <c r="Z42" s="23">
        <f>'2022-23 Salary &amp; Benefits'!$I$6</f>
        <v>0.22339999999999999</v>
      </c>
      <c r="AA42" s="22">
        <f t="shared" si="11"/>
        <v>0</v>
      </c>
      <c r="AB42" s="22">
        <f t="shared" si="12"/>
        <v>0</v>
      </c>
      <c r="AC42" s="22">
        <f t="shared" si="13"/>
        <v>0</v>
      </c>
      <c r="AD42" s="22">
        <f t="shared" si="14"/>
        <v>0</v>
      </c>
      <c r="AE42" s="22">
        <f t="shared" si="15"/>
        <v>0</v>
      </c>
      <c r="AF42" s="19" t="str">
        <f>VLOOKUP(C42,'2021-22 School Level AAFTE'!C:N,12,FALSE)</f>
        <v>No</v>
      </c>
    </row>
    <row r="43" spans="1:32" s="19" customFormat="1">
      <c r="A43" s="97" t="s">
        <v>2263</v>
      </c>
      <c r="B43" s="97" t="s">
        <v>30</v>
      </c>
      <c r="C43" s="95">
        <v>2507</v>
      </c>
      <c r="D43" s="95" t="s">
        <v>32</v>
      </c>
      <c r="E43" s="129">
        <f>VLOOKUP($C43,'2021-22 School Level AAFTE'!$C:$Z,11,FALSE)</f>
        <v>0.3459666666666667</v>
      </c>
      <c r="F43" s="129" t="str">
        <f>VLOOKUP($C43,'2021-22 School Level AAFTE'!$C:$Z,8,FALSE)</f>
        <v>No</v>
      </c>
      <c r="G43" s="129" t="str">
        <f>VLOOKUP($C43,'2021-22 School Level AAFTE'!$C:$Z,12,FALSE)</f>
        <v>No</v>
      </c>
      <c r="H43" s="127">
        <f>VLOOKUP($C43,'2021-22 School Level AAFTE'!$C:$I,7,FALSE)</f>
        <v>294.2</v>
      </c>
      <c r="I43" s="112">
        <f>IFERROR(IF(OR(G43="yes",F43= "yes"),VLOOKUP(C43,Summary!$B:$J,6,0),0),0)</f>
        <v>0</v>
      </c>
      <c r="J43" s="111">
        <f t="shared" si="6"/>
        <v>0</v>
      </c>
      <c r="K43" s="91">
        <f>VLOOKUP($A43,'2022-23 Salary &amp; Benefits'!$A:$I,3,FALSE)</f>
        <v>1</v>
      </c>
      <c r="L43" s="91">
        <f>VLOOKUP($A43,'2022-23 Salary &amp; Benefits'!$A:$I,4,FALSE)</f>
        <v>1</v>
      </c>
      <c r="M43" s="101">
        <f t="shared" si="7"/>
        <v>0</v>
      </c>
      <c r="N43" s="24">
        <v>15</v>
      </c>
      <c r="O43" s="26">
        <f t="shared" si="4"/>
        <v>0</v>
      </c>
      <c r="P43" s="24">
        <v>1.1000000000000001</v>
      </c>
      <c r="Q43" s="24">
        <v>36</v>
      </c>
      <c r="R43" s="27">
        <f t="shared" si="5"/>
        <v>0</v>
      </c>
      <c r="S43" s="102">
        <f t="shared" si="8"/>
        <v>0</v>
      </c>
      <c r="T43" s="21">
        <f>VLOOKUP($A43,'2022-23 Salary &amp; Benefits'!$A:$I,5,FALSE)</f>
        <v>68937</v>
      </c>
      <c r="U43" s="21">
        <f>VLOOKUP($A43,'2022-23 Salary &amp; Benefits'!$A:$I,6,FALSE)</f>
        <v>72728</v>
      </c>
      <c r="V43" s="22">
        <f t="shared" si="9"/>
        <v>0</v>
      </c>
      <c r="W43" s="22">
        <f t="shared" si="10"/>
        <v>0</v>
      </c>
      <c r="X43" s="22">
        <f>'2022-23 Salary &amp; Benefits'!$G$6</f>
        <v>12558.24</v>
      </c>
      <c r="Y43" s="23">
        <f>'2022-23 Salary &amp; Benefits'!$H$6</f>
        <v>0.2298</v>
      </c>
      <c r="Z43" s="23">
        <f>'2022-23 Salary &amp; Benefits'!$I$6</f>
        <v>0.22339999999999999</v>
      </c>
      <c r="AA43" s="22">
        <f t="shared" si="11"/>
        <v>0</v>
      </c>
      <c r="AB43" s="22">
        <f t="shared" si="12"/>
        <v>0</v>
      </c>
      <c r="AC43" s="22">
        <f t="shared" si="13"/>
        <v>0</v>
      </c>
      <c r="AD43" s="22">
        <f t="shared" si="14"/>
        <v>0</v>
      </c>
      <c r="AE43" s="22">
        <f t="shared" si="15"/>
        <v>0</v>
      </c>
      <c r="AF43" s="19" t="str">
        <f>VLOOKUP(C43,'2021-22 School Level AAFTE'!C:N,12,FALSE)</f>
        <v>No</v>
      </c>
    </row>
    <row r="44" spans="1:32" s="19" customFormat="1">
      <c r="A44" s="97" t="s">
        <v>2359</v>
      </c>
      <c r="B44" s="97" t="s">
        <v>808</v>
      </c>
      <c r="C44" s="95">
        <v>2326</v>
      </c>
      <c r="D44" s="95" t="s">
        <v>40</v>
      </c>
      <c r="E44" s="129">
        <f>VLOOKUP($C44,'2021-22 School Level AAFTE'!$C:$Z,11,FALSE)</f>
        <v>0.72906666666666664</v>
      </c>
      <c r="F44" s="129" t="str">
        <f>VLOOKUP($C44,'2021-22 School Level AAFTE'!$C:$Z,8,FALSE)</f>
        <v>Yes</v>
      </c>
      <c r="G44" s="129" t="str">
        <f>VLOOKUP($C44,'2021-22 School Level AAFTE'!$C:$Z,12,FALSE)</f>
        <v>No</v>
      </c>
      <c r="H44" s="127">
        <f>VLOOKUP($C44,'2021-22 School Level AAFTE'!$C:$I,7,FALSE)</f>
        <v>454.43</v>
      </c>
      <c r="I44" s="112">
        <f>IFERROR(IF(OR(G44="yes",F44= "yes"),VLOOKUP(C44,Summary!$B:$J,6,0),0),0)</f>
        <v>0</v>
      </c>
      <c r="J44" s="111">
        <f t="shared" si="6"/>
        <v>454.43</v>
      </c>
      <c r="K44" s="91">
        <f>VLOOKUP($A44,'2022-23 Salary &amp; Benefits'!$A:$I,3,FALSE)</f>
        <v>1.1499999999999999</v>
      </c>
      <c r="L44" s="91">
        <f>VLOOKUP($A44,'2022-23 Salary &amp; Benefits'!$A:$I,4,FALSE)</f>
        <v>1.1499999999999999</v>
      </c>
      <c r="M44" s="39">
        <f t="shared" si="7"/>
        <v>454.43</v>
      </c>
      <c r="N44" s="24">
        <v>15</v>
      </c>
      <c r="O44" s="26">
        <f t="shared" si="4"/>
        <v>30.295333333333335</v>
      </c>
      <c r="P44" s="24">
        <v>1.1000000000000001</v>
      </c>
      <c r="Q44" s="24">
        <v>36</v>
      </c>
      <c r="R44" s="27">
        <f t="shared" si="5"/>
        <v>1199.6952000000001</v>
      </c>
      <c r="S44" s="102">
        <f t="shared" si="8"/>
        <v>1.333</v>
      </c>
      <c r="T44" s="21">
        <f>VLOOKUP($A44,'2022-23 Salary &amp; Benefits'!$A:$I,5,FALSE)</f>
        <v>68937</v>
      </c>
      <c r="U44" s="21">
        <f>VLOOKUP($A44,'2022-23 Salary &amp; Benefits'!$A:$I,6,FALSE)</f>
        <v>72728</v>
      </c>
      <c r="V44" s="22">
        <f t="shared" si="9"/>
        <v>105676.97</v>
      </c>
      <c r="W44" s="22">
        <f t="shared" si="10"/>
        <v>5811.4199999999983</v>
      </c>
      <c r="X44" s="22">
        <f>'2022-23 Salary &amp; Benefits'!$G$6</f>
        <v>12558.24</v>
      </c>
      <c r="Y44" s="23">
        <f>'2022-23 Salary &amp; Benefits'!$H$6</f>
        <v>0.2298</v>
      </c>
      <c r="Z44" s="23">
        <f>'2022-23 Salary &amp; Benefits'!$I$6</f>
        <v>0.22339999999999999</v>
      </c>
      <c r="AA44" s="22">
        <f t="shared" si="11"/>
        <v>42322.97</v>
      </c>
      <c r="AB44" s="22">
        <f t="shared" si="12"/>
        <v>1858.14</v>
      </c>
      <c r="AC44" s="22">
        <f t="shared" si="13"/>
        <v>415.11</v>
      </c>
      <c r="AD44" s="22">
        <f t="shared" si="14"/>
        <v>2273.25</v>
      </c>
      <c r="AE44" s="22">
        <f t="shared" si="15"/>
        <v>156084.60999999999</v>
      </c>
      <c r="AF44" s="19" t="str">
        <f>VLOOKUP(C44,'2021-22 School Level AAFTE'!C:N,12,FALSE)</f>
        <v>No</v>
      </c>
    </row>
    <row r="45" spans="1:32" s="19" customFormat="1">
      <c r="A45" s="97" t="s">
        <v>2359</v>
      </c>
      <c r="B45" s="97" t="s">
        <v>808</v>
      </c>
      <c r="C45" s="95">
        <v>2394</v>
      </c>
      <c r="D45" s="95" t="s">
        <v>231</v>
      </c>
      <c r="E45" s="129">
        <f>VLOOKUP($C45,'2021-22 School Level AAFTE'!$C:$Z,11,FALSE)</f>
        <v>0.61659999999999993</v>
      </c>
      <c r="F45" s="129" t="str">
        <f>VLOOKUP($C45,'2021-22 School Level AAFTE'!$C:$Z,8,FALSE)</f>
        <v>Yes</v>
      </c>
      <c r="G45" s="129" t="str">
        <f>VLOOKUP($C45,'2021-22 School Level AAFTE'!$C:$Z,12,FALSE)</f>
        <v>No</v>
      </c>
      <c r="H45" s="127">
        <f>VLOOKUP($C45,'2021-22 School Level AAFTE'!$C:$I,7,FALSE)</f>
        <v>881.49</v>
      </c>
      <c r="I45" s="112">
        <f>IFERROR(IF(OR(G45="yes",F45= "yes"),VLOOKUP(C45,Summary!$B:$J,6,0),0),0)</f>
        <v>0</v>
      </c>
      <c r="J45" s="111">
        <f t="shared" si="6"/>
        <v>881.49</v>
      </c>
      <c r="K45" s="91">
        <f>VLOOKUP($A45,'2022-23 Salary &amp; Benefits'!$A:$I,3,FALSE)</f>
        <v>1.1499999999999999</v>
      </c>
      <c r="L45" s="91">
        <f>VLOOKUP($A45,'2022-23 Salary &amp; Benefits'!$A:$I,4,FALSE)</f>
        <v>1.1499999999999999</v>
      </c>
      <c r="M45" s="101">
        <f t="shared" si="7"/>
        <v>881.49</v>
      </c>
      <c r="N45" s="24">
        <v>15</v>
      </c>
      <c r="O45" s="26">
        <f t="shared" si="4"/>
        <v>58.765999999999998</v>
      </c>
      <c r="P45" s="24">
        <v>1.1000000000000001</v>
      </c>
      <c r="Q45" s="24">
        <v>36</v>
      </c>
      <c r="R45" s="27">
        <f t="shared" si="5"/>
        <v>2327.1336000000001</v>
      </c>
      <c r="S45" s="102">
        <f t="shared" si="8"/>
        <v>2.5859999999999999</v>
      </c>
      <c r="T45" s="21">
        <f>VLOOKUP($A45,'2022-23 Salary &amp; Benefits'!$A:$I,5,FALSE)</f>
        <v>68937</v>
      </c>
      <c r="U45" s="21">
        <f>VLOOKUP($A45,'2022-23 Salary &amp; Benefits'!$A:$I,6,FALSE)</f>
        <v>72728</v>
      </c>
      <c r="V45" s="22">
        <f t="shared" si="9"/>
        <v>205011.74</v>
      </c>
      <c r="W45" s="22">
        <f t="shared" si="10"/>
        <v>11274.059999999998</v>
      </c>
      <c r="X45" s="22">
        <f>'2022-23 Salary &amp; Benefits'!$G$6</f>
        <v>12558.24</v>
      </c>
      <c r="Y45" s="23">
        <f>'2022-23 Salary &amp; Benefits'!$H$6</f>
        <v>0.2298</v>
      </c>
      <c r="Z45" s="23">
        <f>'2022-23 Salary &amp; Benefits'!$I$6</f>
        <v>0.22339999999999999</v>
      </c>
      <c r="AA45" s="22">
        <f t="shared" si="11"/>
        <v>82105.929999999993</v>
      </c>
      <c r="AB45" s="22">
        <f t="shared" si="12"/>
        <v>3604.76</v>
      </c>
      <c r="AC45" s="22">
        <f t="shared" si="13"/>
        <v>805.3</v>
      </c>
      <c r="AD45" s="22">
        <f t="shared" si="14"/>
        <v>4410.0600000000004</v>
      </c>
      <c r="AE45" s="22">
        <f t="shared" si="15"/>
        <v>302801.78999999998</v>
      </c>
      <c r="AF45" s="19" t="str">
        <f>VLOOKUP(C45,'2021-22 School Level AAFTE'!C:N,12,FALSE)</f>
        <v>No</v>
      </c>
    </row>
    <row r="46" spans="1:32" s="19" customFormat="1">
      <c r="A46" s="97" t="s">
        <v>2359</v>
      </c>
      <c r="B46" s="97" t="s">
        <v>808</v>
      </c>
      <c r="C46" s="95">
        <v>2659</v>
      </c>
      <c r="D46" s="95" t="s">
        <v>809</v>
      </c>
      <c r="E46" s="129">
        <f>VLOOKUP($C46,'2021-22 School Level AAFTE'!$C:$Z,11,FALSE)</f>
        <v>0.6427666666666666</v>
      </c>
      <c r="F46" s="129" t="str">
        <f>VLOOKUP($C46,'2021-22 School Level AAFTE'!$C:$Z,8,FALSE)</f>
        <v>Yes</v>
      </c>
      <c r="G46" s="129" t="str">
        <f>VLOOKUP($C46,'2021-22 School Level AAFTE'!$C:$Z,12,FALSE)</f>
        <v>No</v>
      </c>
      <c r="H46" s="127">
        <f>VLOOKUP($C46,'2021-22 School Level AAFTE'!$C:$I,7,FALSE)</f>
        <v>366.43</v>
      </c>
      <c r="I46" s="112">
        <f>IFERROR(IF(OR(G46="yes",F46= "yes"),VLOOKUP(C46,Summary!$B:$J,6,0),0),0)</f>
        <v>0</v>
      </c>
      <c r="J46" s="111">
        <f t="shared" si="6"/>
        <v>366.43</v>
      </c>
      <c r="K46" s="91">
        <f>VLOOKUP($A46,'2022-23 Salary &amp; Benefits'!$A:$I,3,FALSE)</f>
        <v>1.1499999999999999</v>
      </c>
      <c r="L46" s="91">
        <f>VLOOKUP($A46,'2022-23 Salary &amp; Benefits'!$A:$I,4,FALSE)</f>
        <v>1.1499999999999999</v>
      </c>
      <c r="M46" s="101">
        <f t="shared" si="7"/>
        <v>366.43</v>
      </c>
      <c r="N46" s="24">
        <v>15</v>
      </c>
      <c r="O46" s="26">
        <f t="shared" si="4"/>
        <v>24.428666666666668</v>
      </c>
      <c r="P46" s="24">
        <v>1.1000000000000001</v>
      </c>
      <c r="Q46" s="24">
        <v>36</v>
      </c>
      <c r="R46" s="27">
        <f t="shared" si="5"/>
        <v>967.37520000000018</v>
      </c>
      <c r="S46" s="102">
        <f t="shared" si="8"/>
        <v>1.075</v>
      </c>
      <c r="T46" s="21">
        <f>VLOOKUP($A46,'2022-23 Salary &amp; Benefits'!$A:$I,5,FALSE)</f>
        <v>68937</v>
      </c>
      <c r="U46" s="21">
        <f>VLOOKUP($A46,'2022-23 Salary &amp; Benefits'!$A:$I,6,FALSE)</f>
        <v>72728</v>
      </c>
      <c r="V46" s="22">
        <f t="shared" si="9"/>
        <v>85223.37</v>
      </c>
      <c r="W46" s="22">
        <f t="shared" si="10"/>
        <v>4686.6200000000099</v>
      </c>
      <c r="X46" s="22">
        <f>'2022-23 Salary &amp; Benefits'!$G$6</f>
        <v>12558.24</v>
      </c>
      <c r="Y46" s="23">
        <f>'2022-23 Salary &amp; Benefits'!$H$6</f>
        <v>0.2298</v>
      </c>
      <c r="Z46" s="23">
        <f>'2022-23 Salary &amp; Benefits'!$I$6</f>
        <v>0.22339999999999999</v>
      </c>
      <c r="AA46" s="22">
        <f t="shared" si="11"/>
        <v>34131.43</v>
      </c>
      <c r="AB46" s="22">
        <f t="shared" si="12"/>
        <v>1498.5</v>
      </c>
      <c r="AC46" s="22">
        <f t="shared" si="13"/>
        <v>334.76</v>
      </c>
      <c r="AD46" s="22">
        <f t="shared" si="14"/>
        <v>1833.26</v>
      </c>
      <c r="AE46" s="22">
        <f t="shared" si="15"/>
        <v>125874.68</v>
      </c>
      <c r="AF46" s="19" t="str">
        <f>VLOOKUP(C46,'2021-22 School Level AAFTE'!C:N,12,FALSE)</f>
        <v>No</v>
      </c>
    </row>
    <row r="47" spans="1:32" s="19" customFormat="1">
      <c r="A47" s="97" t="s">
        <v>2359</v>
      </c>
      <c r="B47" s="97" t="s">
        <v>808</v>
      </c>
      <c r="C47" s="95">
        <v>2702</v>
      </c>
      <c r="D47" s="95" t="s">
        <v>810</v>
      </c>
      <c r="E47" s="129">
        <f>VLOOKUP($C47,'2021-22 School Level AAFTE'!$C:$Z,11,FALSE)</f>
        <v>0.73366666666666669</v>
      </c>
      <c r="F47" s="129" t="str">
        <f>VLOOKUP($C47,'2021-22 School Level AAFTE'!$C:$Z,8,FALSE)</f>
        <v>Yes</v>
      </c>
      <c r="G47" s="129" t="str">
        <f>VLOOKUP($C47,'2021-22 School Level AAFTE'!$C:$Z,12,FALSE)</f>
        <v>No</v>
      </c>
      <c r="H47" s="127">
        <f>VLOOKUP($C47,'2021-22 School Level AAFTE'!$C:$I,7,FALSE)</f>
        <v>207.17999999999998</v>
      </c>
      <c r="I47" s="112">
        <f>IFERROR(IF(OR(G47="yes",F47= "yes"),VLOOKUP(C47,Summary!$B:$J,6,0),0),0)</f>
        <v>0</v>
      </c>
      <c r="J47" s="111">
        <f t="shared" si="6"/>
        <v>207.17999999999998</v>
      </c>
      <c r="K47" s="91">
        <f>VLOOKUP($A47,'2022-23 Salary &amp; Benefits'!$A:$I,3,FALSE)</f>
        <v>1.1499999999999999</v>
      </c>
      <c r="L47" s="91">
        <f>VLOOKUP($A47,'2022-23 Salary &amp; Benefits'!$A:$I,4,FALSE)</f>
        <v>1.1499999999999999</v>
      </c>
      <c r="M47" s="39">
        <f t="shared" si="7"/>
        <v>207.17999999999998</v>
      </c>
      <c r="N47" s="24">
        <v>15</v>
      </c>
      <c r="O47" s="26">
        <f t="shared" si="4"/>
        <v>13.811999999999999</v>
      </c>
      <c r="P47" s="24">
        <v>1.1000000000000001</v>
      </c>
      <c r="Q47" s="24">
        <v>36</v>
      </c>
      <c r="R47" s="27">
        <f t="shared" si="5"/>
        <v>546.95519999999999</v>
      </c>
      <c r="S47" s="102">
        <f t="shared" si="8"/>
        <v>0.60799999999999998</v>
      </c>
      <c r="T47" s="21">
        <f>VLOOKUP($A47,'2022-23 Salary &amp; Benefits'!$A:$I,5,FALSE)</f>
        <v>68937</v>
      </c>
      <c r="U47" s="21">
        <f>VLOOKUP($A47,'2022-23 Salary &amp; Benefits'!$A:$I,6,FALSE)</f>
        <v>72728</v>
      </c>
      <c r="V47" s="22">
        <f t="shared" si="9"/>
        <v>48200.75</v>
      </c>
      <c r="W47" s="22">
        <f t="shared" si="10"/>
        <v>2650.6699999999983</v>
      </c>
      <c r="X47" s="22">
        <f>'2022-23 Salary &amp; Benefits'!$G$6</f>
        <v>12558.24</v>
      </c>
      <c r="Y47" s="23">
        <f>'2022-23 Salary &amp; Benefits'!$H$6</f>
        <v>0.2298</v>
      </c>
      <c r="Z47" s="23">
        <f>'2022-23 Salary &amp; Benefits'!$I$6</f>
        <v>0.22339999999999999</v>
      </c>
      <c r="AA47" s="22">
        <f t="shared" si="11"/>
        <v>19304.099999999999</v>
      </c>
      <c r="AB47" s="22">
        <f t="shared" si="12"/>
        <v>847.52</v>
      </c>
      <c r="AC47" s="22">
        <f t="shared" si="13"/>
        <v>189.34</v>
      </c>
      <c r="AD47" s="22">
        <f t="shared" si="14"/>
        <v>1036.8599999999999</v>
      </c>
      <c r="AE47" s="22">
        <f t="shared" si="15"/>
        <v>71192.38</v>
      </c>
      <c r="AF47" s="19" t="str">
        <f>VLOOKUP(C47,'2021-22 School Level AAFTE'!C:N,12,FALSE)</f>
        <v>No</v>
      </c>
    </row>
    <row r="48" spans="1:32" s="19" customFormat="1">
      <c r="A48" s="97" t="s">
        <v>2359</v>
      </c>
      <c r="B48" s="97" t="s">
        <v>808</v>
      </c>
      <c r="C48" s="95">
        <v>2795</v>
      </c>
      <c r="D48" s="95" t="s">
        <v>811</v>
      </c>
      <c r="E48" s="129">
        <f>VLOOKUP($C48,'2021-22 School Level AAFTE'!$C:$Z,11,FALSE)</f>
        <v>0.60333333333333339</v>
      </c>
      <c r="F48" s="129" t="str">
        <f>VLOOKUP($C48,'2021-22 School Level AAFTE'!$C:$Z,8,FALSE)</f>
        <v>Yes</v>
      </c>
      <c r="G48" s="129" t="str">
        <f>VLOOKUP($C48,'2021-22 School Level AAFTE'!$C:$Z,12,FALSE)</f>
        <v>No</v>
      </c>
      <c r="H48" s="127">
        <f>VLOOKUP($C48,'2021-22 School Level AAFTE'!$C:$I,7,FALSE)</f>
        <v>1711.88</v>
      </c>
      <c r="I48" s="112">
        <f>IFERROR(IF(OR(G48="yes",F48= "yes"),VLOOKUP(C48,Summary!$B:$J,6,0),0),0)</f>
        <v>0</v>
      </c>
      <c r="J48" s="111">
        <f t="shared" si="6"/>
        <v>1711.88</v>
      </c>
      <c r="K48" s="91">
        <f>VLOOKUP($A48,'2022-23 Salary &amp; Benefits'!$A:$I,3,FALSE)</f>
        <v>1.1499999999999999</v>
      </c>
      <c r="L48" s="91">
        <f>VLOOKUP($A48,'2022-23 Salary &amp; Benefits'!$A:$I,4,FALSE)</f>
        <v>1.1499999999999999</v>
      </c>
      <c r="M48" s="39">
        <f t="shared" si="7"/>
        <v>1711.88</v>
      </c>
      <c r="N48" s="24">
        <v>15</v>
      </c>
      <c r="O48" s="26">
        <f t="shared" si="4"/>
        <v>114.12533333333334</v>
      </c>
      <c r="P48" s="24">
        <v>1.1000000000000001</v>
      </c>
      <c r="Q48" s="24">
        <v>36</v>
      </c>
      <c r="R48" s="27">
        <f t="shared" si="5"/>
        <v>4519.3632000000007</v>
      </c>
      <c r="S48" s="102">
        <f t="shared" si="8"/>
        <v>5.0220000000000002</v>
      </c>
      <c r="T48" s="21">
        <f>VLOOKUP($A48,'2022-23 Salary &amp; Benefits'!$A:$I,5,FALSE)</f>
        <v>68937</v>
      </c>
      <c r="U48" s="21">
        <f>VLOOKUP($A48,'2022-23 Salary &amp; Benefits'!$A:$I,6,FALSE)</f>
        <v>72728</v>
      </c>
      <c r="V48" s="22">
        <f t="shared" si="9"/>
        <v>398131.86</v>
      </c>
      <c r="W48" s="22">
        <f t="shared" si="10"/>
        <v>21894.160000000033</v>
      </c>
      <c r="X48" s="22">
        <f>'2022-23 Salary &amp; Benefits'!$G$6</f>
        <v>12558.24</v>
      </c>
      <c r="Y48" s="23">
        <f>'2022-23 Salary &amp; Benefits'!$H$6</f>
        <v>0.2298</v>
      </c>
      <c r="Z48" s="23">
        <f>'2022-23 Salary &amp; Benefits'!$I$6</f>
        <v>0.22339999999999999</v>
      </c>
      <c r="AA48" s="22">
        <f t="shared" si="11"/>
        <v>159449.34</v>
      </c>
      <c r="AB48" s="22">
        <f t="shared" si="12"/>
        <v>7000.43</v>
      </c>
      <c r="AC48" s="22">
        <f t="shared" si="13"/>
        <v>1563.9</v>
      </c>
      <c r="AD48" s="22">
        <f t="shared" si="14"/>
        <v>8564.33</v>
      </c>
      <c r="AE48" s="22">
        <f t="shared" si="15"/>
        <v>588039.68999999994</v>
      </c>
      <c r="AF48" s="19" t="str">
        <f>VLOOKUP(C48,'2021-22 School Level AAFTE'!C:N,12,FALSE)</f>
        <v>No</v>
      </c>
    </row>
    <row r="49" spans="1:32" s="19" customFormat="1">
      <c r="A49" s="97" t="s">
        <v>2359</v>
      </c>
      <c r="B49" s="97" t="s">
        <v>808</v>
      </c>
      <c r="C49" s="95">
        <v>2932</v>
      </c>
      <c r="D49" s="95" t="s">
        <v>812</v>
      </c>
      <c r="E49" s="129">
        <f>VLOOKUP($C49,'2021-22 School Level AAFTE'!$C:$Z,11,FALSE)</f>
        <v>0.77599999999999991</v>
      </c>
      <c r="F49" s="129" t="str">
        <f>VLOOKUP($C49,'2021-22 School Level AAFTE'!$C:$Z,8,FALSE)</f>
        <v>Yes</v>
      </c>
      <c r="G49" s="129" t="str">
        <f>VLOOKUP($C49,'2021-22 School Level AAFTE'!$C:$Z,12,FALSE)</f>
        <v>No</v>
      </c>
      <c r="H49" s="127">
        <f>VLOOKUP($C49,'2021-22 School Level AAFTE'!$C:$I,7,FALSE)</f>
        <v>669.57</v>
      </c>
      <c r="I49" s="112">
        <f>IFERROR(IF(OR(G49="yes",F49= "yes"),VLOOKUP(C49,Summary!$B:$J,6,0),0),0)</f>
        <v>0</v>
      </c>
      <c r="J49" s="111">
        <f t="shared" si="6"/>
        <v>669.57</v>
      </c>
      <c r="K49" s="91">
        <f>VLOOKUP($A49,'2022-23 Salary &amp; Benefits'!$A:$I,3,FALSE)</f>
        <v>1.1499999999999999</v>
      </c>
      <c r="L49" s="91">
        <f>VLOOKUP($A49,'2022-23 Salary &amp; Benefits'!$A:$I,4,FALSE)</f>
        <v>1.1499999999999999</v>
      </c>
      <c r="M49" s="101">
        <f t="shared" si="7"/>
        <v>669.57</v>
      </c>
      <c r="N49" s="24">
        <v>15</v>
      </c>
      <c r="O49" s="26">
        <f t="shared" si="4"/>
        <v>44.638000000000005</v>
      </c>
      <c r="P49" s="24">
        <v>1.1000000000000001</v>
      </c>
      <c r="Q49" s="24">
        <v>36</v>
      </c>
      <c r="R49" s="27">
        <f t="shared" si="5"/>
        <v>1767.6648000000005</v>
      </c>
      <c r="S49" s="102">
        <f t="shared" si="8"/>
        <v>1.964</v>
      </c>
      <c r="T49" s="21">
        <f>VLOOKUP($A49,'2022-23 Salary &amp; Benefits'!$A:$I,5,FALSE)</f>
        <v>68937</v>
      </c>
      <c r="U49" s="21">
        <f>VLOOKUP($A49,'2022-23 Salary &amp; Benefits'!$A:$I,6,FALSE)</f>
        <v>72728</v>
      </c>
      <c r="V49" s="22">
        <f t="shared" si="9"/>
        <v>155701.10999999999</v>
      </c>
      <c r="W49" s="22">
        <f t="shared" si="10"/>
        <v>8562.3500000000058</v>
      </c>
      <c r="X49" s="22">
        <f>'2022-23 Salary &amp; Benefits'!$G$6</f>
        <v>12558.24</v>
      </c>
      <c r="Y49" s="23">
        <f>'2022-23 Salary &amp; Benefits'!$H$6</f>
        <v>0.2298</v>
      </c>
      <c r="Z49" s="23">
        <f>'2022-23 Salary &amp; Benefits'!$I$6</f>
        <v>0.22339999999999999</v>
      </c>
      <c r="AA49" s="22">
        <f t="shared" si="11"/>
        <v>62357.33</v>
      </c>
      <c r="AB49" s="22">
        <f t="shared" si="12"/>
        <v>2737.72</v>
      </c>
      <c r="AC49" s="22">
        <f t="shared" si="13"/>
        <v>611.61</v>
      </c>
      <c r="AD49" s="22">
        <f t="shared" si="14"/>
        <v>3349.33</v>
      </c>
      <c r="AE49" s="22">
        <f t="shared" si="15"/>
        <v>229970.12</v>
      </c>
      <c r="AF49" s="19" t="str">
        <f>VLOOKUP(C49,'2021-22 School Level AAFTE'!C:N,12,FALSE)</f>
        <v>No</v>
      </c>
    </row>
    <row r="50" spans="1:32" s="19" customFormat="1">
      <c r="A50" s="97" t="s">
        <v>2359</v>
      </c>
      <c r="B50" s="97" t="s">
        <v>808</v>
      </c>
      <c r="C50" s="95">
        <v>3169</v>
      </c>
      <c r="D50" s="95" t="s">
        <v>813</v>
      </c>
      <c r="E50" s="129">
        <f>VLOOKUP($C50,'2021-22 School Level AAFTE'!$C:$Z,11,FALSE)</f>
        <v>0.71623333333333328</v>
      </c>
      <c r="F50" s="129" t="str">
        <f>VLOOKUP($C50,'2021-22 School Level AAFTE'!$C:$Z,8,FALSE)</f>
        <v>Yes</v>
      </c>
      <c r="G50" s="129" t="str">
        <f>VLOOKUP($C50,'2021-22 School Level AAFTE'!$C:$Z,12,FALSE)</f>
        <v>No</v>
      </c>
      <c r="H50" s="127">
        <f>VLOOKUP($C50,'2021-22 School Level AAFTE'!$C:$I,7,FALSE)</f>
        <v>900.27</v>
      </c>
      <c r="I50" s="112">
        <f>IFERROR(IF(OR(G50="yes",F50= "yes"),VLOOKUP(C50,Summary!$B:$J,6,0),0),0)</f>
        <v>0</v>
      </c>
      <c r="J50" s="111">
        <f t="shared" si="6"/>
        <v>900.27</v>
      </c>
      <c r="K50" s="91">
        <f>VLOOKUP($A50,'2022-23 Salary &amp; Benefits'!$A:$I,3,FALSE)</f>
        <v>1.1499999999999999</v>
      </c>
      <c r="L50" s="91">
        <f>VLOOKUP($A50,'2022-23 Salary &amp; Benefits'!$A:$I,4,FALSE)</f>
        <v>1.1499999999999999</v>
      </c>
      <c r="M50" s="101">
        <f t="shared" si="7"/>
        <v>900.27</v>
      </c>
      <c r="N50" s="24">
        <v>15</v>
      </c>
      <c r="O50" s="26">
        <f t="shared" si="4"/>
        <v>60.018000000000001</v>
      </c>
      <c r="P50" s="24">
        <v>1.1000000000000001</v>
      </c>
      <c r="Q50" s="24">
        <v>36</v>
      </c>
      <c r="R50" s="27">
        <f t="shared" si="5"/>
        <v>2376.7128000000002</v>
      </c>
      <c r="S50" s="102">
        <f t="shared" si="8"/>
        <v>2.641</v>
      </c>
      <c r="T50" s="21">
        <f>VLOOKUP($A50,'2022-23 Salary &amp; Benefits'!$A:$I,5,FALSE)</f>
        <v>68937</v>
      </c>
      <c r="U50" s="21">
        <f>VLOOKUP($A50,'2022-23 Salary &amp; Benefits'!$A:$I,6,FALSE)</f>
        <v>72728</v>
      </c>
      <c r="V50" s="22">
        <f t="shared" si="9"/>
        <v>209372.01</v>
      </c>
      <c r="W50" s="22">
        <f t="shared" si="10"/>
        <v>11513.839999999997</v>
      </c>
      <c r="X50" s="22">
        <f>'2022-23 Salary &amp; Benefits'!$G$6</f>
        <v>12558.24</v>
      </c>
      <c r="Y50" s="23">
        <f>'2022-23 Salary &amp; Benefits'!$H$6</f>
        <v>0.2298</v>
      </c>
      <c r="Z50" s="23">
        <f>'2022-23 Salary &amp; Benefits'!$I$6</f>
        <v>0.22339999999999999</v>
      </c>
      <c r="AA50" s="22">
        <f t="shared" si="11"/>
        <v>83852.19</v>
      </c>
      <c r="AB50" s="22">
        <f t="shared" si="12"/>
        <v>3681.43</v>
      </c>
      <c r="AC50" s="22">
        <f t="shared" si="13"/>
        <v>822.43</v>
      </c>
      <c r="AD50" s="22">
        <f t="shared" si="14"/>
        <v>4503.8599999999997</v>
      </c>
      <c r="AE50" s="22">
        <f t="shared" si="15"/>
        <v>309241.90000000002</v>
      </c>
      <c r="AF50" s="19" t="str">
        <f>VLOOKUP(C50,'2021-22 School Level AAFTE'!C:N,12,FALSE)</f>
        <v>No</v>
      </c>
    </row>
    <row r="51" spans="1:32" s="19" customFormat="1">
      <c r="A51" s="97" t="s">
        <v>2359</v>
      </c>
      <c r="B51" s="97" t="s">
        <v>808</v>
      </c>
      <c r="C51" s="95">
        <v>3227</v>
      </c>
      <c r="D51" s="95" t="s">
        <v>244</v>
      </c>
      <c r="E51" s="129">
        <f>VLOOKUP($C51,'2021-22 School Level AAFTE'!$C:$Z,11,FALSE)</f>
        <v>0.77250000000000008</v>
      </c>
      <c r="F51" s="129" t="str">
        <f>VLOOKUP($C51,'2021-22 School Level AAFTE'!$C:$Z,8,FALSE)</f>
        <v>Yes</v>
      </c>
      <c r="G51" s="129" t="str">
        <f>VLOOKUP($C51,'2021-22 School Level AAFTE'!$C:$Z,12,FALSE)</f>
        <v>No</v>
      </c>
      <c r="H51" s="127">
        <f>VLOOKUP($C51,'2021-22 School Level AAFTE'!$C:$I,7,FALSE)</f>
        <v>487.91</v>
      </c>
      <c r="I51" s="112">
        <f>IFERROR(IF(OR(G51="yes",F51= "yes"),VLOOKUP(C51,Summary!$B:$J,6,0),0),0)</f>
        <v>0</v>
      </c>
      <c r="J51" s="111">
        <f t="shared" si="6"/>
        <v>487.91</v>
      </c>
      <c r="K51" s="91">
        <f>VLOOKUP($A51,'2022-23 Salary &amp; Benefits'!$A:$I,3,FALSE)</f>
        <v>1.1499999999999999</v>
      </c>
      <c r="L51" s="91">
        <f>VLOOKUP($A51,'2022-23 Salary &amp; Benefits'!$A:$I,4,FALSE)</f>
        <v>1.1499999999999999</v>
      </c>
      <c r="M51" s="39">
        <f t="shared" si="7"/>
        <v>487.91</v>
      </c>
      <c r="N51" s="24">
        <v>15</v>
      </c>
      <c r="O51" s="26">
        <f t="shared" si="4"/>
        <v>32.527333333333338</v>
      </c>
      <c r="P51" s="24">
        <v>1.1000000000000001</v>
      </c>
      <c r="Q51" s="24">
        <v>36</v>
      </c>
      <c r="R51" s="27">
        <f t="shared" si="5"/>
        <v>1288.0824000000005</v>
      </c>
      <c r="S51" s="102">
        <f t="shared" si="8"/>
        <v>1.431</v>
      </c>
      <c r="T51" s="21">
        <f>VLOOKUP($A51,'2022-23 Salary &amp; Benefits'!$A:$I,5,FALSE)</f>
        <v>68937</v>
      </c>
      <c r="U51" s="21">
        <f>VLOOKUP($A51,'2022-23 Salary &amp; Benefits'!$A:$I,6,FALSE)</f>
        <v>72728</v>
      </c>
      <c r="V51" s="22">
        <f t="shared" si="9"/>
        <v>113446.17</v>
      </c>
      <c r="W51" s="22">
        <f t="shared" si="10"/>
        <v>6238.6600000000035</v>
      </c>
      <c r="X51" s="22">
        <f>'2022-23 Salary &amp; Benefits'!$G$6</f>
        <v>12558.24</v>
      </c>
      <c r="Y51" s="23">
        <f>'2022-23 Salary &amp; Benefits'!$H$6</f>
        <v>0.2298</v>
      </c>
      <c r="Z51" s="23">
        <f>'2022-23 Salary &amp; Benefits'!$I$6</f>
        <v>0.22339999999999999</v>
      </c>
      <c r="AA51" s="22">
        <f t="shared" si="11"/>
        <v>45434.49</v>
      </c>
      <c r="AB51" s="22">
        <f t="shared" si="12"/>
        <v>1994.75</v>
      </c>
      <c r="AC51" s="22">
        <f t="shared" si="13"/>
        <v>445.63</v>
      </c>
      <c r="AD51" s="22">
        <f t="shared" si="14"/>
        <v>2440.38</v>
      </c>
      <c r="AE51" s="22">
        <f t="shared" si="15"/>
        <v>167559.70000000001</v>
      </c>
      <c r="AF51" s="19" t="str">
        <f>VLOOKUP(C51,'2021-22 School Level AAFTE'!C:N,12,FALSE)</f>
        <v>No</v>
      </c>
    </row>
    <row r="52" spans="1:32" s="19" customFormat="1">
      <c r="A52" s="97" t="s">
        <v>2359</v>
      </c>
      <c r="B52" s="97" t="s">
        <v>808</v>
      </c>
      <c r="C52" s="95">
        <v>3439</v>
      </c>
      <c r="D52" s="95" t="s">
        <v>194</v>
      </c>
      <c r="E52" s="129">
        <f>VLOOKUP($C52,'2021-22 School Level AAFTE'!$C:$Z,11,FALSE)</f>
        <v>0.69333333333333336</v>
      </c>
      <c r="F52" s="129" t="str">
        <f>VLOOKUP($C52,'2021-22 School Level AAFTE'!$C:$Z,8,FALSE)</f>
        <v>Yes</v>
      </c>
      <c r="G52" s="129" t="str">
        <f>VLOOKUP($C52,'2021-22 School Level AAFTE'!$C:$Z,12,FALSE)</f>
        <v>No</v>
      </c>
      <c r="H52" s="127">
        <f>VLOOKUP($C52,'2021-22 School Level AAFTE'!$C:$I,7,FALSE)</f>
        <v>419.79</v>
      </c>
      <c r="I52" s="112">
        <f>IFERROR(IF(OR(G52="yes",F52= "yes"),VLOOKUP(C52,Summary!$B:$J,6,0),0),0)</f>
        <v>0</v>
      </c>
      <c r="J52" s="111">
        <f t="shared" si="6"/>
        <v>419.79</v>
      </c>
      <c r="K52" s="91">
        <f>VLOOKUP($A52,'2022-23 Salary &amp; Benefits'!$A:$I,3,FALSE)</f>
        <v>1.1499999999999999</v>
      </c>
      <c r="L52" s="91">
        <f>VLOOKUP($A52,'2022-23 Salary &amp; Benefits'!$A:$I,4,FALSE)</f>
        <v>1.1499999999999999</v>
      </c>
      <c r="M52" s="101">
        <f t="shared" si="7"/>
        <v>419.79</v>
      </c>
      <c r="N52" s="24">
        <v>15</v>
      </c>
      <c r="O52" s="26">
        <f t="shared" si="4"/>
        <v>27.986000000000001</v>
      </c>
      <c r="P52" s="24">
        <v>1.1000000000000001</v>
      </c>
      <c r="Q52" s="24">
        <v>36</v>
      </c>
      <c r="R52" s="27">
        <f t="shared" si="5"/>
        <v>1108.2456000000002</v>
      </c>
      <c r="S52" s="102">
        <f t="shared" si="8"/>
        <v>1.2310000000000001</v>
      </c>
      <c r="T52" s="21">
        <f>VLOOKUP($A52,'2022-23 Salary &amp; Benefits'!$A:$I,5,FALSE)</f>
        <v>68937</v>
      </c>
      <c r="U52" s="21">
        <f>VLOOKUP($A52,'2022-23 Salary &amp; Benefits'!$A:$I,6,FALSE)</f>
        <v>72728</v>
      </c>
      <c r="V52" s="22">
        <f t="shared" si="9"/>
        <v>97590.66</v>
      </c>
      <c r="W52" s="22">
        <f t="shared" si="10"/>
        <v>5366.7299999999959</v>
      </c>
      <c r="X52" s="22">
        <f>'2022-23 Salary &amp; Benefits'!$G$6</f>
        <v>12558.24</v>
      </c>
      <c r="Y52" s="23">
        <f>'2022-23 Salary &amp; Benefits'!$H$6</f>
        <v>0.2298</v>
      </c>
      <c r="Z52" s="23">
        <f>'2022-23 Salary &amp; Benefits'!$I$6</f>
        <v>0.22339999999999999</v>
      </c>
      <c r="AA52" s="22">
        <f t="shared" si="11"/>
        <v>39084.449999999997</v>
      </c>
      <c r="AB52" s="22">
        <f t="shared" si="12"/>
        <v>1715.96</v>
      </c>
      <c r="AC52" s="22">
        <f t="shared" si="13"/>
        <v>383.35</v>
      </c>
      <c r="AD52" s="22">
        <f t="shared" si="14"/>
        <v>2099.31</v>
      </c>
      <c r="AE52" s="22">
        <f t="shared" si="15"/>
        <v>144141.14999999997</v>
      </c>
      <c r="AF52" s="19" t="str">
        <f>VLOOKUP(C52,'2021-22 School Level AAFTE'!C:N,12,FALSE)</f>
        <v>No</v>
      </c>
    </row>
    <row r="53" spans="1:32" s="19" customFormat="1">
      <c r="A53" s="97" t="s">
        <v>2359</v>
      </c>
      <c r="B53" s="97" t="s">
        <v>808</v>
      </c>
      <c r="C53" s="95">
        <v>3525</v>
      </c>
      <c r="D53" s="95" t="s">
        <v>814</v>
      </c>
      <c r="E53" s="129">
        <f>VLOOKUP($C53,'2021-22 School Level AAFTE'!$C:$Z,11,FALSE)</f>
        <v>0.7219000000000001</v>
      </c>
      <c r="F53" s="129" t="str">
        <f>VLOOKUP($C53,'2021-22 School Level AAFTE'!$C:$Z,8,FALSE)</f>
        <v>Yes</v>
      </c>
      <c r="G53" s="129" t="str">
        <f>VLOOKUP($C53,'2021-22 School Level AAFTE'!$C:$Z,12,FALSE)</f>
        <v>No</v>
      </c>
      <c r="H53" s="127">
        <f>VLOOKUP($C53,'2021-22 School Level AAFTE'!$C:$I,7,FALSE)</f>
        <v>573.57000000000005</v>
      </c>
      <c r="I53" s="112">
        <f>IFERROR(IF(OR(G53="yes",F53= "yes"),VLOOKUP(C53,Summary!$B:$J,6,0),0),0)</f>
        <v>0</v>
      </c>
      <c r="J53" s="111">
        <f t="shared" si="6"/>
        <v>573.57000000000005</v>
      </c>
      <c r="K53" s="91">
        <f>VLOOKUP($A53,'2022-23 Salary &amp; Benefits'!$A:$I,3,FALSE)</f>
        <v>1.1499999999999999</v>
      </c>
      <c r="L53" s="91">
        <f>VLOOKUP($A53,'2022-23 Salary &amp; Benefits'!$A:$I,4,FALSE)</f>
        <v>1.1499999999999999</v>
      </c>
      <c r="M53" s="39">
        <f t="shared" si="7"/>
        <v>573.57000000000005</v>
      </c>
      <c r="N53" s="24">
        <v>15</v>
      </c>
      <c r="O53" s="26">
        <f t="shared" si="4"/>
        <v>38.238000000000007</v>
      </c>
      <c r="P53" s="24">
        <v>1.1000000000000001</v>
      </c>
      <c r="Q53" s="24">
        <v>36</v>
      </c>
      <c r="R53" s="27">
        <f t="shared" si="5"/>
        <v>1514.2248000000004</v>
      </c>
      <c r="S53" s="102">
        <f t="shared" si="8"/>
        <v>1.6819999999999999</v>
      </c>
      <c r="T53" s="21">
        <f>VLOOKUP($A53,'2022-23 Salary &amp; Benefits'!$A:$I,5,FALSE)</f>
        <v>68937</v>
      </c>
      <c r="U53" s="21">
        <f>VLOOKUP($A53,'2022-23 Salary &amp; Benefits'!$A:$I,6,FALSE)</f>
        <v>72728</v>
      </c>
      <c r="V53" s="22">
        <f t="shared" si="9"/>
        <v>133344.84</v>
      </c>
      <c r="W53" s="22">
        <f t="shared" si="10"/>
        <v>7332.929999999993</v>
      </c>
      <c r="X53" s="22">
        <f>'2022-23 Salary &amp; Benefits'!$G$6</f>
        <v>12558.24</v>
      </c>
      <c r="Y53" s="23">
        <f>'2022-23 Salary &amp; Benefits'!$H$6</f>
        <v>0.2298</v>
      </c>
      <c r="Z53" s="23">
        <f>'2022-23 Salary &amp; Benefits'!$I$6</f>
        <v>0.22339999999999999</v>
      </c>
      <c r="AA53" s="22">
        <f t="shared" si="11"/>
        <v>53403.78</v>
      </c>
      <c r="AB53" s="22">
        <f t="shared" si="12"/>
        <v>2344.63</v>
      </c>
      <c r="AC53" s="22">
        <f t="shared" si="13"/>
        <v>523.79</v>
      </c>
      <c r="AD53" s="22">
        <f t="shared" si="14"/>
        <v>2868.42</v>
      </c>
      <c r="AE53" s="22">
        <f t="shared" si="15"/>
        <v>196949.97</v>
      </c>
      <c r="AF53" s="19" t="str">
        <f>VLOOKUP(C53,'2021-22 School Level AAFTE'!C:N,12,FALSE)</f>
        <v>No</v>
      </c>
    </row>
    <row r="54" spans="1:32" s="19" customFormat="1">
      <c r="A54" s="97" t="s">
        <v>2359</v>
      </c>
      <c r="B54" s="97" t="s">
        <v>808</v>
      </c>
      <c r="C54" s="95">
        <v>3669</v>
      </c>
      <c r="D54" s="95" t="s">
        <v>815</v>
      </c>
      <c r="E54" s="129">
        <f>VLOOKUP($C54,'2021-22 School Level AAFTE'!$C:$Z,11,FALSE)</f>
        <v>0.75013333333333332</v>
      </c>
      <c r="F54" s="129" t="str">
        <f>VLOOKUP($C54,'2021-22 School Level AAFTE'!$C:$Z,8,FALSE)</f>
        <v>Yes</v>
      </c>
      <c r="G54" s="129" t="str">
        <f>VLOOKUP($C54,'2021-22 School Level AAFTE'!$C:$Z,12,FALSE)</f>
        <v>No</v>
      </c>
      <c r="H54" s="127">
        <f>VLOOKUP($C54,'2021-22 School Level AAFTE'!$C:$I,7,FALSE)</f>
        <v>355.05</v>
      </c>
      <c r="I54" s="112">
        <f>IFERROR(IF(OR(G54="yes",F54= "yes"),VLOOKUP(C54,Summary!$B:$J,6,0),0),0)</f>
        <v>0</v>
      </c>
      <c r="J54" s="111">
        <f t="shared" si="6"/>
        <v>355.05</v>
      </c>
      <c r="K54" s="91">
        <f>VLOOKUP($A54,'2022-23 Salary &amp; Benefits'!$A:$I,3,FALSE)</f>
        <v>1.1499999999999999</v>
      </c>
      <c r="L54" s="91">
        <f>VLOOKUP($A54,'2022-23 Salary &amp; Benefits'!$A:$I,4,FALSE)</f>
        <v>1.1499999999999999</v>
      </c>
      <c r="M54" s="39">
        <f t="shared" si="7"/>
        <v>355.05</v>
      </c>
      <c r="N54" s="24">
        <v>15</v>
      </c>
      <c r="O54" s="26">
        <f t="shared" si="4"/>
        <v>23.67</v>
      </c>
      <c r="P54" s="24">
        <v>1.1000000000000001</v>
      </c>
      <c r="Q54" s="24">
        <v>36</v>
      </c>
      <c r="R54" s="27">
        <f t="shared" si="5"/>
        <v>937.33200000000011</v>
      </c>
      <c r="S54" s="102">
        <f t="shared" si="8"/>
        <v>1.0409999999999999</v>
      </c>
      <c r="T54" s="21">
        <f>VLOOKUP($A54,'2022-23 Salary &amp; Benefits'!$A:$I,5,FALSE)</f>
        <v>68937</v>
      </c>
      <c r="U54" s="21">
        <f>VLOOKUP($A54,'2022-23 Salary &amp; Benefits'!$A:$I,6,FALSE)</f>
        <v>72728</v>
      </c>
      <c r="V54" s="22">
        <f t="shared" si="9"/>
        <v>82527.929999999993</v>
      </c>
      <c r="W54" s="22">
        <f t="shared" si="10"/>
        <v>4538.4000000000087</v>
      </c>
      <c r="X54" s="22">
        <f>'2022-23 Salary &amp; Benefits'!$G$6</f>
        <v>12558.24</v>
      </c>
      <c r="Y54" s="23">
        <f>'2022-23 Salary &amp; Benefits'!$H$6</f>
        <v>0.2298</v>
      </c>
      <c r="Z54" s="23">
        <f>'2022-23 Salary &amp; Benefits'!$I$6</f>
        <v>0.22339999999999999</v>
      </c>
      <c r="AA54" s="22">
        <f t="shared" si="11"/>
        <v>33051.919999999998</v>
      </c>
      <c r="AB54" s="22">
        <f t="shared" si="12"/>
        <v>1451.11</v>
      </c>
      <c r="AC54" s="22">
        <f t="shared" si="13"/>
        <v>324.18</v>
      </c>
      <c r="AD54" s="22">
        <f t="shared" si="14"/>
        <v>1775.29</v>
      </c>
      <c r="AE54" s="22">
        <f t="shared" si="15"/>
        <v>121893.54</v>
      </c>
      <c r="AF54" s="19" t="str">
        <f>VLOOKUP(C54,'2021-22 School Level AAFTE'!C:N,12,FALSE)</f>
        <v>No</v>
      </c>
    </row>
    <row r="55" spans="1:32" s="19" customFormat="1">
      <c r="A55" s="97" t="s">
        <v>2359</v>
      </c>
      <c r="B55" s="97" t="s">
        <v>808</v>
      </c>
      <c r="C55" s="95">
        <v>3745</v>
      </c>
      <c r="D55" s="95" t="s">
        <v>816</v>
      </c>
      <c r="E55" s="129">
        <f>VLOOKUP($C55,'2021-22 School Level AAFTE'!$C:$Z,11,FALSE)</f>
        <v>0.45229999999999998</v>
      </c>
      <c r="F55" s="129" t="str">
        <f>VLOOKUP($C55,'2021-22 School Level AAFTE'!$C:$Z,8,FALSE)</f>
        <v>No</v>
      </c>
      <c r="G55" s="129" t="str">
        <f>VLOOKUP($C55,'2021-22 School Level AAFTE'!$C:$Z,12,FALSE)</f>
        <v>No</v>
      </c>
      <c r="H55" s="127">
        <f>VLOOKUP($C55,'2021-22 School Level AAFTE'!$C:$I,7,FALSE)</f>
        <v>495.86</v>
      </c>
      <c r="I55" s="112">
        <f>IFERROR(IF(OR(G55="yes",F55= "yes"),VLOOKUP(C55,Summary!$B:$J,6,0),0),0)</f>
        <v>0</v>
      </c>
      <c r="J55" s="111">
        <f t="shared" si="6"/>
        <v>0</v>
      </c>
      <c r="K55" s="91">
        <f>VLOOKUP($A55,'2022-23 Salary &amp; Benefits'!$A:$I,3,FALSE)</f>
        <v>1.1499999999999999</v>
      </c>
      <c r="L55" s="91">
        <f>VLOOKUP($A55,'2022-23 Salary &amp; Benefits'!$A:$I,4,FALSE)</f>
        <v>1.1499999999999999</v>
      </c>
      <c r="M55" s="39">
        <f t="shared" si="7"/>
        <v>0</v>
      </c>
      <c r="N55" s="24">
        <v>15</v>
      </c>
      <c r="O55" s="26">
        <f t="shared" si="4"/>
        <v>0</v>
      </c>
      <c r="P55" s="24">
        <v>1.1000000000000001</v>
      </c>
      <c r="Q55" s="24">
        <v>36</v>
      </c>
      <c r="R55" s="27">
        <f t="shared" si="5"/>
        <v>0</v>
      </c>
      <c r="S55" s="102">
        <f t="shared" si="8"/>
        <v>0</v>
      </c>
      <c r="T55" s="21">
        <f>VLOOKUP($A55,'2022-23 Salary &amp; Benefits'!$A:$I,5,FALSE)</f>
        <v>68937</v>
      </c>
      <c r="U55" s="21">
        <f>VLOOKUP($A55,'2022-23 Salary &amp; Benefits'!$A:$I,6,FALSE)</f>
        <v>72728</v>
      </c>
      <c r="V55" s="22">
        <f t="shared" si="9"/>
        <v>0</v>
      </c>
      <c r="W55" s="22">
        <f t="shared" si="10"/>
        <v>0</v>
      </c>
      <c r="X55" s="22">
        <f>'2022-23 Salary &amp; Benefits'!$G$6</f>
        <v>12558.24</v>
      </c>
      <c r="Y55" s="23">
        <f>'2022-23 Salary &amp; Benefits'!$H$6</f>
        <v>0.2298</v>
      </c>
      <c r="Z55" s="23">
        <f>'2022-23 Salary &amp; Benefits'!$I$6</f>
        <v>0.22339999999999999</v>
      </c>
      <c r="AA55" s="22">
        <f t="shared" si="11"/>
        <v>0</v>
      </c>
      <c r="AB55" s="22">
        <f t="shared" si="12"/>
        <v>0</v>
      </c>
      <c r="AC55" s="22">
        <f t="shared" si="13"/>
        <v>0</v>
      </c>
      <c r="AD55" s="22">
        <f t="shared" si="14"/>
        <v>0</v>
      </c>
      <c r="AE55" s="22">
        <f t="shared" si="15"/>
        <v>0</v>
      </c>
      <c r="AF55" s="19" t="str">
        <f>VLOOKUP(C55,'2021-22 School Level AAFTE'!C:N,12,FALSE)</f>
        <v>No</v>
      </c>
    </row>
    <row r="56" spans="1:32" s="19" customFormat="1">
      <c r="A56" s="97" t="s">
        <v>2359</v>
      </c>
      <c r="B56" s="97" t="s">
        <v>808</v>
      </c>
      <c r="C56" s="95">
        <v>3825</v>
      </c>
      <c r="D56" s="95" t="s">
        <v>817</v>
      </c>
      <c r="E56" s="129">
        <f>VLOOKUP($C56,'2021-22 School Level AAFTE'!$C:$Z,11,FALSE)</f>
        <v>0.58740000000000003</v>
      </c>
      <c r="F56" s="129" t="str">
        <f>VLOOKUP($C56,'2021-22 School Level AAFTE'!$C:$Z,8,FALSE)</f>
        <v>Yes</v>
      </c>
      <c r="G56" s="129" t="str">
        <f>VLOOKUP($C56,'2021-22 School Level AAFTE'!$C:$Z,12,FALSE)</f>
        <v>No</v>
      </c>
      <c r="H56" s="127">
        <f>VLOOKUP($C56,'2021-22 School Level AAFTE'!$C:$I,7,FALSE)</f>
        <v>550.14</v>
      </c>
      <c r="I56" s="112">
        <f>IFERROR(IF(OR(G56="yes",F56= "yes"),VLOOKUP(C56,Summary!$B:$J,6,0),0),0)</f>
        <v>0</v>
      </c>
      <c r="J56" s="111">
        <f t="shared" si="6"/>
        <v>550.14</v>
      </c>
      <c r="K56" s="91">
        <f>VLOOKUP($A56,'2022-23 Salary &amp; Benefits'!$A:$I,3,FALSE)</f>
        <v>1.1499999999999999</v>
      </c>
      <c r="L56" s="91">
        <f>VLOOKUP($A56,'2022-23 Salary &amp; Benefits'!$A:$I,4,FALSE)</f>
        <v>1.1499999999999999</v>
      </c>
      <c r="M56" s="39">
        <f t="shared" si="7"/>
        <v>550.14</v>
      </c>
      <c r="N56" s="24">
        <v>15</v>
      </c>
      <c r="O56" s="26">
        <f t="shared" si="4"/>
        <v>36.676000000000002</v>
      </c>
      <c r="P56" s="24">
        <v>1.1000000000000001</v>
      </c>
      <c r="Q56" s="24">
        <v>36</v>
      </c>
      <c r="R56" s="27">
        <f t="shared" si="5"/>
        <v>1452.3696</v>
      </c>
      <c r="S56" s="102">
        <f t="shared" si="8"/>
        <v>1.6140000000000001</v>
      </c>
      <c r="T56" s="21">
        <f>VLOOKUP($A56,'2022-23 Salary &amp; Benefits'!$A:$I,5,FALSE)</f>
        <v>68937</v>
      </c>
      <c r="U56" s="21">
        <f>VLOOKUP($A56,'2022-23 Salary &amp; Benefits'!$A:$I,6,FALSE)</f>
        <v>72728</v>
      </c>
      <c r="V56" s="22">
        <f t="shared" si="9"/>
        <v>127953.97</v>
      </c>
      <c r="W56" s="22">
        <f t="shared" si="10"/>
        <v>7036.4700000000012</v>
      </c>
      <c r="X56" s="22">
        <f>'2022-23 Salary &amp; Benefits'!$G$6</f>
        <v>12558.24</v>
      </c>
      <c r="Y56" s="23">
        <f>'2022-23 Salary &amp; Benefits'!$H$6</f>
        <v>0.2298</v>
      </c>
      <c r="Z56" s="23">
        <f>'2022-23 Salary &amp; Benefits'!$I$6</f>
        <v>0.22339999999999999</v>
      </c>
      <c r="AA56" s="22">
        <f t="shared" si="11"/>
        <v>51244.77</v>
      </c>
      <c r="AB56" s="22">
        <f t="shared" si="12"/>
        <v>2249.84</v>
      </c>
      <c r="AC56" s="22">
        <f t="shared" si="13"/>
        <v>502.61</v>
      </c>
      <c r="AD56" s="22">
        <f t="shared" si="14"/>
        <v>2752.4500000000003</v>
      </c>
      <c r="AE56" s="22">
        <f t="shared" si="15"/>
        <v>188987.66</v>
      </c>
      <c r="AF56" s="19" t="str">
        <f>VLOOKUP(C56,'2021-22 School Level AAFTE'!C:N,12,FALSE)</f>
        <v>No</v>
      </c>
    </row>
    <row r="57" spans="1:32" s="19" customFormat="1">
      <c r="A57" s="97" t="s">
        <v>2359</v>
      </c>
      <c r="B57" s="97" t="s">
        <v>808</v>
      </c>
      <c r="C57" s="95">
        <v>4120</v>
      </c>
      <c r="D57" s="95" t="s">
        <v>818</v>
      </c>
      <c r="E57" s="129">
        <f>VLOOKUP($C57,'2021-22 School Level AAFTE'!$C:$Z,11,FALSE)</f>
        <v>0.39083333333333331</v>
      </c>
      <c r="F57" s="129" t="str">
        <f>VLOOKUP($C57,'2021-22 School Level AAFTE'!$C:$Z,8,FALSE)</f>
        <v>No</v>
      </c>
      <c r="G57" s="129" t="str">
        <f>VLOOKUP($C57,'2021-22 School Level AAFTE'!$C:$Z,12,FALSE)</f>
        <v>No</v>
      </c>
      <c r="H57" s="127">
        <f>VLOOKUP($C57,'2021-22 School Level AAFTE'!$C:$I,7,FALSE)</f>
        <v>409.57</v>
      </c>
      <c r="I57" s="112">
        <f>IFERROR(IF(OR(G57="yes",F57= "yes"),VLOOKUP(C57,Summary!$B:$J,6,0),0),0)</f>
        <v>0</v>
      </c>
      <c r="J57" s="111">
        <f t="shared" si="6"/>
        <v>0</v>
      </c>
      <c r="K57" s="91">
        <f>VLOOKUP($A57,'2022-23 Salary &amp; Benefits'!$A:$I,3,FALSE)</f>
        <v>1.1499999999999999</v>
      </c>
      <c r="L57" s="91">
        <f>VLOOKUP($A57,'2022-23 Salary &amp; Benefits'!$A:$I,4,FALSE)</f>
        <v>1.1499999999999999</v>
      </c>
      <c r="M57" s="39">
        <f t="shared" si="7"/>
        <v>0</v>
      </c>
      <c r="N57" s="24">
        <v>15</v>
      </c>
      <c r="O57" s="26">
        <f t="shared" si="4"/>
        <v>0</v>
      </c>
      <c r="P57" s="24">
        <v>1.1000000000000001</v>
      </c>
      <c r="Q57" s="24">
        <v>36</v>
      </c>
      <c r="R57" s="27">
        <f t="shared" si="5"/>
        <v>0</v>
      </c>
      <c r="S57" s="102">
        <f t="shared" si="8"/>
        <v>0</v>
      </c>
      <c r="T57" s="21">
        <f>VLOOKUP($A57,'2022-23 Salary &amp; Benefits'!$A:$I,5,FALSE)</f>
        <v>68937</v>
      </c>
      <c r="U57" s="21">
        <f>VLOOKUP($A57,'2022-23 Salary &amp; Benefits'!$A:$I,6,FALSE)</f>
        <v>72728</v>
      </c>
      <c r="V57" s="22">
        <f t="shared" si="9"/>
        <v>0</v>
      </c>
      <c r="W57" s="22">
        <f t="shared" si="10"/>
        <v>0</v>
      </c>
      <c r="X57" s="22">
        <f>'2022-23 Salary &amp; Benefits'!$G$6</f>
        <v>12558.24</v>
      </c>
      <c r="Y57" s="23">
        <f>'2022-23 Salary &amp; Benefits'!$H$6</f>
        <v>0.2298</v>
      </c>
      <c r="Z57" s="23">
        <f>'2022-23 Salary &amp; Benefits'!$I$6</f>
        <v>0.22339999999999999</v>
      </c>
      <c r="AA57" s="22">
        <f t="shared" si="11"/>
        <v>0</v>
      </c>
      <c r="AB57" s="22">
        <f t="shared" si="12"/>
        <v>0</v>
      </c>
      <c r="AC57" s="22">
        <f t="shared" si="13"/>
        <v>0</v>
      </c>
      <c r="AD57" s="22">
        <f t="shared" si="14"/>
        <v>0</v>
      </c>
      <c r="AE57" s="22">
        <f t="shared" si="15"/>
        <v>0</v>
      </c>
      <c r="AF57" s="19" t="str">
        <f>VLOOKUP(C57,'2021-22 School Level AAFTE'!C:N,12,FALSE)</f>
        <v>No</v>
      </c>
    </row>
    <row r="58" spans="1:32" s="19" customFormat="1">
      <c r="A58" s="97" t="s">
        <v>2359</v>
      </c>
      <c r="B58" s="97" t="s">
        <v>808</v>
      </c>
      <c r="C58" s="95">
        <v>4347</v>
      </c>
      <c r="D58" s="95" t="s">
        <v>747</v>
      </c>
      <c r="E58" s="129">
        <f>VLOOKUP($C58,'2021-22 School Level AAFTE'!$C:$Z,11,FALSE)</f>
        <v>0.43359999999999999</v>
      </c>
      <c r="F58" s="129" t="str">
        <f>VLOOKUP($C58,'2021-22 School Level AAFTE'!$C:$Z,8,FALSE)</f>
        <v>No</v>
      </c>
      <c r="G58" s="129" t="str">
        <f>VLOOKUP($C58,'2021-22 School Level AAFTE'!$C:$Z,12,FALSE)</f>
        <v>No</v>
      </c>
      <c r="H58" s="127">
        <f>VLOOKUP($C58,'2021-22 School Level AAFTE'!$C:$I,7,FALSE)</f>
        <v>511.39</v>
      </c>
      <c r="I58" s="112">
        <f>IFERROR(IF(OR(G58="yes",F58= "yes"),VLOOKUP(C58,Summary!$B:$J,6,0),0),0)</f>
        <v>0</v>
      </c>
      <c r="J58" s="111">
        <f t="shared" si="6"/>
        <v>0</v>
      </c>
      <c r="K58" s="91">
        <f>VLOOKUP($A58,'2022-23 Salary &amp; Benefits'!$A:$I,3,FALSE)</f>
        <v>1.1499999999999999</v>
      </c>
      <c r="L58" s="91">
        <f>VLOOKUP($A58,'2022-23 Salary &amp; Benefits'!$A:$I,4,FALSE)</f>
        <v>1.1499999999999999</v>
      </c>
      <c r="M58" s="101">
        <f t="shared" si="7"/>
        <v>0</v>
      </c>
      <c r="N58" s="24">
        <v>15</v>
      </c>
      <c r="O58" s="26">
        <f t="shared" si="4"/>
        <v>0</v>
      </c>
      <c r="P58" s="24">
        <v>1.1000000000000001</v>
      </c>
      <c r="Q58" s="24">
        <v>36</v>
      </c>
      <c r="R58" s="27">
        <f t="shared" si="5"/>
        <v>0</v>
      </c>
      <c r="S58" s="102">
        <f t="shared" si="8"/>
        <v>0</v>
      </c>
      <c r="T58" s="21">
        <f>VLOOKUP($A58,'2022-23 Salary &amp; Benefits'!$A:$I,5,FALSE)</f>
        <v>68937</v>
      </c>
      <c r="U58" s="21">
        <f>VLOOKUP($A58,'2022-23 Salary &amp; Benefits'!$A:$I,6,FALSE)</f>
        <v>72728</v>
      </c>
      <c r="V58" s="22">
        <f t="shared" si="9"/>
        <v>0</v>
      </c>
      <c r="W58" s="22">
        <f t="shared" si="10"/>
        <v>0</v>
      </c>
      <c r="X58" s="22">
        <f>'2022-23 Salary &amp; Benefits'!$G$6</f>
        <v>12558.24</v>
      </c>
      <c r="Y58" s="23">
        <f>'2022-23 Salary &amp; Benefits'!$H$6</f>
        <v>0.2298</v>
      </c>
      <c r="Z58" s="23">
        <f>'2022-23 Salary &amp; Benefits'!$I$6</f>
        <v>0.22339999999999999</v>
      </c>
      <c r="AA58" s="22">
        <f t="shared" si="11"/>
        <v>0</v>
      </c>
      <c r="AB58" s="22">
        <f t="shared" si="12"/>
        <v>0</v>
      </c>
      <c r="AC58" s="22">
        <f t="shared" si="13"/>
        <v>0</v>
      </c>
      <c r="AD58" s="22">
        <f t="shared" si="14"/>
        <v>0</v>
      </c>
      <c r="AE58" s="22">
        <f t="shared" si="15"/>
        <v>0</v>
      </c>
      <c r="AF58" s="19" t="str">
        <f>VLOOKUP(C58,'2021-22 School Level AAFTE'!C:N,12,FALSE)</f>
        <v>No</v>
      </c>
    </row>
    <row r="59" spans="1:32" s="19" customFormat="1">
      <c r="A59" s="97" t="s">
        <v>2359</v>
      </c>
      <c r="B59" s="97" t="s">
        <v>808</v>
      </c>
      <c r="C59" s="95">
        <v>4385</v>
      </c>
      <c r="D59" s="95" t="s">
        <v>819</v>
      </c>
      <c r="E59" s="129">
        <f>VLOOKUP($C59,'2021-22 School Level AAFTE'!$C:$Z,11,FALSE)</f>
        <v>0.5567333333333333</v>
      </c>
      <c r="F59" s="129" t="str">
        <f>VLOOKUP($C59,'2021-22 School Level AAFTE'!$C:$Z,8,FALSE)</f>
        <v>Yes</v>
      </c>
      <c r="G59" s="129" t="str">
        <f>VLOOKUP($C59,'2021-22 School Level AAFTE'!$C:$Z,12,FALSE)</f>
        <v>No</v>
      </c>
      <c r="H59" s="127">
        <f>VLOOKUP($C59,'2021-22 School Level AAFTE'!$C:$I,7,FALSE)</f>
        <v>958.84</v>
      </c>
      <c r="I59" s="112">
        <f>IFERROR(IF(OR(G59="yes",F59= "yes"),VLOOKUP(C59,Summary!$B:$J,6,0),0),0)</f>
        <v>0</v>
      </c>
      <c r="J59" s="111">
        <f t="shared" si="6"/>
        <v>958.84</v>
      </c>
      <c r="K59" s="91">
        <f>VLOOKUP($A59,'2022-23 Salary &amp; Benefits'!$A:$I,3,FALSE)</f>
        <v>1.1499999999999999</v>
      </c>
      <c r="L59" s="91">
        <f>VLOOKUP($A59,'2022-23 Salary &amp; Benefits'!$A:$I,4,FALSE)</f>
        <v>1.1499999999999999</v>
      </c>
      <c r="M59" s="39">
        <f t="shared" si="7"/>
        <v>958.84</v>
      </c>
      <c r="N59" s="24">
        <v>15</v>
      </c>
      <c r="O59" s="26">
        <f t="shared" si="4"/>
        <v>63.922666666666672</v>
      </c>
      <c r="P59" s="24">
        <v>1.1000000000000001</v>
      </c>
      <c r="Q59" s="24">
        <v>36</v>
      </c>
      <c r="R59" s="27">
        <f t="shared" si="5"/>
        <v>2531.3376000000003</v>
      </c>
      <c r="S59" s="102">
        <f t="shared" si="8"/>
        <v>2.8130000000000002</v>
      </c>
      <c r="T59" s="21">
        <f>VLOOKUP($A59,'2022-23 Salary &amp; Benefits'!$A:$I,5,FALSE)</f>
        <v>68937</v>
      </c>
      <c r="U59" s="21">
        <f>VLOOKUP($A59,'2022-23 Salary &amp; Benefits'!$A:$I,6,FALSE)</f>
        <v>72728</v>
      </c>
      <c r="V59" s="22">
        <f t="shared" si="9"/>
        <v>223007.75</v>
      </c>
      <c r="W59" s="22">
        <f t="shared" si="10"/>
        <v>12263.690000000002</v>
      </c>
      <c r="X59" s="22">
        <f>'2022-23 Salary &amp; Benefits'!$G$6</f>
        <v>12558.24</v>
      </c>
      <c r="Y59" s="23">
        <f>'2022-23 Salary &amp; Benefits'!$H$6</f>
        <v>0.2298</v>
      </c>
      <c r="Z59" s="23">
        <f>'2022-23 Salary &amp; Benefits'!$I$6</f>
        <v>0.22339999999999999</v>
      </c>
      <c r="AA59" s="22">
        <f t="shared" si="11"/>
        <v>89313.22</v>
      </c>
      <c r="AB59" s="22">
        <f t="shared" si="12"/>
        <v>3921.19</v>
      </c>
      <c r="AC59" s="22">
        <f t="shared" si="13"/>
        <v>875.99</v>
      </c>
      <c r="AD59" s="22">
        <f t="shared" si="14"/>
        <v>4797.18</v>
      </c>
      <c r="AE59" s="22">
        <f t="shared" si="15"/>
        <v>329381.83999999997</v>
      </c>
      <c r="AF59" s="19" t="str">
        <f>VLOOKUP(C59,'2021-22 School Level AAFTE'!C:N,12,FALSE)</f>
        <v>No</v>
      </c>
    </row>
    <row r="60" spans="1:32" s="19" customFormat="1">
      <c r="A60" s="97" t="s">
        <v>2359</v>
      </c>
      <c r="B60" s="97" t="s">
        <v>808</v>
      </c>
      <c r="C60" s="95">
        <v>4417</v>
      </c>
      <c r="D60" s="95" t="s">
        <v>820</v>
      </c>
      <c r="E60" s="129">
        <f>VLOOKUP($C60,'2021-22 School Level AAFTE'!$C:$Z,11,FALSE)</f>
        <v>0.53846666666666676</v>
      </c>
      <c r="F60" s="129" t="str">
        <f>VLOOKUP($C60,'2021-22 School Level AAFTE'!$C:$Z,8,FALSE)</f>
        <v>Yes</v>
      </c>
      <c r="G60" s="129" t="str">
        <f>VLOOKUP($C60,'2021-22 School Level AAFTE'!$C:$Z,12,FALSE)</f>
        <v>No</v>
      </c>
      <c r="H60" s="127">
        <f>VLOOKUP($C60,'2021-22 School Level AAFTE'!$C:$I,7,FALSE)</f>
        <v>441.17</v>
      </c>
      <c r="I60" s="112">
        <f>IFERROR(IF(OR(G60="yes",F60= "yes"),VLOOKUP(C60,Summary!$B:$J,6,0),0),0)</f>
        <v>0</v>
      </c>
      <c r="J60" s="111">
        <f t="shared" si="6"/>
        <v>441.17</v>
      </c>
      <c r="K60" s="91">
        <f>VLOOKUP($A60,'2022-23 Salary &amp; Benefits'!$A:$I,3,FALSE)</f>
        <v>1.1499999999999999</v>
      </c>
      <c r="L60" s="91">
        <f>VLOOKUP($A60,'2022-23 Salary &amp; Benefits'!$A:$I,4,FALSE)</f>
        <v>1.1499999999999999</v>
      </c>
      <c r="M60" s="101">
        <f t="shared" si="7"/>
        <v>441.17</v>
      </c>
      <c r="N60" s="24">
        <v>15</v>
      </c>
      <c r="O60" s="26">
        <f t="shared" si="4"/>
        <v>29.411333333333335</v>
      </c>
      <c r="P60" s="24">
        <v>1.1000000000000001</v>
      </c>
      <c r="Q60" s="24">
        <v>36</v>
      </c>
      <c r="R60" s="27">
        <f t="shared" si="5"/>
        <v>1164.6888000000001</v>
      </c>
      <c r="S60" s="102">
        <f t="shared" si="8"/>
        <v>1.294</v>
      </c>
      <c r="T60" s="21">
        <f>VLOOKUP($A60,'2022-23 Salary &amp; Benefits'!$A:$I,5,FALSE)</f>
        <v>68937</v>
      </c>
      <c r="U60" s="21">
        <f>VLOOKUP($A60,'2022-23 Salary &amp; Benefits'!$A:$I,6,FALSE)</f>
        <v>72728</v>
      </c>
      <c r="V60" s="22">
        <f t="shared" si="9"/>
        <v>102585.15</v>
      </c>
      <c r="W60" s="22">
        <f t="shared" si="10"/>
        <v>5641.3899999999994</v>
      </c>
      <c r="X60" s="22">
        <f>'2022-23 Salary &amp; Benefits'!$G$6</f>
        <v>12558.24</v>
      </c>
      <c r="Y60" s="23">
        <f>'2022-23 Salary &amp; Benefits'!$H$6</f>
        <v>0.2298</v>
      </c>
      <c r="Z60" s="23">
        <f>'2022-23 Salary &amp; Benefits'!$I$6</f>
        <v>0.22339999999999999</v>
      </c>
      <c r="AA60" s="22">
        <f t="shared" si="11"/>
        <v>41084.720000000001</v>
      </c>
      <c r="AB60" s="22">
        <f t="shared" si="12"/>
        <v>1803.78</v>
      </c>
      <c r="AC60" s="22">
        <f t="shared" si="13"/>
        <v>402.96</v>
      </c>
      <c r="AD60" s="22">
        <f t="shared" si="14"/>
        <v>2206.7399999999998</v>
      </c>
      <c r="AE60" s="22">
        <f t="shared" si="15"/>
        <v>151518</v>
      </c>
      <c r="AF60" s="19" t="str">
        <f>VLOOKUP(C60,'2021-22 School Level AAFTE'!C:N,12,FALSE)</f>
        <v>No</v>
      </c>
    </row>
    <row r="61" spans="1:32" s="19" customFormat="1">
      <c r="A61" s="97" t="s">
        <v>2359</v>
      </c>
      <c r="B61" s="97" t="s">
        <v>808</v>
      </c>
      <c r="C61" s="95">
        <v>4462</v>
      </c>
      <c r="D61" s="95" t="s">
        <v>821</v>
      </c>
      <c r="E61" s="129">
        <f>VLOOKUP($C61,'2021-22 School Level AAFTE'!$C:$Z,11,FALSE)</f>
        <v>0.50949999999999995</v>
      </c>
      <c r="F61" s="129" t="str">
        <f>VLOOKUP($C61,'2021-22 School Level AAFTE'!$C:$Z,8,FALSE)</f>
        <v>Yes</v>
      </c>
      <c r="G61" s="129" t="str">
        <f>VLOOKUP($C61,'2021-22 School Level AAFTE'!$C:$Z,12,FALSE)</f>
        <v>No</v>
      </c>
      <c r="H61" s="127">
        <f>VLOOKUP($C61,'2021-22 School Level AAFTE'!$C:$I,7,FALSE)</f>
        <v>938.1</v>
      </c>
      <c r="I61" s="112">
        <f>IFERROR(IF(OR(G61="yes",F61= "yes"),VLOOKUP(C61,Summary!$B:$J,6,0),0),0)</f>
        <v>0</v>
      </c>
      <c r="J61" s="111">
        <f t="shared" si="6"/>
        <v>938.1</v>
      </c>
      <c r="K61" s="91">
        <f>VLOOKUP($A61,'2022-23 Salary &amp; Benefits'!$A:$I,3,FALSE)</f>
        <v>1.1499999999999999</v>
      </c>
      <c r="L61" s="91">
        <f>VLOOKUP($A61,'2022-23 Salary &amp; Benefits'!$A:$I,4,FALSE)</f>
        <v>1.1499999999999999</v>
      </c>
      <c r="M61" s="39">
        <f t="shared" si="7"/>
        <v>938.1</v>
      </c>
      <c r="N61" s="24">
        <v>15</v>
      </c>
      <c r="O61" s="26">
        <f t="shared" si="4"/>
        <v>62.54</v>
      </c>
      <c r="P61" s="24">
        <v>1.1000000000000001</v>
      </c>
      <c r="Q61" s="24">
        <v>36</v>
      </c>
      <c r="R61" s="27">
        <f t="shared" si="5"/>
        <v>2476.5840000000003</v>
      </c>
      <c r="S61" s="102">
        <f t="shared" si="8"/>
        <v>2.7519999999999998</v>
      </c>
      <c r="T61" s="21">
        <f>VLOOKUP($A61,'2022-23 Salary &amp; Benefits'!$A:$I,5,FALSE)</f>
        <v>68937</v>
      </c>
      <c r="U61" s="21">
        <f>VLOOKUP($A61,'2022-23 Salary &amp; Benefits'!$A:$I,6,FALSE)</f>
        <v>72728</v>
      </c>
      <c r="V61" s="22">
        <f t="shared" si="9"/>
        <v>218171.82</v>
      </c>
      <c r="W61" s="22">
        <f t="shared" si="10"/>
        <v>11997.75</v>
      </c>
      <c r="X61" s="22">
        <f>'2022-23 Salary &amp; Benefits'!$G$6</f>
        <v>12558.24</v>
      </c>
      <c r="Y61" s="23">
        <f>'2022-23 Salary &amp; Benefits'!$H$6</f>
        <v>0.2298</v>
      </c>
      <c r="Z61" s="23">
        <f>'2022-23 Salary &amp; Benefits'!$I$6</f>
        <v>0.22339999999999999</v>
      </c>
      <c r="AA61" s="22">
        <f t="shared" si="11"/>
        <v>87376.46</v>
      </c>
      <c r="AB61" s="22">
        <f t="shared" si="12"/>
        <v>3836.16</v>
      </c>
      <c r="AC61" s="22">
        <f t="shared" si="13"/>
        <v>857</v>
      </c>
      <c r="AD61" s="22">
        <f t="shared" si="14"/>
        <v>4693.16</v>
      </c>
      <c r="AE61" s="22">
        <f t="shared" si="15"/>
        <v>322239.19</v>
      </c>
      <c r="AF61" s="19" t="str">
        <f>VLOOKUP(C61,'2021-22 School Level AAFTE'!C:N,12,FALSE)</f>
        <v>No</v>
      </c>
    </row>
    <row r="62" spans="1:32" s="19" customFormat="1">
      <c r="A62" s="97" t="s">
        <v>2359</v>
      </c>
      <c r="B62" s="97" t="s">
        <v>808</v>
      </c>
      <c r="C62" s="95">
        <v>4474</v>
      </c>
      <c r="D62" s="95" t="s">
        <v>822</v>
      </c>
      <c r="E62" s="129">
        <f>VLOOKUP($C62,'2021-22 School Level AAFTE'!$C:$Z,11,FALSE)</f>
        <v>0.39726666666666666</v>
      </c>
      <c r="F62" s="129" t="str">
        <f>VLOOKUP($C62,'2021-22 School Level AAFTE'!$C:$Z,8,FALSE)</f>
        <v>No</v>
      </c>
      <c r="G62" s="129" t="str">
        <f>VLOOKUP($C62,'2021-22 School Level AAFTE'!$C:$Z,12,FALSE)</f>
        <v>No</v>
      </c>
      <c r="H62" s="127">
        <f>VLOOKUP($C62,'2021-22 School Level AAFTE'!$C:$I,7,FALSE)</f>
        <v>1854.63</v>
      </c>
      <c r="I62" s="112">
        <f>IFERROR(IF(OR(G62="yes",F62= "yes"),VLOOKUP(C62,Summary!$B:$J,6,0),0),0)</f>
        <v>0</v>
      </c>
      <c r="J62" s="111">
        <f t="shared" si="6"/>
        <v>0</v>
      </c>
      <c r="K62" s="91">
        <f>VLOOKUP($A62,'2022-23 Salary &amp; Benefits'!$A:$I,3,FALSE)</f>
        <v>1.1499999999999999</v>
      </c>
      <c r="L62" s="91">
        <f>VLOOKUP($A62,'2022-23 Salary &amp; Benefits'!$A:$I,4,FALSE)</f>
        <v>1.1499999999999999</v>
      </c>
      <c r="M62" s="39">
        <f t="shared" si="7"/>
        <v>0</v>
      </c>
      <c r="N62" s="24">
        <v>15</v>
      </c>
      <c r="O62" s="26">
        <f t="shared" si="4"/>
        <v>0</v>
      </c>
      <c r="P62" s="24">
        <v>1.1000000000000001</v>
      </c>
      <c r="Q62" s="24">
        <v>36</v>
      </c>
      <c r="R62" s="27">
        <f t="shared" si="5"/>
        <v>0</v>
      </c>
      <c r="S62" s="102">
        <f t="shared" si="8"/>
        <v>0</v>
      </c>
      <c r="T62" s="21">
        <f>VLOOKUP($A62,'2022-23 Salary &amp; Benefits'!$A:$I,5,FALSE)</f>
        <v>68937</v>
      </c>
      <c r="U62" s="21">
        <f>VLOOKUP($A62,'2022-23 Salary &amp; Benefits'!$A:$I,6,FALSE)</f>
        <v>72728</v>
      </c>
      <c r="V62" s="22">
        <f t="shared" si="9"/>
        <v>0</v>
      </c>
      <c r="W62" s="22">
        <f t="shared" si="10"/>
        <v>0</v>
      </c>
      <c r="X62" s="22">
        <f>'2022-23 Salary &amp; Benefits'!$G$6</f>
        <v>12558.24</v>
      </c>
      <c r="Y62" s="23">
        <f>'2022-23 Salary &amp; Benefits'!$H$6</f>
        <v>0.2298</v>
      </c>
      <c r="Z62" s="23">
        <f>'2022-23 Salary &amp; Benefits'!$I$6</f>
        <v>0.22339999999999999</v>
      </c>
      <c r="AA62" s="22">
        <f t="shared" si="11"/>
        <v>0</v>
      </c>
      <c r="AB62" s="22">
        <f t="shared" si="12"/>
        <v>0</v>
      </c>
      <c r="AC62" s="22">
        <f t="shared" si="13"/>
        <v>0</v>
      </c>
      <c r="AD62" s="22">
        <f t="shared" si="14"/>
        <v>0</v>
      </c>
      <c r="AE62" s="22">
        <f t="shared" si="15"/>
        <v>0</v>
      </c>
      <c r="AF62" s="19" t="str">
        <f>VLOOKUP(C62,'2021-22 School Level AAFTE'!C:N,12,FALSE)</f>
        <v>No</v>
      </c>
    </row>
    <row r="63" spans="1:32" s="19" customFormat="1">
      <c r="A63" s="97" t="s">
        <v>2359</v>
      </c>
      <c r="B63" s="97" t="s">
        <v>808</v>
      </c>
      <c r="C63" s="95">
        <v>5037</v>
      </c>
      <c r="D63" s="95" t="s">
        <v>823</v>
      </c>
      <c r="E63" s="129">
        <f>VLOOKUP($C63,'2021-22 School Level AAFTE'!$C:$Z,11,FALSE)</f>
        <v>0.49496666666666672</v>
      </c>
      <c r="F63" s="129" t="str">
        <f>VLOOKUP($C63,'2021-22 School Level AAFTE'!$C:$Z,8,FALSE)</f>
        <v>No</v>
      </c>
      <c r="G63" s="129" t="str">
        <f>VLOOKUP($C63,'2021-22 School Level AAFTE'!$C:$Z,12,FALSE)</f>
        <v>No</v>
      </c>
      <c r="H63" s="127">
        <f>VLOOKUP($C63,'2021-22 School Level AAFTE'!$C:$I,7,FALSE)</f>
        <v>1573.8799999999999</v>
      </c>
      <c r="I63" s="112">
        <f>IFERROR(IF(OR(G63="yes",F63= "yes"),VLOOKUP(C63,Summary!$B:$J,6,0),0),0)</f>
        <v>0</v>
      </c>
      <c r="J63" s="111">
        <f t="shared" si="6"/>
        <v>0</v>
      </c>
      <c r="K63" s="91">
        <f>VLOOKUP($A63,'2022-23 Salary &amp; Benefits'!$A:$I,3,FALSE)</f>
        <v>1.1499999999999999</v>
      </c>
      <c r="L63" s="91">
        <f>VLOOKUP($A63,'2022-23 Salary &amp; Benefits'!$A:$I,4,FALSE)</f>
        <v>1.1499999999999999</v>
      </c>
      <c r="M63" s="39">
        <f t="shared" si="7"/>
        <v>0</v>
      </c>
      <c r="N63" s="24">
        <v>15</v>
      </c>
      <c r="O63" s="26">
        <f t="shared" si="4"/>
        <v>0</v>
      </c>
      <c r="P63" s="24">
        <v>1.1000000000000001</v>
      </c>
      <c r="Q63" s="24">
        <v>36</v>
      </c>
      <c r="R63" s="27">
        <f t="shared" si="5"/>
        <v>0</v>
      </c>
      <c r="S63" s="102">
        <f t="shared" si="8"/>
        <v>0</v>
      </c>
      <c r="T63" s="21">
        <f>VLOOKUP($A63,'2022-23 Salary &amp; Benefits'!$A:$I,5,FALSE)</f>
        <v>68937</v>
      </c>
      <c r="U63" s="21">
        <f>VLOOKUP($A63,'2022-23 Salary &amp; Benefits'!$A:$I,6,FALSE)</f>
        <v>72728</v>
      </c>
      <c r="V63" s="22">
        <f t="shared" si="9"/>
        <v>0</v>
      </c>
      <c r="W63" s="22">
        <f t="shared" si="10"/>
        <v>0</v>
      </c>
      <c r="X63" s="22">
        <f>'2022-23 Salary &amp; Benefits'!$G$6</f>
        <v>12558.24</v>
      </c>
      <c r="Y63" s="23">
        <f>'2022-23 Salary &amp; Benefits'!$H$6</f>
        <v>0.2298</v>
      </c>
      <c r="Z63" s="23">
        <f>'2022-23 Salary &amp; Benefits'!$I$6</f>
        <v>0.22339999999999999</v>
      </c>
      <c r="AA63" s="22">
        <f t="shared" si="11"/>
        <v>0</v>
      </c>
      <c r="AB63" s="22">
        <f t="shared" si="12"/>
        <v>0</v>
      </c>
      <c r="AC63" s="22">
        <f t="shared" si="13"/>
        <v>0</v>
      </c>
      <c r="AD63" s="22">
        <f t="shared" si="14"/>
        <v>0</v>
      </c>
      <c r="AE63" s="22">
        <f t="shared" si="15"/>
        <v>0</v>
      </c>
      <c r="AF63" s="19" t="str">
        <f>VLOOKUP(C63,'2021-22 School Level AAFTE'!C:N,12,FALSE)</f>
        <v>No</v>
      </c>
    </row>
    <row r="64" spans="1:32" s="19" customFormat="1">
      <c r="A64" s="97" t="s">
        <v>2359</v>
      </c>
      <c r="B64" s="97" t="s">
        <v>808</v>
      </c>
      <c r="C64" s="95">
        <v>5051</v>
      </c>
      <c r="D64" s="95" t="s">
        <v>824</v>
      </c>
      <c r="E64" s="129">
        <f>VLOOKUP($C64,'2021-22 School Level AAFTE'!$C:$Z,11,FALSE)</f>
        <v>0.28883333333333333</v>
      </c>
      <c r="F64" s="129" t="str">
        <f>VLOOKUP($C64,'2021-22 School Level AAFTE'!$C:$Z,8,FALSE)</f>
        <v>No</v>
      </c>
      <c r="G64" s="129" t="str">
        <f>VLOOKUP($C64,'2021-22 School Level AAFTE'!$C:$Z,12,FALSE)</f>
        <v>No</v>
      </c>
      <c r="H64" s="127">
        <f>VLOOKUP($C64,'2021-22 School Level AAFTE'!$C:$I,7,FALSE)</f>
        <v>524.74</v>
      </c>
      <c r="I64" s="112">
        <f>IFERROR(IF(OR(G64="yes",F64= "yes"),VLOOKUP(C64,Summary!$B:$J,6,0),0),0)</f>
        <v>0</v>
      </c>
      <c r="J64" s="111">
        <f t="shared" si="6"/>
        <v>0</v>
      </c>
      <c r="K64" s="91">
        <f>VLOOKUP($A64,'2022-23 Salary &amp; Benefits'!$A:$I,3,FALSE)</f>
        <v>1.1499999999999999</v>
      </c>
      <c r="L64" s="91">
        <f>VLOOKUP($A64,'2022-23 Salary &amp; Benefits'!$A:$I,4,FALSE)</f>
        <v>1.1499999999999999</v>
      </c>
      <c r="M64" s="39">
        <f t="shared" si="7"/>
        <v>0</v>
      </c>
      <c r="N64" s="24">
        <v>15</v>
      </c>
      <c r="O64" s="26">
        <f t="shared" si="4"/>
        <v>0</v>
      </c>
      <c r="P64" s="24">
        <v>1.1000000000000001</v>
      </c>
      <c r="Q64" s="24">
        <v>36</v>
      </c>
      <c r="R64" s="27">
        <f t="shared" si="5"/>
        <v>0</v>
      </c>
      <c r="S64" s="102">
        <f t="shared" si="8"/>
        <v>0</v>
      </c>
      <c r="T64" s="21">
        <f>VLOOKUP($A64,'2022-23 Salary &amp; Benefits'!$A:$I,5,FALSE)</f>
        <v>68937</v>
      </c>
      <c r="U64" s="21">
        <f>VLOOKUP($A64,'2022-23 Salary &amp; Benefits'!$A:$I,6,FALSE)</f>
        <v>72728</v>
      </c>
      <c r="V64" s="22">
        <f t="shared" si="9"/>
        <v>0</v>
      </c>
      <c r="W64" s="22">
        <f t="shared" si="10"/>
        <v>0</v>
      </c>
      <c r="X64" s="22">
        <f>'2022-23 Salary &amp; Benefits'!$G$6</f>
        <v>12558.24</v>
      </c>
      <c r="Y64" s="23">
        <f>'2022-23 Salary &amp; Benefits'!$H$6</f>
        <v>0.2298</v>
      </c>
      <c r="Z64" s="23">
        <f>'2022-23 Salary &amp; Benefits'!$I$6</f>
        <v>0.22339999999999999</v>
      </c>
      <c r="AA64" s="22">
        <f t="shared" si="11"/>
        <v>0</v>
      </c>
      <c r="AB64" s="22">
        <f t="shared" si="12"/>
        <v>0</v>
      </c>
      <c r="AC64" s="22">
        <f t="shared" si="13"/>
        <v>0</v>
      </c>
      <c r="AD64" s="22">
        <f t="shared" si="14"/>
        <v>0</v>
      </c>
      <c r="AE64" s="22">
        <f t="shared" si="15"/>
        <v>0</v>
      </c>
      <c r="AF64" s="19" t="str">
        <f>VLOOKUP(C64,'2021-22 School Level AAFTE'!C:N,12,FALSE)</f>
        <v>No</v>
      </c>
    </row>
    <row r="65" spans="1:32" s="19" customFormat="1">
      <c r="A65" s="97" t="s">
        <v>2359</v>
      </c>
      <c r="B65" s="97" t="s">
        <v>808</v>
      </c>
      <c r="C65" s="95">
        <v>5082</v>
      </c>
      <c r="D65" s="95" t="s">
        <v>825</v>
      </c>
      <c r="E65" s="129">
        <f>VLOOKUP($C65,'2021-22 School Level AAFTE'!$C:$Z,11,FALSE)</f>
        <v>0.53336666666666677</v>
      </c>
      <c r="F65" s="129" t="str">
        <f>VLOOKUP($C65,'2021-22 School Level AAFTE'!$C:$Z,8,FALSE)</f>
        <v>Yes</v>
      </c>
      <c r="G65" s="129" t="str">
        <f>VLOOKUP($C65,'2021-22 School Level AAFTE'!$C:$Z,12,FALSE)</f>
        <v>No</v>
      </c>
      <c r="H65" s="127">
        <f>VLOOKUP($C65,'2021-22 School Level AAFTE'!$C:$I,7,FALSE)</f>
        <v>482.29</v>
      </c>
      <c r="I65" s="112">
        <f>IFERROR(IF(OR(G65="yes",F65= "yes"),VLOOKUP(C65,Summary!$B:$J,6,0),0),0)</f>
        <v>0</v>
      </c>
      <c r="J65" s="111">
        <f t="shared" si="6"/>
        <v>482.29</v>
      </c>
      <c r="K65" s="91">
        <f>VLOOKUP($A65,'2022-23 Salary &amp; Benefits'!$A:$I,3,FALSE)</f>
        <v>1.1499999999999999</v>
      </c>
      <c r="L65" s="91">
        <f>VLOOKUP($A65,'2022-23 Salary &amp; Benefits'!$A:$I,4,FALSE)</f>
        <v>1.1499999999999999</v>
      </c>
      <c r="M65" s="39">
        <f t="shared" si="7"/>
        <v>482.29</v>
      </c>
      <c r="N65" s="24">
        <v>15</v>
      </c>
      <c r="O65" s="26">
        <f t="shared" si="4"/>
        <v>32.152666666666669</v>
      </c>
      <c r="P65" s="24">
        <v>1.1000000000000001</v>
      </c>
      <c r="Q65" s="24">
        <v>36</v>
      </c>
      <c r="R65" s="27">
        <f t="shared" si="5"/>
        <v>1273.2456000000002</v>
      </c>
      <c r="S65" s="102">
        <f t="shared" si="8"/>
        <v>1.415</v>
      </c>
      <c r="T65" s="21">
        <f>VLOOKUP($A65,'2022-23 Salary &amp; Benefits'!$A:$I,5,FALSE)</f>
        <v>68937</v>
      </c>
      <c r="U65" s="21">
        <f>VLOOKUP($A65,'2022-23 Salary &amp; Benefits'!$A:$I,6,FALSE)</f>
        <v>72728</v>
      </c>
      <c r="V65" s="22">
        <f t="shared" si="9"/>
        <v>112177.73</v>
      </c>
      <c r="W65" s="22">
        <f t="shared" si="10"/>
        <v>6168.9100000000035</v>
      </c>
      <c r="X65" s="22">
        <f>'2022-23 Salary &amp; Benefits'!$G$6</f>
        <v>12558.24</v>
      </c>
      <c r="Y65" s="23">
        <f>'2022-23 Salary &amp; Benefits'!$H$6</f>
        <v>0.2298</v>
      </c>
      <c r="Z65" s="23">
        <f>'2022-23 Salary &amp; Benefits'!$I$6</f>
        <v>0.22339999999999999</v>
      </c>
      <c r="AA65" s="22">
        <f t="shared" si="11"/>
        <v>44926.49</v>
      </c>
      <c r="AB65" s="22">
        <f t="shared" si="12"/>
        <v>1972.44</v>
      </c>
      <c r="AC65" s="22">
        <f t="shared" si="13"/>
        <v>440.64</v>
      </c>
      <c r="AD65" s="22">
        <f t="shared" si="14"/>
        <v>2413.08</v>
      </c>
      <c r="AE65" s="22">
        <f t="shared" si="15"/>
        <v>165686.21</v>
      </c>
      <c r="AF65" s="19" t="str">
        <f>VLOOKUP(C65,'2021-22 School Level AAFTE'!C:N,12,FALSE)</f>
        <v>No</v>
      </c>
    </row>
    <row r="66" spans="1:32" s="19" customFormat="1">
      <c r="A66" s="97" t="s">
        <v>2359</v>
      </c>
      <c r="B66" s="97" t="s">
        <v>808</v>
      </c>
      <c r="C66" s="95">
        <v>5610</v>
      </c>
      <c r="D66" s="95" t="s">
        <v>2862</v>
      </c>
      <c r="E66" s="129">
        <f>VLOOKUP($C66,'2021-22 School Level AAFTE'!$C:$Z,11,FALSE)</f>
        <v>0.34160000000000001</v>
      </c>
      <c r="F66" s="129" t="str">
        <f>VLOOKUP($C66,'2021-22 School Level AAFTE'!$C:$Z,8,FALSE)</f>
        <v>No</v>
      </c>
      <c r="G66" s="129" t="str">
        <f>VLOOKUP($C66,'2021-22 School Level AAFTE'!$C:$Z,12,FALSE)</f>
        <v>No</v>
      </c>
      <c r="H66" s="127">
        <f>VLOOKUP($C66,'2021-22 School Level AAFTE'!$C:$I,7,FALSE)</f>
        <v>393.4</v>
      </c>
      <c r="I66" s="112">
        <f>IFERROR(IF(OR(G66="yes",F66= "yes"),VLOOKUP(C66,Summary!$B:$J,6,0),0),0)</f>
        <v>0</v>
      </c>
      <c r="J66" s="111">
        <f t="shared" si="6"/>
        <v>0</v>
      </c>
      <c r="K66" s="91">
        <f>VLOOKUP($A66,'2022-23 Salary &amp; Benefits'!$A:$I,3,FALSE)</f>
        <v>1.1499999999999999</v>
      </c>
      <c r="L66" s="91">
        <f>VLOOKUP($A66,'2022-23 Salary &amp; Benefits'!$A:$I,4,FALSE)</f>
        <v>1.1499999999999999</v>
      </c>
      <c r="M66" s="39">
        <f t="shared" si="7"/>
        <v>0</v>
      </c>
      <c r="N66" s="24">
        <v>15</v>
      </c>
      <c r="O66" s="26">
        <f t="shared" si="4"/>
        <v>0</v>
      </c>
      <c r="P66" s="24">
        <v>1.1000000000000001</v>
      </c>
      <c r="Q66" s="24">
        <v>36</v>
      </c>
      <c r="R66" s="27">
        <f t="shared" si="5"/>
        <v>0</v>
      </c>
      <c r="S66" s="102">
        <f t="shared" si="8"/>
        <v>0</v>
      </c>
      <c r="T66" s="21">
        <f>VLOOKUP($A66,'2022-23 Salary &amp; Benefits'!$A:$I,5,FALSE)</f>
        <v>68937</v>
      </c>
      <c r="U66" s="21">
        <f>VLOOKUP($A66,'2022-23 Salary &amp; Benefits'!$A:$I,6,FALSE)</f>
        <v>72728</v>
      </c>
      <c r="V66" s="22">
        <f t="shared" si="9"/>
        <v>0</v>
      </c>
      <c r="W66" s="22">
        <f t="shared" si="10"/>
        <v>0</v>
      </c>
      <c r="X66" s="22">
        <f>'2022-23 Salary &amp; Benefits'!$G$6</f>
        <v>12558.24</v>
      </c>
      <c r="Y66" s="23">
        <f>'2022-23 Salary &amp; Benefits'!$H$6</f>
        <v>0.2298</v>
      </c>
      <c r="Z66" s="23">
        <f>'2022-23 Salary &amp; Benefits'!$I$6</f>
        <v>0.22339999999999999</v>
      </c>
      <c r="AA66" s="22">
        <f t="shared" si="11"/>
        <v>0</v>
      </c>
      <c r="AB66" s="22">
        <f t="shared" si="12"/>
        <v>0</v>
      </c>
      <c r="AC66" s="22">
        <f t="shared" si="13"/>
        <v>0</v>
      </c>
      <c r="AD66" s="22">
        <f t="shared" si="14"/>
        <v>0</v>
      </c>
      <c r="AE66" s="22">
        <f t="shared" si="15"/>
        <v>0</v>
      </c>
      <c r="AF66" s="19" t="str">
        <f>VLOOKUP(C66,'2021-22 School Level AAFTE'!C:N,12,FALSE)</f>
        <v>No</v>
      </c>
    </row>
    <row r="67" spans="1:32" s="19" customFormat="1">
      <c r="A67" s="97" t="s">
        <v>2359</v>
      </c>
      <c r="B67" s="97" t="s">
        <v>808</v>
      </c>
      <c r="C67" s="95">
        <v>5664</v>
      </c>
      <c r="D67" s="95" t="s">
        <v>2999</v>
      </c>
      <c r="E67" s="129">
        <f>VLOOKUP($C67,'2021-22 School Level AAFTE'!$C:$Z,11,FALSE)</f>
        <v>0.60429999999999995</v>
      </c>
      <c r="F67" s="129" t="str">
        <f>VLOOKUP($C67,'2021-22 School Level AAFTE'!$C:$Z,8,FALSE)</f>
        <v>Yes</v>
      </c>
      <c r="G67" s="129" t="str">
        <f>VLOOKUP($C67,'2021-22 School Level AAFTE'!$C:$Z,12,FALSE)</f>
        <v>No</v>
      </c>
      <c r="H67" s="127">
        <f>VLOOKUP($C67,'2021-22 School Level AAFTE'!$C:$I,7,FALSE)</f>
        <v>634.3599999999999</v>
      </c>
      <c r="I67" s="112">
        <f>IFERROR(IF(OR(G67="yes",F67= "yes"),VLOOKUP(C67,Summary!$B:$J,6,0),0),0)</f>
        <v>0</v>
      </c>
      <c r="J67" s="111">
        <f t="shared" si="6"/>
        <v>634.3599999999999</v>
      </c>
      <c r="K67" s="91">
        <f>VLOOKUP($A67,'2022-23 Salary &amp; Benefits'!$A:$I,3,FALSE)</f>
        <v>1.1499999999999999</v>
      </c>
      <c r="L67" s="91">
        <f>VLOOKUP($A67,'2022-23 Salary &amp; Benefits'!$A:$I,4,FALSE)</f>
        <v>1.1499999999999999</v>
      </c>
      <c r="M67" s="39">
        <f t="shared" si="7"/>
        <v>634.3599999999999</v>
      </c>
      <c r="N67" s="24">
        <v>15</v>
      </c>
      <c r="O67" s="26">
        <f t="shared" si="4"/>
        <v>42.29066666666666</v>
      </c>
      <c r="P67" s="24">
        <v>1.1000000000000001</v>
      </c>
      <c r="Q67" s="24">
        <v>36</v>
      </c>
      <c r="R67" s="27">
        <f t="shared" si="5"/>
        <v>1674.7103999999997</v>
      </c>
      <c r="S67" s="102">
        <f t="shared" si="8"/>
        <v>1.861</v>
      </c>
      <c r="T67" s="21">
        <f>VLOOKUP($A67,'2022-23 Salary &amp; Benefits'!$A:$I,5,FALSE)</f>
        <v>68937</v>
      </c>
      <c r="U67" s="21">
        <f>VLOOKUP($A67,'2022-23 Salary &amp; Benefits'!$A:$I,6,FALSE)</f>
        <v>72728</v>
      </c>
      <c r="V67" s="22">
        <f t="shared" si="9"/>
        <v>147535.51999999999</v>
      </c>
      <c r="W67" s="22">
        <f t="shared" si="10"/>
        <v>8113.3099999999977</v>
      </c>
      <c r="X67" s="22">
        <f>'2022-23 Salary &amp; Benefits'!$G$6</f>
        <v>12558.24</v>
      </c>
      <c r="Y67" s="23">
        <f>'2022-23 Salary &amp; Benefits'!$H$6</f>
        <v>0.2298</v>
      </c>
      <c r="Z67" s="23">
        <f>'2022-23 Salary &amp; Benefits'!$I$6</f>
        <v>0.22339999999999999</v>
      </c>
      <c r="AA67" s="22">
        <f t="shared" si="11"/>
        <v>59087.06</v>
      </c>
      <c r="AB67" s="22">
        <f t="shared" si="12"/>
        <v>2594.15</v>
      </c>
      <c r="AC67" s="22">
        <f t="shared" si="13"/>
        <v>579.53</v>
      </c>
      <c r="AD67" s="22">
        <f t="shared" si="14"/>
        <v>3173.6800000000003</v>
      </c>
      <c r="AE67" s="22">
        <f t="shared" si="15"/>
        <v>217909.56999999998</v>
      </c>
      <c r="AF67" s="19" t="str">
        <f>VLOOKUP(C67,'2021-22 School Level AAFTE'!C:N,12,FALSE)</f>
        <v>No</v>
      </c>
    </row>
    <row r="68" spans="1:32" s="19" customFormat="1">
      <c r="A68" s="97" t="s">
        <v>2372</v>
      </c>
      <c r="B68" s="97" t="s">
        <v>1028</v>
      </c>
      <c r="C68" s="95">
        <v>1699</v>
      </c>
      <c r="D68" s="95" t="s">
        <v>1029</v>
      </c>
      <c r="E68" s="129">
        <f>VLOOKUP($C68,'2021-22 School Level AAFTE'!$C:$Z,11,FALSE)</f>
        <v>6.2233333333333335E-2</v>
      </c>
      <c r="F68" s="129" t="str">
        <f>VLOOKUP($C68,'2021-22 School Level AAFTE'!$C:$Z,8,FALSE)</f>
        <v>No</v>
      </c>
      <c r="G68" s="129" t="str">
        <f>VLOOKUP($C68,'2021-22 School Level AAFTE'!$C:$Z,12,FALSE)</f>
        <v>No</v>
      </c>
      <c r="H68" s="127">
        <f>VLOOKUP($C68,'2021-22 School Level AAFTE'!$C:$I,7,FALSE)</f>
        <v>190.17</v>
      </c>
      <c r="I68" s="112">
        <f>IFERROR(IF(OR(G68="yes",F68= "yes"),VLOOKUP(C68,Summary!$B:$J,6,0),0),0)</f>
        <v>0</v>
      </c>
      <c r="J68" s="111">
        <f t="shared" si="6"/>
        <v>0</v>
      </c>
      <c r="K68" s="91">
        <f>VLOOKUP($A68,'2022-23 Salary &amp; Benefits'!$A:$I,3,FALSE)</f>
        <v>1.18</v>
      </c>
      <c r="L68" s="91">
        <f>VLOOKUP($A68,'2022-23 Salary &amp; Benefits'!$A:$I,4,FALSE)</f>
        <v>1.18</v>
      </c>
      <c r="M68" s="39">
        <f t="shared" si="7"/>
        <v>0</v>
      </c>
      <c r="N68" s="24">
        <v>15</v>
      </c>
      <c r="O68" s="26">
        <f t="shared" si="4"/>
        <v>0</v>
      </c>
      <c r="P68" s="24">
        <v>1.1000000000000001</v>
      </c>
      <c r="Q68" s="24">
        <v>36</v>
      </c>
      <c r="R68" s="27">
        <f t="shared" si="5"/>
        <v>0</v>
      </c>
      <c r="S68" s="102">
        <f t="shared" si="8"/>
        <v>0</v>
      </c>
      <c r="T68" s="21">
        <f>VLOOKUP($A68,'2022-23 Salary &amp; Benefits'!$A:$I,5,FALSE)</f>
        <v>68937</v>
      </c>
      <c r="U68" s="21">
        <f>VLOOKUP($A68,'2022-23 Salary &amp; Benefits'!$A:$I,6,FALSE)</f>
        <v>72728</v>
      </c>
      <c r="V68" s="22">
        <f t="shared" si="9"/>
        <v>0</v>
      </c>
      <c r="W68" s="22">
        <f t="shared" si="10"/>
        <v>0</v>
      </c>
      <c r="X68" s="22">
        <f>'2022-23 Salary &amp; Benefits'!$G$6</f>
        <v>12558.24</v>
      </c>
      <c r="Y68" s="23">
        <f>'2022-23 Salary &amp; Benefits'!$H$6</f>
        <v>0.2298</v>
      </c>
      <c r="Z68" s="23">
        <f>'2022-23 Salary &amp; Benefits'!$I$6</f>
        <v>0.22339999999999999</v>
      </c>
      <c r="AA68" s="22">
        <f t="shared" si="11"/>
        <v>0</v>
      </c>
      <c r="AB68" s="22">
        <f t="shared" si="12"/>
        <v>0</v>
      </c>
      <c r="AC68" s="22">
        <f t="shared" si="13"/>
        <v>0</v>
      </c>
      <c r="AD68" s="22">
        <f t="shared" si="14"/>
        <v>0</v>
      </c>
      <c r="AE68" s="22">
        <f t="shared" si="15"/>
        <v>0</v>
      </c>
      <c r="AF68" s="19" t="str">
        <f>VLOOKUP(C68,'2021-22 School Level AAFTE'!C:N,12,FALSE)</f>
        <v>No</v>
      </c>
    </row>
    <row r="69" spans="1:32" s="19" customFormat="1">
      <c r="A69" s="97" t="s">
        <v>2372</v>
      </c>
      <c r="B69" s="97" t="s">
        <v>1028</v>
      </c>
      <c r="C69" s="95">
        <v>1841</v>
      </c>
      <c r="D69" s="95" t="s">
        <v>1030</v>
      </c>
      <c r="E69" s="129">
        <f>VLOOKUP($C69,'2021-22 School Level AAFTE'!$C:$Z,11,FALSE)</f>
        <v>0.12309999999999999</v>
      </c>
      <c r="F69" s="129" t="str">
        <f>VLOOKUP($C69,'2021-22 School Level AAFTE'!$C:$Z,8,FALSE)</f>
        <v>No</v>
      </c>
      <c r="G69" s="129" t="str">
        <f>VLOOKUP($C69,'2021-22 School Level AAFTE'!$C:$Z,12,FALSE)</f>
        <v>No</v>
      </c>
      <c r="H69" s="127">
        <f>VLOOKUP($C69,'2021-22 School Level AAFTE'!$C:$I,7,FALSE)</f>
        <v>83.48</v>
      </c>
      <c r="I69" s="112">
        <f>IFERROR(IF(OR(G69="yes",F69= "yes"),VLOOKUP(C69,Summary!$B:$J,6,0),0),0)</f>
        <v>0</v>
      </c>
      <c r="J69" s="111">
        <f t="shared" si="6"/>
        <v>0</v>
      </c>
      <c r="K69" s="91">
        <f>VLOOKUP($A69,'2022-23 Salary &amp; Benefits'!$A:$I,3,FALSE)</f>
        <v>1.18</v>
      </c>
      <c r="L69" s="91">
        <f>VLOOKUP($A69,'2022-23 Salary &amp; Benefits'!$A:$I,4,FALSE)</f>
        <v>1.18</v>
      </c>
      <c r="M69" s="39">
        <f t="shared" si="7"/>
        <v>0</v>
      </c>
      <c r="N69" s="24">
        <v>15</v>
      </c>
      <c r="O69" s="26">
        <f t="shared" si="4"/>
        <v>0</v>
      </c>
      <c r="P69" s="24">
        <v>1.1000000000000001</v>
      </c>
      <c r="Q69" s="24">
        <v>36</v>
      </c>
      <c r="R69" s="27">
        <f t="shared" si="5"/>
        <v>0</v>
      </c>
      <c r="S69" s="102">
        <f t="shared" si="8"/>
        <v>0</v>
      </c>
      <c r="T69" s="21">
        <f>VLOOKUP($A69,'2022-23 Salary &amp; Benefits'!$A:$I,5,FALSE)</f>
        <v>68937</v>
      </c>
      <c r="U69" s="21">
        <f>VLOOKUP($A69,'2022-23 Salary &amp; Benefits'!$A:$I,6,FALSE)</f>
        <v>72728</v>
      </c>
      <c r="V69" s="22">
        <f t="shared" si="9"/>
        <v>0</v>
      </c>
      <c r="W69" s="22">
        <f t="shared" si="10"/>
        <v>0</v>
      </c>
      <c r="X69" s="22">
        <f>'2022-23 Salary &amp; Benefits'!$G$6</f>
        <v>12558.24</v>
      </c>
      <c r="Y69" s="23">
        <f>'2022-23 Salary &amp; Benefits'!$H$6</f>
        <v>0.2298</v>
      </c>
      <c r="Z69" s="23">
        <f>'2022-23 Salary &amp; Benefits'!$I$6</f>
        <v>0.22339999999999999</v>
      </c>
      <c r="AA69" s="22">
        <f t="shared" si="11"/>
        <v>0</v>
      </c>
      <c r="AB69" s="22">
        <f t="shared" si="12"/>
        <v>0</v>
      </c>
      <c r="AC69" s="22">
        <f t="shared" si="13"/>
        <v>0</v>
      </c>
      <c r="AD69" s="22">
        <f t="shared" si="14"/>
        <v>0</v>
      </c>
      <c r="AE69" s="22">
        <f t="shared" si="15"/>
        <v>0</v>
      </c>
      <c r="AF69" s="19" t="str">
        <f>VLOOKUP(C69,'2021-22 School Level AAFTE'!C:N,12,FALSE)</f>
        <v>No</v>
      </c>
    </row>
    <row r="70" spans="1:32" s="19" customFormat="1">
      <c r="A70" s="97" t="s">
        <v>2372</v>
      </c>
      <c r="B70" s="97" t="s">
        <v>1028</v>
      </c>
      <c r="C70" s="95">
        <v>1935</v>
      </c>
      <c r="D70" s="95" t="s">
        <v>1031</v>
      </c>
      <c r="E70" s="129">
        <f>VLOOKUP($C70,'2021-22 School Level AAFTE'!$C:$Z,11,FALSE)</f>
        <v>0.16173333333333331</v>
      </c>
      <c r="F70" s="129" t="str">
        <f>VLOOKUP($C70,'2021-22 School Level AAFTE'!$C:$Z,8,FALSE)</f>
        <v>No</v>
      </c>
      <c r="G70" s="129" t="str">
        <f>VLOOKUP($C70,'2021-22 School Level AAFTE'!$C:$Z,12,FALSE)</f>
        <v>No</v>
      </c>
      <c r="H70" s="127">
        <f>VLOOKUP($C70,'2021-22 School Level AAFTE'!$C:$I,7,FALSE)</f>
        <v>91.91</v>
      </c>
      <c r="I70" s="112">
        <f>IFERROR(IF(OR(G70="yes",F70= "yes"),VLOOKUP(C70,Summary!$B:$J,6,0),0),0)</f>
        <v>0</v>
      </c>
      <c r="J70" s="111">
        <f t="shared" si="6"/>
        <v>0</v>
      </c>
      <c r="K70" s="91">
        <f>VLOOKUP($A70,'2022-23 Salary &amp; Benefits'!$A:$I,3,FALSE)</f>
        <v>1.18</v>
      </c>
      <c r="L70" s="91">
        <f>VLOOKUP($A70,'2022-23 Salary &amp; Benefits'!$A:$I,4,FALSE)</f>
        <v>1.18</v>
      </c>
      <c r="M70" s="101">
        <f t="shared" si="7"/>
        <v>0</v>
      </c>
      <c r="N70" s="24">
        <v>15</v>
      </c>
      <c r="O70" s="26">
        <f t="shared" si="4"/>
        <v>0</v>
      </c>
      <c r="P70" s="24">
        <v>1.1000000000000001</v>
      </c>
      <c r="Q70" s="24">
        <v>36</v>
      </c>
      <c r="R70" s="27">
        <f t="shared" si="5"/>
        <v>0</v>
      </c>
      <c r="S70" s="102">
        <f t="shared" si="8"/>
        <v>0</v>
      </c>
      <c r="T70" s="21">
        <f>VLOOKUP($A70,'2022-23 Salary &amp; Benefits'!$A:$I,5,FALSE)</f>
        <v>68937</v>
      </c>
      <c r="U70" s="21">
        <f>VLOOKUP($A70,'2022-23 Salary &amp; Benefits'!$A:$I,6,FALSE)</f>
        <v>72728</v>
      </c>
      <c r="V70" s="22">
        <f t="shared" si="9"/>
        <v>0</v>
      </c>
      <c r="W70" s="22">
        <f t="shared" si="10"/>
        <v>0</v>
      </c>
      <c r="X70" s="22">
        <f>'2022-23 Salary &amp; Benefits'!$G$6</f>
        <v>12558.24</v>
      </c>
      <c r="Y70" s="23">
        <f>'2022-23 Salary &amp; Benefits'!$H$6</f>
        <v>0.2298</v>
      </c>
      <c r="Z70" s="23">
        <f>'2022-23 Salary &amp; Benefits'!$I$6</f>
        <v>0.22339999999999999</v>
      </c>
      <c r="AA70" s="22">
        <f t="shared" si="11"/>
        <v>0</v>
      </c>
      <c r="AB70" s="22">
        <f t="shared" si="12"/>
        <v>0</v>
      </c>
      <c r="AC70" s="22">
        <f t="shared" si="13"/>
        <v>0</v>
      </c>
      <c r="AD70" s="22">
        <f t="shared" si="14"/>
        <v>0</v>
      </c>
      <c r="AE70" s="22">
        <f t="shared" si="15"/>
        <v>0</v>
      </c>
      <c r="AF70" s="19" t="str">
        <f>VLOOKUP(C70,'2021-22 School Level AAFTE'!C:N,12,FALSE)</f>
        <v>No</v>
      </c>
    </row>
    <row r="71" spans="1:32" s="19" customFormat="1">
      <c r="A71" s="97" t="s">
        <v>2372</v>
      </c>
      <c r="B71" s="97" t="s">
        <v>1028</v>
      </c>
      <c r="C71" s="95">
        <v>1939</v>
      </c>
      <c r="D71" s="95" t="s">
        <v>1032</v>
      </c>
      <c r="E71" s="129">
        <f>VLOOKUP($C71,'2021-22 School Level AAFTE'!$C:$Z,11,FALSE)</f>
        <v>1.9599999999999999E-2</v>
      </c>
      <c r="F71" s="129" t="str">
        <f>VLOOKUP($C71,'2021-22 School Level AAFTE'!$C:$Z,8,FALSE)</f>
        <v>No</v>
      </c>
      <c r="G71" s="129" t="str">
        <f>VLOOKUP($C71,'2021-22 School Level AAFTE'!$C:$Z,12,FALSE)</f>
        <v>No</v>
      </c>
      <c r="H71" s="127">
        <f>VLOOKUP($C71,'2021-22 School Level AAFTE'!$C:$I,7,FALSE)</f>
        <v>5.08</v>
      </c>
      <c r="I71" s="112">
        <f>IFERROR(IF(OR(G71="yes",F71= "yes"),VLOOKUP(C71,Summary!$B:$J,6,0),0),0)</f>
        <v>0</v>
      </c>
      <c r="J71" s="111">
        <f t="shared" si="6"/>
        <v>0</v>
      </c>
      <c r="K71" s="91">
        <f>VLOOKUP($A71,'2022-23 Salary &amp; Benefits'!$A:$I,3,FALSE)</f>
        <v>1.18</v>
      </c>
      <c r="L71" s="91">
        <f>VLOOKUP($A71,'2022-23 Salary &amp; Benefits'!$A:$I,4,FALSE)</f>
        <v>1.18</v>
      </c>
      <c r="M71" s="101">
        <f t="shared" ref="M71:M133" si="16">IF(I71&gt;0,I71,J71)</f>
        <v>0</v>
      </c>
      <c r="N71" s="24">
        <v>15</v>
      </c>
      <c r="O71" s="26">
        <f t="shared" si="4"/>
        <v>0</v>
      </c>
      <c r="P71" s="24">
        <v>1.1000000000000001</v>
      </c>
      <c r="Q71" s="24">
        <v>36</v>
      </c>
      <c r="R71" s="27">
        <f t="shared" si="5"/>
        <v>0</v>
      </c>
      <c r="S71" s="102">
        <f t="shared" si="8"/>
        <v>0</v>
      </c>
      <c r="T71" s="21">
        <f>VLOOKUP($A71,'2022-23 Salary &amp; Benefits'!$A:$I,5,FALSE)</f>
        <v>68937</v>
      </c>
      <c r="U71" s="21">
        <f>VLOOKUP($A71,'2022-23 Salary &amp; Benefits'!$A:$I,6,FALSE)</f>
        <v>72728</v>
      </c>
      <c r="V71" s="22">
        <f t="shared" si="9"/>
        <v>0</v>
      </c>
      <c r="W71" s="22">
        <f t="shared" si="10"/>
        <v>0</v>
      </c>
      <c r="X71" s="22">
        <f>'2022-23 Salary &amp; Benefits'!$G$6</f>
        <v>12558.24</v>
      </c>
      <c r="Y71" s="23">
        <f>'2022-23 Salary &amp; Benefits'!$H$6</f>
        <v>0.2298</v>
      </c>
      <c r="Z71" s="23">
        <f>'2022-23 Salary &amp; Benefits'!$I$6</f>
        <v>0.22339999999999999</v>
      </c>
      <c r="AA71" s="22">
        <f t="shared" si="11"/>
        <v>0</v>
      </c>
      <c r="AB71" s="22">
        <f t="shared" si="12"/>
        <v>0</v>
      </c>
      <c r="AC71" s="22">
        <f t="shared" si="13"/>
        <v>0</v>
      </c>
      <c r="AD71" s="22">
        <f t="shared" ref="AD71:AD133" si="17">SUM(AB71:AC71)</f>
        <v>0</v>
      </c>
      <c r="AE71" s="22">
        <f t="shared" ref="AE71:AE133" si="18">SUM(AA71,V71:W71,AD71)</f>
        <v>0</v>
      </c>
      <c r="AF71" s="19" t="str">
        <f>VLOOKUP(C71,'2021-22 School Level AAFTE'!C:N,12,FALSE)</f>
        <v>No</v>
      </c>
    </row>
    <row r="72" spans="1:32" s="19" customFormat="1">
      <c r="A72" s="97" t="s">
        <v>2372</v>
      </c>
      <c r="B72" s="97" t="s">
        <v>1028</v>
      </c>
      <c r="C72" s="95">
        <v>2395</v>
      </c>
      <c r="D72" s="95" t="s">
        <v>1033</v>
      </c>
      <c r="E72" s="129">
        <f>VLOOKUP($C72,'2021-22 School Level AAFTE'!$C:$Z,11,FALSE)</f>
        <v>7.7766666666666664E-2</v>
      </c>
      <c r="F72" s="129" t="str">
        <f>VLOOKUP($C72,'2021-22 School Level AAFTE'!$C:$Z,8,FALSE)</f>
        <v>No</v>
      </c>
      <c r="G72" s="129" t="str">
        <f>VLOOKUP($C72,'2021-22 School Level AAFTE'!$C:$Z,12,FALSE)</f>
        <v>No</v>
      </c>
      <c r="H72" s="127">
        <f>VLOOKUP($C72,'2021-22 School Level AAFTE'!$C:$I,7,FALSE)</f>
        <v>1269.44</v>
      </c>
      <c r="I72" s="112">
        <f>IFERROR(IF(OR(G72="yes",F72= "yes"),VLOOKUP(C72,Summary!$B:$J,6,0),0),0)</f>
        <v>0</v>
      </c>
      <c r="J72" s="111">
        <f t="shared" si="6"/>
        <v>0</v>
      </c>
      <c r="K72" s="91">
        <f>VLOOKUP($A72,'2022-23 Salary &amp; Benefits'!$A:$I,3,FALSE)</f>
        <v>1.18</v>
      </c>
      <c r="L72" s="91">
        <f>VLOOKUP($A72,'2022-23 Salary &amp; Benefits'!$A:$I,4,FALSE)</f>
        <v>1.18</v>
      </c>
      <c r="M72" s="39">
        <f t="shared" si="16"/>
        <v>0</v>
      </c>
      <c r="N72" s="24">
        <v>15</v>
      </c>
      <c r="O72" s="26">
        <f t="shared" si="4"/>
        <v>0</v>
      </c>
      <c r="P72" s="24">
        <v>1.1000000000000001</v>
      </c>
      <c r="Q72" s="24">
        <v>36</v>
      </c>
      <c r="R72" s="27">
        <f t="shared" si="5"/>
        <v>0</v>
      </c>
      <c r="S72" s="102">
        <f t="shared" si="8"/>
        <v>0</v>
      </c>
      <c r="T72" s="21">
        <f>VLOOKUP($A72,'2022-23 Salary &amp; Benefits'!$A:$I,5,FALSE)</f>
        <v>68937</v>
      </c>
      <c r="U72" s="21">
        <f>VLOOKUP($A72,'2022-23 Salary &amp; Benefits'!$A:$I,6,FALSE)</f>
        <v>72728</v>
      </c>
      <c r="V72" s="22">
        <f t="shared" si="9"/>
        <v>0</v>
      </c>
      <c r="W72" s="22">
        <f t="shared" si="10"/>
        <v>0</v>
      </c>
      <c r="X72" s="22">
        <f>'2022-23 Salary &amp; Benefits'!$G$6</f>
        <v>12558.24</v>
      </c>
      <c r="Y72" s="23">
        <f>'2022-23 Salary &amp; Benefits'!$H$6</f>
        <v>0.2298</v>
      </c>
      <c r="Z72" s="23">
        <f>'2022-23 Salary &amp; Benefits'!$I$6</f>
        <v>0.22339999999999999</v>
      </c>
      <c r="AA72" s="22">
        <f t="shared" si="11"/>
        <v>0</v>
      </c>
      <c r="AB72" s="22">
        <f t="shared" si="12"/>
        <v>0</v>
      </c>
      <c r="AC72" s="22">
        <f t="shared" si="13"/>
        <v>0</v>
      </c>
      <c r="AD72" s="22">
        <f t="shared" si="17"/>
        <v>0</v>
      </c>
      <c r="AE72" s="22">
        <f t="shared" si="18"/>
        <v>0</v>
      </c>
      <c r="AF72" s="19" t="str">
        <f>VLOOKUP(C72,'2021-22 School Level AAFTE'!C:N,12,FALSE)</f>
        <v>No</v>
      </c>
    </row>
    <row r="73" spans="1:32" s="19" customFormat="1">
      <c r="A73" s="97" t="s">
        <v>2372</v>
      </c>
      <c r="B73" s="97" t="s">
        <v>1028</v>
      </c>
      <c r="C73" s="95">
        <v>3043</v>
      </c>
      <c r="D73" s="95" t="s">
        <v>1034</v>
      </c>
      <c r="E73" s="129">
        <f>VLOOKUP($C73,'2021-22 School Level AAFTE'!$C:$Z,11,FALSE)</f>
        <v>3.3466666666666665E-2</v>
      </c>
      <c r="F73" s="129" t="str">
        <f>VLOOKUP($C73,'2021-22 School Level AAFTE'!$C:$Z,8,FALSE)</f>
        <v>No</v>
      </c>
      <c r="G73" s="129" t="str">
        <f>VLOOKUP($C73,'2021-22 School Level AAFTE'!$C:$Z,12,FALSE)</f>
        <v>No</v>
      </c>
      <c r="H73" s="127">
        <f>VLOOKUP($C73,'2021-22 School Level AAFTE'!$C:$I,7,FALSE)</f>
        <v>318.2</v>
      </c>
      <c r="I73" s="112">
        <f>IFERROR(IF(OR(G73="yes",F73= "yes"),VLOOKUP(C73,Summary!$B:$J,6,0),0),0)</f>
        <v>0</v>
      </c>
      <c r="J73" s="111">
        <f t="shared" si="6"/>
        <v>0</v>
      </c>
      <c r="K73" s="91">
        <f>VLOOKUP($A73,'2022-23 Salary &amp; Benefits'!$A:$I,3,FALSE)</f>
        <v>1.18</v>
      </c>
      <c r="L73" s="91">
        <f>VLOOKUP($A73,'2022-23 Salary &amp; Benefits'!$A:$I,4,FALSE)</f>
        <v>1.18</v>
      </c>
      <c r="M73" s="39">
        <f t="shared" si="16"/>
        <v>0</v>
      </c>
      <c r="N73" s="24">
        <v>15</v>
      </c>
      <c r="O73" s="26">
        <f t="shared" si="4"/>
        <v>0</v>
      </c>
      <c r="P73" s="24">
        <v>1.1000000000000001</v>
      </c>
      <c r="Q73" s="24">
        <v>36</v>
      </c>
      <c r="R73" s="27">
        <f t="shared" si="5"/>
        <v>0</v>
      </c>
      <c r="S73" s="102">
        <f t="shared" si="8"/>
        <v>0</v>
      </c>
      <c r="T73" s="21">
        <f>VLOOKUP($A73,'2022-23 Salary &amp; Benefits'!$A:$I,5,FALSE)</f>
        <v>68937</v>
      </c>
      <c r="U73" s="21">
        <f>VLOOKUP($A73,'2022-23 Salary &amp; Benefits'!$A:$I,6,FALSE)</f>
        <v>72728</v>
      </c>
      <c r="V73" s="22">
        <f t="shared" si="9"/>
        <v>0</v>
      </c>
      <c r="W73" s="22">
        <f t="shared" si="10"/>
        <v>0</v>
      </c>
      <c r="X73" s="22">
        <f>'2022-23 Salary &amp; Benefits'!$G$6</f>
        <v>12558.24</v>
      </c>
      <c r="Y73" s="23">
        <f>'2022-23 Salary &amp; Benefits'!$H$6</f>
        <v>0.2298</v>
      </c>
      <c r="Z73" s="23">
        <f>'2022-23 Salary &amp; Benefits'!$I$6</f>
        <v>0.22339999999999999</v>
      </c>
      <c r="AA73" s="22">
        <f t="shared" si="11"/>
        <v>0</v>
      </c>
      <c r="AB73" s="22">
        <f t="shared" si="12"/>
        <v>0</v>
      </c>
      <c r="AC73" s="22">
        <f t="shared" si="13"/>
        <v>0</v>
      </c>
      <c r="AD73" s="22">
        <f t="shared" si="17"/>
        <v>0</v>
      </c>
      <c r="AE73" s="22">
        <f t="shared" si="18"/>
        <v>0</v>
      </c>
      <c r="AF73" s="19" t="str">
        <f>VLOOKUP(C73,'2021-22 School Level AAFTE'!C:N,12,FALSE)</f>
        <v>No</v>
      </c>
    </row>
    <row r="74" spans="1:32" s="19" customFormat="1">
      <c r="A74" s="97" t="s">
        <v>2372</v>
      </c>
      <c r="B74" s="97" t="s">
        <v>1028</v>
      </c>
      <c r="C74" s="95">
        <v>3552</v>
      </c>
      <c r="D74" s="95" t="s">
        <v>1035</v>
      </c>
      <c r="E74" s="129">
        <f>VLOOKUP($C74,'2021-22 School Level AAFTE'!$C:$Z,11,FALSE)</f>
        <v>4.1299999999999996E-2</v>
      </c>
      <c r="F74" s="129" t="str">
        <f>VLOOKUP($C74,'2021-22 School Level AAFTE'!$C:$Z,8,FALSE)</f>
        <v>No</v>
      </c>
      <c r="G74" s="129" t="str">
        <f>VLOOKUP($C74,'2021-22 School Level AAFTE'!$C:$Z,12,FALSE)</f>
        <v>No</v>
      </c>
      <c r="H74" s="127">
        <f>VLOOKUP($C74,'2021-22 School Level AAFTE'!$C:$I,7,FALSE)</f>
        <v>336.29</v>
      </c>
      <c r="I74" s="112">
        <f>IFERROR(IF(OR(G74="yes",F74= "yes"),VLOOKUP(C74,Summary!$B:$J,6,0),0),0)</f>
        <v>0</v>
      </c>
      <c r="J74" s="111">
        <f t="shared" si="6"/>
        <v>0</v>
      </c>
      <c r="K74" s="91">
        <f>VLOOKUP($A74,'2022-23 Salary &amp; Benefits'!$A:$I,3,FALSE)</f>
        <v>1.18</v>
      </c>
      <c r="L74" s="91">
        <f>VLOOKUP($A74,'2022-23 Salary &amp; Benefits'!$A:$I,4,FALSE)</f>
        <v>1.18</v>
      </c>
      <c r="M74" s="39">
        <f t="shared" si="16"/>
        <v>0</v>
      </c>
      <c r="N74" s="24">
        <v>15</v>
      </c>
      <c r="O74" s="26">
        <f t="shared" ref="O74:O137" si="19">IF(M74="no",0,M74/N74)</f>
        <v>0</v>
      </c>
      <c r="P74" s="24">
        <v>1.1000000000000001</v>
      </c>
      <c r="Q74" s="24">
        <v>36</v>
      </c>
      <c r="R74" s="27">
        <f t="shared" ref="R74:R137" si="20">IF(M74="no",0,O74*P74*Q74)</f>
        <v>0</v>
      </c>
      <c r="S74" s="102">
        <f t="shared" si="8"/>
        <v>0</v>
      </c>
      <c r="T74" s="21">
        <f>VLOOKUP($A74,'2022-23 Salary &amp; Benefits'!$A:$I,5,FALSE)</f>
        <v>68937</v>
      </c>
      <c r="U74" s="21">
        <f>VLOOKUP($A74,'2022-23 Salary &amp; Benefits'!$A:$I,6,FALSE)</f>
        <v>72728</v>
      </c>
      <c r="V74" s="22">
        <f t="shared" si="9"/>
        <v>0</v>
      </c>
      <c r="W74" s="22">
        <f t="shared" si="10"/>
        <v>0</v>
      </c>
      <c r="X74" s="22">
        <f>'2022-23 Salary &amp; Benefits'!$G$6</f>
        <v>12558.24</v>
      </c>
      <c r="Y74" s="23">
        <f>'2022-23 Salary &amp; Benefits'!$H$6</f>
        <v>0.2298</v>
      </c>
      <c r="Z74" s="23">
        <f>'2022-23 Salary &amp; Benefits'!$I$6</f>
        <v>0.22339999999999999</v>
      </c>
      <c r="AA74" s="22">
        <f t="shared" si="11"/>
        <v>0</v>
      </c>
      <c r="AB74" s="22">
        <f t="shared" si="12"/>
        <v>0</v>
      </c>
      <c r="AC74" s="22">
        <f t="shared" si="13"/>
        <v>0</v>
      </c>
      <c r="AD74" s="22">
        <f t="shared" si="17"/>
        <v>0</v>
      </c>
      <c r="AE74" s="22">
        <f t="shared" si="18"/>
        <v>0</v>
      </c>
      <c r="AF74" s="19" t="str">
        <f>VLOOKUP(C74,'2021-22 School Level AAFTE'!C:N,12,FALSE)</f>
        <v>No</v>
      </c>
    </row>
    <row r="75" spans="1:32" s="19" customFormat="1">
      <c r="A75" s="97" t="s">
        <v>2372</v>
      </c>
      <c r="B75" s="97" t="s">
        <v>1028</v>
      </c>
      <c r="C75" s="95">
        <v>4062</v>
      </c>
      <c r="D75" s="95" t="s">
        <v>1036</v>
      </c>
      <c r="E75" s="129">
        <f>VLOOKUP($C75,'2021-22 School Level AAFTE'!$C:$Z,11,FALSE)</f>
        <v>8.193333333333333E-2</v>
      </c>
      <c r="F75" s="129" t="str">
        <f>VLOOKUP($C75,'2021-22 School Level AAFTE'!$C:$Z,8,FALSE)</f>
        <v>No</v>
      </c>
      <c r="G75" s="129" t="str">
        <f>VLOOKUP($C75,'2021-22 School Level AAFTE'!$C:$Z,12,FALSE)</f>
        <v>No</v>
      </c>
      <c r="H75" s="127">
        <f>VLOOKUP($C75,'2021-22 School Level AAFTE'!$C:$I,7,FALSE)</f>
        <v>347.71</v>
      </c>
      <c r="I75" s="112">
        <f>IFERROR(IF(OR(G75="yes",F75= "yes"),VLOOKUP(C75,Summary!$B:$J,6,0),0),0)</f>
        <v>0</v>
      </c>
      <c r="J75" s="111">
        <f t="shared" ref="J75:J138" si="21">IF(OR(G75="yes",F75= "yes"), H75,0)</f>
        <v>0</v>
      </c>
      <c r="K75" s="91">
        <f>VLOOKUP($A75,'2022-23 Salary &amp; Benefits'!$A:$I,3,FALSE)</f>
        <v>1.18</v>
      </c>
      <c r="L75" s="91">
        <f>VLOOKUP($A75,'2022-23 Salary &amp; Benefits'!$A:$I,4,FALSE)</f>
        <v>1.18</v>
      </c>
      <c r="M75" s="39">
        <f t="shared" si="16"/>
        <v>0</v>
      </c>
      <c r="N75" s="24">
        <v>15</v>
      </c>
      <c r="O75" s="26">
        <f t="shared" si="19"/>
        <v>0</v>
      </c>
      <c r="P75" s="24">
        <v>1.1000000000000001</v>
      </c>
      <c r="Q75" s="24">
        <v>36</v>
      </c>
      <c r="R75" s="27">
        <f t="shared" si="20"/>
        <v>0</v>
      </c>
      <c r="S75" s="102">
        <f t="shared" ref="S75:S138" si="22">ROUND(IF(M75="no",0,R75/900),3)</f>
        <v>0</v>
      </c>
      <c r="T75" s="21">
        <f>VLOOKUP($A75,'2022-23 Salary &amp; Benefits'!$A:$I,5,FALSE)</f>
        <v>68937</v>
      </c>
      <c r="U75" s="21">
        <f>VLOOKUP($A75,'2022-23 Salary &amp; Benefits'!$A:$I,6,FALSE)</f>
        <v>72728</v>
      </c>
      <c r="V75" s="22">
        <f t="shared" ref="V75:V138" si="23">ROUND($K75*$T75*$S75,2)</f>
        <v>0</v>
      </c>
      <c r="W75" s="22">
        <f t="shared" ref="W75:W138" si="24">ROUND($L75*$U75*$S75,2)-V75</f>
        <v>0</v>
      </c>
      <c r="X75" s="22">
        <f>'2022-23 Salary &amp; Benefits'!$G$6</f>
        <v>12558.24</v>
      </c>
      <c r="Y75" s="23">
        <f>'2022-23 Salary &amp; Benefits'!$H$6</f>
        <v>0.2298</v>
      </c>
      <c r="Z75" s="23">
        <f>'2022-23 Salary &amp; Benefits'!$I$6</f>
        <v>0.22339999999999999</v>
      </c>
      <c r="AA75" s="22">
        <f t="shared" ref="AA75:AA138" si="25">ROUND(V75*Y75+W75*Z75+S75*X75,2)</f>
        <v>0</v>
      </c>
      <c r="AB75" s="22">
        <f t="shared" ref="AB75:AB138" si="26">ROUND(($U75*$L75*$S75/180*3),2)</f>
        <v>0</v>
      </c>
      <c r="AC75" s="22">
        <f t="shared" ref="AC75:AC138" si="27">ROUND(AB75*Z75,2)</f>
        <v>0</v>
      </c>
      <c r="AD75" s="22">
        <f t="shared" si="17"/>
        <v>0</v>
      </c>
      <c r="AE75" s="22">
        <f t="shared" si="18"/>
        <v>0</v>
      </c>
      <c r="AF75" s="19" t="str">
        <f>VLOOKUP(C75,'2021-22 School Level AAFTE'!C:N,12,FALSE)</f>
        <v>No</v>
      </c>
    </row>
    <row r="76" spans="1:32" s="19" customFormat="1">
      <c r="A76" s="97" t="s">
        <v>2372</v>
      </c>
      <c r="B76" s="97" t="s">
        <v>1028</v>
      </c>
      <c r="C76" s="95">
        <v>4505</v>
      </c>
      <c r="D76" s="95" t="s">
        <v>1037</v>
      </c>
      <c r="E76" s="129">
        <f>VLOOKUP($C76,'2021-22 School Level AAFTE'!$C:$Z,11,FALSE)</f>
        <v>8.0633333333333335E-2</v>
      </c>
      <c r="F76" s="129" t="str">
        <f>VLOOKUP($C76,'2021-22 School Level AAFTE'!$C:$Z,8,FALSE)</f>
        <v>No</v>
      </c>
      <c r="G76" s="129" t="str">
        <f>VLOOKUP($C76,'2021-22 School Level AAFTE'!$C:$Z,12,FALSE)</f>
        <v>No</v>
      </c>
      <c r="H76" s="127">
        <f>VLOOKUP($C76,'2021-22 School Level AAFTE'!$C:$I,7,FALSE)</f>
        <v>480.79</v>
      </c>
      <c r="I76" s="112">
        <f>IFERROR(IF(OR(G76="yes",F76= "yes"),VLOOKUP(C76,Summary!$B:$J,6,0),0),0)</f>
        <v>0</v>
      </c>
      <c r="J76" s="111">
        <f t="shared" si="21"/>
        <v>0</v>
      </c>
      <c r="K76" s="91">
        <f>VLOOKUP($A76,'2022-23 Salary &amp; Benefits'!$A:$I,3,FALSE)</f>
        <v>1.18</v>
      </c>
      <c r="L76" s="91">
        <f>VLOOKUP($A76,'2022-23 Salary &amp; Benefits'!$A:$I,4,FALSE)</f>
        <v>1.18</v>
      </c>
      <c r="M76" s="101">
        <f t="shared" si="16"/>
        <v>0</v>
      </c>
      <c r="N76" s="24">
        <v>15</v>
      </c>
      <c r="O76" s="26">
        <f t="shared" si="19"/>
        <v>0</v>
      </c>
      <c r="P76" s="24">
        <v>1.1000000000000001</v>
      </c>
      <c r="Q76" s="24">
        <v>36</v>
      </c>
      <c r="R76" s="27">
        <f t="shared" si="20"/>
        <v>0</v>
      </c>
      <c r="S76" s="102">
        <f t="shared" si="22"/>
        <v>0</v>
      </c>
      <c r="T76" s="21">
        <f>VLOOKUP($A76,'2022-23 Salary &amp; Benefits'!$A:$I,5,FALSE)</f>
        <v>68937</v>
      </c>
      <c r="U76" s="21">
        <f>VLOOKUP($A76,'2022-23 Salary &amp; Benefits'!$A:$I,6,FALSE)</f>
        <v>72728</v>
      </c>
      <c r="V76" s="22">
        <f t="shared" si="23"/>
        <v>0</v>
      </c>
      <c r="W76" s="22">
        <f t="shared" si="24"/>
        <v>0</v>
      </c>
      <c r="X76" s="22">
        <f>'2022-23 Salary &amp; Benefits'!$G$6</f>
        <v>12558.24</v>
      </c>
      <c r="Y76" s="23">
        <f>'2022-23 Salary &amp; Benefits'!$H$6</f>
        <v>0.2298</v>
      </c>
      <c r="Z76" s="23">
        <f>'2022-23 Salary &amp; Benefits'!$I$6</f>
        <v>0.22339999999999999</v>
      </c>
      <c r="AA76" s="22">
        <f t="shared" si="25"/>
        <v>0</v>
      </c>
      <c r="AB76" s="22">
        <f t="shared" si="26"/>
        <v>0</v>
      </c>
      <c r="AC76" s="22">
        <f t="shared" si="27"/>
        <v>0</v>
      </c>
      <c r="AD76" s="22">
        <f t="shared" si="17"/>
        <v>0</v>
      </c>
      <c r="AE76" s="22">
        <f t="shared" si="18"/>
        <v>0</v>
      </c>
      <c r="AF76" s="19" t="str">
        <f>VLOOKUP(C76,'2021-22 School Level AAFTE'!C:N,12,FALSE)</f>
        <v>No</v>
      </c>
    </row>
    <row r="77" spans="1:32" s="19" customFormat="1">
      <c r="A77" s="97" t="s">
        <v>2372</v>
      </c>
      <c r="B77" s="97" t="s">
        <v>1028</v>
      </c>
      <c r="C77" s="95">
        <v>4542</v>
      </c>
      <c r="D77" s="95" t="s">
        <v>1038</v>
      </c>
      <c r="E77" s="129">
        <f>VLOOKUP($C77,'2021-22 School Level AAFTE'!$C:$Z,11,FALSE)</f>
        <v>6.2633333333333333E-2</v>
      </c>
      <c r="F77" s="129" t="str">
        <f>VLOOKUP($C77,'2021-22 School Level AAFTE'!$C:$Z,8,FALSE)</f>
        <v>No</v>
      </c>
      <c r="G77" s="129" t="str">
        <f>VLOOKUP($C77,'2021-22 School Level AAFTE'!$C:$Z,12,FALSE)</f>
        <v>No</v>
      </c>
      <c r="H77" s="127">
        <f>VLOOKUP($C77,'2021-22 School Level AAFTE'!$C:$I,7,FALSE)</f>
        <v>464.79</v>
      </c>
      <c r="I77" s="112">
        <f>IFERROR(IF(OR(G77="yes",F77= "yes"),VLOOKUP(C77,Summary!$B:$J,6,0),0),0)</f>
        <v>0</v>
      </c>
      <c r="J77" s="111">
        <f t="shared" si="21"/>
        <v>0</v>
      </c>
      <c r="K77" s="91">
        <f>VLOOKUP($A77,'2022-23 Salary &amp; Benefits'!$A:$I,3,FALSE)</f>
        <v>1.18</v>
      </c>
      <c r="L77" s="91">
        <f>VLOOKUP($A77,'2022-23 Salary &amp; Benefits'!$A:$I,4,FALSE)</f>
        <v>1.18</v>
      </c>
      <c r="M77" s="39">
        <f t="shared" si="16"/>
        <v>0</v>
      </c>
      <c r="N77" s="24">
        <v>15</v>
      </c>
      <c r="O77" s="26">
        <f t="shared" si="19"/>
        <v>0</v>
      </c>
      <c r="P77" s="24">
        <v>1.1000000000000001</v>
      </c>
      <c r="Q77" s="24">
        <v>36</v>
      </c>
      <c r="R77" s="27">
        <f t="shared" si="20"/>
        <v>0</v>
      </c>
      <c r="S77" s="102">
        <f t="shared" si="22"/>
        <v>0</v>
      </c>
      <c r="T77" s="21">
        <f>VLOOKUP($A77,'2022-23 Salary &amp; Benefits'!$A:$I,5,FALSE)</f>
        <v>68937</v>
      </c>
      <c r="U77" s="21">
        <f>VLOOKUP($A77,'2022-23 Salary &amp; Benefits'!$A:$I,6,FALSE)</f>
        <v>72728</v>
      </c>
      <c r="V77" s="22">
        <f t="shared" si="23"/>
        <v>0</v>
      </c>
      <c r="W77" s="22">
        <f t="shared" si="24"/>
        <v>0</v>
      </c>
      <c r="X77" s="22">
        <f>'2022-23 Salary &amp; Benefits'!$G$6</f>
        <v>12558.24</v>
      </c>
      <c r="Y77" s="23">
        <f>'2022-23 Salary &amp; Benefits'!$H$6</f>
        <v>0.2298</v>
      </c>
      <c r="Z77" s="23">
        <f>'2022-23 Salary &amp; Benefits'!$I$6</f>
        <v>0.22339999999999999</v>
      </c>
      <c r="AA77" s="22">
        <f t="shared" si="25"/>
        <v>0</v>
      </c>
      <c r="AB77" s="22">
        <f t="shared" si="26"/>
        <v>0</v>
      </c>
      <c r="AC77" s="22">
        <f t="shared" si="27"/>
        <v>0</v>
      </c>
      <c r="AD77" s="22">
        <f t="shared" si="17"/>
        <v>0</v>
      </c>
      <c r="AE77" s="22">
        <f t="shared" si="18"/>
        <v>0</v>
      </c>
      <c r="AF77" s="19" t="str">
        <f>VLOOKUP(C77,'2021-22 School Level AAFTE'!C:N,12,FALSE)</f>
        <v>No</v>
      </c>
    </row>
    <row r="78" spans="1:32" s="19" customFormat="1">
      <c r="A78" s="97" t="s">
        <v>2290</v>
      </c>
      <c r="B78" s="97" t="s">
        <v>265</v>
      </c>
      <c r="C78" s="95">
        <v>1836</v>
      </c>
      <c r="D78" s="95" t="s">
        <v>266</v>
      </c>
      <c r="E78" s="129">
        <f>VLOOKUP($C78,'2021-22 School Level AAFTE'!$C:$Z,11,FALSE)</f>
        <v>0.21809999999999999</v>
      </c>
      <c r="F78" s="129" t="str">
        <f>VLOOKUP($C78,'2021-22 School Level AAFTE'!$C:$Z,8,FALSE)</f>
        <v>No</v>
      </c>
      <c r="G78" s="129" t="str">
        <f>VLOOKUP($C78,'2021-22 School Level AAFTE'!$C:$Z,12,FALSE)</f>
        <v>No</v>
      </c>
      <c r="H78" s="127">
        <f>VLOOKUP($C78,'2021-22 School Level AAFTE'!$C:$I,7,FALSE)</f>
        <v>497.11</v>
      </c>
      <c r="I78" s="112">
        <f>IFERROR(IF(OR(G78="yes",F78= "yes"),VLOOKUP(C78,Summary!$B:$J,6,0),0),0)</f>
        <v>0</v>
      </c>
      <c r="J78" s="111">
        <f t="shared" si="21"/>
        <v>0</v>
      </c>
      <c r="K78" s="91">
        <f>VLOOKUP($A78,'2022-23 Salary &amp; Benefits'!$A:$I,3,FALSE)</f>
        <v>1.06</v>
      </c>
      <c r="L78" s="91">
        <f>VLOOKUP($A78,'2022-23 Salary &amp; Benefits'!$A:$I,4,FALSE)</f>
        <v>1.06</v>
      </c>
      <c r="M78" s="39">
        <f t="shared" si="16"/>
        <v>0</v>
      </c>
      <c r="N78" s="24">
        <v>15</v>
      </c>
      <c r="O78" s="26">
        <f t="shared" si="19"/>
        <v>0</v>
      </c>
      <c r="P78" s="24">
        <v>1.1000000000000001</v>
      </c>
      <c r="Q78" s="24">
        <v>36</v>
      </c>
      <c r="R78" s="27">
        <f t="shared" si="20"/>
        <v>0</v>
      </c>
      <c r="S78" s="102">
        <f t="shared" si="22"/>
        <v>0</v>
      </c>
      <c r="T78" s="21">
        <f>VLOOKUP($A78,'2022-23 Salary &amp; Benefits'!$A:$I,5,FALSE)</f>
        <v>68937</v>
      </c>
      <c r="U78" s="21">
        <f>VLOOKUP($A78,'2022-23 Salary &amp; Benefits'!$A:$I,6,FALSE)</f>
        <v>72728</v>
      </c>
      <c r="V78" s="22">
        <f t="shared" si="23"/>
        <v>0</v>
      </c>
      <c r="W78" s="22">
        <f t="shared" si="24"/>
        <v>0</v>
      </c>
      <c r="X78" s="22">
        <f>'2022-23 Salary &amp; Benefits'!$G$6</f>
        <v>12558.24</v>
      </c>
      <c r="Y78" s="23">
        <f>'2022-23 Salary &amp; Benefits'!$H$6</f>
        <v>0.2298</v>
      </c>
      <c r="Z78" s="23">
        <f>'2022-23 Salary &amp; Benefits'!$I$6</f>
        <v>0.22339999999999999</v>
      </c>
      <c r="AA78" s="22">
        <f t="shared" si="25"/>
        <v>0</v>
      </c>
      <c r="AB78" s="22">
        <f t="shared" si="26"/>
        <v>0</v>
      </c>
      <c r="AC78" s="22">
        <f t="shared" si="27"/>
        <v>0</v>
      </c>
      <c r="AD78" s="22">
        <f t="shared" si="17"/>
        <v>0</v>
      </c>
      <c r="AE78" s="22">
        <f t="shared" si="18"/>
        <v>0</v>
      </c>
      <c r="AF78" s="19" t="str">
        <f>VLOOKUP(C78,'2021-22 School Level AAFTE'!C:N,12,FALSE)</f>
        <v>No</v>
      </c>
    </row>
    <row r="79" spans="1:32" s="19" customFormat="1">
      <c r="A79" s="97" t="s">
        <v>2290</v>
      </c>
      <c r="B79" s="97" t="s">
        <v>265</v>
      </c>
      <c r="C79" s="95">
        <v>1875</v>
      </c>
      <c r="D79" s="95" t="s">
        <v>267</v>
      </c>
      <c r="E79" s="129">
        <f>VLOOKUP($C79,'2021-22 School Level AAFTE'!$C:$Z,11,FALSE)</f>
        <v>0.27999999999999997</v>
      </c>
      <c r="F79" s="129" t="str">
        <f>VLOOKUP($C79,'2021-22 School Level AAFTE'!$C:$Z,8,FALSE)</f>
        <v>No</v>
      </c>
      <c r="G79" s="129" t="str">
        <f>VLOOKUP($C79,'2021-22 School Level AAFTE'!$C:$Z,12,FALSE)</f>
        <v>No</v>
      </c>
      <c r="H79" s="127">
        <f>VLOOKUP($C79,'2021-22 School Level AAFTE'!$C:$I,7,FALSE)</f>
        <v>987.66</v>
      </c>
      <c r="I79" s="112">
        <f>IFERROR(IF(OR(G79="yes",F79= "yes"),VLOOKUP(C79,Summary!$B:$J,6,0),0),0)</f>
        <v>0</v>
      </c>
      <c r="J79" s="111">
        <f t="shared" si="21"/>
        <v>0</v>
      </c>
      <c r="K79" s="91">
        <f>VLOOKUP($A79,'2022-23 Salary &amp; Benefits'!$A:$I,3,FALSE)</f>
        <v>1.06</v>
      </c>
      <c r="L79" s="91">
        <f>VLOOKUP($A79,'2022-23 Salary &amp; Benefits'!$A:$I,4,FALSE)</f>
        <v>1.06</v>
      </c>
      <c r="M79" s="101">
        <f t="shared" si="16"/>
        <v>0</v>
      </c>
      <c r="N79" s="24">
        <v>15</v>
      </c>
      <c r="O79" s="26">
        <f t="shared" si="19"/>
        <v>0</v>
      </c>
      <c r="P79" s="24">
        <v>1.1000000000000001</v>
      </c>
      <c r="Q79" s="24">
        <v>36</v>
      </c>
      <c r="R79" s="27">
        <f t="shared" si="20"/>
        <v>0</v>
      </c>
      <c r="S79" s="102">
        <f t="shared" si="22"/>
        <v>0</v>
      </c>
      <c r="T79" s="21">
        <f>VLOOKUP($A79,'2022-23 Salary &amp; Benefits'!$A:$I,5,FALSE)</f>
        <v>68937</v>
      </c>
      <c r="U79" s="21">
        <f>VLOOKUP($A79,'2022-23 Salary &amp; Benefits'!$A:$I,6,FALSE)</f>
        <v>72728</v>
      </c>
      <c r="V79" s="22">
        <f t="shared" si="23"/>
        <v>0</v>
      </c>
      <c r="W79" s="22">
        <f t="shared" si="24"/>
        <v>0</v>
      </c>
      <c r="X79" s="22">
        <f>'2022-23 Salary &amp; Benefits'!$G$6</f>
        <v>12558.24</v>
      </c>
      <c r="Y79" s="23">
        <f>'2022-23 Salary &amp; Benefits'!$H$6</f>
        <v>0.2298</v>
      </c>
      <c r="Z79" s="23">
        <f>'2022-23 Salary &amp; Benefits'!$I$6</f>
        <v>0.22339999999999999</v>
      </c>
      <c r="AA79" s="22">
        <f t="shared" si="25"/>
        <v>0</v>
      </c>
      <c r="AB79" s="22">
        <f t="shared" si="26"/>
        <v>0</v>
      </c>
      <c r="AC79" s="22">
        <f t="shared" si="27"/>
        <v>0</v>
      </c>
      <c r="AD79" s="22">
        <f t="shared" si="17"/>
        <v>0</v>
      </c>
      <c r="AE79" s="22">
        <f t="shared" si="18"/>
        <v>0</v>
      </c>
      <c r="AF79" s="19" t="str">
        <f>VLOOKUP(C79,'2021-22 School Level AAFTE'!C:N,12,FALSE)</f>
        <v>No</v>
      </c>
    </row>
    <row r="80" spans="1:32" s="19" customFormat="1">
      <c r="A80" s="97" t="s">
        <v>2290</v>
      </c>
      <c r="B80" s="97" t="s">
        <v>265</v>
      </c>
      <c r="C80" s="95">
        <v>2415</v>
      </c>
      <c r="D80" s="95" t="s">
        <v>268</v>
      </c>
      <c r="E80" s="129">
        <f>VLOOKUP($C80,'2021-22 School Level AAFTE'!$C:$Z,11,FALSE)</f>
        <v>0.28686666666666666</v>
      </c>
      <c r="F80" s="129" t="str">
        <f>VLOOKUP($C80,'2021-22 School Level AAFTE'!$C:$Z,8,FALSE)</f>
        <v>No</v>
      </c>
      <c r="G80" s="129" t="str">
        <f>VLOOKUP($C80,'2021-22 School Level AAFTE'!$C:$Z,12,FALSE)</f>
        <v>No</v>
      </c>
      <c r="H80" s="127">
        <f>VLOOKUP($C80,'2021-22 School Level AAFTE'!$C:$I,7,FALSE)</f>
        <v>1667.9</v>
      </c>
      <c r="I80" s="112">
        <f>IFERROR(IF(OR(G80="yes",F80= "yes"),VLOOKUP(C80,Summary!$B:$J,6,0),0),0)</f>
        <v>0</v>
      </c>
      <c r="J80" s="111">
        <f t="shared" si="21"/>
        <v>0</v>
      </c>
      <c r="K80" s="91">
        <f>VLOOKUP($A80,'2022-23 Salary &amp; Benefits'!$A:$I,3,FALSE)</f>
        <v>1.06</v>
      </c>
      <c r="L80" s="91">
        <f>VLOOKUP($A80,'2022-23 Salary &amp; Benefits'!$A:$I,4,FALSE)</f>
        <v>1.06</v>
      </c>
      <c r="M80" s="101">
        <f t="shared" si="16"/>
        <v>0</v>
      </c>
      <c r="N80" s="24">
        <v>15</v>
      </c>
      <c r="O80" s="26">
        <f t="shared" si="19"/>
        <v>0</v>
      </c>
      <c r="P80" s="24">
        <v>1.1000000000000001</v>
      </c>
      <c r="Q80" s="24">
        <v>36</v>
      </c>
      <c r="R80" s="27">
        <f t="shared" si="20"/>
        <v>0</v>
      </c>
      <c r="S80" s="102">
        <f t="shared" si="22"/>
        <v>0</v>
      </c>
      <c r="T80" s="21">
        <f>VLOOKUP($A80,'2022-23 Salary &amp; Benefits'!$A:$I,5,FALSE)</f>
        <v>68937</v>
      </c>
      <c r="U80" s="21">
        <f>VLOOKUP($A80,'2022-23 Salary &amp; Benefits'!$A:$I,6,FALSE)</f>
        <v>72728</v>
      </c>
      <c r="V80" s="22">
        <f t="shared" si="23"/>
        <v>0</v>
      </c>
      <c r="W80" s="22">
        <f t="shared" si="24"/>
        <v>0</v>
      </c>
      <c r="X80" s="22">
        <f>'2022-23 Salary &amp; Benefits'!$G$6</f>
        <v>12558.24</v>
      </c>
      <c r="Y80" s="23">
        <f>'2022-23 Salary &amp; Benefits'!$H$6</f>
        <v>0.2298</v>
      </c>
      <c r="Z80" s="23">
        <f>'2022-23 Salary &amp; Benefits'!$I$6</f>
        <v>0.22339999999999999</v>
      </c>
      <c r="AA80" s="22">
        <f t="shared" si="25"/>
        <v>0</v>
      </c>
      <c r="AB80" s="22">
        <f t="shared" si="26"/>
        <v>0</v>
      </c>
      <c r="AC80" s="22">
        <f t="shared" si="27"/>
        <v>0</v>
      </c>
      <c r="AD80" s="22">
        <f t="shared" si="17"/>
        <v>0</v>
      </c>
      <c r="AE80" s="22">
        <f t="shared" si="18"/>
        <v>0</v>
      </c>
      <c r="AF80" s="19" t="str">
        <f>VLOOKUP(C80,'2021-22 School Level AAFTE'!C:N,12,FALSE)</f>
        <v>No</v>
      </c>
    </row>
    <row r="81" spans="1:32" s="19" customFormat="1">
      <c r="A81" s="97" t="s">
        <v>2290</v>
      </c>
      <c r="B81" s="97" t="s">
        <v>265</v>
      </c>
      <c r="C81" s="95">
        <v>2671</v>
      </c>
      <c r="D81" s="95" t="s">
        <v>269</v>
      </c>
      <c r="E81" s="129">
        <f>VLOOKUP($C81,'2021-22 School Level AAFTE'!$C:$Z,11,FALSE)</f>
        <v>0.3347</v>
      </c>
      <c r="F81" s="129" t="str">
        <f>VLOOKUP($C81,'2021-22 School Level AAFTE'!$C:$Z,8,FALSE)</f>
        <v>No</v>
      </c>
      <c r="G81" s="129" t="str">
        <f>VLOOKUP($C81,'2021-22 School Level AAFTE'!$C:$Z,12,FALSE)</f>
        <v>No</v>
      </c>
      <c r="H81" s="127">
        <f>VLOOKUP($C81,'2021-22 School Level AAFTE'!$C:$I,7,FALSE)</f>
        <v>556.91</v>
      </c>
      <c r="I81" s="112">
        <f>IFERROR(IF(OR(G81="yes",F81= "yes"),VLOOKUP(C81,Summary!$B:$J,6,0),0),0)</f>
        <v>0</v>
      </c>
      <c r="J81" s="111">
        <f t="shared" si="21"/>
        <v>0</v>
      </c>
      <c r="K81" s="91">
        <f>VLOOKUP($A81,'2022-23 Salary &amp; Benefits'!$A:$I,3,FALSE)</f>
        <v>1.06</v>
      </c>
      <c r="L81" s="91">
        <f>VLOOKUP($A81,'2022-23 Salary &amp; Benefits'!$A:$I,4,FALSE)</f>
        <v>1.06</v>
      </c>
      <c r="M81" s="101">
        <f t="shared" si="16"/>
        <v>0</v>
      </c>
      <c r="N81" s="24">
        <v>15</v>
      </c>
      <c r="O81" s="26">
        <f t="shared" si="19"/>
        <v>0</v>
      </c>
      <c r="P81" s="24">
        <v>1.1000000000000001</v>
      </c>
      <c r="Q81" s="24">
        <v>36</v>
      </c>
      <c r="R81" s="27">
        <f t="shared" si="20"/>
        <v>0</v>
      </c>
      <c r="S81" s="102">
        <f t="shared" si="22"/>
        <v>0</v>
      </c>
      <c r="T81" s="21">
        <f>VLOOKUP($A81,'2022-23 Salary &amp; Benefits'!$A:$I,5,FALSE)</f>
        <v>68937</v>
      </c>
      <c r="U81" s="21">
        <f>VLOOKUP($A81,'2022-23 Salary &amp; Benefits'!$A:$I,6,FALSE)</f>
        <v>72728</v>
      </c>
      <c r="V81" s="22">
        <f t="shared" si="23"/>
        <v>0</v>
      </c>
      <c r="W81" s="22">
        <f t="shared" si="24"/>
        <v>0</v>
      </c>
      <c r="X81" s="22">
        <f>'2022-23 Salary &amp; Benefits'!$G$6</f>
        <v>12558.24</v>
      </c>
      <c r="Y81" s="23">
        <f>'2022-23 Salary &amp; Benefits'!$H$6</f>
        <v>0.2298</v>
      </c>
      <c r="Z81" s="23">
        <f>'2022-23 Salary &amp; Benefits'!$I$6</f>
        <v>0.22339999999999999</v>
      </c>
      <c r="AA81" s="22">
        <f t="shared" si="25"/>
        <v>0</v>
      </c>
      <c r="AB81" s="22">
        <f t="shared" si="26"/>
        <v>0</v>
      </c>
      <c r="AC81" s="22">
        <f t="shared" si="27"/>
        <v>0</v>
      </c>
      <c r="AD81" s="22">
        <f t="shared" si="17"/>
        <v>0</v>
      </c>
      <c r="AE81" s="22">
        <f t="shared" si="18"/>
        <v>0</v>
      </c>
      <c r="AF81" s="19" t="str">
        <f>VLOOKUP(C81,'2021-22 School Level AAFTE'!C:N,12,FALSE)</f>
        <v>No</v>
      </c>
    </row>
    <row r="82" spans="1:32" s="19" customFormat="1">
      <c r="A82" s="97" t="s">
        <v>2290</v>
      </c>
      <c r="B82" s="97" t="s">
        <v>265</v>
      </c>
      <c r="C82" s="95">
        <v>2910</v>
      </c>
      <c r="D82" s="95" t="s">
        <v>270</v>
      </c>
      <c r="E82" s="129">
        <f>VLOOKUP($C82,'2021-22 School Level AAFTE'!$C:$Z,11,FALSE)</f>
        <v>0.29766666666666669</v>
      </c>
      <c r="F82" s="129" t="str">
        <f>VLOOKUP($C82,'2021-22 School Level AAFTE'!$C:$Z,8,FALSE)</f>
        <v>No</v>
      </c>
      <c r="G82" s="129" t="str">
        <f>VLOOKUP($C82,'2021-22 School Level AAFTE'!$C:$Z,12,FALSE)</f>
        <v>No</v>
      </c>
      <c r="H82" s="127">
        <f>VLOOKUP($C82,'2021-22 School Level AAFTE'!$C:$I,7,FALSE)</f>
        <v>693.65</v>
      </c>
      <c r="I82" s="112">
        <f>IFERROR(IF(OR(G82="yes",F82= "yes"),VLOOKUP(C82,Summary!$B:$J,6,0),0),0)</f>
        <v>0</v>
      </c>
      <c r="J82" s="111">
        <f t="shared" si="21"/>
        <v>0</v>
      </c>
      <c r="K82" s="91">
        <f>VLOOKUP($A82,'2022-23 Salary &amp; Benefits'!$A:$I,3,FALSE)</f>
        <v>1.06</v>
      </c>
      <c r="L82" s="91">
        <f>VLOOKUP($A82,'2022-23 Salary &amp; Benefits'!$A:$I,4,FALSE)</f>
        <v>1.06</v>
      </c>
      <c r="M82" s="101">
        <f t="shared" si="16"/>
        <v>0</v>
      </c>
      <c r="N82" s="24">
        <v>15</v>
      </c>
      <c r="O82" s="26">
        <f t="shared" si="19"/>
        <v>0</v>
      </c>
      <c r="P82" s="24">
        <v>1.1000000000000001</v>
      </c>
      <c r="Q82" s="24">
        <v>36</v>
      </c>
      <c r="R82" s="27">
        <f t="shared" si="20"/>
        <v>0</v>
      </c>
      <c r="S82" s="102">
        <f t="shared" si="22"/>
        <v>0</v>
      </c>
      <c r="T82" s="21">
        <f>VLOOKUP($A82,'2022-23 Salary &amp; Benefits'!$A:$I,5,FALSE)</f>
        <v>68937</v>
      </c>
      <c r="U82" s="21">
        <f>VLOOKUP($A82,'2022-23 Salary &amp; Benefits'!$A:$I,6,FALSE)</f>
        <v>72728</v>
      </c>
      <c r="V82" s="22">
        <f t="shared" si="23"/>
        <v>0</v>
      </c>
      <c r="W82" s="22">
        <f t="shared" si="24"/>
        <v>0</v>
      </c>
      <c r="X82" s="22">
        <f>'2022-23 Salary &amp; Benefits'!$G$6</f>
        <v>12558.24</v>
      </c>
      <c r="Y82" s="23">
        <f>'2022-23 Salary &amp; Benefits'!$H$6</f>
        <v>0.2298</v>
      </c>
      <c r="Z82" s="23">
        <f>'2022-23 Salary &amp; Benefits'!$I$6</f>
        <v>0.22339999999999999</v>
      </c>
      <c r="AA82" s="22">
        <f t="shared" si="25"/>
        <v>0</v>
      </c>
      <c r="AB82" s="22">
        <f t="shared" si="26"/>
        <v>0</v>
      </c>
      <c r="AC82" s="22">
        <f t="shared" si="27"/>
        <v>0</v>
      </c>
      <c r="AD82" s="22">
        <f t="shared" si="17"/>
        <v>0</v>
      </c>
      <c r="AE82" s="22">
        <f t="shared" si="18"/>
        <v>0</v>
      </c>
      <c r="AF82" s="19" t="str">
        <f>VLOOKUP(C82,'2021-22 School Level AAFTE'!C:N,12,FALSE)</f>
        <v>No</v>
      </c>
    </row>
    <row r="83" spans="1:32" s="19" customFormat="1">
      <c r="A83" s="97" t="s">
        <v>2290</v>
      </c>
      <c r="B83" s="97" t="s">
        <v>265</v>
      </c>
      <c r="C83" s="95">
        <v>3018</v>
      </c>
      <c r="D83" s="95" t="s">
        <v>271</v>
      </c>
      <c r="E83" s="129">
        <f>VLOOKUP($C83,'2021-22 School Level AAFTE'!$C:$Z,11,FALSE)</f>
        <v>0.42446666666666671</v>
      </c>
      <c r="F83" s="129" t="str">
        <f>VLOOKUP($C83,'2021-22 School Level AAFTE'!$C:$Z,8,FALSE)</f>
        <v>No</v>
      </c>
      <c r="G83" s="129" t="str">
        <f>VLOOKUP($C83,'2021-22 School Level AAFTE'!$C:$Z,12,FALSE)</f>
        <v>No</v>
      </c>
      <c r="H83" s="127">
        <f>VLOOKUP($C83,'2021-22 School Level AAFTE'!$C:$I,7,FALSE)</f>
        <v>519.16999999999996</v>
      </c>
      <c r="I83" s="112">
        <f>IFERROR(IF(OR(G83="yes",F83= "yes"),VLOOKUP(C83,Summary!$B:$J,6,0),0),0)</f>
        <v>0</v>
      </c>
      <c r="J83" s="111">
        <f t="shared" si="21"/>
        <v>0</v>
      </c>
      <c r="K83" s="91">
        <f>VLOOKUP($A83,'2022-23 Salary &amp; Benefits'!$A:$I,3,FALSE)</f>
        <v>1.06</v>
      </c>
      <c r="L83" s="91">
        <f>VLOOKUP($A83,'2022-23 Salary &amp; Benefits'!$A:$I,4,FALSE)</f>
        <v>1.06</v>
      </c>
      <c r="M83" s="101">
        <f t="shared" si="16"/>
        <v>0</v>
      </c>
      <c r="N83" s="24">
        <v>15</v>
      </c>
      <c r="O83" s="26">
        <f t="shared" si="19"/>
        <v>0</v>
      </c>
      <c r="P83" s="24">
        <v>1.1000000000000001</v>
      </c>
      <c r="Q83" s="24">
        <v>36</v>
      </c>
      <c r="R83" s="27">
        <f t="shared" si="20"/>
        <v>0</v>
      </c>
      <c r="S83" s="102">
        <f t="shared" si="22"/>
        <v>0</v>
      </c>
      <c r="T83" s="21">
        <f>VLOOKUP($A83,'2022-23 Salary &amp; Benefits'!$A:$I,5,FALSE)</f>
        <v>68937</v>
      </c>
      <c r="U83" s="21">
        <f>VLOOKUP($A83,'2022-23 Salary &amp; Benefits'!$A:$I,6,FALSE)</f>
        <v>72728</v>
      </c>
      <c r="V83" s="22">
        <f t="shared" si="23"/>
        <v>0</v>
      </c>
      <c r="W83" s="22">
        <f t="shared" si="24"/>
        <v>0</v>
      </c>
      <c r="X83" s="22">
        <f>'2022-23 Salary &amp; Benefits'!$G$6</f>
        <v>12558.24</v>
      </c>
      <c r="Y83" s="23">
        <f>'2022-23 Salary &amp; Benefits'!$H$6</f>
        <v>0.2298</v>
      </c>
      <c r="Z83" s="23">
        <f>'2022-23 Salary &amp; Benefits'!$I$6</f>
        <v>0.22339999999999999</v>
      </c>
      <c r="AA83" s="22">
        <f t="shared" si="25"/>
        <v>0</v>
      </c>
      <c r="AB83" s="22">
        <f t="shared" si="26"/>
        <v>0</v>
      </c>
      <c r="AC83" s="22">
        <f t="shared" si="27"/>
        <v>0</v>
      </c>
      <c r="AD83" s="22">
        <f t="shared" si="17"/>
        <v>0</v>
      </c>
      <c r="AE83" s="22">
        <f t="shared" si="18"/>
        <v>0</v>
      </c>
      <c r="AF83" s="19" t="str">
        <f>VLOOKUP(C83,'2021-22 School Level AAFTE'!C:N,12,FALSE)</f>
        <v>No</v>
      </c>
    </row>
    <row r="84" spans="1:32" s="19" customFormat="1">
      <c r="A84" s="97" t="s">
        <v>2290</v>
      </c>
      <c r="B84" s="97" t="s">
        <v>265</v>
      </c>
      <c r="C84" s="95">
        <v>3545</v>
      </c>
      <c r="D84" s="95" t="s">
        <v>272</v>
      </c>
      <c r="E84" s="129">
        <f>VLOOKUP($C84,'2021-22 School Level AAFTE'!$C:$Z,11,FALSE)</f>
        <v>0.39100000000000001</v>
      </c>
      <c r="F84" s="129" t="str">
        <f>VLOOKUP($C84,'2021-22 School Level AAFTE'!$C:$Z,8,FALSE)</f>
        <v>No</v>
      </c>
      <c r="G84" s="129" t="str">
        <f>VLOOKUP($C84,'2021-22 School Level AAFTE'!$C:$Z,12,FALSE)</f>
        <v>No</v>
      </c>
      <c r="H84" s="127">
        <f>VLOOKUP($C84,'2021-22 School Level AAFTE'!$C:$I,7,FALSE)</f>
        <v>696.59</v>
      </c>
      <c r="I84" s="112">
        <f>IFERROR(IF(OR(G84="yes",F84= "yes"),VLOOKUP(C84,Summary!$B:$J,6,0),0),0)</f>
        <v>0</v>
      </c>
      <c r="J84" s="111">
        <f t="shared" si="21"/>
        <v>0</v>
      </c>
      <c r="K84" s="91">
        <f>VLOOKUP($A84,'2022-23 Salary &amp; Benefits'!$A:$I,3,FALSE)</f>
        <v>1.06</v>
      </c>
      <c r="L84" s="91">
        <f>VLOOKUP($A84,'2022-23 Salary &amp; Benefits'!$A:$I,4,FALSE)</f>
        <v>1.06</v>
      </c>
      <c r="M84" s="101">
        <f t="shared" si="16"/>
        <v>0</v>
      </c>
      <c r="N84" s="24">
        <v>15</v>
      </c>
      <c r="O84" s="26">
        <f t="shared" si="19"/>
        <v>0</v>
      </c>
      <c r="P84" s="24">
        <v>1.1000000000000001</v>
      </c>
      <c r="Q84" s="24">
        <v>36</v>
      </c>
      <c r="R84" s="27">
        <f t="shared" si="20"/>
        <v>0</v>
      </c>
      <c r="S84" s="102">
        <f t="shared" si="22"/>
        <v>0</v>
      </c>
      <c r="T84" s="21">
        <f>VLOOKUP($A84,'2022-23 Salary &amp; Benefits'!$A:$I,5,FALSE)</f>
        <v>68937</v>
      </c>
      <c r="U84" s="21">
        <f>VLOOKUP($A84,'2022-23 Salary &amp; Benefits'!$A:$I,6,FALSE)</f>
        <v>72728</v>
      </c>
      <c r="V84" s="22">
        <f t="shared" si="23"/>
        <v>0</v>
      </c>
      <c r="W84" s="22">
        <f t="shared" si="24"/>
        <v>0</v>
      </c>
      <c r="X84" s="22">
        <f>'2022-23 Salary &amp; Benefits'!$G$6</f>
        <v>12558.24</v>
      </c>
      <c r="Y84" s="23">
        <f>'2022-23 Salary &amp; Benefits'!$H$6</f>
        <v>0.2298</v>
      </c>
      <c r="Z84" s="23">
        <f>'2022-23 Salary &amp; Benefits'!$I$6</f>
        <v>0.22339999999999999</v>
      </c>
      <c r="AA84" s="22">
        <f t="shared" si="25"/>
        <v>0</v>
      </c>
      <c r="AB84" s="22">
        <f t="shared" si="26"/>
        <v>0</v>
      </c>
      <c r="AC84" s="22">
        <f t="shared" si="27"/>
        <v>0</v>
      </c>
      <c r="AD84" s="22">
        <f t="shared" si="17"/>
        <v>0</v>
      </c>
      <c r="AE84" s="22">
        <f t="shared" si="18"/>
        <v>0</v>
      </c>
      <c r="AF84" s="19" t="str">
        <f>VLOOKUP(C84,'2021-22 School Level AAFTE'!C:N,12,FALSE)</f>
        <v>No</v>
      </c>
    </row>
    <row r="85" spans="1:32" s="19" customFormat="1">
      <c r="A85" s="97" t="s">
        <v>2290</v>
      </c>
      <c r="B85" s="97" t="s">
        <v>265</v>
      </c>
      <c r="C85" s="95">
        <v>3996</v>
      </c>
      <c r="D85" s="95" t="s">
        <v>273</v>
      </c>
      <c r="E85" s="129">
        <f>VLOOKUP($C85,'2021-22 School Level AAFTE'!$C:$Z,11,FALSE)</f>
        <v>0.34013333333333334</v>
      </c>
      <c r="F85" s="129" t="str">
        <f>VLOOKUP($C85,'2021-22 School Level AAFTE'!$C:$Z,8,FALSE)</f>
        <v>No</v>
      </c>
      <c r="G85" s="129" t="str">
        <f>VLOOKUP($C85,'2021-22 School Level AAFTE'!$C:$Z,12,FALSE)</f>
        <v>No</v>
      </c>
      <c r="H85" s="127">
        <f>VLOOKUP($C85,'2021-22 School Level AAFTE'!$C:$I,7,FALSE)</f>
        <v>487.7</v>
      </c>
      <c r="I85" s="112">
        <f>IFERROR(IF(OR(G85="yes",F85= "yes"),VLOOKUP(C85,Summary!$B:$J,6,0),0),0)</f>
        <v>0</v>
      </c>
      <c r="J85" s="111">
        <f t="shared" si="21"/>
        <v>0</v>
      </c>
      <c r="K85" s="91">
        <f>VLOOKUP($A85,'2022-23 Salary &amp; Benefits'!$A:$I,3,FALSE)</f>
        <v>1.06</v>
      </c>
      <c r="L85" s="91">
        <f>VLOOKUP($A85,'2022-23 Salary &amp; Benefits'!$A:$I,4,FALSE)</f>
        <v>1.06</v>
      </c>
      <c r="M85" s="101">
        <f t="shared" si="16"/>
        <v>0</v>
      </c>
      <c r="N85" s="24">
        <v>15</v>
      </c>
      <c r="O85" s="26">
        <f t="shared" si="19"/>
        <v>0</v>
      </c>
      <c r="P85" s="24">
        <v>1.1000000000000001</v>
      </c>
      <c r="Q85" s="24">
        <v>36</v>
      </c>
      <c r="R85" s="27">
        <f t="shared" si="20"/>
        <v>0</v>
      </c>
      <c r="S85" s="102">
        <f t="shared" si="22"/>
        <v>0</v>
      </c>
      <c r="T85" s="21">
        <f>VLOOKUP($A85,'2022-23 Salary &amp; Benefits'!$A:$I,5,FALSE)</f>
        <v>68937</v>
      </c>
      <c r="U85" s="21">
        <f>VLOOKUP($A85,'2022-23 Salary &amp; Benefits'!$A:$I,6,FALSE)</f>
        <v>72728</v>
      </c>
      <c r="V85" s="22">
        <f t="shared" si="23"/>
        <v>0</v>
      </c>
      <c r="W85" s="22">
        <f t="shared" si="24"/>
        <v>0</v>
      </c>
      <c r="X85" s="22">
        <f>'2022-23 Salary &amp; Benefits'!$G$6</f>
        <v>12558.24</v>
      </c>
      <c r="Y85" s="23">
        <f>'2022-23 Salary &amp; Benefits'!$H$6</f>
        <v>0.2298</v>
      </c>
      <c r="Z85" s="23">
        <f>'2022-23 Salary &amp; Benefits'!$I$6</f>
        <v>0.22339999999999999</v>
      </c>
      <c r="AA85" s="22">
        <f t="shared" si="25"/>
        <v>0</v>
      </c>
      <c r="AB85" s="22">
        <f t="shared" si="26"/>
        <v>0</v>
      </c>
      <c r="AC85" s="22">
        <f t="shared" si="27"/>
        <v>0</v>
      </c>
      <c r="AD85" s="22">
        <f t="shared" si="17"/>
        <v>0</v>
      </c>
      <c r="AE85" s="22">
        <f t="shared" si="18"/>
        <v>0</v>
      </c>
      <c r="AF85" s="19" t="str">
        <f>VLOOKUP(C85,'2021-22 School Level AAFTE'!C:N,12,FALSE)</f>
        <v>No</v>
      </c>
    </row>
    <row r="86" spans="1:32" s="19" customFormat="1">
      <c r="A86" s="97" t="s">
        <v>2290</v>
      </c>
      <c r="B86" s="97" t="s">
        <v>265</v>
      </c>
      <c r="C86" s="95">
        <v>3997</v>
      </c>
      <c r="D86" s="95" t="s">
        <v>274</v>
      </c>
      <c r="E86" s="129">
        <f>VLOOKUP($C86,'2021-22 School Level AAFTE'!$C:$Z,11,FALSE)</f>
        <v>0.39299999999999996</v>
      </c>
      <c r="F86" s="129" t="str">
        <f>VLOOKUP($C86,'2021-22 School Level AAFTE'!$C:$Z,8,FALSE)</f>
        <v>No</v>
      </c>
      <c r="G86" s="129" t="str">
        <f>VLOOKUP($C86,'2021-22 School Level AAFTE'!$C:$Z,12,FALSE)</f>
        <v>No</v>
      </c>
      <c r="H86" s="127">
        <f>VLOOKUP($C86,'2021-22 School Level AAFTE'!$C:$I,7,FALSE)</f>
        <v>422.87</v>
      </c>
      <c r="I86" s="112">
        <f>IFERROR(IF(OR(G86="yes",F86= "yes"),VLOOKUP(C86,Summary!$B:$J,6,0),0),0)</f>
        <v>0</v>
      </c>
      <c r="J86" s="111">
        <f t="shared" si="21"/>
        <v>0</v>
      </c>
      <c r="K86" s="91">
        <f>VLOOKUP($A86,'2022-23 Salary &amp; Benefits'!$A:$I,3,FALSE)</f>
        <v>1.06</v>
      </c>
      <c r="L86" s="91">
        <f>VLOOKUP($A86,'2022-23 Salary &amp; Benefits'!$A:$I,4,FALSE)</f>
        <v>1.06</v>
      </c>
      <c r="M86" s="101">
        <f t="shared" si="16"/>
        <v>0</v>
      </c>
      <c r="N86" s="24">
        <v>15</v>
      </c>
      <c r="O86" s="26">
        <f t="shared" si="19"/>
        <v>0</v>
      </c>
      <c r="P86" s="24">
        <v>1.1000000000000001</v>
      </c>
      <c r="Q86" s="24">
        <v>36</v>
      </c>
      <c r="R86" s="27">
        <f t="shared" si="20"/>
        <v>0</v>
      </c>
      <c r="S86" s="102">
        <f t="shared" si="22"/>
        <v>0</v>
      </c>
      <c r="T86" s="21">
        <f>VLOOKUP($A86,'2022-23 Salary &amp; Benefits'!$A:$I,5,FALSE)</f>
        <v>68937</v>
      </c>
      <c r="U86" s="21">
        <f>VLOOKUP($A86,'2022-23 Salary &amp; Benefits'!$A:$I,6,FALSE)</f>
        <v>72728</v>
      </c>
      <c r="V86" s="22">
        <f t="shared" si="23"/>
        <v>0</v>
      </c>
      <c r="W86" s="22">
        <f t="shared" si="24"/>
        <v>0</v>
      </c>
      <c r="X86" s="22">
        <f>'2022-23 Salary &amp; Benefits'!$G$6</f>
        <v>12558.24</v>
      </c>
      <c r="Y86" s="23">
        <f>'2022-23 Salary &amp; Benefits'!$H$6</f>
        <v>0.2298</v>
      </c>
      <c r="Z86" s="23">
        <f>'2022-23 Salary &amp; Benefits'!$I$6</f>
        <v>0.22339999999999999</v>
      </c>
      <c r="AA86" s="22">
        <f t="shared" si="25"/>
        <v>0</v>
      </c>
      <c r="AB86" s="22">
        <f t="shared" si="26"/>
        <v>0</v>
      </c>
      <c r="AC86" s="22">
        <f t="shared" si="27"/>
        <v>0</v>
      </c>
      <c r="AD86" s="22">
        <f t="shared" si="17"/>
        <v>0</v>
      </c>
      <c r="AE86" s="22">
        <f t="shared" si="18"/>
        <v>0</v>
      </c>
      <c r="AF86" s="19" t="str">
        <f>VLOOKUP(C86,'2021-22 School Level AAFTE'!C:N,12,FALSE)</f>
        <v>No</v>
      </c>
    </row>
    <row r="87" spans="1:32" s="19" customFormat="1">
      <c r="A87" s="97" t="s">
        <v>2290</v>
      </c>
      <c r="B87" s="97" t="s">
        <v>265</v>
      </c>
      <c r="C87" s="95">
        <v>4104</v>
      </c>
      <c r="D87" s="95" t="s">
        <v>275</v>
      </c>
      <c r="E87" s="129">
        <f>VLOOKUP($C87,'2021-22 School Level AAFTE'!$C:$Z,11,FALSE)</f>
        <v>0.30990000000000001</v>
      </c>
      <c r="F87" s="129" t="str">
        <f>VLOOKUP($C87,'2021-22 School Level AAFTE'!$C:$Z,8,FALSE)</f>
        <v>No</v>
      </c>
      <c r="G87" s="129" t="str">
        <f>VLOOKUP($C87,'2021-22 School Level AAFTE'!$C:$Z,12,FALSE)</f>
        <v>No</v>
      </c>
      <c r="H87" s="127">
        <f>VLOOKUP($C87,'2021-22 School Level AAFTE'!$C:$I,7,FALSE)</f>
        <v>1485.3200000000002</v>
      </c>
      <c r="I87" s="112">
        <f>IFERROR(IF(OR(G87="yes",F87= "yes"),VLOOKUP(C87,Summary!$B:$J,6,0),0),0)</f>
        <v>0</v>
      </c>
      <c r="J87" s="111">
        <f t="shared" si="21"/>
        <v>0</v>
      </c>
      <c r="K87" s="91">
        <f>VLOOKUP($A87,'2022-23 Salary &amp; Benefits'!$A:$I,3,FALSE)</f>
        <v>1.06</v>
      </c>
      <c r="L87" s="91">
        <f>VLOOKUP($A87,'2022-23 Salary &amp; Benefits'!$A:$I,4,FALSE)</f>
        <v>1.06</v>
      </c>
      <c r="M87" s="101">
        <f t="shared" si="16"/>
        <v>0</v>
      </c>
      <c r="N87" s="24">
        <v>15</v>
      </c>
      <c r="O87" s="26">
        <f t="shared" si="19"/>
        <v>0</v>
      </c>
      <c r="P87" s="24">
        <v>1.1000000000000001</v>
      </c>
      <c r="Q87" s="24">
        <v>36</v>
      </c>
      <c r="R87" s="27">
        <f t="shared" si="20"/>
        <v>0</v>
      </c>
      <c r="S87" s="102">
        <f t="shared" si="22"/>
        <v>0</v>
      </c>
      <c r="T87" s="21">
        <f>VLOOKUP($A87,'2022-23 Salary &amp; Benefits'!$A:$I,5,FALSE)</f>
        <v>68937</v>
      </c>
      <c r="U87" s="21">
        <f>VLOOKUP($A87,'2022-23 Salary &amp; Benefits'!$A:$I,6,FALSE)</f>
        <v>72728</v>
      </c>
      <c r="V87" s="22">
        <f t="shared" si="23"/>
        <v>0</v>
      </c>
      <c r="W87" s="22">
        <f t="shared" si="24"/>
        <v>0</v>
      </c>
      <c r="X87" s="22">
        <f>'2022-23 Salary &amp; Benefits'!$G$6</f>
        <v>12558.24</v>
      </c>
      <c r="Y87" s="23">
        <f>'2022-23 Salary &amp; Benefits'!$H$6</f>
        <v>0.2298</v>
      </c>
      <c r="Z87" s="23">
        <f>'2022-23 Salary &amp; Benefits'!$I$6</f>
        <v>0.22339999999999999</v>
      </c>
      <c r="AA87" s="22">
        <f t="shared" si="25"/>
        <v>0</v>
      </c>
      <c r="AB87" s="22">
        <f t="shared" si="26"/>
        <v>0</v>
      </c>
      <c r="AC87" s="22">
        <f t="shared" si="27"/>
        <v>0</v>
      </c>
      <c r="AD87" s="22">
        <f t="shared" si="17"/>
        <v>0</v>
      </c>
      <c r="AE87" s="22">
        <f t="shared" si="18"/>
        <v>0</v>
      </c>
      <c r="AF87" s="19" t="str">
        <f>VLOOKUP(C87,'2021-22 School Level AAFTE'!C:N,12,FALSE)</f>
        <v>No</v>
      </c>
    </row>
    <row r="88" spans="1:32" s="19" customFormat="1">
      <c r="A88" s="97" t="s">
        <v>2290</v>
      </c>
      <c r="B88" s="97" t="s">
        <v>265</v>
      </c>
      <c r="C88" s="95">
        <v>4144</v>
      </c>
      <c r="D88" s="95" t="s">
        <v>2822</v>
      </c>
      <c r="E88" s="129">
        <f>VLOOKUP($C88,'2021-22 School Level AAFTE'!$C:$Z,11,FALSE)</f>
        <v>0.39273333333333332</v>
      </c>
      <c r="F88" s="129" t="str">
        <f>VLOOKUP($C88,'2021-22 School Level AAFTE'!$C:$Z,8,FALSE)</f>
        <v>No</v>
      </c>
      <c r="G88" s="129" t="str">
        <f>VLOOKUP($C88,'2021-22 School Level AAFTE'!$C:$Z,12,FALSE)</f>
        <v>No</v>
      </c>
      <c r="H88" s="127">
        <f>VLOOKUP($C88,'2021-22 School Level AAFTE'!$C:$I,7,FALSE)</f>
        <v>451.98</v>
      </c>
      <c r="I88" s="112">
        <f>IFERROR(IF(OR(G88="yes",F88= "yes"),VLOOKUP(C88,Summary!$B:$J,6,0),0),0)</f>
        <v>0</v>
      </c>
      <c r="J88" s="111">
        <f t="shared" si="21"/>
        <v>0</v>
      </c>
      <c r="K88" s="91">
        <f>VLOOKUP($A88,'2022-23 Salary &amp; Benefits'!$A:$I,3,FALSE)</f>
        <v>1.06</v>
      </c>
      <c r="L88" s="91">
        <f>VLOOKUP($A88,'2022-23 Salary &amp; Benefits'!$A:$I,4,FALSE)</f>
        <v>1.06</v>
      </c>
      <c r="M88" s="101">
        <f t="shared" si="16"/>
        <v>0</v>
      </c>
      <c r="N88" s="24">
        <v>15</v>
      </c>
      <c r="O88" s="26">
        <f t="shared" si="19"/>
        <v>0</v>
      </c>
      <c r="P88" s="24">
        <v>1.1000000000000001</v>
      </c>
      <c r="Q88" s="24">
        <v>36</v>
      </c>
      <c r="R88" s="27">
        <f t="shared" si="20"/>
        <v>0</v>
      </c>
      <c r="S88" s="102">
        <f t="shared" si="22"/>
        <v>0</v>
      </c>
      <c r="T88" s="21">
        <f>VLOOKUP($A88,'2022-23 Salary &amp; Benefits'!$A:$I,5,FALSE)</f>
        <v>68937</v>
      </c>
      <c r="U88" s="21">
        <f>VLOOKUP($A88,'2022-23 Salary &amp; Benefits'!$A:$I,6,FALSE)</f>
        <v>72728</v>
      </c>
      <c r="V88" s="22">
        <f t="shared" si="23"/>
        <v>0</v>
      </c>
      <c r="W88" s="22">
        <f t="shared" si="24"/>
        <v>0</v>
      </c>
      <c r="X88" s="22">
        <f>'2022-23 Salary &amp; Benefits'!$G$6</f>
        <v>12558.24</v>
      </c>
      <c r="Y88" s="23">
        <f>'2022-23 Salary &amp; Benefits'!$H$6</f>
        <v>0.2298</v>
      </c>
      <c r="Z88" s="23">
        <f>'2022-23 Salary &amp; Benefits'!$I$6</f>
        <v>0.22339999999999999</v>
      </c>
      <c r="AA88" s="22">
        <f t="shared" si="25"/>
        <v>0</v>
      </c>
      <c r="AB88" s="22">
        <f t="shared" si="26"/>
        <v>0</v>
      </c>
      <c r="AC88" s="22">
        <f t="shared" si="27"/>
        <v>0</v>
      </c>
      <c r="AD88" s="22">
        <f t="shared" si="17"/>
        <v>0</v>
      </c>
      <c r="AE88" s="22">
        <f t="shared" si="18"/>
        <v>0</v>
      </c>
      <c r="AF88" s="19" t="str">
        <f>VLOOKUP(C88,'2021-22 School Level AAFTE'!C:N,12,FALSE)</f>
        <v>No</v>
      </c>
    </row>
    <row r="89" spans="1:32" s="19" customFormat="1">
      <c r="A89" s="97" t="s">
        <v>2290</v>
      </c>
      <c r="B89" s="97" t="s">
        <v>265</v>
      </c>
      <c r="C89" s="95">
        <v>4352</v>
      </c>
      <c r="D89" s="95" t="s">
        <v>276</v>
      </c>
      <c r="E89" s="129">
        <f>VLOOKUP($C89,'2021-22 School Level AAFTE'!$C:$Z,11,FALSE)</f>
        <v>0.34493333333333331</v>
      </c>
      <c r="F89" s="129" t="str">
        <f>VLOOKUP($C89,'2021-22 School Level AAFTE'!$C:$Z,8,FALSE)</f>
        <v>No</v>
      </c>
      <c r="G89" s="129" t="str">
        <f>VLOOKUP($C89,'2021-22 School Level AAFTE'!$C:$Z,12,FALSE)</f>
        <v>No</v>
      </c>
      <c r="H89" s="127">
        <f>VLOOKUP($C89,'2021-22 School Level AAFTE'!$C:$I,7,FALSE)</f>
        <v>563.42999999999995</v>
      </c>
      <c r="I89" s="112">
        <f>IFERROR(IF(OR(G89="yes",F89= "yes"),VLOOKUP(C89,Summary!$B:$J,6,0),0),0)</f>
        <v>0</v>
      </c>
      <c r="J89" s="111">
        <f t="shared" si="21"/>
        <v>0</v>
      </c>
      <c r="K89" s="91">
        <f>VLOOKUP($A89,'2022-23 Salary &amp; Benefits'!$A:$I,3,FALSE)</f>
        <v>1.06</v>
      </c>
      <c r="L89" s="91">
        <f>VLOOKUP($A89,'2022-23 Salary &amp; Benefits'!$A:$I,4,FALSE)</f>
        <v>1.06</v>
      </c>
      <c r="M89" s="101">
        <f t="shared" si="16"/>
        <v>0</v>
      </c>
      <c r="N89" s="24">
        <v>15</v>
      </c>
      <c r="O89" s="26">
        <f t="shared" si="19"/>
        <v>0</v>
      </c>
      <c r="P89" s="24">
        <v>1.1000000000000001</v>
      </c>
      <c r="Q89" s="24">
        <v>36</v>
      </c>
      <c r="R89" s="27">
        <f t="shared" si="20"/>
        <v>0</v>
      </c>
      <c r="S89" s="102">
        <f t="shared" si="22"/>
        <v>0</v>
      </c>
      <c r="T89" s="21">
        <f>VLOOKUP($A89,'2022-23 Salary &amp; Benefits'!$A:$I,5,FALSE)</f>
        <v>68937</v>
      </c>
      <c r="U89" s="21">
        <f>VLOOKUP($A89,'2022-23 Salary &amp; Benefits'!$A:$I,6,FALSE)</f>
        <v>72728</v>
      </c>
      <c r="V89" s="22">
        <f t="shared" si="23"/>
        <v>0</v>
      </c>
      <c r="W89" s="22">
        <f t="shared" si="24"/>
        <v>0</v>
      </c>
      <c r="X89" s="22">
        <f>'2022-23 Salary &amp; Benefits'!$G$6</f>
        <v>12558.24</v>
      </c>
      <c r="Y89" s="23">
        <f>'2022-23 Salary &amp; Benefits'!$H$6</f>
        <v>0.2298</v>
      </c>
      <c r="Z89" s="23">
        <f>'2022-23 Salary &amp; Benefits'!$I$6</f>
        <v>0.22339999999999999</v>
      </c>
      <c r="AA89" s="22">
        <f t="shared" si="25"/>
        <v>0</v>
      </c>
      <c r="AB89" s="22">
        <f t="shared" si="26"/>
        <v>0</v>
      </c>
      <c r="AC89" s="22">
        <f t="shared" si="27"/>
        <v>0</v>
      </c>
      <c r="AD89" s="22">
        <f t="shared" si="17"/>
        <v>0</v>
      </c>
      <c r="AE89" s="22">
        <f t="shared" si="18"/>
        <v>0</v>
      </c>
      <c r="AF89" s="19" t="str">
        <f>VLOOKUP(C89,'2021-22 School Level AAFTE'!C:N,12,FALSE)</f>
        <v>No</v>
      </c>
    </row>
    <row r="90" spans="1:32" s="19" customFormat="1">
      <c r="A90" s="97" t="s">
        <v>2290</v>
      </c>
      <c r="B90" s="97" t="s">
        <v>265</v>
      </c>
      <c r="C90" s="95">
        <v>4450</v>
      </c>
      <c r="D90" s="95" t="s">
        <v>277</v>
      </c>
      <c r="E90" s="129">
        <f>VLOOKUP($C90,'2021-22 School Level AAFTE'!$C:$Z,11,FALSE)</f>
        <v>0.38666666666666666</v>
      </c>
      <c r="F90" s="129" t="str">
        <f>VLOOKUP($C90,'2021-22 School Level AAFTE'!$C:$Z,8,FALSE)</f>
        <v>No</v>
      </c>
      <c r="G90" s="129" t="str">
        <f>VLOOKUP($C90,'2021-22 School Level AAFTE'!$C:$Z,12,FALSE)</f>
        <v>No</v>
      </c>
      <c r="H90" s="127">
        <f>VLOOKUP($C90,'2021-22 School Level AAFTE'!$C:$I,7,FALSE)</f>
        <v>226.49</v>
      </c>
      <c r="I90" s="112">
        <f>IFERROR(IF(OR(G90="yes",F90= "yes"),VLOOKUP(C90,Summary!$B:$J,6,0),0),0)</f>
        <v>0</v>
      </c>
      <c r="J90" s="111">
        <f t="shared" si="21"/>
        <v>0</v>
      </c>
      <c r="K90" s="91">
        <f>VLOOKUP($A90,'2022-23 Salary &amp; Benefits'!$A:$I,3,FALSE)</f>
        <v>1.06</v>
      </c>
      <c r="L90" s="91">
        <f>VLOOKUP($A90,'2022-23 Salary &amp; Benefits'!$A:$I,4,FALSE)</f>
        <v>1.06</v>
      </c>
      <c r="M90" s="101">
        <f t="shared" si="16"/>
        <v>0</v>
      </c>
      <c r="N90" s="24">
        <v>15</v>
      </c>
      <c r="O90" s="26">
        <f t="shared" si="19"/>
        <v>0</v>
      </c>
      <c r="P90" s="24">
        <v>1.1000000000000001</v>
      </c>
      <c r="Q90" s="24">
        <v>36</v>
      </c>
      <c r="R90" s="27">
        <f t="shared" si="20"/>
        <v>0</v>
      </c>
      <c r="S90" s="102">
        <f t="shared" si="22"/>
        <v>0</v>
      </c>
      <c r="T90" s="21">
        <f>VLOOKUP($A90,'2022-23 Salary &amp; Benefits'!$A:$I,5,FALSE)</f>
        <v>68937</v>
      </c>
      <c r="U90" s="21">
        <f>VLOOKUP($A90,'2022-23 Salary &amp; Benefits'!$A:$I,6,FALSE)</f>
        <v>72728</v>
      </c>
      <c r="V90" s="22">
        <f t="shared" si="23"/>
        <v>0</v>
      </c>
      <c r="W90" s="22">
        <f t="shared" si="24"/>
        <v>0</v>
      </c>
      <c r="X90" s="22">
        <f>'2022-23 Salary &amp; Benefits'!$G$6</f>
        <v>12558.24</v>
      </c>
      <c r="Y90" s="23">
        <f>'2022-23 Salary &amp; Benefits'!$H$6</f>
        <v>0.2298</v>
      </c>
      <c r="Z90" s="23">
        <f>'2022-23 Salary &amp; Benefits'!$I$6</f>
        <v>0.22339999999999999</v>
      </c>
      <c r="AA90" s="22">
        <f t="shared" si="25"/>
        <v>0</v>
      </c>
      <c r="AB90" s="22">
        <f t="shared" si="26"/>
        <v>0</v>
      </c>
      <c r="AC90" s="22">
        <f t="shared" si="27"/>
        <v>0</v>
      </c>
      <c r="AD90" s="22">
        <f t="shared" si="17"/>
        <v>0</v>
      </c>
      <c r="AE90" s="22">
        <f t="shared" si="18"/>
        <v>0</v>
      </c>
      <c r="AF90" s="19" t="str">
        <f>VLOOKUP(C90,'2021-22 School Level AAFTE'!C:N,12,FALSE)</f>
        <v>No</v>
      </c>
    </row>
    <row r="91" spans="1:32" s="19" customFormat="1">
      <c r="A91" s="97" t="s">
        <v>2290</v>
      </c>
      <c r="B91" s="97" t="s">
        <v>265</v>
      </c>
      <c r="C91" s="95">
        <v>5089</v>
      </c>
      <c r="D91" s="95" t="s">
        <v>278</v>
      </c>
      <c r="E91" s="129">
        <f>VLOOKUP($C91,'2021-22 School Level AAFTE'!$C:$Z,11,FALSE)</f>
        <v>0.41226666666666673</v>
      </c>
      <c r="F91" s="129" t="str">
        <f>VLOOKUP($C91,'2021-22 School Level AAFTE'!$C:$Z,8,FALSE)</f>
        <v>No</v>
      </c>
      <c r="G91" s="129" t="str">
        <f>VLOOKUP($C91,'2021-22 School Level AAFTE'!$C:$Z,12,FALSE)</f>
        <v>No</v>
      </c>
      <c r="H91" s="127">
        <f>VLOOKUP($C91,'2021-22 School Level AAFTE'!$C:$I,7,FALSE)</f>
        <v>433.77</v>
      </c>
      <c r="I91" s="112">
        <f>IFERROR(IF(OR(G91="yes",F91= "yes"),VLOOKUP(C91,Summary!$B:$J,6,0),0),0)</f>
        <v>0</v>
      </c>
      <c r="J91" s="111">
        <f t="shared" si="21"/>
        <v>0</v>
      </c>
      <c r="K91" s="91">
        <f>VLOOKUP($A91,'2022-23 Salary &amp; Benefits'!$A:$I,3,FALSE)</f>
        <v>1.06</v>
      </c>
      <c r="L91" s="91">
        <f>VLOOKUP($A91,'2022-23 Salary &amp; Benefits'!$A:$I,4,FALSE)</f>
        <v>1.06</v>
      </c>
      <c r="M91" s="101">
        <f t="shared" si="16"/>
        <v>0</v>
      </c>
      <c r="N91" s="24">
        <v>15</v>
      </c>
      <c r="O91" s="26">
        <f t="shared" si="19"/>
        <v>0</v>
      </c>
      <c r="P91" s="24">
        <v>1.1000000000000001</v>
      </c>
      <c r="Q91" s="24">
        <v>36</v>
      </c>
      <c r="R91" s="27">
        <f t="shared" si="20"/>
        <v>0</v>
      </c>
      <c r="S91" s="102">
        <f t="shared" si="22"/>
        <v>0</v>
      </c>
      <c r="T91" s="21">
        <f>VLOOKUP($A91,'2022-23 Salary &amp; Benefits'!$A:$I,5,FALSE)</f>
        <v>68937</v>
      </c>
      <c r="U91" s="21">
        <f>VLOOKUP($A91,'2022-23 Salary &amp; Benefits'!$A:$I,6,FALSE)</f>
        <v>72728</v>
      </c>
      <c r="V91" s="22">
        <f t="shared" si="23"/>
        <v>0</v>
      </c>
      <c r="W91" s="22">
        <f t="shared" si="24"/>
        <v>0</v>
      </c>
      <c r="X91" s="22">
        <f>'2022-23 Salary &amp; Benefits'!$G$6</f>
        <v>12558.24</v>
      </c>
      <c r="Y91" s="23">
        <f>'2022-23 Salary &amp; Benefits'!$H$6</f>
        <v>0.2298</v>
      </c>
      <c r="Z91" s="23">
        <f>'2022-23 Salary &amp; Benefits'!$I$6</f>
        <v>0.22339999999999999</v>
      </c>
      <c r="AA91" s="22">
        <f t="shared" si="25"/>
        <v>0</v>
      </c>
      <c r="AB91" s="22">
        <f t="shared" si="26"/>
        <v>0</v>
      </c>
      <c r="AC91" s="22">
        <f t="shared" si="27"/>
        <v>0</v>
      </c>
      <c r="AD91" s="22">
        <f t="shared" si="17"/>
        <v>0</v>
      </c>
      <c r="AE91" s="22">
        <f t="shared" si="18"/>
        <v>0</v>
      </c>
      <c r="AF91" s="19" t="str">
        <f>VLOOKUP(C91,'2021-22 School Level AAFTE'!C:N,12,FALSE)</f>
        <v>No</v>
      </c>
    </row>
    <row r="92" spans="1:32" s="19" customFormat="1">
      <c r="A92" s="97" t="s">
        <v>2290</v>
      </c>
      <c r="B92" s="97" t="s">
        <v>265</v>
      </c>
      <c r="C92" s="95">
        <v>5090</v>
      </c>
      <c r="D92" s="95" t="s">
        <v>279</v>
      </c>
      <c r="E92" s="129">
        <f>VLOOKUP($C92,'2021-22 School Level AAFTE'!$C:$Z,11,FALSE)</f>
        <v>0.3836</v>
      </c>
      <c r="F92" s="129" t="str">
        <f>VLOOKUP($C92,'2021-22 School Level AAFTE'!$C:$Z,8,FALSE)</f>
        <v>No</v>
      </c>
      <c r="G92" s="129" t="str">
        <f>VLOOKUP($C92,'2021-22 School Level AAFTE'!$C:$Z,12,FALSE)</f>
        <v>No</v>
      </c>
      <c r="H92" s="127">
        <f>VLOOKUP($C92,'2021-22 School Level AAFTE'!$C:$I,7,FALSE)</f>
        <v>470.48</v>
      </c>
      <c r="I92" s="112">
        <f>IFERROR(IF(OR(G92="yes",F92= "yes"),VLOOKUP(C92,Summary!$B:$J,6,0),0),0)</f>
        <v>0</v>
      </c>
      <c r="J92" s="111">
        <f t="shared" si="21"/>
        <v>0</v>
      </c>
      <c r="K92" s="91">
        <f>VLOOKUP($A92,'2022-23 Salary &amp; Benefits'!$A:$I,3,FALSE)</f>
        <v>1.06</v>
      </c>
      <c r="L92" s="91">
        <f>VLOOKUP($A92,'2022-23 Salary &amp; Benefits'!$A:$I,4,FALSE)</f>
        <v>1.06</v>
      </c>
      <c r="M92" s="101">
        <f t="shared" si="16"/>
        <v>0</v>
      </c>
      <c r="N92" s="24">
        <v>15</v>
      </c>
      <c r="O92" s="26">
        <f t="shared" si="19"/>
        <v>0</v>
      </c>
      <c r="P92" s="24">
        <v>1.1000000000000001</v>
      </c>
      <c r="Q92" s="24">
        <v>36</v>
      </c>
      <c r="R92" s="27">
        <f t="shared" si="20"/>
        <v>0</v>
      </c>
      <c r="S92" s="102">
        <f t="shared" si="22"/>
        <v>0</v>
      </c>
      <c r="T92" s="21">
        <f>VLOOKUP($A92,'2022-23 Salary &amp; Benefits'!$A:$I,5,FALSE)</f>
        <v>68937</v>
      </c>
      <c r="U92" s="21">
        <f>VLOOKUP($A92,'2022-23 Salary &amp; Benefits'!$A:$I,6,FALSE)</f>
        <v>72728</v>
      </c>
      <c r="V92" s="22">
        <f t="shared" si="23"/>
        <v>0</v>
      </c>
      <c r="W92" s="22">
        <f t="shared" si="24"/>
        <v>0</v>
      </c>
      <c r="X92" s="22">
        <f>'2022-23 Salary &amp; Benefits'!$G$6</f>
        <v>12558.24</v>
      </c>
      <c r="Y92" s="23">
        <f>'2022-23 Salary &amp; Benefits'!$H$6</f>
        <v>0.2298</v>
      </c>
      <c r="Z92" s="23">
        <f>'2022-23 Salary &amp; Benefits'!$I$6</f>
        <v>0.22339999999999999</v>
      </c>
      <c r="AA92" s="22">
        <f t="shared" si="25"/>
        <v>0</v>
      </c>
      <c r="AB92" s="22">
        <f t="shared" si="26"/>
        <v>0</v>
      </c>
      <c r="AC92" s="22">
        <f t="shared" si="27"/>
        <v>0</v>
      </c>
      <c r="AD92" s="22">
        <f t="shared" si="17"/>
        <v>0</v>
      </c>
      <c r="AE92" s="22">
        <f t="shared" si="18"/>
        <v>0</v>
      </c>
      <c r="AF92" s="19" t="str">
        <f>VLOOKUP(C92,'2021-22 School Level AAFTE'!C:N,12,FALSE)</f>
        <v>No</v>
      </c>
    </row>
    <row r="93" spans="1:32" s="19" customFormat="1">
      <c r="A93" s="97" t="s">
        <v>2290</v>
      </c>
      <c r="B93" s="97" t="s">
        <v>265</v>
      </c>
      <c r="C93" s="95">
        <v>5131</v>
      </c>
      <c r="D93" s="95" t="s">
        <v>280</v>
      </c>
      <c r="E93" s="129">
        <f>VLOOKUP($C93,'2021-22 School Level AAFTE'!$C:$Z,11,FALSE)</f>
        <v>0.32606666666666667</v>
      </c>
      <c r="F93" s="129" t="str">
        <f>VLOOKUP($C93,'2021-22 School Level AAFTE'!$C:$Z,8,FALSE)</f>
        <v>No</v>
      </c>
      <c r="G93" s="129" t="str">
        <f>VLOOKUP($C93,'2021-22 School Level AAFTE'!$C:$Z,12,FALSE)</f>
        <v>No</v>
      </c>
      <c r="H93" s="127">
        <f>VLOOKUP($C93,'2021-22 School Level AAFTE'!$C:$I,7,FALSE)</f>
        <v>496.05</v>
      </c>
      <c r="I93" s="112">
        <f>IFERROR(IF(OR(G93="yes",F93= "yes"),VLOOKUP(C93,Summary!$B:$J,6,0),0),0)</f>
        <v>0</v>
      </c>
      <c r="J93" s="111">
        <f t="shared" si="21"/>
        <v>0</v>
      </c>
      <c r="K93" s="91">
        <f>VLOOKUP($A93,'2022-23 Salary &amp; Benefits'!$A:$I,3,FALSE)</f>
        <v>1.06</v>
      </c>
      <c r="L93" s="91">
        <f>VLOOKUP($A93,'2022-23 Salary &amp; Benefits'!$A:$I,4,FALSE)</f>
        <v>1.06</v>
      </c>
      <c r="M93" s="101">
        <f t="shared" si="16"/>
        <v>0</v>
      </c>
      <c r="N93" s="24">
        <v>15</v>
      </c>
      <c r="O93" s="26">
        <f t="shared" si="19"/>
        <v>0</v>
      </c>
      <c r="P93" s="24">
        <v>1.1000000000000001</v>
      </c>
      <c r="Q93" s="24">
        <v>36</v>
      </c>
      <c r="R93" s="27">
        <f t="shared" si="20"/>
        <v>0</v>
      </c>
      <c r="S93" s="102">
        <f t="shared" si="22"/>
        <v>0</v>
      </c>
      <c r="T93" s="21">
        <f>VLOOKUP($A93,'2022-23 Salary &amp; Benefits'!$A:$I,5,FALSE)</f>
        <v>68937</v>
      </c>
      <c r="U93" s="21">
        <f>VLOOKUP($A93,'2022-23 Salary &amp; Benefits'!$A:$I,6,FALSE)</f>
        <v>72728</v>
      </c>
      <c r="V93" s="22">
        <f t="shared" si="23"/>
        <v>0</v>
      </c>
      <c r="W93" s="22">
        <f t="shared" si="24"/>
        <v>0</v>
      </c>
      <c r="X93" s="22">
        <f>'2022-23 Salary &amp; Benefits'!$G$6</f>
        <v>12558.24</v>
      </c>
      <c r="Y93" s="23">
        <f>'2022-23 Salary &amp; Benefits'!$H$6</f>
        <v>0.2298</v>
      </c>
      <c r="Z93" s="23">
        <f>'2022-23 Salary &amp; Benefits'!$I$6</f>
        <v>0.22339999999999999</v>
      </c>
      <c r="AA93" s="22">
        <f t="shared" si="25"/>
        <v>0</v>
      </c>
      <c r="AB93" s="22">
        <f t="shared" si="26"/>
        <v>0</v>
      </c>
      <c r="AC93" s="22">
        <f t="shared" si="27"/>
        <v>0</v>
      </c>
      <c r="AD93" s="22">
        <f t="shared" si="17"/>
        <v>0</v>
      </c>
      <c r="AE93" s="22">
        <f t="shared" si="18"/>
        <v>0</v>
      </c>
      <c r="AF93" s="19" t="str">
        <f>VLOOKUP(C93,'2021-22 School Level AAFTE'!C:N,12,FALSE)</f>
        <v>No</v>
      </c>
    </row>
    <row r="94" spans="1:32" s="19" customFormat="1">
      <c r="A94" s="97" t="s">
        <v>2290</v>
      </c>
      <c r="B94" s="97" t="s">
        <v>265</v>
      </c>
      <c r="C94" s="95">
        <v>5132</v>
      </c>
      <c r="D94" s="95" t="s">
        <v>281</v>
      </c>
      <c r="E94" s="129">
        <f>VLOOKUP($C94,'2021-22 School Level AAFTE'!$C:$Z,11,FALSE)</f>
        <v>0.27883333333333332</v>
      </c>
      <c r="F94" s="129" t="str">
        <f>VLOOKUP($C94,'2021-22 School Level AAFTE'!$C:$Z,8,FALSE)</f>
        <v>No</v>
      </c>
      <c r="G94" s="129" t="str">
        <f>VLOOKUP($C94,'2021-22 School Level AAFTE'!$C:$Z,12,FALSE)</f>
        <v>No</v>
      </c>
      <c r="H94" s="127">
        <f>VLOOKUP($C94,'2021-22 School Level AAFTE'!$C:$I,7,FALSE)</f>
        <v>463.57</v>
      </c>
      <c r="I94" s="112">
        <f>IFERROR(IF(OR(G94="yes",F94= "yes"),VLOOKUP(C94,Summary!$B:$J,6,0),0),0)</f>
        <v>0</v>
      </c>
      <c r="J94" s="111">
        <f t="shared" si="21"/>
        <v>0</v>
      </c>
      <c r="K94" s="91">
        <f>VLOOKUP($A94,'2022-23 Salary &amp; Benefits'!$A:$I,3,FALSE)</f>
        <v>1.06</v>
      </c>
      <c r="L94" s="91">
        <f>VLOOKUP($A94,'2022-23 Salary &amp; Benefits'!$A:$I,4,FALSE)</f>
        <v>1.06</v>
      </c>
      <c r="M94" s="39">
        <f t="shared" si="16"/>
        <v>0</v>
      </c>
      <c r="N94" s="24">
        <v>15</v>
      </c>
      <c r="O94" s="26">
        <f t="shared" si="19"/>
        <v>0</v>
      </c>
      <c r="P94" s="24">
        <v>1.1000000000000001</v>
      </c>
      <c r="Q94" s="24">
        <v>36</v>
      </c>
      <c r="R94" s="27">
        <f t="shared" si="20"/>
        <v>0</v>
      </c>
      <c r="S94" s="102">
        <f t="shared" si="22"/>
        <v>0</v>
      </c>
      <c r="T94" s="21">
        <f>VLOOKUP($A94,'2022-23 Salary &amp; Benefits'!$A:$I,5,FALSE)</f>
        <v>68937</v>
      </c>
      <c r="U94" s="21">
        <f>VLOOKUP($A94,'2022-23 Salary &amp; Benefits'!$A:$I,6,FALSE)</f>
        <v>72728</v>
      </c>
      <c r="V94" s="22">
        <f t="shared" si="23"/>
        <v>0</v>
      </c>
      <c r="W94" s="22">
        <f t="shared" si="24"/>
        <v>0</v>
      </c>
      <c r="X94" s="22">
        <f>'2022-23 Salary &amp; Benefits'!$G$6</f>
        <v>12558.24</v>
      </c>
      <c r="Y94" s="23">
        <f>'2022-23 Salary &amp; Benefits'!$H$6</f>
        <v>0.2298</v>
      </c>
      <c r="Z94" s="23">
        <f>'2022-23 Salary &amp; Benefits'!$I$6</f>
        <v>0.22339999999999999</v>
      </c>
      <c r="AA94" s="22">
        <f t="shared" si="25"/>
        <v>0</v>
      </c>
      <c r="AB94" s="22">
        <f t="shared" si="26"/>
        <v>0</v>
      </c>
      <c r="AC94" s="22">
        <f t="shared" si="27"/>
        <v>0</v>
      </c>
      <c r="AD94" s="22">
        <f t="shared" si="17"/>
        <v>0</v>
      </c>
      <c r="AE94" s="22">
        <f t="shared" si="18"/>
        <v>0</v>
      </c>
      <c r="AF94" s="19" t="str">
        <f>VLOOKUP(C94,'2021-22 School Level AAFTE'!C:N,12,FALSE)</f>
        <v>No</v>
      </c>
    </row>
    <row r="95" spans="1:32" s="19" customFormat="1">
      <c r="A95" s="97" t="s">
        <v>2290</v>
      </c>
      <c r="B95" s="97" t="s">
        <v>265</v>
      </c>
      <c r="C95" s="95">
        <v>5133</v>
      </c>
      <c r="D95" s="95" t="s">
        <v>282</v>
      </c>
      <c r="E95" s="129">
        <f>VLOOKUP($C95,'2021-22 School Level AAFTE'!$C:$Z,11,FALSE)</f>
        <v>0.31609999999999999</v>
      </c>
      <c r="F95" s="129" t="str">
        <f>VLOOKUP($C95,'2021-22 School Level AAFTE'!$C:$Z,8,FALSE)</f>
        <v>No</v>
      </c>
      <c r="G95" s="129" t="str">
        <f>VLOOKUP($C95,'2021-22 School Level AAFTE'!$C:$Z,12,FALSE)</f>
        <v>No</v>
      </c>
      <c r="H95" s="127">
        <f>VLOOKUP($C95,'2021-22 School Level AAFTE'!$C:$I,7,FALSE)</f>
        <v>569.84</v>
      </c>
      <c r="I95" s="112">
        <f>IFERROR(IF(OR(G95="yes",F95= "yes"),VLOOKUP(C95,Summary!$B:$J,6,0),0),0)</f>
        <v>0</v>
      </c>
      <c r="J95" s="111">
        <f t="shared" si="21"/>
        <v>0</v>
      </c>
      <c r="K95" s="91">
        <f>VLOOKUP($A95,'2022-23 Salary &amp; Benefits'!$A:$I,3,FALSE)</f>
        <v>1.06</v>
      </c>
      <c r="L95" s="91">
        <f>VLOOKUP($A95,'2022-23 Salary &amp; Benefits'!$A:$I,4,FALSE)</f>
        <v>1.06</v>
      </c>
      <c r="M95" s="101">
        <f t="shared" si="16"/>
        <v>0</v>
      </c>
      <c r="N95" s="24">
        <v>15</v>
      </c>
      <c r="O95" s="26">
        <f t="shared" si="19"/>
        <v>0</v>
      </c>
      <c r="P95" s="24">
        <v>1.1000000000000001</v>
      </c>
      <c r="Q95" s="24">
        <v>36</v>
      </c>
      <c r="R95" s="27">
        <f t="shared" si="20"/>
        <v>0</v>
      </c>
      <c r="S95" s="102">
        <f t="shared" si="22"/>
        <v>0</v>
      </c>
      <c r="T95" s="21">
        <f>VLOOKUP($A95,'2022-23 Salary &amp; Benefits'!$A:$I,5,FALSE)</f>
        <v>68937</v>
      </c>
      <c r="U95" s="21">
        <f>VLOOKUP($A95,'2022-23 Salary &amp; Benefits'!$A:$I,6,FALSE)</f>
        <v>72728</v>
      </c>
      <c r="V95" s="22">
        <f t="shared" si="23"/>
        <v>0</v>
      </c>
      <c r="W95" s="22">
        <f t="shared" si="24"/>
        <v>0</v>
      </c>
      <c r="X95" s="22">
        <f>'2022-23 Salary &amp; Benefits'!$G$6</f>
        <v>12558.24</v>
      </c>
      <c r="Y95" s="23">
        <f>'2022-23 Salary &amp; Benefits'!$H$6</f>
        <v>0.2298</v>
      </c>
      <c r="Z95" s="23">
        <f>'2022-23 Salary &amp; Benefits'!$I$6</f>
        <v>0.22339999999999999</v>
      </c>
      <c r="AA95" s="22">
        <f t="shared" si="25"/>
        <v>0</v>
      </c>
      <c r="AB95" s="22">
        <f t="shared" si="26"/>
        <v>0</v>
      </c>
      <c r="AC95" s="22">
        <f t="shared" si="27"/>
        <v>0</v>
      </c>
      <c r="AD95" s="22">
        <f t="shared" si="17"/>
        <v>0</v>
      </c>
      <c r="AE95" s="22">
        <f t="shared" si="18"/>
        <v>0</v>
      </c>
      <c r="AF95" s="19" t="str">
        <f>VLOOKUP(C95,'2021-22 School Level AAFTE'!C:N,12,FALSE)</f>
        <v>No</v>
      </c>
    </row>
    <row r="96" spans="1:32" s="19" customFormat="1">
      <c r="A96" s="97" t="s">
        <v>2290</v>
      </c>
      <c r="B96" s="97" t="s">
        <v>265</v>
      </c>
      <c r="C96" s="95">
        <v>5360</v>
      </c>
      <c r="D96" s="95" t="s">
        <v>283</v>
      </c>
      <c r="E96" s="129">
        <f>VLOOKUP($C96,'2021-22 School Level AAFTE'!$C:$Z,11,FALSE)</f>
        <v>0.37166666666666665</v>
      </c>
      <c r="F96" s="129" t="str">
        <f>VLOOKUP($C96,'2021-22 School Level AAFTE'!$C:$Z,8,FALSE)</f>
        <v>No</v>
      </c>
      <c r="G96" s="129" t="str">
        <f>VLOOKUP($C96,'2021-22 School Level AAFTE'!$C:$Z,12,FALSE)</f>
        <v>No</v>
      </c>
      <c r="H96" s="127">
        <f>VLOOKUP($C96,'2021-22 School Level AAFTE'!$C:$I,7,FALSE)</f>
        <v>16.14</v>
      </c>
      <c r="I96" s="112">
        <f>IFERROR(IF(OR(G96="yes",F96= "yes"),VLOOKUP(C96,Summary!$B:$J,6,0),0),0)</f>
        <v>0</v>
      </c>
      <c r="J96" s="111">
        <f t="shared" si="21"/>
        <v>0</v>
      </c>
      <c r="K96" s="91">
        <f>VLOOKUP($A96,'2022-23 Salary &amp; Benefits'!$A:$I,3,FALSE)</f>
        <v>1.06</v>
      </c>
      <c r="L96" s="91">
        <f>VLOOKUP($A96,'2022-23 Salary &amp; Benefits'!$A:$I,4,FALSE)</f>
        <v>1.06</v>
      </c>
      <c r="M96" s="101">
        <f t="shared" si="16"/>
        <v>0</v>
      </c>
      <c r="N96" s="24">
        <v>15</v>
      </c>
      <c r="O96" s="26">
        <f t="shared" si="19"/>
        <v>0</v>
      </c>
      <c r="P96" s="24">
        <v>1.1000000000000001</v>
      </c>
      <c r="Q96" s="24">
        <v>36</v>
      </c>
      <c r="R96" s="27">
        <f t="shared" si="20"/>
        <v>0</v>
      </c>
      <c r="S96" s="102">
        <f t="shared" si="22"/>
        <v>0</v>
      </c>
      <c r="T96" s="21">
        <f>VLOOKUP($A96,'2022-23 Salary &amp; Benefits'!$A:$I,5,FALSE)</f>
        <v>68937</v>
      </c>
      <c r="U96" s="21">
        <f>VLOOKUP($A96,'2022-23 Salary &amp; Benefits'!$A:$I,6,FALSE)</f>
        <v>72728</v>
      </c>
      <c r="V96" s="22">
        <f t="shared" si="23"/>
        <v>0</v>
      </c>
      <c r="W96" s="22">
        <f t="shared" si="24"/>
        <v>0</v>
      </c>
      <c r="X96" s="22">
        <f>'2022-23 Salary &amp; Benefits'!$G$6</f>
        <v>12558.24</v>
      </c>
      <c r="Y96" s="23">
        <f>'2022-23 Salary &amp; Benefits'!$H$6</f>
        <v>0.2298</v>
      </c>
      <c r="Z96" s="23">
        <f>'2022-23 Salary &amp; Benefits'!$I$6</f>
        <v>0.22339999999999999</v>
      </c>
      <c r="AA96" s="22">
        <f t="shared" si="25"/>
        <v>0</v>
      </c>
      <c r="AB96" s="22">
        <f t="shared" si="26"/>
        <v>0</v>
      </c>
      <c r="AC96" s="22">
        <f t="shared" si="27"/>
        <v>0</v>
      </c>
      <c r="AD96" s="22">
        <f t="shared" si="17"/>
        <v>0</v>
      </c>
      <c r="AE96" s="22">
        <f t="shared" si="18"/>
        <v>0</v>
      </c>
      <c r="AF96" s="19" t="str">
        <f>VLOOKUP(C96,'2021-22 School Level AAFTE'!C:N,12,FALSE)</f>
        <v>No</v>
      </c>
    </row>
    <row r="97" spans="1:32" s="19" customFormat="1">
      <c r="A97" s="97" t="s">
        <v>2290</v>
      </c>
      <c r="B97" s="97" t="s">
        <v>265</v>
      </c>
      <c r="C97" s="95">
        <v>5502</v>
      </c>
      <c r="D97" s="95" t="s">
        <v>2863</v>
      </c>
      <c r="E97" s="129">
        <f>VLOOKUP($C97,'2021-22 School Level AAFTE'!$C:$Z,11,FALSE)</f>
        <v>0.44843333333333329</v>
      </c>
      <c r="F97" s="129" t="str">
        <f>VLOOKUP($C97,'2021-22 School Level AAFTE'!$C:$Z,8,FALSE)</f>
        <v>No</v>
      </c>
      <c r="G97" s="129" t="str">
        <f>VLOOKUP($C97,'2021-22 School Level AAFTE'!$C:$Z,12,FALSE)</f>
        <v>No</v>
      </c>
      <c r="H97" s="127">
        <f>VLOOKUP($C97,'2021-22 School Level AAFTE'!$C:$I,7,FALSE)</f>
        <v>11.86</v>
      </c>
      <c r="I97" s="112">
        <f>IFERROR(IF(OR(G97="yes",F97= "yes"),VLOOKUP(C97,Summary!$B:$J,6,0),0),0)</f>
        <v>0</v>
      </c>
      <c r="J97" s="111">
        <f t="shared" si="21"/>
        <v>0</v>
      </c>
      <c r="K97" s="91">
        <f>VLOOKUP($A97,'2022-23 Salary &amp; Benefits'!$A:$I,3,FALSE)</f>
        <v>1.06</v>
      </c>
      <c r="L97" s="91">
        <f>VLOOKUP($A97,'2022-23 Salary &amp; Benefits'!$A:$I,4,FALSE)</f>
        <v>1.06</v>
      </c>
      <c r="M97" s="101">
        <f t="shared" si="16"/>
        <v>0</v>
      </c>
      <c r="N97" s="24">
        <v>15</v>
      </c>
      <c r="O97" s="26">
        <f t="shared" si="19"/>
        <v>0</v>
      </c>
      <c r="P97" s="24">
        <v>1.1000000000000001</v>
      </c>
      <c r="Q97" s="24">
        <v>36</v>
      </c>
      <c r="R97" s="27">
        <f t="shared" si="20"/>
        <v>0</v>
      </c>
      <c r="S97" s="102">
        <f t="shared" si="22"/>
        <v>0</v>
      </c>
      <c r="T97" s="21">
        <f>VLOOKUP($A97,'2022-23 Salary &amp; Benefits'!$A:$I,5,FALSE)</f>
        <v>68937</v>
      </c>
      <c r="U97" s="21">
        <f>VLOOKUP($A97,'2022-23 Salary &amp; Benefits'!$A:$I,6,FALSE)</f>
        <v>72728</v>
      </c>
      <c r="V97" s="22">
        <f t="shared" si="23"/>
        <v>0</v>
      </c>
      <c r="W97" s="22">
        <f t="shared" si="24"/>
        <v>0</v>
      </c>
      <c r="X97" s="22">
        <f>'2022-23 Salary &amp; Benefits'!$G$6</f>
        <v>12558.24</v>
      </c>
      <c r="Y97" s="23">
        <f>'2022-23 Salary &amp; Benefits'!$H$6</f>
        <v>0.2298</v>
      </c>
      <c r="Z97" s="23">
        <f>'2022-23 Salary &amp; Benefits'!$I$6</f>
        <v>0.22339999999999999</v>
      </c>
      <c r="AA97" s="22">
        <f t="shared" si="25"/>
        <v>0</v>
      </c>
      <c r="AB97" s="22">
        <f t="shared" si="26"/>
        <v>0</v>
      </c>
      <c r="AC97" s="22">
        <f t="shared" si="27"/>
        <v>0</v>
      </c>
      <c r="AD97" s="22">
        <f t="shared" si="17"/>
        <v>0</v>
      </c>
      <c r="AE97" s="22">
        <f t="shared" si="18"/>
        <v>0</v>
      </c>
      <c r="AF97" s="19" t="str">
        <f>VLOOKUP(C97,'2021-22 School Level AAFTE'!C:N,12,FALSE)</f>
        <v>No</v>
      </c>
    </row>
    <row r="98" spans="1:32" s="19" customFormat="1">
      <c r="A98" s="97" t="s">
        <v>2356</v>
      </c>
      <c r="B98" s="97" t="s">
        <v>763</v>
      </c>
      <c r="C98" s="95">
        <v>2701</v>
      </c>
      <c r="D98" s="95" t="s">
        <v>764</v>
      </c>
      <c r="E98" s="129">
        <f>VLOOKUP($C98,'2021-22 School Level AAFTE'!$C:$Z,11,FALSE)</f>
        <v>9.0933333333333324E-2</v>
      </c>
      <c r="F98" s="129" t="str">
        <f>VLOOKUP($C98,'2021-22 School Level AAFTE'!$C:$Z,8,FALSE)</f>
        <v>No</v>
      </c>
      <c r="G98" s="129" t="str">
        <f>VLOOKUP($C98,'2021-22 School Level AAFTE'!$C:$Z,12,FALSE)</f>
        <v>No</v>
      </c>
      <c r="H98" s="127">
        <f>VLOOKUP($C98,'2021-22 School Level AAFTE'!$C:$I,7,FALSE)</f>
        <v>1507.13</v>
      </c>
      <c r="I98" s="112">
        <f>IFERROR(IF(OR(G98="yes",F98= "yes"),VLOOKUP(C98,Summary!$B:$J,6,0),0),0)</f>
        <v>0</v>
      </c>
      <c r="J98" s="111">
        <f t="shared" si="21"/>
        <v>0</v>
      </c>
      <c r="K98" s="91">
        <f>VLOOKUP($A98,'2022-23 Salary &amp; Benefits'!$A:$I,3,FALSE)</f>
        <v>1.18</v>
      </c>
      <c r="L98" s="91">
        <f>VLOOKUP($A98,'2022-23 Salary &amp; Benefits'!$A:$I,4,FALSE)</f>
        <v>1.18</v>
      </c>
      <c r="M98" s="101">
        <f t="shared" si="16"/>
        <v>0</v>
      </c>
      <c r="N98" s="24">
        <v>15</v>
      </c>
      <c r="O98" s="26">
        <f t="shared" si="19"/>
        <v>0</v>
      </c>
      <c r="P98" s="24">
        <v>1.1000000000000001</v>
      </c>
      <c r="Q98" s="24">
        <v>36</v>
      </c>
      <c r="R98" s="27">
        <f t="shared" si="20"/>
        <v>0</v>
      </c>
      <c r="S98" s="102">
        <f t="shared" si="22"/>
        <v>0</v>
      </c>
      <c r="T98" s="21">
        <f>VLOOKUP($A98,'2022-23 Salary &amp; Benefits'!$A:$I,5,FALSE)</f>
        <v>68937</v>
      </c>
      <c r="U98" s="21">
        <f>VLOOKUP($A98,'2022-23 Salary &amp; Benefits'!$A:$I,6,FALSE)</f>
        <v>72728</v>
      </c>
      <c r="V98" s="22">
        <f t="shared" si="23"/>
        <v>0</v>
      </c>
      <c r="W98" s="22">
        <f t="shared" si="24"/>
        <v>0</v>
      </c>
      <c r="X98" s="22">
        <f>'2022-23 Salary &amp; Benefits'!$G$6</f>
        <v>12558.24</v>
      </c>
      <c r="Y98" s="23">
        <f>'2022-23 Salary &amp; Benefits'!$H$6</f>
        <v>0.2298</v>
      </c>
      <c r="Z98" s="23">
        <f>'2022-23 Salary &amp; Benefits'!$I$6</f>
        <v>0.22339999999999999</v>
      </c>
      <c r="AA98" s="22">
        <f t="shared" si="25"/>
        <v>0</v>
      </c>
      <c r="AB98" s="22">
        <f t="shared" si="26"/>
        <v>0</v>
      </c>
      <c r="AC98" s="22">
        <f t="shared" si="27"/>
        <v>0</v>
      </c>
      <c r="AD98" s="22">
        <f t="shared" si="17"/>
        <v>0</v>
      </c>
      <c r="AE98" s="22">
        <f t="shared" si="18"/>
        <v>0</v>
      </c>
      <c r="AF98" s="19" t="str">
        <f>VLOOKUP(C98,'2021-22 School Level AAFTE'!C:N,12,FALSE)</f>
        <v>No</v>
      </c>
    </row>
    <row r="99" spans="1:32" s="19" customFormat="1">
      <c r="A99" s="97" t="s">
        <v>2356</v>
      </c>
      <c r="B99" s="97" t="s">
        <v>763</v>
      </c>
      <c r="C99" s="95">
        <v>2846</v>
      </c>
      <c r="D99" s="95" t="s">
        <v>765</v>
      </c>
      <c r="E99" s="129">
        <f>VLOOKUP($C99,'2021-22 School Level AAFTE'!$C:$Z,11,FALSE)</f>
        <v>0.13703333333333331</v>
      </c>
      <c r="F99" s="129" t="str">
        <f>VLOOKUP($C99,'2021-22 School Level AAFTE'!$C:$Z,8,FALSE)</f>
        <v>No</v>
      </c>
      <c r="G99" s="129" t="str">
        <f>VLOOKUP($C99,'2021-22 School Level AAFTE'!$C:$Z,12,FALSE)</f>
        <v>No</v>
      </c>
      <c r="H99" s="127">
        <f>VLOOKUP($C99,'2021-22 School Level AAFTE'!$C:$I,7,FALSE)</f>
        <v>381.29</v>
      </c>
      <c r="I99" s="112">
        <f>IFERROR(IF(OR(G99="yes",F99= "yes"),VLOOKUP(C99,Summary!$B:$J,6,0),0),0)</f>
        <v>0</v>
      </c>
      <c r="J99" s="111">
        <f t="shared" si="21"/>
        <v>0</v>
      </c>
      <c r="K99" s="91">
        <f>VLOOKUP($A99,'2022-23 Salary &amp; Benefits'!$A:$I,3,FALSE)</f>
        <v>1.18</v>
      </c>
      <c r="L99" s="91">
        <f>VLOOKUP($A99,'2022-23 Salary &amp; Benefits'!$A:$I,4,FALSE)</f>
        <v>1.18</v>
      </c>
      <c r="M99" s="101">
        <f t="shared" si="16"/>
        <v>0</v>
      </c>
      <c r="N99" s="24">
        <v>15</v>
      </c>
      <c r="O99" s="26">
        <f t="shared" si="19"/>
        <v>0</v>
      </c>
      <c r="P99" s="24">
        <v>1.1000000000000001</v>
      </c>
      <c r="Q99" s="24">
        <v>36</v>
      </c>
      <c r="R99" s="27">
        <f t="shared" si="20"/>
        <v>0</v>
      </c>
      <c r="S99" s="102">
        <f t="shared" si="22"/>
        <v>0</v>
      </c>
      <c r="T99" s="21">
        <f>VLOOKUP($A99,'2022-23 Salary &amp; Benefits'!$A:$I,5,FALSE)</f>
        <v>68937</v>
      </c>
      <c r="U99" s="21">
        <f>VLOOKUP($A99,'2022-23 Salary &amp; Benefits'!$A:$I,6,FALSE)</f>
        <v>72728</v>
      </c>
      <c r="V99" s="22">
        <f t="shared" si="23"/>
        <v>0</v>
      </c>
      <c r="W99" s="22">
        <f t="shared" si="24"/>
        <v>0</v>
      </c>
      <c r="X99" s="22">
        <f>'2022-23 Salary &amp; Benefits'!$G$6</f>
        <v>12558.24</v>
      </c>
      <c r="Y99" s="23">
        <f>'2022-23 Salary &amp; Benefits'!$H$6</f>
        <v>0.2298</v>
      </c>
      <c r="Z99" s="23">
        <f>'2022-23 Salary &amp; Benefits'!$I$6</f>
        <v>0.22339999999999999</v>
      </c>
      <c r="AA99" s="22">
        <f t="shared" si="25"/>
        <v>0</v>
      </c>
      <c r="AB99" s="22">
        <f t="shared" si="26"/>
        <v>0</v>
      </c>
      <c r="AC99" s="22">
        <f t="shared" si="27"/>
        <v>0</v>
      </c>
      <c r="AD99" s="22">
        <f t="shared" si="17"/>
        <v>0</v>
      </c>
      <c r="AE99" s="22">
        <f t="shared" si="18"/>
        <v>0</v>
      </c>
      <c r="AF99" s="19" t="str">
        <f>VLOOKUP(C99,'2021-22 School Level AAFTE'!C:N,12,FALSE)</f>
        <v>No</v>
      </c>
    </row>
    <row r="100" spans="1:32" s="19" customFormat="1">
      <c r="A100" s="97" t="s">
        <v>2356</v>
      </c>
      <c r="B100" s="97" t="s">
        <v>763</v>
      </c>
      <c r="C100" s="95">
        <v>2847</v>
      </c>
      <c r="D100" s="95" t="s">
        <v>766</v>
      </c>
      <c r="E100" s="129">
        <f>VLOOKUP($C100,'2021-22 School Level AAFTE'!$C:$Z,11,FALSE)</f>
        <v>7.7200000000000005E-2</v>
      </c>
      <c r="F100" s="129" t="str">
        <f>VLOOKUP($C100,'2021-22 School Level AAFTE'!$C:$Z,8,FALSE)</f>
        <v>No</v>
      </c>
      <c r="G100" s="129" t="str">
        <f>VLOOKUP($C100,'2021-22 School Level AAFTE'!$C:$Z,12,FALSE)</f>
        <v>No</v>
      </c>
      <c r="H100" s="127">
        <f>VLOOKUP($C100,'2021-22 School Level AAFTE'!$C:$I,7,FALSE)</f>
        <v>441.74</v>
      </c>
      <c r="I100" s="112">
        <f>IFERROR(IF(OR(G100="yes",F100= "yes"),VLOOKUP(C100,Summary!$B:$J,6,0),0),0)</f>
        <v>0</v>
      </c>
      <c r="J100" s="111">
        <f t="shared" si="21"/>
        <v>0</v>
      </c>
      <c r="K100" s="91">
        <f>VLOOKUP($A100,'2022-23 Salary &amp; Benefits'!$A:$I,3,FALSE)</f>
        <v>1.18</v>
      </c>
      <c r="L100" s="91">
        <f>VLOOKUP($A100,'2022-23 Salary &amp; Benefits'!$A:$I,4,FALSE)</f>
        <v>1.18</v>
      </c>
      <c r="M100" s="101">
        <f t="shared" si="16"/>
        <v>0</v>
      </c>
      <c r="N100" s="24">
        <v>15</v>
      </c>
      <c r="O100" s="26">
        <f t="shared" si="19"/>
        <v>0</v>
      </c>
      <c r="P100" s="24">
        <v>1.1000000000000001</v>
      </c>
      <c r="Q100" s="24">
        <v>36</v>
      </c>
      <c r="R100" s="27">
        <f t="shared" si="20"/>
        <v>0</v>
      </c>
      <c r="S100" s="102">
        <f t="shared" si="22"/>
        <v>0</v>
      </c>
      <c r="T100" s="21">
        <f>VLOOKUP($A100,'2022-23 Salary &amp; Benefits'!$A:$I,5,FALSE)</f>
        <v>68937</v>
      </c>
      <c r="U100" s="21">
        <f>VLOOKUP($A100,'2022-23 Salary &amp; Benefits'!$A:$I,6,FALSE)</f>
        <v>72728</v>
      </c>
      <c r="V100" s="22">
        <f t="shared" si="23"/>
        <v>0</v>
      </c>
      <c r="W100" s="22">
        <f t="shared" si="24"/>
        <v>0</v>
      </c>
      <c r="X100" s="22">
        <f>'2022-23 Salary &amp; Benefits'!$G$6</f>
        <v>12558.24</v>
      </c>
      <c r="Y100" s="23">
        <f>'2022-23 Salary &amp; Benefits'!$H$6</f>
        <v>0.2298</v>
      </c>
      <c r="Z100" s="23">
        <f>'2022-23 Salary &amp; Benefits'!$I$6</f>
        <v>0.22339999999999999</v>
      </c>
      <c r="AA100" s="22">
        <f t="shared" si="25"/>
        <v>0</v>
      </c>
      <c r="AB100" s="22">
        <f t="shared" si="26"/>
        <v>0</v>
      </c>
      <c r="AC100" s="22">
        <f t="shared" si="27"/>
        <v>0</v>
      </c>
      <c r="AD100" s="22">
        <f t="shared" si="17"/>
        <v>0</v>
      </c>
      <c r="AE100" s="22">
        <f t="shared" si="18"/>
        <v>0</v>
      </c>
      <c r="AF100" s="19" t="str">
        <f>VLOOKUP(C100,'2021-22 School Level AAFTE'!C:N,12,FALSE)</f>
        <v>No</v>
      </c>
    </row>
    <row r="101" spans="1:32" s="19" customFormat="1">
      <c r="A101" s="97" t="s">
        <v>2356</v>
      </c>
      <c r="B101" s="97" t="s">
        <v>763</v>
      </c>
      <c r="C101" s="95">
        <v>3036</v>
      </c>
      <c r="D101" s="95" t="s">
        <v>36</v>
      </c>
      <c r="E101" s="129">
        <f>VLOOKUP($C101,'2021-22 School Level AAFTE'!$C:$Z,11,FALSE)</f>
        <v>0.13066666666666668</v>
      </c>
      <c r="F101" s="129" t="str">
        <f>VLOOKUP($C101,'2021-22 School Level AAFTE'!$C:$Z,8,FALSE)</f>
        <v>No</v>
      </c>
      <c r="G101" s="129" t="str">
        <f>VLOOKUP($C101,'2021-22 School Level AAFTE'!$C:$Z,12,FALSE)</f>
        <v>No</v>
      </c>
      <c r="H101" s="127">
        <f>VLOOKUP($C101,'2021-22 School Level AAFTE'!$C:$I,7,FALSE)</f>
        <v>339.86</v>
      </c>
      <c r="I101" s="112">
        <f>IFERROR(IF(OR(G101="yes",F101= "yes"),VLOOKUP(C101,Summary!$B:$J,6,0),0),0)</f>
        <v>0</v>
      </c>
      <c r="J101" s="111">
        <f t="shared" si="21"/>
        <v>0</v>
      </c>
      <c r="K101" s="91">
        <f>VLOOKUP($A101,'2022-23 Salary &amp; Benefits'!$A:$I,3,FALSE)</f>
        <v>1.18</v>
      </c>
      <c r="L101" s="91">
        <f>VLOOKUP($A101,'2022-23 Salary &amp; Benefits'!$A:$I,4,FALSE)</f>
        <v>1.18</v>
      </c>
      <c r="M101" s="39">
        <f t="shared" si="16"/>
        <v>0</v>
      </c>
      <c r="N101" s="24">
        <v>15</v>
      </c>
      <c r="O101" s="26">
        <f t="shared" si="19"/>
        <v>0</v>
      </c>
      <c r="P101" s="24">
        <v>1.1000000000000001</v>
      </c>
      <c r="Q101" s="24">
        <v>36</v>
      </c>
      <c r="R101" s="27">
        <f t="shared" si="20"/>
        <v>0</v>
      </c>
      <c r="S101" s="102">
        <f t="shared" si="22"/>
        <v>0</v>
      </c>
      <c r="T101" s="21">
        <f>VLOOKUP($A101,'2022-23 Salary &amp; Benefits'!$A:$I,5,FALSE)</f>
        <v>68937</v>
      </c>
      <c r="U101" s="21">
        <f>VLOOKUP($A101,'2022-23 Salary &amp; Benefits'!$A:$I,6,FALSE)</f>
        <v>72728</v>
      </c>
      <c r="V101" s="22">
        <f t="shared" si="23"/>
        <v>0</v>
      </c>
      <c r="W101" s="22">
        <f t="shared" si="24"/>
        <v>0</v>
      </c>
      <c r="X101" s="22">
        <f>'2022-23 Salary &amp; Benefits'!$G$6</f>
        <v>12558.24</v>
      </c>
      <c r="Y101" s="23">
        <f>'2022-23 Salary &amp; Benefits'!$H$6</f>
        <v>0.2298</v>
      </c>
      <c r="Z101" s="23">
        <f>'2022-23 Salary &amp; Benefits'!$I$6</f>
        <v>0.22339999999999999</v>
      </c>
      <c r="AA101" s="22">
        <f t="shared" si="25"/>
        <v>0</v>
      </c>
      <c r="AB101" s="22">
        <f t="shared" si="26"/>
        <v>0</v>
      </c>
      <c r="AC101" s="22">
        <f t="shared" si="27"/>
        <v>0</v>
      </c>
      <c r="AD101" s="22">
        <f t="shared" si="17"/>
        <v>0</v>
      </c>
      <c r="AE101" s="22">
        <f t="shared" si="18"/>
        <v>0</v>
      </c>
      <c r="AF101" s="19" t="str">
        <f>VLOOKUP(C101,'2021-22 School Level AAFTE'!C:N,12,FALSE)</f>
        <v>No</v>
      </c>
    </row>
    <row r="102" spans="1:32" s="19" customFormat="1">
      <c r="A102" s="97" t="s">
        <v>2356</v>
      </c>
      <c r="B102" s="97" t="s">
        <v>763</v>
      </c>
      <c r="C102" s="95">
        <v>3100</v>
      </c>
      <c r="D102" s="95" t="s">
        <v>767</v>
      </c>
      <c r="E102" s="129">
        <f>VLOOKUP($C102,'2021-22 School Level AAFTE'!$C:$Z,11,FALSE)</f>
        <v>0.41323333333333334</v>
      </c>
      <c r="F102" s="129" t="str">
        <f>VLOOKUP($C102,'2021-22 School Level AAFTE'!$C:$Z,8,FALSE)</f>
        <v>No</v>
      </c>
      <c r="G102" s="129" t="str">
        <f>VLOOKUP($C102,'2021-22 School Level AAFTE'!$C:$Z,12,FALSE)</f>
        <v>No</v>
      </c>
      <c r="H102" s="127">
        <f>VLOOKUP($C102,'2021-22 School Level AAFTE'!$C:$I,7,FALSE)</f>
        <v>499.36</v>
      </c>
      <c r="I102" s="112">
        <f>IFERROR(IF(OR(G102="yes",F102= "yes"),VLOOKUP(C102,Summary!$B:$J,6,0),0),0)</f>
        <v>0</v>
      </c>
      <c r="J102" s="111">
        <f t="shared" si="21"/>
        <v>0</v>
      </c>
      <c r="K102" s="91">
        <f>VLOOKUP($A102,'2022-23 Salary &amp; Benefits'!$A:$I,3,FALSE)</f>
        <v>1.18</v>
      </c>
      <c r="L102" s="91">
        <f>VLOOKUP($A102,'2022-23 Salary &amp; Benefits'!$A:$I,4,FALSE)</f>
        <v>1.18</v>
      </c>
      <c r="M102" s="39">
        <f t="shared" si="16"/>
        <v>0</v>
      </c>
      <c r="N102" s="24">
        <v>15</v>
      </c>
      <c r="O102" s="26">
        <f t="shared" si="19"/>
        <v>0</v>
      </c>
      <c r="P102" s="24">
        <v>1.1000000000000001</v>
      </c>
      <c r="Q102" s="24">
        <v>36</v>
      </c>
      <c r="R102" s="27">
        <f t="shared" si="20"/>
        <v>0</v>
      </c>
      <c r="S102" s="102">
        <f t="shared" si="22"/>
        <v>0</v>
      </c>
      <c r="T102" s="21">
        <f>VLOOKUP($A102,'2022-23 Salary &amp; Benefits'!$A:$I,5,FALSE)</f>
        <v>68937</v>
      </c>
      <c r="U102" s="21">
        <f>VLOOKUP($A102,'2022-23 Salary &amp; Benefits'!$A:$I,6,FALSE)</f>
        <v>72728</v>
      </c>
      <c r="V102" s="22">
        <f t="shared" si="23"/>
        <v>0</v>
      </c>
      <c r="W102" s="22">
        <f t="shared" si="24"/>
        <v>0</v>
      </c>
      <c r="X102" s="22">
        <f>'2022-23 Salary &amp; Benefits'!$G$6</f>
        <v>12558.24</v>
      </c>
      <c r="Y102" s="23">
        <f>'2022-23 Salary &amp; Benefits'!$H$6</f>
        <v>0.2298</v>
      </c>
      <c r="Z102" s="23">
        <f>'2022-23 Salary &amp; Benefits'!$I$6</f>
        <v>0.22339999999999999</v>
      </c>
      <c r="AA102" s="22">
        <f t="shared" si="25"/>
        <v>0</v>
      </c>
      <c r="AB102" s="22">
        <f t="shared" si="26"/>
        <v>0</v>
      </c>
      <c r="AC102" s="22">
        <f t="shared" si="27"/>
        <v>0</v>
      </c>
      <c r="AD102" s="22">
        <f t="shared" si="17"/>
        <v>0</v>
      </c>
      <c r="AE102" s="22">
        <f t="shared" si="18"/>
        <v>0</v>
      </c>
      <c r="AF102" s="19" t="str">
        <f>VLOOKUP(C102,'2021-22 School Level AAFTE'!C:N,12,FALSE)</f>
        <v>No</v>
      </c>
    </row>
    <row r="103" spans="1:32" s="19" customFormat="1">
      <c r="A103" s="97" t="s">
        <v>2356</v>
      </c>
      <c r="B103" s="97" t="s">
        <v>763</v>
      </c>
      <c r="C103" s="95">
        <v>3166</v>
      </c>
      <c r="D103" s="95" t="s">
        <v>768</v>
      </c>
      <c r="E103" s="129">
        <f>VLOOKUP($C103,'2021-22 School Level AAFTE'!$C:$Z,11,FALSE)</f>
        <v>0.48900000000000005</v>
      </c>
      <c r="F103" s="129" t="str">
        <f>VLOOKUP($C103,'2021-22 School Level AAFTE'!$C:$Z,8,FALSE)</f>
        <v>No</v>
      </c>
      <c r="G103" s="129" t="str">
        <f>VLOOKUP($C103,'2021-22 School Level AAFTE'!$C:$Z,12,FALSE)</f>
        <v>No</v>
      </c>
      <c r="H103" s="127">
        <f>VLOOKUP($C103,'2021-22 School Level AAFTE'!$C:$I,7,FALSE)</f>
        <v>637.03</v>
      </c>
      <c r="I103" s="112">
        <f>IFERROR(IF(OR(G103="yes",F103= "yes"),VLOOKUP(C103,Summary!$B:$J,6,0),0),0)</f>
        <v>0</v>
      </c>
      <c r="J103" s="111">
        <f t="shared" si="21"/>
        <v>0</v>
      </c>
      <c r="K103" s="91">
        <f>VLOOKUP($A103,'2022-23 Salary &amp; Benefits'!$A:$I,3,FALSE)</f>
        <v>1.18</v>
      </c>
      <c r="L103" s="91">
        <f>VLOOKUP($A103,'2022-23 Salary &amp; Benefits'!$A:$I,4,FALSE)</f>
        <v>1.18</v>
      </c>
      <c r="M103" s="39">
        <f t="shared" si="16"/>
        <v>0</v>
      </c>
      <c r="N103" s="24">
        <v>15</v>
      </c>
      <c r="O103" s="26">
        <f t="shared" si="19"/>
        <v>0</v>
      </c>
      <c r="P103" s="24">
        <v>1.1000000000000001</v>
      </c>
      <c r="Q103" s="24">
        <v>36</v>
      </c>
      <c r="R103" s="27">
        <f t="shared" si="20"/>
        <v>0</v>
      </c>
      <c r="S103" s="102">
        <f t="shared" si="22"/>
        <v>0</v>
      </c>
      <c r="T103" s="21">
        <f>VLOOKUP($A103,'2022-23 Salary &amp; Benefits'!$A:$I,5,FALSE)</f>
        <v>68937</v>
      </c>
      <c r="U103" s="21">
        <f>VLOOKUP($A103,'2022-23 Salary &amp; Benefits'!$A:$I,6,FALSE)</f>
        <v>72728</v>
      </c>
      <c r="V103" s="22">
        <f t="shared" si="23"/>
        <v>0</v>
      </c>
      <c r="W103" s="22">
        <f t="shared" si="24"/>
        <v>0</v>
      </c>
      <c r="X103" s="22">
        <f>'2022-23 Salary &amp; Benefits'!$G$6</f>
        <v>12558.24</v>
      </c>
      <c r="Y103" s="23">
        <f>'2022-23 Salary &amp; Benefits'!$H$6</f>
        <v>0.2298</v>
      </c>
      <c r="Z103" s="23">
        <f>'2022-23 Salary &amp; Benefits'!$I$6</f>
        <v>0.22339999999999999</v>
      </c>
      <c r="AA103" s="22">
        <f t="shared" si="25"/>
        <v>0</v>
      </c>
      <c r="AB103" s="22">
        <f t="shared" si="26"/>
        <v>0</v>
      </c>
      <c r="AC103" s="22">
        <f t="shared" si="27"/>
        <v>0</v>
      </c>
      <c r="AD103" s="22">
        <f t="shared" si="17"/>
        <v>0</v>
      </c>
      <c r="AE103" s="22">
        <f t="shared" si="18"/>
        <v>0</v>
      </c>
      <c r="AF103" s="19" t="str">
        <f>VLOOKUP(C103,'2021-22 School Level AAFTE'!C:N,12,FALSE)</f>
        <v>No</v>
      </c>
    </row>
    <row r="104" spans="1:32" s="19" customFormat="1">
      <c r="A104" s="97" t="s">
        <v>2356</v>
      </c>
      <c r="B104" s="97" t="s">
        <v>763</v>
      </c>
      <c r="C104" s="95">
        <v>3167</v>
      </c>
      <c r="D104" s="95" t="s">
        <v>769</v>
      </c>
      <c r="E104" s="129">
        <f>VLOOKUP($C104,'2021-22 School Level AAFTE'!$C:$Z,11,FALSE)</f>
        <v>0.16006666666666666</v>
      </c>
      <c r="F104" s="129" t="str">
        <f>VLOOKUP($C104,'2021-22 School Level AAFTE'!$C:$Z,8,FALSE)</f>
        <v>No</v>
      </c>
      <c r="G104" s="129" t="str">
        <f>VLOOKUP($C104,'2021-22 School Level AAFTE'!$C:$Z,12,FALSE)</f>
        <v>No</v>
      </c>
      <c r="H104" s="127">
        <f>VLOOKUP($C104,'2021-22 School Level AAFTE'!$C:$I,7,FALSE)</f>
        <v>327.71</v>
      </c>
      <c r="I104" s="112">
        <f>IFERROR(IF(OR(G104="yes",F104= "yes"),VLOOKUP(C104,Summary!$B:$J,6,0),0),0)</f>
        <v>0</v>
      </c>
      <c r="J104" s="111">
        <f t="shared" si="21"/>
        <v>0</v>
      </c>
      <c r="K104" s="91">
        <f>VLOOKUP($A104,'2022-23 Salary &amp; Benefits'!$A:$I,3,FALSE)</f>
        <v>1.18</v>
      </c>
      <c r="L104" s="91">
        <f>VLOOKUP($A104,'2022-23 Salary &amp; Benefits'!$A:$I,4,FALSE)</f>
        <v>1.18</v>
      </c>
      <c r="M104" s="39">
        <f t="shared" si="16"/>
        <v>0</v>
      </c>
      <c r="N104" s="24">
        <v>15</v>
      </c>
      <c r="O104" s="26">
        <f t="shared" si="19"/>
        <v>0</v>
      </c>
      <c r="P104" s="24">
        <v>1.1000000000000001</v>
      </c>
      <c r="Q104" s="24">
        <v>36</v>
      </c>
      <c r="R104" s="27">
        <f t="shared" si="20"/>
        <v>0</v>
      </c>
      <c r="S104" s="102">
        <f t="shared" si="22"/>
        <v>0</v>
      </c>
      <c r="T104" s="21">
        <f>VLOOKUP($A104,'2022-23 Salary &amp; Benefits'!$A:$I,5,FALSE)</f>
        <v>68937</v>
      </c>
      <c r="U104" s="21">
        <f>VLOOKUP($A104,'2022-23 Salary &amp; Benefits'!$A:$I,6,FALSE)</f>
        <v>72728</v>
      </c>
      <c r="V104" s="22">
        <f t="shared" si="23"/>
        <v>0</v>
      </c>
      <c r="W104" s="22">
        <f t="shared" si="24"/>
        <v>0</v>
      </c>
      <c r="X104" s="22">
        <f>'2022-23 Salary &amp; Benefits'!$G$6</f>
        <v>12558.24</v>
      </c>
      <c r="Y104" s="23">
        <f>'2022-23 Salary &amp; Benefits'!$H$6</f>
        <v>0.2298</v>
      </c>
      <c r="Z104" s="23">
        <f>'2022-23 Salary &amp; Benefits'!$I$6</f>
        <v>0.22339999999999999</v>
      </c>
      <c r="AA104" s="22">
        <f t="shared" si="25"/>
        <v>0</v>
      </c>
      <c r="AB104" s="22">
        <f t="shared" si="26"/>
        <v>0</v>
      </c>
      <c r="AC104" s="22">
        <f t="shared" si="27"/>
        <v>0</v>
      </c>
      <c r="AD104" s="22">
        <f t="shared" si="17"/>
        <v>0</v>
      </c>
      <c r="AE104" s="22">
        <f t="shared" si="18"/>
        <v>0</v>
      </c>
      <c r="AF104" s="19" t="str">
        <f>VLOOKUP(C104,'2021-22 School Level AAFTE'!C:N,12,FALSE)</f>
        <v>No</v>
      </c>
    </row>
    <row r="105" spans="1:32" s="19" customFormat="1">
      <c r="A105" s="97" t="s">
        <v>2356</v>
      </c>
      <c r="B105" s="97" t="s">
        <v>763</v>
      </c>
      <c r="C105" s="95">
        <v>3168</v>
      </c>
      <c r="D105" s="95" t="s">
        <v>770</v>
      </c>
      <c r="E105" s="129">
        <f>VLOOKUP($C105,'2021-22 School Level AAFTE'!$C:$Z,11,FALSE)</f>
        <v>0.21006666666666665</v>
      </c>
      <c r="F105" s="129" t="str">
        <f>VLOOKUP($C105,'2021-22 School Level AAFTE'!$C:$Z,8,FALSE)</f>
        <v>No</v>
      </c>
      <c r="G105" s="129" t="str">
        <f>VLOOKUP($C105,'2021-22 School Level AAFTE'!$C:$Z,12,FALSE)</f>
        <v>No</v>
      </c>
      <c r="H105" s="127">
        <f>VLOOKUP($C105,'2021-22 School Level AAFTE'!$C:$I,7,FALSE)</f>
        <v>333.17</v>
      </c>
      <c r="I105" s="112">
        <f>IFERROR(IF(OR(G105="yes",F105= "yes"),VLOOKUP(C105,Summary!$B:$J,6,0),0),0)</f>
        <v>0</v>
      </c>
      <c r="J105" s="111">
        <f t="shared" si="21"/>
        <v>0</v>
      </c>
      <c r="K105" s="91">
        <f>VLOOKUP($A105,'2022-23 Salary &amp; Benefits'!$A:$I,3,FALSE)</f>
        <v>1.18</v>
      </c>
      <c r="L105" s="91">
        <f>VLOOKUP($A105,'2022-23 Salary &amp; Benefits'!$A:$I,4,FALSE)</f>
        <v>1.18</v>
      </c>
      <c r="M105" s="101">
        <f t="shared" si="16"/>
        <v>0</v>
      </c>
      <c r="N105" s="24">
        <v>15</v>
      </c>
      <c r="O105" s="26">
        <f t="shared" si="19"/>
        <v>0</v>
      </c>
      <c r="P105" s="24">
        <v>1.1000000000000001</v>
      </c>
      <c r="Q105" s="24">
        <v>36</v>
      </c>
      <c r="R105" s="27">
        <f t="shared" si="20"/>
        <v>0</v>
      </c>
      <c r="S105" s="102">
        <f t="shared" si="22"/>
        <v>0</v>
      </c>
      <c r="T105" s="21">
        <f>VLOOKUP($A105,'2022-23 Salary &amp; Benefits'!$A:$I,5,FALSE)</f>
        <v>68937</v>
      </c>
      <c r="U105" s="21">
        <f>VLOOKUP($A105,'2022-23 Salary &amp; Benefits'!$A:$I,6,FALSE)</f>
        <v>72728</v>
      </c>
      <c r="V105" s="22">
        <f t="shared" si="23"/>
        <v>0</v>
      </c>
      <c r="W105" s="22">
        <f t="shared" si="24"/>
        <v>0</v>
      </c>
      <c r="X105" s="22">
        <f>'2022-23 Salary &amp; Benefits'!$G$6</f>
        <v>12558.24</v>
      </c>
      <c r="Y105" s="23">
        <f>'2022-23 Salary &amp; Benefits'!$H$6</f>
        <v>0.2298</v>
      </c>
      <c r="Z105" s="23">
        <f>'2022-23 Salary &amp; Benefits'!$I$6</f>
        <v>0.22339999999999999</v>
      </c>
      <c r="AA105" s="22">
        <f t="shared" si="25"/>
        <v>0</v>
      </c>
      <c r="AB105" s="22">
        <f t="shared" si="26"/>
        <v>0</v>
      </c>
      <c r="AC105" s="22">
        <f t="shared" si="27"/>
        <v>0</v>
      </c>
      <c r="AD105" s="22">
        <f t="shared" si="17"/>
        <v>0</v>
      </c>
      <c r="AE105" s="22">
        <f t="shared" si="18"/>
        <v>0</v>
      </c>
      <c r="AF105" s="19" t="str">
        <f>VLOOKUP(C105,'2021-22 School Level AAFTE'!C:N,12,FALSE)</f>
        <v>No</v>
      </c>
    </row>
    <row r="106" spans="1:32" s="19" customFormat="1">
      <c r="A106" s="97" t="s">
        <v>2356</v>
      </c>
      <c r="B106" s="97" t="s">
        <v>763</v>
      </c>
      <c r="C106" s="95">
        <v>3224</v>
      </c>
      <c r="D106" s="95" t="s">
        <v>771</v>
      </c>
      <c r="E106" s="129">
        <f>VLOOKUP($C106,'2021-22 School Level AAFTE'!$C:$Z,11,FALSE)</f>
        <v>7.959999999999999E-2</v>
      </c>
      <c r="F106" s="129" t="str">
        <f>VLOOKUP($C106,'2021-22 School Level AAFTE'!$C:$Z,8,FALSE)</f>
        <v>No</v>
      </c>
      <c r="G106" s="129" t="str">
        <f>VLOOKUP($C106,'2021-22 School Level AAFTE'!$C:$Z,12,FALSE)</f>
        <v>No</v>
      </c>
      <c r="H106" s="127">
        <f>VLOOKUP($C106,'2021-22 School Level AAFTE'!$C:$I,7,FALSE)</f>
        <v>466.83</v>
      </c>
      <c r="I106" s="112">
        <f>IFERROR(IF(OR(G106="yes",F106= "yes"),VLOOKUP(C106,Summary!$B:$J,6,0),0),0)</f>
        <v>0</v>
      </c>
      <c r="J106" s="111">
        <f t="shared" si="21"/>
        <v>0</v>
      </c>
      <c r="K106" s="91">
        <f>VLOOKUP($A106,'2022-23 Salary &amp; Benefits'!$A:$I,3,FALSE)</f>
        <v>1.18</v>
      </c>
      <c r="L106" s="91">
        <f>VLOOKUP($A106,'2022-23 Salary &amp; Benefits'!$A:$I,4,FALSE)</f>
        <v>1.18</v>
      </c>
      <c r="M106" s="101">
        <f t="shared" si="16"/>
        <v>0</v>
      </c>
      <c r="N106" s="24">
        <v>15</v>
      </c>
      <c r="O106" s="26">
        <f t="shared" si="19"/>
        <v>0</v>
      </c>
      <c r="P106" s="24">
        <v>1.1000000000000001</v>
      </c>
      <c r="Q106" s="24">
        <v>36</v>
      </c>
      <c r="R106" s="27">
        <f t="shared" si="20"/>
        <v>0</v>
      </c>
      <c r="S106" s="102">
        <f t="shared" si="22"/>
        <v>0</v>
      </c>
      <c r="T106" s="21">
        <f>VLOOKUP($A106,'2022-23 Salary &amp; Benefits'!$A:$I,5,FALSE)</f>
        <v>68937</v>
      </c>
      <c r="U106" s="21">
        <f>VLOOKUP($A106,'2022-23 Salary &amp; Benefits'!$A:$I,6,FALSE)</f>
        <v>72728</v>
      </c>
      <c r="V106" s="22">
        <f t="shared" si="23"/>
        <v>0</v>
      </c>
      <c r="W106" s="22">
        <f t="shared" si="24"/>
        <v>0</v>
      </c>
      <c r="X106" s="22">
        <f>'2022-23 Salary &amp; Benefits'!$G$6</f>
        <v>12558.24</v>
      </c>
      <c r="Y106" s="23">
        <f>'2022-23 Salary &amp; Benefits'!$H$6</f>
        <v>0.2298</v>
      </c>
      <c r="Z106" s="23">
        <f>'2022-23 Salary &amp; Benefits'!$I$6</f>
        <v>0.22339999999999999</v>
      </c>
      <c r="AA106" s="22">
        <f t="shared" si="25"/>
        <v>0</v>
      </c>
      <c r="AB106" s="22">
        <f t="shared" si="26"/>
        <v>0</v>
      </c>
      <c r="AC106" s="22">
        <f t="shared" si="27"/>
        <v>0</v>
      </c>
      <c r="AD106" s="22">
        <f t="shared" si="17"/>
        <v>0</v>
      </c>
      <c r="AE106" s="22">
        <f t="shared" si="18"/>
        <v>0</v>
      </c>
      <c r="AF106" s="19" t="str">
        <f>VLOOKUP(C106,'2021-22 School Level AAFTE'!C:N,12,FALSE)</f>
        <v>No</v>
      </c>
    </row>
    <row r="107" spans="1:32" s="19" customFormat="1">
      <c r="A107" s="97" t="s">
        <v>2356</v>
      </c>
      <c r="B107" s="97" t="s">
        <v>763</v>
      </c>
      <c r="C107" s="95">
        <v>3225</v>
      </c>
      <c r="D107" s="95" t="s">
        <v>772</v>
      </c>
      <c r="E107" s="129">
        <f>VLOOKUP($C107,'2021-22 School Level AAFTE'!$C:$Z,11,FALSE)</f>
        <v>0.52703333333333335</v>
      </c>
      <c r="F107" s="129" t="str">
        <f>VLOOKUP($C107,'2021-22 School Level AAFTE'!$C:$Z,8,FALSE)</f>
        <v>Yes</v>
      </c>
      <c r="G107" s="129" t="str">
        <f>VLOOKUP($C107,'2021-22 School Level AAFTE'!$C:$Z,12,FALSE)</f>
        <v>No</v>
      </c>
      <c r="H107" s="127">
        <f>VLOOKUP($C107,'2021-22 School Level AAFTE'!$C:$I,7,FALSE)</f>
        <v>426.71</v>
      </c>
      <c r="I107" s="112">
        <f>IFERROR(IF(OR(G107="yes",F107= "yes"),VLOOKUP(C107,Summary!$B:$J,6,0),0),0)</f>
        <v>0</v>
      </c>
      <c r="J107" s="111">
        <f t="shared" si="21"/>
        <v>426.71</v>
      </c>
      <c r="K107" s="91">
        <f>VLOOKUP($A107,'2022-23 Salary &amp; Benefits'!$A:$I,3,FALSE)</f>
        <v>1.18</v>
      </c>
      <c r="L107" s="91">
        <f>VLOOKUP($A107,'2022-23 Salary &amp; Benefits'!$A:$I,4,FALSE)</f>
        <v>1.18</v>
      </c>
      <c r="M107" s="39">
        <f t="shared" si="16"/>
        <v>426.71</v>
      </c>
      <c r="N107" s="24">
        <v>15</v>
      </c>
      <c r="O107" s="26">
        <f t="shared" si="19"/>
        <v>28.447333333333333</v>
      </c>
      <c r="P107" s="24">
        <v>1.1000000000000001</v>
      </c>
      <c r="Q107" s="24">
        <v>36</v>
      </c>
      <c r="R107" s="27">
        <f t="shared" si="20"/>
        <v>1126.5144</v>
      </c>
      <c r="S107" s="102">
        <f t="shared" si="22"/>
        <v>1.252</v>
      </c>
      <c r="T107" s="21">
        <f>VLOOKUP($A107,'2022-23 Salary &amp; Benefits'!$A:$I,5,FALSE)</f>
        <v>68937</v>
      </c>
      <c r="U107" s="21">
        <f>VLOOKUP($A107,'2022-23 Salary &amp; Benefits'!$A:$I,6,FALSE)</f>
        <v>72728</v>
      </c>
      <c r="V107" s="22">
        <f t="shared" si="23"/>
        <v>101844.77</v>
      </c>
      <c r="W107" s="22">
        <f t="shared" si="24"/>
        <v>5600.6699999999983</v>
      </c>
      <c r="X107" s="22">
        <f>'2022-23 Salary &amp; Benefits'!$G$6</f>
        <v>12558.24</v>
      </c>
      <c r="Y107" s="23">
        <f>'2022-23 Salary &amp; Benefits'!$H$6</f>
        <v>0.2298</v>
      </c>
      <c r="Z107" s="23">
        <f>'2022-23 Salary &amp; Benefits'!$I$6</f>
        <v>0.22339999999999999</v>
      </c>
      <c r="AA107" s="22">
        <f t="shared" si="25"/>
        <v>40378.03</v>
      </c>
      <c r="AB107" s="22">
        <f t="shared" si="26"/>
        <v>1790.76</v>
      </c>
      <c r="AC107" s="22">
        <f t="shared" si="27"/>
        <v>400.06</v>
      </c>
      <c r="AD107" s="22">
        <f t="shared" si="17"/>
        <v>2190.8200000000002</v>
      </c>
      <c r="AE107" s="22">
        <f t="shared" si="18"/>
        <v>150014.28999999998</v>
      </c>
      <c r="AF107" s="19" t="str">
        <f>VLOOKUP(C107,'2021-22 School Level AAFTE'!C:N,12,FALSE)</f>
        <v>No</v>
      </c>
    </row>
    <row r="108" spans="1:32" s="19" customFormat="1">
      <c r="A108" s="97" t="s">
        <v>2356</v>
      </c>
      <c r="B108" s="97" t="s">
        <v>763</v>
      </c>
      <c r="C108" s="95">
        <v>3282</v>
      </c>
      <c r="D108" s="95" t="s">
        <v>773</v>
      </c>
      <c r="E108" s="129">
        <f>VLOOKUP($C108,'2021-22 School Level AAFTE'!$C:$Z,11,FALSE)</f>
        <v>0.31143333333333328</v>
      </c>
      <c r="F108" s="129" t="str">
        <f>VLOOKUP($C108,'2021-22 School Level AAFTE'!$C:$Z,8,FALSE)</f>
        <v>No</v>
      </c>
      <c r="G108" s="129" t="str">
        <f>VLOOKUP($C108,'2021-22 School Level AAFTE'!$C:$Z,12,FALSE)</f>
        <v>No</v>
      </c>
      <c r="H108" s="127">
        <f>VLOOKUP($C108,'2021-22 School Level AAFTE'!$C:$I,7,FALSE)</f>
        <v>1260.8399999999999</v>
      </c>
      <c r="I108" s="112">
        <f>IFERROR(IF(OR(G108="yes",F108= "yes"),VLOOKUP(C108,Summary!$B:$J,6,0),0),0)</f>
        <v>0</v>
      </c>
      <c r="J108" s="111">
        <f t="shared" si="21"/>
        <v>0</v>
      </c>
      <c r="K108" s="91">
        <f>VLOOKUP($A108,'2022-23 Salary &amp; Benefits'!$A:$I,3,FALSE)</f>
        <v>1.18</v>
      </c>
      <c r="L108" s="91">
        <f>VLOOKUP($A108,'2022-23 Salary &amp; Benefits'!$A:$I,4,FALSE)</f>
        <v>1.18</v>
      </c>
      <c r="M108" s="101">
        <f t="shared" si="16"/>
        <v>0</v>
      </c>
      <c r="N108" s="24">
        <v>15</v>
      </c>
      <c r="O108" s="26">
        <f t="shared" si="19"/>
        <v>0</v>
      </c>
      <c r="P108" s="24">
        <v>1.1000000000000001</v>
      </c>
      <c r="Q108" s="24">
        <v>36</v>
      </c>
      <c r="R108" s="27">
        <f t="shared" si="20"/>
        <v>0</v>
      </c>
      <c r="S108" s="102">
        <f t="shared" si="22"/>
        <v>0</v>
      </c>
      <c r="T108" s="21">
        <f>VLOOKUP($A108,'2022-23 Salary &amp; Benefits'!$A:$I,5,FALSE)</f>
        <v>68937</v>
      </c>
      <c r="U108" s="21">
        <f>VLOOKUP($A108,'2022-23 Salary &amp; Benefits'!$A:$I,6,FALSE)</f>
        <v>72728</v>
      </c>
      <c r="V108" s="22">
        <f t="shared" si="23"/>
        <v>0</v>
      </c>
      <c r="W108" s="22">
        <f t="shared" si="24"/>
        <v>0</v>
      </c>
      <c r="X108" s="22">
        <f>'2022-23 Salary &amp; Benefits'!$G$6</f>
        <v>12558.24</v>
      </c>
      <c r="Y108" s="23">
        <f>'2022-23 Salary &amp; Benefits'!$H$6</f>
        <v>0.2298</v>
      </c>
      <c r="Z108" s="23">
        <f>'2022-23 Salary &amp; Benefits'!$I$6</f>
        <v>0.22339999999999999</v>
      </c>
      <c r="AA108" s="22">
        <f t="shared" si="25"/>
        <v>0</v>
      </c>
      <c r="AB108" s="22">
        <f t="shared" si="26"/>
        <v>0</v>
      </c>
      <c r="AC108" s="22">
        <f t="shared" si="27"/>
        <v>0</v>
      </c>
      <c r="AD108" s="22">
        <f t="shared" si="17"/>
        <v>0</v>
      </c>
      <c r="AE108" s="22">
        <f t="shared" si="18"/>
        <v>0</v>
      </c>
      <c r="AF108" s="19" t="str">
        <f>VLOOKUP(C108,'2021-22 School Level AAFTE'!C:N,12,FALSE)</f>
        <v>No</v>
      </c>
    </row>
    <row r="109" spans="1:32" s="19" customFormat="1">
      <c r="A109" s="97" t="s">
        <v>2356</v>
      </c>
      <c r="B109" s="97" t="s">
        <v>763</v>
      </c>
      <c r="C109" s="95">
        <v>3283</v>
      </c>
      <c r="D109" s="95" t="s">
        <v>774</v>
      </c>
      <c r="E109" s="129">
        <f>VLOOKUP($C109,'2021-22 School Level AAFTE'!$C:$Z,11,FALSE)</f>
        <v>0.11183333333333334</v>
      </c>
      <c r="F109" s="129" t="str">
        <f>VLOOKUP($C109,'2021-22 School Level AAFTE'!$C:$Z,8,FALSE)</f>
        <v>No</v>
      </c>
      <c r="G109" s="129" t="str">
        <f>VLOOKUP($C109,'2021-22 School Level AAFTE'!$C:$Z,12,FALSE)</f>
        <v>No</v>
      </c>
      <c r="H109" s="127">
        <f>VLOOKUP($C109,'2021-22 School Level AAFTE'!$C:$I,7,FALSE)</f>
        <v>963.54</v>
      </c>
      <c r="I109" s="112">
        <f>IFERROR(IF(OR(G109="yes",F109= "yes"),VLOOKUP(C109,Summary!$B:$J,6,0),0),0)</f>
        <v>0</v>
      </c>
      <c r="J109" s="111">
        <f t="shared" si="21"/>
        <v>0</v>
      </c>
      <c r="K109" s="91">
        <f>VLOOKUP($A109,'2022-23 Salary &amp; Benefits'!$A:$I,3,FALSE)</f>
        <v>1.18</v>
      </c>
      <c r="L109" s="91">
        <f>VLOOKUP($A109,'2022-23 Salary &amp; Benefits'!$A:$I,4,FALSE)</f>
        <v>1.18</v>
      </c>
      <c r="M109" s="39">
        <f t="shared" si="16"/>
        <v>0</v>
      </c>
      <c r="N109" s="24">
        <v>15</v>
      </c>
      <c r="O109" s="26">
        <f t="shared" si="19"/>
        <v>0</v>
      </c>
      <c r="P109" s="24">
        <v>1.1000000000000001</v>
      </c>
      <c r="Q109" s="24">
        <v>36</v>
      </c>
      <c r="R109" s="27">
        <f t="shared" si="20"/>
        <v>0</v>
      </c>
      <c r="S109" s="102">
        <f t="shared" si="22"/>
        <v>0</v>
      </c>
      <c r="T109" s="21">
        <f>VLOOKUP($A109,'2022-23 Salary &amp; Benefits'!$A:$I,5,FALSE)</f>
        <v>68937</v>
      </c>
      <c r="U109" s="21">
        <f>VLOOKUP($A109,'2022-23 Salary &amp; Benefits'!$A:$I,6,FALSE)</f>
        <v>72728</v>
      </c>
      <c r="V109" s="22">
        <f t="shared" si="23"/>
        <v>0</v>
      </c>
      <c r="W109" s="22">
        <f t="shared" si="24"/>
        <v>0</v>
      </c>
      <c r="X109" s="22">
        <f>'2022-23 Salary &amp; Benefits'!$G$6</f>
        <v>12558.24</v>
      </c>
      <c r="Y109" s="23">
        <f>'2022-23 Salary &amp; Benefits'!$H$6</f>
        <v>0.2298</v>
      </c>
      <c r="Z109" s="23">
        <f>'2022-23 Salary &amp; Benefits'!$I$6</f>
        <v>0.22339999999999999</v>
      </c>
      <c r="AA109" s="22">
        <f t="shared" si="25"/>
        <v>0</v>
      </c>
      <c r="AB109" s="22">
        <f t="shared" si="26"/>
        <v>0</v>
      </c>
      <c r="AC109" s="22">
        <f t="shared" si="27"/>
        <v>0</v>
      </c>
      <c r="AD109" s="22">
        <f t="shared" si="17"/>
        <v>0</v>
      </c>
      <c r="AE109" s="22">
        <f t="shared" si="18"/>
        <v>0</v>
      </c>
      <c r="AF109" s="19" t="str">
        <f>VLOOKUP(C109,'2021-22 School Level AAFTE'!C:N,12,FALSE)</f>
        <v>No</v>
      </c>
    </row>
    <row r="110" spans="1:32" s="19" customFormat="1">
      <c r="A110" s="97" t="s">
        <v>2356</v>
      </c>
      <c r="B110" s="97" t="s">
        <v>763</v>
      </c>
      <c r="C110" s="95">
        <v>3338</v>
      </c>
      <c r="D110" s="95" t="s">
        <v>59</v>
      </c>
      <c r="E110" s="129">
        <f>VLOOKUP($C110,'2021-22 School Level AAFTE'!$C:$Z,11,FALSE)</f>
        <v>0.1229</v>
      </c>
      <c r="F110" s="129" t="str">
        <f>VLOOKUP($C110,'2021-22 School Level AAFTE'!$C:$Z,8,FALSE)</f>
        <v>No</v>
      </c>
      <c r="G110" s="129" t="str">
        <f>VLOOKUP($C110,'2021-22 School Level AAFTE'!$C:$Z,12,FALSE)</f>
        <v>No</v>
      </c>
      <c r="H110" s="127">
        <f>VLOOKUP($C110,'2021-22 School Level AAFTE'!$C:$I,7,FALSE)</f>
        <v>790.5</v>
      </c>
      <c r="I110" s="112">
        <f>IFERROR(IF(OR(G110="yes",F110= "yes"),VLOOKUP(C110,Summary!$B:$J,6,0),0),0)</f>
        <v>0</v>
      </c>
      <c r="J110" s="111">
        <f t="shared" si="21"/>
        <v>0</v>
      </c>
      <c r="K110" s="91">
        <f>VLOOKUP($A110,'2022-23 Salary &amp; Benefits'!$A:$I,3,FALSE)</f>
        <v>1.18</v>
      </c>
      <c r="L110" s="91">
        <f>VLOOKUP($A110,'2022-23 Salary &amp; Benefits'!$A:$I,4,FALSE)</f>
        <v>1.18</v>
      </c>
      <c r="M110" s="39">
        <f t="shared" si="16"/>
        <v>0</v>
      </c>
      <c r="N110" s="24">
        <v>15</v>
      </c>
      <c r="O110" s="26">
        <f t="shared" si="19"/>
        <v>0</v>
      </c>
      <c r="P110" s="24">
        <v>1.1000000000000001</v>
      </c>
      <c r="Q110" s="24">
        <v>36</v>
      </c>
      <c r="R110" s="27">
        <f t="shared" si="20"/>
        <v>0</v>
      </c>
      <c r="S110" s="102">
        <f t="shared" si="22"/>
        <v>0</v>
      </c>
      <c r="T110" s="21">
        <f>VLOOKUP($A110,'2022-23 Salary &amp; Benefits'!$A:$I,5,FALSE)</f>
        <v>68937</v>
      </c>
      <c r="U110" s="21">
        <f>VLOOKUP($A110,'2022-23 Salary &amp; Benefits'!$A:$I,6,FALSE)</f>
        <v>72728</v>
      </c>
      <c r="V110" s="22">
        <f t="shared" si="23"/>
        <v>0</v>
      </c>
      <c r="W110" s="22">
        <f t="shared" si="24"/>
        <v>0</v>
      </c>
      <c r="X110" s="22">
        <f>'2022-23 Salary &amp; Benefits'!$G$6</f>
        <v>12558.24</v>
      </c>
      <c r="Y110" s="23">
        <f>'2022-23 Salary &amp; Benefits'!$H$6</f>
        <v>0.2298</v>
      </c>
      <c r="Z110" s="23">
        <f>'2022-23 Salary &amp; Benefits'!$I$6</f>
        <v>0.22339999999999999</v>
      </c>
      <c r="AA110" s="22">
        <f t="shared" si="25"/>
        <v>0</v>
      </c>
      <c r="AB110" s="22">
        <f t="shared" si="26"/>
        <v>0</v>
      </c>
      <c r="AC110" s="22">
        <f t="shared" si="27"/>
        <v>0</v>
      </c>
      <c r="AD110" s="22">
        <f t="shared" si="17"/>
        <v>0</v>
      </c>
      <c r="AE110" s="22">
        <f t="shared" si="18"/>
        <v>0</v>
      </c>
      <c r="AF110" s="19" t="str">
        <f>VLOOKUP(C110,'2021-22 School Level AAFTE'!C:N,12,FALSE)</f>
        <v>No</v>
      </c>
    </row>
    <row r="111" spans="1:32" s="19" customFormat="1">
      <c r="A111" s="97" t="s">
        <v>2356</v>
      </c>
      <c r="B111" s="97" t="s">
        <v>763</v>
      </c>
      <c r="C111" s="95">
        <v>3339</v>
      </c>
      <c r="D111" s="95" t="s">
        <v>775</v>
      </c>
      <c r="E111" s="129">
        <f>VLOOKUP($C111,'2021-22 School Level AAFTE'!$C:$Z,11,FALSE)</f>
        <v>0.42103333333333337</v>
      </c>
      <c r="F111" s="129" t="str">
        <f>VLOOKUP($C111,'2021-22 School Level AAFTE'!$C:$Z,8,FALSE)</f>
        <v>No</v>
      </c>
      <c r="G111" s="129" t="str">
        <f>VLOOKUP($C111,'2021-22 School Level AAFTE'!$C:$Z,12,FALSE)</f>
        <v>No</v>
      </c>
      <c r="H111" s="127">
        <f>VLOOKUP($C111,'2021-22 School Level AAFTE'!$C:$I,7,FALSE)</f>
        <v>371.56</v>
      </c>
      <c r="I111" s="112">
        <f>IFERROR(IF(OR(G111="yes",F111= "yes"),VLOOKUP(C111,Summary!$B:$J,6,0),0),0)</f>
        <v>0</v>
      </c>
      <c r="J111" s="111">
        <f t="shared" si="21"/>
        <v>0</v>
      </c>
      <c r="K111" s="91">
        <f>VLOOKUP($A111,'2022-23 Salary &amp; Benefits'!$A:$I,3,FALSE)</f>
        <v>1.18</v>
      </c>
      <c r="L111" s="91">
        <f>VLOOKUP($A111,'2022-23 Salary &amp; Benefits'!$A:$I,4,FALSE)</f>
        <v>1.18</v>
      </c>
      <c r="M111" s="39">
        <f t="shared" si="16"/>
        <v>0</v>
      </c>
      <c r="N111" s="24">
        <v>15</v>
      </c>
      <c r="O111" s="26">
        <f t="shared" si="19"/>
        <v>0</v>
      </c>
      <c r="P111" s="24">
        <v>1.1000000000000001</v>
      </c>
      <c r="Q111" s="24">
        <v>36</v>
      </c>
      <c r="R111" s="27">
        <f t="shared" si="20"/>
        <v>0</v>
      </c>
      <c r="S111" s="102">
        <f t="shared" si="22"/>
        <v>0</v>
      </c>
      <c r="T111" s="21">
        <f>VLOOKUP($A111,'2022-23 Salary &amp; Benefits'!$A:$I,5,FALSE)</f>
        <v>68937</v>
      </c>
      <c r="U111" s="21">
        <f>VLOOKUP($A111,'2022-23 Salary &amp; Benefits'!$A:$I,6,FALSE)</f>
        <v>72728</v>
      </c>
      <c r="V111" s="22">
        <f t="shared" si="23"/>
        <v>0</v>
      </c>
      <c r="W111" s="22">
        <f t="shared" si="24"/>
        <v>0</v>
      </c>
      <c r="X111" s="22">
        <f>'2022-23 Salary &amp; Benefits'!$G$6</f>
        <v>12558.24</v>
      </c>
      <c r="Y111" s="23">
        <f>'2022-23 Salary &amp; Benefits'!$H$6</f>
        <v>0.2298</v>
      </c>
      <c r="Z111" s="23">
        <f>'2022-23 Salary &amp; Benefits'!$I$6</f>
        <v>0.22339999999999999</v>
      </c>
      <c r="AA111" s="22">
        <f t="shared" si="25"/>
        <v>0</v>
      </c>
      <c r="AB111" s="22">
        <f t="shared" si="26"/>
        <v>0</v>
      </c>
      <c r="AC111" s="22">
        <f t="shared" si="27"/>
        <v>0</v>
      </c>
      <c r="AD111" s="22">
        <f t="shared" si="17"/>
        <v>0</v>
      </c>
      <c r="AE111" s="22">
        <f t="shared" si="18"/>
        <v>0</v>
      </c>
      <c r="AF111" s="19" t="str">
        <f>VLOOKUP(C111,'2021-22 School Level AAFTE'!C:N,12,FALSE)</f>
        <v>No</v>
      </c>
    </row>
    <row r="112" spans="1:32" s="19" customFormat="1">
      <c r="A112" s="97" t="s">
        <v>2356</v>
      </c>
      <c r="B112" s="97" t="s">
        <v>763</v>
      </c>
      <c r="C112" s="95">
        <v>3435</v>
      </c>
      <c r="D112" s="95" t="s">
        <v>776</v>
      </c>
      <c r="E112" s="129">
        <f>VLOOKUP($C112,'2021-22 School Level AAFTE'!$C:$Z,11,FALSE)</f>
        <v>0.12920000000000001</v>
      </c>
      <c r="F112" s="129" t="str">
        <f>VLOOKUP($C112,'2021-22 School Level AAFTE'!$C:$Z,8,FALSE)</f>
        <v>No</v>
      </c>
      <c r="G112" s="129" t="str">
        <f>VLOOKUP($C112,'2021-22 School Level AAFTE'!$C:$Z,12,FALSE)</f>
        <v>No</v>
      </c>
      <c r="H112" s="127">
        <f>VLOOKUP($C112,'2021-22 School Level AAFTE'!$C:$I,7,FALSE)</f>
        <v>733.26</v>
      </c>
      <c r="I112" s="112">
        <f>IFERROR(IF(OR(G112="yes",F112= "yes"),VLOOKUP(C112,Summary!$B:$J,6,0),0),0)</f>
        <v>0</v>
      </c>
      <c r="J112" s="111">
        <f t="shared" si="21"/>
        <v>0</v>
      </c>
      <c r="K112" s="91">
        <f>VLOOKUP($A112,'2022-23 Salary &amp; Benefits'!$A:$I,3,FALSE)</f>
        <v>1.18</v>
      </c>
      <c r="L112" s="91">
        <f>VLOOKUP($A112,'2022-23 Salary &amp; Benefits'!$A:$I,4,FALSE)</f>
        <v>1.18</v>
      </c>
      <c r="M112" s="39">
        <f t="shared" si="16"/>
        <v>0</v>
      </c>
      <c r="N112" s="24">
        <v>15</v>
      </c>
      <c r="O112" s="26">
        <f t="shared" si="19"/>
        <v>0</v>
      </c>
      <c r="P112" s="24">
        <v>1.1000000000000001</v>
      </c>
      <c r="Q112" s="24">
        <v>36</v>
      </c>
      <c r="R112" s="27">
        <f t="shared" si="20"/>
        <v>0</v>
      </c>
      <c r="S112" s="102">
        <f t="shared" si="22"/>
        <v>0</v>
      </c>
      <c r="T112" s="21">
        <f>VLOOKUP($A112,'2022-23 Salary &amp; Benefits'!$A:$I,5,FALSE)</f>
        <v>68937</v>
      </c>
      <c r="U112" s="21">
        <f>VLOOKUP($A112,'2022-23 Salary &amp; Benefits'!$A:$I,6,FALSE)</f>
        <v>72728</v>
      </c>
      <c r="V112" s="22">
        <f t="shared" si="23"/>
        <v>0</v>
      </c>
      <c r="W112" s="22">
        <f t="shared" si="24"/>
        <v>0</v>
      </c>
      <c r="X112" s="22">
        <f>'2022-23 Salary &amp; Benefits'!$G$6</f>
        <v>12558.24</v>
      </c>
      <c r="Y112" s="23">
        <f>'2022-23 Salary &amp; Benefits'!$H$6</f>
        <v>0.2298</v>
      </c>
      <c r="Z112" s="23">
        <f>'2022-23 Salary &amp; Benefits'!$I$6</f>
        <v>0.22339999999999999</v>
      </c>
      <c r="AA112" s="22">
        <f t="shared" si="25"/>
        <v>0</v>
      </c>
      <c r="AB112" s="22">
        <f t="shared" si="26"/>
        <v>0</v>
      </c>
      <c r="AC112" s="22">
        <f t="shared" si="27"/>
        <v>0</v>
      </c>
      <c r="AD112" s="22">
        <f t="shared" si="17"/>
        <v>0</v>
      </c>
      <c r="AE112" s="22">
        <f t="shared" si="18"/>
        <v>0</v>
      </c>
      <c r="AF112" s="19" t="str">
        <f>VLOOKUP(C112,'2021-22 School Level AAFTE'!C:N,12,FALSE)</f>
        <v>No</v>
      </c>
    </row>
    <row r="113" spans="1:32" s="19" customFormat="1">
      <c r="A113" s="97" t="s">
        <v>2356</v>
      </c>
      <c r="B113" s="97" t="s">
        <v>763</v>
      </c>
      <c r="C113" s="95">
        <v>3436</v>
      </c>
      <c r="D113" s="95" t="s">
        <v>777</v>
      </c>
      <c r="E113" s="129">
        <f>VLOOKUP($C113,'2021-22 School Level AAFTE'!$C:$Z,11,FALSE)</f>
        <v>1.23E-2</v>
      </c>
      <c r="F113" s="129" t="str">
        <f>VLOOKUP($C113,'2021-22 School Level AAFTE'!$C:$Z,8,FALSE)</f>
        <v>No</v>
      </c>
      <c r="G113" s="129" t="str">
        <f>VLOOKUP($C113,'2021-22 School Level AAFTE'!$C:$Z,12,FALSE)</f>
        <v>No</v>
      </c>
      <c r="H113" s="127">
        <f>VLOOKUP($C113,'2021-22 School Level AAFTE'!$C:$I,7,FALSE)</f>
        <v>448.86</v>
      </c>
      <c r="I113" s="112">
        <f>IFERROR(IF(OR(G113="yes",F113= "yes"),VLOOKUP(C113,Summary!$B:$J,6,0),0),0)</f>
        <v>0</v>
      </c>
      <c r="J113" s="111">
        <f t="shared" si="21"/>
        <v>0</v>
      </c>
      <c r="K113" s="91">
        <f>VLOOKUP($A113,'2022-23 Salary &amp; Benefits'!$A:$I,3,FALSE)</f>
        <v>1.18</v>
      </c>
      <c r="L113" s="91">
        <f>VLOOKUP($A113,'2022-23 Salary &amp; Benefits'!$A:$I,4,FALSE)</f>
        <v>1.18</v>
      </c>
      <c r="M113" s="101">
        <f t="shared" si="16"/>
        <v>0</v>
      </c>
      <c r="N113" s="24">
        <v>15</v>
      </c>
      <c r="O113" s="26">
        <f t="shared" si="19"/>
        <v>0</v>
      </c>
      <c r="P113" s="24">
        <v>1.1000000000000001</v>
      </c>
      <c r="Q113" s="24">
        <v>36</v>
      </c>
      <c r="R113" s="27">
        <f t="shared" si="20"/>
        <v>0</v>
      </c>
      <c r="S113" s="102">
        <f t="shared" si="22"/>
        <v>0</v>
      </c>
      <c r="T113" s="21">
        <f>VLOOKUP($A113,'2022-23 Salary &amp; Benefits'!$A:$I,5,FALSE)</f>
        <v>68937</v>
      </c>
      <c r="U113" s="21">
        <f>VLOOKUP($A113,'2022-23 Salary &amp; Benefits'!$A:$I,6,FALSE)</f>
        <v>72728</v>
      </c>
      <c r="V113" s="22">
        <f t="shared" si="23"/>
        <v>0</v>
      </c>
      <c r="W113" s="22">
        <f t="shared" si="24"/>
        <v>0</v>
      </c>
      <c r="X113" s="22">
        <f>'2022-23 Salary &amp; Benefits'!$G$6</f>
        <v>12558.24</v>
      </c>
      <c r="Y113" s="23">
        <f>'2022-23 Salary &amp; Benefits'!$H$6</f>
        <v>0.2298</v>
      </c>
      <c r="Z113" s="23">
        <f>'2022-23 Salary &amp; Benefits'!$I$6</f>
        <v>0.22339999999999999</v>
      </c>
      <c r="AA113" s="22">
        <f t="shared" si="25"/>
        <v>0</v>
      </c>
      <c r="AB113" s="22">
        <f t="shared" si="26"/>
        <v>0</v>
      </c>
      <c r="AC113" s="22">
        <f t="shared" si="27"/>
        <v>0</v>
      </c>
      <c r="AD113" s="22">
        <f t="shared" si="17"/>
        <v>0</v>
      </c>
      <c r="AE113" s="22">
        <f t="shared" si="18"/>
        <v>0</v>
      </c>
      <c r="AF113" s="19" t="str">
        <f>VLOOKUP(C113,'2021-22 School Level AAFTE'!C:N,12,FALSE)</f>
        <v>No</v>
      </c>
    </row>
    <row r="114" spans="1:32" s="19" customFormat="1">
      <c r="A114" s="97" t="s">
        <v>2356</v>
      </c>
      <c r="B114" s="97" t="s">
        <v>763</v>
      </c>
      <c r="C114" s="95">
        <v>3437</v>
      </c>
      <c r="D114" s="95" t="s">
        <v>778</v>
      </c>
      <c r="E114" s="129">
        <f>VLOOKUP($C114,'2021-22 School Level AAFTE'!$C:$Z,11,FALSE)</f>
        <v>0.18403333333333335</v>
      </c>
      <c r="F114" s="129" t="str">
        <f>VLOOKUP($C114,'2021-22 School Level AAFTE'!$C:$Z,8,FALSE)</f>
        <v>No</v>
      </c>
      <c r="G114" s="129" t="str">
        <f>VLOOKUP($C114,'2021-22 School Level AAFTE'!$C:$Z,12,FALSE)</f>
        <v>No</v>
      </c>
      <c r="H114" s="127">
        <f>VLOOKUP($C114,'2021-22 School Level AAFTE'!$C:$I,7,FALSE)</f>
        <v>421.06</v>
      </c>
      <c r="I114" s="112">
        <f>IFERROR(IF(OR(G114="yes",F114= "yes"),VLOOKUP(C114,Summary!$B:$J,6,0),0),0)</f>
        <v>0</v>
      </c>
      <c r="J114" s="111">
        <f t="shared" si="21"/>
        <v>0</v>
      </c>
      <c r="K114" s="91">
        <f>VLOOKUP($A114,'2022-23 Salary &amp; Benefits'!$A:$I,3,FALSE)</f>
        <v>1.18</v>
      </c>
      <c r="L114" s="91">
        <f>VLOOKUP($A114,'2022-23 Salary &amp; Benefits'!$A:$I,4,FALSE)</f>
        <v>1.18</v>
      </c>
      <c r="M114" s="39">
        <f t="shared" si="16"/>
        <v>0</v>
      </c>
      <c r="N114" s="24">
        <v>15</v>
      </c>
      <c r="O114" s="26">
        <f t="shared" si="19"/>
        <v>0</v>
      </c>
      <c r="P114" s="24">
        <v>1.1000000000000001</v>
      </c>
      <c r="Q114" s="24">
        <v>36</v>
      </c>
      <c r="R114" s="27">
        <f t="shared" si="20"/>
        <v>0</v>
      </c>
      <c r="S114" s="102">
        <f t="shared" si="22"/>
        <v>0</v>
      </c>
      <c r="T114" s="21">
        <f>VLOOKUP($A114,'2022-23 Salary &amp; Benefits'!$A:$I,5,FALSE)</f>
        <v>68937</v>
      </c>
      <c r="U114" s="21">
        <f>VLOOKUP($A114,'2022-23 Salary &amp; Benefits'!$A:$I,6,FALSE)</f>
        <v>72728</v>
      </c>
      <c r="V114" s="22">
        <f t="shared" si="23"/>
        <v>0</v>
      </c>
      <c r="W114" s="22">
        <f t="shared" si="24"/>
        <v>0</v>
      </c>
      <c r="X114" s="22">
        <f>'2022-23 Salary &amp; Benefits'!$G$6</f>
        <v>12558.24</v>
      </c>
      <c r="Y114" s="23">
        <f>'2022-23 Salary &amp; Benefits'!$H$6</f>
        <v>0.2298</v>
      </c>
      <c r="Z114" s="23">
        <f>'2022-23 Salary &amp; Benefits'!$I$6</f>
        <v>0.22339999999999999</v>
      </c>
      <c r="AA114" s="22">
        <f t="shared" si="25"/>
        <v>0</v>
      </c>
      <c r="AB114" s="22">
        <f t="shared" si="26"/>
        <v>0</v>
      </c>
      <c r="AC114" s="22">
        <f t="shared" si="27"/>
        <v>0</v>
      </c>
      <c r="AD114" s="22">
        <f t="shared" si="17"/>
        <v>0</v>
      </c>
      <c r="AE114" s="22">
        <f t="shared" si="18"/>
        <v>0</v>
      </c>
      <c r="AF114" s="19" t="str">
        <f>VLOOKUP(C114,'2021-22 School Level AAFTE'!C:N,12,FALSE)</f>
        <v>No</v>
      </c>
    </row>
    <row r="115" spans="1:32" s="19" customFormat="1">
      <c r="A115" s="97" t="s">
        <v>2356</v>
      </c>
      <c r="B115" s="97" t="s">
        <v>763</v>
      </c>
      <c r="C115" s="95">
        <v>3486</v>
      </c>
      <c r="D115" s="95" t="s">
        <v>779</v>
      </c>
      <c r="E115" s="129">
        <f>VLOOKUP($C115,'2021-22 School Level AAFTE'!$C:$Z,11,FALSE)</f>
        <v>8.9599999999999999E-2</v>
      </c>
      <c r="F115" s="129" t="str">
        <f>VLOOKUP($C115,'2021-22 School Level AAFTE'!$C:$Z,8,FALSE)</f>
        <v>No</v>
      </c>
      <c r="G115" s="129" t="str">
        <f>VLOOKUP($C115,'2021-22 School Level AAFTE'!$C:$Z,12,FALSE)</f>
        <v>No</v>
      </c>
      <c r="H115" s="127">
        <f>VLOOKUP($C115,'2021-22 School Level AAFTE'!$C:$I,7,FALSE)</f>
        <v>1797.0900000000001</v>
      </c>
      <c r="I115" s="112">
        <f>IFERROR(IF(OR(G115="yes",F115= "yes"),VLOOKUP(C115,Summary!$B:$J,6,0),0),0)</f>
        <v>0</v>
      </c>
      <c r="J115" s="111">
        <f t="shared" si="21"/>
        <v>0</v>
      </c>
      <c r="K115" s="91">
        <f>VLOOKUP($A115,'2022-23 Salary &amp; Benefits'!$A:$I,3,FALSE)</f>
        <v>1.18</v>
      </c>
      <c r="L115" s="91">
        <f>VLOOKUP($A115,'2022-23 Salary &amp; Benefits'!$A:$I,4,FALSE)</f>
        <v>1.18</v>
      </c>
      <c r="M115" s="101">
        <f t="shared" si="16"/>
        <v>0</v>
      </c>
      <c r="N115" s="24">
        <v>15</v>
      </c>
      <c r="O115" s="26">
        <f t="shared" si="19"/>
        <v>0</v>
      </c>
      <c r="P115" s="24">
        <v>1.1000000000000001</v>
      </c>
      <c r="Q115" s="24">
        <v>36</v>
      </c>
      <c r="R115" s="27">
        <f t="shared" si="20"/>
        <v>0</v>
      </c>
      <c r="S115" s="102">
        <f t="shared" si="22"/>
        <v>0</v>
      </c>
      <c r="T115" s="21">
        <f>VLOOKUP($A115,'2022-23 Salary &amp; Benefits'!$A:$I,5,FALSE)</f>
        <v>68937</v>
      </c>
      <c r="U115" s="21">
        <f>VLOOKUP($A115,'2022-23 Salary &amp; Benefits'!$A:$I,6,FALSE)</f>
        <v>72728</v>
      </c>
      <c r="V115" s="22">
        <f t="shared" si="23"/>
        <v>0</v>
      </c>
      <c r="W115" s="22">
        <f t="shared" si="24"/>
        <v>0</v>
      </c>
      <c r="X115" s="22">
        <f>'2022-23 Salary &amp; Benefits'!$G$6</f>
        <v>12558.24</v>
      </c>
      <c r="Y115" s="23">
        <f>'2022-23 Salary &amp; Benefits'!$H$6</f>
        <v>0.2298</v>
      </c>
      <c r="Z115" s="23">
        <f>'2022-23 Salary &amp; Benefits'!$I$6</f>
        <v>0.22339999999999999</v>
      </c>
      <c r="AA115" s="22">
        <f t="shared" si="25"/>
        <v>0</v>
      </c>
      <c r="AB115" s="22">
        <f t="shared" si="26"/>
        <v>0</v>
      </c>
      <c r="AC115" s="22">
        <f t="shared" si="27"/>
        <v>0</v>
      </c>
      <c r="AD115" s="22">
        <f t="shared" si="17"/>
        <v>0</v>
      </c>
      <c r="AE115" s="22">
        <f t="shared" si="18"/>
        <v>0</v>
      </c>
      <c r="AF115" s="19" t="str">
        <f>VLOOKUP(C115,'2021-22 School Level AAFTE'!C:N,12,FALSE)</f>
        <v>No</v>
      </c>
    </row>
    <row r="116" spans="1:32" s="28" customFormat="1">
      <c r="A116" s="97" t="s">
        <v>2356</v>
      </c>
      <c r="B116" s="97" t="s">
        <v>763</v>
      </c>
      <c r="C116" s="95">
        <v>3522</v>
      </c>
      <c r="D116" s="95" t="s">
        <v>780</v>
      </c>
      <c r="E116" s="129">
        <f>VLOOKUP($C116,'2021-22 School Level AAFTE'!$C:$Z,11,FALSE)</f>
        <v>7.1300000000000002E-2</v>
      </c>
      <c r="F116" s="129" t="str">
        <f>VLOOKUP($C116,'2021-22 School Level AAFTE'!$C:$Z,8,FALSE)</f>
        <v>No</v>
      </c>
      <c r="G116" s="129" t="str">
        <f>VLOOKUP($C116,'2021-22 School Level AAFTE'!$C:$Z,12,FALSE)</f>
        <v>No</v>
      </c>
      <c r="H116" s="127">
        <f>VLOOKUP($C116,'2021-22 School Level AAFTE'!$C:$I,7,FALSE)</f>
        <v>585.57000000000005</v>
      </c>
      <c r="I116" s="112">
        <f>IFERROR(IF(OR(G116="yes",F116= "yes"),VLOOKUP(C116,Summary!$B:$J,6,0),0),0)</f>
        <v>0</v>
      </c>
      <c r="J116" s="111">
        <f t="shared" si="21"/>
        <v>0</v>
      </c>
      <c r="K116" s="91">
        <f>VLOOKUP($A116,'2022-23 Salary &amp; Benefits'!$A:$I,3,FALSE)</f>
        <v>1.18</v>
      </c>
      <c r="L116" s="91">
        <f>VLOOKUP($A116,'2022-23 Salary &amp; Benefits'!$A:$I,4,FALSE)</f>
        <v>1.18</v>
      </c>
      <c r="M116" s="101">
        <f t="shared" si="16"/>
        <v>0</v>
      </c>
      <c r="N116" s="24">
        <v>15</v>
      </c>
      <c r="O116" s="26">
        <f t="shared" si="19"/>
        <v>0</v>
      </c>
      <c r="P116" s="24">
        <v>1.1000000000000001</v>
      </c>
      <c r="Q116" s="24">
        <v>36</v>
      </c>
      <c r="R116" s="27">
        <f t="shared" si="20"/>
        <v>0</v>
      </c>
      <c r="S116" s="102">
        <f t="shared" si="22"/>
        <v>0</v>
      </c>
      <c r="T116" s="21">
        <f>VLOOKUP($A116,'2022-23 Salary &amp; Benefits'!$A:$I,5,FALSE)</f>
        <v>68937</v>
      </c>
      <c r="U116" s="21">
        <f>VLOOKUP($A116,'2022-23 Salary &amp; Benefits'!$A:$I,6,FALSE)</f>
        <v>72728</v>
      </c>
      <c r="V116" s="22">
        <f t="shared" si="23"/>
        <v>0</v>
      </c>
      <c r="W116" s="22">
        <f t="shared" si="24"/>
        <v>0</v>
      </c>
      <c r="X116" s="22">
        <f>'2022-23 Salary &amp; Benefits'!$G$6</f>
        <v>12558.24</v>
      </c>
      <c r="Y116" s="23">
        <f>'2022-23 Salary &amp; Benefits'!$H$6</f>
        <v>0.2298</v>
      </c>
      <c r="Z116" s="23">
        <f>'2022-23 Salary &amp; Benefits'!$I$6</f>
        <v>0.22339999999999999</v>
      </c>
      <c r="AA116" s="22">
        <f t="shared" si="25"/>
        <v>0</v>
      </c>
      <c r="AB116" s="22">
        <f t="shared" si="26"/>
        <v>0</v>
      </c>
      <c r="AC116" s="22">
        <f t="shared" si="27"/>
        <v>0</v>
      </c>
      <c r="AD116" s="22">
        <f t="shared" si="17"/>
        <v>0</v>
      </c>
      <c r="AE116" s="22">
        <f t="shared" si="18"/>
        <v>0</v>
      </c>
      <c r="AF116" s="19" t="str">
        <f>VLOOKUP(C116,'2021-22 School Level AAFTE'!C:N,12,FALSE)</f>
        <v>No</v>
      </c>
    </row>
    <row r="117" spans="1:32" s="19" customFormat="1">
      <c r="A117" s="97" t="s">
        <v>2356</v>
      </c>
      <c r="B117" s="97" t="s">
        <v>763</v>
      </c>
      <c r="C117" s="95">
        <v>3588</v>
      </c>
      <c r="D117" s="95" t="s">
        <v>781</v>
      </c>
      <c r="E117" s="129">
        <f>VLOOKUP($C117,'2021-22 School Level AAFTE'!$C:$Z,11,FALSE)</f>
        <v>0.19750000000000001</v>
      </c>
      <c r="F117" s="129" t="str">
        <f>VLOOKUP($C117,'2021-22 School Level AAFTE'!$C:$Z,8,FALSE)</f>
        <v>No</v>
      </c>
      <c r="G117" s="129" t="str">
        <f>VLOOKUP($C117,'2021-22 School Level AAFTE'!$C:$Z,12,FALSE)</f>
        <v>No</v>
      </c>
      <c r="H117" s="127">
        <f>VLOOKUP($C117,'2021-22 School Level AAFTE'!$C:$I,7,FALSE)</f>
        <v>1549.52</v>
      </c>
      <c r="I117" s="112">
        <f>IFERROR(IF(OR(G117="yes",F117= "yes"),VLOOKUP(C117,Summary!$B:$J,6,0),0),0)</f>
        <v>0</v>
      </c>
      <c r="J117" s="111">
        <f t="shared" si="21"/>
        <v>0</v>
      </c>
      <c r="K117" s="91">
        <f>VLOOKUP($A117,'2022-23 Salary &amp; Benefits'!$A:$I,3,FALSE)</f>
        <v>1.18</v>
      </c>
      <c r="L117" s="91">
        <f>VLOOKUP($A117,'2022-23 Salary &amp; Benefits'!$A:$I,4,FALSE)</f>
        <v>1.18</v>
      </c>
      <c r="M117" s="39">
        <f t="shared" si="16"/>
        <v>0</v>
      </c>
      <c r="N117" s="24">
        <v>15</v>
      </c>
      <c r="O117" s="26">
        <f t="shared" si="19"/>
        <v>0</v>
      </c>
      <c r="P117" s="24">
        <v>1.1000000000000001</v>
      </c>
      <c r="Q117" s="24">
        <v>36</v>
      </c>
      <c r="R117" s="27">
        <f t="shared" si="20"/>
        <v>0</v>
      </c>
      <c r="S117" s="102">
        <f t="shared" si="22"/>
        <v>0</v>
      </c>
      <c r="T117" s="21">
        <f>VLOOKUP($A117,'2022-23 Salary &amp; Benefits'!$A:$I,5,FALSE)</f>
        <v>68937</v>
      </c>
      <c r="U117" s="21">
        <f>VLOOKUP($A117,'2022-23 Salary &amp; Benefits'!$A:$I,6,FALSE)</f>
        <v>72728</v>
      </c>
      <c r="V117" s="22">
        <f t="shared" si="23"/>
        <v>0</v>
      </c>
      <c r="W117" s="22">
        <f t="shared" si="24"/>
        <v>0</v>
      </c>
      <c r="X117" s="22">
        <f>'2022-23 Salary &amp; Benefits'!$G$6</f>
        <v>12558.24</v>
      </c>
      <c r="Y117" s="23">
        <f>'2022-23 Salary &amp; Benefits'!$H$6</f>
        <v>0.2298</v>
      </c>
      <c r="Z117" s="23">
        <f>'2022-23 Salary &amp; Benefits'!$I$6</f>
        <v>0.22339999999999999</v>
      </c>
      <c r="AA117" s="22">
        <f t="shared" si="25"/>
        <v>0</v>
      </c>
      <c r="AB117" s="22">
        <f t="shared" si="26"/>
        <v>0</v>
      </c>
      <c r="AC117" s="22">
        <f t="shared" si="27"/>
        <v>0</v>
      </c>
      <c r="AD117" s="22">
        <f t="shared" si="17"/>
        <v>0</v>
      </c>
      <c r="AE117" s="22">
        <f t="shared" si="18"/>
        <v>0</v>
      </c>
      <c r="AF117" s="19" t="str">
        <f>VLOOKUP(C117,'2021-22 School Level AAFTE'!C:N,12,FALSE)</f>
        <v>No</v>
      </c>
    </row>
    <row r="118" spans="1:32" s="19" customFormat="1">
      <c r="A118" s="97" t="s">
        <v>2356</v>
      </c>
      <c r="B118" s="97" t="s">
        <v>763</v>
      </c>
      <c r="C118" s="95">
        <v>3631</v>
      </c>
      <c r="D118" s="95" t="s">
        <v>782</v>
      </c>
      <c r="E118" s="129">
        <f>VLOOKUP($C118,'2021-22 School Level AAFTE'!$C:$Z,11,FALSE)</f>
        <v>0.1694</v>
      </c>
      <c r="F118" s="129" t="str">
        <f>VLOOKUP($C118,'2021-22 School Level AAFTE'!$C:$Z,8,FALSE)</f>
        <v>No</v>
      </c>
      <c r="G118" s="129" t="str">
        <f>VLOOKUP($C118,'2021-22 School Level AAFTE'!$C:$Z,12,FALSE)</f>
        <v>No</v>
      </c>
      <c r="H118" s="127">
        <f>VLOOKUP($C118,'2021-22 School Level AAFTE'!$C:$I,7,FALSE)</f>
        <v>945.53</v>
      </c>
      <c r="I118" s="112">
        <f>IFERROR(IF(OR(G118="yes",F118= "yes"),VLOOKUP(C118,Summary!$B:$J,6,0),0),0)</f>
        <v>0</v>
      </c>
      <c r="J118" s="111">
        <f t="shared" si="21"/>
        <v>0</v>
      </c>
      <c r="K118" s="91">
        <f>VLOOKUP($A118,'2022-23 Salary &amp; Benefits'!$A:$I,3,FALSE)</f>
        <v>1.18</v>
      </c>
      <c r="L118" s="91">
        <f>VLOOKUP($A118,'2022-23 Salary &amp; Benefits'!$A:$I,4,FALSE)</f>
        <v>1.18</v>
      </c>
      <c r="M118" s="101">
        <f t="shared" si="16"/>
        <v>0</v>
      </c>
      <c r="N118" s="24">
        <v>15</v>
      </c>
      <c r="O118" s="26">
        <f t="shared" si="19"/>
        <v>0</v>
      </c>
      <c r="P118" s="24">
        <v>1.1000000000000001</v>
      </c>
      <c r="Q118" s="24">
        <v>36</v>
      </c>
      <c r="R118" s="27">
        <f t="shared" si="20"/>
        <v>0</v>
      </c>
      <c r="S118" s="102">
        <f t="shared" si="22"/>
        <v>0</v>
      </c>
      <c r="T118" s="21">
        <f>VLOOKUP($A118,'2022-23 Salary &amp; Benefits'!$A:$I,5,FALSE)</f>
        <v>68937</v>
      </c>
      <c r="U118" s="21">
        <f>VLOOKUP($A118,'2022-23 Salary &amp; Benefits'!$A:$I,6,FALSE)</f>
        <v>72728</v>
      </c>
      <c r="V118" s="22">
        <f t="shared" si="23"/>
        <v>0</v>
      </c>
      <c r="W118" s="22">
        <f t="shared" si="24"/>
        <v>0</v>
      </c>
      <c r="X118" s="22">
        <f>'2022-23 Salary &amp; Benefits'!$G$6</f>
        <v>12558.24</v>
      </c>
      <c r="Y118" s="23">
        <f>'2022-23 Salary &amp; Benefits'!$H$6</f>
        <v>0.2298</v>
      </c>
      <c r="Z118" s="23">
        <f>'2022-23 Salary &amp; Benefits'!$I$6</f>
        <v>0.22339999999999999</v>
      </c>
      <c r="AA118" s="22">
        <f t="shared" si="25"/>
        <v>0</v>
      </c>
      <c r="AB118" s="22">
        <f t="shared" si="26"/>
        <v>0</v>
      </c>
      <c r="AC118" s="22">
        <f t="shared" si="27"/>
        <v>0</v>
      </c>
      <c r="AD118" s="22">
        <f t="shared" si="17"/>
        <v>0</v>
      </c>
      <c r="AE118" s="22">
        <f t="shared" si="18"/>
        <v>0</v>
      </c>
      <c r="AF118" s="19" t="str">
        <f>VLOOKUP(C118,'2021-22 School Level AAFTE'!C:N,12,FALSE)</f>
        <v>No</v>
      </c>
    </row>
    <row r="119" spans="1:32" s="19" customFormat="1">
      <c r="A119" s="97" t="s">
        <v>2356</v>
      </c>
      <c r="B119" s="97" t="s">
        <v>763</v>
      </c>
      <c r="C119" s="95">
        <v>3633</v>
      </c>
      <c r="D119" s="95" t="s">
        <v>783</v>
      </c>
      <c r="E119" s="129">
        <f>VLOOKUP($C119,'2021-22 School Level AAFTE'!$C:$Z,11,FALSE)</f>
        <v>0.35793333333333338</v>
      </c>
      <c r="F119" s="129" t="str">
        <f>VLOOKUP($C119,'2021-22 School Level AAFTE'!$C:$Z,8,FALSE)</f>
        <v>No</v>
      </c>
      <c r="G119" s="129" t="str">
        <f>VLOOKUP($C119,'2021-22 School Level AAFTE'!$C:$Z,12,FALSE)</f>
        <v>No</v>
      </c>
      <c r="H119" s="127">
        <f>VLOOKUP($C119,'2021-22 School Level AAFTE'!$C:$I,7,FALSE)</f>
        <v>337.57</v>
      </c>
      <c r="I119" s="112">
        <f>IFERROR(IF(OR(G119="yes",F119= "yes"),VLOOKUP(C119,Summary!$B:$J,6,0),0),0)</f>
        <v>0</v>
      </c>
      <c r="J119" s="111">
        <f t="shared" si="21"/>
        <v>0</v>
      </c>
      <c r="K119" s="91">
        <f>VLOOKUP($A119,'2022-23 Salary &amp; Benefits'!$A:$I,3,FALSE)</f>
        <v>1.18</v>
      </c>
      <c r="L119" s="91">
        <f>VLOOKUP($A119,'2022-23 Salary &amp; Benefits'!$A:$I,4,FALSE)</f>
        <v>1.18</v>
      </c>
      <c r="M119" s="101">
        <f t="shared" si="16"/>
        <v>0</v>
      </c>
      <c r="N119" s="24">
        <v>15</v>
      </c>
      <c r="O119" s="26">
        <f t="shared" si="19"/>
        <v>0</v>
      </c>
      <c r="P119" s="24">
        <v>1.1000000000000001</v>
      </c>
      <c r="Q119" s="24">
        <v>36</v>
      </c>
      <c r="R119" s="27">
        <f t="shared" si="20"/>
        <v>0</v>
      </c>
      <c r="S119" s="102">
        <f t="shared" si="22"/>
        <v>0</v>
      </c>
      <c r="T119" s="21">
        <f>VLOOKUP($A119,'2022-23 Salary &amp; Benefits'!$A:$I,5,FALSE)</f>
        <v>68937</v>
      </c>
      <c r="U119" s="21">
        <f>VLOOKUP($A119,'2022-23 Salary &amp; Benefits'!$A:$I,6,FALSE)</f>
        <v>72728</v>
      </c>
      <c r="V119" s="22">
        <f t="shared" si="23"/>
        <v>0</v>
      </c>
      <c r="W119" s="22">
        <f t="shared" si="24"/>
        <v>0</v>
      </c>
      <c r="X119" s="22">
        <f>'2022-23 Salary &amp; Benefits'!$G$6</f>
        <v>12558.24</v>
      </c>
      <c r="Y119" s="23">
        <f>'2022-23 Salary &amp; Benefits'!$H$6</f>
        <v>0.2298</v>
      </c>
      <c r="Z119" s="23">
        <f>'2022-23 Salary &amp; Benefits'!$I$6</f>
        <v>0.22339999999999999</v>
      </c>
      <c r="AA119" s="22">
        <f t="shared" si="25"/>
        <v>0</v>
      </c>
      <c r="AB119" s="22">
        <f t="shared" si="26"/>
        <v>0</v>
      </c>
      <c r="AC119" s="22">
        <f t="shared" si="27"/>
        <v>0</v>
      </c>
      <c r="AD119" s="22">
        <f t="shared" si="17"/>
        <v>0</v>
      </c>
      <c r="AE119" s="22">
        <f t="shared" si="18"/>
        <v>0</v>
      </c>
      <c r="AF119" s="19" t="str">
        <f>VLOOKUP(C119,'2021-22 School Level AAFTE'!C:N,12,FALSE)</f>
        <v>No</v>
      </c>
    </row>
    <row r="120" spans="1:32" s="19" customFormat="1">
      <c r="A120" s="97" t="s">
        <v>2356</v>
      </c>
      <c r="B120" s="97" t="s">
        <v>763</v>
      </c>
      <c r="C120" s="95">
        <v>3634</v>
      </c>
      <c r="D120" s="95" t="s">
        <v>784</v>
      </c>
      <c r="E120" s="129">
        <f>VLOOKUP($C120,'2021-22 School Level AAFTE'!$C:$Z,11,FALSE)</f>
        <v>9.2466666666666655E-2</v>
      </c>
      <c r="F120" s="129" t="str">
        <f>VLOOKUP($C120,'2021-22 School Level AAFTE'!$C:$Z,8,FALSE)</f>
        <v>No</v>
      </c>
      <c r="G120" s="129" t="str">
        <f>VLOOKUP($C120,'2021-22 School Level AAFTE'!$C:$Z,12,FALSE)</f>
        <v>No</v>
      </c>
      <c r="H120" s="127">
        <f>VLOOKUP($C120,'2021-22 School Level AAFTE'!$C:$I,7,FALSE)</f>
        <v>608.59</v>
      </c>
      <c r="I120" s="112">
        <f>IFERROR(IF(OR(G120="yes",F120= "yes"),VLOOKUP(C120,Summary!$B:$J,6,0),0),0)</f>
        <v>0</v>
      </c>
      <c r="J120" s="111">
        <f t="shared" si="21"/>
        <v>0</v>
      </c>
      <c r="K120" s="91">
        <f>VLOOKUP($A120,'2022-23 Salary &amp; Benefits'!$A:$I,3,FALSE)</f>
        <v>1.18</v>
      </c>
      <c r="L120" s="91">
        <f>VLOOKUP($A120,'2022-23 Salary &amp; Benefits'!$A:$I,4,FALSE)</f>
        <v>1.18</v>
      </c>
      <c r="M120" s="39">
        <f t="shared" si="16"/>
        <v>0</v>
      </c>
      <c r="N120" s="24">
        <v>15</v>
      </c>
      <c r="O120" s="26">
        <f t="shared" si="19"/>
        <v>0</v>
      </c>
      <c r="P120" s="24">
        <v>1.1000000000000001</v>
      </c>
      <c r="Q120" s="24">
        <v>36</v>
      </c>
      <c r="R120" s="27">
        <f t="shared" si="20"/>
        <v>0</v>
      </c>
      <c r="S120" s="102">
        <f t="shared" si="22"/>
        <v>0</v>
      </c>
      <c r="T120" s="21">
        <f>VLOOKUP($A120,'2022-23 Salary &amp; Benefits'!$A:$I,5,FALSE)</f>
        <v>68937</v>
      </c>
      <c r="U120" s="21">
        <f>VLOOKUP($A120,'2022-23 Salary &amp; Benefits'!$A:$I,6,FALSE)</f>
        <v>72728</v>
      </c>
      <c r="V120" s="22">
        <f t="shared" si="23"/>
        <v>0</v>
      </c>
      <c r="W120" s="22">
        <f t="shared" si="24"/>
        <v>0</v>
      </c>
      <c r="X120" s="22">
        <f>'2022-23 Salary &amp; Benefits'!$G$6</f>
        <v>12558.24</v>
      </c>
      <c r="Y120" s="23">
        <f>'2022-23 Salary &amp; Benefits'!$H$6</f>
        <v>0.2298</v>
      </c>
      <c r="Z120" s="23">
        <f>'2022-23 Salary &amp; Benefits'!$I$6</f>
        <v>0.22339999999999999</v>
      </c>
      <c r="AA120" s="22">
        <f t="shared" si="25"/>
        <v>0</v>
      </c>
      <c r="AB120" s="22">
        <f t="shared" si="26"/>
        <v>0</v>
      </c>
      <c r="AC120" s="22">
        <f t="shared" si="27"/>
        <v>0</v>
      </c>
      <c r="AD120" s="22">
        <f t="shared" si="17"/>
        <v>0</v>
      </c>
      <c r="AE120" s="22">
        <f t="shared" si="18"/>
        <v>0</v>
      </c>
      <c r="AF120" s="19" t="str">
        <f>VLOOKUP(C120,'2021-22 School Level AAFTE'!C:N,12,FALSE)</f>
        <v>No</v>
      </c>
    </row>
    <row r="121" spans="1:32" s="19" customFormat="1">
      <c r="A121" s="97" t="s">
        <v>2356</v>
      </c>
      <c r="B121" s="97" t="s">
        <v>763</v>
      </c>
      <c r="C121" s="95">
        <v>3705</v>
      </c>
      <c r="D121" s="95" t="s">
        <v>785</v>
      </c>
      <c r="E121" s="129">
        <f>VLOOKUP($C121,'2021-22 School Level AAFTE'!$C:$Z,11,FALSE)</f>
        <v>7.1566666666666667E-2</v>
      </c>
      <c r="F121" s="129" t="str">
        <f>VLOOKUP($C121,'2021-22 School Level AAFTE'!$C:$Z,8,FALSE)</f>
        <v>No</v>
      </c>
      <c r="G121" s="129" t="str">
        <f>VLOOKUP($C121,'2021-22 School Level AAFTE'!$C:$Z,12,FALSE)</f>
        <v>No</v>
      </c>
      <c r="H121" s="127">
        <f>VLOOKUP($C121,'2021-22 School Level AAFTE'!$C:$I,7,FALSE)</f>
        <v>375.71</v>
      </c>
      <c r="I121" s="112">
        <f>IFERROR(IF(OR(G121="yes",F121= "yes"),VLOOKUP(C121,Summary!$B:$J,6,0),0),0)</f>
        <v>0</v>
      </c>
      <c r="J121" s="111">
        <f t="shared" si="21"/>
        <v>0</v>
      </c>
      <c r="K121" s="91">
        <f>VLOOKUP($A121,'2022-23 Salary &amp; Benefits'!$A:$I,3,FALSE)</f>
        <v>1.18</v>
      </c>
      <c r="L121" s="91">
        <f>VLOOKUP($A121,'2022-23 Salary &amp; Benefits'!$A:$I,4,FALSE)</f>
        <v>1.18</v>
      </c>
      <c r="M121" s="39">
        <f t="shared" si="16"/>
        <v>0</v>
      </c>
      <c r="N121" s="24">
        <v>15</v>
      </c>
      <c r="O121" s="26">
        <f t="shared" si="19"/>
        <v>0</v>
      </c>
      <c r="P121" s="24">
        <v>1.1000000000000001</v>
      </c>
      <c r="Q121" s="24">
        <v>36</v>
      </c>
      <c r="R121" s="27">
        <f t="shared" si="20"/>
        <v>0</v>
      </c>
      <c r="S121" s="102">
        <f t="shared" si="22"/>
        <v>0</v>
      </c>
      <c r="T121" s="21">
        <f>VLOOKUP($A121,'2022-23 Salary &amp; Benefits'!$A:$I,5,FALSE)</f>
        <v>68937</v>
      </c>
      <c r="U121" s="21">
        <f>VLOOKUP($A121,'2022-23 Salary &amp; Benefits'!$A:$I,6,FALSE)</f>
        <v>72728</v>
      </c>
      <c r="V121" s="22">
        <f t="shared" si="23"/>
        <v>0</v>
      </c>
      <c r="W121" s="22">
        <f t="shared" si="24"/>
        <v>0</v>
      </c>
      <c r="X121" s="22">
        <f>'2022-23 Salary &amp; Benefits'!$G$6</f>
        <v>12558.24</v>
      </c>
      <c r="Y121" s="23">
        <f>'2022-23 Salary &amp; Benefits'!$H$6</f>
        <v>0.2298</v>
      </c>
      <c r="Z121" s="23">
        <f>'2022-23 Salary &amp; Benefits'!$I$6</f>
        <v>0.22339999999999999</v>
      </c>
      <c r="AA121" s="22">
        <f t="shared" si="25"/>
        <v>0</v>
      </c>
      <c r="AB121" s="22">
        <f t="shared" si="26"/>
        <v>0</v>
      </c>
      <c r="AC121" s="22">
        <f t="shared" si="27"/>
        <v>0</v>
      </c>
      <c r="AD121" s="22">
        <f t="shared" si="17"/>
        <v>0</v>
      </c>
      <c r="AE121" s="22">
        <f t="shared" si="18"/>
        <v>0</v>
      </c>
      <c r="AF121" s="19" t="str">
        <f>VLOOKUP(C121,'2021-22 School Level AAFTE'!C:N,12,FALSE)</f>
        <v>No</v>
      </c>
    </row>
    <row r="122" spans="1:32" s="19" customFormat="1">
      <c r="A122" s="97" t="s">
        <v>2356</v>
      </c>
      <c r="B122" s="97" t="s">
        <v>763</v>
      </c>
      <c r="C122" s="95">
        <v>3742</v>
      </c>
      <c r="D122" s="95" t="s">
        <v>786</v>
      </c>
      <c r="E122" s="129">
        <f>VLOOKUP($C122,'2021-22 School Level AAFTE'!$C:$Z,11,FALSE)</f>
        <v>2.9899999999999999E-2</v>
      </c>
      <c r="F122" s="129" t="str">
        <f>VLOOKUP($C122,'2021-22 School Level AAFTE'!$C:$Z,8,FALSE)</f>
        <v>No</v>
      </c>
      <c r="G122" s="129" t="str">
        <f>VLOOKUP($C122,'2021-22 School Level AAFTE'!$C:$Z,12,FALSE)</f>
        <v>No</v>
      </c>
      <c r="H122" s="127">
        <f>VLOOKUP($C122,'2021-22 School Level AAFTE'!$C:$I,7,FALSE)</f>
        <v>547</v>
      </c>
      <c r="I122" s="112">
        <f>IFERROR(IF(OR(G122="yes",F122= "yes"),VLOOKUP(C122,Summary!$B:$J,6,0),0),0)</f>
        <v>0</v>
      </c>
      <c r="J122" s="111">
        <f t="shared" si="21"/>
        <v>0</v>
      </c>
      <c r="K122" s="91">
        <f>VLOOKUP($A122,'2022-23 Salary &amp; Benefits'!$A:$I,3,FALSE)</f>
        <v>1.18</v>
      </c>
      <c r="L122" s="91">
        <f>VLOOKUP($A122,'2022-23 Salary &amp; Benefits'!$A:$I,4,FALSE)</f>
        <v>1.18</v>
      </c>
      <c r="M122" s="39">
        <f t="shared" si="16"/>
        <v>0</v>
      </c>
      <c r="N122" s="24">
        <v>15</v>
      </c>
      <c r="O122" s="26">
        <f t="shared" si="19"/>
        <v>0</v>
      </c>
      <c r="P122" s="24">
        <v>1.1000000000000001</v>
      </c>
      <c r="Q122" s="24">
        <v>36</v>
      </c>
      <c r="R122" s="27">
        <f t="shared" si="20"/>
        <v>0</v>
      </c>
      <c r="S122" s="102">
        <f t="shared" si="22"/>
        <v>0</v>
      </c>
      <c r="T122" s="21">
        <f>VLOOKUP($A122,'2022-23 Salary &amp; Benefits'!$A:$I,5,FALSE)</f>
        <v>68937</v>
      </c>
      <c r="U122" s="21">
        <f>VLOOKUP($A122,'2022-23 Salary &amp; Benefits'!$A:$I,6,FALSE)</f>
        <v>72728</v>
      </c>
      <c r="V122" s="22">
        <f t="shared" si="23"/>
        <v>0</v>
      </c>
      <c r="W122" s="22">
        <f t="shared" si="24"/>
        <v>0</v>
      </c>
      <c r="X122" s="22">
        <f>'2022-23 Salary &amp; Benefits'!$G$6</f>
        <v>12558.24</v>
      </c>
      <c r="Y122" s="23">
        <f>'2022-23 Salary &amp; Benefits'!$H$6</f>
        <v>0.2298</v>
      </c>
      <c r="Z122" s="23">
        <f>'2022-23 Salary &amp; Benefits'!$I$6</f>
        <v>0.22339999999999999</v>
      </c>
      <c r="AA122" s="22">
        <f t="shared" si="25"/>
        <v>0</v>
      </c>
      <c r="AB122" s="22">
        <f t="shared" si="26"/>
        <v>0</v>
      </c>
      <c r="AC122" s="22">
        <f t="shared" si="27"/>
        <v>0</v>
      </c>
      <c r="AD122" s="22">
        <f t="shared" si="17"/>
        <v>0</v>
      </c>
      <c r="AE122" s="22">
        <f t="shared" si="18"/>
        <v>0</v>
      </c>
      <c r="AF122" s="19" t="str">
        <f>VLOOKUP(C122,'2021-22 School Level AAFTE'!C:N,12,FALSE)</f>
        <v>No</v>
      </c>
    </row>
    <row r="123" spans="1:32" s="19" customFormat="1">
      <c r="A123" s="97" t="s">
        <v>2356</v>
      </c>
      <c r="B123" s="97" t="s">
        <v>763</v>
      </c>
      <c r="C123" s="95">
        <v>3789</v>
      </c>
      <c r="D123" s="95" t="s">
        <v>787</v>
      </c>
      <c r="E123" s="129">
        <f>VLOOKUP($C123,'2021-22 School Level AAFTE'!$C:$Z,11,FALSE)</f>
        <v>4.0833333333333333E-2</v>
      </c>
      <c r="F123" s="129" t="str">
        <f>VLOOKUP($C123,'2021-22 School Level AAFTE'!$C:$Z,8,FALSE)</f>
        <v>No</v>
      </c>
      <c r="G123" s="129" t="str">
        <f>VLOOKUP($C123,'2021-22 School Level AAFTE'!$C:$Z,12,FALSE)</f>
        <v>No</v>
      </c>
      <c r="H123" s="127">
        <f>VLOOKUP($C123,'2021-22 School Level AAFTE'!$C:$I,7,FALSE)</f>
        <v>631.57000000000005</v>
      </c>
      <c r="I123" s="112">
        <f>IFERROR(IF(OR(G123="yes",F123= "yes"),VLOOKUP(C123,Summary!$B:$J,6,0),0),0)</f>
        <v>0</v>
      </c>
      <c r="J123" s="111">
        <f t="shared" si="21"/>
        <v>0</v>
      </c>
      <c r="K123" s="91">
        <f>VLOOKUP($A123,'2022-23 Salary &amp; Benefits'!$A:$I,3,FALSE)</f>
        <v>1.18</v>
      </c>
      <c r="L123" s="91">
        <f>VLOOKUP($A123,'2022-23 Salary &amp; Benefits'!$A:$I,4,FALSE)</f>
        <v>1.18</v>
      </c>
      <c r="M123" s="101">
        <f t="shared" si="16"/>
        <v>0</v>
      </c>
      <c r="N123" s="24">
        <v>15</v>
      </c>
      <c r="O123" s="26">
        <f t="shared" si="19"/>
        <v>0</v>
      </c>
      <c r="P123" s="24">
        <v>1.1000000000000001</v>
      </c>
      <c r="Q123" s="24">
        <v>36</v>
      </c>
      <c r="R123" s="27">
        <f t="shared" si="20"/>
        <v>0</v>
      </c>
      <c r="S123" s="102">
        <f t="shared" si="22"/>
        <v>0</v>
      </c>
      <c r="T123" s="21">
        <f>VLOOKUP($A123,'2022-23 Salary &amp; Benefits'!$A:$I,5,FALSE)</f>
        <v>68937</v>
      </c>
      <c r="U123" s="21">
        <f>VLOOKUP($A123,'2022-23 Salary &amp; Benefits'!$A:$I,6,FALSE)</f>
        <v>72728</v>
      </c>
      <c r="V123" s="22">
        <f t="shared" si="23"/>
        <v>0</v>
      </c>
      <c r="W123" s="22">
        <f t="shared" si="24"/>
        <v>0</v>
      </c>
      <c r="X123" s="22">
        <f>'2022-23 Salary &amp; Benefits'!$G$6</f>
        <v>12558.24</v>
      </c>
      <c r="Y123" s="23">
        <f>'2022-23 Salary &amp; Benefits'!$H$6</f>
        <v>0.2298</v>
      </c>
      <c r="Z123" s="23">
        <f>'2022-23 Salary &amp; Benefits'!$I$6</f>
        <v>0.22339999999999999</v>
      </c>
      <c r="AA123" s="22">
        <f t="shared" si="25"/>
        <v>0</v>
      </c>
      <c r="AB123" s="22">
        <f t="shared" si="26"/>
        <v>0</v>
      </c>
      <c r="AC123" s="22">
        <f t="shared" si="27"/>
        <v>0</v>
      </c>
      <c r="AD123" s="22">
        <f t="shared" si="17"/>
        <v>0</v>
      </c>
      <c r="AE123" s="22">
        <f t="shared" si="18"/>
        <v>0</v>
      </c>
      <c r="AF123" s="19" t="str">
        <f>VLOOKUP(C123,'2021-22 School Level AAFTE'!C:N,12,FALSE)</f>
        <v>No</v>
      </c>
    </row>
    <row r="124" spans="1:32" s="19" customFormat="1">
      <c r="A124" s="97" t="s">
        <v>2356</v>
      </c>
      <c r="B124" s="97" t="s">
        <v>763</v>
      </c>
      <c r="C124" s="95">
        <v>5240</v>
      </c>
      <c r="D124" s="95" t="s">
        <v>788</v>
      </c>
      <c r="E124" s="129">
        <f>VLOOKUP($C124,'2021-22 School Level AAFTE'!$C:$Z,11,FALSE)</f>
        <v>0.14596666666666666</v>
      </c>
      <c r="F124" s="129" t="str">
        <f>VLOOKUP($C124,'2021-22 School Level AAFTE'!$C:$Z,8,FALSE)</f>
        <v>No</v>
      </c>
      <c r="G124" s="129" t="str">
        <f>VLOOKUP($C124,'2021-22 School Level AAFTE'!$C:$Z,12,FALSE)</f>
        <v>No</v>
      </c>
      <c r="H124" s="127">
        <f>VLOOKUP($C124,'2021-22 School Level AAFTE'!$C:$I,7,FALSE)</f>
        <v>363.29</v>
      </c>
      <c r="I124" s="112">
        <f>IFERROR(IF(OR(G124="yes",F124= "yes"),VLOOKUP(C124,Summary!$B:$J,6,0),0),0)</f>
        <v>0</v>
      </c>
      <c r="J124" s="111">
        <f t="shared" si="21"/>
        <v>0</v>
      </c>
      <c r="K124" s="91">
        <f>VLOOKUP($A124,'2022-23 Salary &amp; Benefits'!$A:$I,3,FALSE)</f>
        <v>1.18</v>
      </c>
      <c r="L124" s="91">
        <f>VLOOKUP($A124,'2022-23 Salary &amp; Benefits'!$A:$I,4,FALSE)</f>
        <v>1.18</v>
      </c>
      <c r="M124" s="101">
        <f t="shared" si="16"/>
        <v>0</v>
      </c>
      <c r="N124" s="24">
        <v>15</v>
      </c>
      <c r="O124" s="26">
        <f t="shared" si="19"/>
        <v>0</v>
      </c>
      <c r="P124" s="24">
        <v>1.1000000000000001</v>
      </c>
      <c r="Q124" s="24">
        <v>36</v>
      </c>
      <c r="R124" s="27">
        <f t="shared" si="20"/>
        <v>0</v>
      </c>
      <c r="S124" s="102">
        <f t="shared" si="22"/>
        <v>0</v>
      </c>
      <c r="T124" s="21">
        <f>VLOOKUP($A124,'2022-23 Salary &amp; Benefits'!$A:$I,5,FALSE)</f>
        <v>68937</v>
      </c>
      <c r="U124" s="21">
        <f>VLOOKUP($A124,'2022-23 Salary &amp; Benefits'!$A:$I,6,FALSE)</f>
        <v>72728</v>
      </c>
      <c r="V124" s="22">
        <f t="shared" si="23"/>
        <v>0</v>
      </c>
      <c r="W124" s="22">
        <f t="shared" si="24"/>
        <v>0</v>
      </c>
      <c r="X124" s="22">
        <f>'2022-23 Salary &amp; Benefits'!$G$6</f>
        <v>12558.24</v>
      </c>
      <c r="Y124" s="23">
        <f>'2022-23 Salary &amp; Benefits'!$H$6</f>
        <v>0.2298</v>
      </c>
      <c r="Z124" s="23">
        <f>'2022-23 Salary &amp; Benefits'!$I$6</f>
        <v>0.22339999999999999</v>
      </c>
      <c r="AA124" s="22">
        <f t="shared" si="25"/>
        <v>0</v>
      </c>
      <c r="AB124" s="22">
        <f t="shared" si="26"/>
        <v>0</v>
      </c>
      <c r="AC124" s="22">
        <f t="shared" si="27"/>
        <v>0</v>
      </c>
      <c r="AD124" s="22">
        <f t="shared" si="17"/>
        <v>0</v>
      </c>
      <c r="AE124" s="22">
        <f t="shared" si="18"/>
        <v>0</v>
      </c>
      <c r="AF124" s="19" t="str">
        <f>VLOOKUP(C124,'2021-22 School Level AAFTE'!C:N,12,FALSE)</f>
        <v>No</v>
      </c>
    </row>
    <row r="125" spans="1:32" s="19" customFormat="1">
      <c r="A125" s="97" t="s">
        <v>2356</v>
      </c>
      <c r="B125" s="97" t="s">
        <v>763</v>
      </c>
      <c r="C125" s="95">
        <v>5308</v>
      </c>
      <c r="D125" s="95" t="s">
        <v>790</v>
      </c>
      <c r="E125" s="129">
        <f>VLOOKUP($C125,'2021-22 School Level AAFTE'!$C:$Z,11,FALSE)</f>
        <v>4.5766666666666671E-2</v>
      </c>
      <c r="F125" s="129" t="str">
        <f>VLOOKUP($C125,'2021-22 School Level AAFTE'!$C:$Z,8,FALSE)</f>
        <v>No</v>
      </c>
      <c r="G125" s="129" t="str">
        <f>VLOOKUP($C125,'2021-22 School Level AAFTE'!$C:$Z,12,FALSE)</f>
        <v>No</v>
      </c>
      <c r="H125" s="127">
        <f>VLOOKUP($C125,'2021-22 School Level AAFTE'!$C:$I,7,FALSE)</f>
        <v>412.43</v>
      </c>
      <c r="I125" s="112">
        <f>IFERROR(IF(OR(G125="yes",F125= "yes"),VLOOKUP(C125,Summary!$B:$J,6,0),0),0)</f>
        <v>0</v>
      </c>
      <c r="J125" s="111">
        <f t="shared" si="21"/>
        <v>0</v>
      </c>
      <c r="K125" s="91">
        <f>VLOOKUP($A125,'2022-23 Salary &amp; Benefits'!$A:$I,3,FALSE)</f>
        <v>1.18</v>
      </c>
      <c r="L125" s="91">
        <f>VLOOKUP($A125,'2022-23 Salary &amp; Benefits'!$A:$I,4,FALSE)</f>
        <v>1.18</v>
      </c>
      <c r="M125" s="39">
        <f t="shared" si="16"/>
        <v>0</v>
      </c>
      <c r="N125" s="24">
        <v>15</v>
      </c>
      <c r="O125" s="26">
        <f t="shared" si="19"/>
        <v>0</v>
      </c>
      <c r="P125" s="24">
        <v>1.1000000000000001</v>
      </c>
      <c r="Q125" s="24">
        <v>36</v>
      </c>
      <c r="R125" s="27">
        <f t="shared" si="20"/>
        <v>0</v>
      </c>
      <c r="S125" s="102">
        <f t="shared" si="22"/>
        <v>0</v>
      </c>
      <c r="T125" s="21">
        <f>VLOOKUP($A125,'2022-23 Salary &amp; Benefits'!$A:$I,5,FALSE)</f>
        <v>68937</v>
      </c>
      <c r="U125" s="21">
        <f>VLOOKUP($A125,'2022-23 Salary &amp; Benefits'!$A:$I,6,FALSE)</f>
        <v>72728</v>
      </c>
      <c r="V125" s="22">
        <f t="shared" si="23"/>
        <v>0</v>
      </c>
      <c r="W125" s="22">
        <f t="shared" si="24"/>
        <v>0</v>
      </c>
      <c r="X125" s="22">
        <f>'2022-23 Salary &amp; Benefits'!$G$6</f>
        <v>12558.24</v>
      </c>
      <c r="Y125" s="23">
        <f>'2022-23 Salary &amp; Benefits'!$H$6</f>
        <v>0.2298</v>
      </c>
      <c r="Z125" s="23">
        <f>'2022-23 Salary &amp; Benefits'!$I$6</f>
        <v>0.22339999999999999</v>
      </c>
      <c r="AA125" s="22">
        <f t="shared" si="25"/>
        <v>0</v>
      </c>
      <c r="AB125" s="22">
        <f t="shared" si="26"/>
        <v>0</v>
      </c>
      <c r="AC125" s="22">
        <f t="shared" si="27"/>
        <v>0</v>
      </c>
      <c r="AD125" s="22">
        <f t="shared" si="17"/>
        <v>0</v>
      </c>
      <c r="AE125" s="22">
        <f t="shared" si="18"/>
        <v>0</v>
      </c>
      <c r="AF125" s="19" t="str">
        <f>VLOOKUP(C125,'2021-22 School Level AAFTE'!C:N,12,FALSE)</f>
        <v>No</v>
      </c>
    </row>
    <row r="126" spans="1:32" s="19" customFormat="1">
      <c r="A126" s="97" t="s">
        <v>2356</v>
      </c>
      <c r="B126" s="97" t="s">
        <v>763</v>
      </c>
      <c r="C126" s="95">
        <v>5325</v>
      </c>
      <c r="D126" s="95" t="s">
        <v>791</v>
      </c>
      <c r="E126" s="129">
        <f>VLOOKUP($C126,'2021-22 School Level AAFTE'!$C:$Z,11,FALSE)</f>
        <v>4.0766666666666666E-2</v>
      </c>
      <c r="F126" s="129" t="str">
        <f>VLOOKUP($C126,'2021-22 School Level AAFTE'!$C:$Z,8,FALSE)</f>
        <v>No</v>
      </c>
      <c r="G126" s="129" t="str">
        <f>VLOOKUP($C126,'2021-22 School Level AAFTE'!$C:$Z,12,FALSE)</f>
        <v>No</v>
      </c>
      <c r="H126" s="127">
        <f>VLOOKUP($C126,'2021-22 School Level AAFTE'!$C:$I,7,FALSE)</f>
        <v>29.86</v>
      </c>
      <c r="I126" s="112">
        <f>IFERROR(IF(OR(G126="yes",F126= "yes"),VLOOKUP(C126,Summary!$B:$J,6,0),0),0)</f>
        <v>0</v>
      </c>
      <c r="J126" s="111">
        <f t="shared" si="21"/>
        <v>0</v>
      </c>
      <c r="K126" s="91">
        <f>VLOOKUP($A126,'2022-23 Salary &amp; Benefits'!$A:$I,3,FALSE)</f>
        <v>1.18</v>
      </c>
      <c r="L126" s="91">
        <f>VLOOKUP($A126,'2022-23 Salary &amp; Benefits'!$A:$I,4,FALSE)</f>
        <v>1.18</v>
      </c>
      <c r="M126" s="39">
        <f t="shared" si="16"/>
        <v>0</v>
      </c>
      <c r="N126" s="24">
        <v>15</v>
      </c>
      <c r="O126" s="26">
        <f t="shared" si="19"/>
        <v>0</v>
      </c>
      <c r="P126" s="24">
        <v>1.1000000000000001</v>
      </c>
      <c r="Q126" s="24">
        <v>36</v>
      </c>
      <c r="R126" s="27">
        <f t="shared" si="20"/>
        <v>0</v>
      </c>
      <c r="S126" s="102">
        <f t="shared" si="22"/>
        <v>0</v>
      </c>
      <c r="T126" s="21">
        <f>VLOOKUP($A126,'2022-23 Salary &amp; Benefits'!$A:$I,5,FALSE)</f>
        <v>68937</v>
      </c>
      <c r="U126" s="21">
        <f>VLOOKUP($A126,'2022-23 Salary &amp; Benefits'!$A:$I,6,FALSE)</f>
        <v>72728</v>
      </c>
      <c r="V126" s="22">
        <f t="shared" si="23"/>
        <v>0</v>
      </c>
      <c r="W126" s="22">
        <f t="shared" si="24"/>
        <v>0</v>
      </c>
      <c r="X126" s="22">
        <f>'2022-23 Salary &amp; Benefits'!$G$6</f>
        <v>12558.24</v>
      </c>
      <c r="Y126" s="23">
        <f>'2022-23 Salary &amp; Benefits'!$H$6</f>
        <v>0.2298</v>
      </c>
      <c r="Z126" s="23">
        <f>'2022-23 Salary &amp; Benefits'!$I$6</f>
        <v>0.22339999999999999</v>
      </c>
      <c r="AA126" s="22">
        <f t="shared" si="25"/>
        <v>0</v>
      </c>
      <c r="AB126" s="22">
        <f t="shared" si="26"/>
        <v>0</v>
      </c>
      <c r="AC126" s="22">
        <f t="shared" si="27"/>
        <v>0</v>
      </c>
      <c r="AD126" s="22">
        <f t="shared" si="17"/>
        <v>0</v>
      </c>
      <c r="AE126" s="22">
        <f t="shared" si="18"/>
        <v>0</v>
      </c>
      <c r="AF126" s="19" t="str">
        <f>VLOOKUP(C126,'2021-22 School Level AAFTE'!C:N,12,FALSE)</f>
        <v>No</v>
      </c>
    </row>
    <row r="127" spans="1:32" s="19" customFormat="1">
      <c r="A127" s="97" t="s">
        <v>2356</v>
      </c>
      <c r="B127" s="97" t="s">
        <v>763</v>
      </c>
      <c r="C127" s="95">
        <v>5508</v>
      </c>
      <c r="D127" s="95" t="s">
        <v>2864</v>
      </c>
      <c r="E127" s="129">
        <f>VLOOKUP($C127,'2021-22 School Level AAFTE'!$C:$Z,11,FALSE)</f>
        <v>0.11940000000000001</v>
      </c>
      <c r="F127" s="129" t="str">
        <f>VLOOKUP($C127,'2021-22 School Level AAFTE'!$C:$Z,8,FALSE)</f>
        <v>No</v>
      </c>
      <c r="G127" s="129" t="str">
        <f>VLOOKUP($C127,'2021-22 School Level AAFTE'!$C:$Z,12,FALSE)</f>
        <v>No</v>
      </c>
      <c r="H127" s="127">
        <f>VLOOKUP($C127,'2021-22 School Level AAFTE'!$C:$I,7,FALSE)</f>
        <v>402.07</v>
      </c>
      <c r="I127" s="112">
        <f>IFERROR(IF(OR(G127="yes",F127= "yes"),VLOOKUP(C127,Summary!$B:$J,6,0),0),0)</f>
        <v>0</v>
      </c>
      <c r="J127" s="111">
        <f t="shared" si="21"/>
        <v>0</v>
      </c>
      <c r="K127" s="91">
        <f>VLOOKUP($A127,'2022-23 Salary &amp; Benefits'!$A:$I,3,FALSE)</f>
        <v>1.18</v>
      </c>
      <c r="L127" s="91">
        <f>VLOOKUP($A127,'2022-23 Salary &amp; Benefits'!$A:$I,4,FALSE)</f>
        <v>1.18</v>
      </c>
      <c r="M127" s="101">
        <f t="shared" si="16"/>
        <v>0</v>
      </c>
      <c r="N127" s="24">
        <v>15</v>
      </c>
      <c r="O127" s="26">
        <f t="shared" si="19"/>
        <v>0</v>
      </c>
      <c r="P127" s="24">
        <v>1.1000000000000001</v>
      </c>
      <c r="Q127" s="24">
        <v>36</v>
      </c>
      <c r="R127" s="27">
        <f t="shared" si="20"/>
        <v>0</v>
      </c>
      <c r="S127" s="102">
        <f t="shared" si="22"/>
        <v>0</v>
      </c>
      <c r="T127" s="21">
        <f>VLOOKUP($A127,'2022-23 Salary &amp; Benefits'!$A:$I,5,FALSE)</f>
        <v>68937</v>
      </c>
      <c r="U127" s="21">
        <f>VLOOKUP($A127,'2022-23 Salary &amp; Benefits'!$A:$I,6,FALSE)</f>
        <v>72728</v>
      </c>
      <c r="V127" s="22">
        <f t="shared" si="23"/>
        <v>0</v>
      </c>
      <c r="W127" s="22">
        <f t="shared" si="24"/>
        <v>0</v>
      </c>
      <c r="X127" s="22">
        <f>'2022-23 Salary &amp; Benefits'!$G$6</f>
        <v>12558.24</v>
      </c>
      <c r="Y127" s="23">
        <f>'2022-23 Salary &amp; Benefits'!$H$6</f>
        <v>0.2298</v>
      </c>
      <c r="Z127" s="23">
        <f>'2022-23 Salary &amp; Benefits'!$I$6</f>
        <v>0.22339999999999999</v>
      </c>
      <c r="AA127" s="22">
        <f t="shared" si="25"/>
        <v>0</v>
      </c>
      <c r="AB127" s="22">
        <f t="shared" si="26"/>
        <v>0</v>
      </c>
      <c r="AC127" s="22">
        <f t="shared" si="27"/>
        <v>0</v>
      </c>
      <c r="AD127" s="22">
        <f t="shared" si="17"/>
        <v>0</v>
      </c>
      <c r="AE127" s="22">
        <f t="shared" si="18"/>
        <v>0</v>
      </c>
      <c r="AF127" s="19" t="str">
        <f>VLOOKUP(C127,'2021-22 School Level AAFTE'!C:N,12,FALSE)</f>
        <v>No</v>
      </c>
    </row>
    <row r="128" spans="1:32" s="19" customFormat="1">
      <c r="A128" s="97" t="s">
        <v>2532</v>
      </c>
      <c r="B128" s="97" t="s">
        <v>2064</v>
      </c>
      <c r="C128" s="95">
        <v>1647</v>
      </c>
      <c r="D128" s="95" t="s">
        <v>2065</v>
      </c>
      <c r="E128" s="129">
        <f>VLOOKUP($C128,'2021-22 School Level AAFTE'!$C:$Z,11,FALSE)</f>
        <v>0.57353333333333334</v>
      </c>
      <c r="F128" s="129" t="str">
        <f>VLOOKUP($C128,'2021-22 School Level AAFTE'!$C:$Z,8,FALSE)</f>
        <v>Yes</v>
      </c>
      <c r="G128" s="129" t="str">
        <f>VLOOKUP($C128,'2021-22 School Level AAFTE'!$C:$Z,12,FALSE)</f>
        <v>No</v>
      </c>
      <c r="H128" s="127">
        <f>VLOOKUP($C128,'2021-22 School Level AAFTE'!$C:$I,7,FALSE)</f>
        <v>223.04999999999998</v>
      </c>
      <c r="I128" s="112">
        <f>IFERROR(IF(OR(G128="yes",F128= "yes"),VLOOKUP(C128,Summary!$B:$J,6,0),0),0)</f>
        <v>0</v>
      </c>
      <c r="J128" s="111">
        <f t="shared" si="21"/>
        <v>223.04999999999998</v>
      </c>
      <c r="K128" s="91">
        <f>VLOOKUP($A128,'2022-23 Salary &amp; Benefits'!$A:$I,3,FALSE)</f>
        <v>1.0900000000000001</v>
      </c>
      <c r="L128" s="91">
        <f>VLOOKUP($A128,'2022-23 Salary &amp; Benefits'!$A:$I,4,FALSE)</f>
        <v>1.0900000000000001</v>
      </c>
      <c r="M128" s="101">
        <f t="shared" si="16"/>
        <v>223.04999999999998</v>
      </c>
      <c r="N128" s="24">
        <v>15</v>
      </c>
      <c r="O128" s="26">
        <f t="shared" si="19"/>
        <v>14.87</v>
      </c>
      <c r="P128" s="24">
        <v>1.1000000000000001</v>
      </c>
      <c r="Q128" s="24">
        <v>36</v>
      </c>
      <c r="R128" s="27">
        <f t="shared" si="20"/>
        <v>588.85199999999998</v>
      </c>
      <c r="S128" s="102">
        <f t="shared" si="22"/>
        <v>0.65400000000000003</v>
      </c>
      <c r="T128" s="21">
        <f>VLOOKUP($A128,'2022-23 Salary &amp; Benefits'!$A:$I,5,FALSE)</f>
        <v>68937</v>
      </c>
      <c r="U128" s="21">
        <f>VLOOKUP($A128,'2022-23 Salary &amp; Benefits'!$A:$I,6,FALSE)</f>
        <v>72728</v>
      </c>
      <c r="V128" s="22">
        <f t="shared" si="23"/>
        <v>49142.43</v>
      </c>
      <c r="W128" s="22">
        <f t="shared" si="24"/>
        <v>2702.4499999999971</v>
      </c>
      <c r="X128" s="22">
        <f>'2022-23 Salary &amp; Benefits'!$G$6</f>
        <v>12558.24</v>
      </c>
      <c r="Y128" s="23">
        <f>'2022-23 Salary &amp; Benefits'!$H$6</f>
        <v>0.2298</v>
      </c>
      <c r="Z128" s="23">
        <f>'2022-23 Salary &amp; Benefits'!$I$6</f>
        <v>0.22339999999999999</v>
      </c>
      <c r="AA128" s="22">
        <f t="shared" si="25"/>
        <v>20109.75</v>
      </c>
      <c r="AB128" s="22">
        <f t="shared" si="26"/>
        <v>864.08</v>
      </c>
      <c r="AC128" s="22">
        <f t="shared" si="27"/>
        <v>193.04</v>
      </c>
      <c r="AD128" s="22">
        <f t="shared" si="17"/>
        <v>1057.1200000000001</v>
      </c>
      <c r="AE128" s="22">
        <f t="shared" si="18"/>
        <v>73011.749999999985</v>
      </c>
      <c r="AF128" s="19" t="str">
        <f>VLOOKUP(C128,'2021-22 School Level AAFTE'!C:N,12,FALSE)</f>
        <v>No</v>
      </c>
    </row>
    <row r="129" spans="1:32" s="19" customFormat="1">
      <c r="A129" s="97" t="s">
        <v>2532</v>
      </c>
      <c r="B129" s="97" t="s">
        <v>2064</v>
      </c>
      <c r="C129" s="95">
        <v>1799</v>
      </c>
      <c r="D129" s="95" t="s">
        <v>2066</v>
      </c>
      <c r="E129" s="129">
        <f>VLOOKUP($C129,'2021-22 School Level AAFTE'!$C:$Z,11,FALSE)</f>
        <v>2.5633333333333331E-2</v>
      </c>
      <c r="F129" s="129" t="str">
        <f>VLOOKUP($C129,'2021-22 School Level AAFTE'!$C:$Z,8,FALSE)</f>
        <v>No</v>
      </c>
      <c r="G129" s="129" t="str">
        <f>VLOOKUP($C129,'2021-22 School Level AAFTE'!$C:$Z,12,FALSE)</f>
        <v>No</v>
      </c>
      <c r="H129" s="127">
        <f>VLOOKUP($C129,'2021-22 School Level AAFTE'!$C:$I,7,FALSE)</f>
        <v>4.42</v>
      </c>
      <c r="I129" s="112">
        <f>IFERROR(IF(OR(G129="yes",F129= "yes"),VLOOKUP(C129,Summary!$B:$J,6,0),0),0)</f>
        <v>0</v>
      </c>
      <c r="J129" s="111">
        <f t="shared" si="21"/>
        <v>0</v>
      </c>
      <c r="K129" s="91">
        <f>VLOOKUP($A129,'2022-23 Salary &amp; Benefits'!$A:$I,3,FALSE)</f>
        <v>1.0900000000000001</v>
      </c>
      <c r="L129" s="91">
        <f>VLOOKUP($A129,'2022-23 Salary &amp; Benefits'!$A:$I,4,FALSE)</f>
        <v>1.0900000000000001</v>
      </c>
      <c r="M129" s="39">
        <f t="shared" si="16"/>
        <v>0</v>
      </c>
      <c r="N129" s="24">
        <v>15</v>
      </c>
      <c r="O129" s="26">
        <f t="shared" si="19"/>
        <v>0</v>
      </c>
      <c r="P129" s="24">
        <v>1.1000000000000001</v>
      </c>
      <c r="Q129" s="24">
        <v>36</v>
      </c>
      <c r="R129" s="27">
        <f t="shared" si="20"/>
        <v>0</v>
      </c>
      <c r="S129" s="102">
        <f t="shared" si="22"/>
        <v>0</v>
      </c>
      <c r="T129" s="21">
        <f>VLOOKUP($A129,'2022-23 Salary &amp; Benefits'!$A:$I,5,FALSE)</f>
        <v>68937</v>
      </c>
      <c r="U129" s="21">
        <f>VLOOKUP($A129,'2022-23 Salary &amp; Benefits'!$A:$I,6,FALSE)</f>
        <v>72728</v>
      </c>
      <c r="V129" s="22">
        <f t="shared" si="23"/>
        <v>0</v>
      </c>
      <c r="W129" s="22">
        <f t="shared" si="24"/>
        <v>0</v>
      </c>
      <c r="X129" s="22">
        <f>'2022-23 Salary &amp; Benefits'!$G$6</f>
        <v>12558.24</v>
      </c>
      <c r="Y129" s="23">
        <f>'2022-23 Salary &amp; Benefits'!$H$6</f>
        <v>0.2298</v>
      </c>
      <c r="Z129" s="23">
        <f>'2022-23 Salary &amp; Benefits'!$I$6</f>
        <v>0.22339999999999999</v>
      </c>
      <c r="AA129" s="22">
        <f t="shared" si="25"/>
        <v>0</v>
      </c>
      <c r="AB129" s="22">
        <f t="shared" si="26"/>
        <v>0</v>
      </c>
      <c r="AC129" s="22">
        <f t="shared" si="27"/>
        <v>0</v>
      </c>
      <c r="AD129" s="22">
        <f t="shared" si="17"/>
        <v>0</v>
      </c>
      <c r="AE129" s="22">
        <f t="shared" si="18"/>
        <v>0</v>
      </c>
      <c r="AF129" s="19" t="str">
        <f>VLOOKUP(C129,'2021-22 School Level AAFTE'!C:N,12,FALSE)</f>
        <v>No</v>
      </c>
    </row>
    <row r="130" spans="1:32" s="19" customFormat="1">
      <c r="A130" s="97" t="s">
        <v>2532</v>
      </c>
      <c r="B130" s="97" t="s">
        <v>2064</v>
      </c>
      <c r="C130" s="95">
        <v>2066</v>
      </c>
      <c r="D130" s="95" t="s">
        <v>2067</v>
      </c>
      <c r="E130" s="129">
        <f>VLOOKUP($C130,'2021-22 School Level AAFTE'!$C:$Z,11,FALSE)</f>
        <v>0.22043333333333334</v>
      </c>
      <c r="F130" s="129" t="str">
        <f>VLOOKUP($C130,'2021-22 School Level AAFTE'!$C:$Z,8,FALSE)</f>
        <v>No</v>
      </c>
      <c r="G130" s="129" t="str">
        <f>VLOOKUP($C130,'2021-22 School Level AAFTE'!$C:$Z,12,FALSE)</f>
        <v>No</v>
      </c>
      <c r="H130" s="127">
        <f>VLOOKUP($C130,'2021-22 School Level AAFTE'!$C:$I,7,FALSE)</f>
        <v>615.67999999999995</v>
      </c>
      <c r="I130" s="112">
        <f>IFERROR(IF(OR(G130="yes",F130= "yes"),VLOOKUP(C130,Summary!$B:$J,6,0),0),0)</f>
        <v>0</v>
      </c>
      <c r="J130" s="111">
        <f t="shared" si="21"/>
        <v>0</v>
      </c>
      <c r="K130" s="91">
        <f>VLOOKUP($A130,'2022-23 Salary &amp; Benefits'!$A:$I,3,FALSE)</f>
        <v>1.0900000000000001</v>
      </c>
      <c r="L130" s="91">
        <f>VLOOKUP($A130,'2022-23 Salary &amp; Benefits'!$A:$I,4,FALSE)</f>
        <v>1.0900000000000001</v>
      </c>
      <c r="M130" s="101">
        <f t="shared" si="16"/>
        <v>0</v>
      </c>
      <c r="N130" s="24">
        <v>15</v>
      </c>
      <c r="O130" s="26">
        <f t="shared" si="19"/>
        <v>0</v>
      </c>
      <c r="P130" s="24">
        <v>1.1000000000000001</v>
      </c>
      <c r="Q130" s="24">
        <v>36</v>
      </c>
      <c r="R130" s="27">
        <f t="shared" si="20"/>
        <v>0</v>
      </c>
      <c r="S130" s="102">
        <f t="shared" si="22"/>
        <v>0</v>
      </c>
      <c r="T130" s="21">
        <f>VLOOKUP($A130,'2022-23 Salary &amp; Benefits'!$A:$I,5,FALSE)</f>
        <v>68937</v>
      </c>
      <c r="U130" s="21">
        <f>VLOOKUP($A130,'2022-23 Salary &amp; Benefits'!$A:$I,6,FALSE)</f>
        <v>72728</v>
      </c>
      <c r="V130" s="22">
        <f t="shared" si="23"/>
        <v>0</v>
      </c>
      <c r="W130" s="22">
        <f t="shared" si="24"/>
        <v>0</v>
      </c>
      <c r="X130" s="22">
        <f>'2022-23 Salary &amp; Benefits'!$G$6</f>
        <v>12558.24</v>
      </c>
      <c r="Y130" s="23">
        <f>'2022-23 Salary &amp; Benefits'!$H$6</f>
        <v>0.2298</v>
      </c>
      <c r="Z130" s="23">
        <f>'2022-23 Salary &amp; Benefits'!$I$6</f>
        <v>0.22339999999999999</v>
      </c>
      <c r="AA130" s="22">
        <f t="shared" si="25"/>
        <v>0</v>
      </c>
      <c r="AB130" s="22">
        <f t="shared" si="26"/>
        <v>0</v>
      </c>
      <c r="AC130" s="22">
        <f t="shared" si="27"/>
        <v>0</v>
      </c>
      <c r="AD130" s="22">
        <f t="shared" si="17"/>
        <v>0</v>
      </c>
      <c r="AE130" s="22">
        <f t="shared" si="18"/>
        <v>0</v>
      </c>
      <c r="AF130" s="19" t="str">
        <f>VLOOKUP(C130,'2021-22 School Level AAFTE'!C:N,12,FALSE)</f>
        <v>No</v>
      </c>
    </row>
    <row r="131" spans="1:32" s="19" customFormat="1">
      <c r="A131" s="97" t="s">
        <v>2532</v>
      </c>
      <c r="B131" s="97" t="s">
        <v>2064</v>
      </c>
      <c r="C131" s="95">
        <v>2067</v>
      </c>
      <c r="D131" s="95" t="s">
        <v>144</v>
      </c>
      <c r="E131" s="129">
        <f>VLOOKUP($C131,'2021-22 School Level AAFTE'!$C:$Z,11,FALSE)</f>
        <v>0.45693333333333336</v>
      </c>
      <c r="F131" s="129" t="str">
        <f>VLOOKUP($C131,'2021-22 School Level AAFTE'!$C:$Z,8,FALSE)</f>
        <v>No</v>
      </c>
      <c r="G131" s="129" t="str">
        <f>VLOOKUP($C131,'2021-22 School Level AAFTE'!$C:$Z,12,FALSE)</f>
        <v>No</v>
      </c>
      <c r="H131" s="127">
        <f>VLOOKUP($C131,'2021-22 School Level AAFTE'!$C:$I,7,FALSE)</f>
        <v>353.94</v>
      </c>
      <c r="I131" s="112">
        <f>IFERROR(IF(OR(G131="yes",F131= "yes"),VLOOKUP(C131,Summary!$B:$J,6,0),0),0)</f>
        <v>0</v>
      </c>
      <c r="J131" s="111">
        <f t="shared" si="21"/>
        <v>0</v>
      </c>
      <c r="K131" s="91">
        <f>VLOOKUP($A131,'2022-23 Salary &amp; Benefits'!$A:$I,3,FALSE)</f>
        <v>1.0900000000000001</v>
      </c>
      <c r="L131" s="91">
        <f>VLOOKUP($A131,'2022-23 Salary &amp; Benefits'!$A:$I,4,FALSE)</f>
        <v>1.0900000000000001</v>
      </c>
      <c r="M131" s="39">
        <f t="shared" si="16"/>
        <v>0</v>
      </c>
      <c r="N131" s="24">
        <v>15</v>
      </c>
      <c r="O131" s="26">
        <f t="shared" si="19"/>
        <v>0</v>
      </c>
      <c r="P131" s="24">
        <v>1.1000000000000001</v>
      </c>
      <c r="Q131" s="24">
        <v>36</v>
      </c>
      <c r="R131" s="27">
        <f t="shared" si="20"/>
        <v>0</v>
      </c>
      <c r="S131" s="102">
        <f t="shared" si="22"/>
        <v>0</v>
      </c>
      <c r="T131" s="21">
        <f>VLOOKUP($A131,'2022-23 Salary &amp; Benefits'!$A:$I,5,FALSE)</f>
        <v>68937</v>
      </c>
      <c r="U131" s="21">
        <f>VLOOKUP($A131,'2022-23 Salary &amp; Benefits'!$A:$I,6,FALSE)</f>
        <v>72728</v>
      </c>
      <c r="V131" s="22">
        <f t="shared" si="23"/>
        <v>0</v>
      </c>
      <c r="W131" s="22">
        <f t="shared" si="24"/>
        <v>0</v>
      </c>
      <c r="X131" s="22">
        <f>'2022-23 Salary &amp; Benefits'!$G$6</f>
        <v>12558.24</v>
      </c>
      <c r="Y131" s="23">
        <f>'2022-23 Salary &amp; Benefits'!$H$6</f>
        <v>0.2298</v>
      </c>
      <c r="Z131" s="23">
        <f>'2022-23 Salary &amp; Benefits'!$I$6</f>
        <v>0.22339999999999999</v>
      </c>
      <c r="AA131" s="22">
        <f t="shared" si="25"/>
        <v>0</v>
      </c>
      <c r="AB131" s="22">
        <f t="shared" si="26"/>
        <v>0</v>
      </c>
      <c r="AC131" s="22">
        <f t="shared" si="27"/>
        <v>0</v>
      </c>
      <c r="AD131" s="22">
        <f t="shared" si="17"/>
        <v>0</v>
      </c>
      <c r="AE131" s="22">
        <f t="shared" si="18"/>
        <v>0</v>
      </c>
      <c r="AF131" s="19" t="str">
        <f>VLOOKUP(C131,'2021-22 School Level AAFTE'!C:N,12,FALSE)</f>
        <v>No</v>
      </c>
    </row>
    <row r="132" spans="1:32" s="19" customFormat="1">
      <c r="A132" s="97" t="s">
        <v>2532</v>
      </c>
      <c r="B132" s="97" t="s">
        <v>2064</v>
      </c>
      <c r="C132" s="95">
        <v>2075</v>
      </c>
      <c r="D132" s="95" t="s">
        <v>2068</v>
      </c>
      <c r="E132" s="129">
        <f>VLOOKUP($C132,'2021-22 School Level AAFTE'!$C:$Z,11,FALSE)</f>
        <v>0.24960000000000002</v>
      </c>
      <c r="F132" s="129" t="str">
        <f>VLOOKUP($C132,'2021-22 School Level AAFTE'!$C:$Z,8,FALSE)</f>
        <v>No</v>
      </c>
      <c r="G132" s="129" t="str">
        <f>VLOOKUP($C132,'2021-22 School Level AAFTE'!$C:$Z,12,FALSE)</f>
        <v>No</v>
      </c>
      <c r="H132" s="127">
        <f>VLOOKUP($C132,'2021-22 School Level AAFTE'!$C:$I,7,FALSE)</f>
        <v>659.71</v>
      </c>
      <c r="I132" s="112">
        <f>IFERROR(IF(OR(G132="yes",F132= "yes"),VLOOKUP(C132,Summary!$B:$J,6,0),0),0)</f>
        <v>0</v>
      </c>
      <c r="J132" s="111">
        <f t="shared" si="21"/>
        <v>0</v>
      </c>
      <c r="K132" s="91">
        <f>VLOOKUP($A132,'2022-23 Salary &amp; Benefits'!$A:$I,3,FALSE)</f>
        <v>1.0900000000000001</v>
      </c>
      <c r="L132" s="91">
        <f>VLOOKUP($A132,'2022-23 Salary &amp; Benefits'!$A:$I,4,FALSE)</f>
        <v>1.0900000000000001</v>
      </c>
      <c r="M132" s="101">
        <f t="shared" si="16"/>
        <v>0</v>
      </c>
      <c r="N132" s="24">
        <v>15</v>
      </c>
      <c r="O132" s="26">
        <f t="shared" si="19"/>
        <v>0</v>
      </c>
      <c r="P132" s="24">
        <v>1.1000000000000001</v>
      </c>
      <c r="Q132" s="24">
        <v>36</v>
      </c>
      <c r="R132" s="27">
        <f t="shared" si="20"/>
        <v>0</v>
      </c>
      <c r="S132" s="102">
        <f t="shared" si="22"/>
        <v>0</v>
      </c>
      <c r="T132" s="21">
        <f>VLOOKUP($A132,'2022-23 Salary &amp; Benefits'!$A:$I,5,FALSE)</f>
        <v>68937</v>
      </c>
      <c r="U132" s="21">
        <f>VLOOKUP($A132,'2022-23 Salary &amp; Benefits'!$A:$I,6,FALSE)</f>
        <v>72728</v>
      </c>
      <c r="V132" s="22">
        <f t="shared" si="23"/>
        <v>0</v>
      </c>
      <c r="W132" s="22">
        <f t="shared" si="24"/>
        <v>0</v>
      </c>
      <c r="X132" s="22">
        <f>'2022-23 Salary &amp; Benefits'!$G$6</f>
        <v>12558.24</v>
      </c>
      <c r="Y132" s="23">
        <f>'2022-23 Salary &amp; Benefits'!$H$6</f>
        <v>0.2298</v>
      </c>
      <c r="Z132" s="23">
        <f>'2022-23 Salary &amp; Benefits'!$I$6</f>
        <v>0.22339999999999999</v>
      </c>
      <c r="AA132" s="22">
        <f t="shared" si="25"/>
        <v>0</v>
      </c>
      <c r="AB132" s="22">
        <f t="shared" si="26"/>
        <v>0</v>
      </c>
      <c r="AC132" s="22">
        <f t="shared" si="27"/>
        <v>0</v>
      </c>
      <c r="AD132" s="22">
        <f t="shared" si="17"/>
        <v>0</v>
      </c>
      <c r="AE132" s="22">
        <f t="shared" si="18"/>
        <v>0</v>
      </c>
      <c r="AF132" s="19" t="str">
        <f>VLOOKUP(C132,'2021-22 School Level AAFTE'!C:N,12,FALSE)</f>
        <v>No</v>
      </c>
    </row>
    <row r="133" spans="1:32" s="19" customFormat="1">
      <c r="A133" s="97" t="s">
        <v>2532</v>
      </c>
      <c r="B133" s="97" t="s">
        <v>2064</v>
      </c>
      <c r="C133" s="95">
        <v>2175</v>
      </c>
      <c r="D133" s="95" t="s">
        <v>2069</v>
      </c>
      <c r="E133" s="129">
        <f>VLOOKUP($C133,'2021-22 School Level AAFTE'!$C:$Z,11,FALSE)</f>
        <v>0.15666666666666665</v>
      </c>
      <c r="F133" s="129" t="str">
        <f>VLOOKUP($C133,'2021-22 School Level AAFTE'!$C:$Z,8,FALSE)</f>
        <v>No</v>
      </c>
      <c r="G133" s="129" t="str">
        <f>VLOOKUP($C133,'2021-22 School Level AAFTE'!$C:$Z,12,FALSE)</f>
        <v>No</v>
      </c>
      <c r="H133" s="127">
        <f>VLOOKUP($C133,'2021-22 School Level AAFTE'!$C:$I,7,FALSE)</f>
        <v>401.41</v>
      </c>
      <c r="I133" s="112">
        <f>IFERROR(IF(OR(G133="yes",F133= "yes"),VLOOKUP(C133,Summary!$B:$J,6,0),0),0)</f>
        <v>0</v>
      </c>
      <c r="J133" s="111">
        <f t="shared" si="21"/>
        <v>0</v>
      </c>
      <c r="K133" s="91">
        <f>VLOOKUP($A133,'2022-23 Salary &amp; Benefits'!$A:$I,3,FALSE)</f>
        <v>1.0900000000000001</v>
      </c>
      <c r="L133" s="91">
        <f>VLOOKUP($A133,'2022-23 Salary &amp; Benefits'!$A:$I,4,FALSE)</f>
        <v>1.0900000000000001</v>
      </c>
      <c r="M133" s="101">
        <f t="shared" si="16"/>
        <v>0</v>
      </c>
      <c r="N133" s="24">
        <v>15</v>
      </c>
      <c r="O133" s="26">
        <f t="shared" si="19"/>
        <v>0</v>
      </c>
      <c r="P133" s="24">
        <v>1.1000000000000001</v>
      </c>
      <c r="Q133" s="24">
        <v>36</v>
      </c>
      <c r="R133" s="27">
        <f t="shared" si="20"/>
        <v>0</v>
      </c>
      <c r="S133" s="102">
        <f t="shared" si="22"/>
        <v>0</v>
      </c>
      <c r="T133" s="21">
        <f>VLOOKUP($A133,'2022-23 Salary &amp; Benefits'!$A:$I,5,FALSE)</f>
        <v>68937</v>
      </c>
      <c r="U133" s="21">
        <f>VLOOKUP($A133,'2022-23 Salary &amp; Benefits'!$A:$I,6,FALSE)</f>
        <v>72728</v>
      </c>
      <c r="V133" s="22">
        <f t="shared" si="23"/>
        <v>0</v>
      </c>
      <c r="W133" s="22">
        <f t="shared" si="24"/>
        <v>0</v>
      </c>
      <c r="X133" s="22">
        <f>'2022-23 Salary &amp; Benefits'!$G$6</f>
        <v>12558.24</v>
      </c>
      <c r="Y133" s="23">
        <f>'2022-23 Salary &amp; Benefits'!$H$6</f>
        <v>0.2298</v>
      </c>
      <c r="Z133" s="23">
        <f>'2022-23 Salary &amp; Benefits'!$I$6</f>
        <v>0.22339999999999999</v>
      </c>
      <c r="AA133" s="22">
        <f t="shared" si="25"/>
        <v>0</v>
      </c>
      <c r="AB133" s="22">
        <f t="shared" si="26"/>
        <v>0</v>
      </c>
      <c r="AC133" s="22">
        <f t="shared" si="27"/>
        <v>0</v>
      </c>
      <c r="AD133" s="22">
        <f t="shared" si="17"/>
        <v>0</v>
      </c>
      <c r="AE133" s="22">
        <f t="shared" si="18"/>
        <v>0</v>
      </c>
      <c r="AF133" s="19" t="str">
        <f>VLOOKUP(C133,'2021-22 School Level AAFTE'!C:N,12,FALSE)</f>
        <v>No</v>
      </c>
    </row>
    <row r="134" spans="1:32" s="19" customFormat="1">
      <c r="A134" s="97" t="s">
        <v>2532</v>
      </c>
      <c r="B134" s="97" t="s">
        <v>2064</v>
      </c>
      <c r="C134" s="95">
        <v>2225</v>
      </c>
      <c r="D134" s="95" t="s">
        <v>2070</v>
      </c>
      <c r="E134" s="129">
        <f>VLOOKUP($C134,'2021-22 School Level AAFTE'!$C:$Z,11,FALSE)</f>
        <v>0.25993333333333335</v>
      </c>
      <c r="F134" s="129" t="str">
        <f>VLOOKUP($C134,'2021-22 School Level AAFTE'!$C:$Z,8,FALSE)</f>
        <v>No</v>
      </c>
      <c r="G134" s="129" t="str">
        <f>VLOOKUP($C134,'2021-22 School Level AAFTE'!$C:$Z,12,FALSE)</f>
        <v>No</v>
      </c>
      <c r="H134" s="127">
        <f>VLOOKUP($C134,'2021-22 School Level AAFTE'!$C:$I,7,FALSE)</f>
        <v>275.26</v>
      </c>
      <c r="I134" s="112">
        <f>IFERROR(IF(OR(G134="yes",F134= "yes"),VLOOKUP(C134,Summary!$B:$J,6,0),0),0)</f>
        <v>0</v>
      </c>
      <c r="J134" s="111">
        <f t="shared" si="21"/>
        <v>0</v>
      </c>
      <c r="K134" s="91">
        <f>VLOOKUP($A134,'2022-23 Salary &amp; Benefits'!$A:$I,3,FALSE)</f>
        <v>1.0900000000000001</v>
      </c>
      <c r="L134" s="91">
        <f>VLOOKUP($A134,'2022-23 Salary &amp; Benefits'!$A:$I,4,FALSE)</f>
        <v>1.0900000000000001</v>
      </c>
      <c r="M134" s="101">
        <f t="shared" ref="M134:M197" si="28">IF(I134&gt;0,I134,J134)</f>
        <v>0</v>
      </c>
      <c r="N134" s="24">
        <v>15</v>
      </c>
      <c r="O134" s="26">
        <f t="shared" si="19"/>
        <v>0</v>
      </c>
      <c r="P134" s="24">
        <v>1.1000000000000001</v>
      </c>
      <c r="Q134" s="24">
        <v>36</v>
      </c>
      <c r="R134" s="27">
        <f t="shared" si="20"/>
        <v>0</v>
      </c>
      <c r="S134" s="102">
        <f t="shared" si="22"/>
        <v>0</v>
      </c>
      <c r="T134" s="21">
        <f>VLOOKUP($A134,'2022-23 Salary &amp; Benefits'!$A:$I,5,FALSE)</f>
        <v>68937</v>
      </c>
      <c r="U134" s="21">
        <f>VLOOKUP($A134,'2022-23 Salary &amp; Benefits'!$A:$I,6,FALSE)</f>
        <v>72728</v>
      </c>
      <c r="V134" s="22">
        <f t="shared" si="23"/>
        <v>0</v>
      </c>
      <c r="W134" s="22">
        <f t="shared" si="24"/>
        <v>0</v>
      </c>
      <c r="X134" s="22">
        <f>'2022-23 Salary &amp; Benefits'!$G$6</f>
        <v>12558.24</v>
      </c>
      <c r="Y134" s="23">
        <f>'2022-23 Salary &amp; Benefits'!$H$6</f>
        <v>0.2298</v>
      </c>
      <c r="Z134" s="23">
        <f>'2022-23 Salary &amp; Benefits'!$I$6</f>
        <v>0.22339999999999999</v>
      </c>
      <c r="AA134" s="22">
        <f t="shared" si="25"/>
        <v>0</v>
      </c>
      <c r="AB134" s="22">
        <f t="shared" si="26"/>
        <v>0</v>
      </c>
      <c r="AC134" s="22">
        <f t="shared" si="27"/>
        <v>0</v>
      </c>
      <c r="AD134" s="22">
        <f t="shared" ref="AD134:AD197" si="29">SUM(AB134:AC134)</f>
        <v>0</v>
      </c>
      <c r="AE134" s="22">
        <f t="shared" ref="AE134:AE197" si="30">SUM(AA134,V134:W134,AD134)</f>
        <v>0</v>
      </c>
      <c r="AF134" s="19" t="str">
        <f>VLOOKUP(C134,'2021-22 School Level AAFTE'!C:N,12,FALSE)</f>
        <v>No</v>
      </c>
    </row>
    <row r="135" spans="1:32" s="19" customFormat="1">
      <c r="A135" s="97" t="s">
        <v>2532</v>
      </c>
      <c r="B135" s="97" t="s">
        <v>2064</v>
      </c>
      <c r="C135" s="95">
        <v>2262</v>
      </c>
      <c r="D135" s="95" t="s">
        <v>2071</v>
      </c>
      <c r="E135" s="129">
        <f>VLOOKUP($C135,'2021-22 School Level AAFTE'!$C:$Z,11,FALSE)</f>
        <v>0.24426666666666663</v>
      </c>
      <c r="F135" s="129" t="str">
        <f>VLOOKUP($C135,'2021-22 School Level AAFTE'!$C:$Z,8,FALSE)</f>
        <v>No</v>
      </c>
      <c r="G135" s="129" t="str">
        <f>VLOOKUP($C135,'2021-22 School Level AAFTE'!$C:$Z,12,FALSE)</f>
        <v>No</v>
      </c>
      <c r="H135" s="127">
        <f>VLOOKUP($C135,'2021-22 School Level AAFTE'!$C:$I,7,FALSE)</f>
        <v>426.93</v>
      </c>
      <c r="I135" s="112">
        <f>IFERROR(IF(OR(G135="yes",F135= "yes"),VLOOKUP(C135,Summary!$B:$J,6,0),0),0)</f>
        <v>0</v>
      </c>
      <c r="J135" s="111">
        <f t="shared" si="21"/>
        <v>0</v>
      </c>
      <c r="K135" s="91">
        <f>VLOOKUP($A135,'2022-23 Salary &amp; Benefits'!$A:$I,3,FALSE)</f>
        <v>1.0900000000000001</v>
      </c>
      <c r="L135" s="91">
        <f>VLOOKUP($A135,'2022-23 Salary &amp; Benefits'!$A:$I,4,FALSE)</f>
        <v>1.0900000000000001</v>
      </c>
      <c r="M135" s="101">
        <f t="shared" si="28"/>
        <v>0</v>
      </c>
      <c r="N135" s="24">
        <v>15</v>
      </c>
      <c r="O135" s="26">
        <f t="shared" si="19"/>
        <v>0</v>
      </c>
      <c r="P135" s="24">
        <v>1.1000000000000001</v>
      </c>
      <c r="Q135" s="24">
        <v>36</v>
      </c>
      <c r="R135" s="27">
        <f t="shared" si="20"/>
        <v>0</v>
      </c>
      <c r="S135" s="102">
        <f t="shared" si="22"/>
        <v>0</v>
      </c>
      <c r="T135" s="21">
        <f>VLOOKUP($A135,'2022-23 Salary &amp; Benefits'!$A:$I,5,FALSE)</f>
        <v>68937</v>
      </c>
      <c r="U135" s="21">
        <f>VLOOKUP($A135,'2022-23 Salary &amp; Benefits'!$A:$I,6,FALSE)</f>
        <v>72728</v>
      </c>
      <c r="V135" s="22">
        <f t="shared" si="23"/>
        <v>0</v>
      </c>
      <c r="W135" s="22">
        <f t="shared" si="24"/>
        <v>0</v>
      </c>
      <c r="X135" s="22">
        <f>'2022-23 Salary &amp; Benefits'!$G$6</f>
        <v>12558.24</v>
      </c>
      <c r="Y135" s="23">
        <f>'2022-23 Salary &amp; Benefits'!$H$6</f>
        <v>0.2298</v>
      </c>
      <c r="Z135" s="23">
        <f>'2022-23 Salary &amp; Benefits'!$I$6</f>
        <v>0.22339999999999999</v>
      </c>
      <c r="AA135" s="22">
        <f t="shared" si="25"/>
        <v>0</v>
      </c>
      <c r="AB135" s="22">
        <f t="shared" si="26"/>
        <v>0</v>
      </c>
      <c r="AC135" s="22">
        <f t="shared" si="27"/>
        <v>0</v>
      </c>
      <c r="AD135" s="22">
        <f t="shared" si="29"/>
        <v>0</v>
      </c>
      <c r="AE135" s="22">
        <f t="shared" si="30"/>
        <v>0</v>
      </c>
      <c r="AF135" s="19" t="str">
        <f>VLOOKUP(C135,'2021-22 School Level AAFTE'!C:N,12,FALSE)</f>
        <v>No</v>
      </c>
    </row>
    <row r="136" spans="1:32" s="19" customFormat="1">
      <c r="A136" s="97" t="s">
        <v>2532</v>
      </c>
      <c r="B136" s="97" t="s">
        <v>2064</v>
      </c>
      <c r="C136" s="95">
        <v>2365</v>
      </c>
      <c r="D136" s="95" t="s">
        <v>126</v>
      </c>
      <c r="E136" s="129">
        <f>VLOOKUP($C136,'2021-22 School Level AAFTE'!$C:$Z,11,FALSE)</f>
        <v>0.19876666666666667</v>
      </c>
      <c r="F136" s="129" t="str">
        <f>VLOOKUP($C136,'2021-22 School Level AAFTE'!$C:$Z,8,FALSE)</f>
        <v>No</v>
      </c>
      <c r="G136" s="129" t="str">
        <f>VLOOKUP($C136,'2021-22 School Level AAFTE'!$C:$Z,12,FALSE)</f>
        <v>No</v>
      </c>
      <c r="H136" s="127">
        <f>VLOOKUP($C136,'2021-22 School Level AAFTE'!$C:$I,7,FALSE)</f>
        <v>252.7</v>
      </c>
      <c r="I136" s="112">
        <f>IFERROR(IF(OR(G136="yes",F136= "yes"),VLOOKUP(C136,Summary!$B:$J,6,0),0),0)</f>
        <v>0</v>
      </c>
      <c r="J136" s="111">
        <f t="shared" si="21"/>
        <v>0</v>
      </c>
      <c r="K136" s="91">
        <f>VLOOKUP($A136,'2022-23 Salary &amp; Benefits'!$A:$I,3,FALSE)</f>
        <v>1.0900000000000001</v>
      </c>
      <c r="L136" s="91">
        <f>VLOOKUP($A136,'2022-23 Salary &amp; Benefits'!$A:$I,4,FALSE)</f>
        <v>1.0900000000000001</v>
      </c>
      <c r="M136" s="101">
        <f t="shared" si="28"/>
        <v>0</v>
      </c>
      <c r="N136" s="24">
        <v>15</v>
      </c>
      <c r="O136" s="26">
        <f t="shared" si="19"/>
        <v>0</v>
      </c>
      <c r="P136" s="24">
        <v>1.1000000000000001</v>
      </c>
      <c r="Q136" s="24">
        <v>36</v>
      </c>
      <c r="R136" s="27">
        <f t="shared" si="20"/>
        <v>0</v>
      </c>
      <c r="S136" s="102">
        <f t="shared" si="22"/>
        <v>0</v>
      </c>
      <c r="T136" s="21">
        <f>VLOOKUP($A136,'2022-23 Salary &amp; Benefits'!$A:$I,5,FALSE)</f>
        <v>68937</v>
      </c>
      <c r="U136" s="21">
        <f>VLOOKUP($A136,'2022-23 Salary &amp; Benefits'!$A:$I,6,FALSE)</f>
        <v>72728</v>
      </c>
      <c r="V136" s="22">
        <f t="shared" si="23"/>
        <v>0</v>
      </c>
      <c r="W136" s="22">
        <f t="shared" si="24"/>
        <v>0</v>
      </c>
      <c r="X136" s="22">
        <f>'2022-23 Salary &amp; Benefits'!$G$6</f>
        <v>12558.24</v>
      </c>
      <c r="Y136" s="23">
        <f>'2022-23 Salary &amp; Benefits'!$H$6</f>
        <v>0.2298</v>
      </c>
      <c r="Z136" s="23">
        <f>'2022-23 Salary &amp; Benefits'!$I$6</f>
        <v>0.22339999999999999</v>
      </c>
      <c r="AA136" s="22">
        <f t="shared" si="25"/>
        <v>0</v>
      </c>
      <c r="AB136" s="22">
        <f t="shared" si="26"/>
        <v>0</v>
      </c>
      <c r="AC136" s="22">
        <f t="shared" si="27"/>
        <v>0</v>
      </c>
      <c r="AD136" s="22">
        <f t="shared" si="29"/>
        <v>0</v>
      </c>
      <c r="AE136" s="22">
        <f t="shared" si="30"/>
        <v>0</v>
      </c>
      <c r="AF136" s="19" t="str">
        <f>VLOOKUP(C136,'2021-22 School Level AAFTE'!C:N,12,FALSE)</f>
        <v>No</v>
      </c>
    </row>
    <row r="137" spans="1:32" s="19" customFormat="1">
      <c r="A137" s="97" t="s">
        <v>2532</v>
      </c>
      <c r="B137" s="97" t="s">
        <v>2064</v>
      </c>
      <c r="C137" s="95">
        <v>2387</v>
      </c>
      <c r="D137" s="95" t="s">
        <v>2072</v>
      </c>
      <c r="E137" s="129">
        <f>VLOOKUP($C137,'2021-22 School Level AAFTE'!$C:$Z,11,FALSE)</f>
        <v>0.36179999999999995</v>
      </c>
      <c r="F137" s="129" t="str">
        <f>VLOOKUP($C137,'2021-22 School Level AAFTE'!$C:$Z,8,FALSE)</f>
        <v>No</v>
      </c>
      <c r="G137" s="129" t="str">
        <f>VLOOKUP($C137,'2021-22 School Level AAFTE'!$C:$Z,12,FALSE)</f>
        <v>No</v>
      </c>
      <c r="H137" s="127">
        <f>VLOOKUP($C137,'2021-22 School Level AAFTE'!$C:$I,7,FALSE)</f>
        <v>255.12</v>
      </c>
      <c r="I137" s="112">
        <f>IFERROR(IF(OR(G137="yes",F137= "yes"),VLOOKUP(C137,Summary!$B:$J,6,0),0),0)</f>
        <v>0</v>
      </c>
      <c r="J137" s="111">
        <f t="shared" si="21"/>
        <v>0</v>
      </c>
      <c r="K137" s="91">
        <f>VLOOKUP($A137,'2022-23 Salary &amp; Benefits'!$A:$I,3,FALSE)</f>
        <v>1.0900000000000001</v>
      </c>
      <c r="L137" s="91">
        <f>VLOOKUP($A137,'2022-23 Salary &amp; Benefits'!$A:$I,4,FALSE)</f>
        <v>1.0900000000000001</v>
      </c>
      <c r="M137" s="101">
        <f t="shared" si="28"/>
        <v>0</v>
      </c>
      <c r="N137" s="24">
        <v>15</v>
      </c>
      <c r="O137" s="26">
        <f t="shared" si="19"/>
        <v>0</v>
      </c>
      <c r="P137" s="24">
        <v>1.1000000000000001</v>
      </c>
      <c r="Q137" s="24">
        <v>36</v>
      </c>
      <c r="R137" s="27">
        <f t="shared" si="20"/>
        <v>0</v>
      </c>
      <c r="S137" s="102">
        <f t="shared" si="22"/>
        <v>0</v>
      </c>
      <c r="T137" s="21">
        <f>VLOOKUP($A137,'2022-23 Salary &amp; Benefits'!$A:$I,5,FALSE)</f>
        <v>68937</v>
      </c>
      <c r="U137" s="21">
        <f>VLOOKUP($A137,'2022-23 Salary &amp; Benefits'!$A:$I,6,FALSE)</f>
        <v>72728</v>
      </c>
      <c r="V137" s="22">
        <f t="shared" si="23"/>
        <v>0</v>
      </c>
      <c r="W137" s="22">
        <f t="shared" si="24"/>
        <v>0</v>
      </c>
      <c r="X137" s="22">
        <f>'2022-23 Salary &amp; Benefits'!$G$6</f>
        <v>12558.24</v>
      </c>
      <c r="Y137" s="23">
        <f>'2022-23 Salary &amp; Benefits'!$H$6</f>
        <v>0.2298</v>
      </c>
      <c r="Z137" s="23">
        <f>'2022-23 Salary &amp; Benefits'!$I$6</f>
        <v>0.22339999999999999</v>
      </c>
      <c r="AA137" s="22">
        <f t="shared" si="25"/>
        <v>0</v>
      </c>
      <c r="AB137" s="22">
        <f t="shared" si="26"/>
        <v>0</v>
      </c>
      <c r="AC137" s="22">
        <f t="shared" si="27"/>
        <v>0</v>
      </c>
      <c r="AD137" s="22">
        <f t="shared" si="29"/>
        <v>0</v>
      </c>
      <c r="AE137" s="22">
        <f t="shared" si="30"/>
        <v>0</v>
      </c>
      <c r="AF137" s="19" t="str">
        <f>VLOOKUP(C137,'2021-22 School Level AAFTE'!C:N,12,FALSE)</f>
        <v>No</v>
      </c>
    </row>
    <row r="138" spans="1:32" s="19" customFormat="1">
      <c r="A138" s="97" t="s">
        <v>2532</v>
      </c>
      <c r="B138" s="97" t="s">
        <v>2064</v>
      </c>
      <c r="C138" s="95">
        <v>2431</v>
      </c>
      <c r="D138" s="95" t="s">
        <v>2073</v>
      </c>
      <c r="E138" s="129">
        <f>VLOOKUP($C138,'2021-22 School Level AAFTE'!$C:$Z,11,FALSE)</f>
        <v>0.54059999999999997</v>
      </c>
      <c r="F138" s="129" t="str">
        <f>VLOOKUP($C138,'2021-22 School Level AAFTE'!$C:$Z,8,FALSE)</f>
        <v>Yes</v>
      </c>
      <c r="G138" s="129" t="str">
        <f>VLOOKUP($C138,'2021-22 School Level AAFTE'!$C:$Z,12,FALSE)</f>
        <v>No</v>
      </c>
      <c r="H138" s="127">
        <f>VLOOKUP($C138,'2021-22 School Level AAFTE'!$C:$I,7,FALSE)</f>
        <v>315.25</v>
      </c>
      <c r="I138" s="112">
        <f>IFERROR(IF(OR(G138="yes",F138= "yes"),VLOOKUP(C138,Summary!$B:$J,6,0),0),0)</f>
        <v>0</v>
      </c>
      <c r="J138" s="111">
        <f t="shared" si="21"/>
        <v>315.25</v>
      </c>
      <c r="K138" s="91">
        <f>VLOOKUP($A138,'2022-23 Salary &amp; Benefits'!$A:$I,3,FALSE)</f>
        <v>1.0900000000000001</v>
      </c>
      <c r="L138" s="91">
        <f>VLOOKUP($A138,'2022-23 Salary &amp; Benefits'!$A:$I,4,FALSE)</f>
        <v>1.0900000000000001</v>
      </c>
      <c r="M138" s="39">
        <f t="shared" si="28"/>
        <v>315.25</v>
      </c>
      <c r="N138" s="24">
        <v>15</v>
      </c>
      <c r="O138" s="26">
        <f t="shared" ref="O138:O201" si="31">IF(M138="no",0,M138/N138)</f>
        <v>21.016666666666666</v>
      </c>
      <c r="P138" s="24">
        <v>1.1000000000000001</v>
      </c>
      <c r="Q138" s="24">
        <v>36</v>
      </c>
      <c r="R138" s="27">
        <f t="shared" ref="R138:R201" si="32">IF(M138="no",0,O138*P138*Q138)</f>
        <v>832.2600000000001</v>
      </c>
      <c r="S138" s="102">
        <f t="shared" si="22"/>
        <v>0.92500000000000004</v>
      </c>
      <c r="T138" s="21">
        <f>VLOOKUP($A138,'2022-23 Salary &amp; Benefits'!$A:$I,5,FALSE)</f>
        <v>68937</v>
      </c>
      <c r="U138" s="21">
        <f>VLOOKUP($A138,'2022-23 Salary &amp; Benefits'!$A:$I,6,FALSE)</f>
        <v>72728</v>
      </c>
      <c r="V138" s="22">
        <f t="shared" si="23"/>
        <v>69505.73</v>
      </c>
      <c r="W138" s="22">
        <f t="shared" si="24"/>
        <v>3822.2799999999988</v>
      </c>
      <c r="X138" s="22">
        <f>'2022-23 Salary &amp; Benefits'!$G$6</f>
        <v>12558.24</v>
      </c>
      <c r="Y138" s="23">
        <f>'2022-23 Salary &amp; Benefits'!$H$6</f>
        <v>0.2298</v>
      </c>
      <c r="Z138" s="23">
        <f>'2022-23 Salary &amp; Benefits'!$I$6</f>
        <v>0.22339999999999999</v>
      </c>
      <c r="AA138" s="22">
        <f t="shared" si="25"/>
        <v>28442.69</v>
      </c>
      <c r="AB138" s="22">
        <f t="shared" si="26"/>
        <v>1222.1300000000001</v>
      </c>
      <c r="AC138" s="22">
        <f t="shared" si="27"/>
        <v>273.02</v>
      </c>
      <c r="AD138" s="22">
        <f t="shared" si="29"/>
        <v>1495.15</v>
      </c>
      <c r="AE138" s="22">
        <f t="shared" si="30"/>
        <v>103265.84999999999</v>
      </c>
      <c r="AF138" s="19" t="str">
        <f>VLOOKUP(C138,'2021-22 School Level AAFTE'!C:N,12,FALSE)</f>
        <v>No</v>
      </c>
    </row>
    <row r="139" spans="1:32" s="19" customFormat="1">
      <c r="A139" s="97" t="s">
        <v>2532</v>
      </c>
      <c r="B139" s="97" t="s">
        <v>2064</v>
      </c>
      <c r="C139" s="95">
        <v>2553</v>
      </c>
      <c r="D139" s="95" t="s">
        <v>2074</v>
      </c>
      <c r="E139" s="129">
        <f>VLOOKUP($C139,'2021-22 School Level AAFTE'!$C:$Z,11,FALSE)</f>
        <v>0.29763333333333336</v>
      </c>
      <c r="F139" s="129" t="str">
        <f>VLOOKUP($C139,'2021-22 School Level AAFTE'!$C:$Z,8,FALSE)</f>
        <v>No</v>
      </c>
      <c r="G139" s="129" t="str">
        <f>VLOOKUP($C139,'2021-22 School Level AAFTE'!$C:$Z,12,FALSE)</f>
        <v>No</v>
      </c>
      <c r="H139" s="127">
        <f>VLOOKUP($C139,'2021-22 School Level AAFTE'!$C:$I,7,FALSE)</f>
        <v>1124.1100000000001</v>
      </c>
      <c r="I139" s="112">
        <f>IFERROR(IF(OR(G139="yes",F139= "yes"),VLOOKUP(C139,Summary!$B:$J,6,0),0),0)</f>
        <v>0</v>
      </c>
      <c r="J139" s="111">
        <f t="shared" ref="J139:J202" si="33">IF(OR(G139="yes",F139= "yes"), H139,0)</f>
        <v>0</v>
      </c>
      <c r="K139" s="91">
        <f>VLOOKUP($A139,'2022-23 Salary &amp; Benefits'!$A:$I,3,FALSE)</f>
        <v>1.0900000000000001</v>
      </c>
      <c r="L139" s="91">
        <f>VLOOKUP($A139,'2022-23 Salary &amp; Benefits'!$A:$I,4,FALSE)</f>
        <v>1.0900000000000001</v>
      </c>
      <c r="M139" s="39">
        <f t="shared" si="28"/>
        <v>0</v>
      </c>
      <c r="N139" s="24">
        <v>15</v>
      </c>
      <c r="O139" s="26">
        <f t="shared" si="31"/>
        <v>0</v>
      </c>
      <c r="P139" s="24">
        <v>1.1000000000000001</v>
      </c>
      <c r="Q139" s="24">
        <v>36</v>
      </c>
      <c r="R139" s="27">
        <f t="shared" si="32"/>
        <v>0</v>
      </c>
      <c r="S139" s="102">
        <f t="shared" ref="S139:S202" si="34">ROUND(IF(M139="no",0,R139/900),3)</f>
        <v>0</v>
      </c>
      <c r="T139" s="21">
        <f>VLOOKUP($A139,'2022-23 Salary &amp; Benefits'!$A:$I,5,FALSE)</f>
        <v>68937</v>
      </c>
      <c r="U139" s="21">
        <f>VLOOKUP($A139,'2022-23 Salary &amp; Benefits'!$A:$I,6,FALSE)</f>
        <v>72728</v>
      </c>
      <c r="V139" s="22">
        <f t="shared" ref="V139:V202" si="35">ROUND($K139*$T139*$S139,2)</f>
        <v>0</v>
      </c>
      <c r="W139" s="22">
        <f t="shared" ref="W139:W202" si="36">ROUND($L139*$U139*$S139,2)-V139</f>
        <v>0</v>
      </c>
      <c r="X139" s="22">
        <f>'2022-23 Salary &amp; Benefits'!$G$6</f>
        <v>12558.24</v>
      </c>
      <c r="Y139" s="23">
        <f>'2022-23 Salary &amp; Benefits'!$H$6</f>
        <v>0.2298</v>
      </c>
      <c r="Z139" s="23">
        <f>'2022-23 Salary &amp; Benefits'!$I$6</f>
        <v>0.22339999999999999</v>
      </c>
      <c r="AA139" s="22">
        <f t="shared" ref="AA139:AA202" si="37">ROUND(V139*Y139+W139*Z139+S139*X139,2)</f>
        <v>0</v>
      </c>
      <c r="AB139" s="22">
        <f t="shared" ref="AB139:AB202" si="38">ROUND(($U139*$L139*$S139/180*3),2)</f>
        <v>0</v>
      </c>
      <c r="AC139" s="22">
        <f t="shared" ref="AC139:AC202" si="39">ROUND(AB139*Z139,2)</f>
        <v>0</v>
      </c>
      <c r="AD139" s="22">
        <f t="shared" si="29"/>
        <v>0</v>
      </c>
      <c r="AE139" s="22">
        <f t="shared" si="30"/>
        <v>0</v>
      </c>
      <c r="AF139" s="19" t="str">
        <f>VLOOKUP(C139,'2021-22 School Level AAFTE'!C:N,12,FALSE)</f>
        <v>No</v>
      </c>
    </row>
    <row r="140" spans="1:32" s="19" customFormat="1">
      <c r="A140" s="97" t="s">
        <v>2532</v>
      </c>
      <c r="B140" s="97" t="s">
        <v>2064</v>
      </c>
      <c r="C140" s="95">
        <v>2817</v>
      </c>
      <c r="D140" s="95" t="s">
        <v>2075</v>
      </c>
      <c r="E140" s="129">
        <f>VLOOKUP($C140,'2021-22 School Level AAFTE'!$C:$Z,11,FALSE)</f>
        <v>0.44860000000000005</v>
      </c>
      <c r="F140" s="129" t="str">
        <f>VLOOKUP($C140,'2021-22 School Level AAFTE'!$C:$Z,8,FALSE)</f>
        <v>No</v>
      </c>
      <c r="G140" s="129" t="str">
        <f>VLOOKUP($C140,'2021-22 School Level AAFTE'!$C:$Z,12,FALSE)</f>
        <v>No</v>
      </c>
      <c r="H140" s="127">
        <f>VLOOKUP($C140,'2021-22 School Level AAFTE'!$C:$I,7,FALSE)</f>
        <v>301</v>
      </c>
      <c r="I140" s="112">
        <f>IFERROR(IF(OR(G140="yes",F140= "yes"),VLOOKUP(C140,Summary!$B:$J,6,0),0),0)</f>
        <v>0</v>
      </c>
      <c r="J140" s="111">
        <f t="shared" si="33"/>
        <v>0</v>
      </c>
      <c r="K140" s="91">
        <f>VLOOKUP($A140,'2022-23 Salary &amp; Benefits'!$A:$I,3,FALSE)</f>
        <v>1.0900000000000001</v>
      </c>
      <c r="L140" s="91">
        <f>VLOOKUP($A140,'2022-23 Salary &amp; Benefits'!$A:$I,4,FALSE)</f>
        <v>1.0900000000000001</v>
      </c>
      <c r="M140" s="101">
        <f t="shared" si="28"/>
        <v>0</v>
      </c>
      <c r="N140" s="24">
        <v>15</v>
      </c>
      <c r="O140" s="26">
        <f t="shared" si="31"/>
        <v>0</v>
      </c>
      <c r="P140" s="24">
        <v>1.1000000000000001</v>
      </c>
      <c r="Q140" s="24">
        <v>36</v>
      </c>
      <c r="R140" s="27">
        <f t="shared" si="32"/>
        <v>0</v>
      </c>
      <c r="S140" s="102">
        <f t="shared" si="34"/>
        <v>0</v>
      </c>
      <c r="T140" s="21">
        <f>VLOOKUP($A140,'2022-23 Salary &amp; Benefits'!$A:$I,5,FALSE)</f>
        <v>68937</v>
      </c>
      <c r="U140" s="21">
        <f>VLOOKUP($A140,'2022-23 Salary &amp; Benefits'!$A:$I,6,FALSE)</f>
        <v>72728</v>
      </c>
      <c r="V140" s="22">
        <f t="shared" si="35"/>
        <v>0</v>
      </c>
      <c r="W140" s="22">
        <f t="shared" si="36"/>
        <v>0</v>
      </c>
      <c r="X140" s="22">
        <f>'2022-23 Salary &amp; Benefits'!$G$6</f>
        <v>12558.24</v>
      </c>
      <c r="Y140" s="23">
        <f>'2022-23 Salary &amp; Benefits'!$H$6</f>
        <v>0.2298</v>
      </c>
      <c r="Z140" s="23">
        <f>'2022-23 Salary &amp; Benefits'!$I$6</f>
        <v>0.22339999999999999</v>
      </c>
      <c r="AA140" s="22">
        <f t="shared" si="37"/>
        <v>0</v>
      </c>
      <c r="AB140" s="22">
        <f t="shared" si="38"/>
        <v>0</v>
      </c>
      <c r="AC140" s="22">
        <f t="shared" si="39"/>
        <v>0</v>
      </c>
      <c r="AD140" s="22">
        <f t="shared" si="29"/>
        <v>0</v>
      </c>
      <c r="AE140" s="22">
        <f t="shared" si="30"/>
        <v>0</v>
      </c>
      <c r="AF140" s="19" t="str">
        <f>VLOOKUP(C140,'2021-22 School Level AAFTE'!C:N,12,FALSE)</f>
        <v>No</v>
      </c>
    </row>
    <row r="141" spans="1:32" s="19" customFormat="1">
      <c r="A141" s="97" t="s">
        <v>2532</v>
      </c>
      <c r="B141" s="97" t="s">
        <v>2064</v>
      </c>
      <c r="C141" s="95">
        <v>3134</v>
      </c>
      <c r="D141" s="95" t="s">
        <v>2076</v>
      </c>
      <c r="E141" s="129">
        <f>VLOOKUP($C141,'2021-22 School Level AAFTE'!$C:$Z,11,FALSE)</f>
        <v>0.2737</v>
      </c>
      <c r="F141" s="129" t="str">
        <f>VLOOKUP($C141,'2021-22 School Level AAFTE'!$C:$Z,8,FALSE)</f>
        <v>No</v>
      </c>
      <c r="G141" s="129" t="str">
        <f>VLOOKUP($C141,'2021-22 School Level AAFTE'!$C:$Z,12,FALSE)</f>
        <v>No</v>
      </c>
      <c r="H141" s="127">
        <f>VLOOKUP($C141,'2021-22 School Level AAFTE'!$C:$I,7,FALSE)</f>
        <v>436.77</v>
      </c>
      <c r="I141" s="112">
        <f>IFERROR(IF(OR(G141="yes",F141= "yes"),VLOOKUP(C141,Summary!$B:$J,6,0),0),0)</f>
        <v>0</v>
      </c>
      <c r="J141" s="111">
        <f t="shared" si="33"/>
        <v>0</v>
      </c>
      <c r="K141" s="91">
        <f>VLOOKUP($A141,'2022-23 Salary &amp; Benefits'!$A:$I,3,FALSE)</f>
        <v>1.0900000000000001</v>
      </c>
      <c r="L141" s="91">
        <f>VLOOKUP($A141,'2022-23 Salary &amp; Benefits'!$A:$I,4,FALSE)</f>
        <v>1.0900000000000001</v>
      </c>
      <c r="M141" s="39">
        <f t="shared" si="28"/>
        <v>0</v>
      </c>
      <c r="N141" s="24">
        <v>15</v>
      </c>
      <c r="O141" s="26">
        <f t="shared" si="31"/>
        <v>0</v>
      </c>
      <c r="P141" s="24">
        <v>1.1000000000000001</v>
      </c>
      <c r="Q141" s="24">
        <v>36</v>
      </c>
      <c r="R141" s="27">
        <f t="shared" si="32"/>
        <v>0</v>
      </c>
      <c r="S141" s="102">
        <f t="shared" si="34"/>
        <v>0</v>
      </c>
      <c r="T141" s="21">
        <f>VLOOKUP($A141,'2022-23 Salary &amp; Benefits'!$A:$I,5,FALSE)</f>
        <v>68937</v>
      </c>
      <c r="U141" s="21">
        <f>VLOOKUP($A141,'2022-23 Salary &amp; Benefits'!$A:$I,6,FALSE)</f>
        <v>72728</v>
      </c>
      <c r="V141" s="22">
        <f t="shared" si="35"/>
        <v>0</v>
      </c>
      <c r="W141" s="22">
        <f t="shared" si="36"/>
        <v>0</v>
      </c>
      <c r="X141" s="22">
        <f>'2022-23 Salary &amp; Benefits'!$G$6</f>
        <v>12558.24</v>
      </c>
      <c r="Y141" s="23">
        <f>'2022-23 Salary &amp; Benefits'!$H$6</f>
        <v>0.2298</v>
      </c>
      <c r="Z141" s="23">
        <f>'2022-23 Salary &amp; Benefits'!$I$6</f>
        <v>0.22339999999999999</v>
      </c>
      <c r="AA141" s="22">
        <f t="shared" si="37"/>
        <v>0</v>
      </c>
      <c r="AB141" s="22">
        <f t="shared" si="38"/>
        <v>0</v>
      </c>
      <c r="AC141" s="22">
        <f t="shared" si="39"/>
        <v>0</v>
      </c>
      <c r="AD141" s="22">
        <f t="shared" si="29"/>
        <v>0</v>
      </c>
      <c r="AE141" s="22">
        <f t="shared" si="30"/>
        <v>0</v>
      </c>
      <c r="AF141" s="19" t="str">
        <f>VLOOKUP(C141,'2021-22 School Level AAFTE'!C:N,12,FALSE)</f>
        <v>No</v>
      </c>
    </row>
    <row r="142" spans="1:32" s="19" customFormat="1">
      <c r="A142" s="97" t="s">
        <v>2532</v>
      </c>
      <c r="B142" s="97" t="s">
        <v>2064</v>
      </c>
      <c r="C142" s="95">
        <v>3200</v>
      </c>
      <c r="D142" s="95" t="s">
        <v>2077</v>
      </c>
      <c r="E142" s="129">
        <f>VLOOKUP($C142,'2021-22 School Level AAFTE'!$C:$Z,11,FALSE)</f>
        <v>0.59353333333333336</v>
      </c>
      <c r="F142" s="129" t="str">
        <f>VLOOKUP($C142,'2021-22 School Level AAFTE'!$C:$Z,8,FALSE)</f>
        <v>Yes</v>
      </c>
      <c r="G142" s="129" t="str">
        <f>VLOOKUP($C142,'2021-22 School Level AAFTE'!$C:$Z,12,FALSE)</f>
        <v>No</v>
      </c>
      <c r="H142" s="127">
        <f>VLOOKUP($C142,'2021-22 School Level AAFTE'!$C:$I,7,FALSE)</f>
        <v>257.45</v>
      </c>
      <c r="I142" s="112">
        <f>IFERROR(IF(OR(G142="yes",F142= "yes"),VLOOKUP(C142,Summary!$B:$J,6,0),0),0)</f>
        <v>0</v>
      </c>
      <c r="J142" s="111">
        <f t="shared" si="33"/>
        <v>257.45</v>
      </c>
      <c r="K142" s="91">
        <f>VLOOKUP($A142,'2022-23 Salary &amp; Benefits'!$A:$I,3,FALSE)</f>
        <v>1.0900000000000001</v>
      </c>
      <c r="L142" s="91">
        <f>VLOOKUP($A142,'2022-23 Salary &amp; Benefits'!$A:$I,4,FALSE)</f>
        <v>1.0900000000000001</v>
      </c>
      <c r="M142" s="101">
        <f t="shared" si="28"/>
        <v>257.45</v>
      </c>
      <c r="N142" s="24">
        <v>15</v>
      </c>
      <c r="O142" s="26">
        <f t="shared" si="31"/>
        <v>17.163333333333334</v>
      </c>
      <c r="P142" s="24">
        <v>1.1000000000000001</v>
      </c>
      <c r="Q142" s="24">
        <v>36</v>
      </c>
      <c r="R142" s="27">
        <f t="shared" si="32"/>
        <v>679.66800000000012</v>
      </c>
      <c r="S142" s="102">
        <f t="shared" si="34"/>
        <v>0.755</v>
      </c>
      <c r="T142" s="21">
        <f>VLOOKUP($A142,'2022-23 Salary &amp; Benefits'!$A:$I,5,FALSE)</f>
        <v>68937</v>
      </c>
      <c r="U142" s="21">
        <f>VLOOKUP($A142,'2022-23 Salary &amp; Benefits'!$A:$I,6,FALSE)</f>
        <v>72728</v>
      </c>
      <c r="V142" s="22">
        <f t="shared" si="35"/>
        <v>56731.7</v>
      </c>
      <c r="W142" s="22">
        <f t="shared" si="36"/>
        <v>3119.8100000000049</v>
      </c>
      <c r="X142" s="22">
        <f>'2022-23 Salary &amp; Benefits'!$G$6</f>
        <v>12558.24</v>
      </c>
      <c r="Y142" s="23">
        <f>'2022-23 Salary &amp; Benefits'!$H$6</f>
        <v>0.2298</v>
      </c>
      <c r="Z142" s="23">
        <f>'2022-23 Salary &amp; Benefits'!$I$6</f>
        <v>0.22339999999999999</v>
      </c>
      <c r="AA142" s="22">
        <f t="shared" si="37"/>
        <v>23215.38</v>
      </c>
      <c r="AB142" s="22">
        <f t="shared" si="38"/>
        <v>997.53</v>
      </c>
      <c r="AC142" s="22">
        <f t="shared" si="39"/>
        <v>222.85</v>
      </c>
      <c r="AD142" s="22">
        <f t="shared" si="29"/>
        <v>1220.3799999999999</v>
      </c>
      <c r="AE142" s="22">
        <f t="shared" si="30"/>
        <v>84287.270000000019</v>
      </c>
      <c r="AF142" s="19" t="str">
        <f>VLOOKUP(C142,'2021-22 School Level AAFTE'!C:N,12,FALSE)</f>
        <v>No</v>
      </c>
    </row>
    <row r="143" spans="1:32" s="19" customFormat="1">
      <c r="A143" s="97" t="s">
        <v>2532</v>
      </c>
      <c r="B143" s="97" t="s">
        <v>2064</v>
      </c>
      <c r="C143" s="95">
        <v>3201</v>
      </c>
      <c r="D143" s="95" t="s">
        <v>2078</v>
      </c>
      <c r="E143" s="129">
        <f>VLOOKUP($C143,'2021-22 School Level AAFTE'!$C:$Z,11,FALSE)</f>
        <v>0.54613333333333336</v>
      </c>
      <c r="F143" s="129" t="str">
        <f>VLOOKUP($C143,'2021-22 School Level AAFTE'!$C:$Z,8,FALSE)</f>
        <v>Yes</v>
      </c>
      <c r="G143" s="129" t="str">
        <f>VLOOKUP($C143,'2021-22 School Level AAFTE'!$C:$Z,12,FALSE)</f>
        <v>No</v>
      </c>
      <c r="H143" s="127">
        <f>VLOOKUP($C143,'2021-22 School Level AAFTE'!$C:$I,7,FALSE)</f>
        <v>539</v>
      </c>
      <c r="I143" s="112">
        <f>IFERROR(IF(OR(G143="yes",F143= "yes"),VLOOKUP(C143,Summary!$B:$J,6,0),0),0)</f>
        <v>0</v>
      </c>
      <c r="J143" s="111">
        <f t="shared" si="33"/>
        <v>539</v>
      </c>
      <c r="K143" s="91">
        <f>VLOOKUP($A143,'2022-23 Salary &amp; Benefits'!$A:$I,3,FALSE)</f>
        <v>1.0900000000000001</v>
      </c>
      <c r="L143" s="91">
        <f>VLOOKUP($A143,'2022-23 Salary &amp; Benefits'!$A:$I,4,FALSE)</f>
        <v>1.0900000000000001</v>
      </c>
      <c r="M143" s="39">
        <f t="shared" si="28"/>
        <v>539</v>
      </c>
      <c r="N143" s="24">
        <v>15</v>
      </c>
      <c r="O143" s="26">
        <f t="shared" si="31"/>
        <v>35.93333333333333</v>
      </c>
      <c r="P143" s="24">
        <v>1.1000000000000001</v>
      </c>
      <c r="Q143" s="24">
        <v>36</v>
      </c>
      <c r="R143" s="27">
        <f t="shared" si="32"/>
        <v>1422.9599999999998</v>
      </c>
      <c r="S143" s="102">
        <f t="shared" si="34"/>
        <v>1.581</v>
      </c>
      <c r="T143" s="21">
        <f>VLOOKUP($A143,'2022-23 Salary &amp; Benefits'!$A:$I,5,FALSE)</f>
        <v>68937</v>
      </c>
      <c r="U143" s="21">
        <f>VLOOKUP($A143,'2022-23 Salary &amp; Benefits'!$A:$I,6,FALSE)</f>
        <v>72728</v>
      </c>
      <c r="V143" s="22">
        <f t="shared" si="35"/>
        <v>118798.44</v>
      </c>
      <c r="W143" s="22">
        <f t="shared" si="36"/>
        <v>6533</v>
      </c>
      <c r="X143" s="22">
        <f>'2022-23 Salary &amp; Benefits'!$G$6</f>
        <v>12558.24</v>
      </c>
      <c r="Y143" s="23">
        <f>'2022-23 Salary &amp; Benefits'!$H$6</f>
        <v>0.2298</v>
      </c>
      <c r="Z143" s="23">
        <f>'2022-23 Salary &amp; Benefits'!$I$6</f>
        <v>0.22339999999999999</v>
      </c>
      <c r="AA143" s="22">
        <f t="shared" si="37"/>
        <v>48613.93</v>
      </c>
      <c r="AB143" s="22">
        <f t="shared" si="38"/>
        <v>2088.86</v>
      </c>
      <c r="AC143" s="22">
        <f t="shared" si="39"/>
        <v>466.65</v>
      </c>
      <c r="AD143" s="22">
        <f t="shared" si="29"/>
        <v>2555.5100000000002</v>
      </c>
      <c r="AE143" s="22">
        <f t="shared" si="30"/>
        <v>176500.88</v>
      </c>
      <c r="AF143" s="19" t="str">
        <f>VLOOKUP(C143,'2021-22 School Level AAFTE'!C:N,12,FALSE)</f>
        <v>No</v>
      </c>
    </row>
    <row r="144" spans="1:32" s="19" customFormat="1">
      <c r="A144" s="97" t="s">
        <v>2532</v>
      </c>
      <c r="B144" s="97" t="s">
        <v>2064</v>
      </c>
      <c r="C144" s="95">
        <v>3202</v>
      </c>
      <c r="D144" s="95" t="s">
        <v>2079</v>
      </c>
      <c r="E144" s="129">
        <f>VLOOKUP($C144,'2021-22 School Level AAFTE'!$C:$Z,11,FALSE)</f>
        <v>0.28316666666666668</v>
      </c>
      <c r="F144" s="129" t="str">
        <f>VLOOKUP($C144,'2021-22 School Level AAFTE'!$C:$Z,8,FALSE)</f>
        <v>No</v>
      </c>
      <c r="G144" s="129" t="str">
        <f>VLOOKUP($C144,'2021-22 School Level AAFTE'!$C:$Z,12,FALSE)</f>
        <v>No</v>
      </c>
      <c r="H144" s="127">
        <f>VLOOKUP($C144,'2021-22 School Level AAFTE'!$C:$I,7,FALSE)</f>
        <v>362.85</v>
      </c>
      <c r="I144" s="112">
        <f>IFERROR(IF(OR(G144="yes",F144= "yes"),VLOOKUP(C144,Summary!$B:$J,6,0),0),0)</f>
        <v>0</v>
      </c>
      <c r="J144" s="111">
        <f t="shared" si="33"/>
        <v>0</v>
      </c>
      <c r="K144" s="91">
        <f>VLOOKUP($A144,'2022-23 Salary &amp; Benefits'!$A:$I,3,FALSE)</f>
        <v>1.0900000000000001</v>
      </c>
      <c r="L144" s="91">
        <f>VLOOKUP($A144,'2022-23 Salary &amp; Benefits'!$A:$I,4,FALSE)</f>
        <v>1.0900000000000001</v>
      </c>
      <c r="M144" s="101">
        <f t="shared" si="28"/>
        <v>0</v>
      </c>
      <c r="N144" s="24">
        <v>15</v>
      </c>
      <c r="O144" s="26">
        <f t="shared" si="31"/>
        <v>0</v>
      </c>
      <c r="P144" s="24">
        <v>1.1000000000000001</v>
      </c>
      <c r="Q144" s="24">
        <v>36</v>
      </c>
      <c r="R144" s="27">
        <f t="shared" si="32"/>
        <v>0</v>
      </c>
      <c r="S144" s="102">
        <f t="shared" si="34"/>
        <v>0</v>
      </c>
      <c r="T144" s="21">
        <f>VLOOKUP($A144,'2022-23 Salary &amp; Benefits'!$A:$I,5,FALSE)</f>
        <v>68937</v>
      </c>
      <c r="U144" s="21">
        <f>VLOOKUP($A144,'2022-23 Salary &amp; Benefits'!$A:$I,6,FALSE)</f>
        <v>72728</v>
      </c>
      <c r="V144" s="22">
        <f t="shared" si="35"/>
        <v>0</v>
      </c>
      <c r="W144" s="22">
        <f t="shared" si="36"/>
        <v>0</v>
      </c>
      <c r="X144" s="22">
        <f>'2022-23 Salary &amp; Benefits'!$G$6</f>
        <v>12558.24</v>
      </c>
      <c r="Y144" s="23">
        <f>'2022-23 Salary &amp; Benefits'!$H$6</f>
        <v>0.2298</v>
      </c>
      <c r="Z144" s="23">
        <f>'2022-23 Salary &amp; Benefits'!$I$6</f>
        <v>0.22339999999999999</v>
      </c>
      <c r="AA144" s="22">
        <f t="shared" si="37"/>
        <v>0</v>
      </c>
      <c r="AB144" s="22">
        <f t="shared" si="38"/>
        <v>0</v>
      </c>
      <c r="AC144" s="22">
        <f t="shared" si="39"/>
        <v>0</v>
      </c>
      <c r="AD144" s="22">
        <f t="shared" si="29"/>
        <v>0</v>
      </c>
      <c r="AE144" s="22">
        <f t="shared" si="30"/>
        <v>0</v>
      </c>
      <c r="AF144" s="19" t="str">
        <f>VLOOKUP(C144,'2021-22 School Level AAFTE'!C:N,12,FALSE)</f>
        <v>No</v>
      </c>
    </row>
    <row r="145" spans="1:32" s="19" customFormat="1">
      <c r="A145" s="97" t="s">
        <v>2532</v>
      </c>
      <c r="B145" s="97" t="s">
        <v>2064</v>
      </c>
      <c r="C145" s="95">
        <v>3576</v>
      </c>
      <c r="D145" s="95" t="s">
        <v>2080</v>
      </c>
      <c r="E145" s="129">
        <f>VLOOKUP($C145,'2021-22 School Level AAFTE'!$C:$Z,11,FALSE)</f>
        <v>0.20830000000000001</v>
      </c>
      <c r="F145" s="129" t="str">
        <f>VLOOKUP($C145,'2021-22 School Level AAFTE'!$C:$Z,8,FALSE)</f>
        <v>No</v>
      </c>
      <c r="G145" s="129" t="str">
        <f>VLOOKUP($C145,'2021-22 School Level AAFTE'!$C:$Z,12,FALSE)</f>
        <v>No</v>
      </c>
      <c r="H145" s="127">
        <f>VLOOKUP($C145,'2021-22 School Level AAFTE'!$C:$I,7,FALSE)</f>
        <v>1104.45</v>
      </c>
      <c r="I145" s="112">
        <f>IFERROR(IF(OR(G145="yes",F145= "yes"),VLOOKUP(C145,Summary!$B:$J,6,0),0),0)</f>
        <v>0</v>
      </c>
      <c r="J145" s="111">
        <f t="shared" si="33"/>
        <v>0</v>
      </c>
      <c r="K145" s="91">
        <f>VLOOKUP($A145,'2022-23 Salary &amp; Benefits'!$A:$I,3,FALSE)</f>
        <v>1.0900000000000001</v>
      </c>
      <c r="L145" s="91">
        <f>VLOOKUP($A145,'2022-23 Salary &amp; Benefits'!$A:$I,4,FALSE)</f>
        <v>1.0900000000000001</v>
      </c>
      <c r="M145" s="39">
        <f t="shared" si="28"/>
        <v>0</v>
      </c>
      <c r="N145" s="24">
        <v>15</v>
      </c>
      <c r="O145" s="26">
        <f t="shared" si="31"/>
        <v>0</v>
      </c>
      <c r="P145" s="24">
        <v>1.1000000000000001</v>
      </c>
      <c r="Q145" s="24">
        <v>36</v>
      </c>
      <c r="R145" s="27">
        <f t="shared" si="32"/>
        <v>0</v>
      </c>
      <c r="S145" s="102">
        <f t="shared" si="34"/>
        <v>0</v>
      </c>
      <c r="T145" s="21">
        <f>VLOOKUP($A145,'2022-23 Salary &amp; Benefits'!$A:$I,5,FALSE)</f>
        <v>68937</v>
      </c>
      <c r="U145" s="21">
        <f>VLOOKUP($A145,'2022-23 Salary &amp; Benefits'!$A:$I,6,FALSE)</f>
        <v>72728</v>
      </c>
      <c r="V145" s="22">
        <f t="shared" si="35"/>
        <v>0</v>
      </c>
      <c r="W145" s="22">
        <f t="shared" si="36"/>
        <v>0</v>
      </c>
      <c r="X145" s="22">
        <f>'2022-23 Salary &amp; Benefits'!$G$6</f>
        <v>12558.24</v>
      </c>
      <c r="Y145" s="23">
        <f>'2022-23 Salary &amp; Benefits'!$H$6</f>
        <v>0.2298</v>
      </c>
      <c r="Z145" s="23">
        <f>'2022-23 Salary &amp; Benefits'!$I$6</f>
        <v>0.22339999999999999</v>
      </c>
      <c r="AA145" s="22">
        <f t="shared" si="37"/>
        <v>0</v>
      </c>
      <c r="AB145" s="22">
        <f t="shared" si="38"/>
        <v>0</v>
      </c>
      <c r="AC145" s="22">
        <f t="shared" si="39"/>
        <v>0</v>
      </c>
      <c r="AD145" s="22">
        <f t="shared" si="29"/>
        <v>0</v>
      </c>
      <c r="AE145" s="22">
        <f t="shared" si="30"/>
        <v>0</v>
      </c>
      <c r="AF145" s="19" t="str">
        <f>VLOOKUP(C145,'2021-22 School Level AAFTE'!C:N,12,FALSE)</f>
        <v>No</v>
      </c>
    </row>
    <row r="146" spans="1:32" s="19" customFormat="1">
      <c r="A146" s="97" t="s">
        <v>2532</v>
      </c>
      <c r="B146" s="97" t="s">
        <v>2064</v>
      </c>
      <c r="C146" s="95">
        <v>4442</v>
      </c>
      <c r="D146" s="95" t="s">
        <v>2081</v>
      </c>
      <c r="E146" s="129">
        <f>VLOOKUP($C146,'2021-22 School Level AAFTE'!$C:$Z,11,FALSE)</f>
        <v>0.37010000000000004</v>
      </c>
      <c r="F146" s="129" t="str">
        <f>VLOOKUP($C146,'2021-22 School Level AAFTE'!$C:$Z,8,FALSE)</f>
        <v>No</v>
      </c>
      <c r="G146" s="129" t="str">
        <f>VLOOKUP($C146,'2021-22 School Level AAFTE'!$C:$Z,12,FALSE)</f>
        <v>No</v>
      </c>
      <c r="H146" s="127">
        <f>VLOOKUP($C146,'2021-22 School Level AAFTE'!$C:$I,7,FALSE)</f>
        <v>637.79999999999995</v>
      </c>
      <c r="I146" s="112">
        <f>IFERROR(IF(OR(G146="yes",F146= "yes"),VLOOKUP(C146,Summary!$B:$J,6,0),0),0)</f>
        <v>0</v>
      </c>
      <c r="J146" s="111">
        <f t="shared" si="33"/>
        <v>0</v>
      </c>
      <c r="K146" s="91">
        <f>VLOOKUP($A146,'2022-23 Salary &amp; Benefits'!$A:$I,3,FALSE)</f>
        <v>1.0900000000000001</v>
      </c>
      <c r="L146" s="91">
        <f>VLOOKUP($A146,'2022-23 Salary &amp; Benefits'!$A:$I,4,FALSE)</f>
        <v>1.0900000000000001</v>
      </c>
      <c r="M146" s="39">
        <f t="shared" si="28"/>
        <v>0</v>
      </c>
      <c r="N146" s="24">
        <v>15</v>
      </c>
      <c r="O146" s="26">
        <f t="shared" si="31"/>
        <v>0</v>
      </c>
      <c r="P146" s="24">
        <v>1.1000000000000001</v>
      </c>
      <c r="Q146" s="24">
        <v>36</v>
      </c>
      <c r="R146" s="27">
        <f t="shared" si="32"/>
        <v>0</v>
      </c>
      <c r="S146" s="102">
        <f t="shared" si="34"/>
        <v>0</v>
      </c>
      <c r="T146" s="21">
        <f>VLOOKUP($A146,'2022-23 Salary &amp; Benefits'!$A:$I,5,FALSE)</f>
        <v>68937</v>
      </c>
      <c r="U146" s="21">
        <f>VLOOKUP($A146,'2022-23 Salary &amp; Benefits'!$A:$I,6,FALSE)</f>
        <v>72728</v>
      </c>
      <c r="V146" s="22">
        <f t="shared" si="35"/>
        <v>0</v>
      </c>
      <c r="W146" s="22">
        <f t="shared" si="36"/>
        <v>0</v>
      </c>
      <c r="X146" s="22">
        <f>'2022-23 Salary &amp; Benefits'!$G$6</f>
        <v>12558.24</v>
      </c>
      <c r="Y146" s="23">
        <f>'2022-23 Salary &amp; Benefits'!$H$6</f>
        <v>0.2298</v>
      </c>
      <c r="Z146" s="23">
        <f>'2022-23 Salary &amp; Benefits'!$I$6</f>
        <v>0.22339999999999999</v>
      </c>
      <c r="AA146" s="22">
        <f t="shared" si="37"/>
        <v>0</v>
      </c>
      <c r="AB146" s="22">
        <f t="shared" si="38"/>
        <v>0</v>
      </c>
      <c r="AC146" s="22">
        <f t="shared" si="39"/>
        <v>0</v>
      </c>
      <c r="AD146" s="22">
        <f t="shared" si="29"/>
        <v>0</v>
      </c>
      <c r="AE146" s="22">
        <f t="shared" si="30"/>
        <v>0</v>
      </c>
      <c r="AF146" s="19" t="str">
        <f>VLOOKUP(C146,'2021-22 School Level AAFTE'!C:N,12,FALSE)</f>
        <v>No</v>
      </c>
    </row>
    <row r="147" spans="1:32" s="19" customFormat="1">
      <c r="A147" s="97" t="s">
        <v>2532</v>
      </c>
      <c r="B147" s="97" t="s">
        <v>2064</v>
      </c>
      <c r="C147" s="95">
        <v>4515</v>
      </c>
      <c r="D147" s="95" t="s">
        <v>2082</v>
      </c>
      <c r="E147" s="129">
        <f>VLOOKUP($C147,'2021-22 School Level AAFTE'!$C:$Z,11,FALSE)</f>
        <v>0.34686666666666666</v>
      </c>
      <c r="F147" s="129" t="str">
        <f>VLOOKUP($C147,'2021-22 School Level AAFTE'!$C:$Z,8,FALSE)</f>
        <v>No</v>
      </c>
      <c r="G147" s="129" t="str">
        <f>VLOOKUP($C147,'2021-22 School Level AAFTE'!$C:$Z,12,FALSE)</f>
        <v>No</v>
      </c>
      <c r="H147" s="127">
        <f>VLOOKUP($C147,'2021-22 School Level AAFTE'!$C:$I,7,FALSE)</f>
        <v>1199.94</v>
      </c>
      <c r="I147" s="112">
        <f>IFERROR(IF(OR(G147="yes",F147= "yes"),VLOOKUP(C147,Summary!$B:$J,6,0),0),0)</f>
        <v>0</v>
      </c>
      <c r="J147" s="111">
        <f t="shared" si="33"/>
        <v>0</v>
      </c>
      <c r="K147" s="91">
        <f>VLOOKUP($A147,'2022-23 Salary &amp; Benefits'!$A:$I,3,FALSE)</f>
        <v>1.0900000000000001</v>
      </c>
      <c r="L147" s="91">
        <f>VLOOKUP($A147,'2022-23 Salary &amp; Benefits'!$A:$I,4,FALSE)</f>
        <v>1.0900000000000001</v>
      </c>
      <c r="M147" s="101">
        <f t="shared" si="28"/>
        <v>0</v>
      </c>
      <c r="N147" s="24">
        <v>15</v>
      </c>
      <c r="O147" s="26">
        <f t="shared" si="31"/>
        <v>0</v>
      </c>
      <c r="P147" s="24">
        <v>1.1000000000000001</v>
      </c>
      <c r="Q147" s="24">
        <v>36</v>
      </c>
      <c r="R147" s="27">
        <f t="shared" si="32"/>
        <v>0</v>
      </c>
      <c r="S147" s="102">
        <f t="shared" si="34"/>
        <v>0</v>
      </c>
      <c r="T147" s="21">
        <f>VLOOKUP($A147,'2022-23 Salary &amp; Benefits'!$A:$I,5,FALSE)</f>
        <v>68937</v>
      </c>
      <c r="U147" s="21">
        <f>VLOOKUP($A147,'2022-23 Salary &amp; Benefits'!$A:$I,6,FALSE)</f>
        <v>72728</v>
      </c>
      <c r="V147" s="22">
        <f t="shared" si="35"/>
        <v>0</v>
      </c>
      <c r="W147" s="22">
        <f t="shared" si="36"/>
        <v>0</v>
      </c>
      <c r="X147" s="22">
        <f>'2022-23 Salary &amp; Benefits'!$G$6</f>
        <v>12558.24</v>
      </c>
      <c r="Y147" s="23">
        <f>'2022-23 Salary &amp; Benefits'!$H$6</f>
        <v>0.2298</v>
      </c>
      <c r="Z147" s="23">
        <f>'2022-23 Salary &amp; Benefits'!$I$6</f>
        <v>0.22339999999999999</v>
      </c>
      <c r="AA147" s="22">
        <f t="shared" si="37"/>
        <v>0</v>
      </c>
      <c r="AB147" s="22">
        <f t="shared" si="38"/>
        <v>0</v>
      </c>
      <c r="AC147" s="22">
        <f t="shared" si="39"/>
        <v>0</v>
      </c>
      <c r="AD147" s="22">
        <f t="shared" si="29"/>
        <v>0</v>
      </c>
      <c r="AE147" s="22">
        <f t="shared" si="30"/>
        <v>0</v>
      </c>
      <c r="AF147" s="19" t="str">
        <f>VLOOKUP(C147,'2021-22 School Level AAFTE'!C:N,12,FALSE)</f>
        <v>No</v>
      </c>
    </row>
    <row r="148" spans="1:32" s="19" customFormat="1">
      <c r="A148" s="97" t="s">
        <v>2532</v>
      </c>
      <c r="B148" s="97" t="s">
        <v>2064</v>
      </c>
      <c r="C148" s="95">
        <v>4571</v>
      </c>
      <c r="D148" s="95" t="s">
        <v>2083</v>
      </c>
      <c r="E148" s="129">
        <f>VLOOKUP($C148,'2021-22 School Level AAFTE'!$C:$Z,11,FALSE)</f>
        <v>0.29546666666666666</v>
      </c>
      <c r="F148" s="129" t="str">
        <f>VLOOKUP($C148,'2021-22 School Level AAFTE'!$C:$Z,8,FALSE)</f>
        <v>No</v>
      </c>
      <c r="G148" s="129" t="str">
        <f>VLOOKUP($C148,'2021-22 School Level AAFTE'!$C:$Z,12,FALSE)</f>
        <v>No</v>
      </c>
      <c r="H148" s="127">
        <f>VLOOKUP($C148,'2021-22 School Level AAFTE'!$C:$I,7,FALSE)</f>
        <v>345.07</v>
      </c>
      <c r="I148" s="112">
        <f>IFERROR(IF(OR(G148="yes",F148= "yes"),VLOOKUP(C148,Summary!$B:$J,6,0),0),0)</f>
        <v>0</v>
      </c>
      <c r="J148" s="111">
        <f t="shared" si="33"/>
        <v>0</v>
      </c>
      <c r="K148" s="91">
        <f>VLOOKUP($A148,'2022-23 Salary &amp; Benefits'!$A:$I,3,FALSE)</f>
        <v>1.0900000000000001</v>
      </c>
      <c r="L148" s="91">
        <f>VLOOKUP($A148,'2022-23 Salary &amp; Benefits'!$A:$I,4,FALSE)</f>
        <v>1.0900000000000001</v>
      </c>
      <c r="M148" s="101">
        <f t="shared" si="28"/>
        <v>0</v>
      </c>
      <c r="N148" s="24">
        <v>15</v>
      </c>
      <c r="O148" s="26">
        <f t="shared" si="31"/>
        <v>0</v>
      </c>
      <c r="P148" s="24">
        <v>1.1000000000000001</v>
      </c>
      <c r="Q148" s="24">
        <v>36</v>
      </c>
      <c r="R148" s="27">
        <f t="shared" si="32"/>
        <v>0</v>
      </c>
      <c r="S148" s="102">
        <f t="shared" si="34"/>
        <v>0</v>
      </c>
      <c r="T148" s="21">
        <f>VLOOKUP($A148,'2022-23 Salary &amp; Benefits'!$A:$I,5,FALSE)</f>
        <v>68937</v>
      </c>
      <c r="U148" s="21">
        <f>VLOOKUP($A148,'2022-23 Salary &amp; Benefits'!$A:$I,6,FALSE)</f>
        <v>72728</v>
      </c>
      <c r="V148" s="22">
        <f t="shared" si="35"/>
        <v>0</v>
      </c>
      <c r="W148" s="22">
        <f t="shared" si="36"/>
        <v>0</v>
      </c>
      <c r="X148" s="22">
        <f>'2022-23 Salary &amp; Benefits'!$G$6</f>
        <v>12558.24</v>
      </c>
      <c r="Y148" s="23">
        <f>'2022-23 Salary &amp; Benefits'!$H$6</f>
        <v>0.2298</v>
      </c>
      <c r="Z148" s="23">
        <f>'2022-23 Salary &amp; Benefits'!$I$6</f>
        <v>0.22339999999999999</v>
      </c>
      <c r="AA148" s="22">
        <f t="shared" si="37"/>
        <v>0</v>
      </c>
      <c r="AB148" s="22">
        <f t="shared" si="38"/>
        <v>0</v>
      </c>
      <c r="AC148" s="22">
        <f t="shared" si="39"/>
        <v>0</v>
      </c>
      <c r="AD148" s="22">
        <f t="shared" si="29"/>
        <v>0</v>
      </c>
      <c r="AE148" s="22">
        <f t="shared" si="30"/>
        <v>0</v>
      </c>
      <c r="AF148" s="19" t="str">
        <f>VLOOKUP(C148,'2021-22 School Level AAFTE'!C:N,12,FALSE)</f>
        <v>No</v>
      </c>
    </row>
    <row r="149" spans="1:32" s="19" customFormat="1">
      <c r="A149" s="97" t="s">
        <v>2532</v>
      </c>
      <c r="B149" s="97" t="s">
        <v>2064</v>
      </c>
      <c r="C149" s="95">
        <v>5125</v>
      </c>
      <c r="D149" s="95" t="s">
        <v>2084</v>
      </c>
      <c r="E149" s="129">
        <f>VLOOKUP($C149,'2021-22 School Level AAFTE'!$C:$Z,11,FALSE)</f>
        <v>0.17666666666666667</v>
      </c>
      <c r="F149" s="129" t="str">
        <f>VLOOKUP($C149,'2021-22 School Level AAFTE'!$C:$Z,8,FALSE)</f>
        <v>No</v>
      </c>
      <c r="G149" s="129" t="str">
        <f>VLOOKUP($C149,'2021-22 School Level AAFTE'!$C:$Z,12,FALSE)</f>
        <v>No</v>
      </c>
      <c r="H149" s="127">
        <f>VLOOKUP($C149,'2021-22 School Level AAFTE'!$C:$I,7,FALSE)</f>
        <v>349.02</v>
      </c>
      <c r="I149" s="112">
        <f>IFERROR(IF(OR(G149="yes",F149= "yes"),VLOOKUP(C149,Summary!$B:$J,6,0),0),0)</f>
        <v>0</v>
      </c>
      <c r="J149" s="111">
        <f t="shared" si="33"/>
        <v>0</v>
      </c>
      <c r="K149" s="91">
        <f>VLOOKUP($A149,'2022-23 Salary &amp; Benefits'!$A:$I,3,FALSE)</f>
        <v>1.0900000000000001</v>
      </c>
      <c r="L149" s="91">
        <f>VLOOKUP($A149,'2022-23 Salary &amp; Benefits'!$A:$I,4,FALSE)</f>
        <v>1.0900000000000001</v>
      </c>
      <c r="M149" s="39">
        <f t="shared" si="28"/>
        <v>0</v>
      </c>
      <c r="N149" s="24">
        <v>15</v>
      </c>
      <c r="O149" s="26">
        <f t="shared" si="31"/>
        <v>0</v>
      </c>
      <c r="P149" s="24">
        <v>1.1000000000000001</v>
      </c>
      <c r="Q149" s="24">
        <v>36</v>
      </c>
      <c r="R149" s="27">
        <f t="shared" si="32"/>
        <v>0</v>
      </c>
      <c r="S149" s="102">
        <f t="shared" si="34"/>
        <v>0</v>
      </c>
      <c r="T149" s="21">
        <f>VLOOKUP($A149,'2022-23 Salary &amp; Benefits'!$A:$I,5,FALSE)</f>
        <v>68937</v>
      </c>
      <c r="U149" s="21">
        <f>VLOOKUP($A149,'2022-23 Salary &amp; Benefits'!$A:$I,6,FALSE)</f>
        <v>72728</v>
      </c>
      <c r="V149" s="22">
        <f t="shared" si="35"/>
        <v>0</v>
      </c>
      <c r="W149" s="22">
        <f t="shared" si="36"/>
        <v>0</v>
      </c>
      <c r="X149" s="22">
        <f>'2022-23 Salary &amp; Benefits'!$G$6</f>
        <v>12558.24</v>
      </c>
      <c r="Y149" s="23">
        <f>'2022-23 Salary &amp; Benefits'!$H$6</f>
        <v>0.2298</v>
      </c>
      <c r="Z149" s="23">
        <f>'2022-23 Salary &amp; Benefits'!$I$6</f>
        <v>0.22339999999999999</v>
      </c>
      <c r="AA149" s="22">
        <f t="shared" si="37"/>
        <v>0</v>
      </c>
      <c r="AB149" s="22">
        <f t="shared" si="38"/>
        <v>0</v>
      </c>
      <c r="AC149" s="22">
        <f t="shared" si="39"/>
        <v>0</v>
      </c>
      <c r="AD149" s="22">
        <f t="shared" si="29"/>
        <v>0</v>
      </c>
      <c r="AE149" s="22">
        <f t="shared" si="30"/>
        <v>0</v>
      </c>
      <c r="AF149" s="19" t="str">
        <f>VLOOKUP(C149,'2021-22 School Level AAFTE'!C:N,12,FALSE)</f>
        <v>No</v>
      </c>
    </row>
    <row r="150" spans="1:32" s="19" customFormat="1">
      <c r="A150" s="97" t="s">
        <v>2532</v>
      </c>
      <c r="B150" s="97" t="s">
        <v>2064</v>
      </c>
      <c r="C150" s="95">
        <v>5239</v>
      </c>
      <c r="D150" s="95" t="s">
        <v>2085</v>
      </c>
      <c r="E150" s="129">
        <f>VLOOKUP($C150,'2021-22 School Level AAFTE'!$C:$Z,11,FALSE)</f>
        <v>0.61306666666666665</v>
      </c>
      <c r="F150" s="129" t="str">
        <f>VLOOKUP($C150,'2021-22 School Level AAFTE'!$C:$Z,8,FALSE)</f>
        <v>Yes</v>
      </c>
      <c r="G150" s="129" t="str">
        <f>VLOOKUP($C150,'2021-22 School Level AAFTE'!$C:$Z,12,FALSE)</f>
        <v>No</v>
      </c>
      <c r="H150" s="127">
        <f>VLOOKUP($C150,'2021-22 School Level AAFTE'!$C:$I,7,FALSE)</f>
        <v>331.57</v>
      </c>
      <c r="I150" s="112">
        <f>IFERROR(IF(OR(G150="yes",F150= "yes"),VLOOKUP(C150,Summary!$B:$J,6,0),0),0)</f>
        <v>0</v>
      </c>
      <c r="J150" s="111">
        <f t="shared" si="33"/>
        <v>331.57</v>
      </c>
      <c r="K150" s="91">
        <f>VLOOKUP($A150,'2022-23 Salary &amp; Benefits'!$A:$I,3,FALSE)</f>
        <v>1.0900000000000001</v>
      </c>
      <c r="L150" s="91">
        <f>VLOOKUP($A150,'2022-23 Salary &amp; Benefits'!$A:$I,4,FALSE)</f>
        <v>1.0900000000000001</v>
      </c>
      <c r="M150" s="39">
        <f t="shared" si="28"/>
        <v>331.57</v>
      </c>
      <c r="N150" s="24">
        <v>15</v>
      </c>
      <c r="O150" s="26">
        <f t="shared" si="31"/>
        <v>22.104666666666667</v>
      </c>
      <c r="P150" s="24">
        <v>1.1000000000000001</v>
      </c>
      <c r="Q150" s="24">
        <v>36</v>
      </c>
      <c r="R150" s="27">
        <f t="shared" si="32"/>
        <v>875.34480000000008</v>
      </c>
      <c r="S150" s="102">
        <f t="shared" si="34"/>
        <v>0.97299999999999998</v>
      </c>
      <c r="T150" s="21">
        <f>VLOOKUP($A150,'2022-23 Salary &amp; Benefits'!$A:$I,5,FALSE)</f>
        <v>68937</v>
      </c>
      <c r="U150" s="21">
        <f>VLOOKUP($A150,'2022-23 Salary &amp; Benefits'!$A:$I,6,FALSE)</f>
        <v>72728</v>
      </c>
      <c r="V150" s="22">
        <f t="shared" si="35"/>
        <v>73112.509999999995</v>
      </c>
      <c r="W150" s="22">
        <f t="shared" si="36"/>
        <v>4020.6200000000099</v>
      </c>
      <c r="X150" s="22">
        <f>'2022-23 Salary &amp; Benefits'!$G$6</f>
        <v>12558.24</v>
      </c>
      <c r="Y150" s="23">
        <f>'2022-23 Salary &amp; Benefits'!$H$6</f>
        <v>0.2298</v>
      </c>
      <c r="Z150" s="23">
        <f>'2022-23 Salary &amp; Benefits'!$I$6</f>
        <v>0.22339999999999999</v>
      </c>
      <c r="AA150" s="22">
        <f t="shared" si="37"/>
        <v>29918.63</v>
      </c>
      <c r="AB150" s="22">
        <f t="shared" si="38"/>
        <v>1285.55</v>
      </c>
      <c r="AC150" s="22">
        <f t="shared" si="39"/>
        <v>287.19</v>
      </c>
      <c r="AD150" s="22">
        <f t="shared" si="29"/>
        <v>1572.74</v>
      </c>
      <c r="AE150" s="22">
        <f t="shared" si="30"/>
        <v>108624.50000000001</v>
      </c>
      <c r="AF150" s="19" t="str">
        <f>VLOOKUP(C150,'2021-22 School Level AAFTE'!C:N,12,FALSE)</f>
        <v>No</v>
      </c>
    </row>
    <row r="151" spans="1:32" s="19" customFormat="1">
      <c r="A151" s="97" t="s">
        <v>2532</v>
      </c>
      <c r="B151" s="97" t="s">
        <v>2064</v>
      </c>
      <c r="C151" s="95">
        <v>5340</v>
      </c>
      <c r="D151" s="95" t="s">
        <v>2086</v>
      </c>
      <c r="E151" s="129">
        <f>VLOOKUP($C151,'2021-22 School Level AAFTE'!$C:$Z,11,FALSE)</f>
        <v>0.29673333333333335</v>
      </c>
      <c r="F151" s="129" t="str">
        <f>VLOOKUP($C151,'2021-22 School Level AAFTE'!$C:$Z,8,FALSE)</f>
        <v>No</v>
      </c>
      <c r="G151" s="129" t="str">
        <f>VLOOKUP($C151,'2021-22 School Level AAFTE'!$C:$Z,12,FALSE)</f>
        <v>No</v>
      </c>
      <c r="H151" s="127">
        <f>VLOOKUP($C151,'2021-22 School Level AAFTE'!$C:$I,7,FALSE)</f>
        <v>74.850000000000009</v>
      </c>
      <c r="I151" s="112">
        <f>IFERROR(IF(OR(G151="yes",F151= "yes"),VLOOKUP(C151,Summary!$B:$J,6,0),0),0)</f>
        <v>0</v>
      </c>
      <c r="J151" s="111">
        <f t="shared" si="33"/>
        <v>0</v>
      </c>
      <c r="K151" s="91">
        <f>VLOOKUP($A151,'2022-23 Salary &amp; Benefits'!$A:$I,3,FALSE)</f>
        <v>1.0900000000000001</v>
      </c>
      <c r="L151" s="91">
        <f>VLOOKUP($A151,'2022-23 Salary &amp; Benefits'!$A:$I,4,FALSE)</f>
        <v>1.0900000000000001</v>
      </c>
      <c r="M151" s="39">
        <f t="shared" si="28"/>
        <v>0</v>
      </c>
      <c r="N151" s="24">
        <v>15</v>
      </c>
      <c r="O151" s="26">
        <f t="shared" si="31"/>
        <v>0</v>
      </c>
      <c r="P151" s="24">
        <v>1.1000000000000001</v>
      </c>
      <c r="Q151" s="24">
        <v>36</v>
      </c>
      <c r="R151" s="27">
        <f t="shared" si="32"/>
        <v>0</v>
      </c>
      <c r="S151" s="102">
        <f t="shared" si="34"/>
        <v>0</v>
      </c>
      <c r="T151" s="21">
        <f>VLOOKUP($A151,'2022-23 Salary &amp; Benefits'!$A:$I,5,FALSE)</f>
        <v>68937</v>
      </c>
      <c r="U151" s="21">
        <f>VLOOKUP($A151,'2022-23 Salary &amp; Benefits'!$A:$I,6,FALSE)</f>
        <v>72728</v>
      </c>
      <c r="V151" s="22">
        <f t="shared" si="35"/>
        <v>0</v>
      </c>
      <c r="W151" s="22">
        <f t="shared" si="36"/>
        <v>0</v>
      </c>
      <c r="X151" s="22">
        <f>'2022-23 Salary &amp; Benefits'!$G$6</f>
        <v>12558.24</v>
      </c>
      <c r="Y151" s="23">
        <f>'2022-23 Salary &amp; Benefits'!$H$6</f>
        <v>0.2298</v>
      </c>
      <c r="Z151" s="23">
        <f>'2022-23 Salary &amp; Benefits'!$I$6</f>
        <v>0.22339999999999999</v>
      </c>
      <c r="AA151" s="22">
        <f t="shared" si="37"/>
        <v>0</v>
      </c>
      <c r="AB151" s="22">
        <f t="shared" si="38"/>
        <v>0</v>
      </c>
      <c r="AC151" s="22">
        <f t="shared" si="39"/>
        <v>0</v>
      </c>
      <c r="AD151" s="22">
        <f t="shared" si="29"/>
        <v>0</v>
      </c>
      <c r="AE151" s="22">
        <f t="shared" si="30"/>
        <v>0</v>
      </c>
      <c r="AF151" s="19" t="str">
        <f>VLOOKUP(C151,'2021-22 School Level AAFTE'!C:N,12,FALSE)</f>
        <v>No</v>
      </c>
    </row>
    <row r="152" spans="1:32" s="19" customFormat="1">
      <c r="A152" s="97" t="s">
        <v>2532</v>
      </c>
      <c r="B152" s="97" t="s">
        <v>2064</v>
      </c>
      <c r="C152" s="95">
        <v>5366</v>
      </c>
      <c r="D152" s="95" t="s">
        <v>2087</v>
      </c>
      <c r="E152" s="129">
        <f>VLOOKUP($C152,'2021-22 School Level AAFTE'!$C:$Z,11,FALSE)</f>
        <v>0.11706666666666667</v>
      </c>
      <c r="F152" s="129" t="str">
        <f>VLOOKUP($C152,'2021-22 School Level AAFTE'!$C:$Z,8,FALSE)</f>
        <v>No</v>
      </c>
      <c r="G152" s="129" t="str">
        <f>VLOOKUP($C152,'2021-22 School Level AAFTE'!$C:$Z,12,FALSE)</f>
        <v>No</v>
      </c>
      <c r="H152" s="127">
        <f>VLOOKUP($C152,'2021-22 School Level AAFTE'!$C:$I,7,FALSE)</f>
        <v>415.88</v>
      </c>
      <c r="I152" s="112">
        <f>IFERROR(IF(OR(G152="yes",F152= "yes"),VLOOKUP(C152,Summary!$B:$J,6,0),0),0)</f>
        <v>0</v>
      </c>
      <c r="J152" s="111">
        <f t="shared" si="33"/>
        <v>0</v>
      </c>
      <c r="K152" s="91">
        <f>VLOOKUP($A152,'2022-23 Salary &amp; Benefits'!$A:$I,3,FALSE)</f>
        <v>1.0900000000000001</v>
      </c>
      <c r="L152" s="91">
        <f>VLOOKUP($A152,'2022-23 Salary &amp; Benefits'!$A:$I,4,FALSE)</f>
        <v>1.0900000000000001</v>
      </c>
      <c r="M152" s="101">
        <f t="shared" si="28"/>
        <v>0</v>
      </c>
      <c r="N152" s="24">
        <v>15</v>
      </c>
      <c r="O152" s="26">
        <f t="shared" si="31"/>
        <v>0</v>
      </c>
      <c r="P152" s="24">
        <v>1.1000000000000001</v>
      </c>
      <c r="Q152" s="24">
        <v>36</v>
      </c>
      <c r="R152" s="27">
        <f t="shared" si="32"/>
        <v>0</v>
      </c>
      <c r="S152" s="102">
        <f t="shared" si="34"/>
        <v>0</v>
      </c>
      <c r="T152" s="21">
        <f>VLOOKUP($A152,'2022-23 Salary &amp; Benefits'!$A:$I,5,FALSE)</f>
        <v>68937</v>
      </c>
      <c r="U152" s="21">
        <f>VLOOKUP($A152,'2022-23 Salary &amp; Benefits'!$A:$I,6,FALSE)</f>
        <v>72728</v>
      </c>
      <c r="V152" s="22">
        <f t="shared" si="35"/>
        <v>0</v>
      </c>
      <c r="W152" s="22">
        <f t="shared" si="36"/>
        <v>0</v>
      </c>
      <c r="X152" s="22">
        <f>'2022-23 Salary &amp; Benefits'!$G$6</f>
        <v>12558.24</v>
      </c>
      <c r="Y152" s="23">
        <f>'2022-23 Salary &amp; Benefits'!$H$6</f>
        <v>0.2298</v>
      </c>
      <c r="Z152" s="23">
        <f>'2022-23 Salary &amp; Benefits'!$I$6</f>
        <v>0.22339999999999999</v>
      </c>
      <c r="AA152" s="22">
        <f t="shared" si="37"/>
        <v>0</v>
      </c>
      <c r="AB152" s="22">
        <f t="shared" si="38"/>
        <v>0</v>
      </c>
      <c r="AC152" s="22">
        <f t="shared" si="39"/>
        <v>0</v>
      </c>
      <c r="AD152" s="22">
        <f t="shared" si="29"/>
        <v>0</v>
      </c>
      <c r="AE152" s="22">
        <f t="shared" si="30"/>
        <v>0</v>
      </c>
      <c r="AF152" s="19" t="str">
        <f>VLOOKUP(C152,'2021-22 School Level AAFTE'!C:N,12,FALSE)</f>
        <v>No</v>
      </c>
    </row>
    <row r="153" spans="1:32" s="19" customFormat="1">
      <c r="A153" s="97" t="s">
        <v>2258</v>
      </c>
      <c r="B153" s="97" t="s">
        <v>2</v>
      </c>
      <c r="C153" s="95">
        <v>3142</v>
      </c>
      <c r="D153" s="95" t="s">
        <v>3</v>
      </c>
      <c r="E153" s="129">
        <f>VLOOKUP($C153,'2021-22 School Level AAFTE'!$C:$Z,11,FALSE)</f>
        <v>0.10920000000000001</v>
      </c>
      <c r="F153" s="129" t="str">
        <f>VLOOKUP($C153,'2021-22 School Level AAFTE'!$C:$Z,8,FALSE)</f>
        <v>No</v>
      </c>
      <c r="G153" s="129" t="str">
        <f>VLOOKUP($C153,'2021-22 School Level AAFTE'!$C:$Z,12,FALSE)</f>
        <v>No</v>
      </c>
      <c r="H153" s="127">
        <f>VLOOKUP($C153,'2021-22 School Level AAFTE'!$C:$I,7,FALSE)</f>
        <v>11.57</v>
      </c>
      <c r="I153" s="112">
        <f>IFERROR(IF(OR(G153="yes",F153= "yes"),VLOOKUP(C153,Summary!$B:$J,6,0),0),0)</f>
        <v>0</v>
      </c>
      <c r="J153" s="111">
        <f t="shared" si="33"/>
        <v>0</v>
      </c>
      <c r="K153" s="91">
        <f>VLOOKUP($A153,'2022-23 Salary &amp; Benefits'!$A:$I,3,FALSE)</f>
        <v>1</v>
      </c>
      <c r="L153" s="91">
        <f>VLOOKUP($A153,'2022-23 Salary &amp; Benefits'!$A:$I,4,FALSE)</f>
        <v>1</v>
      </c>
      <c r="M153" s="39">
        <f t="shared" si="28"/>
        <v>0</v>
      </c>
      <c r="N153" s="24">
        <v>15</v>
      </c>
      <c r="O153" s="26">
        <f t="shared" si="31"/>
        <v>0</v>
      </c>
      <c r="P153" s="24">
        <v>1.1000000000000001</v>
      </c>
      <c r="Q153" s="24">
        <v>36</v>
      </c>
      <c r="R153" s="27">
        <f t="shared" si="32"/>
        <v>0</v>
      </c>
      <c r="S153" s="102">
        <f t="shared" si="34"/>
        <v>0</v>
      </c>
      <c r="T153" s="21">
        <f>VLOOKUP($A153,'2022-23 Salary &amp; Benefits'!$A:$I,5,FALSE)</f>
        <v>68937</v>
      </c>
      <c r="U153" s="21">
        <f>VLOOKUP($A153,'2022-23 Salary &amp; Benefits'!$A:$I,6,FALSE)</f>
        <v>72728</v>
      </c>
      <c r="V153" s="22">
        <f t="shared" si="35"/>
        <v>0</v>
      </c>
      <c r="W153" s="22">
        <f t="shared" si="36"/>
        <v>0</v>
      </c>
      <c r="X153" s="22">
        <f>'2022-23 Salary &amp; Benefits'!$G$6</f>
        <v>12558.24</v>
      </c>
      <c r="Y153" s="23">
        <f>'2022-23 Salary &amp; Benefits'!$H$6</f>
        <v>0.2298</v>
      </c>
      <c r="Z153" s="23">
        <f>'2022-23 Salary &amp; Benefits'!$I$6</f>
        <v>0.22339999999999999</v>
      </c>
      <c r="AA153" s="22">
        <f t="shared" si="37"/>
        <v>0</v>
      </c>
      <c r="AB153" s="22">
        <f t="shared" si="38"/>
        <v>0</v>
      </c>
      <c r="AC153" s="22">
        <f t="shared" si="39"/>
        <v>0</v>
      </c>
      <c r="AD153" s="22">
        <f t="shared" si="29"/>
        <v>0</v>
      </c>
      <c r="AE153" s="22">
        <f t="shared" si="30"/>
        <v>0</v>
      </c>
      <c r="AF153" s="19" t="str">
        <f>VLOOKUP(C153,'2021-22 School Level AAFTE'!C:N,12,FALSE)</f>
        <v>No</v>
      </c>
    </row>
    <row r="154" spans="1:32" s="19" customFormat="1">
      <c r="A154" s="97" t="s">
        <v>2449</v>
      </c>
      <c r="B154" s="97" t="s">
        <v>1473</v>
      </c>
      <c r="C154" s="95">
        <v>1510</v>
      </c>
      <c r="D154" s="95" t="s">
        <v>1474</v>
      </c>
      <c r="E154" s="129">
        <f>VLOOKUP($C154,'2021-22 School Level AAFTE'!$C:$Z,11,FALSE)</f>
        <v>0.60566666666666669</v>
      </c>
      <c r="F154" s="129" t="str">
        <f>VLOOKUP($C154,'2021-22 School Level AAFTE'!$C:$Z,8,FALSE)</f>
        <v>Yes</v>
      </c>
      <c r="G154" s="129" t="str">
        <f>VLOOKUP($C154,'2021-22 School Level AAFTE'!$C:$Z,12,FALSE)</f>
        <v>No</v>
      </c>
      <c r="H154" s="127">
        <f>VLOOKUP($C154,'2021-22 School Level AAFTE'!$C:$I,7,FALSE)</f>
        <v>255.09</v>
      </c>
      <c r="I154" s="112">
        <f>IFERROR(IF(OR(G154="yes",F154= "yes"),VLOOKUP(C154,Summary!$B:$J,6,0),0),0)</f>
        <v>0</v>
      </c>
      <c r="J154" s="111">
        <f t="shared" si="33"/>
        <v>255.09</v>
      </c>
      <c r="K154" s="91">
        <f>VLOOKUP($A154,'2022-23 Salary &amp; Benefits'!$A:$I,3,FALSE)</f>
        <v>1</v>
      </c>
      <c r="L154" s="91">
        <f>VLOOKUP($A154,'2022-23 Salary &amp; Benefits'!$A:$I,4,FALSE)</f>
        <v>1</v>
      </c>
      <c r="M154" s="39">
        <f t="shared" si="28"/>
        <v>255.09</v>
      </c>
      <c r="N154" s="24">
        <v>15</v>
      </c>
      <c r="O154" s="26">
        <f t="shared" si="31"/>
        <v>17.006</v>
      </c>
      <c r="P154" s="24">
        <v>1.1000000000000001</v>
      </c>
      <c r="Q154" s="24">
        <v>36</v>
      </c>
      <c r="R154" s="27">
        <f t="shared" si="32"/>
        <v>673.43760000000009</v>
      </c>
      <c r="S154" s="102">
        <f t="shared" si="34"/>
        <v>0.748</v>
      </c>
      <c r="T154" s="21">
        <f>VLOOKUP($A154,'2022-23 Salary &amp; Benefits'!$A:$I,5,FALSE)</f>
        <v>68937</v>
      </c>
      <c r="U154" s="21">
        <f>VLOOKUP($A154,'2022-23 Salary &amp; Benefits'!$A:$I,6,FALSE)</f>
        <v>72728</v>
      </c>
      <c r="V154" s="22">
        <f t="shared" si="35"/>
        <v>51564.88</v>
      </c>
      <c r="W154" s="22">
        <f t="shared" si="36"/>
        <v>2835.6600000000035</v>
      </c>
      <c r="X154" s="22">
        <f>'2022-23 Salary &amp; Benefits'!$G$6</f>
        <v>12558.24</v>
      </c>
      <c r="Y154" s="23">
        <f>'2022-23 Salary &amp; Benefits'!$H$6</f>
        <v>0.2298</v>
      </c>
      <c r="Z154" s="23">
        <f>'2022-23 Salary &amp; Benefits'!$I$6</f>
        <v>0.22339999999999999</v>
      </c>
      <c r="AA154" s="22">
        <f t="shared" si="37"/>
        <v>21876.66</v>
      </c>
      <c r="AB154" s="22">
        <f t="shared" si="38"/>
        <v>906.68</v>
      </c>
      <c r="AC154" s="22">
        <f t="shared" si="39"/>
        <v>202.55</v>
      </c>
      <c r="AD154" s="22">
        <f t="shared" si="29"/>
        <v>1109.23</v>
      </c>
      <c r="AE154" s="22">
        <f t="shared" si="30"/>
        <v>77386.429999999993</v>
      </c>
      <c r="AF154" s="19" t="str">
        <f>VLOOKUP(C154,'2021-22 School Level AAFTE'!C:N,12,FALSE)</f>
        <v>No</v>
      </c>
    </row>
    <row r="155" spans="1:32" s="19" customFormat="1">
      <c r="A155" s="97" t="s">
        <v>2449</v>
      </c>
      <c r="B155" s="97" t="s">
        <v>1473</v>
      </c>
      <c r="C155" s="95">
        <v>1560</v>
      </c>
      <c r="D155" s="95" t="s">
        <v>3002</v>
      </c>
      <c r="E155" s="129">
        <f>VLOOKUP($C155,'2021-22 School Level AAFTE'!$C:$Z,11,FALSE)</f>
        <v>0.43240000000000001</v>
      </c>
      <c r="F155" s="129" t="str">
        <f>VLOOKUP($C155,'2021-22 School Level AAFTE'!$C:$Z,8,FALSE)</f>
        <v>No</v>
      </c>
      <c r="G155" s="129" t="str">
        <f>VLOOKUP($C155,'2021-22 School Level AAFTE'!$C:$Z,12,FALSE)</f>
        <v>No</v>
      </c>
      <c r="H155" s="127">
        <f>VLOOKUP($C155,'2021-22 School Level AAFTE'!$C:$I,7,FALSE)</f>
        <v>38.43</v>
      </c>
      <c r="I155" s="112">
        <f>IFERROR(IF(OR(G155="yes",F155= "yes"),VLOOKUP(C155,Summary!$B:$J,6,0),0),0)</f>
        <v>0</v>
      </c>
      <c r="J155" s="111">
        <f t="shared" si="33"/>
        <v>0</v>
      </c>
      <c r="K155" s="91">
        <f>VLOOKUP($A155,'2022-23 Salary &amp; Benefits'!$A:$I,3,FALSE)</f>
        <v>1</v>
      </c>
      <c r="L155" s="91">
        <f>VLOOKUP($A155,'2022-23 Salary &amp; Benefits'!$A:$I,4,FALSE)</f>
        <v>1</v>
      </c>
      <c r="M155" s="101">
        <f t="shared" si="28"/>
        <v>0</v>
      </c>
      <c r="N155" s="24">
        <v>15</v>
      </c>
      <c r="O155" s="26">
        <f t="shared" si="31"/>
        <v>0</v>
      </c>
      <c r="P155" s="24">
        <v>1.1000000000000001</v>
      </c>
      <c r="Q155" s="24">
        <v>36</v>
      </c>
      <c r="R155" s="27">
        <f t="shared" si="32"/>
        <v>0</v>
      </c>
      <c r="S155" s="102">
        <f t="shared" si="34"/>
        <v>0</v>
      </c>
      <c r="T155" s="21">
        <f>VLOOKUP($A155,'2022-23 Salary &amp; Benefits'!$A:$I,5,FALSE)</f>
        <v>68937</v>
      </c>
      <c r="U155" s="21">
        <f>VLOOKUP($A155,'2022-23 Salary &amp; Benefits'!$A:$I,6,FALSE)</f>
        <v>72728</v>
      </c>
      <c r="V155" s="22">
        <f t="shared" si="35"/>
        <v>0</v>
      </c>
      <c r="W155" s="22">
        <f t="shared" si="36"/>
        <v>0</v>
      </c>
      <c r="X155" s="22">
        <f>'2022-23 Salary &amp; Benefits'!$G$6</f>
        <v>12558.24</v>
      </c>
      <c r="Y155" s="23">
        <f>'2022-23 Salary &amp; Benefits'!$H$6</f>
        <v>0.2298</v>
      </c>
      <c r="Z155" s="23">
        <f>'2022-23 Salary &amp; Benefits'!$I$6</f>
        <v>0.22339999999999999</v>
      </c>
      <c r="AA155" s="22">
        <f t="shared" si="37"/>
        <v>0</v>
      </c>
      <c r="AB155" s="22">
        <f t="shared" si="38"/>
        <v>0</v>
      </c>
      <c r="AC155" s="22">
        <f t="shared" si="39"/>
        <v>0</v>
      </c>
      <c r="AD155" s="22">
        <f t="shared" si="29"/>
        <v>0</v>
      </c>
      <c r="AE155" s="22">
        <f t="shared" si="30"/>
        <v>0</v>
      </c>
      <c r="AF155" s="19" t="str">
        <f>VLOOKUP(C155,'2021-22 School Level AAFTE'!C:N,12,FALSE)</f>
        <v>No</v>
      </c>
    </row>
    <row r="156" spans="1:32" s="19" customFormat="1">
      <c r="A156" s="97" t="s">
        <v>2449</v>
      </c>
      <c r="B156" s="97" t="s">
        <v>1473</v>
      </c>
      <c r="C156" s="95">
        <v>2399</v>
      </c>
      <c r="D156" s="95" t="s">
        <v>1475</v>
      </c>
      <c r="E156" s="129">
        <f>VLOOKUP($C156,'2021-22 School Level AAFTE'!$C:$Z,11,FALSE)</f>
        <v>0.60780000000000001</v>
      </c>
      <c r="F156" s="129" t="str">
        <f>VLOOKUP($C156,'2021-22 School Level AAFTE'!$C:$Z,8,FALSE)</f>
        <v>Yes</v>
      </c>
      <c r="G156" s="129" t="str">
        <f>VLOOKUP($C156,'2021-22 School Level AAFTE'!$C:$Z,12,FALSE)</f>
        <v>No</v>
      </c>
      <c r="H156" s="127">
        <f>VLOOKUP($C156,'2021-22 School Level AAFTE'!$C:$I,7,FALSE)</f>
        <v>351.14</v>
      </c>
      <c r="I156" s="112">
        <f>IFERROR(IF(OR(G156="yes",F156= "yes"),VLOOKUP(C156,Summary!$B:$J,6,0),0),0)</f>
        <v>0</v>
      </c>
      <c r="J156" s="111">
        <f t="shared" si="33"/>
        <v>351.14</v>
      </c>
      <c r="K156" s="91">
        <f>VLOOKUP($A156,'2022-23 Salary &amp; Benefits'!$A:$I,3,FALSE)</f>
        <v>1</v>
      </c>
      <c r="L156" s="91">
        <f>VLOOKUP($A156,'2022-23 Salary &amp; Benefits'!$A:$I,4,FALSE)</f>
        <v>1</v>
      </c>
      <c r="M156" s="39">
        <f t="shared" si="28"/>
        <v>351.14</v>
      </c>
      <c r="N156" s="24">
        <v>15</v>
      </c>
      <c r="O156" s="26">
        <f t="shared" si="31"/>
        <v>23.409333333333333</v>
      </c>
      <c r="P156" s="24">
        <v>1.1000000000000001</v>
      </c>
      <c r="Q156" s="24">
        <v>36</v>
      </c>
      <c r="R156" s="27">
        <f t="shared" si="32"/>
        <v>927.00960000000009</v>
      </c>
      <c r="S156" s="102">
        <f t="shared" si="34"/>
        <v>1.03</v>
      </c>
      <c r="T156" s="21">
        <f>VLOOKUP($A156,'2022-23 Salary &amp; Benefits'!$A:$I,5,FALSE)</f>
        <v>68937</v>
      </c>
      <c r="U156" s="21">
        <f>VLOOKUP($A156,'2022-23 Salary &amp; Benefits'!$A:$I,6,FALSE)</f>
        <v>72728</v>
      </c>
      <c r="V156" s="22">
        <f t="shared" si="35"/>
        <v>71005.11</v>
      </c>
      <c r="W156" s="22">
        <f t="shared" si="36"/>
        <v>3904.7299999999959</v>
      </c>
      <c r="X156" s="22">
        <f>'2022-23 Salary &amp; Benefits'!$G$6</f>
        <v>12558.24</v>
      </c>
      <c r="Y156" s="23">
        <f>'2022-23 Salary &amp; Benefits'!$H$6</f>
        <v>0.2298</v>
      </c>
      <c r="Z156" s="23">
        <f>'2022-23 Salary &amp; Benefits'!$I$6</f>
        <v>0.22339999999999999</v>
      </c>
      <c r="AA156" s="22">
        <f t="shared" si="37"/>
        <v>30124.28</v>
      </c>
      <c r="AB156" s="22">
        <f t="shared" si="38"/>
        <v>1248.5</v>
      </c>
      <c r="AC156" s="22">
        <f t="shared" si="39"/>
        <v>278.91000000000003</v>
      </c>
      <c r="AD156" s="22">
        <f t="shared" si="29"/>
        <v>1527.41</v>
      </c>
      <c r="AE156" s="22">
        <f t="shared" si="30"/>
        <v>106561.53</v>
      </c>
      <c r="AF156" s="19" t="str">
        <f>VLOOKUP(C156,'2021-22 School Level AAFTE'!C:N,12,FALSE)</f>
        <v>No</v>
      </c>
    </row>
    <row r="157" spans="1:32" s="19" customFormat="1">
      <c r="A157" s="97" t="s">
        <v>2449</v>
      </c>
      <c r="B157" s="97" t="s">
        <v>1473</v>
      </c>
      <c r="C157" s="95">
        <v>2543</v>
      </c>
      <c r="D157" s="95" t="s">
        <v>1476</v>
      </c>
      <c r="E157" s="129">
        <f>VLOOKUP($C157,'2021-22 School Level AAFTE'!$C:$Z,11,FALSE)</f>
        <v>0.53349999999999997</v>
      </c>
      <c r="F157" s="129" t="str">
        <f>VLOOKUP($C157,'2021-22 School Level AAFTE'!$C:$Z,8,FALSE)</f>
        <v>Yes</v>
      </c>
      <c r="G157" s="129" t="str">
        <f>VLOOKUP($C157,'2021-22 School Level AAFTE'!$C:$Z,12,FALSE)</f>
        <v>No</v>
      </c>
      <c r="H157" s="127">
        <f>VLOOKUP($C157,'2021-22 School Level AAFTE'!$C:$I,7,FALSE)</f>
        <v>284.86</v>
      </c>
      <c r="I157" s="112">
        <f>IFERROR(IF(OR(G157="yes",F157= "yes"),VLOOKUP(C157,Summary!$B:$J,6,0),0),0)</f>
        <v>0</v>
      </c>
      <c r="J157" s="111">
        <f t="shared" si="33"/>
        <v>284.86</v>
      </c>
      <c r="K157" s="91">
        <f>VLOOKUP($A157,'2022-23 Salary &amp; Benefits'!$A:$I,3,FALSE)</f>
        <v>1</v>
      </c>
      <c r="L157" s="91">
        <f>VLOOKUP($A157,'2022-23 Salary &amp; Benefits'!$A:$I,4,FALSE)</f>
        <v>1</v>
      </c>
      <c r="M157" s="101">
        <f t="shared" si="28"/>
        <v>284.86</v>
      </c>
      <c r="N157" s="24">
        <v>15</v>
      </c>
      <c r="O157" s="26">
        <f t="shared" si="31"/>
        <v>18.990666666666666</v>
      </c>
      <c r="P157" s="24">
        <v>1.1000000000000001</v>
      </c>
      <c r="Q157" s="24">
        <v>36</v>
      </c>
      <c r="R157" s="27">
        <f t="shared" si="32"/>
        <v>752.0304000000001</v>
      </c>
      <c r="S157" s="102">
        <f t="shared" si="34"/>
        <v>0.83599999999999997</v>
      </c>
      <c r="T157" s="21">
        <f>VLOOKUP($A157,'2022-23 Salary &amp; Benefits'!$A:$I,5,FALSE)</f>
        <v>68937</v>
      </c>
      <c r="U157" s="21">
        <f>VLOOKUP($A157,'2022-23 Salary &amp; Benefits'!$A:$I,6,FALSE)</f>
        <v>72728</v>
      </c>
      <c r="V157" s="22">
        <f t="shared" si="35"/>
        <v>57631.33</v>
      </c>
      <c r="W157" s="22">
        <f t="shared" si="36"/>
        <v>3169.2799999999988</v>
      </c>
      <c r="X157" s="22">
        <f>'2022-23 Salary &amp; Benefits'!$G$6</f>
        <v>12558.24</v>
      </c>
      <c r="Y157" s="23">
        <f>'2022-23 Salary &amp; Benefits'!$H$6</f>
        <v>0.2298</v>
      </c>
      <c r="Z157" s="23">
        <f>'2022-23 Salary &amp; Benefits'!$I$6</f>
        <v>0.22339999999999999</v>
      </c>
      <c r="AA157" s="22">
        <f t="shared" si="37"/>
        <v>24450.39</v>
      </c>
      <c r="AB157" s="22">
        <f t="shared" si="38"/>
        <v>1013.34</v>
      </c>
      <c r="AC157" s="22">
        <f t="shared" si="39"/>
        <v>226.38</v>
      </c>
      <c r="AD157" s="22">
        <f t="shared" si="29"/>
        <v>1239.72</v>
      </c>
      <c r="AE157" s="22">
        <f t="shared" si="30"/>
        <v>86490.72</v>
      </c>
      <c r="AF157" s="19" t="str">
        <f>VLOOKUP(C157,'2021-22 School Level AAFTE'!C:N,12,FALSE)</f>
        <v>No</v>
      </c>
    </row>
    <row r="158" spans="1:32" s="19" customFormat="1">
      <c r="A158" s="97" t="s">
        <v>2449</v>
      </c>
      <c r="B158" s="97" t="s">
        <v>1473</v>
      </c>
      <c r="C158" s="95">
        <v>2576</v>
      </c>
      <c r="D158" s="95" t="s">
        <v>1477</v>
      </c>
      <c r="E158" s="129">
        <f>VLOOKUP($C158,'2021-22 School Level AAFTE'!$C:$Z,11,FALSE)</f>
        <v>0.44819999999999999</v>
      </c>
      <c r="F158" s="129" t="str">
        <f>VLOOKUP($C158,'2021-22 School Level AAFTE'!$C:$Z,8,FALSE)</f>
        <v>No</v>
      </c>
      <c r="G158" s="129" t="str">
        <f>VLOOKUP($C158,'2021-22 School Level AAFTE'!$C:$Z,12,FALSE)</f>
        <v>No</v>
      </c>
      <c r="H158" s="127">
        <f>VLOOKUP($C158,'2021-22 School Level AAFTE'!$C:$I,7,FALSE)</f>
        <v>577.73</v>
      </c>
      <c r="I158" s="112">
        <f>IFERROR(IF(OR(G158="yes",F158= "yes"),VLOOKUP(C158,Summary!$B:$J,6,0),0),0)</f>
        <v>0</v>
      </c>
      <c r="J158" s="111">
        <f t="shared" si="33"/>
        <v>0</v>
      </c>
      <c r="K158" s="91">
        <f>VLOOKUP($A158,'2022-23 Salary &amp; Benefits'!$A:$I,3,FALSE)</f>
        <v>1</v>
      </c>
      <c r="L158" s="91">
        <f>VLOOKUP($A158,'2022-23 Salary &amp; Benefits'!$A:$I,4,FALSE)</f>
        <v>1</v>
      </c>
      <c r="M158" s="39">
        <f t="shared" si="28"/>
        <v>0</v>
      </c>
      <c r="N158" s="24">
        <v>15</v>
      </c>
      <c r="O158" s="26">
        <f t="shared" si="31"/>
        <v>0</v>
      </c>
      <c r="P158" s="24">
        <v>1.1000000000000001</v>
      </c>
      <c r="Q158" s="24">
        <v>36</v>
      </c>
      <c r="R158" s="27">
        <f t="shared" si="32"/>
        <v>0</v>
      </c>
      <c r="S158" s="102">
        <f t="shared" si="34"/>
        <v>0</v>
      </c>
      <c r="T158" s="21">
        <f>VLOOKUP($A158,'2022-23 Salary &amp; Benefits'!$A:$I,5,FALSE)</f>
        <v>68937</v>
      </c>
      <c r="U158" s="21">
        <f>VLOOKUP($A158,'2022-23 Salary &amp; Benefits'!$A:$I,6,FALSE)</f>
        <v>72728</v>
      </c>
      <c r="V158" s="22">
        <f t="shared" si="35"/>
        <v>0</v>
      </c>
      <c r="W158" s="22">
        <f t="shared" si="36"/>
        <v>0</v>
      </c>
      <c r="X158" s="22">
        <f>'2022-23 Salary &amp; Benefits'!$G$6</f>
        <v>12558.24</v>
      </c>
      <c r="Y158" s="23">
        <f>'2022-23 Salary &amp; Benefits'!$H$6</f>
        <v>0.2298</v>
      </c>
      <c r="Z158" s="23">
        <f>'2022-23 Salary &amp; Benefits'!$I$6</f>
        <v>0.22339999999999999</v>
      </c>
      <c r="AA158" s="22">
        <f t="shared" si="37"/>
        <v>0</v>
      </c>
      <c r="AB158" s="22">
        <f t="shared" si="38"/>
        <v>0</v>
      </c>
      <c r="AC158" s="22">
        <f t="shared" si="39"/>
        <v>0</v>
      </c>
      <c r="AD158" s="22">
        <f t="shared" si="29"/>
        <v>0</v>
      </c>
      <c r="AE158" s="22">
        <f t="shared" si="30"/>
        <v>0</v>
      </c>
      <c r="AF158" s="19" t="str">
        <f>VLOOKUP(C158,'2021-22 School Level AAFTE'!C:N,12,FALSE)</f>
        <v>No</v>
      </c>
    </row>
    <row r="159" spans="1:32" s="19" customFormat="1">
      <c r="A159" s="97" t="s">
        <v>2449</v>
      </c>
      <c r="B159" s="97" t="s">
        <v>1473</v>
      </c>
      <c r="C159" s="95">
        <v>2748</v>
      </c>
      <c r="D159" s="95" t="s">
        <v>1478</v>
      </c>
      <c r="E159" s="129">
        <f>VLOOKUP($C159,'2021-22 School Level AAFTE'!$C:$Z,11,FALSE)</f>
        <v>0.37989999999999996</v>
      </c>
      <c r="F159" s="129" t="str">
        <f>VLOOKUP($C159,'2021-22 School Level AAFTE'!$C:$Z,8,FALSE)</f>
        <v>No</v>
      </c>
      <c r="G159" s="129" t="str">
        <f>VLOOKUP($C159,'2021-22 School Level AAFTE'!$C:$Z,12,FALSE)</f>
        <v>No</v>
      </c>
      <c r="H159" s="127">
        <f>VLOOKUP($C159,'2021-22 School Level AAFTE'!$C:$I,7,FALSE)</f>
        <v>341.9</v>
      </c>
      <c r="I159" s="112">
        <f>IFERROR(IF(OR(G159="yes",F159= "yes"),VLOOKUP(C159,Summary!$B:$J,6,0),0),0)</f>
        <v>0</v>
      </c>
      <c r="J159" s="111">
        <f t="shared" si="33"/>
        <v>0</v>
      </c>
      <c r="K159" s="91">
        <f>VLOOKUP($A159,'2022-23 Salary &amp; Benefits'!$A:$I,3,FALSE)</f>
        <v>1</v>
      </c>
      <c r="L159" s="91">
        <f>VLOOKUP($A159,'2022-23 Salary &amp; Benefits'!$A:$I,4,FALSE)</f>
        <v>1</v>
      </c>
      <c r="M159" s="39">
        <f t="shared" si="28"/>
        <v>0</v>
      </c>
      <c r="N159" s="24">
        <v>15</v>
      </c>
      <c r="O159" s="26">
        <f t="shared" si="31"/>
        <v>0</v>
      </c>
      <c r="P159" s="24">
        <v>1.1000000000000001</v>
      </c>
      <c r="Q159" s="24">
        <v>36</v>
      </c>
      <c r="R159" s="27">
        <f t="shared" si="32"/>
        <v>0</v>
      </c>
      <c r="S159" s="102">
        <f t="shared" si="34"/>
        <v>0</v>
      </c>
      <c r="T159" s="21">
        <f>VLOOKUP($A159,'2022-23 Salary &amp; Benefits'!$A:$I,5,FALSE)</f>
        <v>68937</v>
      </c>
      <c r="U159" s="21">
        <f>VLOOKUP($A159,'2022-23 Salary &amp; Benefits'!$A:$I,6,FALSE)</f>
        <v>72728</v>
      </c>
      <c r="V159" s="22">
        <f t="shared" si="35"/>
        <v>0</v>
      </c>
      <c r="W159" s="22">
        <f t="shared" si="36"/>
        <v>0</v>
      </c>
      <c r="X159" s="22">
        <f>'2022-23 Salary &amp; Benefits'!$G$6</f>
        <v>12558.24</v>
      </c>
      <c r="Y159" s="23">
        <f>'2022-23 Salary &amp; Benefits'!$H$6</f>
        <v>0.2298</v>
      </c>
      <c r="Z159" s="23">
        <f>'2022-23 Salary &amp; Benefits'!$I$6</f>
        <v>0.22339999999999999</v>
      </c>
      <c r="AA159" s="22">
        <f t="shared" si="37"/>
        <v>0</v>
      </c>
      <c r="AB159" s="22">
        <f t="shared" si="38"/>
        <v>0</v>
      </c>
      <c r="AC159" s="22">
        <f t="shared" si="39"/>
        <v>0</v>
      </c>
      <c r="AD159" s="22">
        <f t="shared" si="29"/>
        <v>0</v>
      </c>
      <c r="AE159" s="22">
        <f t="shared" si="30"/>
        <v>0</v>
      </c>
      <c r="AF159" s="19" t="str">
        <f>VLOOKUP(C159,'2021-22 School Level AAFTE'!C:N,12,FALSE)</f>
        <v>No</v>
      </c>
    </row>
    <row r="160" spans="1:32" s="19" customFormat="1">
      <c r="A160" s="97" t="s">
        <v>2449</v>
      </c>
      <c r="B160" s="97" t="s">
        <v>1473</v>
      </c>
      <c r="C160" s="95">
        <v>2807</v>
      </c>
      <c r="D160" s="95" t="s">
        <v>1479</v>
      </c>
      <c r="E160" s="129">
        <f>VLOOKUP($C160,'2021-22 School Level AAFTE'!$C:$Z,11,FALSE)</f>
        <v>0.46239999999999998</v>
      </c>
      <c r="F160" s="129" t="str">
        <f>VLOOKUP($C160,'2021-22 School Level AAFTE'!$C:$Z,8,FALSE)</f>
        <v>No</v>
      </c>
      <c r="G160" s="129" t="str">
        <f>VLOOKUP($C160,'2021-22 School Level AAFTE'!$C:$Z,12,FALSE)</f>
        <v>No</v>
      </c>
      <c r="H160" s="127">
        <f>VLOOKUP($C160,'2021-22 School Level AAFTE'!$C:$I,7,FALSE)</f>
        <v>1669.12</v>
      </c>
      <c r="I160" s="112">
        <f>IFERROR(IF(OR(G160="yes",F160= "yes"),VLOOKUP(C160,Summary!$B:$J,6,0),0),0)</f>
        <v>0</v>
      </c>
      <c r="J160" s="111">
        <f t="shared" si="33"/>
        <v>0</v>
      </c>
      <c r="K160" s="91">
        <f>VLOOKUP($A160,'2022-23 Salary &amp; Benefits'!$A:$I,3,FALSE)</f>
        <v>1</v>
      </c>
      <c r="L160" s="91">
        <f>VLOOKUP($A160,'2022-23 Salary &amp; Benefits'!$A:$I,4,FALSE)</f>
        <v>1</v>
      </c>
      <c r="M160" s="39">
        <f t="shared" si="28"/>
        <v>0</v>
      </c>
      <c r="N160" s="24">
        <v>15</v>
      </c>
      <c r="O160" s="26">
        <f t="shared" si="31"/>
        <v>0</v>
      </c>
      <c r="P160" s="24">
        <v>1.1000000000000001</v>
      </c>
      <c r="Q160" s="24">
        <v>36</v>
      </c>
      <c r="R160" s="27">
        <f t="shared" si="32"/>
        <v>0</v>
      </c>
      <c r="S160" s="102">
        <f t="shared" si="34"/>
        <v>0</v>
      </c>
      <c r="T160" s="21">
        <f>VLOOKUP($A160,'2022-23 Salary &amp; Benefits'!$A:$I,5,FALSE)</f>
        <v>68937</v>
      </c>
      <c r="U160" s="21">
        <f>VLOOKUP($A160,'2022-23 Salary &amp; Benefits'!$A:$I,6,FALSE)</f>
        <v>72728</v>
      </c>
      <c r="V160" s="22">
        <f t="shared" si="35"/>
        <v>0</v>
      </c>
      <c r="W160" s="22">
        <f t="shared" si="36"/>
        <v>0</v>
      </c>
      <c r="X160" s="22">
        <f>'2022-23 Salary &amp; Benefits'!$G$6</f>
        <v>12558.24</v>
      </c>
      <c r="Y160" s="23">
        <f>'2022-23 Salary &amp; Benefits'!$H$6</f>
        <v>0.2298</v>
      </c>
      <c r="Z160" s="23">
        <f>'2022-23 Salary &amp; Benefits'!$I$6</f>
        <v>0.22339999999999999</v>
      </c>
      <c r="AA160" s="22">
        <f t="shared" si="37"/>
        <v>0</v>
      </c>
      <c r="AB160" s="22">
        <f t="shared" si="38"/>
        <v>0</v>
      </c>
      <c r="AC160" s="22">
        <f t="shared" si="39"/>
        <v>0</v>
      </c>
      <c r="AD160" s="22">
        <f t="shared" si="29"/>
        <v>0</v>
      </c>
      <c r="AE160" s="22">
        <f t="shared" si="30"/>
        <v>0</v>
      </c>
      <c r="AF160" s="19" t="str">
        <f>VLOOKUP(C160,'2021-22 School Level AAFTE'!C:N,12,FALSE)</f>
        <v>No</v>
      </c>
    </row>
    <row r="161" spans="1:284" s="19" customFormat="1">
      <c r="A161" s="97" t="s">
        <v>2449</v>
      </c>
      <c r="B161" s="97" t="s">
        <v>1473</v>
      </c>
      <c r="C161" s="95">
        <v>2877</v>
      </c>
      <c r="D161" s="95" t="s">
        <v>1480</v>
      </c>
      <c r="E161" s="129">
        <f>VLOOKUP($C161,'2021-22 School Level AAFTE'!$C:$Z,11,FALSE)</f>
        <v>0.30943333333333328</v>
      </c>
      <c r="F161" s="129" t="str">
        <f>VLOOKUP($C161,'2021-22 School Level AAFTE'!$C:$Z,8,FALSE)</f>
        <v>No</v>
      </c>
      <c r="G161" s="129" t="str">
        <f>VLOOKUP($C161,'2021-22 School Level AAFTE'!$C:$Z,12,FALSE)</f>
        <v>No</v>
      </c>
      <c r="H161" s="127">
        <f>VLOOKUP($C161,'2021-22 School Level AAFTE'!$C:$I,7,FALSE)</f>
        <v>552.54</v>
      </c>
      <c r="I161" s="112">
        <f>IFERROR(IF(OR(G161="yes",F161= "yes"),VLOOKUP(C161,Summary!$B:$J,6,0),0),0)</f>
        <v>0</v>
      </c>
      <c r="J161" s="111">
        <f t="shared" si="33"/>
        <v>0</v>
      </c>
      <c r="K161" s="91">
        <f>VLOOKUP($A161,'2022-23 Salary &amp; Benefits'!$A:$I,3,FALSE)</f>
        <v>1</v>
      </c>
      <c r="L161" s="91">
        <f>VLOOKUP($A161,'2022-23 Salary &amp; Benefits'!$A:$I,4,FALSE)</f>
        <v>1</v>
      </c>
      <c r="M161" s="101">
        <f t="shared" si="28"/>
        <v>0</v>
      </c>
      <c r="N161" s="24">
        <v>15</v>
      </c>
      <c r="O161" s="26">
        <f t="shared" si="31"/>
        <v>0</v>
      </c>
      <c r="P161" s="24">
        <v>1.1000000000000001</v>
      </c>
      <c r="Q161" s="24">
        <v>36</v>
      </c>
      <c r="R161" s="27">
        <f t="shared" si="32"/>
        <v>0</v>
      </c>
      <c r="S161" s="102">
        <f t="shared" si="34"/>
        <v>0</v>
      </c>
      <c r="T161" s="21">
        <f>VLOOKUP($A161,'2022-23 Salary &amp; Benefits'!$A:$I,5,FALSE)</f>
        <v>68937</v>
      </c>
      <c r="U161" s="21">
        <f>VLOOKUP($A161,'2022-23 Salary &amp; Benefits'!$A:$I,6,FALSE)</f>
        <v>72728</v>
      </c>
      <c r="V161" s="22">
        <f t="shared" si="35"/>
        <v>0</v>
      </c>
      <c r="W161" s="22">
        <f t="shared" si="36"/>
        <v>0</v>
      </c>
      <c r="X161" s="22">
        <f>'2022-23 Salary &amp; Benefits'!$G$6</f>
        <v>12558.24</v>
      </c>
      <c r="Y161" s="23">
        <f>'2022-23 Salary &amp; Benefits'!$H$6</f>
        <v>0.2298</v>
      </c>
      <c r="Z161" s="23">
        <f>'2022-23 Salary &amp; Benefits'!$I$6</f>
        <v>0.22339999999999999</v>
      </c>
      <c r="AA161" s="22">
        <f t="shared" si="37"/>
        <v>0</v>
      </c>
      <c r="AB161" s="22">
        <f t="shared" si="38"/>
        <v>0</v>
      </c>
      <c r="AC161" s="22">
        <f t="shared" si="39"/>
        <v>0</v>
      </c>
      <c r="AD161" s="22">
        <f t="shared" si="29"/>
        <v>0</v>
      </c>
      <c r="AE161" s="22">
        <f t="shared" si="30"/>
        <v>0</v>
      </c>
      <c r="AF161" s="19" t="str">
        <f>VLOOKUP(C161,'2021-22 School Level AAFTE'!C:N,12,FALSE)</f>
        <v>No</v>
      </c>
    </row>
    <row r="162" spans="1:284" s="19" customFormat="1">
      <c r="A162" s="97" t="s">
        <v>2449</v>
      </c>
      <c r="B162" s="97" t="s">
        <v>1473</v>
      </c>
      <c r="C162" s="95">
        <v>3250</v>
      </c>
      <c r="D162" s="95" t="s">
        <v>1481</v>
      </c>
      <c r="E162" s="129">
        <f>VLOOKUP($C162,'2021-22 School Level AAFTE'!$C:$Z,11,FALSE)</f>
        <v>0.62753333333333339</v>
      </c>
      <c r="F162" s="129" t="str">
        <f>VLOOKUP($C162,'2021-22 School Level AAFTE'!$C:$Z,8,FALSE)</f>
        <v>Yes</v>
      </c>
      <c r="G162" s="129" t="str">
        <f>VLOOKUP($C162,'2021-22 School Level AAFTE'!$C:$Z,12,FALSE)</f>
        <v>No</v>
      </c>
      <c r="H162" s="127">
        <f>VLOOKUP($C162,'2021-22 School Level AAFTE'!$C:$I,7,FALSE)</f>
        <v>699.96</v>
      </c>
      <c r="I162" s="112">
        <f>IFERROR(IF(OR(G162="yes",F162= "yes"),VLOOKUP(C162,Summary!$B:$J,6,0),0),0)</f>
        <v>0</v>
      </c>
      <c r="J162" s="111">
        <f t="shared" si="33"/>
        <v>699.96</v>
      </c>
      <c r="K162" s="91">
        <f>VLOOKUP($A162,'2022-23 Salary &amp; Benefits'!$A:$I,3,FALSE)</f>
        <v>1</v>
      </c>
      <c r="L162" s="91">
        <f>VLOOKUP($A162,'2022-23 Salary &amp; Benefits'!$A:$I,4,FALSE)</f>
        <v>1</v>
      </c>
      <c r="M162" s="101">
        <f t="shared" si="28"/>
        <v>699.96</v>
      </c>
      <c r="N162" s="24">
        <v>15</v>
      </c>
      <c r="O162" s="26">
        <f t="shared" si="31"/>
        <v>46.664000000000001</v>
      </c>
      <c r="P162" s="24">
        <v>1.1000000000000001</v>
      </c>
      <c r="Q162" s="24">
        <v>36</v>
      </c>
      <c r="R162" s="27">
        <f t="shared" si="32"/>
        <v>1847.8944000000001</v>
      </c>
      <c r="S162" s="102">
        <f t="shared" si="34"/>
        <v>2.0529999999999999</v>
      </c>
      <c r="T162" s="21">
        <f>VLOOKUP($A162,'2022-23 Salary &amp; Benefits'!$A:$I,5,FALSE)</f>
        <v>68937</v>
      </c>
      <c r="U162" s="21">
        <f>VLOOKUP($A162,'2022-23 Salary &amp; Benefits'!$A:$I,6,FALSE)</f>
        <v>72728</v>
      </c>
      <c r="V162" s="22">
        <f t="shared" si="35"/>
        <v>141527.66</v>
      </c>
      <c r="W162" s="22">
        <f t="shared" si="36"/>
        <v>7782.9199999999837</v>
      </c>
      <c r="X162" s="22">
        <f>'2022-23 Salary &amp; Benefits'!$G$6</f>
        <v>12558.24</v>
      </c>
      <c r="Y162" s="23">
        <f>'2022-23 Salary &amp; Benefits'!$H$6</f>
        <v>0.2298</v>
      </c>
      <c r="Z162" s="23">
        <f>'2022-23 Salary &amp; Benefits'!$I$6</f>
        <v>0.22339999999999999</v>
      </c>
      <c r="AA162" s="22">
        <f t="shared" si="37"/>
        <v>60043.83</v>
      </c>
      <c r="AB162" s="22">
        <f t="shared" si="38"/>
        <v>2488.5100000000002</v>
      </c>
      <c r="AC162" s="22">
        <f t="shared" si="39"/>
        <v>555.92999999999995</v>
      </c>
      <c r="AD162" s="22">
        <f t="shared" si="29"/>
        <v>3044.44</v>
      </c>
      <c r="AE162" s="22">
        <f t="shared" si="30"/>
        <v>212398.84999999998</v>
      </c>
      <c r="AF162" s="19" t="str">
        <f>VLOOKUP(C162,'2021-22 School Level AAFTE'!C:N,12,FALSE)</f>
        <v>No</v>
      </c>
    </row>
    <row r="163" spans="1:284" s="19" customFormat="1">
      <c r="A163" s="97" t="s">
        <v>2449</v>
      </c>
      <c r="B163" s="97" t="s">
        <v>1473</v>
      </c>
      <c r="C163" s="95">
        <v>3649</v>
      </c>
      <c r="D163" s="95" t="s">
        <v>1482</v>
      </c>
      <c r="E163" s="129">
        <f>VLOOKUP($C163,'2021-22 School Level AAFTE'!$C:$Z,11,FALSE)</f>
        <v>0.64773333333333338</v>
      </c>
      <c r="F163" s="129" t="str">
        <f>VLOOKUP($C163,'2021-22 School Level AAFTE'!$C:$Z,8,FALSE)</f>
        <v>Yes</v>
      </c>
      <c r="G163" s="129" t="str">
        <f>VLOOKUP($C163,'2021-22 School Level AAFTE'!$C:$Z,12,FALSE)</f>
        <v>No</v>
      </c>
      <c r="H163" s="127">
        <f>VLOOKUP($C163,'2021-22 School Level AAFTE'!$C:$I,7,FALSE)</f>
        <v>635.57000000000005</v>
      </c>
      <c r="I163" s="112">
        <f>IFERROR(IF(OR(G163="yes",F163= "yes"),VLOOKUP(C163,Summary!$B:$J,6,0),0),0)</f>
        <v>0</v>
      </c>
      <c r="J163" s="111">
        <f t="shared" si="33"/>
        <v>635.57000000000005</v>
      </c>
      <c r="K163" s="91">
        <f>VLOOKUP($A163,'2022-23 Salary &amp; Benefits'!$A:$I,3,FALSE)</f>
        <v>1</v>
      </c>
      <c r="L163" s="91">
        <f>VLOOKUP($A163,'2022-23 Salary &amp; Benefits'!$A:$I,4,FALSE)</f>
        <v>1</v>
      </c>
      <c r="M163" s="101">
        <f t="shared" si="28"/>
        <v>635.57000000000005</v>
      </c>
      <c r="N163" s="24">
        <v>15</v>
      </c>
      <c r="O163" s="26">
        <f t="shared" si="31"/>
        <v>42.37133333333334</v>
      </c>
      <c r="P163" s="24">
        <v>1.1000000000000001</v>
      </c>
      <c r="Q163" s="24">
        <v>36</v>
      </c>
      <c r="R163" s="27">
        <f t="shared" si="32"/>
        <v>1677.9048000000005</v>
      </c>
      <c r="S163" s="102">
        <f t="shared" si="34"/>
        <v>1.8640000000000001</v>
      </c>
      <c r="T163" s="21">
        <f>VLOOKUP($A163,'2022-23 Salary &amp; Benefits'!$A:$I,5,FALSE)</f>
        <v>68937</v>
      </c>
      <c r="U163" s="21">
        <f>VLOOKUP($A163,'2022-23 Salary &amp; Benefits'!$A:$I,6,FALSE)</f>
        <v>72728</v>
      </c>
      <c r="V163" s="22">
        <f t="shared" si="35"/>
        <v>128498.57</v>
      </c>
      <c r="W163" s="22">
        <f t="shared" si="36"/>
        <v>7066.4199999999837</v>
      </c>
      <c r="X163" s="22">
        <f>'2022-23 Salary &amp; Benefits'!$G$6</f>
        <v>12558.24</v>
      </c>
      <c r="Y163" s="23">
        <f>'2022-23 Salary &amp; Benefits'!$H$6</f>
        <v>0.2298</v>
      </c>
      <c r="Z163" s="23">
        <f>'2022-23 Salary &amp; Benefits'!$I$6</f>
        <v>0.22339999999999999</v>
      </c>
      <c r="AA163" s="22">
        <f t="shared" si="37"/>
        <v>54516.17</v>
      </c>
      <c r="AB163" s="22">
        <f t="shared" si="38"/>
        <v>2259.42</v>
      </c>
      <c r="AC163" s="22">
        <f t="shared" si="39"/>
        <v>504.75</v>
      </c>
      <c r="AD163" s="22">
        <f t="shared" si="29"/>
        <v>2764.17</v>
      </c>
      <c r="AE163" s="22">
        <f t="shared" si="30"/>
        <v>192845.33</v>
      </c>
      <c r="AF163" s="19" t="str">
        <f>VLOOKUP(C163,'2021-22 School Level AAFTE'!C:N,12,FALSE)</f>
        <v>No</v>
      </c>
    </row>
    <row r="164" spans="1:284" s="19" customFormat="1">
      <c r="A164" s="97" t="s">
        <v>2449</v>
      </c>
      <c r="B164" s="97" t="s">
        <v>1473</v>
      </c>
      <c r="C164" s="95">
        <v>3751</v>
      </c>
      <c r="D164" s="95" t="s">
        <v>1483</v>
      </c>
      <c r="E164" s="129">
        <f>VLOOKUP($C164,'2021-22 School Level AAFTE'!$C:$Z,11,FALSE)</f>
        <v>0.6593</v>
      </c>
      <c r="F164" s="129" t="str">
        <f>VLOOKUP($C164,'2021-22 School Level AAFTE'!$C:$Z,8,FALSE)</f>
        <v>Yes</v>
      </c>
      <c r="G164" s="129" t="str">
        <f>VLOOKUP($C164,'2021-22 School Level AAFTE'!$C:$Z,12,FALSE)</f>
        <v>No</v>
      </c>
      <c r="H164" s="127">
        <f>VLOOKUP($C164,'2021-22 School Level AAFTE'!$C:$I,7,FALSE)</f>
        <v>695.14</v>
      </c>
      <c r="I164" s="112">
        <f>IFERROR(IF(OR(G164="yes",F164= "yes"),VLOOKUP(C164,Summary!$B:$J,6,0),0),0)</f>
        <v>0</v>
      </c>
      <c r="J164" s="111">
        <f t="shared" si="33"/>
        <v>695.14</v>
      </c>
      <c r="K164" s="91">
        <f>VLOOKUP($A164,'2022-23 Salary &amp; Benefits'!$A:$I,3,FALSE)</f>
        <v>1</v>
      </c>
      <c r="L164" s="91">
        <f>VLOOKUP($A164,'2022-23 Salary &amp; Benefits'!$A:$I,4,FALSE)</f>
        <v>1</v>
      </c>
      <c r="M164" s="101">
        <f t="shared" si="28"/>
        <v>695.14</v>
      </c>
      <c r="N164" s="24">
        <v>15</v>
      </c>
      <c r="O164" s="26">
        <f t="shared" si="31"/>
        <v>46.342666666666666</v>
      </c>
      <c r="P164" s="24">
        <v>1.1000000000000001</v>
      </c>
      <c r="Q164" s="24">
        <v>36</v>
      </c>
      <c r="R164" s="27">
        <f t="shared" si="32"/>
        <v>1835.1696000000002</v>
      </c>
      <c r="S164" s="102">
        <f t="shared" si="34"/>
        <v>2.0390000000000001</v>
      </c>
      <c r="T164" s="21">
        <f>VLOOKUP($A164,'2022-23 Salary &amp; Benefits'!$A:$I,5,FALSE)</f>
        <v>68937</v>
      </c>
      <c r="U164" s="21">
        <f>VLOOKUP($A164,'2022-23 Salary &amp; Benefits'!$A:$I,6,FALSE)</f>
        <v>72728</v>
      </c>
      <c r="V164" s="22">
        <f t="shared" si="35"/>
        <v>140562.54</v>
      </c>
      <c r="W164" s="22">
        <f t="shared" si="36"/>
        <v>7729.8500000000058</v>
      </c>
      <c r="X164" s="22">
        <f>'2022-23 Salary &amp; Benefits'!$G$6</f>
        <v>12558.24</v>
      </c>
      <c r="Y164" s="23">
        <f>'2022-23 Salary &amp; Benefits'!$H$6</f>
        <v>0.2298</v>
      </c>
      <c r="Z164" s="23">
        <f>'2022-23 Salary &amp; Benefits'!$I$6</f>
        <v>0.22339999999999999</v>
      </c>
      <c r="AA164" s="22">
        <f t="shared" si="37"/>
        <v>59634.37</v>
      </c>
      <c r="AB164" s="22">
        <f t="shared" si="38"/>
        <v>2471.54</v>
      </c>
      <c r="AC164" s="22">
        <f t="shared" si="39"/>
        <v>552.14</v>
      </c>
      <c r="AD164" s="22">
        <f t="shared" si="29"/>
        <v>3023.68</v>
      </c>
      <c r="AE164" s="22">
        <f t="shared" si="30"/>
        <v>210950.44</v>
      </c>
      <c r="AF164" s="19" t="str">
        <f>VLOOKUP(C164,'2021-22 School Level AAFTE'!C:N,12,FALSE)</f>
        <v>No</v>
      </c>
    </row>
    <row r="165" spans="1:284" s="19" customFormat="1">
      <c r="A165" s="97" t="s">
        <v>2449</v>
      </c>
      <c r="B165" s="97" t="s">
        <v>1473</v>
      </c>
      <c r="C165" s="95">
        <v>4099</v>
      </c>
      <c r="D165" s="95" t="s">
        <v>1448</v>
      </c>
      <c r="E165" s="129">
        <f>VLOOKUP($C165,'2021-22 School Level AAFTE'!$C:$Z,11,FALSE)</f>
        <v>0.57330000000000003</v>
      </c>
      <c r="F165" s="129" t="str">
        <f>VLOOKUP($C165,'2021-22 School Level AAFTE'!$C:$Z,8,FALSE)</f>
        <v>Yes</v>
      </c>
      <c r="G165" s="129" t="str">
        <f>VLOOKUP($C165,'2021-22 School Level AAFTE'!$C:$Z,12,FALSE)</f>
        <v>No</v>
      </c>
      <c r="H165" s="127">
        <f>VLOOKUP($C165,'2021-22 School Level AAFTE'!$C:$I,7,FALSE)</f>
        <v>516.89</v>
      </c>
      <c r="I165" s="112">
        <f>IFERROR(IF(OR(G165="yes",F165= "yes"),VLOOKUP(C165,Summary!$B:$J,6,0),0),0)</f>
        <v>0</v>
      </c>
      <c r="J165" s="111">
        <f t="shared" si="33"/>
        <v>516.89</v>
      </c>
      <c r="K165" s="91">
        <f>VLOOKUP($A165,'2022-23 Salary &amp; Benefits'!$A:$I,3,FALSE)</f>
        <v>1</v>
      </c>
      <c r="L165" s="91">
        <f>VLOOKUP($A165,'2022-23 Salary &amp; Benefits'!$A:$I,4,FALSE)</f>
        <v>1</v>
      </c>
      <c r="M165" s="39">
        <f t="shared" si="28"/>
        <v>516.89</v>
      </c>
      <c r="N165" s="24">
        <v>15</v>
      </c>
      <c r="O165" s="26">
        <f t="shared" si="31"/>
        <v>34.459333333333333</v>
      </c>
      <c r="P165" s="24">
        <v>1.1000000000000001</v>
      </c>
      <c r="Q165" s="24">
        <v>36</v>
      </c>
      <c r="R165" s="27">
        <f t="shared" si="32"/>
        <v>1364.5896</v>
      </c>
      <c r="S165" s="102">
        <f t="shared" si="34"/>
        <v>1.516</v>
      </c>
      <c r="T165" s="21">
        <f>VLOOKUP($A165,'2022-23 Salary &amp; Benefits'!$A:$I,5,FALSE)</f>
        <v>68937</v>
      </c>
      <c r="U165" s="21">
        <f>VLOOKUP($A165,'2022-23 Salary &amp; Benefits'!$A:$I,6,FALSE)</f>
        <v>72728</v>
      </c>
      <c r="V165" s="22">
        <f t="shared" si="35"/>
        <v>104508.49</v>
      </c>
      <c r="W165" s="22">
        <f t="shared" si="36"/>
        <v>5747.1599999999889</v>
      </c>
      <c r="X165" s="22">
        <f>'2022-23 Salary &amp; Benefits'!$G$6</f>
        <v>12558.24</v>
      </c>
      <c r="Y165" s="23">
        <f>'2022-23 Salary &amp; Benefits'!$H$6</f>
        <v>0.2298</v>
      </c>
      <c r="Z165" s="23">
        <f>'2022-23 Salary &amp; Benefits'!$I$6</f>
        <v>0.22339999999999999</v>
      </c>
      <c r="AA165" s="22">
        <f t="shared" si="37"/>
        <v>44338.26</v>
      </c>
      <c r="AB165" s="22">
        <f t="shared" si="38"/>
        <v>1837.59</v>
      </c>
      <c r="AC165" s="22">
        <f t="shared" si="39"/>
        <v>410.52</v>
      </c>
      <c r="AD165" s="22">
        <f t="shared" si="29"/>
        <v>2248.1099999999997</v>
      </c>
      <c r="AE165" s="22">
        <f t="shared" si="30"/>
        <v>156842.01999999996</v>
      </c>
      <c r="AF165" s="19" t="str">
        <f>VLOOKUP(C165,'2021-22 School Level AAFTE'!C:N,12,FALSE)</f>
        <v>No</v>
      </c>
    </row>
    <row r="166" spans="1:284" s="19" customFormat="1">
      <c r="A166" s="97" t="s">
        <v>2449</v>
      </c>
      <c r="B166" s="97" t="s">
        <v>1473</v>
      </c>
      <c r="C166" s="95">
        <v>4102</v>
      </c>
      <c r="D166" s="95" t="s">
        <v>1484</v>
      </c>
      <c r="E166" s="129">
        <f>VLOOKUP($C166,'2021-22 School Level AAFTE'!$C:$Z,11,FALSE)</f>
        <v>0.49899999999999994</v>
      </c>
      <c r="F166" s="129" t="str">
        <f>VLOOKUP($C166,'2021-22 School Level AAFTE'!$C:$Z,8,FALSE)</f>
        <v>No</v>
      </c>
      <c r="G166" s="129" t="str">
        <f>VLOOKUP($C166,'2021-22 School Level AAFTE'!$C:$Z,12,FALSE)</f>
        <v>Yes</v>
      </c>
      <c r="H166" s="127">
        <f>VLOOKUP($C166,'2021-22 School Level AAFTE'!$C:$I,7,FALSE)</f>
        <v>413.43</v>
      </c>
      <c r="I166" s="112">
        <f>IFERROR(IF(OR(G166="yes",F166= "yes"),VLOOKUP(C166,Summary!$B:$J,6,0),0),0)</f>
        <v>0</v>
      </c>
      <c r="J166" s="111">
        <f t="shared" si="33"/>
        <v>413.43</v>
      </c>
      <c r="K166" s="91">
        <f>VLOOKUP($A166,'2022-23 Salary &amp; Benefits'!$A:$I,3,FALSE)</f>
        <v>1</v>
      </c>
      <c r="L166" s="91">
        <f>VLOOKUP($A166,'2022-23 Salary &amp; Benefits'!$A:$I,4,FALSE)</f>
        <v>1</v>
      </c>
      <c r="M166" s="101">
        <f t="shared" si="28"/>
        <v>413.43</v>
      </c>
      <c r="N166" s="24">
        <v>15</v>
      </c>
      <c r="O166" s="26">
        <f t="shared" si="31"/>
        <v>27.562000000000001</v>
      </c>
      <c r="P166" s="24">
        <v>1.1000000000000001</v>
      </c>
      <c r="Q166" s="24">
        <v>36</v>
      </c>
      <c r="R166" s="27">
        <f t="shared" si="32"/>
        <v>1091.4552000000001</v>
      </c>
      <c r="S166" s="102">
        <f t="shared" si="34"/>
        <v>1.2130000000000001</v>
      </c>
      <c r="T166" s="21">
        <f>VLOOKUP($A166,'2022-23 Salary &amp; Benefits'!$A:$I,5,FALSE)</f>
        <v>68937</v>
      </c>
      <c r="U166" s="21">
        <f>VLOOKUP($A166,'2022-23 Salary &amp; Benefits'!$A:$I,6,FALSE)</f>
        <v>72728</v>
      </c>
      <c r="V166" s="22">
        <f t="shared" si="35"/>
        <v>83620.58</v>
      </c>
      <c r="W166" s="22">
        <f t="shared" si="36"/>
        <v>4598.4799999999959</v>
      </c>
      <c r="X166" s="22">
        <f>'2022-23 Salary &amp; Benefits'!$G$6</f>
        <v>12558.24</v>
      </c>
      <c r="Y166" s="23">
        <f>'2022-23 Salary &amp; Benefits'!$H$6</f>
        <v>0.2298</v>
      </c>
      <c r="Z166" s="23">
        <f>'2022-23 Salary &amp; Benefits'!$I$6</f>
        <v>0.22339999999999999</v>
      </c>
      <c r="AA166" s="22">
        <f t="shared" si="37"/>
        <v>35476.449999999997</v>
      </c>
      <c r="AB166" s="22">
        <f t="shared" si="38"/>
        <v>1470.32</v>
      </c>
      <c r="AC166" s="22">
        <f t="shared" si="39"/>
        <v>328.47</v>
      </c>
      <c r="AD166" s="22">
        <f t="shared" si="29"/>
        <v>1798.79</v>
      </c>
      <c r="AE166" s="22">
        <f t="shared" si="30"/>
        <v>125494.29999999999</v>
      </c>
      <c r="AF166" s="19" t="str">
        <f>VLOOKUP(C166,'2021-22 School Level AAFTE'!C:N,12,FALSE)</f>
        <v>Yes</v>
      </c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</row>
    <row r="167" spans="1:284" s="19" customFormat="1">
      <c r="A167" s="97" t="s">
        <v>2449</v>
      </c>
      <c r="B167" s="97" t="s">
        <v>1473</v>
      </c>
      <c r="C167" s="95">
        <v>4103</v>
      </c>
      <c r="D167" s="95" t="s">
        <v>1485</v>
      </c>
      <c r="E167" s="129">
        <f>VLOOKUP($C167,'2021-22 School Level AAFTE'!$C:$Z,11,FALSE)</f>
        <v>0.54826666666666668</v>
      </c>
      <c r="F167" s="129" t="str">
        <f>VLOOKUP($C167,'2021-22 School Level AAFTE'!$C:$Z,8,FALSE)</f>
        <v>Yes</v>
      </c>
      <c r="G167" s="129" t="str">
        <f>VLOOKUP($C167,'2021-22 School Level AAFTE'!$C:$Z,12,FALSE)</f>
        <v>No</v>
      </c>
      <c r="H167" s="127">
        <f>VLOOKUP($C167,'2021-22 School Level AAFTE'!$C:$I,7,FALSE)</f>
        <v>637.59</v>
      </c>
      <c r="I167" s="112">
        <f>IFERROR(IF(OR(G167="yes",F167= "yes"),VLOOKUP(C167,Summary!$B:$J,6,0),0),0)</f>
        <v>0</v>
      </c>
      <c r="J167" s="111">
        <f t="shared" si="33"/>
        <v>637.59</v>
      </c>
      <c r="K167" s="91">
        <f>VLOOKUP($A167,'2022-23 Salary &amp; Benefits'!$A:$I,3,FALSE)</f>
        <v>1</v>
      </c>
      <c r="L167" s="91">
        <f>VLOOKUP($A167,'2022-23 Salary &amp; Benefits'!$A:$I,4,FALSE)</f>
        <v>1</v>
      </c>
      <c r="M167" s="39">
        <f t="shared" si="28"/>
        <v>637.59</v>
      </c>
      <c r="N167" s="24">
        <v>15</v>
      </c>
      <c r="O167" s="26">
        <f t="shared" si="31"/>
        <v>42.506</v>
      </c>
      <c r="P167" s="24">
        <v>1.1000000000000001</v>
      </c>
      <c r="Q167" s="24">
        <v>36</v>
      </c>
      <c r="R167" s="27">
        <f t="shared" si="32"/>
        <v>1683.2376000000002</v>
      </c>
      <c r="S167" s="102">
        <f t="shared" si="34"/>
        <v>1.87</v>
      </c>
      <c r="T167" s="21">
        <f>VLOOKUP($A167,'2022-23 Salary &amp; Benefits'!$A:$I,5,FALSE)</f>
        <v>68937</v>
      </c>
      <c r="U167" s="21">
        <f>VLOOKUP($A167,'2022-23 Salary &amp; Benefits'!$A:$I,6,FALSE)</f>
        <v>72728</v>
      </c>
      <c r="V167" s="22">
        <f t="shared" si="35"/>
        <v>128912.19</v>
      </c>
      <c r="W167" s="22">
        <f t="shared" si="36"/>
        <v>7089.1699999999837</v>
      </c>
      <c r="X167" s="22">
        <f>'2022-23 Salary &amp; Benefits'!$G$6</f>
        <v>12558.24</v>
      </c>
      <c r="Y167" s="23">
        <f>'2022-23 Salary &amp; Benefits'!$H$6</f>
        <v>0.2298</v>
      </c>
      <c r="Z167" s="23">
        <f>'2022-23 Salary &amp; Benefits'!$I$6</f>
        <v>0.22339999999999999</v>
      </c>
      <c r="AA167" s="22">
        <f t="shared" si="37"/>
        <v>54691.65</v>
      </c>
      <c r="AB167" s="22">
        <f t="shared" si="38"/>
        <v>2266.69</v>
      </c>
      <c r="AC167" s="22">
        <f t="shared" si="39"/>
        <v>506.38</v>
      </c>
      <c r="AD167" s="22">
        <f t="shared" si="29"/>
        <v>2773.07</v>
      </c>
      <c r="AE167" s="22">
        <f t="shared" si="30"/>
        <v>193466.08</v>
      </c>
      <c r="AF167" s="19" t="str">
        <f>VLOOKUP(C167,'2021-22 School Level AAFTE'!C:N,12,FALSE)</f>
        <v>No</v>
      </c>
    </row>
    <row r="168" spans="1:284" s="19" customFormat="1">
      <c r="A168" s="97" t="s">
        <v>2449</v>
      </c>
      <c r="B168" s="97" t="s">
        <v>1473</v>
      </c>
      <c r="C168" s="95">
        <v>4158</v>
      </c>
      <c r="D168" s="95" t="s">
        <v>1486</v>
      </c>
      <c r="E168" s="129">
        <f>VLOOKUP($C168,'2021-22 School Level AAFTE'!$C:$Z,11,FALSE)</f>
        <v>0.56610000000000005</v>
      </c>
      <c r="F168" s="129" t="str">
        <f>VLOOKUP($C168,'2021-22 School Level AAFTE'!$C:$Z,8,FALSE)</f>
        <v>Yes</v>
      </c>
      <c r="G168" s="129" t="str">
        <f>VLOOKUP($C168,'2021-22 School Level AAFTE'!$C:$Z,12,FALSE)</f>
        <v>No</v>
      </c>
      <c r="H168" s="127">
        <f>VLOOKUP($C168,'2021-22 School Level AAFTE'!$C:$I,7,FALSE)</f>
        <v>1619.58</v>
      </c>
      <c r="I168" s="112">
        <f>IFERROR(IF(OR(G168="yes",F168= "yes"),VLOOKUP(C168,Summary!$B:$J,6,0),0),0)</f>
        <v>0</v>
      </c>
      <c r="J168" s="111">
        <f t="shared" si="33"/>
        <v>1619.58</v>
      </c>
      <c r="K168" s="91">
        <f>VLOOKUP($A168,'2022-23 Salary &amp; Benefits'!$A:$I,3,FALSE)</f>
        <v>1</v>
      </c>
      <c r="L168" s="91">
        <f>VLOOKUP($A168,'2022-23 Salary &amp; Benefits'!$A:$I,4,FALSE)</f>
        <v>1</v>
      </c>
      <c r="M168" s="101">
        <f t="shared" si="28"/>
        <v>1619.58</v>
      </c>
      <c r="N168" s="24">
        <v>15</v>
      </c>
      <c r="O168" s="26">
        <f t="shared" si="31"/>
        <v>107.97199999999999</v>
      </c>
      <c r="P168" s="24">
        <v>1.1000000000000001</v>
      </c>
      <c r="Q168" s="24">
        <v>36</v>
      </c>
      <c r="R168" s="27">
        <f t="shared" si="32"/>
        <v>4275.6912000000002</v>
      </c>
      <c r="S168" s="102">
        <f t="shared" si="34"/>
        <v>4.7510000000000003</v>
      </c>
      <c r="T168" s="21">
        <f>VLOOKUP($A168,'2022-23 Salary &amp; Benefits'!$A:$I,5,FALSE)</f>
        <v>68937</v>
      </c>
      <c r="U168" s="21">
        <f>VLOOKUP($A168,'2022-23 Salary &amp; Benefits'!$A:$I,6,FALSE)</f>
        <v>72728</v>
      </c>
      <c r="V168" s="22">
        <f t="shared" si="35"/>
        <v>327519.69</v>
      </c>
      <c r="W168" s="22">
        <f t="shared" si="36"/>
        <v>18011.039999999979</v>
      </c>
      <c r="X168" s="22">
        <f>'2022-23 Salary &amp; Benefits'!$G$6</f>
        <v>12558.24</v>
      </c>
      <c r="Y168" s="23">
        <f>'2022-23 Salary &amp; Benefits'!$H$6</f>
        <v>0.2298</v>
      </c>
      <c r="Z168" s="23">
        <f>'2022-23 Salary &amp; Benefits'!$I$6</f>
        <v>0.22339999999999999</v>
      </c>
      <c r="AA168" s="22">
        <f t="shared" si="37"/>
        <v>138951.89000000001</v>
      </c>
      <c r="AB168" s="22">
        <f t="shared" si="38"/>
        <v>5758.85</v>
      </c>
      <c r="AC168" s="22">
        <f t="shared" si="39"/>
        <v>1286.53</v>
      </c>
      <c r="AD168" s="22">
        <f t="shared" si="29"/>
        <v>7045.38</v>
      </c>
      <c r="AE168" s="22">
        <f t="shared" si="30"/>
        <v>491528</v>
      </c>
      <c r="AF168" s="19" t="str">
        <f>VLOOKUP(C168,'2021-22 School Level AAFTE'!C:N,12,FALSE)</f>
        <v>No</v>
      </c>
    </row>
    <row r="169" spans="1:284" s="19" customFormat="1">
      <c r="A169" s="97" t="s">
        <v>2449</v>
      </c>
      <c r="B169" s="97" t="s">
        <v>1473</v>
      </c>
      <c r="C169" s="95">
        <v>4186</v>
      </c>
      <c r="D169" s="95" t="s">
        <v>1487</v>
      </c>
      <c r="E169" s="129">
        <f>VLOOKUP($C169,'2021-22 School Level AAFTE'!$C:$Z,11,FALSE)</f>
        <v>0.57483333333333331</v>
      </c>
      <c r="F169" s="129" t="str">
        <f>VLOOKUP($C169,'2021-22 School Level AAFTE'!$C:$Z,8,FALSE)</f>
        <v>Yes</v>
      </c>
      <c r="G169" s="129" t="str">
        <f>VLOOKUP($C169,'2021-22 School Level AAFTE'!$C:$Z,12,FALSE)</f>
        <v>No</v>
      </c>
      <c r="H169" s="127">
        <f>VLOOKUP($C169,'2021-22 School Level AAFTE'!$C:$I,7,FALSE)</f>
        <v>717.62</v>
      </c>
      <c r="I169" s="112">
        <f>IFERROR(IF(OR(G169="yes",F169= "yes"),VLOOKUP(C169,Summary!$B:$J,6,0),0),0)</f>
        <v>0</v>
      </c>
      <c r="J169" s="111">
        <f t="shared" si="33"/>
        <v>717.62</v>
      </c>
      <c r="K169" s="91">
        <f>VLOOKUP($A169,'2022-23 Salary &amp; Benefits'!$A:$I,3,FALSE)</f>
        <v>1</v>
      </c>
      <c r="L169" s="91">
        <f>VLOOKUP($A169,'2022-23 Salary &amp; Benefits'!$A:$I,4,FALSE)</f>
        <v>1</v>
      </c>
      <c r="M169" s="39">
        <f t="shared" si="28"/>
        <v>717.62</v>
      </c>
      <c r="N169" s="24">
        <v>15</v>
      </c>
      <c r="O169" s="26">
        <f t="shared" si="31"/>
        <v>47.841333333333331</v>
      </c>
      <c r="P169" s="24">
        <v>1.1000000000000001</v>
      </c>
      <c r="Q169" s="24">
        <v>36</v>
      </c>
      <c r="R169" s="27">
        <f t="shared" si="32"/>
        <v>1894.5168000000001</v>
      </c>
      <c r="S169" s="102">
        <f t="shared" si="34"/>
        <v>2.105</v>
      </c>
      <c r="T169" s="21">
        <f>VLOOKUP($A169,'2022-23 Salary &amp; Benefits'!$A:$I,5,FALSE)</f>
        <v>68937</v>
      </c>
      <c r="U169" s="21">
        <f>VLOOKUP($A169,'2022-23 Salary &amp; Benefits'!$A:$I,6,FALSE)</f>
        <v>72728</v>
      </c>
      <c r="V169" s="22">
        <f t="shared" si="35"/>
        <v>145112.39000000001</v>
      </c>
      <c r="W169" s="22">
        <f t="shared" si="36"/>
        <v>7980.0499999999884</v>
      </c>
      <c r="X169" s="22">
        <f>'2022-23 Salary &amp; Benefits'!$G$6</f>
        <v>12558.24</v>
      </c>
      <c r="Y169" s="23">
        <f>'2022-23 Salary &amp; Benefits'!$H$6</f>
        <v>0.2298</v>
      </c>
      <c r="Z169" s="23">
        <f>'2022-23 Salary &amp; Benefits'!$I$6</f>
        <v>0.22339999999999999</v>
      </c>
      <c r="AA169" s="22">
        <f t="shared" si="37"/>
        <v>61564.67</v>
      </c>
      <c r="AB169" s="22">
        <f t="shared" si="38"/>
        <v>2551.54</v>
      </c>
      <c r="AC169" s="22">
        <f t="shared" si="39"/>
        <v>570.01</v>
      </c>
      <c r="AD169" s="22">
        <f t="shared" si="29"/>
        <v>3121.55</v>
      </c>
      <c r="AE169" s="22">
        <f t="shared" si="30"/>
        <v>217778.65999999997</v>
      </c>
      <c r="AF169" s="19" t="str">
        <f>VLOOKUP(C169,'2021-22 School Level AAFTE'!C:N,12,FALSE)</f>
        <v>No</v>
      </c>
    </row>
    <row r="170" spans="1:284" s="19" customFormat="1">
      <c r="A170" s="97" t="s">
        <v>2449</v>
      </c>
      <c r="B170" s="97" t="s">
        <v>1473</v>
      </c>
      <c r="C170" s="95">
        <v>4227</v>
      </c>
      <c r="D170" s="95" t="s">
        <v>1488</v>
      </c>
      <c r="E170" s="129">
        <f>VLOOKUP($C170,'2021-22 School Level AAFTE'!$C:$Z,11,FALSE)</f>
        <v>0.49696666666666661</v>
      </c>
      <c r="F170" s="129" t="str">
        <f>VLOOKUP($C170,'2021-22 School Level AAFTE'!$C:$Z,8,FALSE)</f>
        <v>No</v>
      </c>
      <c r="G170" s="129" t="str">
        <f>VLOOKUP($C170,'2021-22 School Level AAFTE'!$C:$Z,12,FALSE)</f>
        <v>Yes</v>
      </c>
      <c r="H170" s="127">
        <f>VLOOKUP($C170,'2021-22 School Level AAFTE'!$C:$I,7,FALSE)</f>
        <v>422.76</v>
      </c>
      <c r="I170" s="112">
        <f>IFERROR(IF(OR(G170="yes",F170= "yes"),VLOOKUP(C170,Summary!$B:$J,6,0),0),0)</f>
        <v>0</v>
      </c>
      <c r="J170" s="111">
        <f t="shared" si="33"/>
        <v>422.76</v>
      </c>
      <c r="K170" s="91">
        <f>VLOOKUP($A170,'2022-23 Salary &amp; Benefits'!$A:$I,3,FALSE)</f>
        <v>1</v>
      </c>
      <c r="L170" s="91">
        <f>VLOOKUP($A170,'2022-23 Salary &amp; Benefits'!$A:$I,4,FALSE)</f>
        <v>1</v>
      </c>
      <c r="M170" s="101">
        <f t="shared" si="28"/>
        <v>422.76</v>
      </c>
      <c r="N170" s="24">
        <v>15</v>
      </c>
      <c r="O170" s="26">
        <f t="shared" si="31"/>
        <v>28.184000000000001</v>
      </c>
      <c r="P170" s="24">
        <v>1.1000000000000001</v>
      </c>
      <c r="Q170" s="24">
        <v>36</v>
      </c>
      <c r="R170" s="27">
        <f t="shared" si="32"/>
        <v>1116.0864000000001</v>
      </c>
      <c r="S170" s="102">
        <f t="shared" si="34"/>
        <v>1.24</v>
      </c>
      <c r="T170" s="21">
        <f>VLOOKUP($A170,'2022-23 Salary &amp; Benefits'!$A:$I,5,FALSE)</f>
        <v>68937</v>
      </c>
      <c r="U170" s="21">
        <f>VLOOKUP($A170,'2022-23 Salary &amp; Benefits'!$A:$I,6,FALSE)</f>
        <v>72728</v>
      </c>
      <c r="V170" s="22">
        <f t="shared" si="35"/>
        <v>85481.88</v>
      </c>
      <c r="W170" s="22">
        <f t="shared" si="36"/>
        <v>4700.8399999999965</v>
      </c>
      <c r="X170" s="22">
        <f>'2022-23 Salary &amp; Benefits'!$G$6</f>
        <v>12558.24</v>
      </c>
      <c r="Y170" s="23">
        <f>'2022-23 Salary &amp; Benefits'!$H$6</f>
        <v>0.2298</v>
      </c>
      <c r="Z170" s="23">
        <f>'2022-23 Salary &amp; Benefits'!$I$6</f>
        <v>0.22339999999999999</v>
      </c>
      <c r="AA170" s="22">
        <f t="shared" si="37"/>
        <v>36266.120000000003</v>
      </c>
      <c r="AB170" s="22">
        <f t="shared" si="38"/>
        <v>1503.05</v>
      </c>
      <c r="AC170" s="22">
        <f t="shared" si="39"/>
        <v>335.78</v>
      </c>
      <c r="AD170" s="22">
        <f t="shared" si="29"/>
        <v>1838.83</v>
      </c>
      <c r="AE170" s="22">
        <f t="shared" si="30"/>
        <v>128287.67</v>
      </c>
      <c r="AF170" s="19" t="str">
        <f>VLOOKUP(C170,'2021-22 School Level AAFTE'!C:N,12,FALSE)</f>
        <v>Yes</v>
      </c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</row>
    <row r="171" spans="1:284" s="19" customFormat="1">
      <c r="A171" s="97" t="s">
        <v>2449</v>
      </c>
      <c r="B171" s="97" t="s">
        <v>1473</v>
      </c>
      <c r="C171" s="95">
        <v>4296</v>
      </c>
      <c r="D171" s="95" t="s">
        <v>1489</v>
      </c>
      <c r="E171" s="129">
        <f>VLOOKUP($C171,'2021-22 School Level AAFTE'!$C:$Z,11,FALSE)</f>
        <v>0.56266666666666665</v>
      </c>
      <c r="F171" s="129" t="str">
        <f>VLOOKUP($C171,'2021-22 School Level AAFTE'!$C:$Z,8,FALSE)</f>
        <v>Yes</v>
      </c>
      <c r="G171" s="129" t="str">
        <f>VLOOKUP($C171,'2021-22 School Level AAFTE'!$C:$Z,12,FALSE)</f>
        <v>No</v>
      </c>
      <c r="H171" s="127">
        <f>VLOOKUP($C171,'2021-22 School Level AAFTE'!$C:$I,7,FALSE)</f>
        <v>534.14</v>
      </c>
      <c r="I171" s="112">
        <f>IFERROR(IF(OR(G171="yes",F171= "yes"),VLOOKUP(C171,Summary!$B:$J,6,0),0),0)</f>
        <v>0</v>
      </c>
      <c r="J171" s="111">
        <f t="shared" si="33"/>
        <v>534.14</v>
      </c>
      <c r="K171" s="91">
        <f>VLOOKUP($A171,'2022-23 Salary &amp; Benefits'!$A:$I,3,FALSE)</f>
        <v>1</v>
      </c>
      <c r="L171" s="91">
        <f>VLOOKUP($A171,'2022-23 Salary &amp; Benefits'!$A:$I,4,FALSE)</f>
        <v>1</v>
      </c>
      <c r="M171" s="101">
        <f t="shared" si="28"/>
        <v>534.14</v>
      </c>
      <c r="N171" s="24">
        <v>15</v>
      </c>
      <c r="O171" s="26">
        <f t="shared" si="31"/>
        <v>35.609333333333332</v>
      </c>
      <c r="P171" s="24">
        <v>1.1000000000000001</v>
      </c>
      <c r="Q171" s="24">
        <v>36</v>
      </c>
      <c r="R171" s="27">
        <f t="shared" si="32"/>
        <v>1410.1296000000002</v>
      </c>
      <c r="S171" s="102">
        <f t="shared" si="34"/>
        <v>1.5669999999999999</v>
      </c>
      <c r="T171" s="21">
        <f>VLOOKUP($A171,'2022-23 Salary &amp; Benefits'!$A:$I,5,FALSE)</f>
        <v>68937</v>
      </c>
      <c r="U171" s="21">
        <f>VLOOKUP($A171,'2022-23 Salary &amp; Benefits'!$A:$I,6,FALSE)</f>
        <v>72728</v>
      </c>
      <c r="V171" s="22">
        <f t="shared" si="35"/>
        <v>108024.28</v>
      </c>
      <c r="W171" s="22">
        <f t="shared" si="36"/>
        <v>5940.5</v>
      </c>
      <c r="X171" s="22">
        <f>'2022-23 Salary &amp; Benefits'!$G$6</f>
        <v>12558.24</v>
      </c>
      <c r="Y171" s="23">
        <f>'2022-23 Salary &amp; Benefits'!$H$6</f>
        <v>0.2298</v>
      </c>
      <c r="Z171" s="23">
        <f>'2022-23 Salary &amp; Benefits'!$I$6</f>
        <v>0.22339999999999999</v>
      </c>
      <c r="AA171" s="22">
        <f t="shared" si="37"/>
        <v>45829.85</v>
      </c>
      <c r="AB171" s="22">
        <f t="shared" si="38"/>
        <v>1899.41</v>
      </c>
      <c r="AC171" s="22">
        <f t="shared" si="39"/>
        <v>424.33</v>
      </c>
      <c r="AD171" s="22">
        <f t="shared" si="29"/>
        <v>2323.7400000000002</v>
      </c>
      <c r="AE171" s="22">
        <f t="shared" si="30"/>
        <v>162118.37</v>
      </c>
      <c r="AF171" s="19" t="str">
        <f>VLOOKUP(C171,'2021-22 School Level AAFTE'!C:N,12,FALSE)</f>
        <v>No</v>
      </c>
    </row>
    <row r="172" spans="1:284" s="19" customFormat="1">
      <c r="A172" s="97" t="s">
        <v>2449</v>
      </c>
      <c r="B172" s="97" t="s">
        <v>1473</v>
      </c>
      <c r="C172" s="95">
        <v>4297</v>
      </c>
      <c r="D172" s="95" t="s">
        <v>1490</v>
      </c>
      <c r="E172" s="129">
        <f>VLOOKUP($C172,'2021-22 School Level AAFTE'!$C:$Z,11,FALSE)</f>
        <v>0.33359999999999995</v>
      </c>
      <c r="F172" s="129" t="str">
        <f>VLOOKUP($C172,'2021-22 School Level AAFTE'!$C:$Z,8,FALSE)</f>
        <v>No</v>
      </c>
      <c r="G172" s="129" t="str">
        <f>VLOOKUP($C172,'2021-22 School Level AAFTE'!$C:$Z,12,FALSE)</f>
        <v>No</v>
      </c>
      <c r="H172" s="127">
        <f>VLOOKUP($C172,'2021-22 School Level AAFTE'!$C:$I,7,FALSE)</f>
        <v>461.64</v>
      </c>
      <c r="I172" s="112">
        <f>IFERROR(IF(OR(G172="yes",F172= "yes"),VLOOKUP(C172,Summary!$B:$J,6,0),0),0)</f>
        <v>0</v>
      </c>
      <c r="J172" s="111">
        <f t="shared" si="33"/>
        <v>0</v>
      </c>
      <c r="K172" s="91">
        <f>VLOOKUP($A172,'2022-23 Salary &amp; Benefits'!$A:$I,3,FALSE)</f>
        <v>1</v>
      </c>
      <c r="L172" s="91">
        <f>VLOOKUP($A172,'2022-23 Salary &amp; Benefits'!$A:$I,4,FALSE)</f>
        <v>1</v>
      </c>
      <c r="M172" s="101">
        <f t="shared" si="28"/>
        <v>0</v>
      </c>
      <c r="N172" s="24">
        <v>15</v>
      </c>
      <c r="O172" s="26">
        <f t="shared" si="31"/>
        <v>0</v>
      </c>
      <c r="P172" s="24">
        <v>1.1000000000000001</v>
      </c>
      <c r="Q172" s="24">
        <v>36</v>
      </c>
      <c r="R172" s="27">
        <f t="shared" si="32"/>
        <v>0</v>
      </c>
      <c r="S172" s="102">
        <f t="shared" si="34"/>
        <v>0</v>
      </c>
      <c r="T172" s="21">
        <f>VLOOKUP($A172,'2022-23 Salary &amp; Benefits'!$A:$I,5,FALSE)</f>
        <v>68937</v>
      </c>
      <c r="U172" s="21">
        <f>VLOOKUP($A172,'2022-23 Salary &amp; Benefits'!$A:$I,6,FALSE)</f>
        <v>72728</v>
      </c>
      <c r="V172" s="22">
        <f t="shared" si="35"/>
        <v>0</v>
      </c>
      <c r="W172" s="22">
        <f t="shared" si="36"/>
        <v>0</v>
      </c>
      <c r="X172" s="22">
        <f>'2022-23 Salary &amp; Benefits'!$G$6</f>
        <v>12558.24</v>
      </c>
      <c r="Y172" s="23">
        <f>'2022-23 Salary &amp; Benefits'!$H$6</f>
        <v>0.2298</v>
      </c>
      <c r="Z172" s="23">
        <f>'2022-23 Salary &amp; Benefits'!$I$6</f>
        <v>0.22339999999999999</v>
      </c>
      <c r="AA172" s="22">
        <f t="shared" si="37"/>
        <v>0</v>
      </c>
      <c r="AB172" s="22">
        <f t="shared" si="38"/>
        <v>0</v>
      </c>
      <c r="AC172" s="22">
        <f t="shared" si="39"/>
        <v>0</v>
      </c>
      <c r="AD172" s="22">
        <f t="shared" si="29"/>
        <v>0</v>
      </c>
      <c r="AE172" s="22">
        <f t="shared" si="30"/>
        <v>0</v>
      </c>
      <c r="AF172" s="19" t="str">
        <f>VLOOKUP(C172,'2021-22 School Level AAFTE'!C:N,12,FALSE)</f>
        <v>No</v>
      </c>
    </row>
    <row r="173" spans="1:284" s="19" customFormat="1">
      <c r="A173" s="97" t="s">
        <v>2449</v>
      </c>
      <c r="B173" s="97" t="s">
        <v>1473</v>
      </c>
      <c r="C173" s="95">
        <v>4331</v>
      </c>
      <c r="D173" s="95" t="s">
        <v>1491</v>
      </c>
      <c r="E173" s="129">
        <f>VLOOKUP($C173,'2021-22 School Level AAFTE'!$C:$Z,11,FALSE)</f>
        <v>0.54200000000000004</v>
      </c>
      <c r="F173" s="129" t="str">
        <f>VLOOKUP($C173,'2021-22 School Level AAFTE'!$C:$Z,8,FALSE)</f>
        <v>Yes</v>
      </c>
      <c r="G173" s="129" t="str">
        <f>VLOOKUP($C173,'2021-22 School Level AAFTE'!$C:$Z,12,FALSE)</f>
        <v>No</v>
      </c>
      <c r="H173" s="127">
        <f>VLOOKUP($C173,'2021-22 School Level AAFTE'!$C:$I,7,FALSE)</f>
        <v>517.71</v>
      </c>
      <c r="I173" s="112">
        <f>IFERROR(IF(OR(G173="yes",F173= "yes"),VLOOKUP(C173,Summary!$B:$J,6,0),0),0)</f>
        <v>0</v>
      </c>
      <c r="J173" s="111">
        <f t="shared" si="33"/>
        <v>517.71</v>
      </c>
      <c r="K173" s="91">
        <f>VLOOKUP($A173,'2022-23 Salary &amp; Benefits'!$A:$I,3,FALSE)</f>
        <v>1</v>
      </c>
      <c r="L173" s="91">
        <f>VLOOKUP($A173,'2022-23 Salary &amp; Benefits'!$A:$I,4,FALSE)</f>
        <v>1</v>
      </c>
      <c r="M173" s="101">
        <f t="shared" si="28"/>
        <v>517.71</v>
      </c>
      <c r="N173" s="24">
        <v>15</v>
      </c>
      <c r="O173" s="26">
        <f t="shared" si="31"/>
        <v>34.514000000000003</v>
      </c>
      <c r="P173" s="24">
        <v>1.1000000000000001</v>
      </c>
      <c r="Q173" s="24">
        <v>36</v>
      </c>
      <c r="R173" s="27">
        <f t="shared" si="32"/>
        <v>1366.7544000000003</v>
      </c>
      <c r="S173" s="102">
        <f t="shared" si="34"/>
        <v>1.5189999999999999</v>
      </c>
      <c r="T173" s="21">
        <f>VLOOKUP($A173,'2022-23 Salary &amp; Benefits'!$A:$I,5,FALSE)</f>
        <v>68937</v>
      </c>
      <c r="U173" s="21">
        <f>VLOOKUP($A173,'2022-23 Salary &amp; Benefits'!$A:$I,6,FALSE)</f>
        <v>72728</v>
      </c>
      <c r="V173" s="22">
        <f t="shared" si="35"/>
        <v>104715.3</v>
      </c>
      <c r="W173" s="22">
        <f t="shared" si="36"/>
        <v>5758.5299999999988</v>
      </c>
      <c r="X173" s="22">
        <f>'2022-23 Salary &amp; Benefits'!$G$6</f>
        <v>12558.24</v>
      </c>
      <c r="Y173" s="23">
        <f>'2022-23 Salary &amp; Benefits'!$H$6</f>
        <v>0.2298</v>
      </c>
      <c r="Z173" s="23">
        <f>'2022-23 Salary &amp; Benefits'!$I$6</f>
        <v>0.22339999999999999</v>
      </c>
      <c r="AA173" s="22">
        <f t="shared" si="37"/>
        <v>44426</v>
      </c>
      <c r="AB173" s="22">
        <f t="shared" si="38"/>
        <v>1841.23</v>
      </c>
      <c r="AC173" s="22">
        <f t="shared" si="39"/>
        <v>411.33</v>
      </c>
      <c r="AD173" s="22">
        <f t="shared" si="29"/>
        <v>2252.56</v>
      </c>
      <c r="AE173" s="22">
        <f t="shared" si="30"/>
        <v>157152.38999999998</v>
      </c>
      <c r="AF173" s="19" t="str">
        <f>VLOOKUP(C173,'2021-22 School Level AAFTE'!C:N,12,FALSE)</f>
        <v>No</v>
      </c>
    </row>
    <row r="174" spans="1:284" s="19" customFormat="1">
      <c r="A174" s="97" t="s">
        <v>2449</v>
      </c>
      <c r="B174" s="97" t="s">
        <v>1473</v>
      </c>
      <c r="C174" s="95">
        <v>4381</v>
      </c>
      <c r="D174" s="95" t="s">
        <v>1492</v>
      </c>
      <c r="E174" s="129">
        <f>VLOOKUP($C174,'2021-22 School Level AAFTE'!$C:$Z,11,FALSE)</f>
        <v>0.43186666666666668</v>
      </c>
      <c r="F174" s="129" t="str">
        <f>VLOOKUP($C174,'2021-22 School Level AAFTE'!$C:$Z,8,FALSE)</f>
        <v>No</v>
      </c>
      <c r="G174" s="129" t="str">
        <f>VLOOKUP($C174,'2021-22 School Level AAFTE'!$C:$Z,12,FALSE)</f>
        <v>No</v>
      </c>
      <c r="H174" s="127">
        <f>VLOOKUP($C174,'2021-22 School Level AAFTE'!$C:$I,7,FALSE)</f>
        <v>492.83</v>
      </c>
      <c r="I174" s="112">
        <f>IFERROR(IF(OR(G174="yes",F174= "yes"),VLOOKUP(C174,Summary!$B:$J,6,0),0),0)</f>
        <v>0</v>
      </c>
      <c r="J174" s="111">
        <f t="shared" si="33"/>
        <v>0</v>
      </c>
      <c r="K174" s="91">
        <f>VLOOKUP($A174,'2022-23 Salary &amp; Benefits'!$A:$I,3,FALSE)</f>
        <v>1</v>
      </c>
      <c r="L174" s="91">
        <f>VLOOKUP($A174,'2022-23 Salary &amp; Benefits'!$A:$I,4,FALSE)</f>
        <v>1</v>
      </c>
      <c r="M174" s="101">
        <f t="shared" si="28"/>
        <v>0</v>
      </c>
      <c r="N174" s="24">
        <v>15</v>
      </c>
      <c r="O174" s="26">
        <f t="shared" si="31"/>
        <v>0</v>
      </c>
      <c r="P174" s="24">
        <v>1.1000000000000001</v>
      </c>
      <c r="Q174" s="24">
        <v>36</v>
      </c>
      <c r="R174" s="27">
        <f t="shared" si="32"/>
        <v>0</v>
      </c>
      <c r="S174" s="102">
        <f t="shared" si="34"/>
        <v>0</v>
      </c>
      <c r="T174" s="21">
        <f>VLOOKUP($A174,'2022-23 Salary &amp; Benefits'!$A:$I,5,FALSE)</f>
        <v>68937</v>
      </c>
      <c r="U174" s="21">
        <f>VLOOKUP($A174,'2022-23 Salary &amp; Benefits'!$A:$I,6,FALSE)</f>
        <v>72728</v>
      </c>
      <c r="V174" s="22">
        <f t="shared" si="35"/>
        <v>0</v>
      </c>
      <c r="W174" s="22">
        <f t="shared" si="36"/>
        <v>0</v>
      </c>
      <c r="X174" s="22">
        <f>'2022-23 Salary &amp; Benefits'!$G$6</f>
        <v>12558.24</v>
      </c>
      <c r="Y174" s="23">
        <f>'2022-23 Salary &amp; Benefits'!$H$6</f>
        <v>0.2298</v>
      </c>
      <c r="Z174" s="23">
        <f>'2022-23 Salary &amp; Benefits'!$I$6</f>
        <v>0.22339999999999999</v>
      </c>
      <c r="AA174" s="22">
        <f t="shared" si="37"/>
        <v>0</v>
      </c>
      <c r="AB174" s="22">
        <f t="shared" si="38"/>
        <v>0</v>
      </c>
      <c r="AC174" s="22">
        <f t="shared" si="39"/>
        <v>0</v>
      </c>
      <c r="AD174" s="22">
        <f t="shared" si="29"/>
        <v>0</v>
      </c>
      <c r="AE174" s="22">
        <f t="shared" si="30"/>
        <v>0</v>
      </c>
      <c r="AF174" s="19" t="str">
        <f>VLOOKUP(C174,'2021-22 School Level AAFTE'!C:N,12,FALSE)</f>
        <v>No</v>
      </c>
    </row>
    <row r="175" spans="1:284" s="19" customFormat="1">
      <c r="A175" s="97" t="s">
        <v>2449</v>
      </c>
      <c r="B175" s="97" t="s">
        <v>1473</v>
      </c>
      <c r="C175" s="95">
        <v>4407</v>
      </c>
      <c r="D175" s="95" t="s">
        <v>245</v>
      </c>
      <c r="E175" s="129">
        <f>VLOOKUP($C175,'2021-22 School Level AAFTE'!$C:$Z,11,FALSE)</f>
        <v>0.40716666666666668</v>
      </c>
      <c r="F175" s="129" t="str">
        <f>VLOOKUP($C175,'2021-22 School Level AAFTE'!$C:$Z,8,FALSE)</f>
        <v>No</v>
      </c>
      <c r="G175" s="129" t="str">
        <f>VLOOKUP($C175,'2021-22 School Level AAFTE'!$C:$Z,12,FALSE)</f>
        <v>No</v>
      </c>
      <c r="H175" s="127">
        <f>VLOOKUP($C175,'2021-22 School Level AAFTE'!$C:$I,7,FALSE)</f>
        <v>671.38</v>
      </c>
      <c r="I175" s="112">
        <f>IFERROR(IF(OR(G175="yes",F175= "yes"),VLOOKUP(C175,Summary!$B:$J,6,0),0),0)</f>
        <v>0</v>
      </c>
      <c r="J175" s="111">
        <f t="shared" si="33"/>
        <v>0</v>
      </c>
      <c r="K175" s="91">
        <f>VLOOKUP($A175,'2022-23 Salary &amp; Benefits'!$A:$I,3,FALSE)</f>
        <v>1</v>
      </c>
      <c r="L175" s="91">
        <f>VLOOKUP($A175,'2022-23 Salary &amp; Benefits'!$A:$I,4,FALSE)</f>
        <v>1</v>
      </c>
      <c r="M175" s="101">
        <f t="shared" si="28"/>
        <v>0</v>
      </c>
      <c r="N175" s="24">
        <v>15</v>
      </c>
      <c r="O175" s="26">
        <f t="shared" si="31"/>
        <v>0</v>
      </c>
      <c r="P175" s="24">
        <v>1.1000000000000001</v>
      </c>
      <c r="Q175" s="24">
        <v>36</v>
      </c>
      <c r="R175" s="27">
        <f t="shared" si="32"/>
        <v>0</v>
      </c>
      <c r="S175" s="102">
        <f t="shared" si="34"/>
        <v>0</v>
      </c>
      <c r="T175" s="21">
        <f>VLOOKUP($A175,'2022-23 Salary &amp; Benefits'!$A:$I,5,FALSE)</f>
        <v>68937</v>
      </c>
      <c r="U175" s="21">
        <f>VLOOKUP($A175,'2022-23 Salary &amp; Benefits'!$A:$I,6,FALSE)</f>
        <v>72728</v>
      </c>
      <c r="V175" s="22">
        <f t="shared" si="35"/>
        <v>0</v>
      </c>
      <c r="W175" s="22">
        <f t="shared" si="36"/>
        <v>0</v>
      </c>
      <c r="X175" s="22">
        <f>'2022-23 Salary &amp; Benefits'!$G$6</f>
        <v>12558.24</v>
      </c>
      <c r="Y175" s="23">
        <f>'2022-23 Salary &amp; Benefits'!$H$6</f>
        <v>0.2298</v>
      </c>
      <c r="Z175" s="23">
        <f>'2022-23 Salary &amp; Benefits'!$I$6</f>
        <v>0.22339999999999999</v>
      </c>
      <c r="AA175" s="22">
        <f t="shared" si="37"/>
        <v>0</v>
      </c>
      <c r="AB175" s="22">
        <f t="shared" si="38"/>
        <v>0</v>
      </c>
      <c r="AC175" s="22">
        <f t="shared" si="39"/>
        <v>0</v>
      </c>
      <c r="AD175" s="22">
        <f t="shared" si="29"/>
        <v>0</v>
      </c>
      <c r="AE175" s="22">
        <f t="shared" si="30"/>
        <v>0</v>
      </c>
      <c r="AF175" s="19" t="str">
        <f>VLOOKUP(C175,'2021-22 School Level AAFTE'!C:N,12,FALSE)</f>
        <v>No</v>
      </c>
    </row>
    <row r="176" spans="1:284" s="19" customFormat="1">
      <c r="A176" s="97" t="s">
        <v>2449</v>
      </c>
      <c r="B176" s="97" t="s">
        <v>1473</v>
      </c>
      <c r="C176" s="95">
        <v>4538</v>
      </c>
      <c r="D176" s="95" t="s">
        <v>1493</v>
      </c>
      <c r="E176" s="129">
        <f>VLOOKUP($C176,'2021-22 School Level AAFTE'!$C:$Z,11,FALSE)</f>
        <v>0.45049999999999996</v>
      </c>
      <c r="F176" s="129" t="str">
        <f>VLOOKUP($C176,'2021-22 School Level AAFTE'!$C:$Z,8,FALSE)</f>
        <v>No</v>
      </c>
      <c r="G176" s="129" t="str">
        <f>VLOOKUP($C176,'2021-22 School Level AAFTE'!$C:$Z,12,FALSE)</f>
        <v>No</v>
      </c>
      <c r="H176" s="127">
        <f>VLOOKUP($C176,'2021-22 School Level AAFTE'!$C:$I,7,FALSE)</f>
        <v>475.02</v>
      </c>
      <c r="I176" s="112">
        <f>IFERROR(IF(OR(G176="yes",F176= "yes"),VLOOKUP(C176,Summary!$B:$J,6,0),0),0)</f>
        <v>0</v>
      </c>
      <c r="J176" s="111">
        <f t="shared" si="33"/>
        <v>0</v>
      </c>
      <c r="K176" s="91">
        <f>VLOOKUP($A176,'2022-23 Salary &amp; Benefits'!$A:$I,3,FALSE)</f>
        <v>1</v>
      </c>
      <c r="L176" s="91">
        <f>VLOOKUP($A176,'2022-23 Salary &amp; Benefits'!$A:$I,4,FALSE)</f>
        <v>1</v>
      </c>
      <c r="M176" s="101">
        <f t="shared" si="28"/>
        <v>0</v>
      </c>
      <c r="N176" s="24">
        <v>15</v>
      </c>
      <c r="O176" s="26">
        <f t="shared" si="31"/>
        <v>0</v>
      </c>
      <c r="P176" s="24">
        <v>1.1000000000000001</v>
      </c>
      <c r="Q176" s="24">
        <v>36</v>
      </c>
      <c r="R176" s="27">
        <f t="shared" si="32"/>
        <v>0</v>
      </c>
      <c r="S176" s="102">
        <f t="shared" si="34"/>
        <v>0</v>
      </c>
      <c r="T176" s="21">
        <f>VLOOKUP($A176,'2022-23 Salary &amp; Benefits'!$A:$I,5,FALSE)</f>
        <v>68937</v>
      </c>
      <c r="U176" s="21">
        <f>VLOOKUP($A176,'2022-23 Salary &amp; Benefits'!$A:$I,6,FALSE)</f>
        <v>72728</v>
      </c>
      <c r="V176" s="22">
        <f t="shared" si="35"/>
        <v>0</v>
      </c>
      <c r="W176" s="22">
        <f t="shared" si="36"/>
        <v>0</v>
      </c>
      <c r="X176" s="22">
        <f>'2022-23 Salary &amp; Benefits'!$G$6</f>
        <v>12558.24</v>
      </c>
      <c r="Y176" s="23">
        <f>'2022-23 Salary &amp; Benefits'!$H$6</f>
        <v>0.2298</v>
      </c>
      <c r="Z176" s="23">
        <f>'2022-23 Salary &amp; Benefits'!$I$6</f>
        <v>0.22339999999999999</v>
      </c>
      <c r="AA176" s="22">
        <f t="shared" si="37"/>
        <v>0</v>
      </c>
      <c r="AB176" s="22">
        <f t="shared" si="38"/>
        <v>0</v>
      </c>
      <c r="AC176" s="22">
        <f t="shared" si="39"/>
        <v>0</v>
      </c>
      <c r="AD176" s="22">
        <f t="shared" si="29"/>
        <v>0</v>
      </c>
      <c r="AE176" s="22">
        <f t="shared" si="30"/>
        <v>0</v>
      </c>
      <c r="AF176" s="19" t="str">
        <f>VLOOKUP(C176,'2021-22 School Level AAFTE'!C:N,12,FALSE)</f>
        <v>No</v>
      </c>
    </row>
    <row r="177" spans="1:284" s="19" customFormat="1">
      <c r="A177" s="97" t="s">
        <v>2449</v>
      </c>
      <c r="B177" s="97" t="s">
        <v>1473</v>
      </c>
      <c r="C177" s="95">
        <v>4578</v>
      </c>
      <c r="D177" s="95" t="s">
        <v>1494</v>
      </c>
      <c r="E177" s="129">
        <f>VLOOKUP($C177,'2021-22 School Level AAFTE'!$C:$Z,11,FALSE)</f>
        <v>0.45270000000000005</v>
      </c>
      <c r="F177" s="129" t="str">
        <f>VLOOKUP($C177,'2021-22 School Level AAFTE'!$C:$Z,8,FALSE)</f>
        <v>No</v>
      </c>
      <c r="G177" s="129" t="str">
        <f>VLOOKUP($C177,'2021-22 School Level AAFTE'!$C:$Z,12,FALSE)</f>
        <v>No</v>
      </c>
      <c r="H177" s="127">
        <f>VLOOKUP($C177,'2021-22 School Level AAFTE'!$C:$I,7,FALSE)</f>
        <v>621.23</v>
      </c>
      <c r="I177" s="112">
        <f>IFERROR(IF(OR(G177="yes",F177= "yes"),VLOOKUP(C177,Summary!$B:$J,6,0),0),0)</f>
        <v>0</v>
      </c>
      <c r="J177" s="111">
        <f t="shared" si="33"/>
        <v>0</v>
      </c>
      <c r="K177" s="91">
        <f>VLOOKUP($A177,'2022-23 Salary &amp; Benefits'!$A:$I,3,FALSE)</f>
        <v>1</v>
      </c>
      <c r="L177" s="91">
        <f>VLOOKUP($A177,'2022-23 Salary &amp; Benefits'!$A:$I,4,FALSE)</f>
        <v>1</v>
      </c>
      <c r="M177" s="101">
        <f t="shared" si="28"/>
        <v>0</v>
      </c>
      <c r="N177" s="24">
        <v>15</v>
      </c>
      <c r="O177" s="26">
        <f t="shared" si="31"/>
        <v>0</v>
      </c>
      <c r="P177" s="24">
        <v>1.1000000000000001</v>
      </c>
      <c r="Q177" s="24">
        <v>36</v>
      </c>
      <c r="R177" s="27">
        <f t="shared" si="32"/>
        <v>0</v>
      </c>
      <c r="S177" s="102">
        <f t="shared" si="34"/>
        <v>0</v>
      </c>
      <c r="T177" s="21">
        <f>VLOOKUP($A177,'2022-23 Salary &amp; Benefits'!$A:$I,5,FALSE)</f>
        <v>68937</v>
      </c>
      <c r="U177" s="21">
        <f>VLOOKUP($A177,'2022-23 Salary &amp; Benefits'!$A:$I,6,FALSE)</f>
        <v>72728</v>
      </c>
      <c r="V177" s="22">
        <f t="shared" si="35"/>
        <v>0</v>
      </c>
      <c r="W177" s="22">
        <f t="shared" si="36"/>
        <v>0</v>
      </c>
      <c r="X177" s="22">
        <f>'2022-23 Salary &amp; Benefits'!$G$6</f>
        <v>12558.24</v>
      </c>
      <c r="Y177" s="23">
        <f>'2022-23 Salary &amp; Benefits'!$H$6</f>
        <v>0.2298</v>
      </c>
      <c r="Z177" s="23">
        <f>'2022-23 Salary &amp; Benefits'!$I$6</f>
        <v>0.22339999999999999</v>
      </c>
      <c r="AA177" s="22">
        <f t="shared" si="37"/>
        <v>0</v>
      </c>
      <c r="AB177" s="22">
        <f t="shared" si="38"/>
        <v>0</v>
      </c>
      <c r="AC177" s="22">
        <f t="shared" si="39"/>
        <v>0</v>
      </c>
      <c r="AD177" s="22">
        <f t="shared" si="29"/>
        <v>0</v>
      </c>
      <c r="AE177" s="22">
        <f t="shared" si="30"/>
        <v>0</v>
      </c>
      <c r="AF177" s="19" t="str">
        <f>VLOOKUP(C177,'2021-22 School Level AAFTE'!C:N,12,FALSE)</f>
        <v>No</v>
      </c>
    </row>
    <row r="178" spans="1:284" s="19" customFormat="1">
      <c r="A178" s="97" t="s">
        <v>2449</v>
      </c>
      <c r="B178" s="97" t="s">
        <v>1473</v>
      </c>
      <c r="C178" s="95">
        <v>5033</v>
      </c>
      <c r="D178" s="95" t="s">
        <v>1495</v>
      </c>
      <c r="E178" s="129">
        <f>VLOOKUP($C178,'2021-22 School Level AAFTE'!$C:$Z,11,FALSE)</f>
        <v>0.38216666666666671</v>
      </c>
      <c r="F178" s="129" t="str">
        <f>VLOOKUP($C178,'2021-22 School Level AAFTE'!$C:$Z,8,FALSE)</f>
        <v>No</v>
      </c>
      <c r="G178" s="129" t="str">
        <f>VLOOKUP($C178,'2021-22 School Level AAFTE'!$C:$Z,12,FALSE)</f>
        <v>No</v>
      </c>
      <c r="H178" s="127">
        <f>VLOOKUP($C178,'2021-22 School Level AAFTE'!$C:$I,7,FALSE)</f>
        <v>1915.13</v>
      </c>
      <c r="I178" s="112">
        <f>IFERROR(IF(OR(G178="yes",F178= "yes"),VLOOKUP(C178,Summary!$B:$J,6,0),0),0)</f>
        <v>0</v>
      </c>
      <c r="J178" s="111">
        <f t="shared" si="33"/>
        <v>0</v>
      </c>
      <c r="K178" s="91">
        <f>VLOOKUP($A178,'2022-23 Salary &amp; Benefits'!$A:$I,3,FALSE)</f>
        <v>1</v>
      </c>
      <c r="L178" s="91">
        <f>VLOOKUP($A178,'2022-23 Salary &amp; Benefits'!$A:$I,4,FALSE)</f>
        <v>1</v>
      </c>
      <c r="M178" s="39">
        <f t="shared" si="28"/>
        <v>0</v>
      </c>
      <c r="N178" s="24">
        <v>15</v>
      </c>
      <c r="O178" s="26">
        <f t="shared" si="31"/>
        <v>0</v>
      </c>
      <c r="P178" s="24">
        <v>1.1000000000000001</v>
      </c>
      <c r="Q178" s="24">
        <v>36</v>
      </c>
      <c r="R178" s="27">
        <f t="shared" si="32"/>
        <v>0</v>
      </c>
      <c r="S178" s="102">
        <f t="shared" si="34"/>
        <v>0</v>
      </c>
      <c r="T178" s="21">
        <f>VLOOKUP($A178,'2022-23 Salary &amp; Benefits'!$A:$I,5,FALSE)</f>
        <v>68937</v>
      </c>
      <c r="U178" s="21">
        <f>VLOOKUP($A178,'2022-23 Salary &amp; Benefits'!$A:$I,6,FALSE)</f>
        <v>72728</v>
      </c>
      <c r="V178" s="22">
        <f t="shared" si="35"/>
        <v>0</v>
      </c>
      <c r="W178" s="22">
        <f t="shared" si="36"/>
        <v>0</v>
      </c>
      <c r="X178" s="22">
        <f>'2022-23 Salary &amp; Benefits'!$G$6</f>
        <v>12558.24</v>
      </c>
      <c r="Y178" s="23">
        <f>'2022-23 Salary &amp; Benefits'!$H$6</f>
        <v>0.2298</v>
      </c>
      <c r="Z178" s="23">
        <f>'2022-23 Salary &amp; Benefits'!$I$6</f>
        <v>0.22339999999999999</v>
      </c>
      <c r="AA178" s="22">
        <f t="shared" si="37"/>
        <v>0</v>
      </c>
      <c r="AB178" s="22">
        <f t="shared" si="38"/>
        <v>0</v>
      </c>
      <c r="AC178" s="22">
        <f t="shared" si="39"/>
        <v>0</v>
      </c>
      <c r="AD178" s="22">
        <f t="shared" si="29"/>
        <v>0</v>
      </c>
      <c r="AE178" s="22">
        <f t="shared" si="30"/>
        <v>0</v>
      </c>
      <c r="AF178" s="19" t="str">
        <f>VLOOKUP(C178,'2021-22 School Level AAFTE'!C:N,12,FALSE)</f>
        <v>No</v>
      </c>
    </row>
    <row r="179" spans="1:284" s="19" customFormat="1">
      <c r="A179" s="97" t="s">
        <v>2449</v>
      </c>
      <c r="B179" s="97" t="s">
        <v>1473</v>
      </c>
      <c r="C179" s="95">
        <v>5159</v>
      </c>
      <c r="D179" s="95" t="s">
        <v>1496</v>
      </c>
      <c r="E179" s="129">
        <f>VLOOKUP($C179,'2021-22 School Level AAFTE'!$C:$Z,11,FALSE)</f>
        <v>0.46910000000000002</v>
      </c>
      <c r="F179" s="129" t="str">
        <f>VLOOKUP($C179,'2021-22 School Level AAFTE'!$C:$Z,8,FALSE)</f>
        <v>No</v>
      </c>
      <c r="G179" s="129" t="str">
        <f>VLOOKUP($C179,'2021-22 School Level AAFTE'!$C:$Z,12,FALSE)</f>
        <v>No</v>
      </c>
      <c r="H179" s="127">
        <f>VLOOKUP($C179,'2021-22 School Level AAFTE'!$C:$I,7,FALSE)</f>
        <v>537.89</v>
      </c>
      <c r="I179" s="112">
        <f>IFERROR(IF(OR(G179="yes",F179= "yes"),VLOOKUP(C179,Summary!$B:$J,6,0),0),0)</f>
        <v>0</v>
      </c>
      <c r="J179" s="111">
        <f t="shared" si="33"/>
        <v>0</v>
      </c>
      <c r="K179" s="91">
        <f>VLOOKUP($A179,'2022-23 Salary &amp; Benefits'!$A:$I,3,FALSE)</f>
        <v>1</v>
      </c>
      <c r="L179" s="91">
        <f>VLOOKUP($A179,'2022-23 Salary &amp; Benefits'!$A:$I,4,FALSE)</f>
        <v>1</v>
      </c>
      <c r="M179" s="39">
        <f t="shared" si="28"/>
        <v>0</v>
      </c>
      <c r="N179" s="24">
        <v>15</v>
      </c>
      <c r="O179" s="26">
        <f t="shared" si="31"/>
        <v>0</v>
      </c>
      <c r="P179" s="24">
        <v>1.1000000000000001</v>
      </c>
      <c r="Q179" s="24">
        <v>36</v>
      </c>
      <c r="R179" s="27">
        <f t="shared" si="32"/>
        <v>0</v>
      </c>
      <c r="S179" s="102">
        <f t="shared" si="34"/>
        <v>0</v>
      </c>
      <c r="T179" s="21">
        <f>VLOOKUP($A179,'2022-23 Salary &amp; Benefits'!$A:$I,5,FALSE)</f>
        <v>68937</v>
      </c>
      <c r="U179" s="21">
        <f>VLOOKUP($A179,'2022-23 Salary &amp; Benefits'!$A:$I,6,FALSE)</f>
        <v>72728</v>
      </c>
      <c r="V179" s="22">
        <f t="shared" si="35"/>
        <v>0</v>
      </c>
      <c r="W179" s="22">
        <f t="shared" si="36"/>
        <v>0</v>
      </c>
      <c r="X179" s="22">
        <f>'2022-23 Salary &amp; Benefits'!$G$6</f>
        <v>12558.24</v>
      </c>
      <c r="Y179" s="23">
        <f>'2022-23 Salary &amp; Benefits'!$H$6</f>
        <v>0.2298</v>
      </c>
      <c r="Z179" s="23">
        <f>'2022-23 Salary &amp; Benefits'!$I$6</f>
        <v>0.22339999999999999</v>
      </c>
      <c r="AA179" s="22">
        <f t="shared" si="37"/>
        <v>0</v>
      </c>
      <c r="AB179" s="22">
        <f t="shared" si="38"/>
        <v>0</v>
      </c>
      <c r="AC179" s="22">
        <f t="shared" si="39"/>
        <v>0</v>
      </c>
      <c r="AD179" s="22">
        <f t="shared" si="29"/>
        <v>0</v>
      </c>
      <c r="AE179" s="22">
        <f t="shared" si="30"/>
        <v>0</v>
      </c>
      <c r="AF179" s="19" t="str">
        <f>VLOOKUP(C179,'2021-22 School Level AAFTE'!C:N,12,FALSE)</f>
        <v>No</v>
      </c>
    </row>
    <row r="180" spans="1:284" s="19" customFormat="1">
      <c r="A180" s="97" t="s">
        <v>2449</v>
      </c>
      <c r="B180" s="97" t="s">
        <v>1473</v>
      </c>
      <c r="C180" s="95">
        <v>5160</v>
      </c>
      <c r="D180" s="95" t="s">
        <v>1497</v>
      </c>
      <c r="E180" s="129">
        <f>VLOOKUP($C180,'2021-22 School Level AAFTE'!$C:$Z,11,FALSE)</f>
        <v>0.32583333333333336</v>
      </c>
      <c r="F180" s="129" t="str">
        <f>VLOOKUP($C180,'2021-22 School Level AAFTE'!$C:$Z,8,FALSE)</f>
        <v>No</v>
      </c>
      <c r="G180" s="129" t="str">
        <f>VLOOKUP($C180,'2021-22 School Level AAFTE'!$C:$Z,12,FALSE)</f>
        <v>No</v>
      </c>
      <c r="H180" s="127">
        <f>VLOOKUP($C180,'2021-22 School Level AAFTE'!$C:$I,7,FALSE)</f>
        <v>702.34</v>
      </c>
      <c r="I180" s="112">
        <f>IFERROR(IF(OR(G180="yes",F180= "yes"),VLOOKUP(C180,Summary!$B:$J,6,0),0),0)</f>
        <v>0</v>
      </c>
      <c r="J180" s="111">
        <f t="shared" si="33"/>
        <v>0</v>
      </c>
      <c r="K180" s="91">
        <f>VLOOKUP($A180,'2022-23 Salary &amp; Benefits'!$A:$I,3,FALSE)</f>
        <v>1</v>
      </c>
      <c r="L180" s="91">
        <f>VLOOKUP($A180,'2022-23 Salary &amp; Benefits'!$A:$I,4,FALSE)</f>
        <v>1</v>
      </c>
      <c r="M180" s="101">
        <f t="shared" si="28"/>
        <v>0</v>
      </c>
      <c r="N180" s="24">
        <v>15</v>
      </c>
      <c r="O180" s="26">
        <f t="shared" si="31"/>
        <v>0</v>
      </c>
      <c r="P180" s="24">
        <v>1.1000000000000001</v>
      </c>
      <c r="Q180" s="24">
        <v>36</v>
      </c>
      <c r="R180" s="27">
        <f t="shared" si="32"/>
        <v>0</v>
      </c>
      <c r="S180" s="102">
        <f t="shared" si="34"/>
        <v>0</v>
      </c>
      <c r="T180" s="21">
        <f>VLOOKUP($A180,'2022-23 Salary &amp; Benefits'!$A:$I,5,FALSE)</f>
        <v>68937</v>
      </c>
      <c r="U180" s="21">
        <f>VLOOKUP($A180,'2022-23 Salary &amp; Benefits'!$A:$I,6,FALSE)</f>
        <v>72728</v>
      </c>
      <c r="V180" s="22">
        <f t="shared" si="35"/>
        <v>0</v>
      </c>
      <c r="W180" s="22">
        <f t="shared" si="36"/>
        <v>0</v>
      </c>
      <c r="X180" s="22">
        <f>'2022-23 Salary &amp; Benefits'!$G$6</f>
        <v>12558.24</v>
      </c>
      <c r="Y180" s="23">
        <f>'2022-23 Salary &amp; Benefits'!$H$6</f>
        <v>0.2298</v>
      </c>
      <c r="Z180" s="23">
        <f>'2022-23 Salary &amp; Benefits'!$I$6</f>
        <v>0.22339999999999999</v>
      </c>
      <c r="AA180" s="22">
        <f t="shared" si="37"/>
        <v>0</v>
      </c>
      <c r="AB180" s="22">
        <f t="shared" si="38"/>
        <v>0</v>
      </c>
      <c r="AC180" s="22">
        <f t="shared" si="39"/>
        <v>0</v>
      </c>
      <c r="AD180" s="22">
        <f t="shared" si="29"/>
        <v>0</v>
      </c>
      <c r="AE180" s="22">
        <f t="shared" si="30"/>
        <v>0</v>
      </c>
      <c r="AF180" s="19" t="str">
        <f>VLOOKUP(C180,'2021-22 School Level AAFTE'!C:N,12,FALSE)</f>
        <v>No</v>
      </c>
    </row>
    <row r="181" spans="1:284" s="19" customFormat="1">
      <c r="A181" s="97" t="s">
        <v>2449</v>
      </c>
      <c r="B181" s="97" t="s">
        <v>1473</v>
      </c>
      <c r="C181" s="95">
        <v>5206</v>
      </c>
      <c r="D181" s="95" t="s">
        <v>261</v>
      </c>
      <c r="E181" s="129">
        <f>VLOOKUP($C181,'2021-22 School Level AAFTE'!$C:$Z,11,FALSE)</f>
        <v>0.50256666666666661</v>
      </c>
      <c r="F181" s="129" t="str">
        <f>VLOOKUP($C181,'2021-22 School Level AAFTE'!$C:$Z,8,FALSE)</f>
        <v>Yes</v>
      </c>
      <c r="G181" s="129" t="str">
        <f>VLOOKUP($C181,'2021-22 School Level AAFTE'!$C:$Z,12,FALSE)</f>
        <v>No</v>
      </c>
      <c r="H181" s="127">
        <f>VLOOKUP($C181,'2021-22 School Level AAFTE'!$C:$I,7,FALSE)</f>
        <v>864.62</v>
      </c>
      <c r="I181" s="112">
        <f>IFERROR(IF(OR(G181="yes",F181= "yes"),VLOOKUP(C181,Summary!$B:$J,6,0),0),0)</f>
        <v>0</v>
      </c>
      <c r="J181" s="111">
        <f t="shared" si="33"/>
        <v>864.62</v>
      </c>
      <c r="K181" s="91">
        <f>VLOOKUP($A181,'2022-23 Salary &amp; Benefits'!$A:$I,3,FALSE)</f>
        <v>1</v>
      </c>
      <c r="L181" s="91">
        <f>VLOOKUP($A181,'2022-23 Salary &amp; Benefits'!$A:$I,4,FALSE)</f>
        <v>1</v>
      </c>
      <c r="M181" s="101">
        <f t="shared" si="28"/>
        <v>864.62</v>
      </c>
      <c r="N181" s="24">
        <v>15</v>
      </c>
      <c r="O181" s="26">
        <f t="shared" si="31"/>
        <v>57.641333333333336</v>
      </c>
      <c r="P181" s="24">
        <v>1.1000000000000001</v>
      </c>
      <c r="Q181" s="24">
        <v>36</v>
      </c>
      <c r="R181" s="27">
        <f t="shared" si="32"/>
        <v>2282.5968000000003</v>
      </c>
      <c r="S181" s="102">
        <f t="shared" si="34"/>
        <v>2.536</v>
      </c>
      <c r="T181" s="21">
        <f>VLOOKUP($A181,'2022-23 Salary &amp; Benefits'!$A:$I,5,FALSE)</f>
        <v>68937</v>
      </c>
      <c r="U181" s="21">
        <f>VLOOKUP($A181,'2022-23 Salary &amp; Benefits'!$A:$I,6,FALSE)</f>
        <v>72728</v>
      </c>
      <c r="V181" s="22">
        <f t="shared" si="35"/>
        <v>174824.23</v>
      </c>
      <c r="W181" s="22">
        <f t="shared" si="36"/>
        <v>9613.9799999999814</v>
      </c>
      <c r="X181" s="22">
        <f>'2022-23 Salary &amp; Benefits'!$G$6</f>
        <v>12558.24</v>
      </c>
      <c r="Y181" s="23">
        <f>'2022-23 Salary &amp; Benefits'!$H$6</f>
        <v>0.2298</v>
      </c>
      <c r="Z181" s="23">
        <f>'2022-23 Salary &amp; Benefits'!$I$6</f>
        <v>0.22339999999999999</v>
      </c>
      <c r="AA181" s="22">
        <f t="shared" si="37"/>
        <v>74170.070000000007</v>
      </c>
      <c r="AB181" s="22">
        <f t="shared" si="38"/>
        <v>3073.97</v>
      </c>
      <c r="AC181" s="22">
        <f t="shared" si="39"/>
        <v>686.72</v>
      </c>
      <c r="AD181" s="22">
        <f t="shared" si="29"/>
        <v>3760.6899999999996</v>
      </c>
      <c r="AE181" s="22">
        <f t="shared" si="30"/>
        <v>262368.96999999997</v>
      </c>
      <c r="AF181" s="19" t="str">
        <f>VLOOKUP(C181,'2021-22 School Level AAFTE'!C:N,12,FALSE)</f>
        <v>No</v>
      </c>
    </row>
    <row r="182" spans="1:284" s="19" customFormat="1">
      <c r="A182" s="97" t="s">
        <v>2449</v>
      </c>
      <c r="B182" s="97" t="s">
        <v>1473</v>
      </c>
      <c r="C182" s="95">
        <v>5372</v>
      </c>
      <c r="D182" s="95" t="s">
        <v>1498</v>
      </c>
      <c r="E182" s="129">
        <f>VLOOKUP($C182,'2021-22 School Level AAFTE'!$C:$Z,11,FALSE)</f>
        <v>0.4346666666666667</v>
      </c>
      <c r="F182" s="129" t="str">
        <f>VLOOKUP($C182,'2021-22 School Level AAFTE'!$C:$Z,8,FALSE)</f>
        <v>No</v>
      </c>
      <c r="G182" s="129" t="str">
        <f>VLOOKUP($C182,'2021-22 School Level AAFTE'!$C:$Z,12,FALSE)</f>
        <v>No</v>
      </c>
      <c r="H182" s="127">
        <f>VLOOKUP($C182,'2021-22 School Level AAFTE'!$C:$I,7,FALSE)</f>
        <v>251.57</v>
      </c>
      <c r="I182" s="112">
        <f>IFERROR(IF(OR(G182="yes",F182= "yes"),VLOOKUP(C182,Summary!$B:$J,6,0),0),0)</f>
        <v>0</v>
      </c>
      <c r="J182" s="111">
        <f t="shared" si="33"/>
        <v>0</v>
      </c>
      <c r="K182" s="91">
        <f>VLOOKUP($A182,'2022-23 Salary &amp; Benefits'!$A:$I,3,FALSE)</f>
        <v>1</v>
      </c>
      <c r="L182" s="91">
        <f>VLOOKUP($A182,'2022-23 Salary &amp; Benefits'!$A:$I,4,FALSE)</f>
        <v>1</v>
      </c>
      <c r="M182" s="39">
        <f t="shared" si="28"/>
        <v>0</v>
      </c>
      <c r="N182" s="24">
        <v>15</v>
      </c>
      <c r="O182" s="26">
        <f t="shared" si="31"/>
        <v>0</v>
      </c>
      <c r="P182" s="24">
        <v>1.1000000000000001</v>
      </c>
      <c r="Q182" s="24">
        <v>36</v>
      </c>
      <c r="R182" s="27">
        <f t="shared" si="32"/>
        <v>0</v>
      </c>
      <c r="S182" s="102">
        <f t="shared" si="34"/>
        <v>0</v>
      </c>
      <c r="T182" s="21">
        <f>VLOOKUP($A182,'2022-23 Salary &amp; Benefits'!$A:$I,5,FALSE)</f>
        <v>68937</v>
      </c>
      <c r="U182" s="21">
        <f>VLOOKUP($A182,'2022-23 Salary &amp; Benefits'!$A:$I,6,FALSE)</f>
        <v>72728</v>
      </c>
      <c r="V182" s="22">
        <f t="shared" si="35"/>
        <v>0</v>
      </c>
      <c r="W182" s="22">
        <f t="shared" si="36"/>
        <v>0</v>
      </c>
      <c r="X182" s="22">
        <f>'2022-23 Salary &amp; Benefits'!$G$6</f>
        <v>12558.24</v>
      </c>
      <c r="Y182" s="23">
        <f>'2022-23 Salary &amp; Benefits'!$H$6</f>
        <v>0.2298</v>
      </c>
      <c r="Z182" s="23">
        <f>'2022-23 Salary &amp; Benefits'!$I$6</f>
        <v>0.22339999999999999</v>
      </c>
      <c r="AA182" s="22">
        <f t="shared" si="37"/>
        <v>0</v>
      </c>
      <c r="AB182" s="22">
        <f t="shared" si="38"/>
        <v>0</v>
      </c>
      <c r="AC182" s="22">
        <f t="shared" si="39"/>
        <v>0</v>
      </c>
      <c r="AD182" s="22">
        <f t="shared" si="29"/>
        <v>0</v>
      </c>
      <c r="AE182" s="22">
        <f t="shared" si="30"/>
        <v>0</v>
      </c>
      <c r="AF182" s="19" t="str">
        <f>VLOOKUP(C182,'2021-22 School Level AAFTE'!C:N,12,FALSE)</f>
        <v>No</v>
      </c>
    </row>
    <row r="183" spans="1:284" s="19" customFormat="1">
      <c r="A183" s="97" t="s">
        <v>2449</v>
      </c>
      <c r="B183" s="97" t="s">
        <v>1473</v>
      </c>
      <c r="C183" s="95">
        <v>5471</v>
      </c>
      <c r="D183" s="95" t="s">
        <v>2713</v>
      </c>
      <c r="E183" s="129">
        <f>VLOOKUP($C183,'2021-22 School Level AAFTE'!$C:$Z,11,FALSE)</f>
        <v>0.2925666666666667</v>
      </c>
      <c r="F183" s="129" t="str">
        <f>VLOOKUP($C183,'2021-22 School Level AAFTE'!$C:$Z,8,FALSE)</f>
        <v>No</v>
      </c>
      <c r="G183" s="129" t="str">
        <f>VLOOKUP($C183,'2021-22 School Level AAFTE'!$C:$Z,12,FALSE)</f>
        <v>No</v>
      </c>
      <c r="H183" s="127">
        <f>VLOOKUP($C183,'2021-22 School Level AAFTE'!$C:$I,7,FALSE)</f>
        <v>22.67</v>
      </c>
      <c r="I183" s="112">
        <f>IFERROR(IF(OR(G183="yes",F183= "yes"),VLOOKUP(C183,Summary!$B:$J,6,0),0),0)</f>
        <v>0</v>
      </c>
      <c r="J183" s="111">
        <f t="shared" si="33"/>
        <v>0</v>
      </c>
      <c r="K183" s="91">
        <f>VLOOKUP($A183,'2022-23 Salary &amp; Benefits'!$A:$I,3,FALSE)</f>
        <v>1</v>
      </c>
      <c r="L183" s="91">
        <f>VLOOKUP($A183,'2022-23 Salary &amp; Benefits'!$A:$I,4,FALSE)</f>
        <v>1</v>
      </c>
      <c r="M183" s="39">
        <f t="shared" si="28"/>
        <v>0</v>
      </c>
      <c r="N183" s="24">
        <v>15</v>
      </c>
      <c r="O183" s="26">
        <f t="shared" si="31"/>
        <v>0</v>
      </c>
      <c r="P183" s="24">
        <v>1.1000000000000001</v>
      </c>
      <c r="Q183" s="24">
        <v>36</v>
      </c>
      <c r="R183" s="27">
        <f t="shared" si="32"/>
        <v>0</v>
      </c>
      <c r="S183" s="102">
        <f t="shared" si="34"/>
        <v>0</v>
      </c>
      <c r="T183" s="21">
        <f>VLOOKUP($A183,'2022-23 Salary &amp; Benefits'!$A:$I,5,FALSE)</f>
        <v>68937</v>
      </c>
      <c r="U183" s="21">
        <f>VLOOKUP($A183,'2022-23 Salary &amp; Benefits'!$A:$I,6,FALSE)</f>
        <v>72728</v>
      </c>
      <c r="V183" s="22">
        <f t="shared" si="35"/>
        <v>0</v>
      </c>
      <c r="W183" s="22">
        <f t="shared" si="36"/>
        <v>0</v>
      </c>
      <c r="X183" s="22">
        <f>'2022-23 Salary &amp; Benefits'!$G$6</f>
        <v>12558.24</v>
      </c>
      <c r="Y183" s="23">
        <f>'2022-23 Salary &amp; Benefits'!$H$6</f>
        <v>0.2298</v>
      </c>
      <c r="Z183" s="23">
        <f>'2022-23 Salary &amp; Benefits'!$I$6</f>
        <v>0.22339999999999999</v>
      </c>
      <c r="AA183" s="22">
        <f t="shared" si="37"/>
        <v>0</v>
      </c>
      <c r="AB183" s="22">
        <f t="shared" si="38"/>
        <v>0</v>
      </c>
      <c r="AC183" s="22">
        <f t="shared" si="39"/>
        <v>0</v>
      </c>
      <c r="AD183" s="22">
        <f t="shared" si="29"/>
        <v>0</v>
      </c>
      <c r="AE183" s="22">
        <f t="shared" si="30"/>
        <v>0</v>
      </c>
      <c r="AF183" s="19" t="str">
        <f>VLOOKUP(C183,'2021-22 School Level AAFTE'!C:N,12,FALSE)</f>
        <v>No</v>
      </c>
    </row>
    <row r="184" spans="1:284" s="19" customFormat="1">
      <c r="A184" s="97" t="s">
        <v>2449</v>
      </c>
      <c r="B184" s="97" t="s">
        <v>1473</v>
      </c>
      <c r="C184" s="95">
        <v>5633</v>
      </c>
      <c r="D184" s="95" t="s">
        <v>2865</v>
      </c>
      <c r="E184" s="129">
        <f>VLOOKUP($C184,'2021-22 School Level AAFTE'!$C:$Z,11,FALSE)</f>
        <v>0.51390000000000002</v>
      </c>
      <c r="F184" s="129" t="str">
        <f>VLOOKUP($C184,'2021-22 School Level AAFTE'!$C:$Z,8,FALSE)</f>
        <v>Yes</v>
      </c>
      <c r="G184" s="129" t="str">
        <f>VLOOKUP($C184,'2021-22 School Level AAFTE'!$C:$Z,12,FALSE)</f>
        <v>No</v>
      </c>
      <c r="H184" s="127">
        <f>VLOOKUP($C184,'2021-22 School Level AAFTE'!$C:$I,7,FALSE)</f>
        <v>858.56999999999994</v>
      </c>
      <c r="I184" s="112">
        <f>IFERROR(IF(OR(G184="yes",F184= "yes"),VLOOKUP(C184,Summary!$B:$J,6,0),0),0)</f>
        <v>0</v>
      </c>
      <c r="J184" s="111">
        <f t="shared" si="33"/>
        <v>858.56999999999994</v>
      </c>
      <c r="K184" s="91">
        <f>VLOOKUP($A184,'2022-23 Salary &amp; Benefits'!$A:$I,3,FALSE)</f>
        <v>1</v>
      </c>
      <c r="L184" s="91">
        <f>VLOOKUP($A184,'2022-23 Salary &amp; Benefits'!$A:$I,4,FALSE)</f>
        <v>1</v>
      </c>
      <c r="M184" s="39">
        <f t="shared" si="28"/>
        <v>858.56999999999994</v>
      </c>
      <c r="N184" s="24">
        <v>15</v>
      </c>
      <c r="O184" s="26">
        <f t="shared" si="31"/>
        <v>57.237999999999992</v>
      </c>
      <c r="P184" s="24">
        <v>1.1000000000000001</v>
      </c>
      <c r="Q184" s="24">
        <v>36</v>
      </c>
      <c r="R184" s="27">
        <f t="shared" si="32"/>
        <v>2266.6248000000001</v>
      </c>
      <c r="S184" s="102">
        <f t="shared" si="34"/>
        <v>2.5179999999999998</v>
      </c>
      <c r="T184" s="21">
        <f>VLOOKUP($A184,'2022-23 Salary &amp; Benefits'!$A:$I,5,FALSE)</f>
        <v>68937</v>
      </c>
      <c r="U184" s="21">
        <f>VLOOKUP($A184,'2022-23 Salary &amp; Benefits'!$A:$I,6,FALSE)</f>
        <v>72728</v>
      </c>
      <c r="V184" s="22">
        <f t="shared" si="35"/>
        <v>173583.37</v>
      </c>
      <c r="W184" s="22">
        <f t="shared" si="36"/>
        <v>9545.7300000000105</v>
      </c>
      <c r="X184" s="22">
        <f>'2022-23 Salary &amp; Benefits'!$G$6</f>
        <v>12558.24</v>
      </c>
      <c r="Y184" s="23">
        <f>'2022-23 Salary &amp; Benefits'!$H$6</f>
        <v>0.2298</v>
      </c>
      <c r="Z184" s="23">
        <f>'2022-23 Salary &amp; Benefits'!$I$6</f>
        <v>0.22339999999999999</v>
      </c>
      <c r="AA184" s="22">
        <f t="shared" si="37"/>
        <v>73643.62</v>
      </c>
      <c r="AB184" s="22">
        <f t="shared" si="38"/>
        <v>3052.15</v>
      </c>
      <c r="AC184" s="22">
        <f t="shared" si="39"/>
        <v>681.85</v>
      </c>
      <c r="AD184" s="22">
        <f t="shared" si="29"/>
        <v>3734</v>
      </c>
      <c r="AE184" s="22">
        <f t="shared" si="30"/>
        <v>260506.72</v>
      </c>
      <c r="AF184" s="19" t="str">
        <f>VLOOKUP(C184,'2021-22 School Level AAFTE'!C:N,12,FALSE)</f>
        <v>No</v>
      </c>
    </row>
    <row r="185" spans="1:284" s="19" customFormat="1">
      <c r="A185" s="97" t="s">
        <v>2449</v>
      </c>
      <c r="B185" s="97" t="s">
        <v>1473</v>
      </c>
      <c r="C185" s="95">
        <v>5635</v>
      </c>
      <c r="D185" s="95" t="s">
        <v>3000</v>
      </c>
      <c r="E185" s="129">
        <f>VLOOKUP($C185,'2021-22 School Level AAFTE'!$C:$Z,11,FALSE)</f>
        <v>1.0699999999999999E-2</v>
      </c>
      <c r="F185" s="129" t="str">
        <f>VLOOKUP($C185,'2021-22 School Level AAFTE'!$C:$Z,8,FALSE)</f>
        <v>No</v>
      </c>
      <c r="G185" s="129" t="str">
        <f>VLOOKUP($C185,'2021-22 School Level AAFTE'!$C:$Z,12,FALSE)</f>
        <v>No</v>
      </c>
      <c r="H185" s="127">
        <f>VLOOKUP($C185,'2021-22 School Level AAFTE'!$C:$I,7,FALSE)</f>
        <v>473.06</v>
      </c>
      <c r="I185" s="112">
        <f>IFERROR(IF(OR(G185="yes",F185= "yes"),VLOOKUP(C185,Summary!$B:$J,6,0),0),0)</f>
        <v>0</v>
      </c>
      <c r="J185" s="111">
        <f t="shared" si="33"/>
        <v>0</v>
      </c>
      <c r="K185" s="91">
        <f>VLOOKUP($A185,'2022-23 Salary &amp; Benefits'!$A:$I,3,FALSE)</f>
        <v>1</v>
      </c>
      <c r="L185" s="91">
        <f>VLOOKUP($A185,'2022-23 Salary &amp; Benefits'!$A:$I,4,FALSE)</f>
        <v>1</v>
      </c>
      <c r="M185" s="101">
        <f t="shared" si="28"/>
        <v>0</v>
      </c>
      <c r="N185" s="24">
        <v>15</v>
      </c>
      <c r="O185" s="26">
        <f t="shared" si="31"/>
        <v>0</v>
      </c>
      <c r="P185" s="24">
        <v>1.1000000000000001</v>
      </c>
      <c r="Q185" s="24">
        <v>36</v>
      </c>
      <c r="R185" s="27">
        <f t="shared" si="32"/>
        <v>0</v>
      </c>
      <c r="S185" s="102">
        <f t="shared" si="34"/>
        <v>0</v>
      </c>
      <c r="T185" s="21">
        <f>VLOOKUP($A185,'2022-23 Salary &amp; Benefits'!$A:$I,5,FALSE)</f>
        <v>68937</v>
      </c>
      <c r="U185" s="21">
        <f>VLOOKUP($A185,'2022-23 Salary &amp; Benefits'!$A:$I,6,FALSE)</f>
        <v>72728</v>
      </c>
      <c r="V185" s="22">
        <f t="shared" si="35"/>
        <v>0</v>
      </c>
      <c r="W185" s="22">
        <f t="shared" si="36"/>
        <v>0</v>
      </c>
      <c r="X185" s="22">
        <f>'2022-23 Salary &amp; Benefits'!$G$6</f>
        <v>12558.24</v>
      </c>
      <c r="Y185" s="23">
        <f>'2022-23 Salary &amp; Benefits'!$H$6</f>
        <v>0.2298</v>
      </c>
      <c r="Z185" s="23">
        <f>'2022-23 Salary &amp; Benefits'!$I$6</f>
        <v>0.22339999999999999</v>
      </c>
      <c r="AA185" s="22">
        <f t="shared" si="37"/>
        <v>0</v>
      </c>
      <c r="AB185" s="22">
        <f t="shared" si="38"/>
        <v>0</v>
      </c>
      <c r="AC185" s="22">
        <f t="shared" si="39"/>
        <v>0</v>
      </c>
      <c r="AD185" s="22">
        <f t="shared" si="29"/>
        <v>0</v>
      </c>
      <c r="AE185" s="22">
        <f t="shared" si="30"/>
        <v>0</v>
      </c>
      <c r="AF185" s="19" t="str">
        <f>VLOOKUP(C185,'2021-22 School Level AAFTE'!C:N,12,FALSE)</f>
        <v>No</v>
      </c>
    </row>
    <row r="186" spans="1:284" s="19" customFormat="1">
      <c r="A186" s="97" t="s">
        <v>2449</v>
      </c>
      <c r="B186" s="97" t="s">
        <v>1473</v>
      </c>
      <c r="C186" s="95">
        <v>5665</v>
      </c>
      <c r="D186" s="95" t="s">
        <v>3001</v>
      </c>
      <c r="E186" s="129">
        <f>VLOOKUP($C186,'2021-22 School Level AAFTE'!$C:$Z,11,FALSE)</f>
        <v>0</v>
      </c>
      <c r="F186" s="129" t="str">
        <f>VLOOKUP($C186,'2021-22 School Level AAFTE'!$C:$Z,8,FALSE)</f>
        <v>No</v>
      </c>
      <c r="G186" s="129" t="str">
        <f>VLOOKUP($C186,'2021-22 School Level AAFTE'!$C:$Z,12,FALSE)</f>
        <v>No</v>
      </c>
      <c r="H186" s="127">
        <f>VLOOKUP($C186,'2021-22 School Level AAFTE'!$C:$I,7,FALSE)</f>
        <v>58.86</v>
      </c>
      <c r="I186" s="112">
        <f>IFERROR(IF(OR(G186="yes",F186= "yes"),VLOOKUP(C186,Summary!$B:$J,6,0),0),0)</f>
        <v>0</v>
      </c>
      <c r="J186" s="111">
        <f t="shared" si="33"/>
        <v>0</v>
      </c>
      <c r="K186" s="91">
        <f>VLOOKUP($A186,'2022-23 Salary &amp; Benefits'!$A:$I,3,FALSE)</f>
        <v>1</v>
      </c>
      <c r="L186" s="91">
        <f>VLOOKUP($A186,'2022-23 Salary &amp; Benefits'!$A:$I,4,FALSE)</f>
        <v>1</v>
      </c>
      <c r="M186" s="101">
        <f t="shared" si="28"/>
        <v>0</v>
      </c>
      <c r="N186" s="24">
        <v>15</v>
      </c>
      <c r="O186" s="26">
        <f t="shared" si="31"/>
        <v>0</v>
      </c>
      <c r="P186" s="24">
        <v>1.1000000000000001</v>
      </c>
      <c r="Q186" s="24">
        <v>36</v>
      </c>
      <c r="R186" s="27">
        <f t="shared" si="32"/>
        <v>0</v>
      </c>
      <c r="S186" s="102">
        <f t="shared" si="34"/>
        <v>0</v>
      </c>
      <c r="T186" s="21">
        <f>VLOOKUP($A186,'2022-23 Salary &amp; Benefits'!$A:$I,5,FALSE)</f>
        <v>68937</v>
      </c>
      <c r="U186" s="21">
        <f>VLOOKUP($A186,'2022-23 Salary &amp; Benefits'!$A:$I,6,FALSE)</f>
        <v>72728</v>
      </c>
      <c r="V186" s="22">
        <f t="shared" si="35"/>
        <v>0</v>
      </c>
      <c r="W186" s="22">
        <f t="shared" si="36"/>
        <v>0</v>
      </c>
      <c r="X186" s="22">
        <f>'2022-23 Salary &amp; Benefits'!$G$6</f>
        <v>12558.24</v>
      </c>
      <c r="Y186" s="23">
        <f>'2022-23 Salary &amp; Benefits'!$H$6</f>
        <v>0.2298</v>
      </c>
      <c r="Z186" s="23">
        <f>'2022-23 Salary &amp; Benefits'!$I$6</f>
        <v>0.22339999999999999</v>
      </c>
      <c r="AA186" s="22">
        <f t="shared" si="37"/>
        <v>0</v>
      </c>
      <c r="AB186" s="22">
        <f t="shared" si="38"/>
        <v>0</v>
      </c>
      <c r="AC186" s="22">
        <f t="shared" si="39"/>
        <v>0</v>
      </c>
      <c r="AD186" s="22">
        <f t="shared" si="29"/>
        <v>0</v>
      </c>
      <c r="AE186" s="22">
        <f t="shared" si="30"/>
        <v>0</v>
      </c>
      <c r="AF186" s="19" t="str">
        <f>VLOOKUP(C186,'2021-22 School Level AAFTE'!C:N,12,FALSE)</f>
        <v>No</v>
      </c>
    </row>
    <row r="187" spans="1:284" s="19" customFormat="1">
      <c r="A187" s="97" t="s">
        <v>2449</v>
      </c>
      <c r="B187" s="97" t="s">
        <v>1473</v>
      </c>
      <c r="C187" s="95">
        <v>5961</v>
      </c>
      <c r="D187" s="95" t="s">
        <v>1499</v>
      </c>
      <c r="E187" s="129">
        <f>VLOOKUP($C187,'2021-22 School Level AAFTE'!$C:$Z,11,FALSE)</f>
        <v>2.4566666666666667E-2</v>
      </c>
      <c r="F187" s="129" t="str">
        <f>VLOOKUP($C187,'2021-22 School Level AAFTE'!$C:$Z,8,FALSE)</f>
        <v>No</v>
      </c>
      <c r="G187" s="129" t="str">
        <f>VLOOKUP($C187,'2021-22 School Level AAFTE'!$C:$Z,12,FALSE)</f>
        <v>No</v>
      </c>
      <c r="H187" s="127">
        <f>VLOOKUP($C187,'2021-22 School Level AAFTE'!$C:$I,7,FALSE)</f>
        <v>260.51</v>
      </c>
      <c r="I187" s="112">
        <f>IFERROR(IF(OR(G187="yes",F187= "yes"),VLOOKUP(C187,Summary!$B:$J,6,0),0),0)</f>
        <v>0</v>
      </c>
      <c r="J187" s="111">
        <f t="shared" si="33"/>
        <v>0</v>
      </c>
      <c r="K187" s="91">
        <f>VLOOKUP($A187,'2022-23 Salary &amp; Benefits'!$A:$I,3,FALSE)</f>
        <v>1</v>
      </c>
      <c r="L187" s="91">
        <f>VLOOKUP($A187,'2022-23 Salary &amp; Benefits'!$A:$I,4,FALSE)</f>
        <v>1</v>
      </c>
      <c r="M187" s="39">
        <f t="shared" si="28"/>
        <v>0</v>
      </c>
      <c r="N187" s="24">
        <v>15</v>
      </c>
      <c r="O187" s="26">
        <f t="shared" si="31"/>
        <v>0</v>
      </c>
      <c r="P187" s="24">
        <v>1.1000000000000001</v>
      </c>
      <c r="Q187" s="24">
        <v>36</v>
      </c>
      <c r="R187" s="27">
        <f t="shared" si="32"/>
        <v>0</v>
      </c>
      <c r="S187" s="102">
        <f t="shared" si="34"/>
        <v>0</v>
      </c>
      <c r="T187" s="21">
        <f>VLOOKUP($A187,'2022-23 Salary &amp; Benefits'!$A:$I,5,FALSE)</f>
        <v>68937</v>
      </c>
      <c r="U187" s="21">
        <f>VLOOKUP($A187,'2022-23 Salary &amp; Benefits'!$A:$I,6,FALSE)</f>
        <v>72728</v>
      </c>
      <c r="V187" s="22">
        <f t="shared" si="35"/>
        <v>0</v>
      </c>
      <c r="W187" s="22">
        <f t="shared" si="36"/>
        <v>0</v>
      </c>
      <c r="X187" s="22">
        <f>'2022-23 Salary &amp; Benefits'!$G$6</f>
        <v>12558.24</v>
      </c>
      <c r="Y187" s="23">
        <f>'2022-23 Salary &amp; Benefits'!$H$6</f>
        <v>0.2298</v>
      </c>
      <c r="Z187" s="23">
        <f>'2022-23 Salary &amp; Benefits'!$I$6</f>
        <v>0.22339999999999999</v>
      </c>
      <c r="AA187" s="22">
        <f t="shared" si="37"/>
        <v>0</v>
      </c>
      <c r="AB187" s="22">
        <f t="shared" si="38"/>
        <v>0</v>
      </c>
      <c r="AC187" s="22">
        <f t="shared" si="39"/>
        <v>0</v>
      </c>
      <c r="AD187" s="22">
        <f t="shared" si="29"/>
        <v>0</v>
      </c>
      <c r="AE187" s="22">
        <f t="shared" si="30"/>
        <v>0</v>
      </c>
      <c r="AF187" s="19" t="str">
        <f>VLOOKUP(C187,'2021-22 School Level AAFTE'!C:N,12,FALSE)</f>
        <v>No</v>
      </c>
    </row>
    <row r="188" spans="1:284" s="19" customFormat="1">
      <c r="A188" s="97" t="s">
        <v>2384</v>
      </c>
      <c r="B188" s="97" t="s">
        <v>1106</v>
      </c>
      <c r="C188" s="95">
        <v>3392</v>
      </c>
      <c r="D188" s="95" t="s">
        <v>1107</v>
      </c>
      <c r="E188" s="129">
        <f>VLOOKUP($C188,'2021-22 School Level AAFTE'!$C:$Z,11,FALSE)</f>
        <v>0.34946666666666665</v>
      </c>
      <c r="F188" s="129" t="str">
        <f>VLOOKUP($C188,'2021-22 School Level AAFTE'!$C:$Z,8,FALSE)</f>
        <v>No</v>
      </c>
      <c r="G188" s="129" t="str">
        <f>VLOOKUP($C188,'2021-22 School Level AAFTE'!$C:$Z,12,FALSE)</f>
        <v>No</v>
      </c>
      <c r="H188" s="127">
        <f>VLOOKUP($C188,'2021-22 School Level AAFTE'!$C:$I,7,FALSE)</f>
        <v>113</v>
      </c>
      <c r="I188" s="112">
        <f>IFERROR(IF(OR(G188="yes",F188= "yes"),VLOOKUP(C188,Summary!$B:$J,6,0),0),0)</f>
        <v>0</v>
      </c>
      <c r="J188" s="111">
        <f t="shared" si="33"/>
        <v>0</v>
      </c>
      <c r="K188" s="91">
        <f>VLOOKUP($A188,'2022-23 Salary &amp; Benefits'!$A:$I,3,FALSE)</f>
        <v>1</v>
      </c>
      <c r="L188" s="91">
        <f>VLOOKUP($A188,'2022-23 Salary &amp; Benefits'!$A:$I,4,FALSE)</f>
        <v>1</v>
      </c>
      <c r="M188" s="101">
        <f t="shared" si="28"/>
        <v>0</v>
      </c>
      <c r="N188" s="24">
        <v>15</v>
      </c>
      <c r="O188" s="26">
        <f t="shared" si="31"/>
        <v>0</v>
      </c>
      <c r="P188" s="24">
        <v>1.1000000000000001</v>
      </c>
      <c r="Q188" s="24">
        <v>36</v>
      </c>
      <c r="R188" s="27">
        <f t="shared" si="32"/>
        <v>0</v>
      </c>
      <c r="S188" s="102">
        <f t="shared" si="34"/>
        <v>0</v>
      </c>
      <c r="T188" s="21">
        <f>VLOOKUP($A188,'2022-23 Salary &amp; Benefits'!$A:$I,5,FALSE)</f>
        <v>68937</v>
      </c>
      <c r="U188" s="21">
        <f>VLOOKUP($A188,'2022-23 Salary &amp; Benefits'!$A:$I,6,FALSE)</f>
        <v>72728</v>
      </c>
      <c r="V188" s="22">
        <f t="shared" si="35"/>
        <v>0</v>
      </c>
      <c r="W188" s="22">
        <f t="shared" si="36"/>
        <v>0</v>
      </c>
      <c r="X188" s="22">
        <f>'2022-23 Salary &amp; Benefits'!$G$6</f>
        <v>12558.24</v>
      </c>
      <c r="Y188" s="23">
        <f>'2022-23 Salary &amp; Benefits'!$H$6</f>
        <v>0.2298</v>
      </c>
      <c r="Z188" s="23">
        <f>'2022-23 Salary &amp; Benefits'!$I$6</f>
        <v>0.22339999999999999</v>
      </c>
      <c r="AA188" s="22">
        <f t="shared" si="37"/>
        <v>0</v>
      </c>
      <c r="AB188" s="22">
        <f t="shared" si="38"/>
        <v>0</v>
      </c>
      <c r="AC188" s="22">
        <f t="shared" si="39"/>
        <v>0</v>
      </c>
      <c r="AD188" s="22">
        <f t="shared" si="29"/>
        <v>0</v>
      </c>
      <c r="AE188" s="22">
        <f t="shared" si="30"/>
        <v>0</v>
      </c>
      <c r="AF188" s="19" t="str">
        <f>VLOOKUP(C188,'2021-22 School Level AAFTE'!C:N,12,FALSE)</f>
        <v>No</v>
      </c>
    </row>
    <row r="189" spans="1:284" s="19" customFormat="1">
      <c r="A189" s="97" t="s">
        <v>2534</v>
      </c>
      <c r="B189" s="97" t="s">
        <v>2096</v>
      </c>
      <c r="C189" s="95">
        <v>2713</v>
      </c>
      <c r="D189" s="95" t="s">
        <v>2097</v>
      </c>
      <c r="E189" s="129">
        <f>VLOOKUP($C189,'2021-22 School Level AAFTE'!$C:$Z,11,FALSE)</f>
        <v>0.49896666666666672</v>
      </c>
      <c r="F189" s="129" t="str">
        <f>VLOOKUP($C189,'2021-22 School Level AAFTE'!$C:$Z,8,FALSE)</f>
        <v>No</v>
      </c>
      <c r="G189" s="129" t="str">
        <f>VLOOKUP($C189,'2021-22 School Level AAFTE'!$C:$Z,12,FALSE)</f>
        <v>Yes</v>
      </c>
      <c r="H189" s="127">
        <f>VLOOKUP($C189,'2021-22 School Level AAFTE'!$C:$I,7,FALSE)</f>
        <v>483.45</v>
      </c>
      <c r="I189" s="112">
        <f>IFERROR(IF(OR(G189="yes",F189= "yes"),VLOOKUP(C189,Summary!$B:$J,6,0),0),0)</f>
        <v>0</v>
      </c>
      <c r="J189" s="111">
        <f t="shared" si="33"/>
        <v>483.45</v>
      </c>
      <c r="K189" s="91">
        <f>VLOOKUP($A189,'2022-23 Salary &amp; Benefits'!$A:$I,3,FALSE)</f>
        <v>1.1200000000000001</v>
      </c>
      <c r="L189" s="91">
        <f>VLOOKUP($A189,'2022-23 Salary &amp; Benefits'!$A:$I,4,FALSE)</f>
        <v>1.1600000000000001</v>
      </c>
      <c r="M189" s="101">
        <f t="shared" si="28"/>
        <v>483.45</v>
      </c>
      <c r="N189" s="24">
        <v>15</v>
      </c>
      <c r="O189" s="26">
        <f t="shared" si="31"/>
        <v>32.229999999999997</v>
      </c>
      <c r="P189" s="24">
        <v>1.1000000000000001</v>
      </c>
      <c r="Q189" s="24">
        <v>36</v>
      </c>
      <c r="R189" s="27">
        <f t="shared" si="32"/>
        <v>1276.308</v>
      </c>
      <c r="S189" s="102">
        <f t="shared" si="34"/>
        <v>1.4179999999999999</v>
      </c>
      <c r="T189" s="21">
        <f>VLOOKUP($A189,'2022-23 Salary &amp; Benefits'!$A:$I,5,FALSE)</f>
        <v>68937</v>
      </c>
      <c r="U189" s="21">
        <f>VLOOKUP($A189,'2022-23 Salary &amp; Benefits'!$A:$I,6,FALSE)</f>
        <v>72728</v>
      </c>
      <c r="V189" s="22">
        <f t="shared" si="35"/>
        <v>109482.99</v>
      </c>
      <c r="W189" s="22">
        <f t="shared" si="36"/>
        <v>10145.839999999997</v>
      </c>
      <c r="X189" s="22">
        <f>'2022-23 Salary &amp; Benefits'!$G$6</f>
        <v>12558.24</v>
      </c>
      <c r="Y189" s="23">
        <f>'2022-23 Salary &amp; Benefits'!$H$6</f>
        <v>0.2298</v>
      </c>
      <c r="Z189" s="23">
        <f>'2022-23 Salary &amp; Benefits'!$I$6</f>
        <v>0.22339999999999999</v>
      </c>
      <c r="AA189" s="22">
        <f t="shared" si="37"/>
        <v>45233.36</v>
      </c>
      <c r="AB189" s="22">
        <f t="shared" si="38"/>
        <v>1993.81</v>
      </c>
      <c r="AC189" s="22">
        <f t="shared" si="39"/>
        <v>445.42</v>
      </c>
      <c r="AD189" s="22">
        <f t="shared" si="29"/>
        <v>2439.23</v>
      </c>
      <c r="AE189" s="22">
        <f t="shared" si="30"/>
        <v>167301.42000000001</v>
      </c>
      <c r="AF189" s="19" t="str">
        <f>VLOOKUP(C189,'2021-22 School Level AAFTE'!C:N,12,FALSE)</f>
        <v>Yes</v>
      </c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</row>
    <row r="190" spans="1:284" s="19" customFormat="1">
      <c r="A190" s="97" t="s">
        <v>2534</v>
      </c>
      <c r="B190" s="97" t="s">
        <v>2096</v>
      </c>
      <c r="C190" s="95">
        <v>3136</v>
      </c>
      <c r="D190" s="95" t="s">
        <v>2098</v>
      </c>
      <c r="E190" s="129">
        <f>VLOOKUP($C190,'2021-22 School Level AAFTE'!$C:$Z,11,FALSE)</f>
        <v>0.44093333333333334</v>
      </c>
      <c r="F190" s="129" t="str">
        <f>VLOOKUP($C190,'2021-22 School Level AAFTE'!$C:$Z,8,FALSE)</f>
        <v>No</v>
      </c>
      <c r="G190" s="129" t="str">
        <f>VLOOKUP($C190,'2021-22 School Level AAFTE'!$C:$Z,12,FALSE)</f>
        <v>No</v>
      </c>
      <c r="H190" s="127">
        <f>VLOOKUP($C190,'2021-22 School Level AAFTE'!$C:$I,7,FALSE)</f>
        <v>613.20000000000005</v>
      </c>
      <c r="I190" s="112">
        <f>IFERROR(IF(OR(G190="yes",F190= "yes"),VLOOKUP(C190,Summary!$B:$J,6,0),0),0)</f>
        <v>0</v>
      </c>
      <c r="J190" s="111">
        <f t="shared" si="33"/>
        <v>0</v>
      </c>
      <c r="K190" s="91">
        <f>VLOOKUP($A190,'2022-23 Salary &amp; Benefits'!$A:$I,3,FALSE)</f>
        <v>1.1200000000000001</v>
      </c>
      <c r="L190" s="91">
        <f>VLOOKUP($A190,'2022-23 Salary &amp; Benefits'!$A:$I,4,FALSE)</f>
        <v>1.1600000000000001</v>
      </c>
      <c r="M190" s="39">
        <f t="shared" si="28"/>
        <v>0</v>
      </c>
      <c r="N190" s="24">
        <v>15</v>
      </c>
      <c r="O190" s="26">
        <f t="shared" si="31"/>
        <v>0</v>
      </c>
      <c r="P190" s="24">
        <v>1.1000000000000001</v>
      </c>
      <c r="Q190" s="24">
        <v>36</v>
      </c>
      <c r="R190" s="27">
        <f t="shared" si="32"/>
        <v>0</v>
      </c>
      <c r="S190" s="102">
        <f t="shared" si="34"/>
        <v>0</v>
      </c>
      <c r="T190" s="21">
        <f>VLOOKUP($A190,'2022-23 Salary &amp; Benefits'!$A:$I,5,FALSE)</f>
        <v>68937</v>
      </c>
      <c r="U190" s="21">
        <f>VLOOKUP($A190,'2022-23 Salary &amp; Benefits'!$A:$I,6,FALSE)</f>
        <v>72728</v>
      </c>
      <c r="V190" s="22">
        <f t="shared" si="35"/>
        <v>0</v>
      </c>
      <c r="W190" s="22">
        <f t="shared" si="36"/>
        <v>0</v>
      </c>
      <c r="X190" s="22">
        <f>'2022-23 Salary &amp; Benefits'!$G$6</f>
        <v>12558.24</v>
      </c>
      <c r="Y190" s="23">
        <f>'2022-23 Salary &amp; Benefits'!$H$6</f>
        <v>0.2298</v>
      </c>
      <c r="Z190" s="23">
        <f>'2022-23 Salary &amp; Benefits'!$I$6</f>
        <v>0.22339999999999999</v>
      </c>
      <c r="AA190" s="22">
        <f t="shared" si="37"/>
        <v>0</v>
      </c>
      <c r="AB190" s="22">
        <f t="shared" si="38"/>
        <v>0</v>
      </c>
      <c r="AC190" s="22">
        <f t="shared" si="39"/>
        <v>0</v>
      </c>
      <c r="AD190" s="22">
        <f t="shared" si="29"/>
        <v>0</v>
      </c>
      <c r="AE190" s="22">
        <f t="shared" si="30"/>
        <v>0</v>
      </c>
      <c r="AF190" s="19" t="str">
        <f>VLOOKUP(C190,'2021-22 School Level AAFTE'!C:N,12,FALSE)</f>
        <v>No</v>
      </c>
    </row>
    <row r="191" spans="1:284" s="19" customFormat="1">
      <c r="A191" s="97" t="s">
        <v>2534</v>
      </c>
      <c r="B191" s="97" t="s">
        <v>2096</v>
      </c>
      <c r="C191" s="95">
        <v>3796</v>
      </c>
      <c r="D191" s="95" t="s">
        <v>2099</v>
      </c>
      <c r="E191" s="129">
        <f>VLOOKUP($C191,'2021-22 School Level AAFTE'!$C:$Z,11,FALSE)</f>
        <v>0.47770000000000001</v>
      </c>
      <c r="F191" s="129" t="str">
        <f>VLOOKUP($C191,'2021-22 School Level AAFTE'!$C:$Z,8,FALSE)</f>
        <v>No</v>
      </c>
      <c r="G191" s="129" t="str">
        <f>VLOOKUP($C191,'2021-22 School Level AAFTE'!$C:$Z,12,FALSE)</f>
        <v>No</v>
      </c>
      <c r="H191" s="127">
        <f>VLOOKUP($C191,'2021-22 School Level AAFTE'!$C:$I,7,FALSE)</f>
        <v>450.9</v>
      </c>
      <c r="I191" s="112">
        <f>IFERROR(IF(OR(G191="yes",F191= "yes"),VLOOKUP(C191,Summary!$B:$J,6,0),0),0)</f>
        <v>0</v>
      </c>
      <c r="J191" s="111">
        <f t="shared" si="33"/>
        <v>0</v>
      </c>
      <c r="K191" s="91">
        <f>VLOOKUP($A191,'2022-23 Salary &amp; Benefits'!$A:$I,3,FALSE)</f>
        <v>1.1200000000000001</v>
      </c>
      <c r="L191" s="91">
        <f>VLOOKUP($A191,'2022-23 Salary &amp; Benefits'!$A:$I,4,FALSE)</f>
        <v>1.1600000000000001</v>
      </c>
      <c r="M191" s="39">
        <f t="shared" si="28"/>
        <v>0</v>
      </c>
      <c r="N191" s="24">
        <v>15</v>
      </c>
      <c r="O191" s="26">
        <f t="shared" si="31"/>
        <v>0</v>
      </c>
      <c r="P191" s="24">
        <v>1.1000000000000001</v>
      </c>
      <c r="Q191" s="24">
        <v>36</v>
      </c>
      <c r="R191" s="27">
        <f t="shared" si="32"/>
        <v>0</v>
      </c>
      <c r="S191" s="102">
        <f t="shared" si="34"/>
        <v>0</v>
      </c>
      <c r="T191" s="21">
        <f>VLOOKUP($A191,'2022-23 Salary &amp; Benefits'!$A:$I,5,FALSE)</f>
        <v>68937</v>
      </c>
      <c r="U191" s="21">
        <f>VLOOKUP($A191,'2022-23 Salary &amp; Benefits'!$A:$I,6,FALSE)</f>
        <v>72728</v>
      </c>
      <c r="V191" s="22">
        <f t="shared" si="35"/>
        <v>0</v>
      </c>
      <c r="W191" s="22">
        <f t="shared" si="36"/>
        <v>0</v>
      </c>
      <c r="X191" s="22">
        <f>'2022-23 Salary &amp; Benefits'!$G$6</f>
        <v>12558.24</v>
      </c>
      <c r="Y191" s="23">
        <f>'2022-23 Salary &amp; Benefits'!$H$6</f>
        <v>0.2298</v>
      </c>
      <c r="Z191" s="23">
        <f>'2022-23 Salary &amp; Benefits'!$I$6</f>
        <v>0.22339999999999999</v>
      </c>
      <c r="AA191" s="22">
        <f t="shared" si="37"/>
        <v>0</v>
      </c>
      <c r="AB191" s="22">
        <f t="shared" si="38"/>
        <v>0</v>
      </c>
      <c r="AC191" s="22">
        <f t="shared" si="39"/>
        <v>0</v>
      </c>
      <c r="AD191" s="22">
        <f t="shared" si="29"/>
        <v>0</v>
      </c>
      <c r="AE191" s="22">
        <f t="shared" si="30"/>
        <v>0</v>
      </c>
      <c r="AF191" s="19" t="str">
        <f>VLOOKUP(C191,'2021-22 School Level AAFTE'!C:N,12,FALSE)</f>
        <v>No</v>
      </c>
    </row>
    <row r="192" spans="1:284" s="19" customFormat="1">
      <c r="A192" s="97" t="s">
        <v>2534</v>
      </c>
      <c r="B192" s="97" t="s">
        <v>2096</v>
      </c>
      <c r="C192" s="95">
        <v>4459</v>
      </c>
      <c r="D192" s="95" t="s">
        <v>2100</v>
      </c>
      <c r="E192" s="129">
        <f>VLOOKUP($C192,'2021-22 School Level AAFTE'!$C:$Z,11,FALSE)</f>
        <v>4.99E-2</v>
      </c>
      <c r="F192" s="129" t="str">
        <f>VLOOKUP($C192,'2021-22 School Level AAFTE'!$C:$Z,8,FALSE)</f>
        <v>No</v>
      </c>
      <c r="G192" s="129" t="str">
        <f>VLOOKUP($C192,'2021-22 School Level AAFTE'!$C:$Z,12,FALSE)</f>
        <v>No</v>
      </c>
      <c r="H192" s="127">
        <f>VLOOKUP($C192,'2021-22 School Level AAFTE'!$C:$I,7,FALSE)</f>
        <v>15</v>
      </c>
      <c r="I192" s="112">
        <f>IFERROR(IF(OR(G192="yes",F192= "yes"),VLOOKUP(C192,Summary!$B:$J,6,0),0),0)</f>
        <v>0</v>
      </c>
      <c r="J192" s="111">
        <f t="shared" si="33"/>
        <v>0</v>
      </c>
      <c r="K192" s="91">
        <f>VLOOKUP($A192,'2022-23 Salary &amp; Benefits'!$A:$I,3,FALSE)</f>
        <v>1.1200000000000001</v>
      </c>
      <c r="L192" s="91">
        <f>VLOOKUP($A192,'2022-23 Salary &amp; Benefits'!$A:$I,4,FALSE)</f>
        <v>1.1600000000000001</v>
      </c>
      <c r="M192" s="101">
        <f t="shared" si="28"/>
        <v>0</v>
      </c>
      <c r="N192" s="24">
        <v>15</v>
      </c>
      <c r="O192" s="26">
        <f t="shared" si="31"/>
        <v>0</v>
      </c>
      <c r="P192" s="24">
        <v>1.1000000000000001</v>
      </c>
      <c r="Q192" s="24">
        <v>36</v>
      </c>
      <c r="R192" s="27">
        <f t="shared" si="32"/>
        <v>0</v>
      </c>
      <c r="S192" s="102">
        <f t="shared" si="34"/>
        <v>0</v>
      </c>
      <c r="T192" s="21">
        <f>VLOOKUP($A192,'2022-23 Salary &amp; Benefits'!$A:$I,5,FALSE)</f>
        <v>68937</v>
      </c>
      <c r="U192" s="21">
        <f>VLOOKUP($A192,'2022-23 Salary &amp; Benefits'!$A:$I,6,FALSE)</f>
        <v>72728</v>
      </c>
      <c r="V192" s="22">
        <f t="shared" si="35"/>
        <v>0</v>
      </c>
      <c r="W192" s="22">
        <f t="shared" si="36"/>
        <v>0</v>
      </c>
      <c r="X192" s="22">
        <f>'2022-23 Salary &amp; Benefits'!$G$6</f>
        <v>12558.24</v>
      </c>
      <c r="Y192" s="23">
        <f>'2022-23 Salary &amp; Benefits'!$H$6</f>
        <v>0.2298</v>
      </c>
      <c r="Z192" s="23">
        <f>'2022-23 Salary &amp; Benefits'!$I$6</f>
        <v>0.22339999999999999</v>
      </c>
      <c r="AA192" s="22">
        <f t="shared" si="37"/>
        <v>0</v>
      </c>
      <c r="AB192" s="22">
        <f t="shared" si="38"/>
        <v>0</v>
      </c>
      <c r="AC192" s="22">
        <f t="shared" si="39"/>
        <v>0</v>
      </c>
      <c r="AD192" s="22">
        <f t="shared" si="29"/>
        <v>0</v>
      </c>
      <c r="AE192" s="22">
        <f t="shared" si="30"/>
        <v>0</v>
      </c>
      <c r="AF192" s="19" t="str">
        <f>VLOOKUP(C192,'2021-22 School Level AAFTE'!C:N,12,FALSE)</f>
        <v>No</v>
      </c>
    </row>
    <row r="193" spans="1:32" s="19" customFormat="1">
      <c r="A193" s="97" t="s">
        <v>2534</v>
      </c>
      <c r="B193" s="97" t="s">
        <v>2096</v>
      </c>
      <c r="C193" s="95">
        <v>4476</v>
      </c>
      <c r="D193" s="95" t="s">
        <v>2101</v>
      </c>
      <c r="E193" s="129">
        <f>VLOOKUP($C193,'2021-22 School Level AAFTE'!$C:$Z,11,FALSE)</f>
        <v>0.46596666666666664</v>
      </c>
      <c r="F193" s="129" t="str">
        <f>VLOOKUP($C193,'2021-22 School Level AAFTE'!$C:$Z,8,FALSE)</f>
        <v>No</v>
      </c>
      <c r="G193" s="129" t="str">
        <f>VLOOKUP($C193,'2021-22 School Level AAFTE'!$C:$Z,12,FALSE)</f>
        <v>No</v>
      </c>
      <c r="H193" s="127">
        <f>VLOOKUP($C193,'2021-22 School Level AAFTE'!$C:$I,7,FALSE)</f>
        <v>453.41</v>
      </c>
      <c r="I193" s="112">
        <f>IFERROR(IF(OR(G193="yes",F193= "yes"),VLOOKUP(C193,Summary!$B:$J,6,0),0),0)</f>
        <v>0</v>
      </c>
      <c r="J193" s="111">
        <f t="shared" si="33"/>
        <v>0</v>
      </c>
      <c r="K193" s="91">
        <f>VLOOKUP($A193,'2022-23 Salary &amp; Benefits'!$A:$I,3,FALSE)</f>
        <v>1.1200000000000001</v>
      </c>
      <c r="L193" s="91">
        <f>VLOOKUP($A193,'2022-23 Salary &amp; Benefits'!$A:$I,4,FALSE)</f>
        <v>1.1600000000000001</v>
      </c>
      <c r="M193" s="39">
        <f t="shared" si="28"/>
        <v>0</v>
      </c>
      <c r="N193" s="24">
        <v>15</v>
      </c>
      <c r="O193" s="26">
        <f t="shared" si="31"/>
        <v>0</v>
      </c>
      <c r="P193" s="24">
        <v>1.1000000000000001</v>
      </c>
      <c r="Q193" s="24">
        <v>36</v>
      </c>
      <c r="R193" s="27">
        <f t="shared" si="32"/>
        <v>0</v>
      </c>
      <c r="S193" s="102">
        <f t="shared" si="34"/>
        <v>0</v>
      </c>
      <c r="T193" s="21">
        <f>VLOOKUP($A193,'2022-23 Salary &amp; Benefits'!$A:$I,5,FALSE)</f>
        <v>68937</v>
      </c>
      <c r="U193" s="21">
        <f>VLOOKUP($A193,'2022-23 Salary &amp; Benefits'!$A:$I,6,FALSE)</f>
        <v>72728</v>
      </c>
      <c r="V193" s="22">
        <f t="shared" si="35"/>
        <v>0</v>
      </c>
      <c r="W193" s="22">
        <f t="shared" si="36"/>
        <v>0</v>
      </c>
      <c r="X193" s="22">
        <f>'2022-23 Salary &amp; Benefits'!$G$6</f>
        <v>12558.24</v>
      </c>
      <c r="Y193" s="23">
        <f>'2022-23 Salary &amp; Benefits'!$H$6</f>
        <v>0.2298</v>
      </c>
      <c r="Z193" s="23">
        <f>'2022-23 Salary &amp; Benefits'!$I$6</f>
        <v>0.22339999999999999</v>
      </c>
      <c r="AA193" s="22">
        <f t="shared" si="37"/>
        <v>0</v>
      </c>
      <c r="AB193" s="22">
        <f t="shared" si="38"/>
        <v>0</v>
      </c>
      <c r="AC193" s="22">
        <f t="shared" si="39"/>
        <v>0</v>
      </c>
      <c r="AD193" s="22">
        <f t="shared" si="29"/>
        <v>0</v>
      </c>
      <c r="AE193" s="22">
        <f t="shared" si="30"/>
        <v>0</v>
      </c>
      <c r="AF193" s="19" t="str">
        <f>VLOOKUP(C193,'2021-22 School Level AAFTE'!C:N,12,FALSE)</f>
        <v>No</v>
      </c>
    </row>
    <row r="194" spans="1:32" s="19" customFormat="1">
      <c r="A194" s="97" t="s">
        <v>2534</v>
      </c>
      <c r="B194" s="97" t="s">
        <v>2096</v>
      </c>
      <c r="C194" s="95">
        <v>5021</v>
      </c>
      <c r="D194" s="95" t="s">
        <v>2102</v>
      </c>
      <c r="E194" s="129">
        <f>VLOOKUP($C194,'2021-22 School Level AAFTE'!$C:$Z,11,FALSE)</f>
        <v>0.19450000000000001</v>
      </c>
      <c r="F194" s="129" t="str">
        <f>VLOOKUP($C194,'2021-22 School Level AAFTE'!$C:$Z,8,FALSE)</f>
        <v>No</v>
      </c>
      <c r="G194" s="129" t="str">
        <f>VLOOKUP($C194,'2021-22 School Level AAFTE'!$C:$Z,12,FALSE)</f>
        <v>No</v>
      </c>
      <c r="H194" s="127">
        <f>VLOOKUP($C194,'2021-22 School Level AAFTE'!$C:$I,7,FALSE)</f>
        <v>70.67</v>
      </c>
      <c r="I194" s="112">
        <f>IFERROR(IF(OR(G194="yes",F194= "yes"),VLOOKUP(C194,Summary!$B:$J,6,0),0),0)</f>
        <v>0</v>
      </c>
      <c r="J194" s="111">
        <f t="shared" si="33"/>
        <v>0</v>
      </c>
      <c r="K194" s="91">
        <f>VLOOKUP($A194,'2022-23 Salary &amp; Benefits'!$A:$I,3,FALSE)</f>
        <v>1.1200000000000001</v>
      </c>
      <c r="L194" s="91">
        <f>VLOOKUP($A194,'2022-23 Salary &amp; Benefits'!$A:$I,4,FALSE)</f>
        <v>1.1600000000000001</v>
      </c>
      <c r="M194" s="39">
        <f t="shared" si="28"/>
        <v>0</v>
      </c>
      <c r="N194" s="24">
        <v>15</v>
      </c>
      <c r="O194" s="26">
        <f t="shared" si="31"/>
        <v>0</v>
      </c>
      <c r="P194" s="24">
        <v>1.1000000000000001</v>
      </c>
      <c r="Q194" s="24">
        <v>36</v>
      </c>
      <c r="R194" s="27">
        <f t="shared" si="32"/>
        <v>0</v>
      </c>
      <c r="S194" s="102">
        <f t="shared" si="34"/>
        <v>0</v>
      </c>
      <c r="T194" s="21">
        <f>VLOOKUP($A194,'2022-23 Salary &amp; Benefits'!$A:$I,5,FALSE)</f>
        <v>68937</v>
      </c>
      <c r="U194" s="21">
        <f>VLOOKUP($A194,'2022-23 Salary &amp; Benefits'!$A:$I,6,FALSE)</f>
        <v>72728</v>
      </c>
      <c r="V194" s="22">
        <f t="shared" si="35"/>
        <v>0</v>
      </c>
      <c r="W194" s="22">
        <f t="shared" si="36"/>
        <v>0</v>
      </c>
      <c r="X194" s="22">
        <f>'2022-23 Salary &amp; Benefits'!$G$6</f>
        <v>12558.24</v>
      </c>
      <c r="Y194" s="23">
        <f>'2022-23 Salary &amp; Benefits'!$H$6</f>
        <v>0.2298</v>
      </c>
      <c r="Z194" s="23">
        <f>'2022-23 Salary &amp; Benefits'!$I$6</f>
        <v>0.22339999999999999</v>
      </c>
      <c r="AA194" s="22">
        <f t="shared" si="37"/>
        <v>0</v>
      </c>
      <c r="AB194" s="22">
        <f t="shared" si="38"/>
        <v>0</v>
      </c>
      <c r="AC194" s="22">
        <f t="shared" si="39"/>
        <v>0</v>
      </c>
      <c r="AD194" s="22">
        <f t="shared" si="29"/>
        <v>0</v>
      </c>
      <c r="AE194" s="22">
        <f t="shared" si="30"/>
        <v>0</v>
      </c>
      <c r="AF194" s="19" t="str">
        <f>VLOOKUP(C194,'2021-22 School Level AAFTE'!C:N,12,FALSE)</f>
        <v>No</v>
      </c>
    </row>
    <row r="195" spans="1:32" s="19" customFormat="1">
      <c r="A195" s="97" t="s">
        <v>2534</v>
      </c>
      <c r="B195" s="97" t="s">
        <v>2096</v>
      </c>
      <c r="C195" s="95">
        <v>5465</v>
      </c>
      <c r="D195" s="95" t="s">
        <v>2714</v>
      </c>
      <c r="E195" s="129">
        <f>VLOOKUP($C195,'2021-22 School Level AAFTE'!$C:$Z,11,FALSE)</f>
        <v>0.58006666666666673</v>
      </c>
      <c r="F195" s="129" t="str">
        <f>VLOOKUP($C195,'2021-22 School Level AAFTE'!$C:$Z,8,FALSE)</f>
        <v>Yes</v>
      </c>
      <c r="G195" s="129" t="str">
        <f>VLOOKUP($C195,'2021-22 School Level AAFTE'!$C:$Z,12,FALSE)</f>
        <v>No</v>
      </c>
      <c r="H195" s="127">
        <f>VLOOKUP($C195,'2021-22 School Level AAFTE'!$C:$I,7,FALSE)</f>
        <v>15.72</v>
      </c>
      <c r="I195" s="112">
        <f>IFERROR(IF(OR(G195="yes",F195= "yes"),VLOOKUP(C195,Summary!$B:$J,6,0),0),0)</f>
        <v>0</v>
      </c>
      <c r="J195" s="111">
        <f t="shared" si="33"/>
        <v>15.72</v>
      </c>
      <c r="K195" s="91">
        <f>VLOOKUP($A195,'2022-23 Salary &amp; Benefits'!$A:$I,3,FALSE)</f>
        <v>1.1200000000000001</v>
      </c>
      <c r="L195" s="91">
        <f>VLOOKUP($A195,'2022-23 Salary &amp; Benefits'!$A:$I,4,FALSE)</f>
        <v>1.1600000000000001</v>
      </c>
      <c r="M195" s="39">
        <f t="shared" si="28"/>
        <v>15.72</v>
      </c>
      <c r="N195" s="24">
        <v>15</v>
      </c>
      <c r="O195" s="26">
        <f t="shared" si="31"/>
        <v>1.048</v>
      </c>
      <c r="P195" s="24">
        <v>1.1000000000000001</v>
      </c>
      <c r="Q195" s="24">
        <v>36</v>
      </c>
      <c r="R195" s="27">
        <f t="shared" si="32"/>
        <v>41.500799999999998</v>
      </c>
      <c r="S195" s="102">
        <f t="shared" si="34"/>
        <v>4.5999999999999999E-2</v>
      </c>
      <c r="T195" s="21">
        <f>VLOOKUP($A195,'2022-23 Salary &amp; Benefits'!$A:$I,5,FALSE)</f>
        <v>68937</v>
      </c>
      <c r="U195" s="21">
        <f>VLOOKUP($A195,'2022-23 Salary &amp; Benefits'!$A:$I,6,FALSE)</f>
        <v>72728</v>
      </c>
      <c r="V195" s="22">
        <f t="shared" si="35"/>
        <v>3551.63</v>
      </c>
      <c r="W195" s="22">
        <f t="shared" si="36"/>
        <v>329.13999999999987</v>
      </c>
      <c r="X195" s="22">
        <f>'2022-23 Salary &amp; Benefits'!$G$6</f>
        <v>12558.24</v>
      </c>
      <c r="Y195" s="23">
        <f>'2022-23 Salary &amp; Benefits'!$H$6</f>
        <v>0.2298</v>
      </c>
      <c r="Z195" s="23">
        <f>'2022-23 Salary &amp; Benefits'!$I$6</f>
        <v>0.22339999999999999</v>
      </c>
      <c r="AA195" s="22">
        <f t="shared" si="37"/>
        <v>1467.37</v>
      </c>
      <c r="AB195" s="22">
        <f t="shared" si="38"/>
        <v>64.680000000000007</v>
      </c>
      <c r="AC195" s="22">
        <f t="shared" si="39"/>
        <v>14.45</v>
      </c>
      <c r="AD195" s="22">
        <f t="shared" si="29"/>
        <v>79.13000000000001</v>
      </c>
      <c r="AE195" s="22">
        <f t="shared" si="30"/>
        <v>5427.2699999999995</v>
      </c>
      <c r="AF195" s="19" t="str">
        <f>VLOOKUP(C195,'2021-22 School Level AAFTE'!C:N,12,FALSE)</f>
        <v>No</v>
      </c>
    </row>
    <row r="196" spans="1:32" s="19" customFormat="1">
      <c r="A196" s="97" t="s">
        <v>2399</v>
      </c>
      <c r="B196" s="97" t="s">
        <v>1153</v>
      </c>
      <c r="C196" s="95">
        <v>2516</v>
      </c>
      <c r="D196" s="95" t="s">
        <v>1154</v>
      </c>
      <c r="E196" s="129">
        <f>VLOOKUP($C196,'2021-22 School Level AAFTE'!$C:$Z,11,FALSE)</f>
        <v>0.50309999999999999</v>
      </c>
      <c r="F196" s="129" t="str">
        <f>VLOOKUP($C196,'2021-22 School Level AAFTE'!$C:$Z,8,FALSE)</f>
        <v>Yes</v>
      </c>
      <c r="G196" s="129" t="str">
        <f>VLOOKUP($C196,'2021-22 School Level AAFTE'!$C:$Z,12,FALSE)</f>
        <v>No</v>
      </c>
      <c r="H196" s="127">
        <f>VLOOKUP($C196,'2021-22 School Level AAFTE'!$C:$I,7,FALSE)</f>
        <v>85.65</v>
      </c>
      <c r="I196" s="112">
        <f>IFERROR(IF(OR(G196="yes",F196= "yes"),VLOOKUP(C196,Summary!$B:$J,6,0),0),0)</f>
        <v>0</v>
      </c>
      <c r="J196" s="111">
        <f t="shared" si="33"/>
        <v>85.65</v>
      </c>
      <c r="K196" s="91">
        <f>VLOOKUP($A196,'2022-23 Salary &amp; Benefits'!$A:$I,3,FALSE)</f>
        <v>1</v>
      </c>
      <c r="L196" s="91">
        <f>VLOOKUP($A196,'2022-23 Salary &amp; Benefits'!$A:$I,4,FALSE)</f>
        <v>1</v>
      </c>
      <c r="M196" s="39">
        <f t="shared" si="28"/>
        <v>85.65</v>
      </c>
      <c r="N196" s="24">
        <v>15</v>
      </c>
      <c r="O196" s="26">
        <f t="shared" si="31"/>
        <v>5.71</v>
      </c>
      <c r="P196" s="24">
        <v>1.1000000000000001</v>
      </c>
      <c r="Q196" s="24">
        <v>36</v>
      </c>
      <c r="R196" s="27">
        <f t="shared" si="32"/>
        <v>226.11600000000001</v>
      </c>
      <c r="S196" s="102">
        <f t="shared" si="34"/>
        <v>0.251</v>
      </c>
      <c r="T196" s="21">
        <f>VLOOKUP($A196,'2022-23 Salary &amp; Benefits'!$A:$I,5,FALSE)</f>
        <v>68937</v>
      </c>
      <c r="U196" s="21">
        <f>VLOOKUP($A196,'2022-23 Salary &amp; Benefits'!$A:$I,6,FALSE)</f>
        <v>72728</v>
      </c>
      <c r="V196" s="22">
        <f t="shared" si="35"/>
        <v>17303.189999999999</v>
      </c>
      <c r="W196" s="22">
        <f t="shared" si="36"/>
        <v>951.54000000000087</v>
      </c>
      <c r="X196" s="22">
        <f>'2022-23 Salary &amp; Benefits'!$G$6</f>
        <v>12558.24</v>
      </c>
      <c r="Y196" s="23">
        <f>'2022-23 Salary &amp; Benefits'!$H$6</f>
        <v>0.2298</v>
      </c>
      <c r="Z196" s="23">
        <f>'2022-23 Salary &amp; Benefits'!$I$6</f>
        <v>0.22339999999999999</v>
      </c>
      <c r="AA196" s="22">
        <f t="shared" si="37"/>
        <v>7340.97</v>
      </c>
      <c r="AB196" s="22">
        <f t="shared" si="38"/>
        <v>304.25</v>
      </c>
      <c r="AC196" s="22">
        <f t="shared" si="39"/>
        <v>67.97</v>
      </c>
      <c r="AD196" s="22">
        <f t="shared" si="29"/>
        <v>372.22</v>
      </c>
      <c r="AE196" s="22">
        <f t="shared" si="30"/>
        <v>25967.920000000002</v>
      </c>
      <c r="AF196" s="19" t="str">
        <f>VLOOKUP(C196,'2021-22 School Level AAFTE'!C:N,12,FALSE)</f>
        <v>No</v>
      </c>
    </row>
    <row r="197" spans="1:32" s="19" customFormat="1">
      <c r="A197" s="97" t="s">
        <v>2371</v>
      </c>
      <c r="B197" s="97" t="s">
        <v>1017</v>
      </c>
      <c r="C197" s="95">
        <v>1737</v>
      </c>
      <c r="D197" s="95" t="s">
        <v>1018</v>
      </c>
      <c r="E197" s="129">
        <f>VLOOKUP($C197,'2021-22 School Level AAFTE'!$C:$Z,11,FALSE)</f>
        <v>0.7641</v>
      </c>
      <c r="F197" s="129" t="str">
        <f>VLOOKUP($C197,'2021-22 School Level AAFTE'!$C:$Z,8,FALSE)</f>
        <v>Yes</v>
      </c>
      <c r="G197" s="129" t="str">
        <f>VLOOKUP($C197,'2021-22 School Level AAFTE'!$C:$Z,12,FALSE)</f>
        <v>No</v>
      </c>
      <c r="H197" s="127">
        <f>VLOOKUP($C197,'2021-22 School Level AAFTE'!$C:$I,7,FALSE)</f>
        <v>76.86</v>
      </c>
      <c r="I197" s="112">
        <f>IFERROR(IF(OR(G197="yes",F197= "yes"),VLOOKUP(C197,Summary!$B:$J,6,0),0),0)</f>
        <v>0</v>
      </c>
      <c r="J197" s="111">
        <f t="shared" si="33"/>
        <v>76.86</v>
      </c>
      <c r="K197" s="91">
        <f>VLOOKUP($A197,'2022-23 Salary &amp; Benefits'!$A:$I,3,FALSE)</f>
        <v>1.18</v>
      </c>
      <c r="L197" s="91">
        <f>VLOOKUP($A197,'2022-23 Salary &amp; Benefits'!$A:$I,4,FALSE)</f>
        <v>1.18</v>
      </c>
      <c r="M197" s="39">
        <f t="shared" si="28"/>
        <v>76.86</v>
      </c>
      <c r="N197" s="24">
        <v>15</v>
      </c>
      <c r="O197" s="26">
        <f t="shared" si="31"/>
        <v>5.1239999999999997</v>
      </c>
      <c r="P197" s="24">
        <v>1.1000000000000001</v>
      </c>
      <c r="Q197" s="24">
        <v>36</v>
      </c>
      <c r="R197" s="27">
        <f t="shared" si="32"/>
        <v>202.91040000000001</v>
      </c>
      <c r="S197" s="102">
        <f t="shared" si="34"/>
        <v>0.22500000000000001</v>
      </c>
      <c r="T197" s="21">
        <f>VLOOKUP($A197,'2022-23 Salary &amp; Benefits'!$A:$I,5,FALSE)</f>
        <v>68937</v>
      </c>
      <c r="U197" s="21">
        <f>VLOOKUP($A197,'2022-23 Salary &amp; Benefits'!$A:$I,6,FALSE)</f>
        <v>72728</v>
      </c>
      <c r="V197" s="22">
        <f t="shared" si="35"/>
        <v>18302.77</v>
      </c>
      <c r="W197" s="22">
        <f t="shared" si="36"/>
        <v>1006.5099999999984</v>
      </c>
      <c r="X197" s="22">
        <f>'2022-23 Salary &amp; Benefits'!$G$6</f>
        <v>12558.24</v>
      </c>
      <c r="Y197" s="23">
        <f>'2022-23 Salary &amp; Benefits'!$H$6</f>
        <v>0.2298</v>
      </c>
      <c r="Z197" s="23">
        <f>'2022-23 Salary &amp; Benefits'!$I$6</f>
        <v>0.22339999999999999</v>
      </c>
      <c r="AA197" s="22">
        <f t="shared" si="37"/>
        <v>7256.43</v>
      </c>
      <c r="AB197" s="22">
        <f t="shared" si="38"/>
        <v>321.82</v>
      </c>
      <c r="AC197" s="22">
        <f t="shared" si="39"/>
        <v>71.89</v>
      </c>
      <c r="AD197" s="22">
        <f t="shared" si="29"/>
        <v>393.71</v>
      </c>
      <c r="AE197" s="22">
        <f t="shared" si="30"/>
        <v>26959.42</v>
      </c>
      <c r="AF197" s="19" t="str">
        <f>VLOOKUP(C197,'2021-22 School Level AAFTE'!C:N,12,FALSE)</f>
        <v>No</v>
      </c>
    </row>
    <row r="198" spans="1:32" s="19" customFormat="1">
      <c r="A198" s="97" t="s">
        <v>2371</v>
      </c>
      <c r="B198" s="97" t="s">
        <v>1017</v>
      </c>
      <c r="C198" s="95">
        <v>1749</v>
      </c>
      <c r="D198" s="95" t="s">
        <v>1019</v>
      </c>
      <c r="E198" s="129">
        <f>VLOOKUP($C198,'2021-22 School Level AAFTE'!$C:$Z,11,FALSE)</f>
        <v>0.42913333333333331</v>
      </c>
      <c r="F198" s="129" t="str">
        <f>VLOOKUP($C198,'2021-22 School Level AAFTE'!$C:$Z,8,FALSE)</f>
        <v>No</v>
      </c>
      <c r="G198" s="129" t="str">
        <f>VLOOKUP($C198,'2021-22 School Level AAFTE'!$C:$Z,12,FALSE)</f>
        <v>No</v>
      </c>
      <c r="H198" s="127">
        <f>VLOOKUP($C198,'2021-22 School Level AAFTE'!$C:$I,7,FALSE)</f>
        <v>68.959999999999994</v>
      </c>
      <c r="I198" s="112">
        <f>IFERROR(IF(OR(G198="yes",F198= "yes"),VLOOKUP(C198,Summary!$B:$J,6,0),0),0)</f>
        <v>0</v>
      </c>
      <c r="J198" s="111">
        <f t="shared" si="33"/>
        <v>0</v>
      </c>
      <c r="K198" s="91">
        <f>VLOOKUP($A198,'2022-23 Salary &amp; Benefits'!$A:$I,3,FALSE)</f>
        <v>1.18</v>
      </c>
      <c r="L198" s="91">
        <f>VLOOKUP($A198,'2022-23 Salary &amp; Benefits'!$A:$I,4,FALSE)</f>
        <v>1.18</v>
      </c>
      <c r="M198" s="39">
        <f t="shared" ref="M198:M260" si="40">IF(I198&gt;0,I198,J198)</f>
        <v>0</v>
      </c>
      <c r="N198" s="24">
        <v>15</v>
      </c>
      <c r="O198" s="26">
        <f t="shared" si="31"/>
        <v>0</v>
      </c>
      <c r="P198" s="24">
        <v>1.1000000000000001</v>
      </c>
      <c r="Q198" s="24">
        <v>36</v>
      </c>
      <c r="R198" s="27">
        <f t="shared" si="32"/>
        <v>0</v>
      </c>
      <c r="S198" s="102">
        <f t="shared" si="34"/>
        <v>0</v>
      </c>
      <c r="T198" s="21">
        <f>VLOOKUP($A198,'2022-23 Salary &amp; Benefits'!$A:$I,5,FALSE)</f>
        <v>68937</v>
      </c>
      <c r="U198" s="21">
        <f>VLOOKUP($A198,'2022-23 Salary &amp; Benefits'!$A:$I,6,FALSE)</f>
        <v>72728</v>
      </c>
      <c r="V198" s="22">
        <f t="shared" si="35"/>
        <v>0</v>
      </c>
      <c r="W198" s="22">
        <f t="shared" si="36"/>
        <v>0</v>
      </c>
      <c r="X198" s="22">
        <f>'2022-23 Salary &amp; Benefits'!$G$6</f>
        <v>12558.24</v>
      </c>
      <c r="Y198" s="23">
        <f>'2022-23 Salary &amp; Benefits'!$H$6</f>
        <v>0.2298</v>
      </c>
      <c r="Z198" s="23">
        <f>'2022-23 Salary &amp; Benefits'!$I$6</f>
        <v>0.22339999999999999</v>
      </c>
      <c r="AA198" s="22">
        <f t="shared" si="37"/>
        <v>0</v>
      </c>
      <c r="AB198" s="22">
        <f t="shared" si="38"/>
        <v>0</v>
      </c>
      <c r="AC198" s="22">
        <f t="shared" si="39"/>
        <v>0</v>
      </c>
      <c r="AD198" s="22">
        <f t="shared" ref="AD198:AD260" si="41">SUM(AB198:AC198)</f>
        <v>0</v>
      </c>
      <c r="AE198" s="22">
        <f t="shared" ref="AE198:AE260" si="42">SUM(AA198,V198:W198,AD198)</f>
        <v>0</v>
      </c>
      <c r="AF198" s="19" t="str">
        <f>VLOOKUP(C198,'2021-22 School Level AAFTE'!C:N,12,FALSE)</f>
        <v>No</v>
      </c>
    </row>
    <row r="199" spans="1:32" s="19" customFormat="1">
      <c r="A199" s="97" t="s">
        <v>2371</v>
      </c>
      <c r="B199" s="97" t="s">
        <v>1017</v>
      </c>
      <c r="C199" s="95">
        <v>2613</v>
      </c>
      <c r="D199" s="95" t="s">
        <v>1020</v>
      </c>
      <c r="E199" s="129">
        <f>VLOOKUP($C199,'2021-22 School Level AAFTE'!$C:$Z,11,FALSE)</f>
        <v>0.75636666666666663</v>
      </c>
      <c r="F199" s="129" t="str">
        <f>VLOOKUP($C199,'2021-22 School Level AAFTE'!$C:$Z,8,FALSE)</f>
        <v>Yes</v>
      </c>
      <c r="G199" s="129" t="str">
        <f>VLOOKUP($C199,'2021-22 School Level AAFTE'!$C:$Z,12,FALSE)</f>
        <v>No</v>
      </c>
      <c r="H199" s="127">
        <f>VLOOKUP($C199,'2021-22 School Level AAFTE'!$C:$I,7,FALSE)</f>
        <v>505.85</v>
      </c>
      <c r="I199" s="112">
        <f>IFERROR(IF(OR(G199="yes",F199= "yes"),VLOOKUP(C199,Summary!$B:$J,6,0),0),0)</f>
        <v>0</v>
      </c>
      <c r="J199" s="111">
        <f t="shared" si="33"/>
        <v>505.85</v>
      </c>
      <c r="K199" s="91">
        <f>VLOOKUP($A199,'2022-23 Salary &amp; Benefits'!$A:$I,3,FALSE)</f>
        <v>1.18</v>
      </c>
      <c r="L199" s="91">
        <f>VLOOKUP($A199,'2022-23 Salary &amp; Benefits'!$A:$I,4,FALSE)</f>
        <v>1.18</v>
      </c>
      <c r="M199" s="39">
        <f t="shared" si="40"/>
        <v>505.85</v>
      </c>
      <c r="N199" s="24">
        <v>15</v>
      </c>
      <c r="O199" s="26">
        <f t="shared" si="31"/>
        <v>33.723333333333336</v>
      </c>
      <c r="P199" s="24">
        <v>1.1000000000000001</v>
      </c>
      <c r="Q199" s="24">
        <v>36</v>
      </c>
      <c r="R199" s="27">
        <f t="shared" si="32"/>
        <v>1335.4440000000002</v>
      </c>
      <c r="S199" s="102">
        <f t="shared" si="34"/>
        <v>1.484</v>
      </c>
      <c r="T199" s="21">
        <f>VLOOKUP($A199,'2022-23 Salary &amp; Benefits'!$A:$I,5,FALSE)</f>
        <v>68937</v>
      </c>
      <c r="U199" s="21">
        <f>VLOOKUP($A199,'2022-23 Salary &amp; Benefits'!$A:$I,6,FALSE)</f>
        <v>72728</v>
      </c>
      <c r="V199" s="22">
        <f t="shared" si="35"/>
        <v>120716.96</v>
      </c>
      <c r="W199" s="22">
        <f t="shared" si="36"/>
        <v>6638.5</v>
      </c>
      <c r="X199" s="22">
        <f>'2022-23 Salary &amp; Benefits'!$G$6</f>
        <v>12558.24</v>
      </c>
      <c r="Y199" s="23">
        <f>'2022-23 Salary &amp; Benefits'!$H$6</f>
        <v>0.2298</v>
      </c>
      <c r="Z199" s="23">
        <f>'2022-23 Salary &amp; Benefits'!$I$6</f>
        <v>0.22339999999999999</v>
      </c>
      <c r="AA199" s="22">
        <f t="shared" si="37"/>
        <v>47860.23</v>
      </c>
      <c r="AB199" s="22">
        <f t="shared" si="38"/>
        <v>2122.59</v>
      </c>
      <c r="AC199" s="22">
        <f t="shared" si="39"/>
        <v>474.19</v>
      </c>
      <c r="AD199" s="22">
        <f t="shared" si="41"/>
        <v>2596.7800000000002</v>
      </c>
      <c r="AE199" s="22">
        <f t="shared" si="42"/>
        <v>177812.47</v>
      </c>
      <c r="AF199" s="19" t="str">
        <f>VLOOKUP(C199,'2021-22 School Level AAFTE'!C:N,12,FALSE)</f>
        <v>No</v>
      </c>
    </row>
    <row r="200" spans="1:32" s="19" customFormat="1">
      <c r="A200" s="97" t="s">
        <v>2371</v>
      </c>
      <c r="B200" s="97" t="s">
        <v>1017</v>
      </c>
      <c r="C200" s="95">
        <v>2853</v>
      </c>
      <c r="D200" s="95" t="s">
        <v>2866</v>
      </c>
      <c r="E200" s="129">
        <f>VLOOKUP($C200,'2021-22 School Level AAFTE'!$C:$Z,11,FALSE)</f>
        <v>0.5968</v>
      </c>
      <c r="F200" s="129" t="str">
        <f>VLOOKUP($C200,'2021-22 School Level AAFTE'!$C:$Z,8,FALSE)</f>
        <v>Yes</v>
      </c>
      <c r="G200" s="129" t="str">
        <f>VLOOKUP($C200,'2021-22 School Level AAFTE'!$C:$Z,12,FALSE)</f>
        <v>No</v>
      </c>
      <c r="H200" s="127">
        <f>VLOOKUP($C200,'2021-22 School Level AAFTE'!$C:$I,7,FALSE)</f>
        <v>387.71</v>
      </c>
      <c r="I200" s="112">
        <f>IFERROR(IF(OR(G200="yes",F200= "yes"),VLOOKUP(C200,Summary!$B:$J,6,0),0),0)</f>
        <v>0</v>
      </c>
      <c r="J200" s="111">
        <f t="shared" si="33"/>
        <v>387.71</v>
      </c>
      <c r="K200" s="91">
        <f>VLOOKUP($A200,'2022-23 Salary &amp; Benefits'!$A:$I,3,FALSE)</f>
        <v>1.18</v>
      </c>
      <c r="L200" s="91">
        <f>VLOOKUP($A200,'2022-23 Salary &amp; Benefits'!$A:$I,4,FALSE)</f>
        <v>1.18</v>
      </c>
      <c r="M200" s="39">
        <f t="shared" si="40"/>
        <v>387.71</v>
      </c>
      <c r="N200" s="24">
        <v>15</v>
      </c>
      <c r="O200" s="26">
        <f t="shared" si="31"/>
        <v>25.847333333333331</v>
      </c>
      <c r="P200" s="24">
        <v>1.1000000000000001</v>
      </c>
      <c r="Q200" s="24">
        <v>36</v>
      </c>
      <c r="R200" s="27">
        <f t="shared" si="32"/>
        <v>1023.5544</v>
      </c>
      <c r="S200" s="102">
        <f t="shared" si="34"/>
        <v>1.137</v>
      </c>
      <c r="T200" s="21">
        <f>VLOOKUP($A200,'2022-23 Salary &amp; Benefits'!$A:$I,5,FALSE)</f>
        <v>68937</v>
      </c>
      <c r="U200" s="21">
        <f>VLOOKUP($A200,'2022-23 Salary &amp; Benefits'!$A:$I,6,FALSE)</f>
        <v>72728</v>
      </c>
      <c r="V200" s="22">
        <f t="shared" si="35"/>
        <v>92490.02</v>
      </c>
      <c r="W200" s="22">
        <f t="shared" si="36"/>
        <v>5086.2299999999959</v>
      </c>
      <c r="X200" s="22">
        <f>'2022-23 Salary &amp; Benefits'!$G$6</f>
        <v>12558.24</v>
      </c>
      <c r="Y200" s="23">
        <f>'2022-23 Salary &amp; Benefits'!$H$6</f>
        <v>0.2298</v>
      </c>
      <c r="Z200" s="23">
        <f>'2022-23 Salary &amp; Benefits'!$I$6</f>
        <v>0.22339999999999999</v>
      </c>
      <c r="AA200" s="22">
        <f t="shared" si="37"/>
        <v>36669.19</v>
      </c>
      <c r="AB200" s="22">
        <f t="shared" si="38"/>
        <v>1626.27</v>
      </c>
      <c r="AC200" s="22">
        <f t="shared" si="39"/>
        <v>363.31</v>
      </c>
      <c r="AD200" s="22">
        <f t="shared" si="41"/>
        <v>1989.58</v>
      </c>
      <c r="AE200" s="22">
        <f t="shared" si="42"/>
        <v>136235.01999999999</v>
      </c>
      <c r="AF200" s="19" t="str">
        <f>VLOOKUP(C200,'2021-22 School Level AAFTE'!C:N,12,FALSE)</f>
        <v>No</v>
      </c>
    </row>
    <row r="201" spans="1:32" s="19" customFormat="1">
      <c r="A201" s="97" t="s">
        <v>2371</v>
      </c>
      <c r="B201" s="97" t="s">
        <v>1017</v>
      </c>
      <c r="C201" s="95">
        <v>3108</v>
      </c>
      <c r="D201" s="95" t="s">
        <v>1021</v>
      </c>
      <c r="E201" s="129">
        <f>VLOOKUP($C201,'2021-22 School Level AAFTE'!$C:$Z,11,FALSE)</f>
        <v>0.59533333333333338</v>
      </c>
      <c r="F201" s="129" t="str">
        <f>VLOOKUP($C201,'2021-22 School Level AAFTE'!$C:$Z,8,FALSE)</f>
        <v>Yes</v>
      </c>
      <c r="G201" s="129" t="str">
        <f>VLOOKUP($C201,'2021-22 School Level AAFTE'!$C:$Z,12,FALSE)</f>
        <v>No</v>
      </c>
      <c r="H201" s="127">
        <f>VLOOKUP($C201,'2021-22 School Level AAFTE'!$C:$I,7,FALSE)</f>
        <v>339.64</v>
      </c>
      <c r="I201" s="112">
        <f>IFERROR(IF(OR(G201="yes",F201= "yes"),VLOOKUP(C201,Summary!$B:$J,6,0),0),0)</f>
        <v>0</v>
      </c>
      <c r="J201" s="111">
        <f t="shared" si="33"/>
        <v>339.64</v>
      </c>
      <c r="K201" s="91">
        <f>VLOOKUP($A201,'2022-23 Salary &amp; Benefits'!$A:$I,3,FALSE)</f>
        <v>1.18</v>
      </c>
      <c r="L201" s="91">
        <f>VLOOKUP($A201,'2022-23 Salary &amp; Benefits'!$A:$I,4,FALSE)</f>
        <v>1.18</v>
      </c>
      <c r="M201" s="39">
        <f t="shared" si="40"/>
        <v>339.64</v>
      </c>
      <c r="N201" s="24">
        <v>15</v>
      </c>
      <c r="O201" s="26">
        <f t="shared" si="31"/>
        <v>22.642666666666667</v>
      </c>
      <c r="P201" s="24">
        <v>1.1000000000000001</v>
      </c>
      <c r="Q201" s="24">
        <v>36</v>
      </c>
      <c r="R201" s="27">
        <f t="shared" si="32"/>
        <v>896.64960000000008</v>
      </c>
      <c r="S201" s="102">
        <f t="shared" si="34"/>
        <v>0.996</v>
      </c>
      <c r="T201" s="21">
        <f>VLOOKUP($A201,'2022-23 Salary &amp; Benefits'!$A:$I,5,FALSE)</f>
        <v>68937</v>
      </c>
      <c r="U201" s="21">
        <f>VLOOKUP($A201,'2022-23 Salary &amp; Benefits'!$A:$I,6,FALSE)</f>
        <v>72728</v>
      </c>
      <c r="V201" s="22">
        <f t="shared" si="35"/>
        <v>81020.28</v>
      </c>
      <c r="W201" s="22">
        <f t="shared" si="36"/>
        <v>4455.4799999999959</v>
      </c>
      <c r="X201" s="22">
        <f>'2022-23 Salary &amp; Benefits'!$G$6</f>
        <v>12558.24</v>
      </c>
      <c r="Y201" s="23">
        <f>'2022-23 Salary &amp; Benefits'!$H$6</f>
        <v>0.2298</v>
      </c>
      <c r="Z201" s="23">
        <f>'2022-23 Salary &amp; Benefits'!$I$6</f>
        <v>0.22339999999999999</v>
      </c>
      <c r="AA201" s="22">
        <f t="shared" si="37"/>
        <v>32121.82</v>
      </c>
      <c r="AB201" s="22">
        <f t="shared" si="38"/>
        <v>1424.6</v>
      </c>
      <c r="AC201" s="22">
        <f t="shared" si="39"/>
        <v>318.26</v>
      </c>
      <c r="AD201" s="22">
        <f t="shared" si="41"/>
        <v>1742.86</v>
      </c>
      <c r="AE201" s="22">
        <f t="shared" si="42"/>
        <v>119340.44</v>
      </c>
      <c r="AF201" s="19" t="str">
        <f>VLOOKUP(C201,'2021-22 School Level AAFTE'!C:N,12,FALSE)</f>
        <v>No</v>
      </c>
    </row>
    <row r="202" spans="1:32" s="19" customFormat="1">
      <c r="A202" s="97" t="s">
        <v>2371</v>
      </c>
      <c r="B202" s="97" t="s">
        <v>1017</v>
      </c>
      <c r="C202" s="95">
        <v>3109</v>
      </c>
      <c r="D202" s="95" t="s">
        <v>1022</v>
      </c>
      <c r="E202" s="129">
        <f>VLOOKUP($C202,'2021-22 School Level AAFTE'!$C:$Z,11,FALSE)</f>
        <v>0.6124666666666666</v>
      </c>
      <c r="F202" s="129" t="str">
        <f>VLOOKUP($C202,'2021-22 School Level AAFTE'!$C:$Z,8,FALSE)</f>
        <v>Yes</v>
      </c>
      <c r="G202" s="129" t="str">
        <f>VLOOKUP($C202,'2021-22 School Level AAFTE'!$C:$Z,12,FALSE)</f>
        <v>No</v>
      </c>
      <c r="H202" s="127">
        <f>VLOOKUP($C202,'2021-22 School Level AAFTE'!$C:$I,7,FALSE)</f>
        <v>1146.3000000000002</v>
      </c>
      <c r="I202" s="112">
        <f>IFERROR(IF(OR(G202="yes",F202= "yes"),VLOOKUP(C202,Summary!$B:$J,6,0),0),0)</f>
        <v>0</v>
      </c>
      <c r="J202" s="111">
        <f t="shared" si="33"/>
        <v>1146.3000000000002</v>
      </c>
      <c r="K202" s="91">
        <f>VLOOKUP($A202,'2022-23 Salary &amp; Benefits'!$A:$I,3,FALSE)</f>
        <v>1.18</v>
      </c>
      <c r="L202" s="91">
        <f>VLOOKUP($A202,'2022-23 Salary &amp; Benefits'!$A:$I,4,FALSE)</f>
        <v>1.18</v>
      </c>
      <c r="M202" s="39">
        <f t="shared" si="40"/>
        <v>1146.3000000000002</v>
      </c>
      <c r="N202" s="24">
        <v>15</v>
      </c>
      <c r="O202" s="26">
        <f t="shared" ref="O202:O265" si="43">IF(M202="no",0,M202/N202)</f>
        <v>76.420000000000016</v>
      </c>
      <c r="P202" s="24">
        <v>1.1000000000000001</v>
      </c>
      <c r="Q202" s="24">
        <v>36</v>
      </c>
      <c r="R202" s="27">
        <f t="shared" ref="R202:R265" si="44">IF(M202="no",0,O202*P202*Q202)</f>
        <v>3026.2320000000009</v>
      </c>
      <c r="S202" s="102">
        <f t="shared" si="34"/>
        <v>3.3620000000000001</v>
      </c>
      <c r="T202" s="21">
        <f>VLOOKUP($A202,'2022-23 Salary &amp; Benefits'!$A:$I,5,FALSE)</f>
        <v>68937</v>
      </c>
      <c r="U202" s="21">
        <f>VLOOKUP($A202,'2022-23 Salary &amp; Benefits'!$A:$I,6,FALSE)</f>
        <v>72728</v>
      </c>
      <c r="V202" s="22">
        <f t="shared" si="35"/>
        <v>273484.11</v>
      </c>
      <c r="W202" s="22">
        <f t="shared" si="36"/>
        <v>15039.5</v>
      </c>
      <c r="X202" s="22">
        <f>'2022-23 Salary &amp; Benefits'!$G$6</f>
        <v>12558.24</v>
      </c>
      <c r="Y202" s="23">
        <f>'2022-23 Salary &amp; Benefits'!$H$6</f>
        <v>0.2298</v>
      </c>
      <c r="Z202" s="23">
        <f>'2022-23 Salary &amp; Benefits'!$I$6</f>
        <v>0.22339999999999999</v>
      </c>
      <c r="AA202" s="22">
        <f t="shared" si="37"/>
        <v>108427.28</v>
      </c>
      <c r="AB202" s="22">
        <f t="shared" si="38"/>
        <v>4808.7299999999996</v>
      </c>
      <c r="AC202" s="22">
        <f t="shared" si="39"/>
        <v>1074.27</v>
      </c>
      <c r="AD202" s="22">
        <f t="shared" si="41"/>
        <v>5883</v>
      </c>
      <c r="AE202" s="22">
        <f t="shared" si="42"/>
        <v>402833.89</v>
      </c>
      <c r="AF202" s="19" t="str">
        <f>VLOOKUP(C202,'2021-22 School Level AAFTE'!C:N,12,FALSE)</f>
        <v>No</v>
      </c>
    </row>
    <row r="203" spans="1:32" s="19" customFormat="1">
      <c r="A203" s="97" t="s">
        <v>2371</v>
      </c>
      <c r="B203" s="97" t="s">
        <v>1017</v>
      </c>
      <c r="C203" s="95">
        <v>3171</v>
      </c>
      <c r="D203" s="95" t="s">
        <v>1023</v>
      </c>
      <c r="E203" s="129">
        <f>VLOOKUP($C203,'2021-22 School Level AAFTE'!$C:$Z,11,FALSE)</f>
        <v>0.58413333333333339</v>
      </c>
      <c r="F203" s="129" t="str">
        <f>VLOOKUP($C203,'2021-22 School Level AAFTE'!$C:$Z,8,FALSE)</f>
        <v>Yes</v>
      </c>
      <c r="G203" s="129" t="str">
        <f>VLOOKUP($C203,'2021-22 School Level AAFTE'!$C:$Z,12,FALSE)</f>
        <v>No</v>
      </c>
      <c r="H203" s="127">
        <f>VLOOKUP($C203,'2021-22 School Level AAFTE'!$C:$I,7,FALSE)</f>
        <v>253.57</v>
      </c>
      <c r="I203" s="112">
        <f>IFERROR(IF(OR(G203="yes",F203= "yes"),VLOOKUP(C203,Summary!$B:$J,6,0),0),0)</f>
        <v>0</v>
      </c>
      <c r="J203" s="111">
        <f t="shared" ref="J203:J266" si="45">IF(OR(G203="yes",F203= "yes"), H203,0)</f>
        <v>253.57</v>
      </c>
      <c r="K203" s="91">
        <f>VLOOKUP($A203,'2022-23 Salary &amp; Benefits'!$A:$I,3,FALSE)</f>
        <v>1.18</v>
      </c>
      <c r="L203" s="91">
        <f>VLOOKUP($A203,'2022-23 Salary &amp; Benefits'!$A:$I,4,FALSE)</f>
        <v>1.18</v>
      </c>
      <c r="M203" s="39">
        <f t="shared" si="40"/>
        <v>253.57</v>
      </c>
      <c r="N203" s="24">
        <v>15</v>
      </c>
      <c r="O203" s="26">
        <f t="shared" si="43"/>
        <v>16.904666666666667</v>
      </c>
      <c r="P203" s="24">
        <v>1.1000000000000001</v>
      </c>
      <c r="Q203" s="24">
        <v>36</v>
      </c>
      <c r="R203" s="27">
        <f t="shared" si="44"/>
        <v>669.42480000000012</v>
      </c>
      <c r="S203" s="102">
        <f t="shared" ref="S203:S266" si="46">ROUND(IF(M203="no",0,R203/900),3)</f>
        <v>0.74399999999999999</v>
      </c>
      <c r="T203" s="21">
        <f>VLOOKUP($A203,'2022-23 Salary &amp; Benefits'!$A:$I,5,FALSE)</f>
        <v>68937</v>
      </c>
      <c r="U203" s="21">
        <f>VLOOKUP($A203,'2022-23 Salary &amp; Benefits'!$A:$I,6,FALSE)</f>
        <v>72728</v>
      </c>
      <c r="V203" s="22">
        <f t="shared" ref="V203:V266" si="47">ROUND($K203*$T203*$S203,2)</f>
        <v>60521.17</v>
      </c>
      <c r="W203" s="22">
        <f t="shared" ref="W203:W266" si="48">ROUND($L203*$U203*$S203,2)-V203</f>
        <v>3328.2000000000044</v>
      </c>
      <c r="X203" s="22">
        <f>'2022-23 Salary &amp; Benefits'!$G$6</f>
        <v>12558.24</v>
      </c>
      <c r="Y203" s="23">
        <f>'2022-23 Salary &amp; Benefits'!$H$6</f>
        <v>0.2298</v>
      </c>
      <c r="Z203" s="23">
        <f>'2022-23 Salary &amp; Benefits'!$I$6</f>
        <v>0.22339999999999999</v>
      </c>
      <c r="AA203" s="22">
        <f t="shared" ref="AA203:AA266" si="49">ROUND(V203*Y203+W203*Z203+S203*X203,2)</f>
        <v>23994.62</v>
      </c>
      <c r="AB203" s="22">
        <f t="shared" ref="AB203:AB266" si="50">ROUND(($U203*$L203*$S203/180*3),2)</f>
        <v>1064.1600000000001</v>
      </c>
      <c r="AC203" s="22">
        <f t="shared" ref="AC203:AC266" si="51">ROUND(AB203*Z203,2)</f>
        <v>237.73</v>
      </c>
      <c r="AD203" s="22">
        <f t="shared" si="41"/>
        <v>1301.8900000000001</v>
      </c>
      <c r="AE203" s="22">
        <f t="shared" si="42"/>
        <v>89145.87999999999</v>
      </c>
      <c r="AF203" s="19" t="str">
        <f>VLOOKUP(C203,'2021-22 School Level AAFTE'!C:N,12,FALSE)</f>
        <v>No</v>
      </c>
    </row>
    <row r="204" spans="1:32" s="19" customFormat="1">
      <c r="A204" s="97" t="s">
        <v>2371</v>
      </c>
      <c r="B204" s="97" t="s">
        <v>1017</v>
      </c>
      <c r="C204" s="95">
        <v>3641</v>
      </c>
      <c r="D204" s="95" t="s">
        <v>1024</v>
      </c>
      <c r="E204" s="129">
        <f>VLOOKUP($C204,'2021-22 School Level AAFTE'!$C:$Z,11,FALSE)</f>
        <v>0.7627666666666667</v>
      </c>
      <c r="F204" s="129" t="str">
        <f>VLOOKUP($C204,'2021-22 School Level AAFTE'!$C:$Z,8,FALSE)</f>
        <v>Yes</v>
      </c>
      <c r="G204" s="129" t="str">
        <f>VLOOKUP($C204,'2021-22 School Level AAFTE'!$C:$Z,12,FALSE)</f>
        <v>No</v>
      </c>
      <c r="H204" s="127">
        <f>VLOOKUP($C204,'2021-22 School Level AAFTE'!$C:$I,7,FALSE)</f>
        <v>358.95</v>
      </c>
      <c r="I204" s="112">
        <f>IFERROR(IF(OR(G204="yes",F204= "yes"),VLOOKUP(C204,Summary!$B:$J,6,0),0),0)</f>
        <v>0</v>
      </c>
      <c r="J204" s="111">
        <f t="shared" si="45"/>
        <v>358.95</v>
      </c>
      <c r="K204" s="91">
        <f>VLOOKUP($A204,'2022-23 Salary &amp; Benefits'!$A:$I,3,FALSE)</f>
        <v>1.18</v>
      </c>
      <c r="L204" s="91">
        <f>VLOOKUP($A204,'2022-23 Salary &amp; Benefits'!$A:$I,4,FALSE)</f>
        <v>1.18</v>
      </c>
      <c r="M204" s="39">
        <f t="shared" si="40"/>
        <v>358.95</v>
      </c>
      <c r="N204" s="24">
        <v>15</v>
      </c>
      <c r="O204" s="26">
        <f t="shared" si="43"/>
        <v>23.93</v>
      </c>
      <c r="P204" s="24">
        <v>1.1000000000000001</v>
      </c>
      <c r="Q204" s="24">
        <v>36</v>
      </c>
      <c r="R204" s="27">
        <f t="shared" si="44"/>
        <v>947.62800000000004</v>
      </c>
      <c r="S204" s="102">
        <f t="shared" si="46"/>
        <v>1.0529999999999999</v>
      </c>
      <c r="T204" s="21">
        <f>VLOOKUP($A204,'2022-23 Salary &amp; Benefits'!$A:$I,5,FALSE)</f>
        <v>68937</v>
      </c>
      <c r="U204" s="21">
        <f>VLOOKUP($A204,'2022-23 Salary &amp; Benefits'!$A:$I,6,FALSE)</f>
        <v>72728</v>
      </c>
      <c r="V204" s="22">
        <f t="shared" si="47"/>
        <v>85656.98</v>
      </c>
      <c r="W204" s="22">
        <f t="shared" si="48"/>
        <v>4710.4700000000012</v>
      </c>
      <c r="X204" s="22">
        <f>'2022-23 Salary &amp; Benefits'!$G$6</f>
        <v>12558.24</v>
      </c>
      <c r="Y204" s="23">
        <f>'2022-23 Salary &amp; Benefits'!$H$6</f>
        <v>0.2298</v>
      </c>
      <c r="Z204" s="23">
        <f>'2022-23 Salary &amp; Benefits'!$I$6</f>
        <v>0.22339999999999999</v>
      </c>
      <c r="AA204" s="22">
        <f t="shared" si="49"/>
        <v>33960.120000000003</v>
      </c>
      <c r="AB204" s="22">
        <f t="shared" si="50"/>
        <v>1506.12</v>
      </c>
      <c r="AC204" s="22">
        <f t="shared" si="51"/>
        <v>336.47</v>
      </c>
      <c r="AD204" s="22">
        <f t="shared" si="41"/>
        <v>1842.59</v>
      </c>
      <c r="AE204" s="22">
        <f t="shared" si="42"/>
        <v>126170.16</v>
      </c>
      <c r="AF204" s="19" t="str">
        <f>VLOOKUP(C204,'2021-22 School Level AAFTE'!C:N,12,FALSE)</f>
        <v>No</v>
      </c>
    </row>
    <row r="205" spans="1:32" s="19" customFormat="1">
      <c r="A205" s="97" t="s">
        <v>2371</v>
      </c>
      <c r="B205" s="97" t="s">
        <v>1017</v>
      </c>
      <c r="C205" s="95">
        <v>4038</v>
      </c>
      <c r="D205" s="95" t="s">
        <v>2715</v>
      </c>
      <c r="E205" s="129">
        <f>VLOOKUP($C205,'2021-22 School Level AAFTE'!$C:$Z,11,FALSE)</f>
        <v>0.15</v>
      </c>
      <c r="F205" s="129" t="str">
        <f>VLOOKUP($C205,'2021-22 School Level AAFTE'!$C:$Z,8,FALSE)</f>
        <v>No</v>
      </c>
      <c r="G205" s="129" t="str">
        <f>VLOOKUP($C205,'2021-22 School Level AAFTE'!$C:$Z,12,FALSE)</f>
        <v>No</v>
      </c>
      <c r="H205" s="127">
        <f>VLOOKUP($C205,'2021-22 School Level AAFTE'!$C:$I,7,FALSE)</f>
        <v>254.29</v>
      </c>
      <c r="I205" s="112">
        <f>IFERROR(IF(OR(G205="yes",F205= "yes"),VLOOKUP(C205,Summary!$B:$J,6,0),0),0)</f>
        <v>0</v>
      </c>
      <c r="J205" s="111">
        <f t="shared" si="45"/>
        <v>0</v>
      </c>
      <c r="K205" s="91">
        <f>VLOOKUP($A205,'2022-23 Salary &amp; Benefits'!$A:$I,3,FALSE)</f>
        <v>1.18</v>
      </c>
      <c r="L205" s="91">
        <f>VLOOKUP($A205,'2022-23 Salary &amp; Benefits'!$A:$I,4,FALSE)</f>
        <v>1.18</v>
      </c>
      <c r="M205" s="39">
        <f t="shared" si="40"/>
        <v>0</v>
      </c>
      <c r="N205" s="24">
        <v>15</v>
      </c>
      <c r="O205" s="26">
        <f t="shared" si="43"/>
        <v>0</v>
      </c>
      <c r="P205" s="24">
        <v>1.1000000000000001</v>
      </c>
      <c r="Q205" s="24">
        <v>36</v>
      </c>
      <c r="R205" s="27">
        <f t="shared" si="44"/>
        <v>0</v>
      </c>
      <c r="S205" s="102">
        <f t="shared" si="46"/>
        <v>0</v>
      </c>
      <c r="T205" s="21">
        <f>VLOOKUP($A205,'2022-23 Salary &amp; Benefits'!$A:$I,5,FALSE)</f>
        <v>68937</v>
      </c>
      <c r="U205" s="21">
        <f>VLOOKUP($A205,'2022-23 Salary &amp; Benefits'!$A:$I,6,FALSE)</f>
        <v>72728</v>
      </c>
      <c r="V205" s="22">
        <f t="shared" si="47"/>
        <v>0</v>
      </c>
      <c r="W205" s="22">
        <f t="shared" si="48"/>
        <v>0</v>
      </c>
      <c r="X205" s="22">
        <f>'2022-23 Salary &amp; Benefits'!$G$6</f>
        <v>12558.24</v>
      </c>
      <c r="Y205" s="23">
        <f>'2022-23 Salary &amp; Benefits'!$H$6</f>
        <v>0.2298</v>
      </c>
      <c r="Z205" s="23">
        <f>'2022-23 Salary &amp; Benefits'!$I$6</f>
        <v>0.22339999999999999</v>
      </c>
      <c r="AA205" s="22">
        <f t="shared" si="49"/>
        <v>0</v>
      </c>
      <c r="AB205" s="22">
        <f t="shared" si="50"/>
        <v>0</v>
      </c>
      <c r="AC205" s="22">
        <f t="shared" si="51"/>
        <v>0</v>
      </c>
      <c r="AD205" s="22">
        <f t="shared" si="41"/>
        <v>0</v>
      </c>
      <c r="AE205" s="22">
        <f t="shared" si="42"/>
        <v>0</v>
      </c>
      <c r="AF205" s="19" t="str">
        <f>VLOOKUP(C205,'2021-22 School Level AAFTE'!C:N,12,FALSE)</f>
        <v>No</v>
      </c>
    </row>
    <row r="206" spans="1:32" s="19" customFormat="1">
      <c r="A206" s="97" t="s">
        <v>2371</v>
      </c>
      <c r="B206" s="97" t="s">
        <v>1017</v>
      </c>
      <c r="C206" s="95">
        <v>4421</v>
      </c>
      <c r="D206" s="95" t="s">
        <v>1025</v>
      </c>
      <c r="E206" s="129">
        <f>VLOOKUP($C206,'2021-22 School Level AAFTE'!$C:$Z,11,FALSE)</f>
        <v>0.42083333333333334</v>
      </c>
      <c r="F206" s="129" t="str">
        <f>VLOOKUP($C206,'2021-22 School Level AAFTE'!$C:$Z,8,FALSE)</f>
        <v>No</v>
      </c>
      <c r="G206" s="129" t="str">
        <f>VLOOKUP($C206,'2021-22 School Level AAFTE'!$C:$Z,12,FALSE)</f>
        <v>No</v>
      </c>
      <c r="H206" s="127">
        <f>VLOOKUP($C206,'2021-22 School Level AAFTE'!$C:$I,7,FALSE)</f>
        <v>368.57</v>
      </c>
      <c r="I206" s="112">
        <f>IFERROR(IF(OR(G206="yes",F206= "yes"),VLOOKUP(C206,Summary!$B:$J,6,0),0),0)</f>
        <v>0</v>
      </c>
      <c r="J206" s="111">
        <f t="shared" si="45"/>
        <v>0</v>
      </c>
      <c r="K206" s="91">
        <f>VLOOKUP($A206,'2022-23 Salary &amp; Benefits'!$A:$I,3,FALSE)</f>
        <v>1.18</v>
      </c>
      <c r="L206" s="91">
        <f>VLOOKUP($A206,'2022-23 Salary &amp; Benefits'!$A:$I,4,FALSE)</f>
        <v>1.18</v>
      </c>
      <c r="M206" s="101">
        <f t="shared" si="40"/>
        <v>0</v>
      </c>
      <c r="N206" s="24">
        <v>15</v>
      </c>
      <c r="O206" s="26">
        <f t="shared" si="43"/>
        <v>0</v>
      </c>
      <c r="P206" s="24">
        <v>1.1000000000000001</v>
      </c>
      <c r="Q206" s="24">
        <v>36</v>
      </c>
      <c r="R206" s="27">
        <f t="shared" si="44"/>
        <v>0</v>
      </c>
      <c r="S206" s="102">
        <f t="shared" si="46"/>
        <v>0</v>
      </c>
      <c r="T206" s="21">
        <f>VLOOKUP($A206,'2022-23 Salary &amp; Benefits'!$A:$I,5,FALSE)</f>
        <v>68937</v>
      </c>
      <c r="U206" s="21">
        <f>VLOOKUP($A206,'2022-23 Salary &amp; Benefits'!$A:$I,6,FALSE)</f>
        <v>72728</v>
      </c>
      <c r="V206" s="22">
        <f t="shared" si="47"/>
        <v>0</v>
      </c>
      <c r="W206" s="22">
        <f t="shared" si="48"/>
        <v>0</v>
      </c>
      <c r="X206" s="22">
        <f>'2022-23 Salary &amp; Benefits'!$G$6</f>
        <v>12558.24</v>
      </c>
      <c r="Y206" s="23">
        <f>'2022-23 Salary &amp; Benefits'!$H$6</f>
        <v>0.2298</v>
      </c>
      <c r="Z206" s="23">
        <f>'2022-23 Salary &amp; Benefits'!$I$6</f>
        <v>0.22339999999999999</v>
      </c>
      <c r="AA206" s="22">
        <f t="shared" si="49"/>
        <v>0</v>
      </c>
      <c r="AB206" s="22">
        <f t="shared" si="50"/>
        <v>0</v>
      </c>
      <c r="AC206" s="22">
        <f t="shared" si="51"/>
        <v>0</v>
      </c>
      <c r="AD206" s="22">
        <f t="shared" si="41"/>
        <v>0</v>
      </c>
      <c r="AE206" s="22">
        <f t="shared" si="42"/>
        <v>0</v>
      </c>
      <c r="AF206" s="19" t="str">
        <f>VLOOKUP(C206,'2021-22 School Level AAFTE'!C:N,12,FALSE)</f>
        <v>No</v>
      </c>
    </row>
    <row r="207" spans="1:32" s="19" customFormat="1">
      <c r="A207" s="97" t="s">
        <v>2371</v>
      </c>
      <c r="B207" s="97" t="s">
        <v>1017</v>
      </c>
      <c r="C207" s="95">
        <v>4441</v>
      </c>
      <c r="D207" s="95" t="s">
        <v>1026</v>
      </c>
      <c r="E207" s="129">
        <f>VLOOKUP($C207,'2021-22 School Level AAFTE'!$C:$Z,11,FALSE)</f>
        <v>0.66456666666666664</v>
      </c>
      <c r="F207" s="129" t="str">
        <f>VLOOKUP($C207,'2021-22 School Level AAFTE'!$C:$Z,8,FALSE)</f>
        <v>Yes</v>
      </c>
      <c r="G207" s="129" t="str">
        <f>VLOOKUP($C207,'2021-22 School Level AAFTE'!$C:$Z,12,FALSE)</f>
        <v>No</v>
      </c>
      <c r="H207" s="127">
        <f>VLOOKUP($C207,'2021-22 School Level AAFTE'!$C:$I,7,FALSE)</f>
        <v>771.49</v>
      </c>
      <c r="I207" s="112">
        <f>IFERROR(IF(OR(G207="yes",F207= "yes"),VLOOKUP(C207,Summary!$B:$J,6,0),0),0)</f>
        <v>0</v>
      </c>
      <c r="J207" s="111">
        <f t="shared" si="45"/>
        <v>771.49</v>
      </c>
      <c r="K207" s="91">
        <f>VLOOKUP($A207,'2022-23 Salary &amp; Benefits'!$A:$I,3,FALSE)</f>
        <v>1.18</v>
      </c>
      <c r="L207" s="91">
        <f>VLOOKUP($A207,'2022-23 Salary &amp; Benefits'!$A:$I,4,FALSE)</f>
        <v>1.18</v>
      </c>
      <c r="M207" s="101">
        <f t="shared" si="40"/>
        <v>771.49</v>
      </c>
      <c r="N207" s="24">
        <v>15</v>
      </c>
      <c r="O207" s="26">
        <f t="shared" si="43"/>
        <v>51.43266666666667</v>
      </c>
      <c r="P207" s="24">
        <v>1.1000000000000001</v>
      </c>
      <c r="Q207" s="24">
        <v>36</v>
      </c>
      <c r="R207" s="27">
        <f t="shared" si="44"/>
        <v>2036.7336000000003</v>
      </c>
      <c r="S207" s="102">
        <f t="shared" si="46"/>
        <v>2.2629999999999999</v>
      </c>
      <c r="T207" s="21">
        <f>VLOOKUP($A207,'2022-23 Salary &amp; Benefits'!$A:$I,5,FALSE)</f>
        <v>68937</v>
      </c>
      <c r="U207" s="21">
        <f>VLOOKUP($A207,'2022-23 Salary &amp; Benefits'!$A:$I,6,FALSE)</f>
        <v>72728</v>
      </c>
      <c r="V207" s="22">
        <f t="shared" si="47"/>
        <v>184085.23</v>
      </c>
      <c r="W207" s="22">
        <f t="shared" si="48"/>
        <v>10123.25999999998</v>
      </c>
      <c r="X207" s="22">
        <f>'2022-23 Salary &amp; Benefits'!$G$6</f>
        <v>12558.24</v>
      </c>
      <c r="Y207" s="23">
        <f>'2022-23 Salary &amp; Benefits'!$H$6</f>
        <v>0.2298</v>
      </c>
      <c r="Z207" s="23">
        <f>'2022-23 Salary &amp; Benefits'!$I$6</f>
        <v>0.22339999999999999</v>
      </c>
      <c r="AA207" s="22">
        <f t="shared" si="49"/>
        <v>72983.62</v>
      </c>
      <c r="AB207" s="22">
        <f t="shared" si="50"/>
        <v>3236.81</v>
      </c>
      <c r="AC207" s="22">
        <f t="shared" si="51"/>
        <v>723.1</v>
      </c>
      <c r="AD207" s="22">
        <f t="shared" si="41"/>
        <v>3959.91</v>
      </c>
      <c r="AE207" s="22">
        <f t="shared" si="42"/>
        <v>271152.01999999996</v>
      </c>
      <c r="AF207" s="19" t="str">
        <f>VLOOKUP(C207,'2021-22 School Level AAFTE'!C:N,12,FALSE)</f>
        <v>No</v>
      </c>
    </row>
    <row r="208" spans="1:32" s="19" customFormat="1">
      <c r="A208" s="97" t="s">
        <v>2371</v>
      </c>
      <c r="B208" s="97" t="s">
        <v>1017</v>
      </c>
      <c r="C208" s="95">
        <v>5395</v>
      </c>
      <c r="D208" s="95" t="s">
        <v>1027</v>
      </c>
      <c r="E208" s="129">
        <f>VLOOKUP($C208,'2021-22 School Level AAFTE'!$C:$Z,11,FALSE)</f>
        <v>0.55783333333333329</v>
      </c>
      <c r="F208" s="129" t="str">
        <f>VLOOKUP($C208,'2021-22 School Level AAFTE'!$C:$Z,8,FALSE)</f>
        <v>Yes</v>
      </c>
      <c r="G208" s="129" t="str">
        <f>VLOOKUP($C208,'2021-22 School Level AAFTE'!$C:$Z,12,FALSE)</f>
        <v>No</v>
      </c>
      <c r="H208" s="127">
        <f>VLOOKUP($C208,'2021-22 School Level AAFTE'!$C:$I,7,FALSE)</f>
        <v>25.43</v>
      </c>
      <c r="I208" s="112">
        <f>IFERROR(IF(OR(G208="yes",F208= "yes"),VLOOKUP(C208,Summary!$B:$J,6,0),0),0)</f>
        <v>0</v>
      </c>
      <c r="J208" s="111">
        <f t="shared" si="45"/>
        <v>25.43</v>
      </c>
      <c r="K208" s="91">
        <f>VLOOKUP($A208,'2022-23 Salary &amp; Benefits'!$A:$I,3,FALSE)</f>
        <v>1.18</v>
      </c>
      <c r="L208" s="91">
        <f>VLOOKUP($A208,'2022-23 Salary &amp; Benefits'!$A:$I,4,FALSE)</f>
        <v>1.18</v>
      </c>
      <c r="M208" s="101">
        <f t="shared" si="40"/>
        <v>25.43</v>
      </c>
      <c r="N208" s="24">
        <v>15</v>
      </c>
      <c r="O208" s="26">
        <f t="shared" si="43"/>
        <v>1.6953333333333334</v>
      </c>
      <c r="P208" s="24">
        <v>1.1000000000000001</v>
      </c>
      <c r="Q208" s="24">
        <v>36</v>
      </c>
      <c r="R208" s="27">
        <f t="shared" si="44"/>
        <v>67.135200000000012</v>
      </c>
      <c r="S208" s="102">
        <f t="shared" si="46"/>
        <v>7.4999999999999997E-2</v>
      </c>
      <c r="T208" s="21">
        <f>VLOOKUP($A208,'2022-23 Salary &amp; Benefits'!$A:$I,5,FALSE)</f>
        <v>68937</v>
      </c>
      <c r="U208" s="21">
        <f>VLOOKUP($A208,'2022-23 Salary &amp; Benefits'!$A:$I,6,FALSE)</f>
        <v>72728</v>
      </c>
      <c r="V208" s="22">
        <f t="shared" si="47"/>
        <v>6100.92</v>
      </c>
      <c r="W208" s="22">
        <f t="shared" si="48"/>
        <v>335.51000000000022</v>
      </c>
      <c r="X208" s="22">
        <f>'2022-23 Salary &amp; Benefits'!$G$6</f>
        <v>12558.24</v>
      </c>
      <c r="Y208" s="23">
        <f>'2022-23 Salary &amp; Benefits'!$H$6</f>
        <v>0.2298</v>
      </c>
      <c r="Z208" s="23">
        <f>'2022-23 Salary &amp; Benefits'!$I$6</f>
        <v>0.22339999999999999</v>
      </c>
      <c r="AA208" s="22">
        <f t="shared" si="49"/>
        <v>2418.81</v>
      </c>
      <c r="AB208" s="22">
        <f t="shared" si="50"/>
        <v>107.27</v>
      </c>
      <c r="AC208" s="22">
        <f t="shared" si="51"/>
        <v>23.96</v>
      </c>
      <c r="AD208" s="22">
        <f t="shared" si="41"/>
        <v>131.22999999999999</v>
      </c>
      <c r="AE208" s="22">
        <f t="shared" si="42"/>
        <v>8986.4699999999993</v>
      </c>
      <c r="AF208" s="19" t="str">
        <f>VLOOKUP(C208,'2021-22 School Level AAFTE'!C:N,12,FALSE)</f>
        <v>No</v>
      </c>
    </row>
    <row r="209" spans="1:32" s="19" customFormat="1">
      <c r="A209" s="97" t="s">
        <v>2424</v>
      </c>
      <c r="B209" s="97" t="s">
        <v>1242</v>
      </c>
      <c r="C209" s="95">
        <v>2800</v>
      </c>
      <c r="D209" s="95" t="s">
        <v>1243</v>
      </c>
      <c r="E209" s="129">
        <f>VLOOKUP($C209,'2021-22 School Level AAFTE'!$C:$Z,11,FALSE)</f>
        <v>0.85160000000000002</v>
      </c>
      <c r="F209" s="129" t="str">
        <f>VLOOKUP($C209,'2021-22 School Level AAFTE'!$C:$Z,8,FALSE)</f>
        <v>Yes</v>
      </c>
      <c r="G209" s="129" t="str">
        <f>VLOOKUP($C209,'2021-22 School Level AAFTE'!$C:$Z,12,FALSE)</f>
        <v>No</v>
      </c>
      <c r="H209" s="127">
        <f>VLOOKUP($C209,'2021-22 School Level AAFTE'!$C:$I,7,FALSE)</f>
        <v>288.94</v>
      </c>
      <c r="I209" s="112">
        <f>IFERROR(IF(OR(G209="yes",F209= "yes"),VLOOKUP(C209,Summary!$B:$J,6,0),0),0)</f>
        <v>0</v>
      </c>
      <c r="J209" s="111">
        <f t="shared" si="45"/>
        <v>288.94</v>
      </c>
      <c r="K209" s="91">
        <f>VLOOKUP($A209,'2022-23 Salary &amp; Benefits'!$A:$I,3,FALSE)</f>
        <v>1</v>
      </c>
      <c r="L209" s="91">
        <f>VLOOKUP($A209,'2022-23 Salary &amp; Benefits'!$A:$I,4,FALSE)</f>
        <v>1</v>
      </c>
      <c r="M209" s="101">
        <f t="shared" si="40"/>
        <v>288.94</v>
      </c>
      <c r="N209" s="24">
        <v>15</v>
      </c>
      <c r="O209" s="26">
        <f t="shared" si="43"/>
        <v>19.262666666666668</v>
      </c>
      <c r="P209" s="24">
        <v>1.1000000000000001</v>
      </c>
      <c r="Q209" s="24">
        <v>36</v>
      </c>
      <c r="R209" s="27">
        <f t="shared" si="44"/>
        <v>762.80160000000001</v>
      </c>
      <c r="S209" s="102">
        <f t="shared" si="46"/>
        <v>0.84799999999999998</v>
      </c>
      <c r="T209" s="21">
        <f>VLOOKUP($A209,'2022-23 Salary &amp; Benefits'!$A:$I,5,FALSE)</f>
        <v>68937</v>
      </c>
      <c r="U209" s="21">
        <f>VLOOKUP($A209,'2022-23 Salary &amp; Benefits'!$A:$I,6,FALSE)</f>
        <v>72728</v>
      </c>
      <c r="V209" s="22">
        <f t="shared" si="47"/>
        <v>58458.58</v>
      </c>
      <c r="W209" s="22">
        <f t="shared" si="48"/>
        <v>3214.7599999999948</v>
      </c>
      <c r="X209" s="22">
        <f>'2022-23 Salary &amp; Benefits'!$G$6</f>
        <v>12558.24</v>
      </c>
      <c r="Y209" s="23">
        <f>'2022-23 Salary &amp; Benefits'!$H$6</f>
        <v>0.2298</v>
      </c>
      <c r="Z209" s="23">
        <f>'2022-23 Salary &amp; Benefits'!$I$6</f>
        <v>0.22339999999999999</v>
      </c>
      <c r="AA209" s="22">
        <f t="shared" si="49"/>
        <v>24801.35</v>
      </c>
      <c r="AB209" s="22">
        <f t="shared" si="50"/>
        <v>1027.8900000000001</v>
      </c>
      <c r="AC209" s="22">
        <f t="shared" si="51"/>
        <v>229.63</v>
      </c>
      <c r="AD209" s="22">
        <f t="shared" si="41"/>
        <v>1257.52</v>
      </c>
      <c r="AE209" s="22">
        <f t="shared" si="42"/>
        <v>87732.209999999992</v>
      </c>
      <c r="AF209" s="19" t="str">
        <f>VLOOKUP(C209,'2021-22 School Level AAFTE'!C:N,12,FALSE)</f>
        <v>No</v>
      </c>
    </row>
    <row r="210" spans="1:32" s="19" customFormat="1">
      <c r="A210" s="97" t="s">
        <v>2424</v>
      </c>
      <c r="B210" s="97" t="s">
        <v>1242</v>
      </c>
      <c r="C210" s="95">
        <v>3293</v>
      </c>
      <c r="D210" s="95" t="s">
        <v>1244</v>
      </c>
      <c r="E210" s="129">
        <f>VLOOKUP($C210,'2021-22 School Level AAFTE'!$C:$Z,11,FALSE)</f>
        <v>0.95316666666666672</v>
      </c>
      <c r="F210" s="129" t="str">
        <f>VLOOKUP($C210,'2021-22 School Level AAFTE'!$C:$Z,8,FALSE)</f>
        <v>Yes</v>
      </c>
      <c r="G210" s="129" t="str">
        <f>VLOOKUP($C210,'2021-22 School Level AAFTE'!$C:$Z,12,FALSE)</f>
        <v>No</v>
      </c>
      <c r="H210" s="127">
        <f>VLOOKUP($C210,'2021-22 School Level AAFTE'!$C:$I,7,FALSE)</f>
        <v>408.71</v>
      </c>
      <c r="I210" s="112">
        <f>IFERROR(IF(OR(G210="yes",F210= "yes"),VLOOKUP(C210,Summary!$B:$J,6,0),0),0)</f>
        <v>0</v>
      </c>
      <c r="J210" s="111">
        <f t="shared" si="45"/>
        <v>408.71</v>
      </c>
      <c r="K210" s="91">
        <f>VLOOKUP($A210,'2022-23 Salary &amp; Benefits'!$A:$I,3,FALSE)</f>
        <v>1</v>
      </c>
      <c r="L210" s="91">
        <f>VLOOKUP($A210,'2022-23 Salary &amp; Benefits'!$A:$I,4,FALSE)</f>
        <v>1</v>
      </c>
      <c r="M210" s="101">
        <f t="shared" si="40"/>
        <v>408.71</v>
      </c>
      <c r="N210" s="24">
        <v>15</v>
      </c>
      <c r="O210" s="26">
        <f t="shared" si="43"/>
        <v>27.247333333333334</v>
      </c>
      <c r="P210" s="24">
        <v>1.1000000000000001</v>
      </c>
      <c r="Q210" s="24">
        <v>36</v>
      </c>
      <c r="R210" s="27">
        <f t="shared" si="44"/>
        <v>1078.9944</v>
      </c>
      <c r="S210" s="102">
        <f t="shared" si="46"/>
        <v>1.1990000000000001</v>
      </c>
      <c r="T210" s="21">
        <f>VLOOKUP($A210,'2022-23 Salary &amp; Benefits'!$A:$I,5,FALSE)</f>
        <v>68937</v>
      </c>
      <c r="U210" s="21">
        <f>VLOOKUP($A210,'2022-23 Salary &amp; Benefits'!$A:$I,6,FALSE)</f>
        <v>72728</v>
      </c>
      <c r="V210" s="22">
        <f t="shared" si="47"/>
        <v>82655.460000000006</v>
      </c>
      <c r="W210" s="22">
        <f t="shared" si="48"/>
        <v>4545.4099999999889</v>
      </c>
      <c r="X210" s="22">
        <f>'2022-23 Salary &amp; Benefits'!$G$6</f>
        <v>12558.24</v>
      </c>
      <c r="Y210" s="23">
        <f>'2022-23 Salary &amp; Benefits'!$H$6</f>
        <v>0.2298</v>
      </c>
      <c r="Z210" s="23">
        <f>'2022-23 Salary &amp; Benefits'!$I$6</f>
        <v>0.22339999999999999</v>
      </c>
      <c r="AA210" s="22">
        <f t="shared" si="49"/>
        <v>35067</v>
      </c>
      <c r="AB210" s="22">
        <f t="shared" si="50"/>
        <v>1453.35</v>
      </c>
      <c r="AC210" s="22">
        <f t="shared" si="51"/>
        <v>324.68</v>
      </c>
      <c r="AD210" s="22">
        <f t="shared" si="41"/>
        <v>1778.03</v>
      </c>
      <c r="AE210" s="22">
        <f t="shared" si="42"/>
        <v>124045.9</v>
      </c>
      <c r="AF210" s="19" t="str">
        <f>VLOOKUP(C210,'2021-22 School Level AAFTE'!C:N,12,FALSE)</f>
        <v>No</v>
      </c>
    </row>
    <row r="211" spans="1:32" s="19" customFormat="1">
      <c r="A211" s="97" t="s">
        <v>2424</v>
      </c>
      <c r="B211" s="97" t="s">
        <v>1242</v>
      </c>
      <c r="C211" s="95">
        <v>4223</v>
      </c>
      <c r="D211" s="95" t="s">
        <v>1245</v>
      </c>
      <c r="E211" s="129">
        <f>VLOOKUP($C211,'2021-22 School Level AAFTE'!$C:$Z,11,FALSE)</f>
        <v>0.90133333333333321</v>
      </c>
      <c r="F211" s="129" t="str">
        <f>VLOOKUP($C211,'2021-22 School Level AAFTE'!$C:$Z,8,FALSE)</f>
        <v>Yes</v>
      </c>
      <c r="G211" s="129" t="str">
        <f>VLOOKUP($C211,'2021-22 School Level AAFTE'!$C:$Z,12,FALSE)</f>
        <v>No</v>
      </c>
      <c r="H211" s="127">
        <f>VLOOKUP($C211,'2021-22 School Level AAFTE'!$C:$I,7,FALSE)</f>
        <v>241.03</v>
      </c>
      <c r="I211" s="112">
        <f>IFERROR(IF(OR(G211="yes",F211= "yes"),VLOOKUP(C211,Summary!$B:$J,6,0),0),0)</f>
        <v>0</v>
      </c>
      <c r="J211" s="111">
        <f t="shared" si="45"/>
        <v>241.03</v>
      </c>
      <c r="K211" s="91">
        <f>VLOOKUP($A211,'2022-23 Salary &amp; Benefits'!$A:$I,3,FALSE)</f>
        <v>1</v>
      </c>
      <c r="L211" s="91">
        <f>VLOOKUP($A211,'2022-23 Salary &amp; Benefits'!$A:$I,4,FALSE)</f>
        <v>1</v>
      </c>
      <c r="M211" s="101">
        <f t="shared" si="40"/>
        <v>241.03</v>
      </c>
      <c r="N211" s="24">
        <v>15</v>
      </c>
      <c r="O211" s="26">
        <f t="shared" si="43"/>
        <v>16.068666666666665</v>
      </c>
      <c r="P211" s="24">
        <v>1.1000000000000001</v>
      </c>
      <c r="Q211" s="24">
        <v>36</v>
      </c>
      <c r="R211" s="27">
        <f t="shared" si="44"/>
        <v>636.31920000000002</v>
      </c>
      <c r="S211" s="102">
        <f t="shared" si="46"/>
        <v>0.70699999999999996</v>
      </c>
      <c r="T211" s="21">
        <f>VLOOKUP($A211,'2022-23 Salary &amp; Benefits'!$A:$I,5,FALSE)</f>
        <v>68937</v>
      </c>
      <c r="U211" s="21">
        <f>VLOOKUP($A211,'2022-23 Salary &amp; Benefits'!$A:$I,6,FALSE)</f>
        <v>72728</v>
      </c>
      <c r="V211" s="22">
        <f t="shared" si="47"/>
        <v>48738.46</v>
      </c>
      <c r="W211" s="22">
        <f t="shared" si="48"/>
        <v>2680.239999999998</v>
      </c>
      <c r="X211" s="22">
        <f>'2022-23 Salary &amp; Benefits'!$G$6</f>
        <v>12558.24</v>
      </c>
      <c r="Y211" s="23">
        <f>'2022-23 Salary &amp; Benefits'!$H$6</f>
        <v>0.2298</v>
      </c>
      <c r="Z211" s="23">
        <f>'2022-23 Salary &amp; Benefits'!$I$6</f>
        <v>0.22339999999999999</v>
      </c>
      <c r="AA211" s="22">
        <f t="shared" si="49"/>
        <v>20677.54</v>
      </c>
      <c r="AB211" s="22">
        <f t="shared" si="50"/>
        <v>856.98</v>
      </c>
      <c r="AC211" s="22">
        <f t="shared" si="51"/>
        <v>191.45</v>
      </c>
      <c r="AD211" s="22">
        <f t="shared" si="41"/>
        <v>1048.43</v>
      </c>
      <c r="AE211" s="22">
        <f t="shared" si="42"/>
        <v>73144.669999999984</v>
      </c>
      <c r="AF211" s="19" t="str">
        <f>VLOOKUP(C211,'2021-22 School Level AAFTE'!C:N,12,FALSE)</f>
        <v>No</v>
      </c>
    </row>
    <row r="212" spans="1:32" s="19" customFormat="1">
      <c r="A212" s="97" t="s">
        <v>2424</v>
      </c>
      <c r="B212" s="97" t="s">
        <v>1242</v>
      </c>
      <c r="C212" s="95">
        <v>5272</v>
      </c>
      <c r="D212" s="95" t="s">
        <v>1246</v>
      </c>
      <c r="E212" s="129">
        <f>VLOOKUP($C212,'2021-22 School Level AAFTE'!$C:$Z,11,FALSE)</f>
        <v>0.89349999999999996</v>
      </c>
      <c r="F212" s="129" t="str">
        <f>VLOOKUP($C212,'2021-22 School Level AAFTE'!$C:$Z,8,FALSE)</f>
        <v>Yes</v>
      </c>
      <c r="G212" s="129" t="str">
        <f>VLOOKUP($C212,'2021-22 School Level AAFTE'!$C:$Z,12,FALSE)</f>
        <v>No</v>
      </c>
      <c r="H212" s="127">
        <f>VLOOKUP($C212,'2021-22 School Level AAFTE'!$C:$I,7,FALSE)</f>
        <v>14.31</v>
      </c>
      <c r="I212" s="112">
        <f>IFERROR(IF(OR(G212="yes",F212= "yes"),VLOOKUP(C212,Summary!$B:$J,6,0),0),0)</f>
        <v>0</v>
      </c>
      <c r="J212" s="111">
        <f t="shared" si="45"/>
        <v>14.31</v>
      </c>
      <c r="K212" s="91">
        <f>VLOOKUP($A212,'2022-23 Salary &amp; Benefits'!$A:$I,3,FALSE)</f>
        <v>1</v>
      </c>
      <c r="L212" s="91">
        <f>VLOOKUP($A212,'2022-23 Salary &amp; Benefits'!$A:$I,4,FALSE)</f>
        <v>1</v>
      </c>
      <c r="M212" s="101">
        <f t="shared" si="40"/>
        <v>14.31</v>
      </c>
      <c r="N212" s="24">
        <v>15</v>
      </c>
      <c r="O212" s="26">
        <f t="shared" si="43"/>
        <v>0.95400000000000007</v>
      </c>
      <c r="P212" s="24">
        <v>1.1000000000000001</v>
      </c>
      <c r="Q212" s="24">
        <v>36</v>
      </c>
      <c r="R212" s="27">
        <f t="shared" si="44"/>
        <v>37.778400000000005</v>
      </c>
      <c r="S212" s="102">
        <f t="shared" si="46"/>
        <v>4.2000000000000003E-2</v>
      </c>
      <c r="T212" s="21">
        <f>VLOOKUP($A212,'2022-23 Salary &amp; Benefits'!$A:$I,5,FALSE)</f>
        <v>68937</v>
      </c>
      <c r="U212" s="21">
        <f>VLOOKUP($A212,'2022-23 Salary &amp; Benefits'!$A:$I,6,FALSE)</f>
        <v>72728</v>
      </c>
      <c r="V212" s="22">
        <f t="shared" si="47"/>
        <v>2895.35</v>
      </c>
      <c r="W212" s="22">
        <f t="shared" si="48"/>
        <v>159.23000000000002</v>
      </c>
      <c r="X212" s="22">
        <f>'2022-23 Salary &amp; Benefits'!$G$6</f>
        <v>12558.24</v>
      </c>
      <c r="Y212" s="23">
        <f>'2022-23 Salary &amp; Benefits'!$H$6</f>
        <v>0.2298</v>
      </c>
      <c r="Z212" s="23">
        <f>'2022-23 Salary &amp; Benefits'!$I$6</f>
        <v>0.22339999999999999</v>
      </c>
      <c r="AA212" s="22">
        <f t="shared" si="49"/>
        <v>1228.3699999999999</v>
      </c>
      <c r="AB212" s="22">
        <f t="shared" si="50"/>
        <v>50.91</v>
      </c>
      <c r="AC212" s="22">
        <f t="shared" si="51"/>
        <v>11.37</v>
      </c>
      <c r="AD212" s="22">
        <f t="shared" si="41"/>
        <v>62.279999999999994</v>
      </c>
      <c r="AE212" s="22">
        <f t="shared" si="42"/>
        <v>4345.2299999999987</v>
      </c>
      <c r="AF212" s="19" t="str">
        <f>VLOOKUP(C212,'2021-22 School Level AAFTE'!C:N,12,FALSE)</f>
        <v>No</v>
      </c>
    </row>
    <row r="213" spans="1:32" s="19" customFormat="1">
      <c r="A213" s="97" t="s">
        <v>2302</v>
      </c>
      <c r="B213" s="97" t="s">
        <v>339</v>
      </c>
      <c r="C213" s="95">
        <v>1900</v>
      </c>
      <c r="D213" s="95" t="s">
        <v>340</v>
      </c>
      <c r="E213" s="129">
        <f>VLOOKUP($C213,'2021-22 School Level AAFTE'!$C:$Z,11,FALSE)</f>
        <v>1</v>
      </c>
      <c r="F213" s="129" t="str">
        <f>VLOOKUP($C213,'2021-22 School Level AAFTE'!$C:$Z,8,FALSE)</f>
        <v>Yes</v>
      </c>
      <c r="G213" s="129" t="str">
        <f>VLOOKUP($C213,'2021-22 School Level AAFTE'!$C:$Z,12,FALSE)</f>
        <v>No</v>
      </c>
      <c r="H213" s="127">
        <f>VLOOKUP($C213,'2021-22 School Level AAFTE'!$C:$I,7,FALSE)</f>
        <v>27.71</v>
      </c>
      <c r="I213" s="112">
        <f>IFERROR(IF(OR(G213="yes",F213= "yes"),VLOOKUP(C213,Summary!$B:$J,6,0),0),0)</f>
        <v>0</v>
      </c>
      <c r="J213" s="111">
        <f t="shared" si="45"/>
        <v>27.71</v>
      </c>
      <c r="K213" s="91">
        <f>VLOOKUP($A213,'2022-23 Salary &amp; Benefits'!$A:$I,3,FALSE)</f>
        <v>1</v>
      </c>
      <c r="L213" s="91">
        <f>VLOOKUP($A213,'2022-23 Salary &amp; Benefits'!$A:$I,4,FALSE)</f>
        <v>1</v>
      </c>
      <c r="M213" s="39">
        <f t="shared" si="40"/>
        <v>27.71</v>
      </c>
      <c r="N213" s="24">
        <v>15</v>
      </c>
      <c r="O213" s="26">
        <f t="shared" si="43"/>
        <v>1.8473333333333335</v>
      </c>
      <c r="P213" s="24">
        <v>1.1000000000000001</v>
      </c>
      <c r="Q213" s="24">
        <v>36</v>
      </c>
      <c r="R213" s="27">
        <f t="shared" si="44"/>
        <v>73.15440000000001</v>
      </c>
      <c r="S213" s="102">
        <f t="shared" si="46"/>
        <v>8.1000000000000003E-2</v>
      </c>
      <c r="T213" s="21">
        <f>VLOOKUP($A213,'2022-23 Salary &amp; Benefits'!$A:$I,5,FALSE)</f>
        <v>68937</v>
      </c>
      <c r="U213" s="21">
        <f>VLOOKUP($A213,'2022-23 Salary &amp; Benefits'!$A:$I,6,FALSE)</f>
        <v>72728</v>
      </c>
      <c r="V213" s="22">
        <f t="shared" si="47"/>
        <v>5583.9</v>
      </c>
      <c r="W213" s="22">
        <f t="shared" si="48"/>
        <v>307.07000000000062</v>
      </c>
      <c r="X213" s="22">
        <f>'2022-23 Salary &amp; Benefits'!$G$6</f>
        <v>12558.24</v>
      </c>
      <c r="Y213" s="23">
        <f>'2022-23 Salary &amp; Benefits'!$H$6</f>
        <v>0.2298</v>
      </c>
      <c r="Z213" s="23">
        <f>'2022-23 Salary &amp; Benefits'!$I$6</f>
        <v>0.22339999999999999</v>
      </c>
      <c r="AA213" s="22">
        <f t="shared" si="49"/>
        <v>2369</v>
      </c>
      <c r="AB213" s="22">
        <f t="shared" si="50"/>
        <v>98.18</v>
      </c>
      <c r="AC213" s="22">
        <f t="shared" si="51"/>
        <v>21.93</v>
      </c>
      <c r="AD213" s="22">
        <f t="shared" si="41"/>
        <v>120.11000000000001</v>
      </c>
      <c r="AE213" s="22">
        <f t="shared" si="42"/>
        <v>8380.0800000000017</v>
      </c>
      <c r="AF213" s="19" t="str">
        <f>VLOOKUP(C213,'2021-22 School Level AAFTE'!C:N,12,FALSE)</f>
        <v>No</v>
      </c>
    </row>
    <row r="214" spans="1:32" s="19" customFormat="1">
      <c r="A214" s="97" t="s">
        <v>2302</v>
      </c>
      <c r="B214" s="97" t="s">
        <v>339</v>
      </c>
      <c r="C214" s="95">
        <v>2562</v>
      </c>
      <c r="D214" s="95" t="s">
        <v>341</v>
      </c>
      <c r="E214" s="129">
        <f>VLOOKUP($C214,'2021-22 School Level AAFTE'!$C:$Z,11,FALSE)</f>
        <v>0.95359999999999989</v>
      </c>
      <c r="F214" s="129" t="str">
        <f>VLOOKUP($C214,'2021-22 School Level AAFTE'!$C:$Z,8,FALSE)</f>
        <v>Yes</v>
      </c>
      <c r="G214" s="129" t="str">
        <f>VLOOKUP($C214,'2021-22 School Level AAFTE'!$C:$Z,12,FALSE)</f>
        <v>No</v>
      </c>
      <c r="H214" s="127">
        <f>VLOOKUP($C214,'2021-22 School Level AAFTE'!$C:$I,7,FALSE)</f>
        <v>304.43</v>
      </c>
      <c r="I214" s="112">
        <f>IFERROR(IF(OR(G214="yes",F214= "yes"),VLOOKUP(C214,Summary!$B:$J,6,0),0),0)</f>
        <v>0</v>
      </c>
      <c r="J214" s="111">
        <f t="shared" si="45"/>
        <v>304.43</v>
      </c>
      <c r="K214" s="91">
        <f>VLOOKUP($A214,'2022-23 Salary &amp; Benefits'!$A:$I,3,FALSE)</f>
        <v>1</v>
      </c>
      <c r="L214" s="91">
        <f>VLOOKUP($A214,'2022-23 Salary &amp; Benefits'!$A:$I,4,FALSE)</f>
        <v>1</v>
      </c>
      <c r="M214" s="39">
        <f t="shared" si="40"/>
        <v>304.43</v>
      </c>
      <c r="N214" s="24">
        <v>15</v>
      </c>
      <c r="O214" s="26">
        <f t="shared" si="43"/>
        <v>20.295333333333335</v>
      </c>
      <c r="P214" s="24">
        <v>1.1000000000000001</v>
      </c>
      <c r="Q214" s="24">
        <v>36</v>
      </c>
      <c r="R214" s="27">
        <f t="shared" si="44"/>
        <v>803.69520000000023</v>
      </c>
      <c r="S214" s="102">
        <f t="shared" si="46"/>
        <v>0.89300000000000002</v>
      </c>
      <c r="T214" s="21">
        <f>VLOOKUP($A214,'2022-23 Salary &amp; Benefits'!$A:$I,5,FALSE)</f>
        <v>68937</v>
      </c>
      <c r="U214" s="21">
        <f>VLOOKUP($A214,'2022-23 Salary &amp; Benefits'!$A:$I,6,FALSE)</f>
        <v>72728</v>
      </c>
      <c r="V214" s="22">
        <f t="shared" si="47"/>
        <v>61560.74</v>
      </c>
      <c r="W214" s="22">
        <f t="shared" si="48"/>
        <v>3385.3600000000006</v>
      </c>
      <c r="X214" s="22">
        <f>'2022-23 Salary &amp; Benefits'!$G$6</f>
        <v>12558.24</v>
      </c>
      <c r="Y214" s="23">
        <f>'2022-23 Salary &amp; Benefits'!$H$6</f>
        <v>0.2298</v>
      </c>
      <c r="Z214" s="23">
        <f>'2022-23 Salary &amp; Benefits'!$I$6</f>
        <v>0.22339999999999999</v>
      </c>
      <c r="AA214" s="22">
        <f t="shared" si="49"/>
        <v>26117.46</v>
      </c>
      <c r="AB214" s="22">
        <f t="shared" si="50"/>
        <v>1082.44</v>
      </c>
      <c r="AC214" s="22">
        <f t="shared" si="51"/>
        <v>241.82</v>
      </c>
      <c r="AD214" s="22">
        <f t="shared" si="41"/>
        <v>1324.26</v>
      </c>
      <c r="AE214" s="22">
        <f t="shared" si="42"/>
        <v>92387.819999999992</v>
      </c>
      <c r="AF214" s="19" t="str">
        <f>VLOOKUP(C214,'2021-22 School Level AAFTE'!C:N,12,FALSE)</f>
        <v>No</v>
      </c>
    </row>
    <row r="215" spans="1:32" s="19" customFormat="1">
      <c r="A215" s="97" t="s">
        <v>2302</v>
      </c>
      <c r="B215" s="97" t="s">
        <v>339</v>
      </c>
      <c r="C215" s="95">
        <v>2788</v>
      </c>
      <c r="D215" s="95" t="s">
        <v>342</v>
      </c>
      <c r="E215" s="129">
        <f>VLOOKUP($C215,'2021-22 School Level AAFTE'!$C:$Z,11,FALSE)</f>
        <v>0.94810000000000005</v>
      </c>
      <c r="F215" s="129" t="str">
        <f>VLOOKUP($C215,'2021-22 School Level AAFTE'!$C:$Z,8,FALSE)</f>
        <v>Yes</v>
      </c>
      <c r="G215" s="129" t="str">
        <f>VLOOKUP($C215,'2021-22 School Level AAFTE'!$C:$Z,12,FALSE)</f>
        <v>No</v>
      </c>
      <c r="H215" s="127">
        <f>VLOOKUP($C215,'2021-22 School Level AAFTE'!$C:$I,7,FALSE)</f>
        <v>206.05</v>
      </c>
      <c r="I215" s="112">
        <f>IFERROR(IF(OR(G215="yes",F215= "yes"),VLOOKUP(C215,Summary!$B:$J,6,0),0),0)</f>
        <v>0</v>
      </c>
      <c r="J215" s="111">
        <f t="shared" si="45"/>
        <v>206.05</v>
      </c>
      <c r="K215" s="91">
        <f>VLOOKUP($A215,'2022-23 Salary &amp; Benefits'!$A:$I,3,FALSE)</f>
        <v>1</v>
      </c>
      <c r="L215" s="91">
        <f>VLOOKUP($A215,'2022-23 Salary &amp; Benefits'!$A:$I,4,FALSE)</f>
        <v>1</v>
      </c>
      <c r="M215" s="39">
        <f t="shared" si="40"/>
        <v>206.05</v>
      </c>
      <c r="N215" s="24">
        <v>15</v>
      </c>
      <c r="O215" s="26">
        <f t="shared" si="43"/>
        <v>13.736666666666668</v>
      </c>
      <c r="P215" s="24">
        <v>1.1000000000000001</v>
      </c>
      <c r="Q215" s="24">
        <v>36</v>
      </c>
      <c r="R215" s="27">
        <f t="shared" si="44"/>
        <v>543.97200000000009</v>
      </c>
      <c r="S215" s="102">
        <f t="shared" si="46"/>
        <v>0.60399999999999998</v>
      </c>
      <c r="T215" s="21">
        <f>VLOOKUP($A215,'2022-23 Salary &amp; Benefits'!$A:$I,5,FALSE)</f>
        <v>68937</v>
      </c>
      <c r="U215" s="21">
        <f>VLOOKUP($A215,'2022-23 Salary &amp; Benefits'!$A:$I,6,FALSE)</f>
        <v>72728</v>
      </c>
      <c r="V215" s="22">
        <f t="shared" si="47"/>
        <v>41637.949999999997</v>
      </c>
      <c r="W215" s="22">
        <f t="shared" si="48"/>
        <v>2289.760000000002</v>
      </c>
      <c r="X215" s="22">
        <f>'2022-23 Salary &amp; Benefits'!$G$6</f>
        <v>12558.24</v>
      </c>
      <c r="Y215" s="23">
        <f>'2022-23 Salary &amp; Benefits'!$H$6</f>
        <v>0.2298</v>
      </c>
      <c r="Z215" s="23">
        <f>'2022-23 Salary &amp; Benefits'!$I$6</f>
        <v>0.22339999999999999</v>
      </c>
      <c r="AA215" s="22">
        <f t="shared" si="49"/>
        <v>17665.11</v>
      </c>
      <c r="AB215" s="22">
        <f t="shared" si="50"/>
        <v>732.13</v>
      </c>
      <c r="AC215" s="22">
        <f t="shared" si="51"/>
        <v>163.56</v>
      </c>
      <c r="AD215" s="22">
        <f t="shared" si="41"/>
        <v>895.69</v>
      </c>
      <c r="AE215" s="22">
        <f t="shared" si="42"/>
        <v>62488.51</v>
      </c>
      <c r="AF215" s="19" t="str">
        <f>VLOOKUP(C215,'2021-22 School Level AAFTE'!C:N,12,FALSE)</f>
        <v>No</v>
      </c>
    </row>
    <row r="216" spans="1:32" s="19" customFormat="1">
      <c r="A216" s="97" t="s">
        <v>2302</v>
      </c>
      <c r="B216" s="97" t="s">
        <v>339</v>
      </c>
      <c r="C216" s="95">
        <v>4213</v>
      </c>
      <c r="D216" s="95" t="s">
        <v>343</v>
      </c>
      <c r="E216" s="129">
        <f>VLOOKUP($C216,'2021-22 School Level AAFTE'!$C:$Z,11,FALSE)</f>
        <v>0.95073333333333332</v>
      </c>
      <c r="F216" s="129" t="str">
        <f>VLOOKUP($C216,'2021-22 School Level AAFTE'!$C:$Z,8,FALSE)</f>
        <v>Yes</v>
      </c>
      <c r="G216" s="129" t="str">
        <f>VLOOKUP($C216,'2021-22 School Level AAFTE'!$C:$Z,12,FALSE)</f>
        <v>No</v>
      </c>
      <c r="H216" s="127">
        <f>VLOOKUP($C216,'2021-22 School Level AAFTE'!$C:$I,7,FALSE)</f>
        <v>203</v>
      </c>
      <c r="I216" s="112">
        <f>IFERROR(IF(OR(G216="yes",F216= "yes"),VLOOKUP(C216,Summary!$B:$J,6,0),0),0)</f>
        <v>0</v>
      </c>
      <c r="J216" s="111">
        <f t="shared" si="45"/>
        <v>203</v>
      </c>
      <c r="K216" s="91">
        <f>VLOOKUP($A216,'2022-23 Salary &amp; Benefits'!$A:$I,3,FALSE)</f>
        <v>1</v>
      </c>
      <c r="L216" s="91">
        <f>VLOOKUP($A216,'2022-23 Salary &amp; Benefits'!$A:$I,4,FALSE)</f>
        <v>1</v>
      </c>
      <c r="M216" s="101">
        <f t="shared" si="40"/>
        <v>203</v>
      </c>
      <c r="N216" s="24">
        <v>15</v>
      </c>
      <c r="O216" s="26">
        <f t="shared" si="43"/>
        <v>13.533333333333333</v>
      </c>
      <c r="P216" s="24">
        <v>1.1000000000000001</v>
      </c>
      <c r="Q216" s="24">
        <v>36</v>
      </c>
      <c r="R216" s="27">
        <f t="shared" si="44"/>
        <v>535.92000000000007</v>
      </c>
      <c r="S216" s="102">
        <f t="shared" si="46"/>
        <v>0.59499999999999997</v>
      </c>
      <c r="T216" s="21">
        <f>VLOOKUP($A216,'2022-23 Salary &amp; Benefits'!$A:$I,5,FALSE)</f>
        <v>68937</v>
      </c>
      <c r="U216" s="21">
        <f>VLOOKUP($A216,'2022-23 Salary &amp; Benefits'!$A:$I,6,FALSE)</f>
        <v>72728</v>
      </c>
      <c r="V216" s="22">
        <f t="shared" si="47"/>
        <v>41017.519999999997</v>
      </c>
      <c r="W216" s="22">
        <f t="shared" si="48"/>
        <v>2255.6400000000067</v>
      </c>
      <c r="X216" s="22">
        <f>'2022-23 Salary &amp; Benefits'!$G$6</f>
        <v>12558.24</v>
      </c>
      <c r="Y216" s="23">
        <f>'2022-23 Salary &amp; Benefits'!$H$6</f>
        <v>0.2298</v>
      </c>
      <c r="Z216" s="23">
        <f>'2022-23 Salary &amp; Benefits'!$I$6</f>
        <v>0.22339999999999999</v>
      </c>
      <c r="AA216" s="22">
        <f t="shared" si="49"/>
        <v>17401.89</v>
      </c>
      <c r="AB216" s="22">
        <f t="shared" si="50"/>
        <v>721.22</v>
      </c>
      <c r="AC216" s="22">
        <f t="shared" si="51"/>
        <v>161.12</v>
      </c>
      <c r="AD216" s="22">
        <f t="shared" si="41"/>
        <v>882.34</v>
      </c>
      <c r="AE216" s="22">
        <f t="shared" si="42"/>
        <v>61557.39</v>
      </c>
      <c r="AF216" s="19" t="str">
        <f>VLOOKUP(C216,'2021-22 School Level AAFTE'!C:N,12,FALSE)</f>
        <v>No</v>
      </c>
    </row>
    <row r="217" spans="1:32" s="19" customFormat="1">
      <c r="A217" s="97" t="s">
        <v>2344</v>
      </c>
      <c r="B217" s="97" t="s">
        <v>534</v>
      </c>
      <c r="C217" s="95">
        <v>2836</v>
      </c>
      <c r="D217" s="95" t="s">
        <v>535</v>
      </c>
      <c r="E217" s="129">
        <f>VLOOKUP($C217,'2021-22 School Level AAFTE'!$C:$Z,11,FALSE)</f>
        <v>0.76049999999999995</v>
      </c>
      <c r="F217" s="129" t="str">
        <f>VLOOKUP($C217,'2021-22 School Level AAFTE'!$C:$Z,8,FALSE)</f>
        <v>Yes</v>
      </c>
      <c r="G217" s="129" t="str">
        <f>VLOOKUP($C217,'2021-22 School Level AAFTE'!$C:$Z,12,FALSE)</f>
        <v>No</v>
      </c>
      <c r="H217" s="127">
        <f>VLOOKUP($C217,'2021-22 School Level AAFTE'!$C:$I,7,FALSE)</f>
        <v>72.23</v>
      </c>
      <c r="I217" s="112">
        <f>IFERROR(IF(OR(G217="yes",F217= "yes"),VLOOKUP(C217,Summary!$B:$J,6,0),0),0)</f>
        <v>0</v>
      </c>
      <c r="J217" s="111">
        <f t="shared" si="45"/>
        <v>72.23</v>
      </c>
      <c r="K217" s="91">
        <f>VLOOKUP($A217,'2022-23 Salary &amp; Benefits'!$A:$I,3,FALSE)</f>
        <v>1</v>
      </c>
      <c r="L217" s="91">
        <f>VLOOKUP($A217,'2022-23 Salary &amp; Benefits'!$A:$I,4,FALSE)</f>
        <v>1</v>
      </c>
      <c r="M217" s="101">
        <f t="shared" si="40"/>
        <v>72.23</v>
      </c>
      <c r="N217" s="24">
        <v>15</v>
      </c>
      <c r="O217" s="26">
        <f t="shared" si="43"/>
        <v>4.8153333333333332</v>
      </c>
      <c r="P217" s="24">
        <v>1.1000000000000001</v>
      </c>
      <c r="Q217" s="24">
        <v>36</v>
      </c>
      <c r="R217" s="27">
        <f t="shared" si="44"/>
        <v>190.68720000000002</v>
      </c>
      <c r="S217" s="102">
        <f t="shared" si="46"/>
        <v>0.21199999999999999</v>
      </c>
      <c r="T217" s="21">
        <f>VLOOKUP($A217,'2022-23 Salary &amp; Benefits'!$A:$I,5,FALSE)</f>
        <v>68937</v>
      </c>
      <c r="U217" s="21">
        <f>VLOOKUP($A217,'2022-23 Salary &amp; Benefits'!$A:$I,6,FALSE)</f>
        <v>72728</v>
      </c>
      <c r="V217" s="22">
        <f t="shared" si="47"/>
        <v>14614.64</v>
      </c>
      <c r="W217" s="22">
        <f t="shared" si="48"/>
        <v>803.70000000000073</v>
      </c>
      <c r="X217" s="22">
        <f>'2022-23 Salary &amp; Benefits'!$G$6</f>
        <v>12558.24</v>
      </c>
      <c r="Y217" s="23">
        <f>'2022-23 Salary &amp; Benefits'!$H$6</f>
        <v>0.2298</v>
      </c>
      <c r="Z217" s="23">
        <f>'2022-23 Salary &amp; Benefits'!$I$6</f>
        <v>0.22339999999999999</v>
      </c>
      <c r="AA217" s="22">
        <f t="shared" si="49"/>
        <v>6200.34</v>
      </c>
      <c r="AB217" s="22">
        <f t="shared" si="50"/>
        <v>256.97000000000003</v>
      </c>
      <c r="AC217" s="22">
        <f t="shared" si="51"/>
        <v>57.41</v>
      </c>
      <c r="AD217" s="22">
        <f t="shared" si="41"/>
        <v>314.38</v>
      </c>
      <c r="AE217" s="22">
        <f t="shared" si="42"/>
        <v>21933.06</v>
      </c>
      <c r="AF217" s="19" t="str">
        <f>VLOOKUP(C217,'2021-22 School Level AAFTE'!C:N,12,FALSE)</f>
        <v>No</v>
      </c>
    </row>
    <row r="218" spans="1:32" s="19" customFormat="1">
      <c r="A218" s="97" t="s">
        <v>2461</v>
      </c>
      <c r="B218" s="97" t="s">
        <v>1546</v>
      </c>
      <c r="C218" s="95">
        <v>1928</v>
      </c>
      <c r="D218" s="95" t="s">
        <v>1547</v>
      </c>
      <c r="E218" s="129">
        <f>VLOOKUP($C218,'2021-22 School Level AAFTE'!$C:$Z,11,FALSE)</f>
        <v>0.76163333333333327</v>
      </c>
      <c r="F218" s="129" t="str">
        <f>VLOOKUP($C218,'2021-22 School Level AAFTE'!$C:$Z,8,FALSE)</f>
        <v>Yes</v>
      </c>
      <c r="G218" s="129" t="str">
        <f>VLOOKUP($C218,'2021-22 School Level AAFTE'!$C:$Z,12,FALSE)</f>
        <v>No</v>
      </c>
      <c r="H218" s="127">
        <f>VLOOKUP($C218,'2021-22 School Level AAFTE'!$C:$I,7,FALSE)</f>
        <v>24.11</v>
      </c>
      <c r="I218" s="112">
        <f>IFERROR(IF(OR(G218="yes",F218= "yes"),VLOOKUP(C218,Summary!$B:$J,6,0),0),0)</f>
        <v>0</v>
      </c>
      <c r="J218" s="111">
        <f t="shared" si="45"/>
        <v>24.11</v>
      </c>
      <c r="K218" s="91">
        <f>VLOOKUP($A218,'2022-23 Salary &amp; Benefits'!$A:$I,3,FALSE)</f>
        <v>1.1499999999999999</v>
      </c>
      <c r="L218" s="91">
        <f>VLOOKUP($A218,'2022-23 Salary &amp; Benefits'!$A:$I,4,FALSE)</f>
        <v>1.1499999999999999</v>
      </c>
      <c r="M218" s="39">
        <f t="shared" si="40"/>
        <v>24.11</v>
      </c>
      <c r="N218" s="24">
        <v>15</v>
      </c>
      <c r="O218" s="26">
        <f t="shared" si="43"/>
        <v>1.6073333333333333</v>
      </c>
      <c r="P218" s="24">
        <v>1.1000000000000001</v>
      </c>
      <c r="Q218" s="24">
        <v>36</v>
      </c>
      <c r="R218" s="27">
        <f t="shared" si="44"/>
        <v>63.650399999999998</v>
      </c>
      <c r="S218" s="102">
        <f t="shared" si="46"/>
        <v>7.0999999999999994E-2</v>
      </c>
      <c r="T218" s="21">
        <f>VLOOKUP($A218,'2022-23 Salary &amp; Benefits'!$A:$I,5,FALSE)</f>
        <v>68937</v>
      </c>
      <c r="U218" s="21">
        <f>VLOOKUP($A218,'2022-23 Salary &amp; Benefits'!$A:$I,6,FALSE)</f>
        <v>72728</v>
      </c>
      <c r="V218" s="22">
        <f t="shared" si="47"/>
        <v>5628.71</v>
      </c>
      <c r="W218" s="22">
        <f t="shared" si="48"/>
        <v>309.52999999999975</v>
      </c>
      <c r="X218" s="22">
        <f>'2022-23 Salary &amp; Benefits'!$G$6</f>
        <v>12558.24</v>
      </c>
      <c r="Y218" s="23">
        <f>'2022-23 Salary &amp; Benefits'!$H$6</f>
        <v>0.2298</v>
      </c>
      <c r="Z218" s="23">
        <f>'2022-23 Salary &amp; Benefits'!$I$6</f>
        <v>0.22339999999999999</v>
      </c>
      <c r="AA218" s="22">
        <f t="shared" si="49"/>
        <v>2254.2600000000002</v>
      </c>
      <c r="AB218" s="22">
        <f t="shared" si="50"/>
        <v>98.97</v>
      </c>
      <c r="AC218" s="22">
        <f t="shared" si="51"/>
        <v>22.11</v>
      </c>
      <c r="AD218" s="22">
        <f t="shared" si="41"/>
        <v>121.08</v>
      </c>
      <c r="AE218" s="22">
        <f t="shared" si="42"/>
        <v>8313.58</v>
      </c>
      <c r="AF218" s="19" t="str">
        <f>VLOOKUP(C218,'2021-22 School Level AAFTE'!C:N,12,FALSE)</f>
        <v>No</v>
      </c>
    </row>
    <row r="219" spans="1:32" s="19" customFormat="1">
      <c r="A219" s="97" t="s">
        <v>2461</v>
      </c>
      <c r="B219" s="97" t="s">
        <v>1546</v>
      </c>
      <c r="C219" s="95">
        <v>2362</v>
      </c>
      <c r="D219" s="95" t="s">
        <v>1548</v>
      </c>
      <c r="E219" s="129">
        <f>VLOOKUP($C219,'2021-22 School Level AAFTE'!$C:$Z,11,FALSE)</f>
        <v>0.47539999999999999</v>
      </c>
      <c r="F219" s="129" t="str">
        <f>VLOOKUP($C219,'2021-22 School Level AAFTE'!$C:$Z,8,FALSE)</f>
        <v>No</v>
      </c>
      <c r="G219" s="129" t="str">
        <f>VLOOKUP($C219,'2021-22 School Level AAFTE'!$C:$Z,12,FALSE)</f>
        <v>No</v>
      </c>
      <c r="H219" s="127">
        <f>VLOOKUP($C219,'2021-22 School Level AAFTE'!$C:$I,7,FALSE)</f>
        <v>1075.08</v>
      </c>
      <c r="I219" s="112">
        <f>IFERROR(IF(OR(G219="yes",F219= "yes"),VLOOKUP(C219,Summary!$B:$J,6,0),0),0)</f>
        <v>0</v>
      </c>
      <c r="J219" s="111">
        <f t="shared" si="45"/>
        <v>0</v>
      </c>
      <c r="K219" s="91">
        <f>VLOOKUP($A219,'2022-23 Salary &amp; Benefits'!$A:$I,3,FALSE)</f>
        <v>1.1499999999999999</v>
      </c>
      <c r="L219" s="91">
        <f>VLOOKUP($A219,'2022-23 Salary &amp; Benefits'!$A:$I,4,FALSE)</f>
        <v>1.1499999999999999</v>
      </c>
      <c r="M219" s="39">
        <f t="shared" si="40"/>
        <v>0</v>
      </c>
      <c r="N219" s="24">
        <v>15</v>
      </c>
      <c r="O219" s="26">
        <f t="shared" si="43"/>
        <v>0</v>
      </c>
      <c r="P219" s="24">
        <v>1.1000000000000001</v>
      </c>
      <c r="Q219" s="24">
        <v>36</v>
      </c>
      <c r="R219" s="27">
        <f t="shared" si="44"/>
        <v>0</v>
      </c>
      <c r="S219" s="102">
        <f t="shared" si="46"/>
        <v>0</v>
      </c>
      <c r="T219" s="21">
        <f>VLOOKUP($A219,'2022-23 Salary &amp; Benefits'!$A:$I,5,FALSE)</f>
        <v>68937</v>
      </c>
      <c r="U219" s="21">
        <f>VLOOKUP($A219,'2022-23 Salary &amp; Benefits'!$A:$I,6,FALSE)</f>
        <v>72728</v>
      </c>
      <c r="V219" s="22">
        <f t="shared" si="47"/>
        <v>0</v>
      </c>
      <c r="W219" s="22">
        <f t="shared" si="48"/>
        <v>0</v>
      </c>
      <c r="X219" s="22">
        <f>'2022-23 Salary &amp; Benefits'!$G$6</f>
        <v>12558.24</v>
      </c>
      <c r="Y219" s="23">
        <f>'2022-23 Salary &amp; Benefits'!$H$6</f>
        <v>0.2298</v>
      </c>
      <c r="Z219" s="23">
        <f>'2022-23 Salary &amp; Benefits'!$I$6</f>
        <v>0.22339999999999999</v>
      </c>
      <c r="AA219" s="22">
        <f t="shared" si="49"/>
        <v>0</v>
      </c>
      <c r="AB219" s="22">
        <f t="shared" si="50"/>
        <v>0</v>
      </c>
      <c r="AC219" s="22">
        <f t="shared" si="51"/>
        <v>0</v>
      </c>
      <c r="AD219" s="22">
        <f t="shared" si="41"/>
        <v>0</v>
      </c>
      <c r="AE219" s="22">
        <f t="shared" si="42"/>
        <v>0</v>
      </c>
      <c r="AF219" s="19" t="str">
        <f>VLOOKUP(C219,'2021-22 School Level AAFTE'!C:N,12,FALSE)</f>
        <v>No</v>
      </c>
    </row>
    <row r="220" spans="1:32" s="19" customFormat="1">
      <c r="A220" s="97" t="s">
        <v>2461</v>
      </c>
      <c r="B220" s="97" t="s">
        <v>1546</v>
      </c>
      <c r="C220" s="95">
        <v>2379</v>
      </c>
      <c r="D220" s="95" t="s">
        <v>1549</v>
      </c>
      <c r="E220" s="129">
        <f>VLOOKUP($C220,'2021-22 School Level AAFTE'!$C:$Z,11,FALSE)</f>
        <v>0.25906666666666667</v>
      </c>
      <c r="F220" s="129" t="str">
        <f>VLOOKUP($C220,'2021-22 School Level AAFTE'!$C:$Z,8,FALSE)</f>
        <v>No</v>
      </c>
      <c r="G220" s="129" t="str">
        <f>VLOOKUP($C220,'2021-22 School Level AAFTE'!$C:$Z,12,FALSE)</f>
        <v>No</v>
      </c>
      <c r="H220" s="127">
        <f>VLOOKUP($C220,'2021-22 School Level AAFTE'!$C:$I,7,FALSE)</f>
        <v>371.7</v>
      </c>
      <c r="I220" s="112">
        <f>IFERROR(IF(OR(G220="yes",F220= "yes"),VLOOKUP(C220,Summary!$B:$J,6,0),0),0)</f>
        <v>0</v>
      </c>
      <c r="J220" s="111">
        <f t="shared" si="45"/>
        <v>0</v>
      </c>
      <c r="K220" s="91">
        <f>VLOOKUP($A220,'2022-23 Salary &amp; Benefits'!$A:$I,3,FALSE)</f>
        <v>1.1499999999999999</v>
      </c>
      <c r="L220" s="91">
        <f>VLOOKUP($A220,'2022-23 Salary &amp; Benefits'!$A:$I,4,FALSE)</f>
        <v>1.1499999999999999</v>
      </c>
      <c r="M220" s="39">
        <f t="shared" si="40"/>
        <v>0</v>
      </c>
      <c r="N220" s="24">
        <v>15</v>
      </c>
      <c r="O220" s="26">
        <f t="shared" si="43"/>
        <v>0</v>
      </c>
      <c r="P220" s="24">
        <v>1.1000000000000001</v>
      </c>
      <c r="Q220" s="24">
        <v>36</v>
      </c>
      <c r="R220" s="27">
        <f t="shared" si="44"/>
        <v>0</v>
      </c>
      <c r="S220" s="102">
        <f t="shared" si="46"/>
        <v>0</v>
      </c>
      <c r="T220" s="21">
        <f>VLOOKUP($A220,'2022-23 Salary &amp; Benefits'!$A:$I,5,FALSE)</f>
        <v>68937</v>
      </c>
      <c r="U220" s="21">
        <f>VLOOKUP($A220,'2022-23 Salary &amp; Benefits'!$A:$I,6,FALSE)</f>
        <v>72728</v>
      </c>
      <c r="V220" s="22">
        <f t="shared" si="47"/>
        <v>0</v>
      </c>
      <c r="W220" s="22">
        <f t="shared" si="48"/>
        <v>0</v>
      </c>
      <c r="X220" s="22">
        <f>'2022-23 Salary &amp; Benefits'!$G$6</f>
        <v>12558.24</v>
      </c>
      <c r="Y220" s="23">
        <f>'2022-23 Salary &amp; Benefits'!$H$6</f>
        <v>0.2298</v>
      </c>
      <c r="Z220" s="23">
        <f>'2022-23 Salary &amp; Benefits'!$I$6</f>
        <v>0.22339999999999999</v>
      </c>
      <c r="AA220" s="22">
        <f t="shared" si="49"/>
        <v>0</v>
      </c>
      <c r="AB220" s="22">
        <f t="shared" si="50"/>
        <v>0</v>
      </c>
      <c r="AC220" s="22">
        <f t="shared" si="51"/>
        <v>0</v>
      </c>
      <c r="AD220" s="22">
        <f t="shared" si="41"/>
        <v>0</v>
      </c>
      <c r="AE220" s="22">
        <f t="shared" si="42"/>
        <v>0</v>
      </c>
      <c r="AF220" s="19" t="str">
        <f>VLOOKUP(C220,'2021-22 School Level AAFTE'!C:N,12,FALSE)</f>
        <v>No</v>
      </c>
    </row>
    <row r="221" spans="1:32" s="19" customFormat="1">
      <c r="A221" s="97" t="s">
        <v>2461</v>
      </c>
      <c r="B221" s="97" t="s">
        <v>1546</v>
      </c>
      <c r="C221" s="95">
        <v>2946</v>
      </c>
      <c r="D221" s="95" t="s">
        <v>1550</v>
      </c>
      <c r="E221" s="129">
        <f>VLOOKUP($C221,'2021-22 School Level AAFTE'!$C:$Z,11,FALSE)</f>
        <v>0.5752666666666667</v>
      </c>
      <c r="F221" s="129" t="str">
        <f>VLOOKUP($C221,'2021-22 School Level AAFTE'!$C:$Z,8,FALSE)</f>
        <v>Yes</v>
      </c>
      <c r="G221" s="129" t="str">
        <f>VLOOKUP($C221,'2021-22 School Level AAFTE'!$C:$Z,12,FALSE)</f>
        <v>No</v>
      </c>
      <c r="H221" s="127">
        <f>VLOOKUP($C221,'2021-22 School Level AAFTE'!$C:$I,7,FALSE)</f>
        <v>398.71</v>
      </c>
      <c r="I221" s="112">
        <f>IFERROR(IF(OR(G221="yes",F221= "yes"),VLOOKUP(C221,Summary!$B:$J,6,0),0),0)</f>
        <v>0</v>
      </c>
      <c r="J221" s="111">
        <f t="shared" si="45"/>
        <v>398.71</v>
      </c>
      <c r="K221" s="91">
        <f>VLOOKUP($A221,'2022-23 Salary &amp; Benefits'!$A:$I,3,FALSE)</f>
        <v>1.1499999999999999</v>
      </c>
      <c r="L221" s="91">
        <f>VLOOKUP($A221,'2022-23 Salary &amp; Benefits'!$A:$I,4,FALSE)</f>
        <v>1.1499999999999999</v>
      </c>
      <c r="M221" s="39">
        <f t="shared" si="40"/>
        <v>398.71</v>
      </c>
      <c r="N221" s="24">
        <v>15</v>
      </c>
      <c r="O221" s="26">
        <f t="shared" si="43"/>
        <v>26.580666666666666</v>
      </c>
      <c r="P221" s="24">
        <v>1.1000000000000001</v>
      </c>
      <c r="Q221" s="24">
        <v>36</v>
      </c>
      <c r="R221" s="27">
        <f t="shared" si="44"/>
        <v>1052.5944000000002</v>
      </c>
      <c r="S221" s="102">
        <f t="shared" si="46"/>
        <v>1.17</v>
      </c>
      <c r="T221" s="21">
        <f>VLOOKUP($A221,'2022-23 Salary &amp; Benefits'!$A:$I,5,FALSE)</f>
        <v>68937</v>
      </c>
      <c r="U221" s="21">
        <f>VLOOKUP($A221,'2022-23 Salary &amp; Benefits'!$A:$I,6,FALSE)</f>
        <v>72728</v>
      </c>
      <c r="V221" s="22">
        <f t="shared" si="47"/>
        <v>92754.73</v>
      </c>
      <c r="W221" s="22">
        <f t="shared" si="48"/>
        <v>5100.7900000000081</v>
      </c>
      <c r="X221" s="22">
        <f>'2022-23 Salary &amp; Benefits'!$G$6</f>
        <v>12558.24</v>
      </c>
      <c r="Y221" s="23">
        <f>'2022-23 Salary &amp; Benefits'!$H$6</f>
        <v>0.2298</v>
      </c>
      <c r="Z221" s="23">
        <f>'2022-23 Salary &amp; Benefits'!$I$6</f>
        <v>0.22339999999999999</v>
      </c>
      <c r="AA221" s="22">
        <f t="shared" si="49"/>
        <v>37147.69</v>
      </c>
      <c r="AB221" s="22">
        <f t="shared" si="50"/>
        <v>1630.93</v>
      </c>
      <c r="AC221" s="22">
        <f t="shared" si="51"/>
        <v>364.35</v>
      </c>
      <c r="AD221" s="22">
        <f t="shared" si="41"/>
        <v>1995.2800000000002</v>
      </c>
      <c r="AE221" s="22">
        <f t="shared" si="42"/>
        <v>136998.49000000002</v>
      </c>
      <c r="AF221" s="19" t="str">
        <f>VLOOKUP(C221,'2021-22 School Level AAFTE'!C:N,12,FALSE)</f>
        <v>No</v>
      </c>
    </row>
    <row r="222" spans="1:32" s="19" customFormat="1">
      <c r="A222" s="97" t="s">
        <v>2461</v>
      </c>
      <c r="B222" s="97" t="s">
        <v>1546</v>
      </c>
      <c r="C222" s="95">
        <v>3251</v>
      </c>
      <c r="D222" s="95" t="s">
        <v>1551</v>
      </c>
      <c r="E222" s="129">
        <f>VLOOKUP($C222,'2021-22 School Level AAFTE'!$C:$Z,11,FALSE)</f>
        <v>0.68346666666666656</v>
      </c>
      <c r="F222" s="129" t="str">
        <f>VLOOKUP($C222,'2021-22 School Level AAFTE'!$C:$Z,8,FALSE)</f>
        <v>Yes</v>
      </c>
      <c r="G222" s="129" t="str">
        <f>VLOOKUP($C222,'2021-22 School Level AAFTE'!$C:$Z,12,FALSE)</f>
        <v>No</v>
      </c>
      <c r="H222" s="127">
        <f>VLOOKUP($C222,'2021-22 School Level AAFTE'!$C:$I,7,FALSE)</f>
        <v>556.29</v>
      </c>
      <c r="I222" s="112">
        <f>IFERROR(IF(OR(G222="yes",F222= "yes"),VLOOKUP(C222,Summary!$B:$J,6,0),0),0)</f>
        <v>0</v>
      </c>
      <c r="J222" s="111">
        <f t="shared" si="45"/>
        <v>556.29</v>
      </c>
      <c r="K222" s="91">
        <f>VLOOKUP($A222,'2022-23 Salary &amp; Benefits'!$A:$I,3,FALSE)</f>
        <v>1.1499999999999999</v>
      </c>
      <c r="L222" s="91">
        <f>VLOOKUP($A222,'2022-23 Salary &amp; Benefits'!$A:$I,4,FALSE)</f>
        <v>1.1499999999999999</v>
      </c>
      <c r="M222" s="39">
        <f t="shared" si="40"/>
        <v>556.29</v>
      </c>
      <c r="N222" s="24">
        <v>15</v>
      </c>
      <c r="O222" s="26">
        <f t="shared" si="43"/>
        <v>37.085999999999999</v>
      </c>
      <c r="P222" s="24">
        <v>1.1000000000000001</v>
      </c>
      <c r="Q222" s="24">
        <v>36</v>
      </c>
      <c r="R222" s="27">
        <f t="shared" si="44"/>
        <v>1468.6056000000001</v>
      </c>
      <c r="S222" s="102">
        <f t="shared" si="46"/>
        <v>1.6319999999999999</v>
      </c>
      <c r="T222" s="21">
        <f>VLOOKUP($A222,'2022-23 Salary &amp; Benefits'!$A:$I,5,FALSE)</f>
        <v>68937</v>
      </c>
      <c r="U222" s="21">
        <f>VLOOKUP($A222,'2022-23 Salary &amp; Benefits'!$A:$I,6,FALSE)</f>
        <v>72728</v>
      </c>
      <c r="V222" s="22">
        <f t="shared" si="47"/>
        <v>129380.96</v>
      </c>
      <c r="W222" s="22">
        <f t="shared" si="48"/>
        <v>7114.9499999999971</v>
      </c>
      <c r="X222" s="22">
        <f>'2022-23 Salary &amp; Benefits'!$G$6</f>
        <v>12558.24</v>
      </c>
      <c r="Y222" s="23">
        <f>'2022-23 Salary &amp; Benefits'!$H$6</f>
        <v>0.2298</v>
      </c>
      <c r="Z222" s="23">
        <f>'2022-23 Salary &amp; Benefits'!$I$6</f>
        <v>0.22339999999999999</v>
      </c>
      <c r="AA222" s="22">
        <f t="shared" si="49"/>
        <v>51816.27</v>
      </c>
      <c r="AB222" s="22">
        <f t="shared" si="50"/>
        <v>2274.9299999999998</v>
      </c>
      <c r="AC222" s="22">
        <f t="shared" si="51"/>
        <v>508.22</v>
      </c>
      <c r="AD222" s="22">
        <f t="shared" si="41"/>
        <v>2783.1499999999996</v>
      </c>
      <c r="AE222" s="22">
        <f t="shared" si="42"/>
        <v>191095.33</v>
      </c>
      <c r="AF222" s="19" t="str">
        <f>VLOOKUP(C222,'2021-22 School Level AAFTE'!C:N,12,FALSE)</f>
        <v>No</v>
      </c>
    </row>
    <row r="223" spans="1:32" s="19" customFormat="1">
      <c r="A223" s="97" t="s">
        <v>2461</v>
      </c>
      <c r="B223" s="97" t="s">
        <v>1546</v>
      </c>
      <c r="C223" s="95">
        <v>3603</v>
      </c>
      <c r="D223" s="95" t="s">
        <v>1552</v>
      </c>
      <c r="E223" s="129">
        <f>VLOOKUP($C223,'2021-22 School Level AAFTE'!$C:$Z,11,FALSE)</f>
        <v>0.75536666666666674</v>
      </c>
      <c r="F223" s="129" t="str">
        <f>VLOOKUP($C223,'2021-22 School Level AAFTE'!$C:$Z,8,FALSE)</f>
        <v>Yes</v>
      </c>
      <c r="G223" s="129" t="str">
        <f>VLOOKUP($C223,'2021-22 School Level AAFTE'!$C:$Z,12,FALSE)</f>
        <v>No</v>
      </c>
      <c r="H223" s="127">
        <f>VLOOKUP($C223,'2021-22 School Level AAFTE'!$C:$I,7,FALSE)</f>
        <v>397.71</v>
      </c>
      <c r="I223" s="112">
        <f>IFERROR(IF(OR(G223="yes",F223= "yes"),VLOOKUP(C223,Summary!$B:$J,6,0),0),0)</f>
        <v>0</v>
      </c>
      <c r="J223" s="111">
        <f t="shared" si="45"/>
        <v>397.71</v>
      </c>
      <c r="K223" s="91">
        <f>VLOOKUP($A223,'2022-23 Salary &amp; Benefits'!$A:$I,3,FALSE)</f>
        <v>1.1499999999999999</v>
      </c>
      <c r="L223" s="91">
        <f>VLOOKUP($A223,'2022-23 Salary &amp; Benefits'!$A:$I,4,FALSE)</f>
        <v>1.1499999999999999</v>
      </c>
      <c r="M223" s="39">
        <f t="shared" si="40"/>
        <v>397.71</v>
      </c>
      <c r="N223" s="24">
        <v>15</v>
      </c>
      <c r="O223" s="26">
        <f t="shared" si="43"/>
        <v>26.513999999999999</v>
      </c>
      <c r="P223" s="24">
        <v>1.1000000000000001</v>
      </c>
      <c r="Q223" s="24">
        <v>36</v>
      </c>
      <c r="R223" s="27">
        <f t="shared" si="44"/>
        <v>1049.9544000000001</v>
      </c>
      <c r="S223" s="102">
        <f t="shared" si="46"/>
        <v>1.167</v>
      </c>
      <c r="T223" s="21">
        <f>VLOOKUP($A223,'2022-23 Salary &amp; Benefits'!$A:$I,5,FALSE)</f>
        <v>68937</v>
      </c>
      <c r="U223" s="21">
        <f>VLOOKUP($A223,'2022-23 Salary &amp; Benefits'!$A:$I,6,FALSE)</f>
        <v>72728</v>
      </c>
      <c r="V223" s="22">
        <f t="shared" si="47"/>
        <v>92516.9</v>
      </c>
      <c r="W223" s="22">
        <f t="shared" si="48"/>
        <v>5087.7100000000064</v>
      </c>
      <c r="X223" s="22">
        <f>'2022-23 Salary &amp; Benefits'!$G$6</f>
        <v>12558.24</v>
      </c>
      <c r="Y223" s="23">
        <f>'2022-23 Salary &amp; Benefits'!$H$6</f>
        <v>0.2298</v>
      </c>
      <c r="Z223" s="23">
        <f>'2022-23 Salary &amp; Benefits'!$I$6</f>
        <v>0.22339999999999999</v>
      </c>
      <c r="AA223" s="22">
        <f t="shared" si="49"/>
        <v>37052.44</v>
      </c>
      <c r="AB223" s="22">
        <f t="shared" si="50"/>
        <v>1626.74</v>
      </c>
      <c r="AC223" s="22">
        <f t="shared" si="51"/>
        <v>363.41</v>
      </c>
      <c r="AD223" s="22">
        <f t="shared" si="41"/>
        <v>1990.15</v>
      </c>
      <c r="AE223" s="22">
        <f t="shared" si="42"/>
        <v>136647.19999999998</v>
      </c>
      <c r="AF223" s="19" t="str">
        <f>VLOOKUP(C223,'2021-22 School Level AAFTE'!C:N,12,FALSE)</f>
        <v>No</v>
      </c>
    </row>
    <row r="224" spans="1:32" s="19" customFormat="1">
      <c r="A224" s="97" t="s">
        <v>2461</v>
      </c>
      <c r="B224" s="97" t="s">
        <v>1546</v>
      </c>
      <c r="C224" s="95">
        <v>4412</v>
      </c>
      <c r="D224" s="95" t="s">
        <v>1553</v>
      </c>
      <c r="E224" s="129">
        <f>VLOOKUP($C224,'2021-22 School Level AAFTE'!$C:$Z,11,FALSE)</f>
        <v>0.34943333333333332</v>
      </c>
      <c r="F224" s="129" t="str">
        <f>VLOOKUP($C224,'2021-22 School Level AAFTE'!$C:$Z,8,FALSE)</f>
        <v>No</v>
      </c>
      <c r="G224" s="129" t="str">
        <f>VLOOKUP($C224,'2021-22 School Level AAFTE'!$C:$Z,12,FALSE)</f>
        <v>No</v>
      </c>
      <c r="H224" s="127">
        <f>VLOOKUP($C224,'2021-22 School Level AAFTE'!$C:$I,7,FALSE)</f>
        <v>434.81</v>
      </c>
      <c r="I224" s="112">
        <f>IFERROR(IF(OR(G224="yes",F224= "yes"),VLOOKUP(C224,Summary!$B:$J,6,0),0),0)</f>
        <v>0</v>
      </c>
      <c r="J224" s="111">
        <f t="shared" si="45"/>
        <v>0</v>
      </c>
      <c r="K224" s="91">
        <f>VLOOKUP($A224,'2022-23 Salary &amp; Benefits'!$A:$I,3,FALSE)</f>
        <v>1.1499999999999999</v>
      </c>
      <c r="L224" s="91">
        <f>VLOOKUP($A224,'2022-23 Salary &amp; Benefits'!$A:$I,4,FALSE)</f>
        <v>1.1499999999999999</v>
      </c>
      <c r="M224" s="101">
        <f t="shared" si="40"/>
        <v>0</v>
      </c>
      <c r="N224" s="24">
        <v>15</v>
      </c>
      <c r="O224" s="26">
        <f t="shared" si="43"/>
        <v>0</v>
      </c>
      <c r="P224" s="24">
        <v>1.1000000000000001</v>
      </c>
      <c r="Q224" s="24">
        <v>36</v>
      </c>
      <c r="R224" s="27">
        <f t="shared" si="44"/>
        <v>0</v>
      </c>
      <c r="S224" s="102">
        <f t="shared" si="46"/>
        <v>0</v>
      </c>
      <c r="T224" s="21">
        <f>VLOOKUP($A224,'2022-23 Salary &amp; Benefits'!$A:$I,5,FALSE)</f>
        <v>68937</v>
      </c>
      <c r="U224" s="21">
        <f>VLOOKUP($A224,'2022-23 Salary &amp; Benefits'!$A:$I,6,FALSE)</f>
        <v>72728</v>
      </c>
      <c r="V224" s="22">
        <f t="shared" si="47"/>
        <v>0</v>
      </c>
      <c r="W224" s="22">
        <f t="shared" si="48"/>
        <v>0</v>
      </c>
      <c r="X224" s="22">
        <f>'2022-23 Salary &amp; Benefits'!$G$6</f>
        <v>12558.24</v>
      </c>
      <c r="Y224" s="23">
        <f>'2022-23 Salary &amp; Benefits'!$H$6</f>
        <v>0.2298</v>
      </c>
      <c r="Z224" s="23">
        <f>'2022-23 Salary &amp; Benefits'!$I$6</f>
        <v>0.22339999999999999</v>
      </c>
      <c r="AA224" s="22">
        <f t="shared" si="49"/>
        <v>0</v>
      </c>
      <c r="AB224" s="22">
        <f t="shared" si="50"/>
        <v>0</v>
      </c>
      <c r="AC224" s="22">
        <f t="shared" si="51"/>
        <v>0</v>
      </c>
      <c r="AD224" s="22">
        <f t="shared" si="41"/>
        <v>0</v>
      </c>
      <c r="AE224" s="22">
        <f t="shared" si="42"/>
        <v>0</v>
      </c>
      <c r="AF224" s="19" t="str">
        <f>VLOOKUP(C224,'2021-22 School Level AAFTE'!C:N,12,FALSE)</f>
        <v>No</v>
      </c>
    </row>
    <row r="225" spans="1:32" s="19" customFormat="1">
      <c r="A225" s="97" t="s">
        <v>2461</v>
      </c>
      <c r="B225" s="97" t="s">
        <v>1546</v>
      </c>
      <c r="C225" s="95">
        <v>5525</v>
      </c>
      <c r="D225" s="95" t="s">
        <v>2818</v>
      </c>
      <c r="E225" s="129">
        <f>VLOOKUP($C225,'2021-22 School Level AAFTE'!$C:$Z,11,FALSE)</f>
        <v>0.5541666666666667</v>
      </c>
      <c r="F225" s="129" t="str">
        <f>VLOOKUP($C225,'2021-22 School Level AAFTE'!$C:$Z,8,FALSE)</f>
        <v>Yes</v>
      </c>
      <c r="G225" s="129" t="str">
        <f>VLOOKUP($C225,'2021-22 School Level AAFTE'!$C:$Z,12,FALSE)</f>
        <v>No</v>
      </c>
      <c r="H225" s="127">
        <f>VLOOKUP($C225,'2021-22 School Level AAFTE'!$C:$I,7,FALSE)</f>
        <v>10.860000000000001</v>
      </c>
      <c r="I225" s="112">
        <f>IFERROR(IF(OR(G225="yes",F225= "yes"),VLOOKUP(C225,Summary!$B:$J,6,0),0),0)</f>
        <v>0</v>
      </c>
      <c r="J225" s="111">
        <f t="shared" si="45"/>
        <v>10.860000000000001</v>
      </c>
      <c r="K225" s="91">
        <f>VLOOKUP($A225,'2022-23 Salary &amp; Benefits'!$A:$I,3,FALSE)</f>
        <v>1.1499999999999999</v>
      </c>
      <c r="L225" s="91">
        <f>VLOOKUP($A225,'2022-23 Salary &amp; Benefits'!$A:$I,4,FALSE)</f>
        <v>1.1499999999999999</v>
      </c>
      <c r="M225" s="39">
        <f t="shared" si="40"/>
        <v>10.860000000000001</v>
      </c>
      <c r="N225" s="24">
        <v>15</v>
      </c>
      <c r="O225" s="26">
        <f t="shared" si="43"/>
        <v>0.72400000000000009</v>
      </c>
      <c r="P225" s="24">
        <v>1.1000000000000001</v>
      </c>
      <c r="Q225" s="24">
        <v>36</v>
      </c>
      <c r="R225" s="27">
        <f t="shared" si="44"/>
        <v>28.670400000000004</v>
      </c>
      <c r="S225" s="102">
        <f t="shared" si="46"/>
        <v>3.2000000000000001E-2</v>
      </c>
      <c r="T225" s="21">
        <f>VLOOKUP($A225,'2022-23 Salary &amp; Benefits'!$A:$I,5,FALSE)</f>
        <v>68937</v>
      </c>
      <c r="U225" s="21">
        <f>VLOOKUP($A225,'2022-23 Salary &amp; Benefits'!$A:$I,6,FALSE)</f>
        <v>72728</v>
      </c>
      <c r="V225" s="22">
        <f t="shared" si="47"/>
        <v>2536.88</v>
      </c>
      <c r="W225" s="22">
        <f t="shared" si="48"/>
        <v>139.50999999999976</v>
      </c>
      <c r="X225" s="22">
        <f>'2022-23 Salary &amp; Benefits'!$G$6</f>
        <v>12558.24</v>
      </c>
      <c r="Y225" s="23">
        <f>'2022-23 Salary &amp; Benefits'!$H$6</f>
        <v>0.2298</v>
      </c>
      <c r="Z225" s="23">
        <f>'2022-23 Salary &amp; Benefits'!$I$6</f>
        <v>0.22339999999999999</v>
      </c>
      <c r="AA225" s="22">
        <f t="shared" si="49"/>
        <v>1016.01</v>
      </c>
      <c r="AB225" s="22">
        <f t="shared" si="50"/>
        <v>44.61</v>
      </c>
      <c r="AC225" s="22">
        <f t="shared" si="51"/>
        <v>9.9700000000000006</v>
      </c>
      <c r="AD225" s="22">
        <f t="shared" si="41"/>
        <v>54.58</v>
      </c>
      <c r="AE225" s="22">
        <f t="shared" si="42"/>
        <v>3746.98</v>
      </c>
      <c r="AF225" s="19" t="str">
        <f>VLOOKUP(C225,'2021-22 School Level AAFTE'!C:N,12,FALSE)</f>
        <v>No</v>
      </c>
    </row>
    <row r="226" spans="1:32" s="19" customFormat="1">
      <c r="A226" s="137" t="s">
        <v>2289</v>
      </c>
      <c r="B226" s="97" t="s">
        <v>255</v>
      </c>
      <c r="C226" s="138">
        <v>2725</v>
      </c>
      <c r="D226" s="56" t="s">
        <v>256</v>
      </c>
      <c r="E226" s="129">
        <f>VLOOKUP($C226,'2021-22 School Level AAFTE'!$C:$Z,11,FALSE)</f>
        <v>0.15759999999999999</v>
      </c>
      <c r="F226" s="129" t="str">
        <f>VLOOKUP($C226,'2021-22 School Level AAFTE'!$C:$Z,8,FALSE)</f>
        <v>No</v>
      </c>
      <c r="G226" s="129" t="str">
        <f>VLOOKUP($C226,'2021-22 School Level AAFTE'!$C:$Z,12,FALSE)</f>
        <v>No</v>
      </c>
      <c r="H226" s="127">
        <f>VLOOKUP($C226,'2021-22 School Level AAFTE'!$C:$I,7,FALSE)</f>
        <v>526.59</v>
      </c>
      <c r="I226" s="112">
        <f>IFERROR(IF(OR(G226="yes",F226= "yes"),VLOOKUP(C226,Summary!$B:$J,6,0),0),0)</f>
        <v>0</v>
      </c>
      <c r="J226" s="111">
        <f t="shared" si="45"/>
        <v>0</v>
      </c>
      <c r="K226" s="91">
        <f>VLOOKUP($A226,'2022-23 Salary &amp; Benefits'!$A:$I,3,FALSE)</f>
        <v>1.0900000000000001</v>
      </c>
      <c r="L226" s="91">
        <f>VLOOKUP($A226,'2022-23 Salary &amp; Benefits'!$A:$I,4,FALSE)</f>
        <v>1.0900000000000001</v>
      </c>
      <c r="M226" s="39">
        <f t="shared" si="40"/>
        <v>0</v>
      </c>
      <c r="N226" s="24">
        <v>15</v>
      </c>
      <c r="O226" s="26">
        <f t="shared" si="43"/>
        <v>0</v>
      </c>
      <c r="P226" s="24">
        <v>1.1000000000000001</v>
      </c>
      <c r="Q226" s="24">
        <v>36</v>
      </c>
      <c r="R226" s="27">
        <f t="shared" si="44"/>
        <v>0</v>
      </c>
      <c r="S226" s="102">
        <f t="shared" si="46"/>
        <v>0</v>
      </c>
      <c r="T226" s="21">
        <f>VLOOKUP($A226,'2022-23 Salary &amp; Benefits'!$A:$I,5,FALSE)</f>
        <v>68937</v>
      </c>
      <c r="U226" s="21">
        <f>VLOOKUP($A226,'2022-23 Salary &amp; Benefits'!$A:$I,6,FALSE)</f>
        <v>72728</v>
      </c>
      <c r="V226" s="22">
        <f t="shared" si="47"/>
        <v>0</v>
      </c>
      <c r="W226" s="22">
        <f t="shared" si="48"/>
        <v>0</v>
      </c>
      <c r="X226" s="22">
        <f>'2022-23 Salary &amp; Benefits'!$G$6</f>
        <v>12558.24</v>
      </c>
      <c r="Y226" s="23">
        <f>'2022-23 Salary &amp; Benefits'!$H$6</f>
        <v>0.2298</v>
      </c>
      <c r="Z226" s="23">
        <f>'2022-23 Salary &amp; Benefits'!$I$6</f>
        <v>0.22339999999999999</v>
      </c>
      <c r="AA226" s="22">
        <f t="shared" si="49"/>
        <v>0</v>
      </c>
      <c r="AB226" s="22">
        <f t="shared" si="50"/>
        <v>0</v>
      </c>
      <c r="AC226" s="22">
        <f t="shared" si="51"/>
        <v>0</v>
      </c>
      <c r="AD226" s="22">
        <f t="shared" si="41"/>
        <v>0</v>
      </c>
      <c r="AE226" s="22">
        <f t="shared" si="42"/>
        <v>0</v>
      </c>
      <c r="AF226" s="19" t="str">
        <f>VLOOKUP(C226,'2021-22 School Level AAFTE'!C:N,12,FALSE)</f>
        <v>No</v>
      </c>
    </row>
    <row r="227" spans="1:32" s="19" customFormat="1">
      <c r="A227" s="97" t="s">
        <v>2289</v>
      </c>
      <c r="B227" s="97" t="s">
        <v>255</v>
      </c>
      <c r="C227" s="95">
        <v>3474</v>
      </c>
      <c r="D227" s="95" t="s">
        <v>2774</v>
      </c>
      <c r="E227" s="129">
        <f>VLOOKUP($C227,'2021-22 School Level AAFTE'!$C:$Z,11,FALSE)</f>
        <v>0.1643</v>
      </c>
      <c r="F227" s="129" t="str">
        <f>VLOOKUP($C227,'2021-22 School Level AAFTE'!$C:$Z,8,FALSE)</f>
        <v>No</v>
      </c>
      <c r="G227" s="129" t="str">
        <f>VLOOKUP($C227,'2021-22 School Level AAFTE'!$C:$Z,12,FALSE)</f>
        <v>No</v>
      </c>
      <c r="H227" s="127">
        <f>VLOOKUP($C227,'2021-22 School Level AAFTE'!$C:$I,7,FALSE)</f>
        <v>339.87</v>
      </c>
      <c r="I227" s="112">
        <f>IFERROR(IF(OR(G227="yes",F227= "yes"),VLOOKUP(C227,Summary!$B:$J,6,0),0),0)</f>
        <v>0</v>
      </c>
      <c r="J227" s="111">
        <f t="shared" si="45"/>
        <v>0</v>
      </c>
      <c r="K227" s="91">
        <f>VLOOKUP($A227,'2022-23 Salary &amp; Benefits'!$A:$I,3,FALSE)</f>
        <v>1.0900000000000001</v>
      </c>
      <c r="L227" s="91">
        <f>VLOOKUP($A227,'2022-23 Salary &amp; Benefits'!$A:$I,4,FALSE)</f>
        <v>1.0900000000000001</v>
      </c>
      <c r="M227" s="39">
        <f t="shared" si="40"/>
        <v>0</v>
      </c>
      <c r="N227" s="24">
        <v>15</v>
      </c>
      <c r="O227" s="26">
        <f t="shared" si="43"/>
        <v>0</v>
      </c>
      <c r="P227" s="24">
        <v>1.1000000000000001</v>
      </c>
      <c r="Q227" s="24">
        <v>36</v>
      </c>
      <c r="R227" s="27">
        <f t="shared" si="44"/>
        <v>0</v>
      </c>
      <c r="S227" s="102">
        <f t="shared" si="46"/>
        <v>0</v>
      </c>
      <c r="T227" s="21">
        <f>VLOOKUP($A227,'2022-23 Salary &amp; Benefits'!$A:$I,5,FALSE)</f>
        <v>68937</v>
      </c>
      <c r="U227" s="21">
        <f>VLOOKUP($A227,'2022-23 Salary &amp; Benefits'!$A:$I,6,FALSE)</f>
        <v>72728</v>
      </c>
      <c r="V227" s="22">
        <f t="shared" si="47"/>
        <v>0</v>
      </c>
      <c r="W227" s="22">
        <f t="shared" si="48"/>
        <v>0</v>
      </c>
      <c r="X227" s="22">
        <f>'2022-23 Salary &amp; Benefits'!$G$6</f>
        <v>12558.24</v>
      </c>
      <c r="Y227" s="23">
        <f>'2022-23 Salary &amp; Benefits'!$H$6</f>
        <v>0.2298</v>
      </c>
      <c r="Z227" s="23">
        <f>'2022-23 Salary &amp; Benefits'!$I$6</f>
        <v>0.22339999999999999</v>
      </c>
      <c r="AA227" s="22">
        <f t="shared" si="49"/>
        <v>0</v>
      </c>
      <c r="AB227" s="22">
        <f t="shared" si="50"/>
        <v>0</v>
      </c>
      <c r="AC227" s="22">
        <f t="shared" si="51"/>
        <v>0</v>
      </c>
      <c r="AD227" s="22">
        <f t="shared" si="41"/>
        <v>0</v>
      </c>
      <c r="AE227" s="22">
        <f t="shared" si="42"/>
        <v>0</v>
      </c>
      <c r="AF227" s="19" t="str">
        <f>VLOOKUP(C227,'2021-22 School Level AAFTE'!C:N,12,FALSE)</f>
        <v>No</v>
      </c>
    </row>
    <row r="228" spans="1:32" s="19" customFormat="1">
      <c r="A228" s="97" t="s">
        <v>2289</v>
      </c>
      <c r="B228" s="97" t="s">
        <v>255</v>
      </c>
      <c r="C228" s="95">
        <v>4182</v>
      </c>
      <c r="D228" s="95" t="s">
        <v>257</v>
      </c>
      <c r="E228" s="129">
        <f>VLOOKUP($C228,'2021-22 School Level AAFTE'!$C:$Z,11,FALSE)</f>
        <v>0.12113333333333333</v>
      </c>
      <c r="F228" s="129" t="str">
        <f>VLOOKUP($C228,'2021-22 School Level AAFTE'!$C:$Z,8,FALSE)</f>
        <v>No</v>
      </c>
      <c r="G228" s="129" t="str">
        <f>VLOOKUP($C228,'2021-22 School Level AAFTE'!$C:$Z,12,FALSE)</f>
        <v>No</v>
      </c>
      <c r="H228" s="127">
        <f>VLOOKUP($C228,'2021-22 School Level AAFTE'!$C:$I,7,FALSE)</f>
        <v>479.45</v>
      </c>
      <c r="I228" s="112">
        <f>IFERROR(IF(OR(G228="yes",F228= "yes"),VLOOKUP(C228,Summary!$B:$J,6,0),0),0)</f>
        <v>0</v>
      </c>
      <c r="J228" s="111">
        <f t="shared" si="45"/>
        <v>0</v>
      </c>
      <c r="K228" s="91">
        <f>VLOOKUP($A228,'2022-23 Salary &amp; Benefits'!$A:$I,3,FALSE)</f>
        <v>1.0900000000000001</v>
      </c>
      <c r="L228" s="91">
        <f>VLOOKUP($A228,'2022-23 Salary &amp; Benefits'!$A:$I,4,FALSE)</f>
        <v>1.0900000000000001</v>
      </c>
      <c r="M228" s="39">
        <f t="shared" si="40"/>
        <v>0</v>
      </c>
      <c r="N228" s="24">
        <v>15</v>
      </c>
      <c r="O228" s="26">
        <f t="shared" si="43"/>
        <v>0</v>
      </c>
      <c r="P228" s="24">
        <v>1.1000000000000001</v>
      </c>
      <c r="Q228" s="24">
        <v>36</v>
      </c>
      <c r="R228" s="27">
        <f t="shared" si="44"/>
        <v>0</v>
      </c>
      <c r="S228" s="102">
        <f t="shared" si="46"/>
        <v>0</v>
      </c>
      <c r="T228" s="21">
        <f>VLOOKUP($A228,'2022-23 Salary &amp; Benefits'!$A:$I,5,FALSE)</f>
        <v>68937</v>
      </c>
      <c r="U228" s="21">
        <f>VLOOKUP($A228,'2022-23 Salary &amp; Benefits'!$A:$I,6,FALSE)</f>
        <v>72728</v>
      </c>
      <c r="V228" s="22">
        <f t="shared" si="47"/>
        <v>0</v>
      </c>
      <c r="W228" s="22">
        <f t="shared" si="48"/>
        <v>0</v>
      </c>
      <c r="X228" s="22">
        <f>'2022-23 Salary &amp; Benefits'!$G$6</f>
        <v>12558.24</v>
      </c>
      <c r="Y228" s="23">
        <f>'2022-23 Salary &amp; Benefits'!$H$6</f>
        <v>0.2298</v>
      </c>
      <c r="Z228" s="23">
        <f>'2022-23 Salary &amp; Benefits'!$I$6</f>
        <v>0.22339999999999999</v>
      </c>
      <c r="AA228" s="22">
        <f t="shared" si="49"/>
        <v>0</v>
      </c>
      <c r="AB228" s="22">
        <f t="shared" si="50"/>
        <v>0</v>
      </c>
      <c r="AC228" s="22">
        <f t="shared" si="51"/>
        <v>0</v>
      </c>
      <c r="AD228" s="22">
        <f t="shared" si="41"/>
        <v>0</v>
      </c>
      <c r="AE228" s="22">
        <f t="shared" si="42"/>
        <v>0</v>
      </c>
      <c r="AF228" s="19" t="str">
        <f>VLOOKUP(C228,'2021-22 School Level AAFTE'!C:N,12,FALSE)</f>
        <v>No</v>
      </c>
    </row>
    <row r="229" spans="1:32" s="19" customFormat="1">
      <c r="A229" s="97" t="s">
        <v>2289</v>
      </c>
      <c r="B229" s="97" t="s">
        <v>255</v>
      </c>
      <c r="C229" s="95">
        <v>4508</v>
      </c>
      <c r="D229" s="95" t="s">
        <v>258</v>
      </c>
      <c r="E229" s="129">
        <f>VLOOKUP($C229,'2021-22 School Level AAFTE'!$C:$Z,11,FALSE)</f>
        <v>0.10580000000000001</v>
      </c>
      <c r="F229" s="129" t="str">
        <f>VLOOKUP($C229,'2021-22 School Level AAFTE'!$C:$Z,8,FALSE)</f>
        <v>No</v>
      </c>
      <c r="G229" s="129" t="str">
        <f>VLOOKUP($C229,'2021-22 School Level AAFTE'!$C:$Z,12,FALSE)</f>
        <v>No</v>
      </c>
      <c r="H229" s="127">
        <f>VLOOKUP($C229,'2021-22 School Level AAFTE'!$C:$I,7,FALSE)</f>
        <v>703.33</v>
      </c>
      <c r="I229" s="112">
        <f>IFERROR(IF(OR(G229="yes",F229= "yes"),VLOOKUP(C229,Summary!$B:$J,6,0),0),0)</f>
        <v>0</v>
      </c>
      <c r="J229" s="111">
        <f t="shared" si="45"/>
        <v>0</v>
      </c>
      <c r="K229" s="91">
        <f>VLOOKUP($A229,'2022-23 Salary &amp; Benefits'!$A:$I,3,FALSE)</f>
        <v>1.0900000000000001</v>
      </c>
      <c r="L229" s="91">
        <f>VLOOKUP($A229,'2022-23 Salary &amp; Benefits'!$A:$I,4,FALSE)</f>
        <v>1.0900000000000001</v>
      </c>
      <c r="M229" s="39">
        <f t="shared" si="40"/>
        <v>0</v>
      </c>
      <c r="N229" s="24">
        <v>15</v>
      </c>
      <c r="O229" s="26">
        <f t="shared" si="43"/>
        <v>0</v>
      </c>
      <c r="P229" s="24">
        <v>1.1000000000000001</v>
      </c>
      <c r="Q229" s="24">
        <v>36</v>
      </c>
      <c r="R229" s="27">
        <f t="shared" si="44"/>
        <v>0</v>
      </c>
      <c r="S229" s="102">
        <f t="shared" si="46"/>
        <v>0</v>
      </c>
      <c r="T229" s="21">
        <f>VLOOKUP($A229,'2022-23 Salary &amp; Benefits'!$A:$I,5,FALSE)</f>
        <v>68937</v>
      </c>
      <c r="U229" s="21">
        <f>VLOOKUP($A229,'2022-23 Salary &amp; Benefits'!$A:$I,6,FALSE)</f>
        <v>72728</v>
      </c>
      <c r="V229" s="22">
        <f t="shared" si="47"/>
        <v>0</v>
      </c>
      <c r="W229" s="22">
        <f t="shared" si="48"/>
        <v>0</v>
      </c>
      <c r="X229" s="22">
        <f>'2022-23 Salary &amp; Benefits'!$G$6</f>
        <v>12558.24</v>
      </c>
      <c r="Y229" s="23">
        <f>'2022-23 Salary &amp; Benefits'!$H$6</f>
        <v>0.2298</v>
      </c>
      <c r="Z229" s="23">
        <f>'2022-23 Salary &amp; Benefits'!$I$6</f>
        <v>0.22339999999999999</v>
      </c>
      <c r="AA229" s="22">
        <f t="shared" si="49"/>
        <v>0</v>
      </c>
      <c r="AB229" s="22">
        <f t="shared" si="50"/>
        <v>0</v>
      </c>
      <c r="AC229" s="22">
        <f t="shared" si="51"/>
        <v>0</v>
      </c>
      <c r="AD229" s="22">
        <f t="shared" si="41"/>
        <v>0</v>
      </c>
      <c r="AE229" s="22">
        <f t="shared" si="42"/>
        <v>0</v>
      </c>
      <c r="AF229" s="19" t="str">
        <f>VLOOKUP(C229,'2021-22 School Level AAFTE'!C:N,12,FALSE)</f>
        <v>No</v>
      </c>
    </row>
    <row r="230" spans="1:32" s="19" customFormat="1">
      <c r="A230" s="97" t="s">
        <v>2289</v>
      </c>
      <c r="B230" s="97" t="s">
        <v>255</v>
      </c>
      <c r="C230" s="95">
        <v>4563</v>
      </c>
      <c r="D230" s="95" t="s">
        <v>259</v>
      </c>
      <c r="E230" s="129">
        <f>VLOOKUP($C230,'2021-22 School Level AAFTE'!$C:$Z,11,FALSE)</f>
        <v>0.11206666666666665</v>
      </c>
      <c r="F230" s="129" t="str">
        <f>VLOOKUP($C230,'2021-22 School Level AAFTE'!$C:$Z,8,FALSE)</f>
        <v>No</v>
      </c>
      <c r="G230" s="129" t="str">
        <f>VLOOKUP($C230,'2021-22 School Level AAFTE'!$C:$Z,12,FALSE)</f>
        <v>No</v>
      </c>
      <c r="H230" s="127">
        <f>VLOOKUP($C230,'2021-22 School Level AAFTE'!$C:$I,7,FALSE)</f>
        <v>434.43</v>
      </c>
      <c r="I230" s="112">
        <f>IFERROR(IF(OR(G230="yes",F230= "yes"),VLOOKUP(C230,Summary!$B:$J,6,0),0),0)</f>
        <v>0</v>
      </c>
      <c r="J230" s="111">
        <f t="shared" si="45"/>
        <v>0</v>
      </c>
      <c r="K230" s="91">
        <f>VLOOKUP($A230,'2022-23 Salary &amp; Benefits'!$A:$I,3,FALSE)</f>
        <v>1.0900000000000001</v>
      </c>
      <c r="L230" s="91">
        <f>VLOOKUP($A230,'2022-23 Salary &amp; Benefits'!$A:$I,4,FALSE)</f>
        <v>1.0900000000000001</v>
      </c>
      <c r="M230" s="39">
        <f t="shared" si="40"/>
        <v>0</v>
      </c>
      <c r="N230" s="24">
        <v>15</v>
      </c>
      <c r="O230" s="26">
        <f t="shared" si="43"/>
        <v>0</v>
      </c>
      <c r="P230" s="24">
        <v>1.1000000000000001</v>
      </c>
      <c r="Q230" s="24">
        <v>36</v>
      </c>
      <c r="R230" s="27">
        <f t="shared" si="44"/>
        <v>0</v>
      </c>
      <c r="S230" s="102">
        <f t="shared" si="46"/>
        <v>0</v>
      </c>
      <c r="T230" s="21">
        <f>VLOOKUP($A230,'2022-23 Salary &amp; Benefits'!$A:$I,5,FALSE)</f>
        <v>68937</v>
      </c>
      <c r="U230" s="21">
        <f>VLOOKUP($A230,'2022-23 Salary &amp; Benefits'!$A:$I,6,FALSE)</f>
        <v>72728</v>
      </c>
      <c r="V230" s="22">
        <f t="shared" si="47"/>
        <v>0</v>
      </c>
      <c r="W230" s="22">
        <f t="shared" si="48"/>
        <v>0</v>
      </c>
      <c r="X230" s="22">
        <f>'2022-23 Salary &amp; Benefits'!$G$6</f>
        <v>12558.24</v>
      </c>
      <c r="Y230" s="23">
        <f>'2022-23 Salary &amp; Benefits'!$H$6</f>
        <v>0.2298</v>
      </c>
      <c r="Z230" s="23">
        <f>'2022-23 Salary &amp; Benefits'!$I$6</f>
        <v>0.22339999999999999</v>
      </c>
      <c r="AA230" s="22">
        <f t="shared" si="49"/>
        <v>0</v>
      </c>
      <c r="AB230" s="22">
        <f t="shared" si="50"/>
        <v>0</v>
      </c>
      <c r="AC230" s="22">
        <f t="shared" si="51"/>
        <v>0</v>
      </c>
      <c r="AD230" s="22">
        <f t="shared" si="41"/>
        <v>0</v>
      </c>
      <c r="AE230" s="22">
        <f t="shared" si="42"/>
        <v>0</v>
      </c>
      <c r="AF230" s="19" t="str">
        <f>VLOOKUP(C230,'2021-22 School Level AAFTE'!C:N,12,FALSE)</f>
        <v>No</v>
      </c>
    </row>
    <row r="231" spans="1:32" s="19" customFormat="1">
      <c r="A231" s="97" t="s">
        <v>2289</v>
      </c>
      <c r="B231" s="97" t="s">
        <v>255</v>
      </c>
      <c r="C231" s="95">
        <v>4567</v>
      </c>
      <c r="D231" s="95" t="s">
        <v>260</v>
      </c>
      <c r="E231" s="129">
        <f>VLOOKUP($C231,'2021-22 School Level AAFTE'!$C:$Z,11,FALSE)</f>
        <v>0.12436666666666667</v>
      </c>
      <c r="F231" s="129" t="str">
        <f>VLOOKUP($C231,'2021-22 School Level AAFTE'!$C:$Z,8,FALSE)</f>
        <v>No</v>
      </c>
      <c r="G231" s="129" t="str">
        <f>VLOOKUP($C231,'2021-22 School Level AAFTE'!$C:$Z,12,FALSE)</f>
        <v>No</v>
      </c>
      <c r="H231" s="127">
        <f>VLOOKUP($C231,'2021-22 School Level AAFTE'!$C:$I,7,FALSE)</f>
        <v>2004.78</v>
      </c>
      <c r="I231" s="112">
        <f>IFERROR(IF(OR(G231="yes",F231= "yes"),VLOOKUP(C231,Summary!$B:$J,6,0),0),0)</f>
        <v>0</v>
      </c>
      <c r="J231" s="111">
        <f t="shared" si="45"/>
        <v>0</v>
      </c>
      <c r="K231" s="91">
        <f>VLOOKUP($A231,'2022-23 Salary &amp; Benefits'!$A:$I,3,FALSE)</f>
        <v>1.0900000000000001</v>
      </c>
      <c r="L231" s="91">
        <f>VLOOKUP($A231,'2022-23 Salary &amp; Benefits'!$A:$I,4,FALSE)</f>
        <v>1.0900000000000001</v>
      </c>
      <c r="M231" s="39">
        <f t="shared" si="40"/>
        <v>0</v>
      </c>
      <c r="N231" s="24">
        <v>15</v>
      </c>
      <c r="O231" s="26">
        <f t="shared" si="43"/>
        <v>0</v>
      </c>
      <c r="P231" s="24">
        <v>1.1000000000000001</v>
      </c>
      <c r="Q231" s="24">
        <v>36</v>
      </c>
      <c r="R231" s="27">
        <f t="shared" si="44"/>
        <v>0</v>
      </c>
      <c r="S231" s="102">
        <f t="shared" si="46"/>
        <v>0</v>
      </c>
      <c r="T231" s="21">
        <f>VLOOKUP($A231,'2022-23 Salary &amp; Benefits'!$A:$I,5,FALSE)</f>
        <v>68937</v>
      </c>
      <c r="U231" s="21">
        <f>VLOOKUP($A231,'2022-23 Salary &amp; Benefits'!$A:$I,6,FALSE)</f>
        <v>72728</v>
      </c>
      <c r="V231" s="22">
        <f t="shared" si="47"/>
        <v>0</v>
      </c>
      <c r="W231" s="22">
        <f t="shared" si="48"/>
        <v>0</v>
      </c>
      <c r="X231" s="22">
        <f>'2022-23 Salary &amp; Benefits'!$G$6</f>
        <v>12558.24</v>
      </c>
      <c r="Y231" s="23">
        <f>'2022-23 Salary &amp; Benefits'!$H$6</f>
        <v>0.2298</v>
      </c>
      <c r="Z231" s="23">
        <f>'2022-23 Salary &amp; Benefits'!$I$6</f>
        <v>0.22339999999999999</v>
      </c>
      <c r="AA231" s="22">
        <f t="shared" si="49"/>
        <v>0</v>
      </c>
      <c r="AB231" s="22">
        <f t="shared" si="50"/>
        <v>0</v>
      </c>
      <c r="AC231" s="22">
        <f t="shared" si="51"/>
        <v>0</v>
      </c>
      <c r="AD231" s="22">
        <f t="shared" si="41"/>
        <v>0</v>
      </c>
      <c r="AE231" s="22">
        <f t="shared" si="42"/>
        <v>0</v>
      </c>
      <c r="AF231" s="19" t="str">
        <f>VLOOKUP(C231,'2021-22 School Level AAFTE'!C:N,12,FALSE)</f>
        <v>No</v>
      </c>
    </row>
    <row r="232" spans="1:32" s="19" customFormat="1">
      <c r="A232" s="97" t="s">
        <v>2289</v>
      </c>
      <c r="B232" s="97" t="s">
        <v>255</v>
      </c>
      <c r="C232" s="95">
        <v>5054</v>
      </c>
      <c r="D232" s="95" t="s">
        <v>261</v>
      </c>
      <c r="E232" s="129">
        <f>VLOOKUP($C232,'2021-22 School Level AAFTE'!$C:$Z,11,FALSE)</f>
        <v>0.1899666666666667</v>
      </c>
      <c r="F232" s="129" t="str">
        <f>VLOOKUP($C232,'2021-22 School Level AAFTE'!$C:$Z,8,FALSE)</f>
        <v>No</v>
      </c>
      <c r="G232" s="129" t="str">
        <f>VLOOKUP($C232,'2021-22 School Level AAFTE'!$C:$Z,12,FALSE)</f>
        <v>No</v>
      </c>
      <c r="H232" s="127">
        <f>VLOOKUP($C232,'2021-22 School Level AAFTE'!$C:$I,7,FALSE)</f>
        <v>675.41</v>
      </c>
      <c r="I232" s="112">
        <f>IFERROR(IF(OR(G232="yes",F232= "yes"),VLOOKUP(C232,Summary!$B:$J,6,0),0),0)</f>
        <v>0</v>
      </c>
      <c r="J232" s="111">
        <f t="shared" si="45"/>
        <v>0</v>
      </c>
      <c r="K232" s="91">
        <f>VLOOKUP($A232,'2022-23 Salary &amp; Benefits'!$A:$I,3,FALSE)</f>
        <v>1.0900000000000001</v>
      </c>
      <c r="L232" s="91">
        <f>VLOOKUP($A232,'2022-23 Salary &amp; Benefits'!$A:$I,4,FALSE)</f>
        <v>1.0900000000000001</v>
      </c>
      <c r="M232" s="39">
        <f t="shared" si="40"/>
        <v>0</v>
      </c>
      <c r="N232" s="24">
        <v>15</v>
      </c>
      <c r="O232" s="26">
        <f t="shared" si="43"/>
        <v>0</v>
      </c>
      <c r="P232" s="24">
        <v>1.1000000000000001</v>
      </c>
      <c r="Q232" s="24">
        <v>36</v>
      </c>
      <c r="R232" s="27">
        <f t="shared" si="44"/>
        <v>0</v>
      </c>
      <c r="S232" s="102">
        <f t="shared" si="46"/>
        <v>0</v>
      </c>
      <c r="T232" s="21">
        <f>VLOOKUP($A232,'2022-23 Salary &amp; Benefits'!$A:$I,5,FALSE)</f>
        <v>68937</v>
      </c>
      <c r="U232" s="21">
        <f>VLOOKUP($A232,'2022-23 Salary &amp; Benefits'!$A:$I,6,FALSE)</f>
        <v>72728</v>
      </c>
      <c r="V232" s="22">
        <f t="shared" si="47"/>
        <v>0</v>
      </c>
      <c r="W232" s="22">
        <f t="shared" si="48"/>
        <v>0</v>
      </c>
      <c r="X232" s="22">
        <f>'2022-23 Salary &amp; Benefits'!$G$6</f>
        <v>12558.24</v>
      </c>
      <c r="Y232" s="23">
        <f>'2022-23 Salary &amp; Benefits'!$H$6</f>
        <v>0.2298</v>
      </c>
      <c r="Z232" s="23">
        <f>'2022-23 Salary &amp; Benefits'!$I$6</f>
        <v>0.22339999999999999</v>
      </c>
      <c r="AA232" s="22">
        <f t="shared" si="49"/>
        <v>0</v>
      </c>
      <c r="AB232" s="22">
        <f t="shared" si="50"/>
        <v>0</v>
      </c>
      <c r="AC232" s="22">
        <f t="shared" si="51"/>
        <v>0</v>
      </c>
      <c r="AD232" s="22">
        <f t="shared" si="41"/>
        <v>0</v>
      </c>
      <c r="AE232" s="22">
        <f t="shared" si="42"/>
        <v>0</v>
      </c>
      <c r="AF232" s="19" t="str">
        <f>VLOOKUP(C232,'2021-22 School Level AAFTE'!C:N,12,FALSE)</f>
        <v>No</v>
      </c>
    </row>
    <row r="233" spans="1:32" s="19" customFormat="1">
      <c r="A233" s="97" t="s">
        <v>2289</v>
      </c>
      <c r="B233" s="97" t="s">
        <v>255</v>
      </c>
      <c r="C233" s="95">
        <v>5104</v>
      </c>
      <c r="D233" s="95" t="s">
        <v>262</v>
      </c>
      <c r="E233" s="129">
        <f>VLOOKUP($C233,'2021-22 School Level AAFTE'!$C:$Z,11,FALSE)</f>
        <v>0.29799999999999999</v>
      </c>
      <c r="F233" s="129" t="str">
        <f>VLOOKUP($C233,'2021-22 School Level AAFTE'!$C:$Z,8,FALSE)</f>
        <v>No</v>
      </c>
      <c r="G233" s="129" t="str">
        <f>VLOOKUP($C233,'2021-22 School Level AAFTE'!$C:$Z,12,FALSE)</f>
        <v>No</v>
      </c>
      <c r="H233" s="127">
        <f>VLOOKUP($C233,'2021-22 School Level AAFTE'!$C:$I,7,FALSE)</f>
        <v>147.34</v>
      </c>
      <c r="I233" s="112">
        <f>IFERROR(IF(OR(G233="yes",F233= "yes"),VLOOKUP(C233,Summary!$B:$J,6,0),0),0)</f>
        <v>0</v>
      </c>
      <c r="J233" s="111">
        <f t="shared" si="45"/>
        <v>0</v>
      </c>
      <c r="K233" s="91">
        <f>VLOOKUP($A233,'2022-23 Salary &amp; Benefits'!$A:$I,3,FALSE)</f>
        <v>1.0900000000000001</v>
      </c>
      <c r="L233" s="91">
        <f>VLOOKUP($A233,'2022-23 Salary &amp; Benefits'!$A:$I,4,FALSE)</f>
        <v>1.0900000000000001</v>
      </c>
      <c r="M233" s="39">
        <f t="shared" si="40"/>
        <v>0</v>
      </c>
      <c r="N233" s="24">
        <v>15</v>
      </c>
      <c r="O233" s="26">
        <f t="shared" si="43"/>
        <v>0</v>
      </c>
      <c r="P233" s="24">
        <v>1.1000000000000001</v>
      </c>
      <c r="Q233" s="24">
        <v>36</v>
      </c>
      <c r="R233" s="27">
        <f t="shared" si="44"/>
        <v>0</v>
      </c>
      <c r="S233" s="102">
        <f t="shared" si="46"/>
        <v>0</v>
      </c>
      <c r="T233" s="21">
        <f>VLOOKUP($A233,'2022-23 Salary &amp; Benefits'!$A:$I,5,FALSE)</f>
        <v>68937</v>
      </c>
      <c r="U233" s="21">
        <f>VLOOKUP($A233,'2022-23 Salary &amp; Benefits'!$A:$I,6,FALSE)</f>
        <v>72728</v>
      </c>
      <c r="V233" s="22">
        <f t="shared" si="47"/>
        <v>0</v>
      </c>
      <c r="W233" s="22">
        <f t="shared" si="48"/>
        <v>0</v>
      </c>
      <c r="X233" s="22">
        <f>'2022-23 Salary &amp; Benefits'!$G$6</f>
        <v>12558.24</v>
      </c>
      <c r="Y233" s="23">
        <f>'2022-23 Salary &amp; Benefits'!$H$6</f>
        <v>0.2298</v>
      </c>
      <c r="Z233" s="23">
        <f>'2022-23 Salary &amp; Benefits'!$I$6</f>
        <v>0.22339999999999999</v>
      </c>
      <c r="AA233" s="22">
        <f t="shared" si="49"/>
        <v>0</v>
      </c>
      <c r="AB233" s="22">
        <f t="shared" si="50"/>
        <v>0</v>
      </c>
      <c r="AC233" s="22">
        <f t="shared" si="51"/>
        <v>0</v>
      </c>
      <c r="AD233" s="22">
        <f t="shared" si="41"/>
        <v>0</v>
      </c>
      <c r="AE233" s="22">
        <f t="shared" si="42"/>
        <v>0</v>
      </c>
      <c r="AF233" s="19" t="str">
        <f>VLOOKUP(C233,'2021-22 School Level AAFTE'!C:N,12,FALSE)</f>
        <v>No</v>
      </c>
    </row>
    <row r="234" spans="1:32" s="19" customFormat="1">
      <c r="A234" s="97" t="s">
        <v>2289</v>
      </c>
      <c r="B234" s="97" t="s">
        <v>255</v>
      </c>
      <c r="C234" s="95">
        <v>5158</v>
      </c>
      <c r="D234" s="95" t="s">
        <v>263</v>
      </c>
      <c r="E234" s="129">
        <f>VLOOKUP($C234,'2021-22 School Level AAFTE'!$C:$Z,11,FALSE)</f>
        <v>0.10113333333333334</v>
      </c>
      <c r="F234" s="129" t="str">
        <f>VLOOKUP($C234,'2021-22 School Level AAFTE'!$C:$Z,8,FALSE)</f>
        <v>No</v>
      </c>
      <c r="G234" s="129" t="str">
        <f>VLOOKUP($C234,'2021-22 School Level AAFTE'!$C:$Z,12,FALSE)</f>
        <v>No</v>
      </c>
      <c r="H234" s="127">
        <f>VLOOKUP($C234,'2021-22 School Level AAFTE'!$C:$I,7,FALSE)</f>
        <v>442.83</v>
      </c>
      <c r="I234" s="112">
        <f>IFERROR(IF(OR(G234="yes",F234= "yes"),VLOOKUP(C234,Summary!$B:$J,6,0),0),0)</f>
        <v>0</v>
      </c>
      <c r="J234" s="111">
        <f t="shared" si="45"/>
        <v>0</v>
      </c>
      <c r="K234" s="91">
        <f>VLOOKUP($A234,'2022-23 Salary &amp; Benefits'!$A:$I,3,FALSE)</f>
        <v>1.0900000000000001</v>
      </c>
      <c r="L234" s="91">
        <f>VLOOKUP($A234,'2022-23 Salary &amp; Benefits'!$A:$I,4,FALSE)</f>
        <v>1.0900000000000001</v>
      </c>
      <c r="M234" s="101">
        <f t="shared" si="40"/>
        <v>0</v>
      </c>
      <c r="N234" s="24">
        <v>15</v>
      </c>
      <c r="O234" s="26">
        <f t="shared" si="43"/>
        <v>0</v>
      </c>
      <c r="P234" s="24">
        <v>1.1000000000000001</v>
      </c>
      <c r="Q234" s="24">
        <v>36</v>
      </c>
      <c r="R234" s="27">
        <f t="shared" si="44"/>
        <v>0</v>
      </c>
      <c r="S234" s="102">
        <f t="shared" si="46"/>
        <v>0</v>
      </c>
      <c r="T234" s="21">
        <f>VLOOKUP($A234,'2022-23 Salary &amp; Benefits'!$A:$I,5,FALSE)</f>
        <v>68937</v>
      </c>
      <c r="U234" s="21">
        <f>VLOOKUP($A234,'2022-23 Salary &amp; Benefits'!$A:$I,6,FALSE)</f>
        <v>72728</v>
      </c>
      <c r="V234" s="22">
        <f t="shared" si="47"/>
        <v>0</v>
      </c>
      <c r="W234" s="22">
        <f t="shared" si="48"/>
        <v>0</v>
      </c>
      <c r="X234" s="22">
        <f>'2022-23 Salary &amp; Benefits'!$G$6</f>
        <v>12558.24</v>
      </c>
      <c r="Y234" s="23">
        <f>'2022-23 Salary &amp; Benefits'!$H$6</f>
        <v>0.2298</v>
      </c>
      <c r="Z234" s="23">
        <f>'2022-23 Salary &amp; Benefits'!$I$6</f>
        <v>0.22339999999999999</v>
      </c>
      <c r="AA234" s="22">
        <f t="shared" si="49"/>
        <v>0</v>
      </c>
      <c r="AB234" s="22">
        <f t="shared" si="50"/>
        <v>0</v>
      </c>
      <c r="AC234" s="22">
        <f t="shared" si="51"/>
        <v>0</v>
      </c>
      <c r="AD234" s="22">
        <f t="shared" si="41"/>
        <v>0</v>
      </c>
      <c r="AE234" s="22">
        <f t="shared" si="42"/>
        <v>0</v>
      </c>
      <c r="AF234" s="19" t="str">
        <f>VLOOKUP(C234,'2021-22 School Level AAFTE'!C:N,12,FALSE)</f>
        <v>No</v>
      </c>
    </row>
    <row r="235" spans="1:32" s="19" customFormat="1">
      <c r="A235" s="97" t="s">
        <v>2289</v>
      </c>
      <c r="B235" s="97" t="s">
        <v>255</v>
      </c>
      <c r="C235" s="95">
        <v>5309</v>
      </c>
      <c r="D235" s="95" t="s">
        <v>264</v>
      </c>
      <c r="E235" s="129">
        <f>VLOOKUP($C235,'2021-22 School Level AAFTE'!$C:$Z,11,FALSE)</f>
        <v>0.21156666666666668</v>
      </c>
      <c r="F235" s="129" t="str">
        <f>VLOOKUP($C235,'2021-22 School Level AAFTE'!$C:$Z,8,FALSE)</f>
        <v>No</v>
      </c>
      <c r="G235" s="129" t="str">
        <f>VLOOKUP($C235,'2021-22 School Level AAFTE'!$C:$Z,12,FALSE)</f>
        <v>No</v>
      </c>
      <c r="H235" s="127">
        <f>VLOOKUP($C235,'2021-22 School Level AAFTE'!$C:$I,7,FALSE)</f>
        <v>578.23</v>
      </c>
      <c r="I235" s="112">
        <f>IFERROR(IF(OR(G235="yes",F235= "yes"),VLOOKUP(C235,Summary!$B:$J,6,0),0),0)</f>
        <v>0</v>
      </c>
      <c r="J235" s="111">
        <f t="shared" si="45"/>
        <v>0</v>
      </c>
      <c r="K235" s="91">
        <f>VLOOKUP($A235,'2022-23 Salary &amp; Benefits'!$A:$I,3,FALSE)</f>
        <v>1.0900000000000001</v>
      </c>
      <c r="L235" s="91">
        <f>VLOOKUP($A235,'2022-23 Salary &amp; Benefits'!$A:$I,4,FALSE)</f>
        <v>1.0900000000000001</v>
      </c>
      <c r="M235" s="101">
        <f t="shared" si="40"/>
        <v>0</v>
      </c>
      <c r="N235" s="24">
        <v>15</v>
      </c>
      <c r="O235" s="26">
        <f t="shared" si="43"/>
        <v>0</v>
      </c>
      <c r="P235" s="24">
        <v>1.1000000000000001</v>
      </c>
      <c r="Q235" s="24">
        <v>36</v>
      </c>
      <c r="R235" s="27">
        <f t="shared" si="44"/>
        <v>0</v>
      </c>
      <c r="S235" s="102">
        <f t="shared" si="46"/>
        <v>0</v>
      </c>
      <c r="T235" s="21">
        <f>VLOOKUP($A235,'2022-23 Salary &amp; Benefits'!$A:$I,5,FALSE)</f>
        <v>68937</v>
      </c>
      <c r="U235" s="21">
        <f>VLOOKUP($A235,'2022-23 Salary &amp; Benefits'!$A:$I,6,FALSE)</f>
        <v>72728</v>
      </c>
      <c r="V235" s="22">
        <f t="shared" si="47"/>
        <v>0</v>
      </c>
      <c r="W235" s="22">
        <f t="shared" si="48"/>
        <v>0</v>
      </c>
      <c r="X235" s="22">
        <f>'2022-23 Salary &amp; Benefits'!$G$6</f>
        <v>12558.24</v>
      </c>
      <c r="Y235" s="23">
        <f>'2022-23 Salary &amp; Benefits'!$H$6</f>
        <v>0.2298</v>
      </c>
      <c r="Z235" s="23">
        <f>'2022-23 Salary &amp; Benefits'!$I$6</f>
        <v>0.22339999999999999</v>
      </c>
      <c r="AA235" s="22">
        <f t="shared" si="49"/>
        <v>0</v>
      </c>
      <c r="AB235" s="22">
        <f t="shared" si="50"/>
        <v>0</v>
      </c>
      <c r="AC235" s="22">
        <f t="shared" si="51"/>
        <v>0</v>
      </c>
      <c r="AD235" s="22">
        <f t="shared" si="41"/>
        <v>0</v>
      </c>
      <c r="AE235" s="22">
        <f t="shared" si="42"/>
        <v>0</v>
      </c>
      <c r="AF235" s="19" t="str">
        <f>VLOOKUP(C235,'2021-22 School Level AAFTE'!C:N,12,FALSE)</f>
        <v>No</v>
      </c>
    </row>
    <row r="236" spans="1:32" s="19" customFormat="1">
      <c r="A236" s="97" t="s">
        <v>2289</v>
      </c>
      <c r="B236" s="97" t="s">
        <v>255</v>
      </c>
      <c r="C236" s="95">
        <v>5532</v>
      </c>
      <c r="D236" s="95" t="s">
        <v>2816</v>
      </c>
      <c r="E236" s="129">
        <f>VLOOKUP($C236,'2021-22 School Level AAFTE'!$C:$Z,11,FALSE)</f>
        <v>0.26250000000000001</v>
      </c>
      <c r="F236" s="129" t="str">
        <f>VLOOKUP($C236,'2021-22 School Level AAFTE'!$C:$Z,8,FALSE)</f>
        <v>No</v>
      </c>
      <c r="G236" s="129" t="str">
        <f>VLOOKUP($C236,'2021-22 School Level AAFTE'!$C:$Z,12,FALSE)</f>
        <v>No</v>
      </c>
      <c r="H236" s="127">
        <f>VLOOKUP($C236,'2021-22 School Level AAFTE'!$C:$I,7,FALSE)</f>
        <v>5.29</v>
      </c>
      <c r="I236" s="112">
        <f>IFERROR(IF(OR(G236="yes",F236= "yes"),VLOOKUP(C236,Summary!$B:$J,6,0),0),0)</f>
        <v>0</v>
      </c>
      <c r="J236" s="111">
        <f t="shared" si="45"/>
        <v>0</v>
      </c>
      <c r="K236" s="91">
        <f>VLOOKUP($A236,'2022-23 Salary &amp; Benefits'!$A:$I,3,FALSE)</f>
        <v>1.0900000000000001</v>
      </c>
      <c r="L236" s="91">
        <f>VLOOKUP($A236,'2022-23 Salary &amp; Benefits'!$A:$I,4,FALSE)</f>
        <v>1.0900000000000001</v>
      </c>
      <c r="M236" s="39">
        <f t="shared" si="40"/>
        <v>0</v>
      </c>
      <c r="N236" s="24">
        <v>15</v>
      </c>
      <c r="O236" s="26">
        <f t="shared" si="43"/>
        <v>0</v>
      </c>
      <c r="P236" s="24">
        <v>1.1000000000000001</v>
      </c>
      <c r="Q236" s="24">
        <v>36</v>
      </c>
      <c r="R236" s="27">
        <f t="shared" si="44"/>
        <v>0</v>
      </c>
      <c r="S236" s="102">
        <f t="shared" si="46"/>
        <v>0</v>
      </c>
      <c r="T236" s="21">
        <f>VLOOKUP($A236,'2022-23 Salary &amp; Benefits'!$A:$I,5,FALSE)</f>
        <v>68937</v>
      </c>
      <c r="U236" s="21">
        <f>VLOOKUP($A236,'2022-23 Salary &amp; Benefits'!$A:$I,6,FALSE)</f>
        <v>72728</v>
      </c>
      <c r="V236" s="22">
        <f t="shared" si="47"/>
        <v>0</v>
      </c>
      <c r="W236" s="22">
        <f t="shared" si="48"/>
        <v>0</v>
      </c>
      <c r="X236" s="22">
        <f>'2022-23 Salary &amp; Benefits'!$G$6</f>
        <v>12558.24</v>
      </c>
      <c r="Y236" s="23">
        <f>'2022-23 Salary &amp; Benefits'!$H$6</f>
        <v>0.2298</v>
      </c>
      <c r="Z236" s="23">
        <f>'2022-23 Salary &amp; Benefits'!$I$6</f>
        <v>0.22339999999999999</v>
      </c>
      <c r="AA236" s="22">
        <f t="shared" si="49"/>
        <v>0</v>
      </c>
      <c r="AB236" s="22">
        <f t="shared" si="50"/>
        <v>0</v>
      </c>
      <c r="AC236" s="22">
        <f t="shared" si="51"/>
        <v>0</v>
      </c>
      <c r="AD236" s="22">
        <f t="shared" si="41"/>
        <v>0</v>
      </c>
      <c r="AE236" s="22">
        <f t="shared" si="42"/>
        <v>0</v>
      </c>
      <c r="AF236" s="19" t="str">
        <f>VLOOKUP(C236,'2021-22 School Level AAFTE'!C:N,12,FALSE)</f>
        <v>No</v>
      </c>
    </row>
    <row r="237" spans="1:32" s="19" customFormat="1">
      <c r="A237" s="97" t="s">
        <v>2289</v>
      </c>
      <c r="B237" s="97" t="s">
        <v>255</v>
      </c>
      <c r="C237" s="95">
        <v>5533</v>
      </c>
      <c r="D237" s="95" t="s">
        <v>309</v>
      </c>
      <c r="E237" s="129">
        <f>VLOOKUP($C237,'2021-22 School Level AAFTE'!$C:$Z,11,FALSE)</f>
        <v>0.15676666666666667</v>
      </c>
      <c r="F237" s="129" t="str">
        <f>VLOOKUP($C237,'2021-22 School Level AAFTE'!$C:$Z,8,FALSE)</f>
        <v>No</v>
      </c>
      <c r="G237" s="129" t="str">
        <f>VLOOKUP($C237,'2021-22 School Level AAFTE'!$C:$Z,12,FALSE)</f>
        <v>No</v>
      </c>
      <c r="H237" s="127">
        <f>VLOOKUP($C237,'2021-22 School Level AAFTE'!$C:$I,7,FALSE)</f>
        <v>207.06</v>
      </c>
      <c r="I237" s="112">
        <f>IFERROR(IF(OR(G237="yes",F237= "yes"),VLOOKUP(C237,Summary!$B:$J,6,0),0),0)</f>
        <v>0</v>
      </c>
      <c r="J237" s="111">
        <f t="shared" si="45"/>
        <v>0</v>
      </c>
      <c r="K237" s="91">
        <f>VLOOKUP($A237,'2022-23 Salary &amp; Benefits'!$A:$I,3,FALSE)</f>
        <v>1.0900000000000001</v>
      </c>
      <c r="L237" s="91">
        <f>VLOOKUP($A237,'2022-23 Salary &amp; Benefits'!$A:$I,4,FALSE)</f>
        <v>1.0900000000000001</v>
      </c>
      <c r="M237" s="39">
        <f t="shared" si="40"/>
        <v>0</v>
      </c>
      <c r="N237" s="24">
        <v>15</v>
      </c>
      <c r="O237" s="26">
        <f t="shared" si="43"/>
        <v>0</v>
      </c>
      <c r="P237" s="24">
        <v>1.1000000000000001</v>
      </c>
      <c r="Q237" s="24">
        <v>36</v>
      </c>
      <c r="R237" s="27">
        <f t="shared" si="44"/>
        <v>0</v>
      </c>
      <c r="S237" s="102">
        <f t="shared" si="46"/>
        <v>0</v>
      </c>
      <c r="T237" s="21">
        <f>VLOOKUP($A237,'2022-23 Salary &amp; Benefits'!$A:$I,5,FALSE)</f>
        <v>68937</v>
      </c>
      <c r="U237" s="21">
        <f>VLOOKUP($A237,'2022-23 Salary &amp; Benefits'!$A:$I,6,FALSE)</f>
        <v>72728</v>
      </c>
      <c r="V237" s="22">
        <f t="shared" si="47"/>
        <v>0</v>
      </c>
      <c r="W237" s="22">
        <f t="shared" si="48"/>
        <v>0</v>
      </c>
      <c r="X237" s="22">
        <f>'2022-23 Salary &amp; Benefits'!$G$6</f>
        <v>12558.24</v>
      </c>
      <c r="Y237" s="23">
        <f>'2022-23 Salary &amp; Benefits'!$H$6</f>
        <v>0.2298</v>
      </c>
      <c r="Z237" s="23">
        <f>'2022-23 Salary &amp; Benefits'!$I$6</f>
        <v>0.22339999999999999</v>
      </c>
      <c r="AA237" s="22">
        <f t="shared" si="49"/>
        <v>0</v>
      </c>
      <c r="AB237" s="22">
        <f t="shared" si="50"/>
        <v>0</v>
      </c>
      <c r="AC237" s="22">
        <f t="shared" si="51"/>
        <v>0</v>
      </c>
      <c r="AD237" s="22">
        <f t="shared" si="41"/>
        <v>0</v>
      </c>
      <c r="AE237" s="22">
        <f t="shared" si="42"/>
        <v>0</v>
      </c>
      <c r="AF237" s="19" t="str">
        <f>VLOOKUP(C237,'2021-22 School Level AAFTE'!C:N,12,FALSE)</f>
        <v>No</v>
      </c>
    </row>
    <row r="238" spans="1:32" s="19" customFormat="1">
      <c r="A238" s="97" t="s">
        <v>2289</v>
      </c>
      <c r="B238" s="97" t="s">
        <v>255</v>
      </c>
      <c r="C238" s="95">
        <v>5534</v>
      </c>
      <c r="D238" s="95" t="s">
        <v>2867</v>
      </c>
      <c r="E238" s="129">
        <f>VLOOKUP($C238,'2021-22 School Level AAFTE'!$C:$Z,11,FALSE)</f>
        <v>0.11193333333333333</v>
      </c>
      <c r="F238" s="129" t="str">
        <f>VLOOKUP($C238,'2021-22 School Level AAFTE'!$C:$Z,8,FALSE)</f>
        <v>No</v>
      </c>
      <c r="G238" s="129" t="str">
        <f>VLOOKUP($C238,'2021-22 School Level AAFTE'!$C:$Z,12,FALSE)</f>
        <v>No</v>
      </c>
      <c r="H238" s="127">
        <f>VLOOKUP($C238,'2021-22 School Level AAFTE'!$C:$I,7,FALSE)</f>
        <v>297.08</v>
      </c>
      <c r="I238" s="112">
        <f>IFERROR(IF(OR(G238="yes",F238= "yes"),VLOOKUP(C238,Summary!$B:$J,6,0),0),0)</f>
        <v>0</v>
      </c>
      <c r="J238" s="111">
        <f t="shared" si="45"/>
        <v>0</v>
      </c>
      <c r="K238" s="91">
        <f>VLOOKUP($A238,'2022-23 Salary &amp; Benefits'!$A:$I,3,FALSE)</f>
        <v>1.0900000000000001</v>
      </c>
      <c r="L238" s="91">
        <f>VLOOKUP($A238,'2022-23 Salary &amp; Benefits'!$A:$I,4,FALSE)</f>
        <v>1.0900000000000001</v>
      </c>
      <c r="M238" s="39">
        <f t="shared" si="40"/>
        <v>0</v>
      </c>
      <c r="N238" s="24">
        <v>15</v>
      </c>
      <c r="O238" s="26">
        <f t="shared" si="43"/>
        <v>0</v>
      </c>
      <c r="P238" s="24">
        <v>1.1000000000000001</v>
      </c>
      <c r="Q238" s="24">
        <v>36</v>
      </c>
      <c r="R238" s="27">
        <f t="shared" si="44"/>
        <v>0</v>
      </c>
      <c r="S238" s="102">
        <f t="shared" si="46"/>
        <v>0</v>
      </c>
      <c r="T238" s="21">
        <f>VLOOKUP($A238,'2022-23 Salary &amp; Benefits'!$A:$I,5,FALSE)</f>
        <v>68937</v>
      </c>
      <c r="U238" s="21">
        <f>VLOOKUP($A238,'2022-23 Salary &amp; Benefits'!$A:$I,6,FALSE)</f>
        <v>72728</v>
      </c>
      <c r="V238" s="22">
        <f t="shared" si="47"/>
        <v>0</v>
      </c>
      <c r="W238" s="22">
        <f t="shared" si="48"/>
        <v>0</v>
      </c>
      <c r="X238" s="22">
        <f>'2022-23 Salary &amp; Benefits'!$G$6</f>
        <v>12558.24</v>
      </c>
      <c r="Y238" s="23">
        <f>'2022-23 Salary &amp; Benefits'!$H$6</f>
        <v>0.2298</v>
      </c>
      <c r="Z238" s="23">
        <f>'2022-23 Salary &amp; Benefits'!$I$6</f>
        <v>0.22339999999999999</v>
      </c>
      <c r="AA238" s="22">
        <f t="shared" si="49"/>
        <v>0</v>
      </c>
      <c r="AB238" s="22">
        <f t="shared" si="50"/>
        <v>0</v>
      </c>
      <c r="AC238" s="22">
        <f t="shared" si="51"/>
        <v>0</v>
      </c>
      <c r="AD238" s="22">
        <f t="shared" si="41"/>
        <v>0</v>
      </c>
      <c r="AE238" s="22">
        <f t="shared" si="42"/>
        <v>0</v>
      </c>
      <c r="AF238" s="19" t="str">
        <f>VLOOKUP(C238,'2021-22 School Level AAFTE'!C:N,12,FALSE)</f>
        <v>No</v>
      </c>
    </row>
    <row r="239" spans="1:32" s="19" customFormat="1">
      <c r="A239" s="97" t="s">
        <v>2289</v>
      </c>
      <c r="B239" s="97" t="s">
        <v>255</v>
      </c>
      <c r="C239" s="95">
        <v>5702</v>
      </c>
      <c r="D239" s="95" t="s">
        <v>3003</v>
      </c>
      <c r="E239" s="129">
        <f>VLOOKUP($C239,'2021-22 School Level AAFTE'!$C:$Z,11,FALSE)</f>
        <v>0.2039</v>
      </c>
      <c r="F239" s="129" t="str">
        <f>VLOOKUP($C239,'2021-22 School Level AAFTE'!$C:$Z,8,FALSE)</f>
        <v>No</v>
      </c>
      <c r="G239" s="129" t="str">
        <f>VLOOKUP($C239,'2021-22 School Level AAFTE'!$C:$Z,12,FALSE)</f>
        <v>No</v>
      </c>
      <c r="H239" s="127">
        <f>VLOOKUP($C239,'2021-22 School Level AAFTE'!$C:$I,7,FALSE)</f>
        <v>205.09</v>
      </c>
      <c r="I239" s="112">
        <f>IFERROR(IF(OR(G239="yes",F239= "yes"),VLOOKUP(C239,Summary!$B:$J,6,0),0),0)</f>
        <v>0</v>
      </c>
      <c r="J239" s="111">
        <f t="shared" si="45"/>
        <v>0</v>
      </c>
      <c r="K239" s="91">
        <f>VLOOKUP($A239,'2022-23 Salary &amp; Benefits'!$A:$I,3,FALSE)</f>
        <v>1.0900000000000001</v>
      </c>
      <c r="L239" s="91">
        <f>VLOOKUP($A239,'2022-23 Salary &amp; Benefits'!$A:$I,4,FALSE)</f>
        <v>1.0900000000000001</v>
      </c>
      <c r="M239" s="39">
        <f t="shared" si="40"/>
        <v>0</v>
      </c>
      <c r="N239" s="24">
        <v>15</v>
      </c>
      <c r="O239" s="26">
        <f t="shared" si="43"/>
        <v>0</v>
      </c>
      <c r="P239" s="24">
        <v>1.1000000000000001</v>
      </c>
      <c r="Q239" s="24">
        <v>36</v>
      </c>
      <c r="R239" s="27">
        <f t="shared" si="44"/>
        <v>0</v>
      </c>
      <c r="S239" s="102">
        <f t="shared" si="46"/>
        <v>0</v>
      </c>
      <c r="T239" s="21">
        <f>VLOOKUP($A239,'2022-23 Salary &amp; Benefits'!$A:$I,5,FALSE)</f>
        <v>68937</v>
      </c>
      <c r="U239" s="21">
        <f>VLOOKUP($A239,'2022-23 Salary &amp; Benefits'!$A:$I,6,FALSE)</f>
        <v>72728</v>
      </c>
      <c r="V239" s="22">
        <f t="shared" si="47"/>
        <v>0</v>
      </c>
      <c r="W239" s="22">
        <f t="shared" si="48"/>
        <v>0</v>
      </c>
      <c r="X239" s="22">
        <f>'2022-23 Salary &amp; Benefits'!$G$6</f>
        <v>12558.24</v>
      </c>
      <c r="Y239" s="23">
        <f>'2022-23 Salary &amp; Benefits'!$H$6</f>
        <v>0.2298</v>
      </c>
      <c r="Z239" s="23">
        <f>'2022-23 Salary &amp; Benefits'!$I$6</f>
        <v>0.22339999999999999</v>
      </c>
      <c r="AA239" s="22">
        <f t="shared" si="49"/>
        <v>0</v>
      </c>
      <c r="AB239" s="22">
        <f t="shared" si="50"/>
        <v>0</v>
      </c>
      <c r="AC239" s="22">
        <f t="shared" si="51"/>
        <v>0</v>
      </c>
      <c r="AD239" s="22">
        <f t="shared" si="41"/>
        <v>0</v>
      </c>
      <c r="AE239" s="22">
        <f t="shared" si="42"/>
        <v>0</v>
      </c>
      <c r="AF239" s="19" t="str">
        <f>VLOOKUP(C239,'2021-22 School Level AAFTE'!C:N,12,FALSE)</f>
        <v>No</v>
      </c>
    </row>
    <row r="240" spans="1:32" s="19" customFormat="1">
      <c r="A240" s="97" t="s">
        <v>2280</v>
      </c>
      <c r="B240" s="97" t="s">
        <v>153</v>
      </c>
      <c r="C240" s="95">
        <v>2594</v>
      </c>
      <c r="D240" s="95" t="s">
        <v>154</v>
      </c>
      <c r="E240" s="129">
        <f>VLOOKUP($C240,'2021-22 School Level AAFTE'!$C:$Z,11,FALSE)</f>
        <v>0.64246666666666663</v>
      </c>
      <c r="F240" s="129" t="str">
        <f>VLOOKUP($C240,'2021-22 School Level AAFTE'!$C:$Z,8,FALSE)</f>
        <v>Yes</v>
      </c>
      <c r="G240" s="129" t="str">
        <f>VLOOKUP($C240,'2021-22 School Level AAFTE'!$C:$Z,12,FALSE)</f>
        <v>No</v>
      </c>
      <c r="H240" s="127">
        <f>VLOOKUP($C240,'2021-22 School Level AAFTE'!$C:$I,7,FALSE)</f>
        <v>191.27</v>
      </c>
      <c r="I240" s="112">
        <f>IFERROR(IF(OR(G240="yes",F240= "yes"),VLOOKUP(C240,Summary!$B:$J,6,0),0),0)</f>
        <v>0</v>
      </c>
      <c r="J240" s="111">
        <f t="shared" si="45"/>
        <v>191.27</v>
      </c>
      <c r="K240" s="91">
        <f>VLOOKUP($A240,'2022-23 Salary &amp; Benefits'!$A:$I,3,FALSE)</f>
        <v>1</v>
      </c>
      <c r="L240" s="91">
        <f>VLOOKUP($A240,'2022-23 Salary &amp; Benefits'!$A:$I,4,FALSE)</f>
        <v>1</v>
      </c>
      <c r="M240" s="39">
        <f t="shared" si="40"/>
        <v>191.27</v>
      </c>
      <c r="N240" s="24">
        <v>15</v>
      </c>
      <c r="O240" s="26">
        <f t="shared" si="43"/>
        <v>12.751333333333333</v>
      </c>
      <c r="P240" s="24">
        <v>1.1000000000000001</v>
      </c>
      <c r="Q240" s="24">
        <v>36</v>
      </c>
      <c r="R240" s="27">
        <f t="shared" si="44"/>
        <v>504.95280000000002</v>
      </c>
      <c r="S240" s="102">
        <f t="shared" si="46"/>
        <v>0.56100000000000005</v>
      </c>
      <c r="T240" s="21">
        <f>VLOOKUP($A240,'2022-23 Salary &amp; Benefits'!$A:$I,5,FALSE)</f>
        <v>68937</v>
      </c>
      <c r="U240" s="21">
        <f>VLOOKUP($A240,'2022-23 Salary &amp; Benefits'!$A:$I,6,FALSE)</f>
        <v>72728</v>
      </c>
      <c r="V240" s="22">
        <f t="shared" si="47"/>
        <v>38673.660000000003</v>
      </c>
      <c r="W240" s="22">
        <f t="shared" si="48"/>
        <v>2126.75</v>
      </c>
      <c r="X240" s="22">
        <f>'2022-23 Salary &amp; Benefits'!$G$6</f>
        <v>12558.24</v>
      </c>
      <c r="Y240" s="23">
        <f>'2022-23 Salary &amp; Benefits'!$H$6</f>
        <v>0.2298</v>
      </c>
      <c r="Z240" s="23">
        <f>'2022-23 Salary &amp; Benefits'!$I$6</f>
        <v>0.22339999999999999</v>
      </c>
      <c r="AA240" s="22">
        <f t="shared" si="49"/>
        <v>16407.5</v>
      </c>
      <c r="AB240" s="22">
        <f t="shared" si="50"/>
        <v>680.01</v>
      </c>
      <c r="AC240" s="22">
        <f t="shared" si="51"/>
        <v>151.91</v>
      </c>
      <c r="AD240" s="22">
        <f t="shared" si="41"/>
        <v>831.92</v>
      </c>
      <c r="AE240" s="22">
        <f t="shared" si="42"/>
        <v>58039.83</v>
      </c>
      <c r="AF240" s="19" t="str">
        <f>VLOOKUP(C240,'2021-22 School Level AAFTE'!C:N,12,FALSE)</f>
        <v>No</v>
      </c>
    </row>
    <row r="241" spans="1:32" s="19" customFormat="1">
      <c r="A241" s="97" t="s">
        <v>2280</v>
      </c>
      <c r="B241" s="97" t="s">
        <v>153</v>
      </c>
      <c r="C241" s="95">
        <v>3145</v>
      </c>
      <c r="D241" s="95" t="s">
        <v>155</v>
      </c>
      <c r="E241" s="129">
        <f>VLOOKUP($C241,'2021-22 School Level AAFTE'!$C:$Z,11,FALSE)</f>
        <v>0.72029999999999994</v>
      </c>
      <c r="F241" s="129" t="str">
        <f>VLOOKUP($C241,'2021-22 School Level AAFTE'!$C:$Z,8,FALSE)</f>
        <v>Yes</v>
      </c>
      <c r="G241" s="129" t="str">
        <f>VLOOKUP($C241,'2021-22 School Level AAFTE'!$C:$Z,12,FALSE)</f>
        <v>No</v>
      </c>
      <c r="H241" s="127">
        <f>VLOOKUP($C241,'2021-22 School Level AAFTE'!$C:$I,7,FALSE)</f>
        <v>177.15</v>
      </c>
      <c r="I241" s="112">
        <f>IFERROR(IF(OR(G241="yes",F241= "yes"),VLOOKUP(C241,Summary!$B:$J,6,0),0),0)</f>
        <v>0</v>
      </c>
      <c r="J241" s="111">
        <f t="shared" si="45"/>
        <v>177.15</v>
      </c>
      <c r="K241" s="91">
        <f>VLOOKUP($A241,'2022-23 Salary &amp; Benefits'!$A:$I,3,FALSE)</f>
        <v>1</v>
      </c>
      <c r="L241" s="91">
        <f>VLOOKUP($A241,'2022-23 Salary &amp; Benefits'!$A:$I,4,FALSE)</f>
        <v>1</v>
      </c>
      <c r="M241" s="39">
        <f t="shared" si="40"/>
        <v>177.15</v>
      </c>
      <c r="N241" s="24">
        <v>15</v>
      </c>
      <c r="O241" s="26">
        <f t="shared" si="43"/>
        <v>11.81</v>
      </c>
      <c r="P241" s="24">
        <v>1.1000000000000001</v>
      </c>
      <c r="Q241" s="24">
        <v>36</v>
      </c>
      <c r="R241" s="27">
        <f t="shared" si="44"/>
        <v>467.67600000000004</v>
      </c>
      <c r="S241" s="102">
        <f t="shared" si="46"/>
        <v>0.52</v>
      </c>
      <c r="T241" s="21">
        <f>VLOOKUP($A241,'2022-23 Salary &amp; Benefits'!$A:$I,5,FALSE)</f>
        <v>68937</v>
      </c>
      <c r="U241" s="21">
        <f>VLOOKUP($A241,'2022-23 Salary &amp; Benefits'!$A:$I,6,FALSE)</f>
        <v>72728</v>
      </c>
      <c r="V241" s="22">
        <f t="shared" si="47"/>
        <v>35847.24</v>
      </c>
      <c r="W241" s="22">
        <f t="shared" si="48"/>
        <v>1971.3199999999997</v>
      </c>
      <c r="X241" s="22">
        <f>'2022-23 Salary &amp; Benefits'!$G$6</f>
        <v>12558.24</v>
      </c>
      <c r="Y241" s="23">
        <f>'2022-23 Salary &amp; Benefits'!$H$6</f>
        <v>0.2298</v>
      </c>
      <c r="Z241" s="23">
        <f>'2022-23 Salary &amp; Benefits'!$I$6</f>
        <v>0.22339999999999999</v>
      </c>
      <c r="AA241" s="22">
        <f t="shared" si="49"/>
        <v>15208.37</v>
      </c>
      <c r="AB241" s="22">
        <f t="shared" si="50"/>
        <v>630.30999999999995</v>
      </c>
      <c r="AC241" s="22">
        <f t="shared" si="51"/>
        <v>140.81</v>
      </c>
      <c r="AD241" s="22">
        <f t="shared" si="41"/>
        <v>771.11999999999989</v>
      </c>
      <c r="AE241" s="22">
        <f t="shared" si="42"/>
        <v>53798.05</v>
      </c>
      <c r="AF241" s="19" t="str">
        <f>VLOOKUP(C241,'2021-22 School Level AAFTE'!C:N,12,FALSE)</f>
        <v>No</v>
      </c>
    </row>
    <row r="242" spans="1:32" s="19" customFormat="1">
      <c r="A242" s="97" t="s">
        <v>2280</v>
      </c>
      <c r="B242" s="97" t="s">
        <v>153</v>
      </c>
      <c r="C242" s="95">
        <v>3422</v>
      </c>
      <c r="D242" s="95" t="s">
        <v>156</v>
      </c>
      <c r="E242" s="129">
        <f>VLOOKUP($C242,'2021-22 School Level AAFTE'!$C:$Z,11,FALSE)</f>
        <v>0.64389999999999992</v>
      </c>
      <c r="F242" s="129" t="str">
        <f>VLOOKUP($C242,'2021-22 School Level AAFTE'!$C:$Z,8,FALSE)</f>
        <v>Yes</v>
      </c>
      <c r="G242" s="129" t="str">
        <f>VLOOKUP($C242,'2021-22 School Level AAFTE'!$C:$Z,12,FALSE)</f>
        <v>No</v>
      </c>
      <c r="H242" s="127">
        <f>VLOOKUP($C242,'2021-22 School Level AAFTE'!$C:$I,7,FALSE)</f>
        <v>112.36</v>
      </c>
      <c r="I242" s="112">
        <f>IFERROR(IF(OR(G242="yes",F242= "yes"),VLOOKUP(C242,Summary!$B:$J,6,0),0),0)</f>
        <v>0</v>
      </c>
      <c r="J242" s="111">
        <f t="shared" si="45"/>
        <v>112.36</v>
      </c>
      <c r="K242" s="91">
        <f>VLOOKUP($A242,'2022-23 Salary &amp; Benefits'!$A:$I,3,FALSE)</f>
        <v>1</v>
      </c>
      <c r="L242" s="91">
        <f>VLOOKUP($A242,'2022-23 Salary &amp; Benefits'!$A:$I,4,FALSE)</f>
        <v>1</v>
      </c>
      <c r="M242" s="39">
        <f t="shared" si="40"/>
        <v>112.36</v>
      </c>
      <c r="N242" s="24">
        <v>15</v>
      </c>
      <c r="O242" s="26">
        <f t="shared" si="43"/>
        <v>7.4906666666666668</v>
      </c>
      <c r="P242" s="24">
        <v>1.1000000000000001</v>
      </c>
      <c r="Q242" s="24">
        <v>36</v>
      </c>
      <c r="R242" s="27">
        <f t="shared" si="44"/>
        <v>296.63040000000001</v>
      </c>
      <c r="S242" s="102">
        <f t="shared" si="46"/>
        <v>0.33</v>
      </c>
      <c r="T242" s="21">
        <f>VLOOKUP($A242,'2022-23 Salary &amp; Benefits'!$A:$I,5,FALSE)</f>
        <v>68937</v>
      </c>
      <c r="U242" s="21">
        <f>VLOOKUP($A242,'2022-23 Salary &amp; Benefits'!$A:$I,6,FALSE)</f>
        <v>72728</v>
      </c>
      <c r="V242" s="22">
        <f t="shared" si="47"/>
        <v>22749.21</v>
      </c>
      <c r="W242" s="22">
        <f t="shared" si="48"/>
        <v>1251.0300000000025</v>
      </c>
      <c r="X242" s="22">
        <f>'2022-23 Salary &amp; Benefits'!$G$6</f>
        <v>12558.24</v>
      </c>
      <c r="Y242" s="23">
        <f>'2022-23 Salary &amp; Benefits'!$H$6</f>
        <v>0.2298</v>
      </c>
      <c r="Z242" s="23">
        <f>'2022-23 Salary &amp; Benefits'!$I$6</f>
        <v>0.22339999999999999</v>
      </c>
      <c r="AA242" s="22">
        <f t="shared" si="49"/>
        <v>9651.4699999999993</v>
      </c>
      <c r="AB242" s="22">
        <f t="shared" si="50"/>
        <v>400</v>
      </c>
      <c r="AC242" s="22">
        <f t="shared" si="51"/>
        <v>89.36</v>
      </c>
      <c r="AD242" s="22">
        <f t="shared" si="41"/>
        <v>489.36</v>
      </c>
      <c r="AE242" s="22">
        <f t="shared" si="42"/>
        <v>34141.070000000007</v>
      </c>
      <c r="AF242" s="19" t="str">
        <f>VLOOKUP(C242,'2021-22 School Level AAFTE'!C:N,12,FALSE)</f>
        <v>No</v>
      </c>
    </row>
    <row r="243" spans="1:32" s="19" customFormat="1">
      <c r="A243" s="97" t="s">
        <v>2441</v>
      </c>
      <c r="B243" s="97" t="s">
        <v>1385</v>
      </c>
      <c r="C243" s="95">
        <v>2466</v>
      </c>
      <c r="D243" s="95" t="s">
        <v>1386</v>
      </c>
      <c r="E243" s="129">
        <f>VLOOKUP($C243,'2021-22 School Level AAFTE'!$C:$Z,11,FALSE)</f>
        <v>0.23503333333333332</v>
      </c>
      <c r="F243" s="129" t="str">
        <f>VLOOKUP($C243,'2021-22 School Level AAFTE'!$C:$Z,8,FALSE)</f>
        <v>No</v>
      </c>
      <c r="G243" s="129" t="str">
        <f>VLOOKUP($C243,'2021-22 School Level AAFTE'!$C:$Z,12,FALSE)</f>
        <v>No</v>
      </c>
      <c r="H243" s="127">
        <f>VLOOKUP($C243,'2021-22 School Level AAFTE'!$C:$I,7,FALSE)</f>
        <v>177.34</v>
      </c>
      <c r="I243" s="112">
        <f>IFERROR(IF(OR(G243="yes",F243= "yes"),VLOOKUP(C243,Summary!$B:$J,6,0),0),0)</f>
        <v>0</v>
      </c>
      <c r="J243" s="111">
        <f t="shared" si="45"/>
        <v>0</v>
      </c>
      <c r="K243" s="91">
        <f>VLOOKUP($A243,'2022-23 Salary &amp; Benefits'!$A:$I,3,FALSE)</f>
        <v>1.06</v>
      </c>
      <c r="L243" s="91">
        <f>VLOOKUP($A243,'2022-23 Salary &amp; Benefits'!$A:$I,4,FALSE)</f>
        <v>1.1000000000000001</v>
      </c>
      <c r="M243" s="39">
        <f t="shared" si="40"/>
        <v>0</v>
      </c>
      <c r="N243" s="24">
        <v>15</v>
      </c>
      <c r="O243" s="26">
        <f t="shared" si="43"/>
        <v>0</v>
      </c>
      <c r="P243" s="24">
        <v>1.1000000000000001</v>
      </c>
      <c r="Q243" s="24">
        <v>36</v>
      </c>
      <c r="R243" s="27">
        <f t="shared" si="44"/>
        <v>0</v>
      </c>
      <c r="S243" s="102">
        <f t="shared" si="46"/>
        <v>0</v>
      </c>
      <c r="T243" s="21">
        <f>VLOOKUP($A243,'2022-23 Salary &amp; Benefits'!$A:$I,5,FALSE)</f>
        <v>68937</v>
      </c>
      <c r="U243" s="21">
        <f>VLOOKUP($A243,'2022-23 Salary &amp; Benefits'!$A:$I,6,FALSE)</f>
        <v>72728</v>
      </c>
      <c r="V243" s="22">
        <f t="shared" si="47"/>
        <v>0</v>
      </c>
      <c r="W243" s="22">
        <f t="shared" si="48"/>
        <v>0</v>
      </c>
      <c r="X243" s="22">
        <f>'2022-23 Salary &amp; Benefits'!$G$6</f>
        <v>12558.24</v>
      </c>
      <c r="Y243" s="23">
        <f>'2022-23 Salary &amp; Benefits'!$H$6</f>
        <v>0.2298</v>
      </c>
      <c r="Z243" s="23">
        <f>'2022-23 Salary &amp; Benefits'!$I$6</f>
        <v>0.22339999999999999</v>
      </c>
      <c r="AA243" s="22">
        <f t="shared" si="49"/>
        <v>0</v>
      </c>
      <c r="AB243" s="22">
        <f t="shared" si="50"/>
        <v>0</v>
      </c>
      <c r="AC243" s="22">
        <f t="shared" si="51"/>
        <v>0</v>
      </c>
      <c r="AD243" s="22">
        <f t="shared" si="41"/>
        <v>0</v>
      </c>
      <c r="AE243" s="22">
        <f t="shared" si="42"/>
        <v>0</v>
      </c>
      <c r="AF243" s="19" t="str">
        <f>VLOOKUP(C243,'2021-22 School Level AAFTE'!C:N,12,FALSE)</f>
        <v>No</v>
      </c>
    </row>
    <row r="244" spans="1:32" s="19" customFormat="1">
      <c r="A244" s="97" t="s">
        <v>2275</v>
      </c>
      <c r="B244" s="97" t="s">
        <v>115</v>
      </c>
      <c r="C244" s="95">
        <v>2760</v>
      </c>
      <c r="D244" s="95" t="s">
        <v>116</v>
      </c>
      <c r="E244" s="129">
        <f>VLOOKUP($C244,'2021-22 School Level AAFTE'!$C:$Z,11,FALSE)</f>
        <v>0.46006666666666662</v>
      </c>
      <c r="F244" s="129" t="str">
        <f>VLOOKUP($C244,'2021-22 School Level AAFTE'!$C:$Z,8,FALSE)</f>
        <v>No</v>
      </c>
      <c r="G244" s="129" t="str">
        <f>VLOOKUP($C244,'2021-22 School Level AAFTE'!$C:$Z,12,FALSE)</f>
        <v>No</v>
      </c>
      <c r="H244" s="127">
        <f>VLOOKUP($C244,'2021-22 School Level AAFTE'!$C:$I,7,FALSE)</f>
        <v>231.43</v>
      </c>
      <c r="I244" s="112">
        <f>IFERROR(IF(OR(G244="yes",F244= "yes"),VLOOKUP(C244,Summary!$B:$J,6,0),0),0)</f>
        <v>0</v>
      </c>
      <c r="J244" s="111">
        <f t="shared" si="45"/>
        <v>0</v>
      </c>
      <c r="K244" s="91">
        <f>VLOOKUP($A244,'2022-23 Salary &amp; Benefits'!$A:$I,3,FALSE)</f>
        <v>1</v>
      </c>
      <c r="L244" s="91">
        <f>VLOOKUP($A244,'2022-23 Salary &amp; Benefits'!$A:$I,4,FALSE)</f>
        <v>1</v>
      </c>
      <c r="M244" s="39">
        <f t="shared" si="40"/>
        <v>0</v>
      </c>
      <c r="N244" s="24">
        <v>15</v>
      </c>
      <c r="O244" s="26">
        <f t="shared" si="43"/>
        <v>0</v>
      </c>
      <c r="P244" s="24">
        <v>1.1000000000000001</v>
      </c>
      <c r="Q244" s="24">
        <v>36</v>
      </c>
      <c r="R244" s="27">
        <f t="shared" si="44"/>
        <v>0</v>
      </c>
      <c r="S244" s="102">
        <f t="shared" si="46"/>
        <v>0</v>
      </c>
      <c r="T244" s="21">
        <f>VLOOKUP($A244,'2022-23 Salary &amp; Benefits'!$A:$I,5,FALSE)</f>
        <v>68937</v>
      </c>
      <c r="U244" s="21">
        <f>VLOOKUP($A244,'2022-23 Salary &amp; Benefits'!$A:$I,6,FALSE)</f>
        <v>72728</v>
      </c>
      <c r="V244" s="22">
        <f t="shared" si="47"/>
        <v>0</v>
      </c>
      <c r="W244" s="22">
        <f t="shared" si="48"/>
        <v>0</v>
      </c>
      <c r="X244" s="22">
        <f>'2022-23 Salary &amp; Benefits'!$G$6</f>
        <v>12558.24</v>
      </c>
      <c r="Y244" s="23">
        <f>'2022-23 Salary &amp; Benefits'!$H$6</f>
        <v>0.2298</v>
      </c>
      <c r="Z244" s="23">
        <f>'2022-23 Salary &amp; Benefits'!$I$6</f>
        <v>0.22339999999999999</v>
      </c>
      <c r="AA244" s="22">
        <f t="shared" si="49"/>
        <v>0</v>
      </c>
      <c r="AB244" s="22">
        <f t="shared" si="50"/>
        <v>0</v>
      </c>
      <c r="AC244" s="22">
        <f t="shared" si="51"/>
        <v>0</v>
      </c>
      <c r="AD244" s="22">
        <f t="shared" si="41"/>
        <v>0</v>
      </c>
      <c r="AE244" s="22">
        <f t="shared" si="42"/>
        <v>0</v>
      </c>
      <c r="AF244" s="19" t="str">
        <f>VLOOKUP(C244,'2021-22 School Level AAFTE'!C:N,12,FALSE)</f>
        <v>No</v>
      </c>
    </row>
    <row r="245" spans="1:32" s="19" customFormat="1">
      <c r="A245" s="97" t="s">
        <v>2275</v>
      </c>
      <c r="B245" s="97" t="s">
        <v>115</v>
      </c>
      <c r="C245" s="95">
        <v>2827</v>
      </c>
      <c r="D245" s="95" t="s">
        <v>2775</v>
      </c>
      <c r="E245" s="129">
        <f>VLOOKUP($C245,'2021-22 School Level AAFTE'!$C:$Z,11,FALSE)</f>
        <v>0.42743333333333333</v>
      </c>
      <c r="F245" s="129" t="str">
        <f>VLOOKUP($C245,'2021-22 School Level AAFTE'!$C:$Z,8,FALSE)</f>
        <v>No</v>
      </c>
      <c r="G245" s="129" t="str">
        <f>VLOOKUP($C245,'2021-22 School Level AAFTE'!$C:$Z,12,FALSE)</f>
        <v>No</v>
      </c>
      <c r="H245" s="127">
        <f>VLOOKUP($C245,'2021-22 School Level AAFTE'!$C:$I,7,FALSE)</f>
        <v>238.68</v>
      </c>
      <c r="I245" s="112">
        <f>IFERROR(IF(OR(G245="yes",F245= "yes"),VLOOKUP(C245,Summary!$B:$J,6,0),0),0)</f>
        <v>0</v>
      </c>
      <c r="J245" s="111">
        <f t="shared" si="45"/>
        <v>0</v>
      </c>
      <c r="K245" s="91">
        <f>VLOOKUP($A245,'2022-23 Salary &amp; Benefits'!$A:$I,3,FALSE)</f>
        <v>1</v>
      </c>
      <c r="L245" s="91">
        <f>VLOOKUP($A245,'2022-23 Salary &amp; Benefits'!$A:$I,4,FALSE)</f>
        <v>1</v>
      </c>
      <c r="M245" s="39">
        <f t="shared" si="40"/>
        <v>0</v>
      </c>
      <c r="N245" s="24">
        <v>15</v>
      </c>
      <c r="O245" s="26">
        <f t="shared" si="43"/>
        <v>0</v>
      </c>
      <c r="P245" s="24">
        <v>1.1000000000000001</v>
      </c>
      <c r="Q245" s="24">
        <v>36</v>
      </c>
      <c r="R245" s="27">
        <f t="shared" si="44"/>
        <v>0</v>
      </c>
      <c r="S245" s="102">
        <f t="shared" si="46"/>
        <v>0</v>
      </c>
      <c r="T245" s="21">
        <f>VLOOKUP($A245,'2022-23 Salary &amp; Benefits'!$A:$I,5,FALSE)</f>
        <v>68937</v>
      </c>
      <c r="U245" s="21">
        <f>VLOOKUP($A245,'2022-23 Salary &amp; Benefits'!$A:$I,6,FALSE)</f>
        <v>72728</v>
      </c>
      <c r="V245" s="22">
        <f t="shared" si="47"/>
        <v>0</v>
      </c>
      <c r="W245" s="22">
        <f t="shared" si="48"/>
        <v>0</v>
      </c>
      <c r="X245" s="22">
        <f>'2022-23 Salary &amp; Benefits'!$G$6</f>
        <v>12558.24</v>
      </c>
      <c r="Y245" s="23">
        <f>'2022-23 Salary &amp; Benefits'!$H$6</f>
        <v>0.2298</v>
      </c>
      <c r="Z245" s="23">
        <f>'2022-23 Salary &amp; Benefits'!$I$6</f>
        <v>0.22339999999999999</v>
      </c>
      <c r="AA245" s="22">
        <f t="shared" si="49"/>
        <v>0</v>
      </c>
      <c r="AB245" s="22">
        <f t="shared" si="50"/>
        <v>0</v>
      </c>
      <c r="AC245" s="22">
        <f t="shared" si="51"/>
        <v>0</v>
      </c>
      <c r="AD245" s="22">
        <f t="shared" si="41"/>
        <v>0</v>
      </c>
      <c r="AE245" s="22">
        <f t="shared" si="42"/>
        <v>0</v>
      </c>
      <c r="AF245" s="19" t="str">
        <f>VLOOKUP(C245,'2021-22 School Level AAFTE'!C:N,12,FALSE)</f>
        <v>No</v>
      </c>
    </row>
    <row r="246" spans="1:32" s="19" customFormat="1">
      <c r="A246" s="97" t="s">
        <v>2275</v>
      </c>
      <c r="B246" s="97" t="s">
        <v>115</v>
      </c>
      <c r="C246" s="95">
        <v>3564</v>
      </c>
      <c r="D246" s="95" t="s">
        <v>117</v>
      </c>
      <c r="E246" s="129">
        <f>VLOOKUP($C246,'2021-22 School Level AAFTE'!$C:$Z,11,FALSE)</f>
        <v>0.3952</v>
      </c>
      <c r="F246" s="129" t="str">
        <f>VLOOKUP($C246,'2021-22 School Level AAFTE'!$C:$Z,8,FALSE)</f>
        <v>No</v>
      </c>
      <c r="G246" s="129" t="str">
        <f>VLOOKUP($C246,'2021-22 School Level AAFTE'!$C:$Z,12,FALSE)</f>
        <v>No</v>
      </c>
      <c r="H246" s="127">
        <f>VLOOKUP($C246,'2021-22 School Level AAFTE'!$C:$I,7,FALSE)</f>
        <v>393.31</v>
      </c>
      <c r="I246" s="112">
        <f>IFERROR(IF(OR(G246="yes",F246= "yes"),VLOOKUP(C246,Summary!$B:$J,6,0),0),0)</f>
        <v>0</v>
      </c>
      <c r="J246" s="111">
        <f t="shared" si="45"/>
        <v>0</v>
      </c>
      <c r="K246" s="91">
        <f>VLOOKUP($A246,'2022-23 Salary &amp; Benefits'!$A:$I,3,FALSE)</f>
        <v>1</v>
      </c>
      <c r="L246" s="91">
        <f>VLOOKUP($A246,'2022-23 Salary &amp; Benefits'!$A:$I,4,FALSE)</f>
        <v>1</v>
      </c>
      <c r="M246" s="101">
        <f t="shared" si="40"/>
        <v>0</v>
      </c>
      <c r="N246" s="24">
        <v>15</v>
      </c>
      <c r="O246" s="26">
        <f t="shared" si="43"/>
        <v>0</v>
      </c>
      <c r="P246" s="24">
        <v>1.1000000000000001</v>
      </c>
      <c r="Q246" s="24">
        <v>36</v>
      </c>
      <c r="R246" s="27">
        <f t="shared" si="44"/>
        <v>0</v>
      </c>
      <c r="S246" s="102">
        <f t="shared" si="46"/>
        <v>0</v>
      </c>
      <c r="T246" s="21">
        <f>VLOOKUP($A246,'2022-23 Salary &amp; Benefits'!$A:$I,5,FALSE)</f>
        <v>68937</v>
      </c>
      <c r="U246" s="21">
        <f>VLOOKUP($A246,'2022-23 Salary &amp; Benefits'!$A:$I,6,FALSE)</f>
        <v>72728</v>
      </c>
      <c r="V246" s="22">
        <f t="shared" si="47"/>
        <v>0</v>
      </c>
      <c r="W246" s="22">
        <f t="shared" si="48"/>
        <v>0</v>
      </c>
      <c r="X246" s="22">
        <f>'2022-23 Salary &amp; Benefits'!$G$6</f>
        <v>12558.24</v>
      </c>
      <c r="Y246" s="23">
        <f>'2022-23 Salary &amp; Benefits'!$H$6</f>
        <v>0.2298</v>
      </c>
      <c r="Z246" s="23">
        <f>'2022-23 Salary &amp; Benefits'!$I$6</f>
        <v>0.22339999999999999</v>
      </c>
      <c r="AA246" s="22">
        <f t="shared" si="49"/>
        <v>0</v>
      </c>
      <c r="AB246" s="22">
        <f t="shared" si="50"/>
        <v>0</v>
      </c>
      <c r="AC246" s="22">
        <f t="shared" si="51"/>
        <v>0</v>
      </c>
      <c r="AD246" s="22">
        <f t="shared" si="41"/>
        <v>0</v>
      </c>
      <c r="AE246" s="22">
        <f t="shared" si="42"/>
        <v>0</v>
      </c>
      <c r="AF246" s="19" t="str">
        <f>VLOOKUP(C246,'2021-22 School Level AAFTE'!C:N,12,FALSE)</f>
        <v>No</v>
      </c>
    </row>
    <row r="247" spans="1:32" s="19" customFormat="1">
      <c r="A247" s="97" t="s">
        <v>2275</v>
      </c>
      <c r="B247" s="97" t="s">
        <v>115</v>
      </c>
      <c r="C247" s="95">
        <v>4403</v>
      </c>
      <c r="D247" s="95" t="s">
        <v>118</v>
      </c>
      <c r="E247" s="129">
        <f>VLOOKUP($C247,'2021-22 School Level AAFTE'!$C:$Z,11,FALSE)</f>
        <v>0.48199999999999998</v>
      </c>
      <c r="F247" s="129" t="str">
        <f>VLOOKUP($C247,'2021-22 School Level AAFTE'!$C:$Z,8,FALSE)</f>
        <v>No</v>
      </c>
      <c r="G247" s="129" t="str">
        <f>VLOOKUP($C247,'2021-22 School Level AAFTE'!$C:$Z,12,FALSE)</f>
        <v>No</v>
      </c>
      <c r="H247" s="127">
        <f>VLOOKUP($C247,'2021-22 School Level AAFTE'!$C:$I,7,FALSE)</f>
        <v>282.66000000000003</v>
      </c>
      <c r="I247" s="112">
        <f>IFERROR(IF(OR(G247="yes",F247= "yes"),VLOOKUP(C247,Summary!$B:$J,6,0),0),0)</f>
        <v>0</v>
      </c>
      <c r="J247" s="111">
        <f t="shared" si="45"/>
        <v>0</v>
      </c>
      <c r="K247" s="91">
        <f>VLOOKUP($A247,'2022-23 Salary &amp; Benefits'!$A:$I,3,FALSE)</f>
        <v>1</v>
      </c>
      <c r="L247" s="91">
        <f>VLOOKUP($A247,'2022-23 Salary &amp; Benefits'!$A:$I,4,FALSE)</f>
        <v>1</v>
      </c>
      <c r="M247" s="101">
        <f t="shared" si="40"/>
        <v>0</v>
      </c>
      <c r="N247" s="24">
        <v>15</v>
      </c>
      <c r="O247" s="26">
        <f t="shared" si="43"/>
        <v>0</v>
      </c>
      <c r="P247" s="24">
        <v>1.1000000000000001</v>
      </c>
      <c r="Q247" s="24">
        <v>36</v>
      </c>
      <c r="R247" s="27">
        <f t="shared" si="44"/>
        <v>0</v>
      </c>
      <c r="S247" s="102">
        <f t="shared" si="46"/>
        <v>0</v>
      </c>
      <c r="T247" s="21">
        <f>VLOOKUP($A247,'2022-23 Salary &amp; Benefits'!$A:$I,5,FALSE)</f>
        <v>68937</v>
      </c>
      <c r="U247" s="21">
        <f>VLOOKUP($A247,'2022-23 Salary &amp; Benefits'!$A:$I,6,FALSE)</f>
        <v>72728</v>
      </c>
      <c r="V247" s="22">
        <f t="shared" si="47"/>
        <v>0</v>
      </c>
      <c r="W247" s="22">
        <f t="shared" si="48"/>
        <v>0</v>
      </c>
      <c r="X247" s="22">
        <f>'2022-23 Salary &amp; Benefits'!$G$6</f>
        <v>12558.24</v>
      </c>
      <c r="Y247" s="23">
        <f>'2022-23 Salary &amp; Benefits'!$H$6</f>
        <v>0.2298</v>
      </c>
      <c r="Z247" s="23">
        <f>'2022-23 Salary &amp; Benefits'!$I$6</f>
        <v>0.22339999999999999</v>
      </c>
      <c r="AA247" s="22">
        <f t="shared" si="49"/>
        <v>0</v>
      </c>
      <c r="AB247" s="22">
        <f t="shared" si="50"/>
        <v>0</v>
      </c>
      <c r="AC247" s="22">
        <f t="shared" si="51"/>
        <v>0</v>
      </c>
      <c r="AD247" s="22">
        <f t="shared" si="41"/>
        <v>0</v>
      </c>
      <c r="AE247" s="22">
        <f t="shared" si="42"/>
        <v>0</v>
      </c>
      <c r="AF247" s="19" t="str">
        <f>VLOOKUP(C247,'2021-22 School Level AAFTE'!C:N,12,FALSE)</f>
        <v>No</v>
      </c>
    </row>
    <row r="248" spans="1:32" s="19" customFormat="1">
      <c r="A248" s="97" t="s">
        <v>2275</v>
      </c>
      <c r="B248" s="97" t="s">
        <v>115</v>
      </c>
      <c r="C248" s="95">
        <v>4566</v>
      </c>
      <c r="D248" s="95" t="s">
        <v>119</v>
      </c>
      <c r="E248" s="129">
        <f>VLOOKUP($C248,'2021-22 School Level AAFTE'!$C:$Z,11,FALSE)</f>
        <v>0.224</v>
      </c>
      <c r="F248" s="129" t="str">
        <f>VLOOKUP($C248,'2021-22 School Level AAFTE'!$C:$Z,8,FALSE)</f>
        <v>No</v>
      </c>
      <c r="G248" s="129" t="str">
        <f>VLOOKUP($C248,'2021-22 School Level AAFTE'!$C:$Z,12,FALSE)</f>
        <v>No</v>
      </c>
      <c r="H248" s="127">
        <f>VLOOKUP($C248,'2021-22 School Level AAFTE'!$C:$I,7,FALSE)</f>
        <v>27.86</v>
      </c>
      <c r="I248" s="112">
        <f>IFERROR(IF(OR(G248="yes",F248= "yes"),VLOOKUP(C248,Summary!$B:$J,6,0),0),0)</f>
        <v>0</v>
      </c>
      <c r="J248" s="111">
        <f t="shared" si="45"/>
        <v>0</v>
      </c>
      <c r="K248" s="91">
        <f>VLOOKUP($A248,'2022-23 Salary &amp; Benefits'!$A:$I,3,FALSE)</f>
        <v>1</v>
      </c>
      <c r="L248" s="91">
        <f>VLOOKUP($A248,'2022-23 Salary &amp; Benefits'!$A:$I,4,FALSE)</f>
        <v>1</v>
      </c>
      <c r="M248" s="101">
        <f t="shared" si="40"/>
        <v>0</v>
      </c>
      <c r="N248" s="24">
        <v>15</v>
      </c>
      <c r="O248" s="26">
        <f t="shared" si="43"/>
        <v>0</v>
      </c>
      <c r="P248" s="24">
        <v>1.1000000000000001</v>
      </c>
      <c r="Q248" s="24">
        <v>36</v>
      </c>
      <c r="R248" s="27">
        <f t="shared" si="44"/>
        <v>0</v>
      </c>
      <c r="S248" s="102">
        <f t="shared" si="46"/>
        <v>0</v>
      </c>
      <c r="T248" s="21">
        <f>VLOOKUP($A248,'2022-23 Salary &amp; Benefits'!$A:$I,5,FALSE)</f>
        <v>68937</v>
      </c>
      <c r="U248" s="21">
        <f>VLOOKUP($A248,'2022-23 Salary &amp; Benefits'!$A:$I,6,FALSE)</f>
        <v>72728</v>
      </c>
      <c r="V248" s="22">
        <f t="shared" si="47"/>
        <v>0</v>
      </c>
      <c r="W248" s="22">
        <f t="shared" si="48"/>
        <v>0</v>
      </c>
      <c r="X248" s="22">
        <f>'2022-23 Salary &amp; Benefits'!$G$6</f>
        <v>12558.24</v>
      </c>
      <c r="Y248" s="23">
        <f>'2022-23 Salary &amp; Benefits'!$H$6</f>
        <v>0.2298</v>
      </c>
      <c r="Z248" s="23">
        <f>'2022-23 Salary &amp; Benefits'!$I$6</f>
        <v>0.22339999999999999</v>
      </c>
      <c r="AA248" s="22">
        <f t="shared" si="49"/>
        <v>0</v>
      </c>
      <c r="AB248" s="22">
        <f t="shared" si="50"/>
        <v>0</v>
      </c>
      <c r="AC248" s="22">
        <f t="shared" si="51"/>
        <v>0</v>
      </c>
      <c r="AD248" s="22">
        <f t="shared" si="41"/>
        <v>0</v>
      </c>
      <c r="AE248" s="22">
        <f t="shared" si="42"/>
        <v>0</v>
      </c>
      <c r="AF248" s="19" t="str">
        <f>VLOOKUP(C248,'2021-22 School Level AAFTE'!C:N,12,FALSE)</f>
        <v>No</v>
      </c>
    </row>
    <row r="249" spans="1:32" s="19" customFormat="1">
      <c r="A249" s="97" t="s">
        <v>2275</v>
      </c>
      <c r="B249" s="97" t="s">
        <v>115</v>
      </c>
      <c r="C249" s="95">
        <v>5418</v>
      </c>
      <c r="D249" s="95" t="s">
        <v>120</v>
      </c>
      <c r="E249" s="129">
        <f>VLOOKUP($C249,'2021-22 School Level AAFTE'!$C:$Z,11,FALSE)</f>
        <v>0.12989999999999999</v>
      </c>
      <c r="F249" s="129" t="str">
        <f>VLOOKUP($C249,'2021-22 School Level AAFTE'!$C:$Z,8,FALSE)</f>
        <v>No</v>
      </c>
      <c r="G249" s="129" t="str">
        <f>VLOOKUP($C249,'2021-22 School Level AAFTE'!$C:$Z,12,FALSE)</f>
        <v>No</v>
      </c>
      <c r="H249" s="127">
        <f>VLOOKUP($C249,'2021-22 School Level AAFTE'!$C:$I,7,FALSE)</f>
        <v>36.21</v>
      </c>
      <c r="I249" s="112">
        <f>IFERROR(IF(OR(G249="yes",F249= "yes"),VLOOKUP(C249,Summary!$B:$J,6,0),0),0)</f>
        <v>0</v>
      </c>
      <c r="J249" s="111">
        <f t="shared" si="45"/>
        <v>0</v>
      </c>
      <c r="K249" s="91">
        <f>VLOOKUP($A249,'2022-23 Salary &amp; Benefits'!$A:$I,3,FALSE)</f>
        <v>1</v>
      </c>
      <c r="L249" s="91">
        <f>VLOOKUP($A249,'2022-23 Salary &amp; Benefits'!$A:$I,4,FALSE)</f>
        <v>1</v>
      </c>
      <c r="M249" s="101">
        <f t="shared" si="40"/>
        <v>0</v>
      </c>
      <c r="N249" s="24">
        <v>15</v>
      </c>
      <c r="O249" s="26">
        <f t="shared" si="43"/>
        <v>0</v>
      </c>
      <c r="P249" s="24">
        <v>1.1000000000000001</v>
      </c>
      <c r="Q249" s="24">
        <v>36</v>
      </c>
      <c r="R249" s="27">
        <f t="shared" si="44"/>
        <v>0</v>
      </c>
      <c r="S249" s="102">
        <f t="shared" si="46"/>
        <v>0</v>
      </c>
      <c r="T249" s="21">
        <f>VLOOKUP($A249,'2022-23 Salary &amp; Benefits'!$A:$I,5,FALSE)</f>
        <v>68937</v>
      </c>
      <c r="U249" s="21">
        <f>VLOOKUP($A249,'2022-23 Salary &amp; Benefits'!$A:$I,6,FALSE)</f>
        <v>72728</v>
      </c>
      <c r="V249" s="22">
        <f t="shared" si="47"/>
        <v>0</v>
      </c>
      <c r="W249" s="22">
        <f t="shared" si="48"/>
        <v>0</v>
      </c>
      <c r="X249" s="22">
        <f>'2022-23 Salary &amp; Benefits'!$G$6</f>
        <v>12558.24</v>
      </c>
      <c r="Y249" s="23">
        <f>'2022-23 Salary &amp; Benefits'!$H$6</f>
        <v>0.2298</v>
      </c>
      <c r="Z249" s="23">
        <f>'2022-23 Salary &amp; Benefits'!$I$6</f>
        <v>0.22339999999999999</v>
      </c>
      <c r="AA249" s="22">
        <f t="shared" si="49"/>
        <v>0</v>
      </c>
      <c r="AB249" s="22">
        <f t="shared" si="50"/>
        <v>0</v>
      </c>
      <c r="AC249" s="22">
        <f t="shared" si="51"/>
        <v>0</v>
      </c>
      <c r="AD249" s="22">
        <f t="shared" si="41"/>
        <v>0</v>
      </c>
      <c r="AE249" s="22">
        <f t="shared" si="42"/>
        <v>0</v>
      </c>
      <c r="AF249" s="19" t="str">
        <f>VLOOKUP(C249,'2021-22 School Level AAFTE'!C:N,12,FALSE)</f>
        <v>No</v>
      </c>
    </row>
    <row r="250" spans="1:32" s="19" customFormat="1">
      <c r="A250" s="97" t="s">
        <v>2275</v>
      </c>
      <c r="B250" s="97" t="s">
        <v>115</v>
      </c>
      <c r="C250" s="95">
        <v>5640</v>
      </c>
      <c r="D250" s="95" t="s">
        <v>2868</v>
      </c>
      <c r="E250" s="129">
        <f>VLOOKUP($C250,'2021-22 School Level AAFTE'!$C:$Z,11,FALSE)</f>
        <v>0.55554999999999999</v>
      </c>
      <c r="F250" s="129" t="str">
        <f>VLOOKUP($C250,'2021-22 School Level AAFTE'!$C:$Z,8,FALSE)</f>
        <v>Yes</v>
      </c>
      <c r="G250" s="129" t="str">
        <f>VLOOKUP($C250,'2021-22 School Level AAFTE'!$C:$Z,12,FALSE)</f>
        <v>No</v>
      </c>
      <c r="H250" s="127">
        <f>VLOOKUP($C250,'2021-22 School Level AAFTE'!$C:$I,7,FALSE)</f>
        <v>23.03</v>
      </c>
      <c r="I250" s="112">
        <f>IFERROR(IF(OR(G250="yes",F250= "yes"),VLOOKUP(C250,Summary!$B:$J,6,0),0),0)</f>
        <v>0</v>
      </c>
      <c r="J250" s="111">
        <f t="shared" si="45"/>
        <v>23.03</v>
      </c>
      <c r="K250" s="91">
        <f>VLOOKUP($A250,'2022-23 Salary &amp; Benefits'!$A:$I,3,FALSE)</f>
        <v>1</v>
      </c>
      <c r="L250" s="91">
        <f>VLOOKUP($A250,'2022-23 Salary &amp; Benefits'!$A:$I,4,FALSE)</f>
        <v>1</v>
      </c>
      <c r="M250" s="101">
        <f t="shared" si="40"/>
        <v>23.03</v>
      </c>
      <c r="N250" s="24">
        <v>15</v>
      </c>
      <c r="O250" s="26">
        <f t="shared" si="43"/>
        <v>1.5353333333333334</v>
      </c>
      <c r="P250" s="24">
        <v>1.1000000000000001</v>
      </c>
      <c r="Q250" s="24">
        <v>36</v>
      </c>
      <c r="R250" s="27">
        <f t="shared" si="44"/>
        <v>60.799200000000013</v>
      </c>
      <c r="S250" s="102">
        <f t="shared" si="46"/>
        <v>6.8000000000000005E-2</v>
      </c>
      <c r="T250" s="21">
        <f>VLOOKUP($A250,'2022-23 Salary &amp; Benefits'!$A:$I,5,FALSE)</f>
        <v>68937</v>
      </c>
      <c r="U250" s="21">
        <f>VLOOKUP($A250,'2022-23 Salary &amp; Benefits'!$A:$I,6,FALSE)</f>
        <v>72728</v>
      </c>
      <c r="V250" s="22">
        <f t="shared" si="47"/>
        <v>4687.72</v>
      </c>
      <c r="W250" s="22">
        <f t="shared" si="48"/>
        <v>257.77999999999975</v>
      </c>
      <c r="X250" s="22">
        <f>'2022-23 Salary &amp; Benefits'!$G$6</f>
        <v>12558.24</v>
      </c>
      <c r="Y250" s="23">
        <f>'2022-23 Salary &amp; Benefits'!$H$6</f>
        <v>0.2298</v>
      </c>
      <c r="Z250" s="23">
        <f>'2022-23 Salary &amp; Benefits'!$I$6</f>
        <v>0.22339999999999999</v>
      </c>
      <c r="AA250" s="22">
        <f t="shared" si="49"/>
        <v>1988.79</v>
      </c>
      <c r="AB250" s="22">
        <f t="shared" si="50"/>
        <v>82.43</v>
      </c>
      <c r="AC250" s="22">
        <f t="shared" si="51"/>
        <v>18.41</v>
      </c>
      <c r="AD250" s="22">
        <f t="shared" si="41"/>
        <v>100.84</v>
      </c>
      <c r="AE250" s="22">
        <f t="shared" si="42"/>
        <v>7035.13</v>
      </c>
      <c r="AF250" s="19" t="str">
        <f>VLOOKUP(C250,'2021-22 School Level AAFTE'!C:N,12,FALSE)</f>
        <v>No</v>
      </c>
    </row>
    <row r="251" spans="1:32" s="19" customFormat="1">
      <c r="A251" s="97" t="s">
        <v>2274</v>
      </c>
      <c r="B251" s="97" t="s">
        <v>111</v>
      </c>
      <c r="C251" s="95">
        <v>2315</v>
      </c>
      <c r="D251" s="95" t="s">
        <v>112</v>
      </c>
      <c r="E251" s="129">
        <f>VLOOKUP($C251,'2021-22 School Level AAFTE'!$C:$Z,11,FALSE)</f>
        <v>0.43093333333333333</v>
      </c>
      <c r="F251" s="129" t="str">
        <f>VLOOKUP($C251,'2021-22 School Level AAFTE'!$C:$Z,8,FALSE)</f>
        <v>No</v>
      </c>
      <c r="G251" s="129" t="str">
        <f>VLOOKUP($C251,'2021-22 School Level AAFTE'!$C:$Z,12,FALSE)</f>
        <v>No</v>
      </c>
      <c r="H251" s="127">
        <f>VLOOKUP($C251,'2021-22 School Level AAFTE'!$C:$I,7,FALSE)</f>
        <v>493.97</v>
      </c>
      <c r="I251" s="112">
        <f>IFERROR(IF(OR(G251="yes",F251= "yes"),VLOOKUP(C251,Summary!$B:$J,6,0),0),0)</f>
        <v>0</v>
      </c>
      <c r="J251" s="111">
        <f t="shared" si="45"/>
        <v>0</v>
      </c>
      <c r="K251" s="91">
        <f>VLOOKUP($A251,'2022-23 Salary &amp; Benefits'!$A:$I,3,FALSE)</f>
        <v>1</v>
      </c>
      <c r="L251" s="91">
        <f>VLOOKUP($A251,'2022-23 Salary &amp; Benefits'!$A:$I,4,FALSE)</f>
        <v>1.04</v>
      </c>
      <c r="M251" s="101">
        <f t="shared" si="40"/>
        <v>0</v>
      </c>
      <c r="N251" s="24">
        <v>15</v>
      </c>
      <c r="O251" s="26">
        <f t="shared" si="43"/>
        <v>0</v>
      </c>
      <c r="P251" s="24">
        <v>1.1000000000000001</v>
      </c>
      <c r="Q251" s="24">
        <v>36</v>
      </c>
      <c r="R251" s="27">
        <f t="shared" si="44"/>
        <v>0</v>
      </c>
      <c r="S251" s="102">
        <f t="shared" si="46"/>
        <v>0</v>
      </c>
      <c r="T251" s="21">
        <f>VLOOKUP($A251,'2022-23 Salary &amp; Benefits'!$A:$I,5,FALSE)</f>
        <v>68937</v>
      </c>
      <c r="U251" s="21">
        <f>VLOOKUP($A251,'2022-23 Salary &amp; Benefits'!$A:$I,6,FALSE)</f>
        <v>72728</v>
      </c>
      <c r="V251" s="22">
        <f t="shared" si="47"/>
        <v>0</v>
      </c>
      <c r="W251" s="22">
        <f t="shared" si="48"/>
        <v>0</v>
      </c>
      <c r="X251" s="22">
        <f>'2022-23 Salary &amp; Benefits'!$G$6</f>
        <v>12558.24</v>
      </c>
      <c r="Y251" s="23">
        <f>'2022-23 Salary &amp; Benefits'!$H$6</f>
        <v>0.2298</v>
      </c>
      <c r="Z251" s="23">
        <f>'2022-23 Salary &amp; Benefits'!$I$6</f>
        <v>0.22339999999999999</v>
      </c>
      <c r="AA251" s="22">
        <f t="shared" si="49"/>
        <v>0</v>
      </c>
      <c r="AB251" s="22">
        <f t="shared" si="50"/>
        <v>0</v>
      </c>
      <c r="AC251" s="22">
        <f t="shared" si="51"/>
        <v>0</v>
      </c>
      <c r="AD251" s="22">
        <f t="shared" si="41"/>
        <v>0</v>
      </c>
      <c r="AE251" s="22">
        <f t="shared" si="42"/>
        <v>0</v>
      </c>
      <c r="AF251" s="19" t="str">
        <f>VLOOKUP(C251,'2021-22 School Level AAFTE'!C:N,12,FALSE)</f>
        <v>No</v>
      </c>
    </row>
    <row r="252" spans="1:32" s="19" customFormat="1">
      <c r="A252" s="97" t="s">
        <v>2274</v>
      </c>
      <c r="B252" s="97" t="s">
        <v>111</v>
      </c>
      <c r="C252" s="95">
        <v>2787</v>
      </c>
      <c r="D252" s="95" t="s">
        <v>113</v>
      </c>
      <c r="E252" s="129">
        <f>VLOOKUP($C252,'2021-22 School Level AAFTE'!$C:$Z,11,FALSE)</f>
        <v>0.4286666666666667</v>
      </c>
      <c r="F252" s="129" t="str">
        <f>VLOOKUP($C252,'2021-22 School Level AAFTE'!$C:$Z,8,FALSE)</f>
        <v>No</v>
      </c>
      <c r="G252" s="129" t="str">
        <f>VLOOKUP($C252,'2021-22 School Level AAFTE'!$C:$Z,12,FALSE)</f>
        <v>No</v>
      </c>
      <c r="H252" s="127">
        <f>VLOOKUP($C252,'2021-22 School Level AAFTE'!$C:$I,7,FALSE)</f>
        <v>588.13</v>
      </c>
      <c r="I252" s="112">
        <f>IFERROR(IF(OR(G252="yes",F252= "yes"),VLOOKUP(C252,Summary!$B:$J,6,0),0),0)</f>
        <v>0</v>
      </c>
      <c r="J252" s="111">
        <f t="shared" si="45"/>
        <v>0</v>
      </c>
      <c r="K252" s="91">
        <f>VLOOKUP($A252,'2022-23 Salary &amp; Benefits'!$A:$I,3,FALSE)</f>
        <v>1</v>
      </c>
      <c r="L252" s="91">
        <f>VLOOKUP($A252,'2022-23 Salary &amp; Benefits'!$A:$I,4,FALSE)</f>
        <v>1.04</v>
      </c>
      <c r="M252" s="101">
        <f t="shared" si="40"/>
        <v>0</v>
      </c>
      <c r="N252" s="24">
        <v>15</v>
      </c>
      <c r="O252" s="26">
        <f t="shared" si="43"/>
        <v>0</v>
      </c>
      <c r="P252" s="24">
        <v>1.1000000000000001</v>
      </c>
      <c r="Q252" s="24">
        <v>36</v>
      </c>
      <c r="R252" s="27">
        <f t="shared" si="44"/>
        <v>0</v>
      </c>
      <c r="S252" s="102">
        <f t="shared" si="46"/>
        <v>0</v>
      </c>
      <c r="T252" s="21">
        <f>VLOOKUP($A252,'2022-23 Salary &amp; Benefits'!$A:$I,5,FALSE)</f>
        <v>68937</v>
      </c>
      <c r="U252" s="21">
        <f>VLOOKUP($A252,'2022-23 Salary &amp; Benefits'!$A:$I,6,FALSE)</f>
        <v>72728</v>
      </c>
      <c r="V252" s="22">
        <f t="shared" si="47"/>
        <v>0</v>
      </c>
      <c r="W252" s="22">
        <f t="shared" si="48"/>
        <v>0</v>
      </c>
      <c r="X252" s="22">
        <f>'2022-23 Salary &amp; Benefits'!$G$6</f>
        <v>12558.24</v>
      </c>
      <c r="Y252" s="23">
        <f>'2022-23 Salary &amp; Benefits'!$H$6</f>
        <v>0.2298</v>
      </c>
      <c r="Z252" s="23">
        <f>'2022-23 Salary &amp; Benefits'!$I$6</f>
        <v>0.22339999999999999</v>
      </c>
      <c r="AA252" s="22">
        <f t="shared" si="49"/>
        <v>0</v>
      </c>
      <c r="AB252" s="22">
        <f t="shared" si="50"/>
        <v>0</v>
      </c>
      <c r="AC252" s="22">
        <f t="shared" si="51"/>
        <v>0</v>
      </c>
      <c r="AD252" s="22">
        <f t="shared" si="41"/>
        <v>0</v>
      </c>
      <c r="AE252" s="22">
        <f t="shared" si="42"/>
        <v>0</v>
      </c>
      <c r="AF252" s="19" t="str">
        <f>VLOOKUP(C252,'2021-22 School Level AAFTE'!C:N,12,FALSE)</f>
        <v>No</v>
      </c>
    </row>
    <row r="253" spans="1:32" s="19" customFormat="1">
      <c r="A253" s="97" t="s">
        <v>2274</v>
      </c>
      <c r="B253" s="97" t="s">
        <v>111</v>
      </c>
      <c r="C253" s="95">
        <v>3268</v>
      </c>
      <c r="D253" s="95" t="s">
        <v>114</v>
      </c>
      <c r="E253" s="129">
        <f>VLOOKUP($C253,'2021-22 School Level AAFTE'!$C:$Z,11,FALSE)</f>
        <v>0.39686666666666665</v>
      </c>
      <c r="F253" s="129" t="str">
        <f>VLOOKUP($C253,'2021-22 School Level AAFTE'!$C:$Z,8,FALSE)</f>
        <v>No</v>
      </c>
      <c r="G253" s="129" t="str">
        <f>VLOOKUP($C253,'2021-22 School Level AAFTE'!$C:$Z,12,FALSE)</f>
        <v>No</v>
      </c>
      <c r="H253" s="127">
        <f>VLOOKUP($C253,'2021-22 School Level AAFTE'!$C:$I,7,FALSE)</f>
        <v>481.12</v>
      </c>
      <c r="I253" s="112">
        <f>IFERROR(IF(OR(G253="yes",F253= "yes"),VLOOKUP(C253,Summary!$B:$J,6,0),0),0)</f>
        <v>0</v>
      </c>
      <c r="J253" s="111">
        <f t="shared" si="45"/>
        <v>0</v>
      </c>
      <c r="K253" s="91">
        <f>VLOOKUP($A253,'2022-23 Salary &amp; Benefits'!$A:$I,3,FALSE)</f>
        <v>1</v>
      </c>
      <c r="L253" s="91">
        <f>VLOOKUP($A253,'2022-23 Salary &amp; Benefits'!$A:$I,4,FALSE)</f>
        <v>1.04</v>
      </c>
      <c r="M253" s="101">
        <f t="shared" si="40"/>
        <v>0</v>
      </c>
      <c r="N253" s="24">
        <v>15</v>
      </c>
      <c r="O253" s="26">
        <f t="shared" si="43"/>
        <v>0</v>
      </c>
      <c r="P253" s="24">
        <v>1.1000000000000001</v>
      </c>
      <c r="Q253" s="24">
        <v>36</v>
      </c>
      <c r="R253" s="27">
        <f t="shared" si="44"/>
        <v>0</v>
      </c>
      <c r="S253" s="102">
        <f t="shared" si="46"/>
        <v>0</v>
      </c>
      <c r="T253" s="21">
        <f>VLOOKUP($A253,'2022-23 Salary &amp; Benefits'!$A:$I,5,FALSE)</f>
        <v>68937</v>
      </c>
      <c r="U253" s="21">
        <f>VLOOKUP($A253,'2022-23 Salary &amp; Benefits'!$A:$I,6,FALSE)</f>
        <v>72728</v>
      </c>
      <c r="V253" s="22">
        <f t="shared" si="47"/>
        <v>0</v>
      </c>
      <c r="W253" s="22">
        <f t="shared" si="48"/>
        <v>0</v>
      </c>
      <c r="X253" s="22">
        <f>'2022-23 Salary &amp; Benefits'!$G$6</f>
        <v>12558.24</v>
      </c>
      <c r="Y253" s="23">
        <f>'2022-23 Salary &amp; Benefits'!$H$6</f>
        <v>0.2298</v>
      </c>
      <c r="Z253" s="23">
        <f>'2022-23 Salary &amp; Benefits'!$I$6</f>
        <v>0.22339999999999999</v>
      </c>
      <c r="AA253" s="22">
        <f t="shared" si="49"/>
        <v>0</v>
      </c>
      <c r="AB253" s="22">
        <f t="shared" si="50"/>
        <v>0</v>
      </c>
      <c r="AC253" s="22">
        <f t="shared" si="51"/>
        <v>0</v>
      </c>
      <c r="AD253" s="22">
        <f t="shared" si="41"/>
        <v>0</v>
      </c>
      <c r="AE253" s="22">
        <f t="shared" si="42"/>
        <v>0</v>
      </c>
      <c r="AF253" s="19" t="str">
        <f>VLOOKUP(C253,'2021-22 School Level AAFTE'!C:N,12,FALSE)</f>
        <v>No</v>
      </c>
    </row>
    <row r="254" spans="1:32" s="19" customFormat="1">
      <c r="A254" s="97" t="s">
        <v>2297</v>
      </c>
      <c r="B254" s="97" t="s">
        <v>314</v>
      </c>
      <c r="C254" s="95">
        <v>2281</v>
      </c>
      <c r="D254" s="95" t="s">
        <v>315</v>
      </c>
      <c r="E254" s="129">
        <f>VLOOKUP($C254,'2021-22 School Level AAFTE'!$C:$Z,11,FALSE)</f>
        <v>0.48443333333333333</v>
      </c>
      <c r="F254" s="129" t="str">
        <f>VLOOKUP($C254,'2021-22 School Level AAFTE'!$C:$Z,8,FALSE)</f>
        <v>No</v>
      </c>
      <c r="G254" s="129" t="str">
        <f>VLOOKUP($C254,'2021-22 School Level AAFTE'!$C:$Z,12,FALSE)</f>
        <v>No</v>
      </c>
      <c r="H254" s="127">
        <f>VLOOKUP($C254,'2021-22 School Level AAFTE'!$C:$I,7,FALSE)</f>
        <v>399.86</v>
      </c>
      <c r="I254" s="112">
        <f>IFERROR(IF(OR(G254="yes",F254= "yes"),VLOOKUP(C254,Summary!$B:$J,6,0),0),0)</f>
        <v>0</v>
      </c>
      <c r="J254" s="111">
        <f t="shared" si="45"/>
        <v>0</v>
      </c>
      <c r="K254" s="91">
        <f>VLOOKUP($A254,'2022-23 Salary &amp; Benefits'!$A:$I,3,FALSE)</f>
        <v>1</v>
      </c>
      <c r="L254" s="91">
        <f>VLOOKUP($A254,'2022-23 Salary &amp; Benefits'!$A:$I,4,FALSE)</f>
        <v>1</v>
      </c>
      <c r="M254" s="101">
        <f t="shared" si="40"/>
        <v>0</v>
      </c>
      <c r="N254" s="24">
        <v>15</v>
      </c>
      <c r="O254" s="26">
        <f t="shared" si="43"/>
        <v>0</v>
      </c>
      <c r="P254" s="24">
        <v>1.1000000000000001</v>
      </c>
      <c r="Q254" s="24">
        <v>36</v>
      </c>
      <c r="R254" s="27">
        <f t="shared" si="44"/>
        <v>0</v>
      </c>
      <c r="S254" s="102">
        <f t="shared" si="46"/>
        <v>0</v>
      </c>
      <c r="T254" s="21">
        <f>VLOOKUP($A254,'2022-23 Salary &amp; Benefits'!$A:$I,5,FALSE)</f>
        <v>68937</v>
      </c>
      <c r="U254" s="21">
        <f>VLOOKUP($A254,'2022-23 Salary &amp; Benefits'!$A:$I,6,FALSE)</f>
        <v>72728</v>
      </c>
      <c r="V254" s="22">
        <f t="shared" si="47"/>
        <v>0</v>
      </c>
      <c r="W254" s="22">
        <f t="shared" si="48"/>
        <v>0</v>
      </c>
      <c r="X254" s="22">
        <f>'2022-23 Salary &amp; Benefits'!$G$6</f>
        <v>12558.24</v>
      </c>
      <c r="Y254" s="23">
        <f>'2022-23 Salary &amp; Benefits'!$H$6</f>
        <v>0.2298</v>
      </c>
      <c r="Z254" s="23">
        <f>'2022-23 Salary &amp; Benefits'!$I$6</f>
        <v>0.22339999999999999</v>
      </c>
      <c r="AA254" s="22">
        <f t="shared" si="49"/>
        <v>0</v>
      </c>
      <c r="AB254" s="22">
        <f t="shared" si="50"/>
        <v>0</v>
      </c>
      <c r="AC254" s="22">
        <f t="shared" si="51"/>
        <v>0</v>
      </c>
      <c r="AD254" s="22">
        <f t="shared" si="41"/>
        <v>0</v>
      </c>
      <c r="AE254" s="22">
        <f t="shared" si="42"/>
        <v>0</v>
      </c>
      <c r="AF254" s="19" t="str">
        <f>VLOOKUP(C254,'2021-22 School Level AAFTE'!C:N,12,FALSE)</f>
        <v>No</v>
      </c>
    </row>
    <row r="255" spans="1:32" s="19" customFormat="1">
      <c r="A255" s="97" t="s">
        <v>2297</v>
      </c>
      <c r="B255" s="97" t="s">
        <v>314</v>
      </c>
      <c r="C255" s="95">
        <v>2762</v>
      </c>
      <c r="D255" s="95" t="s">
        <v>316</v>
      </c>
      <c r="E255" s="129">
        <f>VLOOKUP($C255,'2021-22 School Level AAFTE'!$C:$Z,11,FALSE)</f>
        <v>0.5295333333333333</v>
      </c>
      <c r="F255" s="129" t="str">
        <f>VLOOKUP($C255,'2021-22 School Level AAFTE'!$C:$Z,8,FALSE)</f>
        <v>Yes</v>
      </c>
      <c r="G255" s="129" t="str">
        <f>VLOOKUP($C255,'2021-22 School Level AAFTE'!$C:$Z,12,FALSE)</f>
        <v>No</v>
      </c>
      <c r="H255" s="127">
        <f>VLOOKUP($C255,'2021-22 School Level AAFTE'!$C:$I,7,FALSE)</f>
        <v>622.70000000000005</v>
      </c>
      <c r="I255" s="112">
        <f>IFERROR(IF(OR(G255="yes",F255= "yes"),VLOOKUP(C255,Summary!$B:$J,6,0),0),0)</f>
        <v>0</v>
      </c>
      <c r="J255" s="111">
        <f t="shared" si="45"/>
        <v>622.70000000000005</v>
      </c>
      <c r="K255" s="91">
        <f>VLOOKUP($A255,'2022-23 Salary &amp; Benefits'!$A:$I,3,FALSE)</f>
        <v>1</v>
      </c>
      <c r="L255" s="91">
        <f>VLOOKUP($A255,'2022-23 Salary &amp; Benefits'!$A:$I,4,FALSE)</f>
        <v>1</v>
      </c>
      <c r="M255" s="101">
        <f t="shared" si="40"/>
        <v>622.70000000000005</v>
      </c>
      <c r="N255" s="24">
        <v>15</v>
      </c>
      <c r="O255" s="26">
        <f t="shared" si="43"/>
        <v>41.513333333333335</v>
      </c>
      <c r="P255" s="24">
        <v>1.1000000000000001</v>
      </c>
      <c r="Q255" s="24">
        <v>36</v>
      </c>
      <c r="R255" s="27">
        <f t="shared" si="44"/>
        <v>1643.9280000000003</v>
      </c>
      <c r="S255" s="102">
        <f t="shared" si="46"/>
        <v>1.827</v>
      </c>
      <c r="T255" s="21">
        <f>VLOOKUP($A255,'2022-23 Salary &amp; Benefits'!$A:$I,5,FALSE)</f>
        <v>68937</v>
      </c>
      <c r="U255" s="21">
        <f>VLOOKUP($A255,'2022-23 Salary &amp; Benefits'!$A:$I,6,FALSE)</f>
        <v>72728</v>
      </c>
      <c r="V255" s="22">
        <f t="shared" si="47"/>
        <v>125947.9</v>
      </c>
      <c r="W255" s="22">
        <f t="shared" si="48"/>
        <v>6926.1600000000035</v>
      </c>
      <c r="X255" s="22">
        <f>'2022-23 Salary &amp; Benefits'!$G$6</f>
        <v>12558.24</v>
      </c>
      <c r="Y255" s="23">
        <f>'2022-23 Salary &amp; Benefits'!$H$6</f>
        <v>0.2298</v>
      </c>
      <c r="Z255" s="23">
        <f>'2022-23 Salary &amp; Benefits'!$I$6</f>
        <v>0.22339999999999999</v>
      </c>
      <c r="AA255" s="22">
        <f t="shared" si="49"/>
        <v>53434.04</v>
      </c>
      <c r="AB255" s="22">
        <f t="shared" si="50"/>
        <v>2214.5700000000002</v>
      </c>
      <c r="AC255" s="22">
        <f t="shared" si="51"/>
        <v>494.73</v>
      </c>
      <c r="AD255" s="22">
        <f t="shared" si="41"/>
        <v>2709.3</v>
      </c>
      <c r="AE255" s="22">
        <f t="shared" si="42"/>
        <v>189017.4</v>
      </c>
      <c r="AF255" s="19" t="str">
        <f>VLOOKUP(C255,'2021-22 School Level AAFTE'!C:N,12,FALSE)</f>
        <v>No</v>
      </c>
    </row>
    <row r="256" spans="1:32" s="19" customFormat="1">
      <c r="A256" s="97" t="s">
        <v>2297</v>
      </c>
      <c r="B256" s="97" t="s">
        <v>314</v>
      </c>
      <c r="C256" s="95">
        <v>3969</v>
      </c>
      <c r="D256" s="95" t="s">
        <v>317</v>
      </c>
      <c r="E256" s="129">
        <f>VLOOKUP($C256,'2021-22 School Level AAFTE'!$C:$Z,11,FALSE)</f>
        <v>0.48093333333333338</v>
      </c>
      <c r="F256" s="129" t="str">
        <f>VLOOKUP($C256,'2021-22 School Level AAFTE'!$C:$Z,8,FALSE)</f>
        <v>No</v>
      </c>
      <c r="G256" s="129" t="str">
        <f>VLOOKUP($C256,'2021-22 School Level AAFTE'!$C:$Z,12,FALSE)</f>
        <v>No</v>
      </c>
      <c r="H256" s="127">
        <f>VLOOKUP($C256,'2021-22 School Level AAFTE'!$C:$I,7,FALSE)</f>
        <v>339.14</v>
      </c>
      <c r="I256" s="112">
        <f>IFERROR(IF(OR(G256="yes",F256= "yes"),VLOOKUP(C256,Summary!$B:$J,6,0),0),0)</f>
        <v>0</v>
      </c>
      <c r="J256" s="111">
        <f t="shared" si="45"/>
        <v>0</v>
      </c>
      <c r="K256" s="91">
        <f>VLOOKUP($A256,'2022-23 Salary &amp; Benefits'!$A:$I,3,FALSE)</f>
        <v>1</v>
      </c>
      <c r="L256" s="91">
        <f>VLOOKUP($A256,'2022-23 Salary &amp; Benefits'!$A:$I,4,FALSE)</f>
        <v>1</v>
      </c>
      <c r="M256" s="101">
        <f t="shared" si="40"/>
        <v>0</v>
      </c>
      <c r="N256" s="24">
        <v>15</v>
      </c>
      <c r="O256" s="26">
        <f t="shared" si="43"/>
        <v>0</v>
      </c>
      <c r="P256" s="24">
        <v>1.1000000000000001</v>
      </c>
      <c r="Q256" s="24">
        <v>36</v>
      </c>
      <c r="R256" s="27">
        <f t="shared" si="44"/>
        <v>0</v>
      </c>
      <c r="S256" s="102">
        <f t="shared" si="46"/>
        <v>0</v>
      </c>
      <c r="T256" s="21">
        <f>VLOOKUP($A256,'2022-23 Salary &amp; Benefits'!$A:$I,5,FALSE)</f>
        <v>68937</v>
      </c>
      <c r="U256" s="21">
        <f>VLOOKUP($A256,'2022-23 Salary &amp; Benefits'!$A:$I,6,FALSE)</f>
        <v>72728</v>
      </c>
      <c r="V256" s="22">
        <f t="shared" si="47"/>
        <v>0</v>
      </c>
      <c r="W256" s="22">
        <f t="shared" si="48"/>
        <v>0</v>
      </c>
      <c r="X256" s="22">
        <f>'2022-23 Salary &amp; Benefits'!$G$6</f>
        <v>12558.24</v>
      </c>
      <c r="Y256" s="23">
        <f>'2022-23 Salary &amp; Benefits'!$H$6</f>
        <v>0.2298</v>
      </c>
      <c r="Z256" s="23">
        <f>'2022-23 Salary &amp; Benefits'!$I$6</f>
        <v>0.22339999999999999</v>
      </c>
      <c r="AA256" s="22">
        <f t="shared" si="49"/>
        <v>0</v>
      </c>
      <c r="AB256" s="22">
        <f t="shared" si="50"/>
        <v>0</v>
      </c>
      <c r="AC256" s="22">
        <f t="shared" si="51"/>
        <v>0</v>
      </c>
      <c r="AD256" s="22">
        <f t="shared" si="41"/>
        <v>0</v>
      </c>
      <c r="AE256" s="22">
        <f t="shared" si="42"/>
        <v>0</v>
      </c>
      <c r="AF256" s="19" t="str">
        <f>VLOOKUP(C256,'2021-22 School Level AAFTE'!C:N,12,FALSE)</f>
        <v>No</v>
      </c>
    </row>
    <row r="257" spans="1:32" s="19" customFormat="1">
      <c r="A257" s="97" t="s">
        <v>2297</v>
      </c>
      <c r="B257" s="97" t="s">
        <v>314</v>
      </c>
      <c r="C257" s="95">
        <v>5666</v>
      </c>
      <c r="D257" s="95" t="s">
        <v>3004</v>
      </c>
      <c r="E257" s="129">
        <f>VLOOKUP($C257,'2021-22 School Level AAFTE'!$C:$Z,11,FALSE)</f>
        <v>0.75860000000000005</v>
      </c>
      <c r="F257" s="129" t="str">
        <f>VLOOKUP($C257,'2021-22 School Level AAFTE'!$C:$Z,8,FALSE)</f>
        <v>Yes</v>
      </c>
      <c r="G257" s="129" t="str">
        <f>VLOOKUP($C257,'2021-22 School Level AAFTE'!$C:$Z,12,FALSE)</f>
        <v>No</v>
      </c>
      <c r="H257" s="127">
        <f>VLOOKUP($C257,'2021-22 School Level AAFTE'!$C:$I,7,FALSE)</f>
        <v>40.729999999999997</v>
      </c>
      <c r="I257" s="112">
        <f>IFERROR(IF(OR(G257="yes",F257= "yes"),VLOOKUP(C257,Summary!$B:$J,6,0),0),0)</f>
        <v>0</v>
      </c>
      <c r="J257" s="111">
        <f t="shared" si="45"/>
        <v>40.729999999999997</v>
      </c>
      <c r="K257" s="91">
        <f>VLOOKUP($A257,'2022-23 Salary &amp; Benefits'!$A:$I,3,FALSE)</f>
        <v>1</v>
      </c>
      <c r="L257" s="91">
        <f>VLOOKUP($A257,'2022-23 Salary &amp; Benefits'!$A:$I,4,FALSE)</f>
        <v>1</v>
      </c>
      <c r="M257" s="101">
        <f t="shared" si="40"/>
        <v>40.729999999999997</v>
      </c>
      <c r="N257" s="24">
        <v>15</v>
      </c>
      <c r="O257" s="26">
        <f t="shared" si="43"/>
        <v>2.7153333333333332</v>
      </c>
      <c r="P257" s="24">
        <v>1.1000000000000001</v>
      </c>
      <c r="Q257" s="24">
        <v>36</v>
      </c>
      <c r="R257" s="27">
        <f t="shared" si="44"/>
        <v>107.52720000000001</v>
      </c>
      <c r="S257" s="102">
        <f t="shared" si="46"/>
        <v>0.11899999999999999</v>
      </c>
      <c r="T257" s="21">
        <f>VLOOKUP($A257,'2022-23 Salary &amp; Benefits'!$A:$I,5,FALSE)</f>
        <v>68937</v>
      </c>
      <c r="U257" s="21">
        <f>VLOOKUP($A257,'2022-23 Salary &amp; Benefits'!$A:$I,6,FALSE)</f>
        <v>72728</v>
      </c>
      <c r="V257" s="22">
        <f t="shared" si="47"/>
        <v>8203.5</v>
      </c>
      <c r="W257" s="22">
        <f t="shared" si="48"/>
        <v>451.1299999999992</v>
      </c>
      <c r="X257" s="22">
        <f>'2022-23 Salary &amp; Benefits'!$G$6</f>
        <v>12558.24</v>
      </c>
      <c r="Y257" s="23">
        <f>'2022-23 Salary &amp; Benefits'!$H$6</f>
        <v>0.2298</v>
      </c>
      <c r="Z257" s="23">
        <f>'2022-23 Salary &amp; Benefits'!$I$6</f>
        <v>0.22339999999999999</v>
      </c>
      <c r="AA257" s="22">
        <f t="shared" si="49"/>
        <v>3480.38</v>
      </c>
      <c r="AB257" s="22">
        <f t="shared" si="50"/>
        <v>144.24</v>
      </c>
      <c r="AC257" s="22">
        <f t="shared" si="51"/>
        <v>32.22</v>
      </c>
      <c r="AD257" s="22">
        <f t="shared" si="41"/>
        <v>176.46</v>
      </c>
      <c r="AE257" s="22">
        <f t="shared" si="42"/>
        <v>12311.47</v>
      </c>
      <c r="AF257" s="19" t="str">
        <f>VLOOKUP(C257,'2021-22 School Level AAFTE'!C:N,12,FALSE)</f>
        <v>No</v>
      </c>
    </row>
    <row r="258" spans="1:32" s="19" customFormat="1">
      <c r="A258" s="97" t="s">
        <v>2856</v>
      </c>
      <c r="B258" s="97" t="s">
        <v>2869</v>
      </c>
      <c r="C258" s="95">
        <v>5607</v>
      </c>
      <c r="D258" s="95" t="s">
        <v>2869</v>
      </c>
      <c r="E258" s="129">
        <f>VLOOKUP($C258,'2021-22 School Level AAFTE'!$C:$Z,11,FALSE)</f>
        <v>0.43524999999999997</v>
      </c>
      <c r="F258" s="129" t="str">
        <f>VLOOKUP($C258,'2021-22 School Level AAFTE'!$C:$Z,8,FALSE)</f>
        <v>No</v>
      </c>
      <c r="G258" s="129" t="str">
        <f>VLOOKUP($C258,'2021-22 School Level AAFTE'!$C:$Z,12,FALSE)</f>
        <v>No</v>
      </c>
      <c r="H258" s="127">
        <f>VLOOKUP($C258,'2021-22 School Level AAFTE'!$C:$I,7,FALSE)</f>
        <v>301.14</v>
      </c>
      <c r="I258" s="112">
        <f>IFERROR(IF(OR(G258="yes",F258= "yes"),VLOOKUP(C258,Summary!$B:$J,6,0),0),0)</f>
        <v>0</v>
      </c>
      <c r="J258" s="111">
        <f t="shared" si="45"/>
        <v>0</v>
      </c>
      <c r="K258" s="91">
        <f>VLOOKUP($A258,'2022-23 Salary &amp; Benefits'!$A:$I,3,FALSE)</f>
        <v>1.18</v>
      </c>
      <c r="L258" s="91">
        <f>VLOOKUP($A258,'2022-23 Salary &amp; Benefits'!$A:$I,4,FALSE)</f>
        <v>1.18</v>
      </c>
      <c r="M258" s="101">
        <f t="shared" si="40"/>
        <v>0</v>
      </c>
      <c r="N258" s="24">
        <v>15</v>
      </c>
      <c r="O258" s="26">
        <f t="shared" si="43"/>
        <v>0</v>
      </c>
      <c r="P258" s="24">
        <v>1.1000000000000001</v>
      </c>
      <c r="Q258" s="24">
        <v>36</v>
      </c>
      <c r="R258" s="27">
        <f t="shared" si="44"/>
        <v>0</v>
      </c>
      <c r="S258" s="102">
        <f t="shared" si="46"/>
        <v>0</v>
      </c>
      <c r="T258" s="21">
        <f>VLOOKUP($A258,'2022-23 Salary &amp; Benefits'!$A:$I,5,FALSE)</f>
        <v>68937</v>
      </c>
      <c r="U258" s="21">
        <f>VLOOKUP($A258,'2022-23 Salary &amp; Benefits'!$A:$I,6,FALSE)</f>
        <v>72728</v>
      </c>
      <c r="V258" s="22">
        <f t="shared" si="47"/>
        <v>0</v>
      </c>
      <c r="W258" s="22">
        <f t="shared" si="48"/>
        <v>0</v>
      </c>
      <c r="X258" s="22">
        <f>'2022-23 Salary &amp; Benefits'!$G$6</f>
        <v>12558.24</v>
      </c>
      <c r="Y258" s="23">
        <f>'2022-23 Salary &amp; Benefits'!$H$6</f>
        <v>0.2298</v>
      </c>
      <c r="Z258" s="23">
        <f>'2022-23 Salary &amp; Benefits'!$I$6</f>
        <v>0.22339999999999999</v>
      </c>
      <c r="AA258" s="22">
        <f t="shared" si="49"/>
        <v>0</v>
      </c>
      <c r="AB258" s="22">
        <f t="shared" si="50"/>
        <v>0</v>
      </c>
      <c r="AC258" s="22">
        <f t="shared" si="51"/>
        <v>0</v>
      </c>
      <c r="AD258" s="22">
        <f t="shared" si="41"/>
        <v>0</v>
      </c>
      <c r="AE258" s="22">
        <f t="shared" si="42"/>
        <v>0</v>
      </c>
      <c r="AF258" s="19" t="str">
        <f>VLOOKUP(C258,'2021-22 School Level AAFTE'!C:N,12,FALSE)</f>
        <v>No</v>
      </c>
    </row>
    <row r="259" spans="1:32" s="19" customFormat="1">
      <c r="A259" s="97" t="s">
        <v>2385</v>
      </c>
      <c r="B259" s="97" t="s">
        <v>1108</v>
      </c>
      <c r="C259" s="95">
        <v>2251</v>
      </c>
      <c r="D259" s="95" t="s">
        <v>1109</v>
      </c>
      <c r="E259" s="129">
        <f>VLOOKUP($C259,'2021-22 School Level AAFTE'!$C:$Z,11,FALSE)</f>
        <v>0.27786666666666665</v>
      </c>
      <c r="F259" s="129" t="str">
        <f>VLOOKUP($C259,'2021-22 School Level AAFTE'!$C:$Z,8,FALSE)</f>
        <v>No</v>
      </c>
      <c r="G259" s="129" t="str">
        <f>VLOOKUP($C259,'2021-22 School Level AAFTE'!$C:$Z,12,FALSE)</f>
        <v>No</v>
      </c>
      <c r="H259" s="127">
        <f>VLOOKUP($C259,'2021-22 School Level AAFTE'!$C:$I,7,FALSE)</f>
        <v>86</v>
      </c>
      <c r="I259" s="112">
        <f>IFERROR(IF(OR(G259="yes",F259= "yes"),VLOOKUP(C259,Summary!$B:$J,6,0),0),0)</f>
        <v>0</v>
      </c>
      <c r="J259" s="111">
        <f t="shared" si="45"/>
        <v>0</v>
      </c>
      <c r="K259" s="91">
        <f>VLOOKUP($A259,'2022-23 Salary &amp; Benefits'!$A:$I,3,FALSE)</f>
        <v>1</v>
      </c>
      <c r="L259" s="91">
        <f>VLOOKUP($A259,'2022-23 Salary &amp; Benefits'!$A:$I,4,FALSE)</f>
        <v>1.04</v>
      </c>
      <c r="M259" s="101">
        <f t="shared" si="40"/>
        <v>0</v>
      </c>
      <c r="N259" s="24">
        <v>15</v>
      </c>
      <c r="O259" s="26">
        <f t="shared" si="43"/>
        <v>0</v>
      </c>
      <c r="P259" s="24">
        <v>1.1000000000000001</v>
      </c>
      <c r="Q259" s="24">
        <v>36</v>
      </c>
      <c r="R259" s="27">
        <f t="shared" si="44"/>
        <v>0</v>
      </c>
      <c r="S259" s="102">
        <f t="shared" si="46"/>
        <v>0</v>
      </c>
      <c r="T259" s="21">
        <f>VLOOKUP($A259,'2022-23 Salary &amp; Benefits'!$A:$I,5,FALSE)</f>
        <v>68937</v>
      </c>
      <c r="U259" s="21">
        <f>VLOOKUP($A259,'2022-23 Salary &amp; Benefits'!$A:$I,6,FALSE)</f>
        <v>72728</v>
      </c>
      <c r="V259" s="22">
        <f t="shared" si="47"/>
        <v>0</v>
      </c>
      <c r="W259" s="22">
        <f t="shared" si="48"/>
        <v>0</v>
      </c>
      <c r="X259" s="22">
        <f>'2022-23 Salary &amp; Benefits'!$G$6</f>
        <v>12558.24</v>
      </c>
      <c r="Y259" s="23">
        <f>'2022-23 Salary &amp; Benefits'!$H$6</f>
        <v>0.2298</v>
      </c>
      <c r="Z259" s="23">
        <f>'2022-23 Salary &amp; Benefits'!$I$6</f>
        <v>0.22339999999999999</v>
      </c>
      <c r="AA259" s="22">
        <f t="shared" si="49"/>
        <v>0</v>
      </c>
      <c r="AB259" s="22">
        <f t="shared" si="50"/>
        <v>0</v>
      </c>
      <c r="AC259" s="22">
        <f t="shared" si="51"/>
        <v>0</v>
      </c>
      <c r="AD259" s="22">
        <f t="shared" si="41"/>
        <v>0</v>
      </c>
      <c r="AE259" s="22">
        <f t="shared" si="42"/>
        <v>0</v>
      </c>
      <c r="AF259" s="19" t="str">
        <f>VLOOKUP(C259,'2021-22 School Level AAFTE'!C:N,12,FALSE)</f>
        <v>No</v>
      </c>
    </row>
    <row r="260" spans="1:32" s="19" customFormat="1">
      <c r="A260" s="97" t="s">
        <v>2374</v>
      </c>
      <c r="B260" s="97" t="s">
        <v>1050</v>
      </c>
      <c r="C260" s="95">
        <v>2615</v>
      </c>
      <c r="D260" s="95" t="s">
        <v>1051</v>
      </c>
      <c r="E260" s="129">
        <f>VLOOKUP($C260,'2021-22 School Level AAFTE'!$C:$Z,11,FALSE)</f>
        <v>0.25186666666666668</v>
      </c>
      <c r="F260" s="129" t="str">
        <f>VLOOKUP($C260,'2021-22 School Level AAFTE'!$C:$Z,8,FALSE)</f>
        <v>No</v>
      </c>
      <c r="G260" s="129" t="str">
        <f>VLOOKUP($C260,'2021-22 School Level AAFTE'!$C:$Z,12,FALSE)</f>
        <v>No</v>
      </c>
      <c r="H260" s="127">
        <f>VLOOKUP($C260,'2021-22 School Level AAFTE'!$C:$I,7,FALSE)</f>
        <v>1591.15</v>
      </c>
      <c r="I260" s="112">
        <f>IFERROR(IF(OR(G260="yes",F260= "yes"),VLOOKUP(C260,Summary!$B:$J,6,0),0),0)</f>
        <v>0</v>
      </c>
      <c r="J260" s="111">
        <f t="shared" si="45"/>
        <v>0</v>
      </c>
      <c r="K260" s="91">
        <f>VLOOKUP($A260,'2022-23 Salary &amp; Benefits'!$A:$I,3,FALSE)</f>
        <v>1.18</v>
      </c>
      <c r="L260" s="91">
        <f>VLOOKUP($A260,'2022-23 Salary &amp; Benefits'!$A:$I,4,FALSE)</f>
        <v>1.18</v>
      </c>
      <c r="M260" s="101">
        <f t="shared" si="40"/>
        <v>0</v>
      </c>
      <c r="N260" s="24">
        <v>15</v>
      </c>
      <c r="O260" s="26">
        <f t="shared" si="43"/>
        <v>0</v>
      </c>
      <c r="P260" s="24">
        <v>1.1000000000000001</v>
      </c>
      <c r="Q260" s="24">
        <v>36</v>
      </c>
      <c r="R260" s="27">
        <f t="shared" si="44"/>
        <v>0</v>
      </c>
      <c r="S260" s="102">
        <f t="shared" si="46"/>
        <v>0</v>
      </c>
      <c r="T260" s="21">
        <f>VLOOKUP($A260,'2022-23 Salary &amp; Benefits'!$A:$I,5,FALSE)</f>
        <v>68937</v>
      </c>
      <c r="U260" s="21">
        <f>VLOOKUP($A260,'2022-23 Salary &amp; Benefits'!$A:$I,6,FALSE)</f>
        <v>72728</v>
      </c>
      <c r="V260" s="22">
        <f t="shared" si="47"/>
        <v>0</v>
      </c>
      <c r="W260" s="22">
        <f t="shared" si="48"/>
        <v>0</v>
      </c>
      <c r="X260" s="22">
        <f>'2022-23 Salary &amp; Benefits'!$G$6</f>
        <v>12558.24</v>
      </c>
      <c r="Y260" s="23">
        <f>'2022-23 Salary &amp; Benefits'!$H$6</f>
        <v>0.2298</v>
      </c>
      <c r="Z260" s="23">
        <f>'2022-23 Salary &amp; Benefits'!$I$6</f>
        <v>0.22339999999999999</v>
      </c>
      <c r="AA260" s="22">
        <f t="shared" si="49"/>
        <v>0</v>
      </c>
      <c r="AB260" s="22">
        <f t="shared" si="50"/>
        <v>0</v>
      </c>
      <c r="AC260" s="22">
        <f t="shared" si="51"/>
        <v>0</v>
      </c>
      <c r="AD260" s="22">
        <f t="shared" si="41"/>
        <v>0</v>
      </c>
      <c r="AE260" s="22">
        <f t="shared" si="42"/>
        <v>0</v>
      </c>
      <c r="AF260" s="19" t="str">
        <f>VLOOKUP(C260,'2021-22 School Level AAFTE'!C:N,12,FALSE)</f>
        <v>No</v>
      </c>
    </row>
    <row r="261" spans="1:32" s="19" customFormat="1">
      <c r="A261" s="97" t="s">
        <v>2374</v>
      </c>
      <c r="B261" s="97" t="s">
        <v>1050</v>
      </c>
      <c r="C261" s="95">
        <v>2994</v>
      </c>
      <c r="D261" s="95" t="s">
        <v>1052</v>
      </c>
      <c r="E261" s="129">
        <f>VLOOKUP($C261,'2021-22 School Level AAFTE'!$C:$Z,11,FALSE)</f>
        <v>0.23856666666666668</v>
      </c>
      <c r="F261" s="129" t="str">
        <f>VLOOKUP($C261,'2021-22 School Level AAFTE'!$C:$Z,8,FALSE)</f>
        <v>No</v>
      </c>
      <c r="G261" s="129" t="str">
        <f>VLOOKUP($C261,'2021-22 School Level AAFTE'!$C:$Z,12,FALSE)</f>
        <v>No</v>
      </c>
      <c r="H261" s="127">
        <f>VLOOKUP($C261,'2021-22 School Level AAFTE'!$C:$I,7,FALSE)</f>
        <v>433.71</v>
      </c>
      <c r="I261" s="112">
        <f>IFERROR(IF(OR(G261="yes",F261= "yes"),VLOOKUP(C261,Summary!$B:$J,6,0),0),0)</f>
        <v>0</v>
      </c>
      <c r="J261" s="111">
        <f t="shared" si="45"/>
        <v>0</v>
      </c>
      <c r="K261" s="91">
        <f>VLOOKUP($A261,'2022-23 Salary &amp; Benefits'!$A:$I,3,FALSE)</f>
        <v>1.18</v>
      </c>
      <c r="L261" s="91">
        <f>VLOOKUP($A261,'2022-23 Salary &amp; Benefits'!$A:$I,4,FALSE)</f>
        <v>1.18</v>
      </c>
      <c r="M261" s="101">
        <f t="shared" ref="M261:M322" si="52">IF(I261&gt;0,I261,J261)</f>
        <v>0</v>
      </c>
      <c r="N261" s="24">
        <v>15</v>
      </c>
      <c r="O261" s="26">
        <f t="shared" si="43"/>
        <v>0</v>
      </c>
      <c r="P261" s="24">
        <v>1.1000000000000001</v>
      </c>
      <c r="Q261" s="24">
        <v>36</v>
      </c>
      <c r="R261" s="27">
        <f t="shared" si="44"/>
        <v>0</v>
      </c>
      <c r="S261" s="102">
        <f t="shared" si="46"/>
        <v>0</v>
      </c>
      <c r="T261" s="21">
        <f>VLOOKUP($A261,'2022-23 Salary &amp; Benefits'!$A:$I,5,FALSE)</f>
        <v>68937</v>
      </c>
      <c r="U261" s="21">
        <f>VLOOKUP($A261,'2022-23 Salary &amp; Benefits'!$A:$I,6,FALSE)</f>
        <v>72728</v>
      </c>
      <c r="V261" s="22">
        <f t="shared" si="47"/>
        <v>0</v>
      </c>
      <c r="W261" s="22">
        <f t="shared" si="48"/>
        <v>0</v>
      </c>
      <c r="X261" s="22">
        <f>'2022-23 Salary &amp; Benefits'!$G$6</f>
        <v>12558.24</v>
      </c>
      <c r="Y261" s="23">
        <f>'2022-23 Salary &amp; Benefits'!$H$6</f>
        <v>0.2298</v>
      </c>
      <c r="Z261" s="23">
        <f>'2022-23 Salary &amp; Benefits'!$I$6</f>
        <v>0.22339999999999999</v>
      </c>
      <c r="AA261" s="22">
        <f t="shared" si="49"/>
        <v>0</v>
      </c>
      <c r="AB261" s="22">
        <f t="shared" si="50"/>
        <v>0</v>
      </c>
      <c r="AC261" s="22">
        <f t="shared" si="51"/>
        <v>0</v>
      </c>
      <c r="AD261" s="22">
        <f t="shared" ref="AD261:AD322" si="53">SUM(AB261:AC261)</f>
        <v>0</v>
      </c>
      <c r="AE261" s="22">
        <f t="shared" ref="AE261:AE322" si="54">SUM(AA261,V261:W261,AD261)</f>
        <v>0</v>
      </c>
      <c r="AF261" s="19" t="str">
        <f>VLOOKUP(C261,'2021-22 School Level AAFTE'!C:N,12,FALSE)</f>
        <v>No</v>
      </c>
    </row>
    <row r="262" spans="1:32" s="19" customFormat="1">
      <c r="A262" s="97" t="s">
        <v>2374</v>
      </c>
      <c r="B262" s="97" t="s">
        <v>1050</v>
      </c>
      <c r="C262" s="95">
        <v>3237</v>
      </c>
      <c r="D262" s="95" t="s">
        <v>1053</v>
      </c>
      <c r="E262" s="129">
        <f>VLOOKUP($C262,'2021-22 School Level AAFTE'!$C:$Z,11,FALSE)</f>
        <v>0.31240000000000001</v>
      </c>
      <c r="F262" s="129" t="str">
        <f>VLOOKUP($C262,'2021-22 School Level AAFTE'!$C:$Z,8,FALSE)</f>
        <v>No</v>
      </c>
      <c r="G262" s="129" t="str">
        <f>VLOOKUP($C262,'2021-22 School Level AAFTE'!$C:$Z,12,FALSE)</f>
        <v>No</v>
      </c>
      <c r="H262" s="127">
        <f>VLOOKUP($C262,'2021-22 School Level AAFTE'!$C:$I,7,FALSE)</f>
        <v>752.56</v>
      </c>
      <c r="I262" s="112">
        <f>IFERROR(IF(OR(G262="yes",F262= "yes"),VLOOKUP(C262,Summary!$B:$J,6,0),0),0)</f>
        <v>0</v>
      </c>
      <c r="J262" s="111">
        <f t="shared" si="45"/>
        <v>0</v>
      </c>
      <c r="K262" s="91">
        <f>VLOOKUP($A262,'2022-23 Salary &amp; Benefits'!$A:$I,3,FALSE)</f>
        <v>1.18</v>
      </c>
      <c r="L262" s="91">
        <f>VLOOKUP($A262,'2022-23 Salary &amp; Benefits'!$A:$I,4,FALSE)</f>
        <v>1.18</v>
      </c>
      <c r="M262" s="101">
        <f t="shared" si="52"/>
        <v>0</v>
      </c>
      <c r="N262" s="24">
        <v>15</v>
      </c>
      <c r="O262" s="26">
        <f t="shared" si="43"/>
        <v>0</v>
      </c>
      <c r="P262" s="24">
        <v>1.1000000000000001</v>
      </c>
      <c r="Q262" s="24">
        <v>36</v>
      </c>
      <c r="R262" s="27">
        <f t="shared" si="44"/>
        <v>0</v>
      </c>
      <c r="S262" s="102">
        <f t="shared" si="46"/>
        <v>0</v>
      </c>
      <c r="T262" s="21">
        <f>VLOOKUP($A262,'2022-23 Salary &amp; Benefits'!$A:$I,5,FALSE)</f>
        <v>68937</v>
      </c>
      <c r="U262" s="21">
        <f>VLOOKUP($A262,'2022-23 Salary &amp; Benefits'!$A:$I,6,FALSE)</f>
        <v>72728</v>
      </c>
      <c r="V262" s="22">
        <f t="shared" si="47"/>
        <v>0</v>
      </c>
      <c r="W262" s="22">
        <f t="shared" si="48"/>
        <v>0</v>
      </c>
      <c r="X262" s="22">
        <f>'2022-23 Salary &amp; Benefits'!$G$6</f>
        <v>12558.24</v>
      </c>
      <c r="Y262" s="23">
        <f>'2022-23 Salary &amp; Benefits'!$H$6</f>
        <v>0.2298</v>
      </c>
      <c r="Z262" s="23">
        <f>'2022-23 Salary &amp; Benefits'!$I$6</f>
        <v>0.22339999999999999</v>
      </c>
      <c r="AA262" s="22">
        <f t="shared" si="49"/>
        <v>0</v>
      </c>
      <c r="AB262" s="22">
        <f t="shared" si="50"/>
        <v>0</v>
      </c>
      <c r="AC262" s="22">
        <f t="shared" si="51"/>
        <v>0</v>
      </c>
      <c r="AD262" s="22">
        <f t="shared" si="53"/>
        <v>0</v>
      </c>
      <c r="AE262" s="22">
        <f t="shared" si="54"/>
        <v>0</v>
      </c>
      <c r="AF262" s="19" t="str">
        <f>VLOOKUP(C262,'2021-22 School Level AAFTE'!C:N,12,FALSE)</f>
        <v>No</v>
      </c>
    </row>
    <row r="263" spans="1:32" s="19" customFormat="1">
      <c r="A263" s="97" t="s">
        <v>2374</v>
      </c>
      <c r="B263" s="97" t="s">
        <v>1050</v>
      </c>
      <c r="C263" s="95">
        <v>3594</v>
      </c>
      <c r="D263" s="95" t="s">
        <v>2870</v>
      </c>
      <c r="E263" s="129">
        <f>VLOOKUP($C263,'2021-22 School Level AAFTE'!$C:$Z,11,FALSE)</f>
        <v>0.37026666666666669</v>
      </c>
      <c r="F263" s="129" t="str">
        <f>VLOOKUP($C263,'2021-22 School Level AAFTE'!$C:$Z,8,FALSE)</f>
        <v>No</v>
      </c>
      <c r="G263" s="129" t="str">
        <f>VLOOKUP($C263,'2021-22 School Level AAFTE'!$C:$Z,12,FALSE)</f>
        <v>No</v>
      </c>
      <c r="H263" s="127">
        <f>VLOOKUP($C263,'2021-22 School Level AAFTE'!$C:$I,7,FALSE)</f>
        <v>430.29</v>
      </c>
      <c r="I263" s="112">
        <f>IFERROR(IF(OR(G263="yes",F263= "yes"),VLOOKUP(C263,Summary!$B:$J,6,0),0),0)</f>
        <v>0</v>
      </c>
      <c r="J263" s="111">
        <f t="shared" si="45"/>
        <v>0</v>
      </c>
      <c r="K263" s="91">
        <f>VLOOKUP($A263,'2022-23 Salary &amp; Benefits'!$A:$I,3,FALSE)</f>
        <v>1.18</v>
      </c>
      <c r="L263" s="91">
        <f>VLOOKUP($A263,'2022-23 Salary &amp; Benefits'!$A:$I,4,FALSE)</f>
        <v>1.18</v>
      </c>
      <c r="M263" s="101">
        <f t="shared" si="52"/>
        <v>0</v>
      </c>
      <c r="N263" s="24">
        <v>15</v>
      </c>
      <c r="O263" s="26">
        <f t="shared" si="43"/>
        <v>0</v>
      </c>
      <c r="P263" s="24">
        <v>1.1000000000000001</v>
      </c>
      <c r="Q263" s="24">
        <v>36</v>
      </c>
      <c r="R263" s="27">
        <f t="shared" si="44"/>
        <v>0</v>
      </c>
      <c r="S263" s="102">
        <f t="shared" si="46"/>
        <v>0</v>
      </c>
      <c r="T263" s="21">
        <f>VLOOKUP($A263,'2022-23 Salary &amp; Benefits'!$A:$I,5,FALSE)</f>
        <v>68937</v>
      </c>
      <c r="U263" s="21">
        <f>VLOOKUP($A263,'2022-23 Salary &amp; Benefits'!$A:$I,6,FALSE)</f>
        <v>72728</v>
      </c>
      <c r="V263" s="22">
        <f t="shared" si="47"/>
        <v>0</v>
      </c>
      <c r="W263" s="22">
        <f t="shared" si="48"/>
        <v>0</v>
      </c>
      <c r="X263" s="22">
        <f>'2022-23 Salary &amp; Benefits'!$G$6</f>
        <v>12558.24</v>
      </c>
      <c r="Y263" s="23">
        <f>'2022-23 Salary &amp; Benefits'!$H$6</f>
        <v>0.2298</v>
      </c>
      <c r="Z263" s="23">
        <f>'2022-23 Salary &amp; Benefits'!$I$6</f>
        <v>0.22339999999999999</v>
      </c>
      <c r="AA263" s="22">
        <f t="shared" si="49"/>
        <v>0</v>
      </c>
      <c r="AB263" s="22">
        <f t="shared" si="50"/>
        <v>0</v>
      </c>
      <c r="AC263" s="22">
        <f t="shared" si="51"/>
        <v>0</v>
      </c>
      <c r="AD263" s="22">
        <f t="shared" si="53"/>
        <v>0</v>
      </c>
      <c r="AE263" s="22">
        <f t="shared" si="54"/>
        <v>0</v>
      </c>
      <c r="AF263" s="19" t="str">
        <f>VLOOKUP(C263,'2021-22 School Level AAFTE'!C:N,12,FALSE)</f>
        <v>No</v>
      </c>
    </row>
    <row r="264" spans="1:32" s="19" customFormat="1">
      <c r="A264" s="97" t="s">
        <v>2374</v>
      </c>
      <c r="B264" s="97" t="s">
        <v>1050</v>
      </c>
      <c r="C264" s="95">
        <v>3791</v>
      </c>
      <c r="D264" s="95" t="s">
        <v>1054</v>
      </c>
      <c r="E264" s="129">
        <f>VLOOKUP($C264,'2021-22 School Level AAFTE'!$C:$Z,11,FALSE)</f>
        <v>0.50629999999999997</v>
      </c>
      <c r="F264" s="129" t="str">
        <f>VLOOKUP($C264,'2021-22 School Level AAFTE'!$C:$Z,8,FALSE)</f>
        <v>Yes</v>
      </c>
      <c r="G264" s="129" t="str">
        <f>VLOOKUP($C264,'2021-22 School Level AAFTE'!$C:$Z,12,FALSE)</f>
        <v>No</v>
      </c>
      <c r="H264" s="127">
        <f>VLOOKUP($C264,'2021-22 School Level AAFTE'!$C:$I,7,FALSE)</f>
        <v>622.86</v>
      </c>
      <c r="I264" s="112">
        <f>IFERROR(IF(OR(G264="yes",F264= "yes"),VLOOKUP(C264,Summary!$B:$J,6,0),0),0)</f>
        <v>0</v>
      </c>
      <c r="J264" s="111">
        <f t="shared" si="45"/>
        <v>622.86</v>
      </c>
      <c r="K264" s="91">
        <f>VLOOKUP($A264,'2022-23 Salary &amp; Benefits'!$A:$I,3,FALSE)</f>
        <v>1.18</v>
      </c>
      <c r="L264" s="91">
        <f>VLOOKUP($A264,'2022-23 Salary &amp; Benefits'!$A:$I,4,FALSE)</f>
        <v>1.18</v>
      </c>
      <c r="M264" s="101">
        <f t="shared" si="52"/>
        <v>622.86</v>
      </c>
      <c r="N264" s="24">
        <v>15</v>
      </c>
      <c r="O264" s="26">
        <f t="shared" si="43"/>
        <v>41.524000000000001</v>
      </c>
      <c r="P264" s="24">
        <v>1.1000000000000001</v>
      </c>
      <c r="Q264" s="24">
        <v>36</v>
      </c>
      <c r="R264" s="27">
        <f t="shared" si="44"/>
        <v>1644.3504000000003</v>
      </c>
      <c r="S264" s="102">
        <f t="shared" si="46"/>
        <v>1.827</v>
      </c>
      <c r="T264" s="21">
        <f>VLOOKUP($A264,'2022-23 Salary &amp; Benefits'!$A:$I,5,FALSE)</f>
        <v>68937</v>
      </c>
      <c r="U264" s="21">
        <f>VLOOKUP($A264,'2022-23 Salary &amp; Benefits'!$A:$I,6,FALSE)</f>
        <v>72728</v>
      </c>
      <c r="V264" s="22">
        <f t="shared" si="47"/>
        <v>148618.51999999999</v>
      </c>
      <c r="W264" s="22">
        <f t="shared" si="48"/>
        <v>8172.8700000000244</v>
      </c>
      <c r="X264" s="22">
        <f>'2022-23 Salary &amp; Benefits'!$G$6</f>
        <v>12558.24</v>
      </c>
      <c r="Y264" s="23">
        <f>'2022-23 Salary &amp; Benefits'!$H$6</f>
        <v>0.2298</v>
      </c>
      <c r="Z264" s="23">
        <f>'2022-23 Salary &amp; Benefits'!$I$6</f>
        <v>0.22339999999999999</v>
      </c>
      <c r="AA264" s="22">
        <f t="shared" si="49"/>
        <v>58922.26</v>
      </c>
      <c r="AB264" s="22">
        <f t="shared" si="50"/>
        <v>2613.19</v>
      </c>
      <c r="AC264" s="22">
        <f t="shared" si="51"/>
        <v>583.79</v>
      </c>
      <c r="AD264" s="22">
        <f t="shared" si="53"/>
        <v>3196.98</v>
      </c>
      <c r="AE264" s="22">
        <f t="shared" si="54"/>
        <v>218910.63000000003</v>
      </c>
      <c r="AF264" s="19" t="str">
        <f>VLOOKUP(C264,'2021-22 School Level AAFTE'!C:N,12,FALSE)</f>
        <v>No</v>
      </c>
    </row>
    <row r="265" spans="1:32" s="19" customFormat="1">
      <c r="A265" s="97" t="s">
        <v>2374</v>
      </c>
      <c r="B265" s="97" t="s">
        <v>1050</v>
      </c>
      <c r="C265" s="95">
        <v>4014</v>
      </c>
      <c r="D265" s="95" t="s">
        <v>1055</v>
      </c>
      <c r="E265" s="129">
        <f>VLOOKUP($C265,'2021-22 School Level AAFTE'!$C:$Z,11,FALSE)</f>
        <v>0.34889999999999999</v>
      </c>
      <c r="F265" s="129" t="str">
        <f>VLOOKUP($C265,'2021-22 School Level AAFTE'!$C:$Z,8,FALSE)</f>
        <v>No</v>
      </c>
      <c r="G265" s="129" t="str">
        <f>VLOOKUP($C265,'2021-22 School Level AAFTE'!$C:$Z,12,FALSE)</f>
        <v>No</v>
      </c>
      <c r="H265" s="127">
        <f>VLOOKUP($C265,'2021-22 School Level AAFTE'!$C:$I,7,FALSE)</f>
        <v>375.29</v>
      </c>
      <c r="I265" s="112">
        <f>IFERROR(IF(OR(G265="yes",F265= "yes"),VLOOKUP(C265,Summary!$B:$J,6,0),0),0)</f>
        <v>0</v>
      </c>
      <c r="J265" s="111">
        <f t="shared" si="45"/>
        <v>0</v>
      </c>
      <c r="K265" s="91">
        <f>VLOOKUP($A265,'2022-23 Salary &amp; Benefits'!$A:$I,3,FALSE)</f>
        <v>1.18</v>
      </c>
      <c r="L265" s="91">
        <f>VLOOKUP($A265,'2022-23 Salary &amp; Benefits'!$A:$I,4,FALSE)</f>
        <v>1.18</v>
      </c>
      <c r="M265" s="101">
        <f t="shared" si="52"/>
        <v>0</v>
      </c>
      <c r="N265" s="24">
        <v>15</v>
      </c>
      <c r="O265" s="26">
        <f t="shared" si="43"/>
        <v>0</v>
      </c>
      <c r="P265" s="24">
        <v>1.1000000000000001</v>
      </c>
      <c r="Q265" s="24">
        <v>36</v>
      </c>
      <c r="R265" s="27">
        <f t="shared" si="44"/>
        <v>0</v>
      </c>
      <c r="S265" s="102">
        <f t="shared" si="46"/>
        <v>0</v>
      </c>
      <c r="T265" s="21">
        <f>VLOOKUP($A265,'2022-23 Salary &amp; Benefits'!$A:$I,5,FALSE)</f>
        <v>68937</v>
      </c>
      <c r="U265" s="21">
        <f>VLOOKUP($A265,'2022-23 Salary &amp; Benefits'!$A:$I,6,FALSE)</f>
        <v>72728</v>
      </c>
      <c r="V265" s="22">
        <f t="shared" si="47"/>
        <v>0</v>
      </c>
      <c r="W265" s="22">
        <f t="shared" si="48"/>
        <v>0</v>
      </c>
      <c r="X265" s="22">
        <f>'2022-23 Salary &amp; Benefits'!$G$6</f>
        <v>12558.24</v>
      </c>
      <c r="Y265" s="23">
        <f>'2022-23 Salary &amp; Benefits'!$H$6</f>
        <v>0.2298</v>
      </c>
      <c r="Z265" s="23">
        <f>'2022-23 Salary &amp; Benefits'!$I$6</f>
        <v>0.22339999999999999</v>
      </c>
      <c r="AA265" s="22">
        <f t="shared" si="49"/>
        <v>0</v>
      </c>
      <c r="AB265" s="22">
        <f t="shared" si="50"/>
        <v>0</v>
      </c>
      <c r="AC265" s="22">
        <f t="shared" si="51"/>
        <v>0</v>
      </c>
      <c r="AD265" s="22">
        <f t="shared" si="53"/>
        <v>0</v>
      </c>
      <c r="AE265" s="22">
        <f t="shared" si="54"/>
        <v>0</v>
      </c>
      <c r="AF265" s="19" t="str">
        <f>VLOOKUP(C265,'2021-22 School Level AAFTE'!C:N,12,FALSE)</f>
        <v>No</v>
      </c>
    </row>
    <row r="266" spans="1:32" s="19" customFormat="1">
      <c r="A266" s="97" t="s">
        <v>2374</v>
      </c>
      <c r="B266" s="97" t="s">
        <v>1050</v>
      </c>
      <c r="C266" s="95">
        <v>4015</v>
      </c>
      <c r="D266" s="95" t="s">
        <v>1056</v>
      </c>
      <c r="E266" s="129">
        <f>VLOOKUP($C266,'2021-22 School Level AAFTE'!$C:$Z,11,FALSE)</f>
        <v>0.48606666666666665</v>
      </c>
      <c r="F266" s="129" t="str">
        <f>VLOOKUP($C266,'2021-22 School Level AAFTE'!$C:$Z,8,FALSE)</f>
        <v>No</v>
      </c>
      <c r="G266" s="129" t="str">
        <f>VLOOKUP($C266,'2021-22 School Level AAFTE'!$C:$Z,12,FALSE)</f>
        <v>No</v>
      </c>
      <c r="H266" s="127">
        <f>VLOOKUP($C266,'2021-22 School Level AAFTE'!$C:$I,7,FALSE)</f>
        <v>283.57</v>
      </c>
      <c r="I266" s="112">
        <f>IFERROR(IF(OR(G266="yes",F266= "yes"),VLOOKUP(C266,Summary!$B:$J,6,0),0),0)</f>
        <v>0</v>
      </c>
      <c r="J266" s="111">
        <f t="shared" si="45"/>
        <v>0</v>
      </c>
      <c r="K266" s="91">
        <f>VLOOKUP($A266,'2022-23 Salary &amp; Benefits'!$A:$I,3,FALSE)</f>
        <v>1.18</v>
      </c>
      <c r="L266" s="91">
        <f>VLOOKUP($A266,'2022-23 Salary &amp; Benefits'!$A:$I,4,FALSE)</f>
        <v>1.18</v>
      </c>
      <c r="M266" s="39">
        <f t="shared" si="52"/>
        <v>0</v>
      </c>
      <c r="N266" s="24">
        <v>15</v>
      </c>
      <c r="O266" s="26">
        <f t="shared" ref="O266:O329" si="55">IF(M266="no",0,M266/N266)</f>
        <v>0</v>
      </c>
      <c r="P266" s="24">
        <v>1.1000000000000001</v>
      </c>
      <c r="Q266" s="24">
        <v>36</v>
      </c>
      <c r="R266" s="27">
        <f t="shared" ref="R266:R329" si="56">IF(M266="no",0,O266*P266*Q266)</f>
        <v>0</v>
      </c>
      <c r="S266" s="102">
        <f t="shared" si="46"/>
        <v>0</v>
      </c>
      <c r="T266" s="21">
        <f>VLOOKUP($A266,'2022-23 Salary &amp; Benefits'!$A:$I,5,FALSE)</f>
        <v>68937</v>
      </c>
      <c r="U266" s="21">
        <f>VLOOKUP($A266,'2022-23 Salary &amp; Benefits'!$A:$I,6,FALSE)</f>
        <v>72728</v>
      </c>
      <c r="V266" s="22">
        <f t="shared" si="47"/>
        <v>0</v>
      </c>
      <c r="W266" s="22">
        <f t="shared" si="48"/>
        <v>0</v>
      </c>
      <c r="X266" s="22">
        <f>'2022-23 Salary &amp; Benefits'!$G$6</f>
        <v>12558.24</v>
      </c>
      <c r="Y266" s="23">
        <f>'2022-23 Salary &amp; Benefits'!$H$6</f>
        <v>0.2298</v>
      </c>
      <c r="Z266" s="23">
        <f>'2022-23 Salary &amp; Benefits'!$I$6</f>
        <v>0.22339999999999999</v>
      </c>
      <c r="AA266" s="22">
        <f t="shared" si="49"/>
        <v>0</v>
      </c>
      <c r="AB266" s="22">
        <f t="shared" si="50"/>
        <v>0</v>
      </c>
      <c r="AC266" s="22">
        <f t="shared" si="51"/>
        <v>0</v>
      </c>
      <c r="AD266" s="22">
        <f t="shared" si="53"/>
        <v>0</v>
      </c>
      <c r="AE266" s="22">
        <f t="shared" si="54"/>
        <v>0</v>
      </c>
      <c r="AF266" s="19" t="str">
        <f>VLOOKUP(C266,'2021-22 School Level AAFTE'!C:N,12,FALSE)</f>
        <v>No</v>
      </c>
    </row>
    <row r="267" spans="1:32" s="19" customFormat="1">
      <c r="A267" s="97" t="s">
        <v>2374</v>
      </c>
      <c r="B267" s="97" t="s">
        <v>1050</v>
      </c>
      <c r="C267" s="95">
        <v>4016</v>
      </c>
      <c r="D267" s="95" t="s">
        <v>1057</v>
      </c>
      <c r="E267" s="129">
        <f>VLOOKUP($C267,'2021-22 School Level AAFTE'!$C:$Z,11,FALSE)</f>
        <v>0.49199999999999999</v>
      </c>
      <c r="F267" s="129" t="str">
        <f>VLOOKUP($C267,'2021-22 School Level AAFTE'!$C:$Z,8,FALSE)</f>
        <v>No</v>
      </c>
      <c r="G267" s="129" t="str">
        <f>VLOOKUP($C267,'2021-22 School Level AAFTE'!$C:$Z,12,FALSE)</f>
        <v>No</v>
      </c>
      <c r="H267" s="127">
        <f>VLOOKUP($C267,'2021-22 School Level AAFTE'!$C:$I,7,FALSE)</f>
        <v>415.71</v>
      </c>
      <c r="I267" s="112">
        <f>IFERROR(IF(OR(G267="yes",F267= "yes"),VLOOKUP(C267,Summary!$B:$J,6,0),0),0)</f>
        <v>0</v>
      </c>
      <c r="J267" s="111">
        <f t="shared" ref="J267:J330" si="57">IF(OR(G267="yes",F267= "yes"), H267,0)</f>
        <v>0</v>
      </c>
      <c r="K267" s="91">
        <f>VLOOKUP($A267,'2022-23 Salary &amp; Benefits'!$A:$I,3,FALSE)</f>
        <v>1.18</v>
      </c>
      <c r="L267" s="91">
        <f>VLOOKUP($A267,'2022-23 Salary &amp; Benefits'!$A:$I,4,FALSE)</f>
        <v>1.18</v>
      </c>
      <c r="M267" s="101">
        <f t="shared" si="52"/>
        <v>0</v>
      </c>
      <c r="N267" s="24">
        <v>15</v>
      </c>
      <c r="O267" s="26">
        <f t="shared" si="55"/>
        <v>0</v>
      </c>
      <c r="P267" s="24">
        <v>1.1000000000000001</v>
      </c>
      <c r="Q267" s="24">
        <v>36</v>
      </c>
      <c r="R267" s="27">
        <f t="shared" si="56"/>
        <v>0</v>
      </c>
      <c r="S267" s="102">
        <f t="shared" ref="S267:S330" si="58">ROUND(IF(M267="no",0,R267/900),3)</f>
        <v>0</v>
      </c>
      <c r="T267" s="21">
        <f>VLOOKUP($A267,'2022-23 Salary &amp; Benefits'!$A:$I,5,FALSE)</f>
        <v>68937</v>
      </c>
      <c r="U267" s="21">
        <f>VLOOKUP($A267,'2022-23 Salary &amp; Benefits'!$A:$I,6,FALSE)</f>
        <v>72728</v>
      </c>
      <c r="V267" s="22">
        <f t="shared" ref="V267:V330" si="59">ROUND($K267*$T267*$S267,2)</f>
        <v>0</v>
      </c>
      <c r="W267" s="22">
        <f t="shared" ref="W267:W330" si="60">ROUND($L267*$U267*$S267,2)-V267</f>
        <v>0</v>
      </c>
      <c r="X267" s="22">
        <f>'2022-23 Salary &amp; Benefits'!$G$6</f>
        <v>12558.24</v>
      </c>
      <c r="Y267" s="23">
        <f>'2022-23 Salary &amp; Benefits'!$H$6</f>
        <v>0.2298</v>
      </c>
      <c r="Z267" s="23">
        <f>'2022-23 Salary &amp; Benefits'!$I$6</f>
        <v>0.22339999999999999</v>
      </c>
      <c r="AA267" s="22">
        <f t="shared" ref="AA267:AA330" si="61">ROUND(V267*Y267+W267*Z267+S267*X267,2)</f>
        <v>0</v>
      </c>
      <c r="AB267" s="22">
        <f t="shared" ref="AB267:AB330" si="62">ROUND(($U267*$L267*$S267/180*3),2)</f>
        <v>0</v>
      </c>
      <c r="AC267" s="22">
        <f t="shared" ref="AC267:AC330" si="63">ROUND(AB267*Z267,2)</f>
        <v>0</v>
      </c>
      <c r="AD267" s="22">
        <f t="shared" si="53"/>
        <v>0</v>
      </c>
      <c r="AE267" s="22">
        <f t="shared" si="54"/>
        <v>0</v>
      </c>
      <c r="AF267" s="19" t="str">
        <f>VLOOKUP(C267,'2021-22 School Level AAFTE'!C:N,12,FALSE)</f>
        <v>No</v>
      </c>
    </row>
    <row r="268" spans="1:32" s="19" customFormat="1">
      <c r="A268" s="97" t="s">
        <v>2374</v>
      </c>
      <c r="B268" s="97" t="s">
        <v>1050</v>
      </c>
      <c r="C268" s="95">
        <v>4100</v>
      </c>
      <c r="D268" s="95" t="s">
        <v>1058</v>
      </c>
      <c r="E268" s="129">
        <f>VLOOKUP($C268,'2021-22 School Level AAFTE'!$C:$Z,11,FALSE)</f>
        <v>0.4083666666666666</v>
      </c>
      <c r="F268" s="129" t="str">
        <f>VLOOKUP($C268,'2021-22 School Level AAFTE'!$C:$Z,8,FALSE)</f>
        <v>No</v>
      </c>
      <c r="G268" s="129" t="str">
        <f>VLOOKUP($C268,'2021-22 School Level AAFTE'!$C:$Z,12,FALSE)</f>
        <v>No</v>
      </c>
      <c r="H268" s="127">
        <f>VLOOKUP($C268,'2021-22 School Level AAFTE'!$C:$I,7,FALSE)</f>
        <v>1124.3599999999999</v>
      </c>
      <c r="I268" s="112">
        <f>IFERROR(IF(OR(G268="yes",F268= "yes"),VLOOKUP(C268,Summary!$B:$J,6,0),0),0)</f>
        <v>0</v>
      </c>
      <c r="J268" s="111">
        <f t="shared" si="57"/>
        <v>0</v>
      </c>
      <c r="K268" s="91">
        <f>VLOOKUP($A268,'2022-23 Salary &amp; Benefits'!$A:$I,3,FALSE)</f>
        <v>1.18</v>
      </c>
      <c r="L268" s="91">
        <f>VLOOKUP($A268,'2022-23 Salary &amp; Benefits'!$A:$I,4,FALSE)</f>
        <v>1.18</v>
      </c>
      <c r="M268" s="39">
        <f t="shared" si="52"/>
        <v>0</v>
      </c>
      <c r="N268" s="24">
        <v>15</v>
      </c>
      <c r="O268" s="26">
        <f t="shared" si="55"/>
        <v>0</v>
      </c>
      <c r="P268" s="24">
        <v>1.1000000000000001</v>
      </c>
      <c r="Q268" s="24">
        <v>36</v>
      </c>
      <c r="R268" s="27">
        <f t="shared" si="56"/>
        <v>0</v>
      </c>
      <c r="S268" s="102">
        <f t="shared" si="58"/>
        <v>0</v>
      </c>
      <c r="T268" s="21">
        <f>VLOOKUP($A268,'2022-23 Salary &amp; Benefits'!$A:$I,5,FALSE)</f>
        <v>68937</v>
      </c>
      <c r="U268" s="21">
        <f>VLOOKUP($A268,'2022-23 Salary &amp; Benefits'!$A:$I,6,FALSE)</f>
        <v>72728</v>
      </c>
      <c r="V268" s="22">
        <f t="shared" si="59"/>
        <v>0</v>
      </c>
      <c r="W268" s="22">
        <f t="shared" si="60"/>
        <v>0</v>
      </c>
      <c r="X268" s="22">
        <f>'2022-23 Salary &amp; Benefits'!$G$6</f>
        <v>12558.24</v>
      </c>
      <c r="Y268" s="23">
        <f>'2022-23 Salary &amp; Benefits'!$H$6</f>
        <v>0.2298</v>
      </c>
      <c r="Z268" s="23">
        <f>'2022-23 Salary &amp; Benefits'!$I$6</f>
        <v>0.22339999999999999</v>
      </c>
      <c r="AA268" s="22">
        <f t="shared" si="61"/>
        <v>0</v>
      </c>
      <c r="AB268" s="22">
        <f t="shared" si="62"/>
        <v>0</v>
      </c>
      <c r="AC268" s="22">
        <f t="shared" si="63"/>
        <v>0</v>
      </c>
      <c r="AD268" s="22">
        <f t="shared" si="53"/>
        <v>0</v>
      </c>
      <c r="AE268" s="22">
        <f t="shared" si="54"/>
        <v>0</v>
      </c>
      <c r="AF268" s="19" t="str">
        <f>VLOOKUP(C268,'2021-22 School Level AAFTE'!C:N,12,FALSE)</f>
        <v>No</v>
      </c>
    </row>
    <row r="269" spans="1:32" s="19" customFormat="1">
      <c r="A269" s="97" t="s">
        <v>2374</v>
      </c>
      <c r="B269" s="97" t="s">
        <v>1050</v>
      </c>
      <c r="C269" s="95">
        <v>4101</v>
      </c>
      <c r="D269" s="95" t="s">
        <v>1059</v>
      </c>
      <c r="E269" s="129">
        <f>VLOOKUP($C269,'2021-22 School Level AAFTE'!$C:$Z,11,FALSE)</f>
        <v>0.30623333333333336</v>
      </c>
      <c r="F269" s="129" t="str">
        <f>VLOOKUP($C269,'2021-22 School Level AAFTE'!$C:$Z,8,FALSE)</f>
        <v>No</v>
      </c>
      <c r="G269" s="129" t="str">
        <f>VLOOKUP($C269,'2021-22 School Level AAFTE'!$C:$Z,12,FALSE)</f>
        <v>No</v>
      </c>
      <c r="H269" s="127">
        <f>VLOOKUP($C269,'2021-22 School Level AAFTE'!$C:$I,7,FALSE)</f>
        <v>381.14</v>
      </c>
      <c r="I269" s="112">
        <f>IFERROR(IF(OR(G269="yes",F269= "yes"),VLOOKUP(C269,Summary!$B:$J,6,0),0),0)</f>
        <v>0</v>
      </c>
      <c r="J269" s="111">
        <f t="shared" si="57"/>
        <v>0</v>
      </c>
      <c r="K269" s="91">
        <f>VLOOKUP($A269,'2022-23 Salary &amp; Benefits'!$A:$I,3,FALSE)</f>
        <v>1.18</v>
      </c>
      <c r="L269" s="91">
        <f>VLOOKUP($A269,'2022-23 Salary &amp; Benefits'!$A:$I,4,FALSE)</f>
        <v>1.18</v>
      </c>
      <c r="M269" s="39">
        <f t="shared" si="52"/>
        <v>0</v>
      </c>
      <c r="N269" s="24">
        <v>15</v>
      </c>
      <c r="O269" s="26">
        <f t="shared" si="55"/>
        <v>0</v>
      </c>
      <c r="P269" s="24">
        <v>1.1000000000000001</v>
      </c>
      <c r="Q269" s="24">
        <v>36</v>
      </c>
      <c r="R269" s="27">
        <f t="shared" si="56"/>
        <v>0</v>
      </c>
      <c r="S269" s="102">
        <f t="shared" si="58"/>
        <v>0</v>
      </c>
      <c r="T269" s="21">
        <f>VLOOKUP($A269,'2022-23 Salary &amp; Benefits'!$A:$I,5,FALSE)</f>
        <v>68937</v>
      </c>
      <c r="U269" s="21">
        <f>VLOOKUP($A269,'2022-23 Salary &amp; Benefits'!$A:$I,6,FALSE)</f>
        <v>72728</v>
      </c>
      <c r="V269" s="22">
        <f t="shared" si="59"/>
        <v>0</v>
      </c>
      <c r="W269" s="22">
        <f t="shared" si="60"/>
        <v>0</v>
      </c>
      <c r="X269" s="22">
        <f>'2022-23 Salary &amp; Benefits'!$G$6</f>
        <v>12558.24</v>
      </c>
      <c r="Y269" s="23">
        <f>'2022-23 Salary &amp; Benefits'!$H$6</f>
        <v>0.2298</v>
      </c>
      <c r="Z269" s="23">
        <f>'2022-23 Salary &amp; Benefits'!$I$6</f>
        <v>0.22339999999999999</v>
      </c>
      <c r="AA269" s="22">
        <f t="shared" si="61"/>
        <v>0</v>
      </c>
      <c r="AB269" s="22">
        <f t="shared" si="62"/>
        <v>0</v>
      </c>
      <c r="AC269" s="22">
        <f t="shared" si="63"/>
        <v>0</v>
      </c>
      <c r="AD269" s="22">
        <f t="shared" si="53"/>
        <v>0</v>
      </c>
      <c r="AE269" s="22">
        <f t="shared" si="54"/>
        <v>0</v>
      </c>
      <c r="AF269" s="19" t="str">
        <f>VLOOKUP(C269,'2021-22 School Level AAFTE'!C:N,12,FALSE)</f>
        <v>No</v>
      </c>
    </row>
    <row r="270" spans="1:32" s="19" customFormat="1">
      <c r="A270" s="97" t="s">
        <v>2374</v>
      </c>
      <c r="B270" s="97" t="s">
        <v>1050</v>
      </c>
      <c r="C270" s="95">
        <v>4135</v>
      </c>
      <c r="D270" s="95" t="s">
        <v>1060</v>
      </c>
      <c r="E270" s="129">
        <f>VLOOKUP($C270,'2021-22 School Level AAFTE'!$C:$Z,11,FALSE)</f>
        <v>0.51003333333333334</v>
      </c>
      <c r="F270" s="129" t="str">
        <f>VLOOKUP($C270,'2021-22 School Level AAFTE'!$C:$Z,8,FALSE)</f>
        <v>Yes</v>
      </c>
      <c r="G270" s="129" t="str">
        <f>VLOOKUP($C270,'2021-22 School Level AAFTE'!$C:$Z,12,FALSE)</f>
        <v>No</v>
      </c>
      <c r="H270" s="127">
        <f>VLOOKUP($C270,'2021-22 School Level AAFTE'!$C:$I,7,FALSE)</f>
        <v>399.71</v>
      </c>
      <c r="I270" s="112">
        <f>IFERROR(IF(OR(G270="yes",F270= "yes"),VLOOKUP(C270,Summary!$B:$J,6,0),0),0)</f>
        <v>0</v>
      </c>
      <c r="J270" s="111">
        <f t="shared" si="57"/>
        <v>399.71</v>
      </c>
      <c r="K270" s="91">
        <f>VLOOKUP($A270,'2022-23 Salary &amp; Benefits'!$A:$I,3,FALSE)</f>
        <v>1.18</v>
      </c>
      <c r="L270" s="91">
        <f>VLOOKUP($A270,'2022-23 Salary &amp; Benefits'!$A:$I,4,FALSE)</f>
        <v>1.18</v>
      </c>
      <c r="M270" s="39">
        <f t="shared" si="52"/>
        <v>399.71</v>
      </c>
      <c r="N270" s="24">
        <v>15</v>
      </c>
      <c r="O270" s="26">
        <f t="shared" si="55"/>
        <v>26.647333333333332</v>
      </c>
      <c r="P270" s="24">
        <v>1.1000000000000001</v>
      </c>
      <c r="Q270" s="24">
        <v>36</v>
      </c>
      <c r="R270" s="27">
        <f t="shared" si="56"/>
        <v>1055.2344000000001</v>
      </c>
      <c r="S270" s="102">
        <f t="shared" si="58"/>
        <v>1.1719999999999999</v>
      </c>
      <c r="T270" s="21">
        <f>VLOOKUP($A270,'2022-23 Salary &amp; Benefits'!$A:$I,5,FALSE)</f>
        <v>68937</v>
      </c>
      <c r="U270" s="21">
        <f>VLOOKUP($A270,'2022-23 Salary &amp; Benefits'!$A:$I,6,FALSE)</f>
        <v>72728</v>
      </c>
      <c r="V270" s="22">
        <f t="shared" si="59"/>
        <v>95337.11</v>
      </c>
      <c r="W270" s="22">
        <f t="shared" si="60"/>
        <v>5242.8000000000029</v>
      </c>
      <c r="X270" s="22">
        <f>'2022-23 Salary &amp; Benefits'!$G$6</f>
        <v>12558.24</v>
      </c>
      <c r="Y270" s="23">
        <f>'2022-23 Salary &amp; Benefits'!$H$6</f>
        <v>0.2298</v>
      </c>
      <c r="Z270" s="23">
        <f>'2022-23 Salary &amp; Benefits'!$I$6</f>
        <v>0.22339999999999999</v>
      </c>
      <c r="AA270" s="22">
        <f t="shared" si="61"/>
        <v>37797.97</v>
      </c>
      <c r="AB270" s="22">
        <f t="shared" si="62"/>
        <v>1676.33</v>
      </c>
      <c r="AC270" s="22">
        <f t="shared" si="63"/>
        <v>374.49</v>
      </c>
      <c r="AD270" s="22">
        <f t="shared" si="53"/>
        <v>2050.8199999999997</v>
      </c>
      <c r="AE270" s="22">
        <f t="shared" si="54"/>
        <v>140428.70000000001</v>
      </c>
      <c r="AF270" s="19" t="str">
        <f>VLOOKUP(C270,'2021-22 School Level AAFTE'!C:N,12,FALSE)</f>
        <v>No</v>
      </c>
    </row>
    <row r="271" spans="1:32" s="19" customFormat="1">
      <c r="A271" s="97" t="s">
        <v>2374</v>
      </c>
      <c r="B271" s="97" t="s">
        <v>1050</v>
      </c>
      <c r="C271" s="95">
        <v>4249</v>
      </c>
      <c r="D271" s="95" t="s">
        <v>1061</v>
      </c>
      <c r="E271" s="129">
        <f>VLOOKUP($C271,'2021-22 School Level AAFTE'!$C:$Z,11,FALSE)</f>
        <v>0.36316666666666664</v>
      </c>
      <c r="F271" s="129" t="str">
        <f>VLOOKUP($C271,'2021-22 School Level AAFTE'!$C:$Z,8,FALSE)</f>
        <v>No</v>
      </c>
      <c r="G271" s="129" t="str">
        <f>VLOOKUP($C271,'2021-22 School Level AAFTE'!$C:$Z,12,FALSE)</f>
        <v>No</v>
      </c>
      <c r="H271" s="127">
        <f>VLOOKUP($C271,'2021-22 School Level AAFTE'!$C:$I,7,FALSE)</f>
        <v>715</v>
      </c>
      <c r="I271" s="112">
        <f>IFERROR(IF(OR(G271="yes",F271= "yes"),VLOOKUP(C271,Summary!$B:$J,6,0),0),0)</f>
        <v>0</v>
      </c>
      <c r="J271" s="111">
        <f t="shared" si="57"/>
        <v>0</v>
      </c>
      <c r="K271" s="91">
        <f>VLOOKUP($A271,'2022-23 Salary &amp; Benefits'!$A:$I,3,FALSE)</f>
        <v>1.18</v>
      </c>
      <c r="L271" s="91">
        <f>VLOOKUP($A271,'2022-23 Salary &amp; Benefits'!$A:$I,4,FALSE)</f>
        <v>1.18</v>
      </c>
      <c r="M271" s="101">
        <f t="shared" si="52"/>
        <v>0</v>
      </c>
      <c r="N271" s="24">
        <v>15</v>
      </c>
      <c r="O271" s="26">
        <f t="shared" si="55"/>
        <v>0</v>
      </c>
      <c r="P271" s="24">
        <v>1.1000000000000001</v>
      </c>
      <c r="Q271" s="24">
        <v>36</v>
      </c>
      <c r="R271" s="27">
        <f t="shared" si="56"/>
        <v>0</v>
      </c>
      <c r="S271" s="102">
        <f t="shared" si="58"/>
        <v>0</v>
      </c>
      <c r="T271" s="21">
        <f>VLOOKUP($A271,'2022-23 Salary &amp; Benefits'!$A:$I,5,FALSE)</f>
        <v>68937</v>
      </c>
      <c r="U271" s="21">
        <f>VLOOKUP($A271,'2022-23 Salary &amp; Benefits'!$A:$I,6,FALSE)</f>
        <v>72728</v>
      </c>
      <c r="V271" s="22">
        <f t="shared" si="59"/>
        <v>0</v>
      </c>
      <c r="W271" s="22">
        <f t="shared" si="60"/>
        <v>0</v>
      </c>
      <c r="X271" s="22">
        <f>'2022-23 Salary &amp; Benefits'!$G$6</f>
        <v>12558.24</v>
      </c>
      <c r="Y271" s="23">
        <f>'2022-23 Salary &amp; Benefits'!$H$6</f>
        <v>0.2298</v>
      </c>
      <c r="Z271" s="23">
        <f>'2022-23 Salary &amp; Benefits'!$I$6</f>
        <v>0.22339999999999999</v>
      </c>
      <c r="AA271" s="22">
        <f t="shared" si="61"/>
        <v>0</v>
      </c>
      <c r="AB271" s="22">
        <f t="shared" si="62"/>
        <v>0</v>
      </c>
      <c r="AC271" s="22">
        <f t="shared" si="63"/>
        <v>0</v>
      </c>
      <c r="AD271" s="22">
        <f t="shared" si="53"/>
        <v>0</v>
      </c>
      <c r="AE271" s="22">
        <f t="shared" si="54"/>
        <v>0</v>
      </c>
      <c r="AF271" s="19" t="str">
        <f>VLOOKUP(C271,'2021-22 School Level AAFTE'!C:N,12,FALSE)</f>
        <v>No</v>
      </c>
    </row>
    <row r="272" spans="1:32" s="19" customFormat="1">
      <c r="A272" s="97" t="s">
        <v>2374</v>
      </c>
      <c r="B272" s="97" t="s">
        <v>1050</v>
      </c>
      <c r="C272" s="95">
        <v>4341</v>
      </c>
      <c r="D272" s="95" t="s">
        <v>1062</v>
      </c>
      <c r="E272" s="129">
        <f>VLOOKUP($C272,'2021-22 School Level AAFTE'!$C:$Z,11,FALSE)</f>
        <v>0.26703333333333329</v>
      </c>
      <c r="F272" s="129" t="str">
        <f>VLOOKUP($C272,'2021-22 School Level AAFTE'!$C:$Z,8,FALSE)</f>
        <v>No</v>
      </c>
      <c r="G272" s="129" t="str">
        <f>VLOOKUP($C272,'2021-22 School Level AAFTE'!$C:$Z,12,FALSE)</f>
        <v>No</v>
      </c>
      <c r="H272" s="127">
        <f>VLOOKUP($C272,'2021-22 School Level AAFTE'!$C:$I,7,FALSE)</f>
        <v>408.46</v>
      </c>
      <c r="I272" s="112">
        <f>IFERROR(IF(OR(G272="yes",F272= "yes"),VLOOKUP(C272,Summary!$B:$J,6,0),0),0)</f>
        <v>0</v>
      </c>
      <c r="J272" s="111">
        <f t="shared" si="57"/>
        <v>0</v>
      </c>
      <c r="K272" s="91">
        <f>VLOOKUP($A272,'2022-23 Salary &amp; Benefits'!$A:$I,3,FALSE)</f>
        <v>1.18</v>
      </c>
      <c r="L272" s="91">
        <f>VLOOKUP($A272,'2022-23 Salary &amp; Benefits'!$A:$I,4,FALSE)</f>
        <v>1.18</v>
      </c>
      <c r="M272" s="39">
        <f t="shared" si="52"/>
        <v>0</v>
      </c>
      <c r="N272" s="24">
        <v>15</v>
      </c>
      <c r="O272" s="26">
        <f t="shared" si="55"/>
        <v>0</v>
      </c>
      <c r="P272" s="24">
        <v>1.1000000000000001</v>
      </c>
      <c r="Q272" s="24">
        <v>36</v>
      </c>
      <c r="R272" s="27">
        <f t="shared" si="56"/>
        <v>0</v>
      </c>
      <c r="S272" s="102">
        <f t="shared" si="58"/>
        <v>0</v>
      </c>
      <c r="T272" s="21">
        <f>VLOOKUP($A272,'2022-23 Salary &amp; Benefits'!$A:$I,5,FALSE)</f>
        <v>68937</v>
      </c>
      <c r="U272" s="21">
        <f>VLOOKUP($A272,'2022-23 Salary &amp; Benefits'!$A:$I,6,FALSE)</f>
        <v>72728</v>
      </c>
      <c r="V272" s="22">
        <f t="shared" si="59"/>
        <v>0</v>
      </c>
      <c r="W272" s="22">
        <f t="shared" si="60"/>
        <v>0</v>
      </c>
      <c r="X272" s="22">
        <f>'2022-23 Salary &amp; Benefits'!$G$6</f>
        <v>12558.24</v>
      </c>
      <c r="Y272" s="23">
        <f>'2022-23 Salary &amp; Benefits'!$H$6</f>
        <v>0.2298</v>
      </c>
      <c r="Z272" s="23">
        <f>'2022-23 Salary &amp; Benefits'!$I$6</f>
        <v>0.22339999999999999</v>
      </c>
      <c r="AA272" s="22">
        <f t="shared" si="61"/>
        <v>0</v>
      </c>
      <c r="AB272" s="22">
        <f t="shared" si="62"/>
        <v>0</v>
      </c>
      <c r="AC272" s="22">
        <f t="shared" si="63"/>
        <v>0</v>
      </c>
      <c r="AD272" s="22">
        <f t="shared" si="53"/>
        <v>0</v>
      </c>
      <c r="AE272" s="22">
        <f t="shared" si="54"/>
        <v>0</v>
      </c>
      <c r="AF272" s="19" t="str">
        <f>VLOOKUP(C272,'2021-22 School Level AAFTE'!C:N,12,FALSE)</f>
        <v>No</v>
      </c>
    </row>
    <row r="273" spans="1:32" s="19" customFormat="1">
      <c r="A273" s="97" t="s">
        <v>2374</v>
      </c>
      <c r="B273" s="97" t="s">
        <v>1050</v>
      </c>
      <c r="C273" s="95">
        <v>4372</v>
      </c>
      <c r="D273" s="95" t="s">
        <v>1063</v>
      </c>
      <c r="E273" s="129">
        <f>VLOOKUP($C273,'2021-22 School Level AAFTE'!$C:$Z,11,FALSE)</f>
        <v>0.3095</v>
      </c>
      <c r="F273" s="129" t="str">
        <f>VLOOKUP($C273,'2021-22 School Level AAFTE'!$C:$Z,8,FALSE)</f>
        <v>No</v>
      </c>
      <c r="G273" s="129" t="str">
        <f>VLOOKUP($C273,'2021-22 School Level AAFTE'!$C:$Z,12,FALSE)</f>
        <v>No</v>
      </c>
      <c r="H273" s="127">
        <f>VLOOKUP($C273,'2021-22 School Level AAFTE'!$C:$I,7,FALSE)</f>
        <v>388.71</v>
      </c>
      <c r="I273" s="112">
        <f>IFERROR(IF(OR(G273="yes",F273= "yes"),VLOOKUP(C273,Summary!$B:$J,6,0),0),0)</f>
        <v>0</v>
      </c>
      <c r="J273" s="111">
        <f t="shared" si="57"/>
        <v>0</v>
      </c>
      <c r="K273" s="91">
        <f>VLOOKUP($A273,'2022-23 Salary &amp; Benefits'!$A:$I,3,FALSE)</f>
        <v>1.18</v>
      </c>
      <c r="L273" s="91">
        <f>VLOOKUP($A273,'2022-23 Salary &amp; Benefits'!$A:$I,4,FALSE)</f>
        <v>1.18</v>
      </c>
      <c r="M273" s="101">
        <f t="shared" si="52"/>
        <v>0</v>
      </c>
      <c r="N273" s="24">
        <v>15</v>
      </c>
      <c r="O273" s="26">
        <f t="shared" si="55"/>
        <v>0</v>
      </c>
      <c r="P273" s="24">
        <v>1.1000000000000001</v>
      </c>
      <c r="Q273" s="24">
        <v>36</v>
      </c>
      <c r="R273" s="27">
        <f t="shared" si="56"/>
        <v>0</v>
      </c>
      <c r="S273" s="102">
        <f t="shared" si="58"/>
        <v>0</v>
      </c>
      <c r="T273" s="21">
        <f>VLOOKUP($A273,'2022-23 Salary &amp; Benefits'!$A:$I,5,FALSE)</f>
        <v>68937</v>
      </c>
      <c r="U273" s="21">
        <f>VLOOKUP($A273,'2022-23 Salary &amp; Benefits'!$A:$I,6,FALSE)</f>
        <v>72728</v>
      </c>
      <c r="V273" s="22">
        <f t="shared" si="59"/>
        <v>0</v>
      </c>
      <c r="W273" s="22">
        <f t="shared" si="60"/>
        <v>0</v>
      </c>
      <c r="X273" s="22">
        <f>'2022-23 Salary &amp; Benefits'!$G$6</f>
        <v>12558.24</v>
      </c>
      <c r="Y273" s="23">
        <f>'2022-23 Salary &amp; Benefits'!$H$6</f>
        <v>0.2298</v>
      </c>
      <c r="Z273" s="23">
        <f>'2022-23 Salary &amp; Benefits'!$I$6</f>
        <v>0.22339999999999999</v>
      </c>
      <c r="AA273" s="22">
        <f t="shared" si="61"/>
        <v>0</v>
      </c>
      <c r="AB273" s="22">
        <f t="shared" si="62"/>
        <v>0</v>
      </c>
      <c r="AC273" s="22">
        <f t="shared" si="63"/>
        <v>0</v>
      </c>
      <c r="AD273" s="22">
        <f t="shared" si="53"/>
        <v>0</v>
      </c>
      <c r="AE273" s="22">
        <f t="shared" si="54"/>
        <v>0</v>
      </c>
      <c r="AF273" s="19" t="str">
        <f>VLOOKUP(C273,'2021-22 School Level AAFTE'!C:N,12,FALSE)</f>
        <v>No</v>
      </c>
    </row>
    <row r="274" spans="1:32" s="19" customFormat="1">
      <c r="A274" s="97" t="s">
        <v>2374</v>
      </c>
      <c r="B274" s="97" t="s">
        <v>1050</v>
      </c>
      <c r="C274" s="95">
        <v>4393</v>
      </c>
      <c r="D274" s="95" t="s">
        <v>1064</v>
      </c>
      <c r="E274" s="129">
        <f>VLOOKUP($C274,'2021-22 School Level AAFTE'!$C:$Z,11,FALSE)</f>
        <v>0.35626666666666668</v>
      </c>
      <c r="F274" s="129" t="str">
        <f>VLOOKUP($C274,'2021-22 School Level AAFTE'!$C:$Z,8,FALSE)</f>
        <v>No</v>
      </c>
      <c r="G274" s="129" t="str">
        <f>VLOOKUP($C274,'2021-22 School Level AAFTE'!$C:$Z,12,FALSE)</f>
        <v>No</v>
      </c>
      <c r="H274" s="127">
        <f>VLOOKUP($C274,'2021-22 School Level AAFTE'!$C:$I,7,FALSE)</f>
        <v>369.71</v>
      </c>
      <c r="I274" s="112">
        <f>IFERROR(IF(OR(G274="yes",F274= "yes"),VLOOKUP(C274,Summary!$B:$J,6,0),0),0)</f>
        <v>0</v>
      </c>
      <c r="J274" s="111">
        <f t="shared" si="57"/>
        <v>0</v>
      </c>
      <c r="K274" s="91">
        <f>VLOOKUP($A274,'2022-23 Salary &amp; Benefits'!$A:$I,3,FALSE)</f>
        <v>1.18</v>
      </c>
      <c r="L274" s="91">
        <f>VLOOKUP($A274,'2022-23 Salary &amp; Benefits'!$A:$I,4,FALSE)</f>
        <v>1.18</v>
      </c>
      <c r="M274" s="39">
        <f t="shared" si="52"/>
        <v>0</v>
      </c>
      <c r="N274" s="24">
        <v>15</v>
      </c>
      <c r="O274" s="26">
        <f t="shared" si="55"/>
        <v>0</v>
      </c>
      <c r="P274" s="24">
        <v>1.1000000000000001</v>
      </c>
      <c r="Q274" s="24">
        <v>36</v>
      </c>
      <c r="R274" s="27">
        <f t="shared" si="56"/>
        <v>0</v>
      </c>
      <c r="S274" s="102">
        <f t="shared" si="58"/>
        <v>0</v>
      </c>
      <c r="T274" s="21">
        <f>VLOOKUP($A274,'2022-23 Salary &amp; Benefits'!$A:$I,5,FALSE)</f>
        <v>68937</v>
      </c>
      <c r="U274" s="21">
        <f>VLOOKUP($A274,'2022-23 Salary &amp; Benefits'!$A:$I,6,FALSE)</f>
        <v>72728</v>
      </c>
      <c r="V274" s="22">
        <f t="shared" si="59"/>
        <v>0</v>
      </c>
      <c r="W274" s="22">
        <f t="shared" si="60"/>
        <v>0</v>
      </c>
      <c r="X274" s="22">
        <f>'2022-23 Salary &amp; Benefits'!$G$6</f>
        <v>12558.24</v>
      </c>
      <c r="Y274" s="23">
        <f>'2022-23 Salary &amp; Benefits'!$H$6</f>
        <v>0.2298</v>
      </c>
      <c r="Z274" s="23">
        <f>'2022-23 Salary &amp; Benefits'!$I$6</f>
        <v>0.22339999999999999</v>
      </c>
      <c r="AA274" s="22">
        <f t="shared" si="61"/>
        <v>0</v>
      </c>
      <c r="AB274" s="22">
        <f t="shared" si="62"/>
        <v>0</v>
      </c>
      <c r="AC274" s="22">
        <f t="shared" si="63"/>
        <v>0</v>
      </c>
      <c r="AD274" s="22">
        <f t="shared" si="53"/>
        <v>0</v>
      </c>
      <c r="AE274" s="22">
        <f t="shared" si="54"/>
        <v>0</v>
      </c>
      <c r="AF274" s="19" t="str">
        <f>VLOOKUP(C274,'2021-22 School Level AAFTE'!C:N,12,FALSE)</f>
        <v>No</v>
      </c>
    </row>
    <row r="275" spans="1:32" s="19" customFormat="1">
      <c r="A275" s="97" t="s">
        <v>2374</v>
      </c>
      <c r="B275" s="97" t="s">
        <v>1050</v>
      </c>
      <c r="C275" s="95">
        <v>4444</v>
      </c>
      <c r="D275" s="95" t="s">
        <v>1065</v>
      </c>
      <c r="E275" s="129">
        <f>VLOOKUP($C275,'2021-22 School Level AAFTE'!$C:$Z,11,FALSE)</f>
        <v>0.22429999999999997</v>
      </c>
      <c r="F275" s="129" t="str">
        <f>VLOOKUP($C275,'2021-22 School Level AAFTE'!$C:$Z,8,FALSE)</f>
        <v>No</v>
      </c>
      <c r="G275" s="129" t="str">
        <f>VLOOKUP($C275,'2021-22 School Level AAFTE'!$C:$Z,12,FALSE)</f>
        <v>No</v>
      </c>
      <c r="H275" s="127">
        <f>VLOOKUP($C275,'2021-22 School Level AAFTE'!$C:$I,7,FALSE)</f>
        <v>444.57</v>
      </c>
      <c r="I275" s="112">
        <f>IFERROR(IF(OR(G275="yes",F275= "yes"),VLOOKUP(C275,Summary!$B:$J,6,0),0),0)</f>
        <v>0</v>
      </c>
      <c r="J275" s="111">
        <f t="shared" si="57"/>
        <v>0</v>
      </c>
      <c r="K275" s="91">
        <f>VLOOKUP($A275,'2022-23 Salary &amp; Benefits'!$A:$I,3,FALSE)</f>
        <v>1.18</v>
      </c>
      <c r="L275" s="91">
        <f>VLOOKUP($A275,'2022-23 Salary &amp; Benefits'!$A:$I,4,FALSE)</f>
        <v>1.18</v>
      </c>
      <c r="M275" s="39">
        <f t="shared" si="52"/>
        <v>0</v>
      </c>
      <c r="N275" s="24">
        <v>15</v>
      </c>
      <c r="O275" s="26">
        <f t="shared" si="55"/>
        <v>0</v>
      </c>
      <c r="P275" s="24">
        <v>1.1000000000000001</v>
      </c>
      <c r="Q275" s="24">
        <v>36</v>
      </c>
      <c r="R275" s="27">
        <f t="shared" si="56"/>
        <v>0</v>
      </c>
      <c r="S275" s="102">
        <f t="shared" si="58"/>
        <v>0</v>
      </c>
      <c r="T275" s="21">
        <f>VLOOKUP($A275,'2022-23 Salary &amp; Benefits'!$A:$I,5,FALSE)</f>
        <v>68937</v>
      </c>
      <c r="U275" s="21">
        <f>VLOOKUP($A275,'2022-23 Salary &amp; Benefits'!$A:$I,6,FALSE)</f>
        <v>72728</v>
      </c>
      <c r="V275" s="22">
        <f t="shared" si="59"/>
        <v>0</v>
      </c>
      <c r="W275" s="22">
        <f t="shared" si="60"/>
        <v>0</v>
      </c>
      <c r="X275" s="22">
        <f>'2022-23 Salary &amp; Benefits'!$G$6</f>
        <v>12558.24</v>
      </c>
      <c r="Y275" s="23">
        <f>'2022-23 Salary &amp; Benefits'!$H$6</f>
        <v>0.2298</v>
      </c>
      <c r="Z275" s="23">
        <f>'2022-23 Salary &amp; Benefits'!$I$6</f>
        <v>0.22339999999999999</v>
      </c>
      <c r="AA275" s="22">
        <f t="shared" si="61"/>
        <v>0</v>
      </c>
      <c r="AB275" s="22">
        <f t="shared" si="62"/>
        <v>0</v>
      </c>
      <c r="AC275" s="22">
        <f t="shared" si="63"/>
        <v>0</v>
      </c>
      <c r="AD275" s="22">
        <f t="shared" si="53"/>
        <v>0</v>
      </c>
      <c r="AE275" s="22">
        <f t="shared" si="54"/>
        <v>0</v>
      </c>
      <c r="AF275" s="19" t="str">
        <f>VLOOKUP(C275,'2021-22 School Level AAFTE'!C:N,12,FALSE)</f>
        <v>No</v>
      </c>
    </row>
    <row r="276" spans="1:32" s="19" customFormat="1">
      <c r="A276" s="97" t="s">
        <v>2374</v>
      </c>
      <c r="B276" s="97" t="s">
        <v>1050</v>
      </c>
      <c r="C276" s="95">
        <v>4509</v>
      </c>
      <c r="D276" s="95" t="s">
        <v>1066</v>
      </c>
      <c r="E276" s="129">
        <f>VLOOKUP($C276,'2021-22 School Level AAFTE'!$C:$Z,11,FALSE)</f>
        <v>0.27553333333333335</v>
      </c>
      <c r="F276" s="129" t="str">
        <f>VLOOKUP($C276,'2021-22 School Level AAFTE'!$C:$Z,8,FALSE)</f>
        <v>No</v>
      </c>
      <c r="G276" s="129" t="str">
        <f>VLOOKUP($C276,'2021-22 School Level AAFTE'!$C:$Z,12,FALSE)</f>
        <v>No</v>
      </c>
      <c r="H276" s="127">
        <f>VLOOKUP($C276,'2021-22 School Level AAFTE'!$C:$I,7,FALSE)</f>
        <v>938.17</v>
      </c>
      <c r="I276" s="112">
        <f>IFERROR(IF(OR(G276="yes",F276= "yes"),VLOOKUP(C276,Summary!$B:$J,6,0),0),0)</f>
        <v>0</v>
      </c>
      <c r="J276" s="111">
        <f t="shared" si="57"/>
        <v>0</v>
      </c>
      <c r="K276" s="91">
        <f>VLOOKUP($A276,'2022-23 Salary &amp; Benefits'!$A:$I,3,FALSE)</f>
        <v>1.18</v>
      </c>
      <c r="L276" s="91">
        <f>VLOOKUP($A276,'2022-23 Salary &amp; Benefits'!$A:$I,4,FALSE)</f>
        <v>1.18</v>
      </c>
      <c r="M276" s="101">
        <f t="shared" si="52"/>
        <v>0</v>
      </c>
      <c r="N276" s="24">
        <v>15</v>
      </c>
      <c r="O276" s="26">
        <f t="shared" si="55"/>
        <v>0</v>
      </c>
      <c r="P276" s="24">
        <v>1.1000000000000001</v>
      </c>
      <c r="Q276" s="24">
        <v>36</v>
      </c>
      <c r="R276" s="27">
        <f t="shared" si="56"/>
        <v>0</v>
      </c>
      <c r="S276" s="102">
        <f t="shared" si="58"/>
        <v>0</v>
      </c>
      <c r="T276" s="21">
        <f>VLOOKUP($A276,'2022-23 Salary &amp; Benefits'!$A:$I,5,FALSE)</f>
        <v>68937</v>
      </c>
      <c r="U276" s="21">
        <f>VLOOKUP($A276,'2022-23 Salary &amp; Benefits'!$A:$I,6,FALSE)</f>
        <v>72728</v>
      </c>
      <c r="V276" s="22">
        <f t="shared" si="59"/>
        <v>0</v>
      </c>
      <c r="W276" s="22">
        <f t="shared" si="60"/>
        <v>0</v>
      </c>
      <c r="X276" s="22">
        <f>'2022-23 Salary &amp; Benefits'!$G$6</f>
        <v>12558.24</v>
      </c>
      <c r="Y276" s="23">
        <f>'2022-23 Salary &amp; Benefits'!$H$6</f>
        <v>0.2298</v>
      </c>
      <c r="Z276" s="23">
        <f>'2022-23 Salary &amp; Benefits'!$I$6</f>
        <v>0.22339999999999999</v>
      </c>
      <c r="AA276" s="22">
        <f t="shared" si="61"/>
        <v>0</v>
      </c>
      <c r="AB276" s="22">
        <f t="shared" si="62"/>
        <v>0</v>
      </c>
      <c r="AC276" s="22">
        <f t="shared" si="63"/>
        <v>0</v>
      </c>
      <c r="AD276" s="22">
        <f t="shared" si="53"/>
        <v>0</v>
      </c>
      <c r="AE276" s="22">
        <f t="shared" si="54"/>
        <v>0</v>
      </c>
      <c r="AF276" s="19" t="str">
        <f>VLOOKUP(C276,'2021-22 School Level AAFTE'!C:N,12,FALSE)</f>
        <v>No</v>
      </c>
    </row>
    <row r="277" spans="1:32" s="19" customFormat="1">
      <c r="A277" s="97" t="s">
        <v>2374</v>
      </c>
      <c r="B277" s="97" t="s">
        <v>1050</v>
      </c>
      <c r="C277" s="95">
        <v>4527</v>
      </c>
      <c r="D277" s="95" t="s">
        <v>1067</v>
      </c>
      <c r="E277" s="129">
        <f>VLOOKUP($C277,'2021-22 School Level AAFTE'!$C:$Z,11,FALSE)</f>
        <v>0.4761333333333333</v>
      </c>
      <c r="F277" s="129" t="str">
        <f>VLOOKUP($C277,'2021-22 School Level AAFTE'!$C:$Z,8,FALSE)</f>
        <v>No</v>
      </c>
      <c r="G277" s="129" t="str">
        <f>VLOOKUP($C277,'2021-22 School Level AAFTE'!$C:$Z,12,FALSE)</f>
        <v>No</v>
      </c>
      <c r="H277" s="127">
        <f>VLOOKUP($C277,'2021-22 School Level AAFTE'!$C:$I,7,FALSE)</f>
        <v>354.14</v>
      </c>
      <c r="I277" s="112">
        <f>IFERROR(IF(OR(G277="yes",F277= "yes"),VLOOKUP(C277,Summary!$B:$J,6,0),0),0)</f>
        <v>0</v>
      </c>
      <c r="J277" s="111">
        <f t="shared" si="57"/>
        <v>0</v>
      </c>
      <c r="K277" s="91">
        <f>VLOOKUP($A277,'2022-23 Salary &amp; Benefits'!$A:$I,3,FALSE)</f>
        <v>1.18</v>
      </c>
      <c r="L277" s="91">
        <f>VLOOKUP($A277,'2022-23 Salary &amp; Benefits'!$A:$I,4,FALSE)</f>
        <v>1.18</v>
      </c>
      <c r="M277" s="101">
        <f t="shared" si="52"/>
        <v>0</v>
      </c>
      <c r="N277" s="24">
        <v>15</v>
      </c>
      <c r="O277" s="26">
        <f t="shared" si="55"/>
        <v>0</v>
      </c>
      <c r="P277" s="24">
        <v>1.1000000000000001</v>
      </c>
      <c r="Q277" s="24">
        <v>36</v>
      </c>
      <c r="R277" s="27">
        <f t="shared" si="56"/>
        <v>0</v>
      </c>
      <c r="S277" s="102">
        <f t="shared" si="58"/>
        <v>0</v>
      </c>
      <c r="T277" s="21">
        <f>VLOOKUP($A277,'2022-23 Salary &amp; Benefits'!$A:$I,5,FALSE)</f>
        <v>68937</v>
      </c>
      <c r="U277" s="21">
        <f>VLOOKUP($A277,'2022-23 Salary &amp; Benefits'!$A:$I,6,FALSE)</f>
        <v>72728</v>
      </c>
      <c r="V277" s="22">
        <f t="shared" si="59"/>
        <v>0</v>
      </c>
      <c r="W277" s="22">
        <f t="shared" si="60"/>
        <v>0</v>
      </c>
      <c r="X277" s="22">
        <f>'2022-23 Salary &amp; Benefits'!$G$6</f>
        <v>12558.24</v>
      </c>
      <c r="Y277" s="23">
        <f>'2022-23 Salary &amp; Benefits'!$H$6</f>
        <v>0.2298</v>
      </c>
      <c r="Z277" s="23">
        <f>'2022-23 Salary &amp; Benefits'!$I$6</f>
        <v>0.22339999999999999</v>
      </c>
      <c r="AA277" s="22">
        <f t="shared" si="61"/>
        <v>0</v>
      </c>
      <c r="AB277" s="22">
        <f t="shared" si="62"/>
        <v>0</v>
      </c>
      <c r="AC277" s="22">
        <f t="shared" si="63"/>
        <v>0</v>
      </c>
      <c r="AD277" s="22">
        <f t="shared" si="53"/>
        <v>0</v>
      </c>
      <c r="AE277" s="22">
        <f t="shared" si="54"/>
        <v>0</v>
      </c>
      <c r="AF277" s="19" t="str">
        <f>VLOOKUP(C277,'2021-22 School Level AAFTE'!C:N,12,FALSE)</f>
        <v>No</v>
      </c>
    </row>
    <row r="278" spans="1:32" s="19" customFormat="1">
      <c r="A278" s="97" t="s">
        <v>2374</v>
      </c>
      <c r="B278" s="97" t="s">
        <v>1050</v>
      </c>
      <c r="C278" s="95">
        <v>5472</v>
      </c>
      <c r="D278" s="95" t="s">
        <v>2716</v>
      </c>
      <c r="E278" s="129">
        <f>VLOOKUP($C278,'2021-22 School Level AAFTE'!$C:$Z,11,FALSE)</f>
        <v>0.41496666666666665</v>
      </c>
      <c r="F278" s="129" t="str">
        <f>VLOOKUP($C278,'2021-22 School Level AAFTE'!$C:$Z,8,FALSE)</f>
        <v>No</v>
      </c>
      <c r="G278" s="129" t="str">
        <f>VLOOKUP($C278,'2021-22 School Level AAFTE'!$C:$Z,12,FALSE)</f>
        <v>No</v>
      </c>
      <c r="H278" s="127">
        <f>VLOOKUP($C278,'2021-22 School Level AAFTE'!$C:$I,7,FALSE)</f>
        <v>702.8</v>
      </c>
      <c r="I278" s="112">
        <f>IFERROR(IF(OR(G278="yes",F278= "yes"),VLOOKUP(C278,Summary!$B:$J,6,0),0),0)</f>
        <v>0</v>
      </c>
      <c r="J278" s="111">
        <f t="shared" si="57"/>
        <v>0</v>
      </c>
      <c r="K278" s="91">
        <f>VLOOKUP($A278,'2022-23 Salary &amp; Benefits'!$A:$I,3,FALSE)</f>
        <v>1.18</v>
      </c>
      <c r="L278" s="91">
        <f>VLOOKUP($A278,'2022-23 Salary &amp; Benefits'!$A:$I,4,FALSE)</f>
        <v>1.18</v>
      </c>
      <c r="M278" s="101">
        <f t="shared" si="52"/>
        <v>0</v>
      </c>
      <c r="N278" s="24">
        <v>15</v>
      </c>
      <c r="O278" s="26">
        <f t="shared" si="55"/>
        <v>0</v>
      </c>
      <c r="P278" s="24">
        <v>1.1000000000000001</v>
      </c>
      <c r="Q278" s="24">
        <v>36</v>
      </c>
      <c r="R278" s="27">
        <f t="shared" si="56"/>
        <v>0</v>
      </c>
      <c r="S278" s="102">
        <f t="shared" si="58"/>
        <v>0</v>
      </c>
      <c r="T278" s="21">
        <f>VLOOKUP($A278,'2022-23 Salary &amp; Benefits'!$A:$I,5,FALSE)</f>
        <v>68937</v>
      </c>
      <c r="U278" s="21">
        <f>VLOOKUP($A278,'2022-23 Salary &amp; Benefits'!$A:$I,6,FALSE)</f>
        <v>72728</v>
      </c>
      <c r="V278" s="22">
        <f t="shared" si="59"/>
        <v>0</v>
      </c>
      <c r="W278" s="22">
        <f t="shared" si="60"/>
        <v>0</v>
      </c>
      <c r="X278" s="22">
        <f>'2022-23 Salary &amp; Benefits'!$G$6</f>
        <v>12558.24</v>
      </c>
      <c r="Y278" s="23">
        <f>'2022-23 Salary &amp; Benefits'!$H$6</f>
        <v>0.2298</v>
      </c>
      <c r="Z278" s="23">
        <f>'2022-23 Salary &amp; Benefits'!$I$6</f>
        <v>0.22339999999999999</v>
      </c>
      <c r="AA278" s="22">
        <f t="shared" si="61"/>
        <v>0</v>
      </c>
      <c r="AB278" s="22">
        <f t="shared" si="62"/>
        <v>0</v>
      </c>
      <c r="AC278" s="22">
        <f t="shared" si="63"/>
        <v>0</v>
      </c>
      <c r="AD278" s="22">
        <f t="shared" si="53"/>
        <v>0</v>
      </c>
      <c r="AE278" s="22">
        <f t="shared" si="54"/>
        <v>0</v>
      </c>
      <c r="AF278" s="19" t="str">
        <f>VLOOKUP(C278,'2021-22 School Level AAFTE'!C:N,12,FALSE)</f>
        <v>No</v>
      </c>
    </row>
    <row r="279" spans="1:32" s="19" customFormat="1">
      <c r="A279" s="97" t="s">
        <v>2492</v>
      </c>
      <c r="B279" s="97" t="s">
        <v>1849</v>
      </c>
      <c r="C279" s="95">
        <v>1964</v>
      </c>
      <c r="D279" s="95" t="s">
        <v>1850</v>
      </c>
      <c r="E279" s="129">
        <f>VLOOKUP($C279,'2021-22 School Level AAFTE'!$C:$Z,11,FALSE)</f>
        <v>0.20953333333333335</v>
      </c>
      <c r="F279" s="129" t="str">
        <f>VLOOKUP($C279,'2021-22 School Level AAFTE'!$C:$Z,8,FALSE)</f>
        <v>No</v>
      </c>
      <c r="G279" s="129" t="str">
        <f>VLOOKUP($C279,'2021-22 School Level AAFTE'!$C:$Z,12,FALSE)</f>
        <v>No</v>
      </c>
      <c r="H279" s="127">
        <f>VLOOKUP($C279,'2021-22 School Level AAFTE'!$C:$I,7,FALSE)</f>
        <v>44.43</v>
      </c>
      <c r="I279" s="112">
        <f>IFERROR(IF(OR(G279="yes",F279= "yes"),VLOOKUP(C279,Summary!$B:$J,6,0),0),0)</f>
        <v>0</v>
      </c>
      <c r="J279" s="111">
        <f t="shared" si="57"/>
        <v>0</v>
      </c>
      <c r="K279" s="91">
        <f>VLOOKUP($A279,'2022-23 Salary &amp; Benefits'!$A:$I,3,FALSE)</f>
        <v>1</v>
      </c>
      <c r="L279" s="91">
        <f>VLOOKUP($A279,'2022-23 Salary &amp; Benefits'!$A:$I,4,FALSE)</f>
        <v>1</v>
      </c>
      <c r="M279" s="101">
        <f t="shared" si="52"/>
        <v>0</v>
      </c>
      <c r="N279" s="24">
        <v>15</v>
      </c>
      <c r="O279" s="26">
        <f t="shared" si="55"/>
        <v>0</v>
      </c>
      <c r="P279" s="24">
        <v>1.1000000000000001</v>
      </c>
      <c r="Q279" s="24">
        <v>36</v>
      </c>
      <c r="R279" s="27">
        <f t="shared" si="56"/>
        <v>0</v>
      </c>
      <c r="S279" s="102">
        <f t="shared" si="58"/>
        <v>0</v>
      </c>
      <c r="T279" s="21">
        <f>VLOOKUP($A279,'2022-23 Salary &amp; Benefits'!$A:$I,5,FALSE)</f>
        <v>68937</v>
      </c>
      <c r="U279" s="21">
        <f>VLOOKUP($A279,'2022-23 Salary &amp; Benefits'!$A:$I,6,FALSE)</f>
        <v>72728</v>
      </c>
      <c r="V279" s="22">
        <f t="shared" si="59"/>
        <v>0</v>
      </c>
      <c r="W279" s="22">
        <f t="shared" si="60"/>
        <v>0</v>
      </c>
      <c r="X279" s="22">
        <f>'2022-23 Salary &amp; Benefits'!$G$6</f>
        <v>12558.24</v>
      </c>
      <c r="Y279" s="23">
        <f>'2022-23 Salary &amp; Benefits'!$H$6</f>
        <v>0.2298</v>
      </c>
      <c r="Z279" s="23">
        <f>'2022-23 Salary &amp; Benefits'!$I$6</f>
        <v>0.22339999999999999</v>
      </c>
      <c r="AA279" s="22">
        <f t="shared" si="61"/>
        <v>0</v>
      </c>
      <c r="AB279" s="22">
        <f t="shared" si="62"/>
        <v>0</v>
      </c>
      <c r="AC279" s="22">
        <f t="shared" si="63"/>
        <v>0</v>
      </c>
      <c r="AD279" s="22">
        <f t="shared" si="53"/>
        <v>0</v>
      </c>
      <c r="AE279" s="22">
        <f t="shared" si="54"/>
        <v>0</v>
      </c>
      <c r="AF279" s="19" t="str">
        <f>VLOOKUP(C279,'2021-22 School Level AAFTE'!C:N,12,FALSE)</f>
        <v>No</v>
      </c>
    </row>
    <row r="280" spans="1:32" s="19" customFormat="1">
      <c r="A280" s="97" t="s">
        <v>2492</v>
      </c>
      <c r="B280" s="97" t="s">
        <v>1849</v>
      </c>
      <c r="C280" s="95">
        <v>2113</v>
      </c>
      <c r="D280" s="95" t="s">
        <v>1851</v>
      </c>
      <c r="E280" s="129">
        <f>VLOOKUP($C280,'2021-22 School Level AAFTE'!$C:$Z,11,FALSE)</f>
        <v>0.61403333333333343</v>
      </c>
      <c r="F280" s="129" t="str">
        <f>VLOOKUP($C280,'2021-22 School Level AAFTE'!$C:$Z,8,FALSE)</f>
        <v>Yes</v>
      </c>
      <c r="G280" s="129" t="str">
        <f>VLOOKUP($C280,'2021-22 School Level AAFTE'!$C:$Z,12,FALSE)</f>
        <v>No</v>
      </c>
      <c r="H280" s="127">
        <f>VLOOKUP($C280,'2021-22 School Level AAFTE'!$C:$I,7,FALSE)</f>
        <v>600.88</v>
      </c>
      <c r="I280" s="112">
        <f>IFERROR(IF(OR(G280="yes",F280= "yes"),VLOOKUP(C280,Summary!$B:$J,6,0),0),0)</f>
        <v>0</v>
      </c>
      <c r="J280" s="111">
        <f t="shared" si="57"/>
        <v>600.88</v>
      </c>
      <c r="K280" s="91">
        <f>VLOOKUP($A280,'2022-23 Salary &amp; Benefits'!$A:$I,3,FALSE)</f>
        <v>1</v>
      </c>
      <c r="L280" s="91">
        <f>VLOOKUP($A280,'2022-23 Salary &amp; Benefits'!$A:$I,4,FALSE)</f>
        <v>1</v>
      </c>
      <c r="M280" s="101">
        <f t="shared" si="52"/>
        <v>600.88</v>
      </c>
      <c r="N280" s="24">
        <v>15</v>
      </c>
      <c r="O280" s="26">
        <f t="shared" si="55"/>
        <v>40.058666666666667</v>
      </c>
      <c r="P280" s="24">
        <v>1.1000000000000001</v>
      </c>
      <c r="Q280" s="24">
        <v>36</v>
      </c>
      <c r="R280" s="27">
        <f t="shared" si="56"/>
        <v>1586.3232</v>
      </c>
      <c r="S280" s="102">
        <f t="shared" si="58"/>
        <v>1.7629999999999999</v>
      </c>
      <c r="T280" s="21">
        <f>VLOOKUP($A280,'2022-23 Salary &amp; Benefits'!$A:$I,5,FALSE)</f>
        <v>68937</v>
      </c>
      <c r="U280" s="21">
        <f>VLOOKUP($A280,'2022-23 Salary &amp; Benefits'!$A:$I,6,FALSE)</f>
        <v>72728</v>
      </c>
      <c r="V280" s="22">
        <f t="shared" si="59"/>
        <v>121535.93</v>
      </c>
      <c r="W280" s="22">
        <f t="shared" si="60"/>
        <v>6683.5300000000134</v>
      </c>
      <c r="X280" s="22">
        <f>'2022-23 Salary &amp; Benefits'!$G$6</f>
        <v>12558.24</v>
      </c>
      <c r="Y280" s="23">
        <f>'2022-23 Salary &amp; Benefits'!$H$6</f>
        <v>0.2298</v>
      </c>
      <c r="Z280" s="23">
        <f>'2022-23 Salary &amp; Benefits'!$I$6</f>
        <v>0.22339999999999999</v>
      </c>
      <c r="AA280" s="22">
        <f t="shared" si="61"/>
        <v>51562.23</v>
      </c>
      <c r="AB280" s="22">
        <f t="shared" si="62"/>
        <v>2136.9899999999998</v>
      </c>
      <c r="AC280" s="22">
        <f t="shared" si="63"/>
        <v>477.4</v>
      </c>
      <c r="AD280" s="22">
        <f t="shared" si="53"/>
        <v>2614.39</v>
      </c>
      <c r="AE280" s="22">
        <f t="shared" si="54"/>
        <v>182396.08000000002</v>
      </c>
      <c r="AF280" s="19" t="str">
        <f>VLOOKUP(C280,'2021-22 School Level AAFTE'!C:N,12,FALSE)</f>
        <v>No</v>
      </c>
    </row>
    <row r="281" spans="1:32" s="19" customFormat="1">
      <c r="A281" s="97" t="s">
        <v>2492</v>
      </c>
      <c r="B281" s="97" t="s">
        <v>1849</v>
      </c>
      <c r="C281" s="95">
        <v>2157</v>
      </c>
      <c r="D281" s="95" t="s">
        <v>1852</v>
      </c>
      <c r="E281" s="129">
        <f>VLOOKUP($C281,'2021-22 School Level AAFTE'!$C:$Z,11,FALSE)</f>
        <v>0.44596666666666662</v>
      </c>
      <c r="F281" s="129" t="str">
        <f>VLOOKUP($C281,'2021-22 School Level AAFTE'!$C:$Z,8,FALSE)</f>
        <v>No</v>
      </c>
      <c r="G281" s="129" t="str">
        <f>VLOOKUP($C281,'2021-22 School Level AAFTE'!$C:$Z,12,FALSE)</f>
        <v>No</v>
      </c>
      <c r="H281" s="127">
        <f>VLOOKUP($C281,'2021-22 School Level AAFTE'!$C:$I,7,FALSE)</f>
        <v>568.86</v>
      </c>
      <c r="I281" s="112">
        <f>IFERROR(IF(OR(G281="yes",F281= "yes"),VLOOKUP(C281,Summary!$B:$J,6,0),0),0)</f>
        <v>0</v>
      </c>
      <c r="J281" s="111">
        <f t="shared" si="57"/>
        <v>0</v>
      </c>
      <c r="K281" s="91">
        <f>VLOOKUP($A281,'2022-23 Salary &amp; Benefits'!$A:$I,3,FALSE)</f>
        <v>1</v>
      </c>
      <c r="L281" s="91">
        <f>VLOOKUP($A281,'2022-23 Salary &amp; Benefits'!$A:$I,4,FALSE)</f>
        <v>1</v>
      </c>
      <c r="M281" s="39">
        <f t="shared" si="52"/>
        <v>0</v>
      </c>
      <c r="N281" s="24">
        <v>15</v>
      </c>
      <c r="O281" s="26">
        <f t="shared" si="55"/>
        <v>0</v>
      </c>
      <c r="P281" s="24">
        <v>1.1000000000000001</v>
      </c>
      <c r="Q281" s="24">
        <v>36</v>
      </c>
      <c r="R281" s="27">
        <f t="shared" si="56"/>
        <v>0</v>
      </c>
      <c r="S281" s="102">
        <f t="shared" si="58"/>
        <v>0</v>
      </c>
      <c r="T281" s="21">
        <f>VLOOKUP($A281,'2022-23 Salary &amp; Benefits'!$A:$I,5,FALSE)</f>
        <v>68937</v>
      </c>
      <c r="U281" s="21">
        <f>VLOOKUP($A281,'2022-23 Salary &amp; Benefits'!$A:$I,6,FALSE)</f>
        <v>72728</v>
      </c>
      <c r="V281" s="22">
        <f t="shared" si="59"/>
        <v>0</v>
      </c>
      <c r="W281" s="22">
        <f t="shared" si="60"/>
        <v>0</v>
      </c>
      <c r="X281" s="22">
        <f>'2022-23 Salary &amp; Benefits'!$G$6</f>
        <v>12558.24</v>
      </c>
      <c r="Y281" s="23">
        <f>'2022-23 Salary &amp; Benefits'!$H$6</f>
        <v>0.2298</v>
      </c>
      <c r="Z281" s="23">
        <f>'2022-23 Salary &amp; Benefits'!$I$6</f>
        <v>0.22339999999999999</v>
      </c>
      <c r="AA281" s="22">
        <f t="shared" si="61"/>
        <v>0</v>
      </c>
      <c r="AB281" s="22">
        <f t="shared" si="62"/>
        <v>0</v>
      </c>
      <c r="AC281" s="22">
        <f t="shared" si="63"/>
        <v>0</v>
      </c>
      <c r="AD281" s="22">
        <f t="shared" si="53"/>
        <v>0</v>
      </c>
      <c r="AE281" s="22">
        <f t="shared" si="54"/>
        <v>0</v>
      </c>
      <c r="AF281" s="19" t="str">
        <f>VLOOKUP(C281,'2021-22 School Level AAFTE'!C:N,12,FALSE)</f>
        <v>No</v>
      </c>
    </row>
    <row r="282" spans="1:32" s="19" customFormat="1">
      <c r="A282" s="97" t="s">
        <v>2492</v>
      </c>
      <c r="B282" s="97" t="s">
        <v>1849</v>
      </c>
      <c r="C282" s="95">
        <v>2776</v>
      </c>
      <c r="D282" s="95" t="s">
        <v>1853</v>
      </c>
      <c r="E282" s="129">
        <f>VLOOKUP($C282,'2021-22 School Level AAFTE'!$C:$Z,11,FALSE)</f>
        <v>0.63496666666666668</v>
      </c>
      <c r="F282" s="129" t="str">
        <f>VLOOKUP($C282,'2021-22 School Level AAFTE'!$C:$Z,8,FALSE)</f>
        <v>Yes</v>
      </c>
      <c r="G282" s="129" t="str">
        <f>VLOOKUP($C282,'2021-22 School Level AAFTE'!$C:$Z,12,FALSE)</f>
        <v>No</v>
      </c>
      <c r="H282" s="127">
        <f>VLOOKUP($C282,'2021-22 School Level AAFTE'!$C:$I,7,FALSE)</f>
        <v>508.98</v>
      </c>
      <c r="I282" s="112">
        <f>IFERROR(IF(OR(G282="yes",F282= "yes"),VLOOKUP(C282,Summary!$B:$J,6,0),0),0)</f>
        <v>0</v>
      </c>
      <c r="J282" s="111">
        <f t="shared" si="57"/>
        <v>508.98</v>
      </c>
      <c r="K282" s="91">
        <f>VLOOKUP($A282,'2022-23 Salary &amp; Benefits'!$A:$I,3,FALSE)</f>
        <v>1</v>
      </c>
      <c r="L282" s="91">
        <f>VLOOKUP($A282,'2022-23 Salary &amp; Benefits'!$A:$I,4,FALSE)</f>
        <v>1</v>
      </c>
      <c r="M282" s="39">
        <f t="shared" si="52"/>
        <v>508.98</v>
      </c>
      <c r="N282" s="24">
        <v>15</v>
      </c>
      <c r="O282" s="26">
        <f t="shared" si="55"/>
        <v>33.932000000000002</v>
      </c>
      <c r="P282" s="24">
        <v>1.1000000000000001</v>
      </c>
      <c r="Q282" s="24">
        <v>36</v>
      </c>
      <c r="R282" s="27">
        <f t="shared" si="56"/>
        <v>1343.7072000000001</v>
      </c>
      <c r="S282" s="102">
        <f t="shared" si="58"/>
        <v>1.4930000000000001</v>
      </c>
      <c r="T282" s="21">
        <f>VLOOKUP($A282,'2022-23 Salary &amp; Benefits'!$A:$I,5,FALSE)</f>
        <v>68937</v>
      </c>
      <c r="U282" s="21">
        <f>VLOOKUP($A282,'2022-23 Salary &amp; Benefits'!$A:$I,6,FALSE)</f>
        <v>72728</v>
      </c>
      <c r="V282" s="22">
        <f t="shared" si="59"/>
        <v>102922.94</v>
      </c>
      <c r="W282" s="22">
        <f t="shared" si="60"/>
        <v>5659.9599999999919</v>
      </c>
      <c r="X282" s="22">
        <f>'2022-23 Salary &amp; Benefits'!$G$6</f>
        <v>12558.24</v>
      </c>
      <c r="Y282" s="23">
        <f>'2022-23 Salary &amp; Benefits'!$H$6</f>
        <v>0.2298</v>
      </c>
      <c r="Z282" s="23">
        <f>'2022-23 Salary &amp; Benefits'!$I$6</f>
        <v>0.22339999999999999</v>
      </c>
      <c r="AA282" s="22">
        <f t="shared" si="61"/>
        <v>43665.58</v>
      </c>
      <c r="AB282" s="22">
        <f t="shared" si="62"/>
        <v>1809.72</v>
      </c>
      <c r="AC282" s="22">
        <f t="shared" si="63"/>
        <v>404.29</v>
      </c>
      <c r="AD282" s="22">
        <f t="shared" si="53"/>
        <v>2214.0100000000002</v>
      </c>
      <c r="AE282" s="22">
        <f t="shared" si="54"/>
        <v>154462.49000000002</v>
      </c>
      <c r="AF282" s="19" t="str">
        <f>VLOOKUP(C282,'2021-22 School Level AAFTE'!C:N,12,FALSE)</f>
        <v>No</v>
      </c>
    </row>
    <row r="283" spans="1:32" s="19" customFormat="1">
      <c r="A283" s="97" t="s">
        <v>2492</v>
      </c>
      <c r="B283" s="97" t="s">
        <v>1849</v>
      </c>
      <c r="C283" s="95">
        <v>2892</v>
      </c>
      <c r="D283" s="95" t="s">
        <v>1854</v>
      </c>
      <c r="E283" s="129">
        <f>VLOOKUP($C283,'2021-22 School Level AAFTE'!$C:$Z,11,FALSE)</f>
        <v>0.64516666666666667</v>
      </c>
      <c r="F283" s="129" t="str">
        <f>VLOOKUP($C283,'2021-22 School Level AAFTE'!$C:$Z,8,FALSE)</f>
        <v>Yes</v>
      </c>
      <c r="G283" s="129" t="str">
        <f>VLOOKUP($C283,'2021-22 School Level AAFTE'!$C:$Z,12,FALSE)</f>
        <v>No</v>
      </c>
      <c r="H283" s="127">
        <f>VLOOKUP($C283,'2021-22 School Level AAFTE'!$C:$I,7,FALSE)</f>
        <v>284.44</v>
      </c>
      <c r="I283" s="112">
        <f>IFERROR(IF(OR(G283="yes",F283= "yes"),VLOOKUP(C283,Summary!$B:$J,6,0),0),0)</f>
        <v>0</v>
      </c>
      <c r="J283" s="111">
        <f t="shared" si="57"/>
        <v>284.44</v>
      </c>
      <c r="K283" s="91">
        <f>VLOOKUP($A283,'2022-23 Salary &amp; Benefits'!$A:$I,3,FALSE)</f>
        <v>1</v>
      </c>
      <c r="L283" s="91">
        <f>VLOOKUP($A283,'2022-23 Salary &amp; Benefits'!$A:$I,4,FALSE)</f>
        <v>1</v>
      </c>
      <c r="M283" s="39">
        <f t="shared" si="52"/>
        <v>284.44</v>
      </c>
      <c r="N283" s="24">
        <v>15</v>
      </c>
      <c r="O283" s="26">
        <f t="shared" si="55"/>
        <v>18.962666666666667</v>
      </c>
      <c r="P283" s="24">
        <v>1.1000000000000001</v>
      </c>
      <c r="Q283" s="24">
        <v>36</v>
      </c>
      <c r="R283" s="27">
        <f t="shared" si="56"/>
        <v>750.92160000000013</v>
      </c>
      <c r="S283" s="102">
        <f t="shared" si="58"/>
        <v>0.83399999999999996</v>
      </c>
      <c r="T283" s="21">
        <f>VLOOKUP($A283,'2022-23 Salary &amp; Benefits'!$A:$I,5,FALSE)</f>
        <v>68937</v>
      </c>
      <c r="U283" s="21">
        <f>VLOOKUP($A283,'2022-23 Salary &amp; Benefits'!$A:$I,6,FALSE)</f>
        <v>72728</v>
      </c>
      <c r="V283" s="22">
        <f t="shared" si="59"/>
        <v>57493.46</v>
      </c>
      <c r="W283" s="22">
        <f t="shared" si="60"/>
        <v>3161.6900000000023</v>
      </c>
      <c r="X283" s="22">
        <f>'2022-23 Salary &amp; Benefits'!$G$6</f>
        <v>12558.24</v>
      </c>
      <c r="Y283" s="23">
        <f>'2022-23 Salary &amp; Benefits'!$H$6</f>
        <v>0.2298</v>
      </c>
      <c r="Z283" s="23">
        <f>'2022-23 Salary &amp; Benefits'!$I$6</f>
        <v>0.22339999999999999</v>
      </c>
      <c r="AA283" s="22">
        <f t="shared" si="61"/>
        <v>24391.89</v>
      </c>
      <c r="AB283" s="22">
        <f t="shared" si="62"/>
        <v>1010.92</v>
      </c>
      <c r="AC283" s="22">
        <f t="shared" si="63"/>
        <v>225.84</v>
      </c>
      <c r="AD283" s="22">
        <f t="shared" si="53"/>
        <v>1236.76</v>
      </c>
      <c r="AE283" s="22">
        <f t="shared" si="54"/>
        <v>86283.8</v>
      </c>
      <c r="AF283" s="19" t="str">
        <f>VLOOKUP(C283,'2021-22 School Level AAFTE'!C:N,12,FALSE)</f>
        <v>No</v>
      </c>
    </row>
    <row r="284" spans="1:32" s="19" customFormat="1">
      <c r="A284" s="97" t="s">
        <v>2492</v>
      </c>
      <c r="B284" s="97" t="s">
        <v>1849</v>
      </c>
      <c r="C284" s="95">
        <v>2953</v>
      </c>
      <c r="D284" s="95" t="s">
        <v>1855</v>
      </c>
      <c r="E284" s="129">
        <f>VLOOKUP($C284,'2021-22 School Level AAFTE'!$C:$Z,11,FALSE)</f>
        <v>0.57883333333333342</v>
      </c>
      <c r="F284" s="129" t="str">
        <f>VLOOKUP($C284,'2021-22 School Level AAFTE'!$C:$Z,8,FALSE)</f>
        <v>Yes</v>
      </c>
      <c r="G284" s="129" t="str">
        <f>VLOOKUP($C284,'2021-22 School Level AAFTE'!$C:$Z,12,FALSE)</f>
        <v>No</v>
      </c>
      <c r="H284" s="127">
        <f>VLOOKUP($C284,'2021-22 School Level AAFTE'!$C:$I,7,FALSE)</f>
        <v>221.87</v>
      </c>
      <c r="I284" s="112">
        <f>IFERROR(IF(OR(G284="yes",F284= "yes"),VLOOKUP(C284,Summary!$B:$J,6,0),0),0)</f>
        <v>0</v>
      </c>
      <c r="J284" s="111">
        <f t="shared" si="57"/>
        <v>221.87</v>
      </c>
      <c r="K284" s="91">
        <f>VLOOKUP($A284,'2022-23 Salary &amp; Benefits'!$A:$I,3,FALSE)</f>
        <v>1</v>
      </c>
      <c r="L284" s="91">
        <f>VLOOKUP($A284,'2022-23 Salary &amp; Benefits'!$A:$I,4,FALSE)</f>
        <v>1</v>
      </c>
      <c r="M284" s="39">
        <f t="shared" si="52"/>
        <v>221.87</v>
      </c>
      <c r="N284" s="24">
        <v>15</v>
      </c>
      <c r="O284" s="26">
        <f t="shared" si="55"/>
        <v>14.791333333333334</v>
      </c>
      <c r="P284" s="24">
        <v>1.1000000000000001</v>
      </c>
      <c r="Q284" s="24">
        <v>36</v>
      </c>
      <c r="R284" s="27">
        <f t="shared" si="56"/>
        <v>585.73680000000002</v>
      </c>
      <c r="S284" s="102">
        <f t="shared" si="58"/>
        <v>0.65100000000000002</v>
      </c>
      <c r="T284" s="21">
        <f>VLOOKUP($A284,'2022-23 Salary &amp; Benefits'!$A:$I,5,FALSE)</f>
        <v>68937</v>
      </c>
      <c r="U284" s="21">
        <f>VLOOKUP($A284,'2022-23 Salary &amp; Benefits'!$A:$I,6,FALSE)</f>
        <v>72728</v>
      </c>
      <c r="V284" s="22">
        <f t="shared" si="59"/>
        <v>44877.99</v>
      </c>
      <c r="W284" s="22">
        <f t="shared" si="60"/>
        <v>2467.9400000000023</v>
      </c>
      <c r="X284" s="22">
        <f>'2022-23 Salary &amp; Benefits'!$G$6</f>
        <v>12558.24</v>
      </c>
      <c r="Y284" s="23">
        <f>'2022-23 Salary &amp; Benefits'!$H$6</f>
        <v>0.2298</v>
      </c>
      <c r="Z284" s="23">
        <f>'2022-23 Salary &amp; Benefits'!$I$6</f>
        <v>0.22339999999999999</v>
      </c>
      <c r="AA284" s="22">
        <f t="shared" si="61"/>
        <v>19039.71</v>
      </c>
      <c r="AB284" s="22">
        <f t="shared" si="62"/>
        <v>789.1</v>
      </c>
      <c r="AC284" s="22">
        <f t="shared" si="63"/>
        <v>176.28</v>
      </c>
      <c r="AD284" s="22">
        <f t="shared" si="53"/>
        <v>965.38</v>
      </c>
      <c r="AE284" s="22">
        <f t="shared" si="54"/>
        <v>67351.02</v>
      </c>
      <c r="AF284" s="19" t="str">
        <f>VLOOKUP(C284,'2021-22 School Level AAFTE'!C:N,12,FALSE)</f>
        <v>No</v>
      </c>
    </row>
    <row r="285" spans="1:32" s="19" customFormat="1">
      <c r="A285" s="97" t="s">
        <v>2492</v>
      </c>
      <c r="B285" s="97" t="s">
        <v>1849</v>
      </c>
      <c r="C285" s="95">
        <v>3064</v>
      </c>
      <c r="D285" s="95" t="s">
        <v>1856</v>
      </c>
      <c r="E285" s="129">
        <f>VLOOKUP($C285,'2021-22 School Level AAFTE'!$C:$Z,11,FALSE)</f>
        <v>0.4753</v>
      </c>
      <c r="F285" s="129" t="str">
        <f>VLOOKUP($C285,'2021-22 School Level AAFTE'!$C:$Z,8,FALSE)</f>
        <v>No</v>
      </c>
      <c r="G285" s="129" t="str">
        <f>VLOOKUP($C285,'2021-22 School Level AAFTE'!$C:$Z,12,FALSE)</f>
        <v>No</v>
      </c>
      <c r="H285" s="127">
        <f>VLOOKUP($C285,'2021-22 School Level AAFTE'!$C:$I,7,FALSE)</f>
        <v>292.18</v>
      </c>
      <c r="I285" s="112">
        <f>IFERROR(IF(OR(G285="yes",F285= "yes"),VLOOKUP(C285,Summary!$B:$J,6,0),0),0)</f>
        <v>0</v>
      </c>
      <c r="J285" s="111">
        <f t="shared" si="57"/>
        <v>0</v>
      </c>
      <c r="K285" s="91">
        <f>VLOOKUP($A285,'2022-23 Salary &amp; Benefits'!$A:$I,3,FALSE)</f>
        <v>1</v>
      </c>
      <c r="L285" s="91">
        <f>VLOOKUP($A285,'2022-23 Salary &amp; Benefits'!$A:$I,4,FALSE)</f>
        <v>1</v>
      </c>
      <c r="M285" s="39">
        <f t="shared" si="52"/>
        <v>0</v>
      </c>
      <c r="N285" s="24">
        <v>15</v>
      </c>
      <c r="O285" s="26">
        <f t="shared" si="55"/>
        <v>0</v>
      </c>
      <c r="P285" s="24">
        <v>1.1000000000000001</v>
      </c>
      <c r="Q285" s="24">
        <v>36</v>
      </c>
      <c r="R285" s="27">
        <f t="shared" si="56"/>
        <v>0</v>
      </c>
      <c r="S285" s="102">
        <f t="shared" si="58"/>
        <v>0</v>
      </c>
      <c r="T285" s="21">
        <f>VLOOKUP($A285,'2022-23 Salary &amp; Benefits'!$A:$I,5,FALSE)</f>
        <v>68937</v>
      </c>
      <c r="U285" s="21">
        <f>VLOOKUP($A285,'2022-23 Salary &amp; Benefits'!$A:$I,6,FALSE)</f>
        <v>72728</v>
      </c>
      <c r="V285" s="22">
        <f t="shared" si="59"/>
        <v>0</v>
      </c>
      <c r="W285" s="22">
        <f t="shared" si="60"/>
        <v>0</v>
      </c>
      <c r="X285" s="22">
        <f>'2022-23 Salary &amp; Benefits'!$G$6</f>
        <v>12558.24</v>
      </c>
      <c r="Y285" s="23">
        <f>'2022-23 Salary &amp; Benefits'!$H$6</f>
        <v>0.2298</v>
      </c>
      <c r="Z285" s="23">
        <f>'2022-23 Salary &amp; Benefits'!$I$6</f>
        <v>0.22339999999999999</v>
      </c>
      <c r="AA285" s="22">
        <f t="shared" si="61"/>
        <v>0</v>
      </c>
      <c r="AB285" s="22">
        <f t="shared" si="62"/>
        <v>0</v>
      </c>
      <c r="AC285" s="22">
        <f t="shared" si="63"/>
        <v>0</v>
      </c>
      <c r="AD285" s="22">
        <f t="shared" si="53"/>
        <v>0</v>
      </c>
      <c r="AE285" s="22">
        <f t="shared" si="54"/>
        <v>0</v>
      </c>
      <c r="AF285" s="19" t="str">
        <f>VLOOKUP(C285,'2021-22 School Level AAFTE'!C:N,12,FALSE)</f>
        <v>No</v>
      </c>
    </row>
    <row r="286" spans="1:32" s="19" customFormat="1">
      <c r="A286" s="97" t="s">
        <v>2492</v>
      </c>
      <c r="B286" s="97" t="s">
        <v>1849</v>
      </c>
      <c r="C286" s="95">
        <v>3065</v>
      </c>
      <c r="D286" s="95" t="s">
        <v>1857</v>
      </c>
      <c r="E286" s="129">
        <f>VLOOKUP($C286,'2021-22 School Level AAFTE'!$C:$Z,11,FALSE)</f>
        <v>0.26196666666666668</v>
      </c>
      <c r="F286" s="129" t="str">
        <f>VLOOKUP($C286,'2021-22 School Level AAFTE'!$C:$Z,8,FALSE)</f>
        <v>No</v>
      </c>
      <c r="G286" s="129" t="str">
        <f>VLOOKUP($C286,'2021-22 School Level AAFTE'!$C:$Z,12,FALSE)</f>
        <v>No</v>
      </c>
      <c r="H286" s="127">
        <f>VLOOKUP($C286,'2021-22 School Level AAFTE'!$C:$I,7,FALSE)</f>
        <v>1535.27</v>
      </c>
      <c r="I286" s="112">
        <f>IFERROR(IF(OR(G286="yes",F286= "yes"),VLOOKUP(C286,Summary!$B:$J,6,0),0),0)</f>
        <v>0</v>
      </c>
      <c r="J286" s="111">
        <f t="shared" si="57"/>
        <v>0</v>
      </c>
      <c r="K286" s="91">
        <f>VLOOKUP($A286,'2022-23 Salary &amp; Benefits'!$A:$I,3,FALSE)</f>
        <v>1</v>
      </c>
      <c r="L286" s="91">
        <f>VLOOKUP($A286,'2022-23 Salary &amp; Benefits'!$A:$I,4,FALSE)</f>
        <v>1</v>
      </c>
      <c r="M286" s="101">
        <f t="shared" si="52"/>
        <v>0</v>
      </c>
      <c r="N286" s="24">
        <v>15</v>
      </c>
      <c r="O286" s="26">
        <f t="shared" si="55"/>
        <v>0</v>
      </c>
      <c r="P286" s="24">
        <v>1.1000000000000001</v>
      </c>
      <c r="Q286" s="24">
        <v>36</v>
      </c>
      <c r="R286" s="27">
        <f t="shared" si="56"/>
        <v>0</v>
      </c>
      <c r="S286" s="102">
        <f t="shared" si="58"/>
        <v>0</v>
      </c>
      <c r="T286" s="21">
        <f>VLOOKUP($A286,'2022-23 Salary &amp; Benefits'!$A:$I,5,FALSE)</f>
        <v>68937</v>
      </c>
      <c r="U286" s="21">
        <f>VLOOKUP($A286,'2022-23 Salary &amp; Benefits'!$A:$I,6,FALSE)</f>
        <v>72728</v>
      </c>
      <c r="V286" s="22">
        <f t="shared" si="59"/>
        <v>0</v>
      </c>
      <c r="W286" s="22">
        <f t="shared" si="60"/>
        <v>0</v>
      </c>
      <c r="X286" s="22">
        <f>'2022-23 Salary &amp; Benefits'!$G$6</f>
        <v>12558.24</v>
      </c>
      <c r="Y286" s="23">
        <f>'2022-23 Salary &amp; Benefits'!$H$6</f>
        <v>0.2298</v>
      </c>
      <c r="Z286" s="23">
        <f>'2022-23 Salary &amp; Benefits'!$I$6</f>
        <v>0.22339999999999999</v>
      </c>
      <c r="AA286" s="22">
        <f t="shared" si="61"/>
        <v>0</v>
      </c>
      <c r="AB286" s="22">
        <f t="shared" si="62"/>
        <v>0</v>
      </c>
      <c r="AC286" s="22">
        <f t="shared" si="63"/>
        <v>0</v>
      </c>
      <c r="AD286" s="22">
        <f t="shared" si="53"/>
        <v>0</v>
      </c>
      <c r="AE286" s="22">
        <f t="shared" si="54"/>
        <v>0</v>
      </c>
      <c r="AF286" s="19" t="str">
        <f>VLOOKUP(C286,'2021-22 School Level AAFTE'!C:N,12,FALSE)</f>
        <v>No</v>
      </c>
    </row>
    <row r="287" spans="1:32" s="19" customFormat="1">
      <c r="A287" s="97" t="s">
        <v>2492</v>
      </c>
      <c r="B287" s="97" t="s">
        <v>1849</v>
      </c>
      <c r="C287" s="95">
        <v>3127</v>
      </c>
      <c r="D287" s="95" t="s">
        <v>1858</v>
      </c>
      <c r="E287" s="129">
        <f>VLOOKUP($C287,'2021-22 School Level AAFTE'!$C:$Z,11,FALSE)</f>
        <v>0.5036666666666666</v>
      </c>
      <c r="F287" s="129" t="str">
        <f>VLOOKUP($C287,'2021-22 School Level AAFTE'!$C:$Z,8,FALSE)</f>
        <v>Yes</v>
      </c>
      <c r="G287" s="129" t="str">
        <f>VLOOKUP($C287,'2021-22 School Level AAFTE'!$C:$Z,12,FALSE)</f>
        <v>No</v>
      </c>
      <c r="H287" s="127">
        <f>VLOOKUP($C287,'2021-22 School Level AAFTE'!$C:$I,7,FALSE)</f>
        <v>288.63</v>
      </c>
      <c r="I287" s="112">
        <f>IFERROR(IF(OR(G287="yes",F287= "yes"),VLOOKUP(C287,Summary!$B:$J,6,0),0),0)</f>
        <v>0</v>
      </c>
      <c r="J287" s="111">
        <f t="shared" si="57"/>
        <v>288.63</v>
      </c>
      <c r="K287" s="91">
        <f>VLOOKUP($A287,'2022-23 Salary &amp; Benefits'!$A:$I,3,FALSE)</f>
        <v>1</v>
      </c>
      <c r="L287" s="91">
        <f>VLOOKUP($A287,'2022-23 Salary &amp; Benefits'!$A:$I,4,FALSE)</f>
        <v>1</v>
      </c>
      <c r="M287" s="39">
        <f t="shared" si="52"/>
        <v>288.63</v>
      </c>
      <c r="N287" s="24">
        <v>15</v>
      </c>
      <c r="O287" s="26">
        <f t="shared" si="55"/>
        <v>19.242000000000001</v>
      </c>
      <c r="P287" s="24">
        <v>1.1000000000000001</v>
      </c>
      <c r="Q287" s="24">
        <v>36</v>
      </c>
      <c r="R287" s="27">
        <f t="shared" si="56"/>
        <v>761.98320000000012</v>
      </c>
      <c r="S287" s="102">
        <f t="shared" si="58"/>
        <v>0.84699999999999998</v>
      </c>
      <c r="T287" s="21">
        <f>VLOOKUP($A287,'2022-23 Salary &amp; Benefits'!$A:$I,5,FALSE)</f>
        <v>68937</v>
      </c>
      <c r="U287" s="21">
        <f>VLOOKUP($A287,'2022-23 Salary &amp; Benefits'!$A:$I,6,FALSE)</f>
        <v>72728</v>
      </c>
      <c r="V287" s="22">
        <f t="shared" si="59"/>
        <v>58389.64</v>
      </c>
      <c r="W287" s="22">
        <f t="shared" si="60"/>
        <v>3210.9800000000032</v>
      </c>
      <c r="X287" s="22">
        <f>'2022-23 Salary &amp; Benefits'!$G$6</f>
        <v>12558.24</v>
      </c>
      <c r="Y287" s="23">
        <f>'2022-23 Salary &amp; Benefits'!$H$6</f>
        <v>0.2298</v>
      </c>
      <c r="Z287" s="23">
        <f>'2022-23 Salary &amp; Benefits'!$I$6</f>
        <v>0.22339999999999999</v>
      </c>
      <c r="AA287" s="22">
        <f t="shared" si="61"/>
        <v>24772.1</v>
      </c>
      <c r="AB287" s="22">
        <f t="shared" si="62"/>
        <v>1026.68</v>
      </c>
      <c r="AC287" s="22">
        <f t="shared" si="63"/>
        <v>229.36</v>
      </c>
      <c r="AD287" s="22">
        <f t="shared" si="53"/>
        <v>1256.04</v>
      </c>
      <c r="AE287" s="22">
        <f t="shared" si="54"/>
        <v>87628.76</v>
      </c>
      <c r="AF287" s="19" t="str">
        <f>VLOOKUP(C287,'2021-22 School Level AAFTE'!C:N,12,FALSE)</f>
        <v>No</v>
      </c>
    </row>
    <row r="288" spans="1:32" s="19" customFormat="1">
      <c r="A288" s="97" t="s">
        <v>2492</v>
      </c>
      <c r="B288" s="97" t="s">
        <v>1849</v>
      </c>
      <c r="C288" s="95">
        <v>3259</v>
      </c>
      <c r="D288" s="95" t="s">
        <v>1788</v>
      </c>
      <c r="E288" s="129">
        <f>VLOOKUP($C288,'2021-22 School Level AAFTE'!$C:$Z,11,FALSE)</f>
        <v>0.50223333333333331</v>
      </c>
      <c r="F288" s="129" t="str">
        <f>VLOOKUP($C288,'2021-22 School Level AAFTE'!$C:$Z,8,FALSE)</f>
        <v>Yes</v>
      </c>
      <c r="G288" s="129" t="str">
        <f>VLOOKUP($C288,'2021-22 School Level AAFTE'!$C:$Z,12,FALSE)</f>
        <v>No</v>
      </c>
      <c r="H288" s="127">
        <f>VLOOKUP($C288,'2021-22 School Level AAFTE'!$C:$I,7,FALSE)</f>
        <v>346.88</v>
      </c>
      <c r="I288" s="112">
        <f>IFERROR(IF(OR(G288="yes",F288= "yes"),VLOOKUP(C288,Summary!$B:$J,6,0),0),0)</f>
        <v>0</v>
      </c>
      <c r="J288" s="111">
        <f t="shared" si="57"/>
        <v>346.88</v>
      </c>
      <c r="K288" s="91">
        <f>VLOOKUP($A288,'2022-23 Salary &amp; Benefits'!$A:$I,3,FALSE)</f>
        <v>1</v>
      </c>
      <c r="L288" s="91">
        <f>VLOOKUP($A288,'2022-23 Salary &amp; Benefits'!$A:$I,4,FALSE)</f>
        <v>1</v>
      </c>
      <c r="M288" s="39">
        <f t="shared" si="52"/>
        <v>346.88</v>
      </c>
      <c r="N288" s="24">
        <v>15</v>
      </c>
      <c r="O288" s="26">
        <f t="shared" si="55"/>
        <v>23.125333333333334</v>
      </c>
      <c r="P288" s="24">
        <v>1.1000000000000001</v>
      </c>
      <c r="Q288" s="24">
        <v>36</v>
      </c>
      <c r="R288" s="27">
        <f t="shared" si="56"/>
        <v>915.7632000000001</v>
      </c>
      <c r="S288" s="102">
        <f t="shared" si="58"/>
        <v>1.018</v>
      </c>
      <c r="T288" s="21">
        <f>VLOOKUP($A288,'2022-23 Salary &amp; Benefits'!$A:$I,5,FALSE)</f>
        <v>68937</v>
      </c>
      <c r="U288" s="21">
        <f>VLOOKUP($A288,'2022-23 Salary &amp; Benefits'!$A:$I,6,FALSE)</f>
        <v>72728</v>
      </c>
      <c r="V288" s="22">
        <f t="shared" si="59"/>
        <v>70177.87</v>
      </c>
      <c r="W288" s="22">
        <f t="shared" si="60"/>
        <v>3859.2300000000105</v>
      </c>
      <c r="X288" s="22">
        <f>'2022-23 Salary &amp; Benefits'!$G$6</f>
        <v>12558.24</v>
      </c>
      <c r="Y288" s="23">
        <f>'2022-23 Salary &amp; Benefits'!$H$6</f>
        <v>0.2298</v>
      </c>
      <c r="Z288" s="23">
        <f>'2022-23 Salary &amp; Benefits'!$I$6</f>
        <v>0.22339999999999999</v>
      </c>
      <c r="AA288" s="22">
        <f t="shared" si="61"/>
        <v>29773.31</v>
      </c>
      <c r="AB288" s="22">
        <f t="shared" si="62"/>
        <v>1233.95</v>
      </c>
      <c r="AC288" s="22">
        <f t="shared" si="63"/>
        <v>275.66000000000003</v>
      </c>
      <c r="AD288" s="22">
        <f t="shared" si="53"/>
        <v>1509.6100000000001</v>
      </c>
      <c r="AE288" s="22">
        <f t="shared" si="54"/>
        <v>105320.02</v>
      </c>
      <c r="AF288" s="19" t="str">
        <f>VLOOKUP(C288,'2021-22 School Level AAFTE'!C:N,12,FALSE)</f>
        <v>No</v>
      </c>
    </row>
    <row r="289" spans="1:284" s="19" customFormat="1">
      <c r="A289" s="97" t="s">
        <v>2492</v>
      </c>
      <c r="B289" s="97" t="s">
        <v>1849</v>
      </c>
      <c r="C289" s="95">
        <v>3260</v>
      </c>
      <c r="D289" s="95" t="s">
        <v>1859</v>
      </c>
      <c r="E289" s="129">
        <f>VLOOKUP($C289,'2021-22 School Level AAFTE'!$C:$Z,11,FALSE)</f>
        <v>0.53036666666666665</v>
      </c>
      <c r="F289" s="129" t="str">
        <f>VLOOKUP($C289,'2021-22 School Level AAFTE'!$C:$Z,8,FALSE)</f>
        <v>Yes</v>
      </c>
      <c r="G289" s="129" t="str">
        <f>VLOOKUP($C289,'2021-22 School Level AAFTE'!$C:$Z,12,FALSE)</f>
        <v>No</v>
      </c>
      <c r="H289" s="127">
        <f>VLOOKUP($C289,'2021-22 School Level AAFTE'!$C:$I,7,FALSE)</f>
        <v>444.86</v>
      </c>
      <c r="I289" s="112">
        <f>IFERROR(IF(OR(G289="yes",F289= "yes"),VLOOKUP(C289,Summary!$B:$J,6,0),0),0)</f>
        <v>0</v>
      </c>
      <c r="J289" s="111">
        <f t="shared" si="57"/>
        <v>444.86</v>
      </c>
      <c r="K289" s="91">
        <f>VLOOKUP($A289,'2022-23 Salary &amp; Benefits'!$A:$I,3,FALSE)</f>
        <v>1</v>
      </c>
      <c r="L289" s="91">
        <f>VLOOKUP($A289,'2022-23 Salary &amp; Benefits'!$A:$I,4,FALSE)</f>
        <v>1</v>
      </c>
      <c r="M289" s="39">
        <f t="shared" si="52"/>
        <v>444.86</v>
      </c>
      <c r="N289" s="24">
        <v>15</v>
      </c>
      <c r="O289" s="26">
        <f t="shared" si="55"/>
        <v>29.657333333333334</v>
      </c>
      <c r="P289" s="24">
        <v>1.1000000000000001</v>
      </c>
      <c r="Q289" s="24">
        <v>36</v>
      </c>
      <c r="R289" s="27">
        <f t="shared" si="56"/>
        <v>1174.4304</v>
      </c>
      <c r="S289" s="102">
        <f t="shared" si="58"/>
        <v>1.3049999999999999</v>
      </c>
      <c r="T289" s="21">
        <f>VLOOKUP($A289,'2022-23 Salary &amp; Benefits'!$A:$I,5,FALSE)</f>
        <v>68937</v>
      </c>
      <c r="U289" s="21">
        <f>VLOOKUP($A289,'2022-23 Salary &amp; Benefits'!$A:$I,6,FALSE)</f>
        <v>72728</v>
      </c>
      <c r="V289" s="22">
        <f t="shared" si="59"/>
        <v>89962.79</v>
      </c>
      <c r="W289" s="22">
        <f t="shared" si="60"/>
        <v>4947.25</v>
      </c>
      <c r="X289" s="22">
        <f>'2022-23 Salary &amp; Benefits'!$G$6</f>
        <v>12558.24</v>
      </c>
      <c r="Y289" s="23">
        <f>'2022-23 Salary &amp; Benefits'!$H$6</f>
        <v>0.2298</v>
      </c>
      <c r="Z289" s="23">
        <f>'2022-23 Salary &amp; Benefits'!$I$6</f>
        <v>0.22339999999999999</v>
      </c>
      <c r="AA289" s="22">
        <f t="shared" si="61"/>
        <v>38167.17</v>
      </c>
      <c r="AB289" s="22">
        <f t="shared" si="62"/>
        <v>1581.83</v>
      </c>
      <c r="AC289" s="22">
        <f t="shared" si="63"/>
        <v>353.38</v>
      </c>
      <c r="AD289" s="22">
        <f t="shared" si="53"/>
        <v>1935.21</v>
      </c>
      <c r="AE289" s="22">
        <f t="shared" si="54"/>
        <v>135012.41999999998</v>
      </c>
      <c r="AF289" s="19" t="str">
        <f>VLOOKUP(C289,'2021-22 School Level AAFTE'!C:N,12,FALSE)</f>
        <v>No</v>
      </c>
    </row>
    <row r="290" spans="1:284" s="19" customFormat="1">
      <c r="A290" s="97" t="s">
        <v>2492</v>
      </c>
      <c r="B290" s="97" t="s">
        <v>1849</v>
      </c>
      <c r="C290" s="95">
        <v>3307</v>
      </c>
      <c r="D290" s="95" t="s">
        <v>1860</v>
      </c>
      <c r="E290" s="129">
        <f>VLOOKUP($C290,'2021-22 School Level AAFTE'!$C:$Z,11,FALSE)</f>
        <v>0.46293333333333336</v>
      </c>
      <c r="F290" s="129" t="str">
        <f>VLOOKUP($C290,'2021-22 School Level AAFTE'!$C:$Z,8,FALSE)</f>
        <v>No</v>
      </c>
      <c r="G290" s="129" t="str">
        <f>VLOOKUP($C290,'2021-22 School Level AAFTE'!$C:$Z,12,FALSE)</f>
        <v>Yes</v>
      </c>
      <c r="H290" s="127">
        <f>VLOOKUP($C290,'2021-22 School Level AAFTE'!$C:$I,7,FALSE)</f>
        <v>283.02999999999997</v>
      </c>
      <c r="I290" s="112">
        <f>IFERROR(IF(OR(G290="yes",F290= "yes"),VLOOKUP(C290,Summary!$B:$J,6,0),0),0)</f>
        <v>0</v>
      </c>
      <c r="J290" s="111">
        <f t="shared" si="57"/>
        <v>283.02999999999997</v>
      </c>
      <c r="K290" s="91">
        <f>VLOOKUP($A290,'2022-23 Salary &amp; Benefits'!$A:$I,3,FALSE)</f>
        <v>1</v>
      </c>
      <c r="L290" s="91">
        <f>VLOOKUP($A290,'2022-23 Salary &amp; Benefits'!$A:$I,4,FALSE)</f>
        <v>1</v>
      </c>
      <c r="M290" s="101">
        <f t="shared" si="52"/>
        <v>283.02999999999997</v>
      </c>
      <c r="N290" s="24">
        <v>15</v>
      </c>
      <c r="O290" s="26">
        <f t="shared" si="55"/>
        <v>18.868666666666666</v>
      </c>
      <c r="P290" s="24">
        <v>1.1000000000000001</v>
      </c>
      <c r="Q290" s="24">
        <v>36</v>
      </c>
      <c r="R290" s="27">
        <f t="shared" si="56"/>
        <v>747.19920000000013</v>
      </c>
      <c r="S290" s="102">
        <f t="shared" si="58"/>
        <v>0.83</v>
      </c>
      <c r="T290" s="21">
        <f>VLOOKUP($A290,'2022-23 Salary &amp; Benefits'!$A:$I,5,FALSE)</f>
        <v>68937</v>
      </c>
      <c r="U290" s="21">
        <f>VLOOKUP($A290,'2022-23 Salary &amp; Benefits'!$A:$I,6,FALSE)</f>
        <v>72728</v>
      </c>
      <c r="V290" s="22">
        <f t="shared" si="59"/>
        <v>57217.71</v>
      </c>
      <c r="W290" s="22">
        <f t="shared" si="60"/>
        <v>3146.5299999999988</v>
      </c>
      <c r="X290" s="22">
        <f>'2022-23 Salary &amp; Benefits'!$G$6</f>
        <v>12558.24</v>
      </c>
      <c r="Y290" s="23">
        <f>'2022-23 Salary &amp; Benefits'!$H$6</f>
        <v>0.2298</v>
      </c>
      <c r="Z290" s="23">
        <f>'2022-23 Salary &amp; Benefits'!$I$6</f>
        <v>0.22339999999999999</v>
      </c>
      <c r="AA290" s="22">
        <f t="shared" si="61"/>
        <v>24274.9</v>
      </c>
      <c r="AB290" s="22">
        <f t="shared" si="62"/>
        <v>1006.07</v>
      </c>
      <c r="AC290" s="22">
        <f t="shared" si="63"/>
        <v>224.76</v>
      </c>
      <c r="AD290" s="22">
        <f t="shared" si="53"/>
        <v>1230.83</v>
      </c>
      <c r="AE290" s="22">
        <f t="shared" si="54"/>
        <v>85869.97</v>
      </c>
      <c r="AF290" s="19" t="str">
        <f>VLOOKUP(C290,'2021-22 School Level AAFTE'!C:N,12,FALSE)</f>
        <v>Yes</v>
      </c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</row>
    <row r="291" spans="1:284" s="19" customFormat="1">
      <c r="A291" s="97" t="s">
        <v>2492</v>
      </c>
      <c r="B291" s="97" t="s">
        <v>1849</v>
      </c>
      <c r="C291" s="95">
        <v>3415</v>
      </c>
      <c r="D291" s="95" t="s">
        <v>1861</v>
      </c>
      <c r="E291" s="129">
        <f>VLOOKUP($C291,'2021-22 School Level AAFTE'!$C:$Z,11,FALSE)</f>
        <v>0.35576666666666673</v>
      </c>
      <c r="F291" s="129" t="str">
        <f>VLOOKUP($C291,'2021-22 School Level AAFTE'!$C:$Z,8,FALSE)</f>
        <v>No</v>
      </c>
      <c r="G291" s="129" t="str">
        <f>VLOOKUP($C291,'2021-22 School Level AAFTE'!$C:$Z,12,FALSE)</f>
        <v>No</v>
      </c>
      <c r="H291" s="127">
        <f>VLOOKUP($C291,'2021-22 School Level AAFTE'!$C:$I,7,FALSE)</f>
        <v>1481.6799999999998</v>
      </c>
      <c r="I291" s="112">
        <f>IFERROR(IF(OR(G291="yes",F291= "yes"),VLOOKUP(C291,Summary!$B:$J,6,0),0),0)</f>
        <v>0</v>
      </c>
      <c r="J291" s="111">
        <f t="shared" si="57"/>
        <v>0</v>
      </c>
      <c r="K291" s="91">
        <f>VLOOKUP($A291,'2022-23 Salary &amp; Benefits'!$A:$I,3,FALSE)</f>
        <v>1</v>
      </c>
      <c r="L291" s="91">
        <f>VLOOKUP($A291,'2022-23 Salary &amp; Benefits'!$A:$I,4,FALSE)</f>
        <v>1</v>
      </c>
      <c r="M291" s="39">
        <f t="shared" si="52"/>
        <v>0</v>
      </c>
      <c r="N291" s="24">
        <v>15</v>
      </c>
      <c r="O291" s="26">
        <f t="shared" si="55"/>
        <v>0</v>
      </c>
      <c r="P291" s="24">
        <v>1.1000000000000001</v>
      </c>
      <c r="Q291" s="24">
        <v>36</v>
      </c>
      <c r="R291" s="27">
        <f t="shared" si="56"/>
        <v>0</v>
      </c>
      <c r="S291" s="102">
        <f t="shared" si="58"/>
        <v>0</v>
      </c>
      <c r="T291" s="21">
        <f>VLOOKUP($A291,'2022-23 Salary &amp; Benefits'!$A:$I,5,FALSE)</f>
        <v>68937</v>
      </c>
      <c r="U291" s="21">
        <f>VLOOKUP($A291,'2022-23 Salary &amp; Benefits'!$A:$I,6,FALSE)</f>
        <v>72728</v>
      </c>
      <c r="V291" s="22">
        <f t="shared" si="59"/>
        <v>0</v>
      </c>
      <c r="W291" s="22">
        <f t="shared" si="60"/>
        <v>0</v>
      </c>
      <c r="X291" s="22">
        <f>'2022-23 Salary &amp; Benefits'!$G$6</f>
        <v>12558.24</v>
      </c>
      <c r="Y291" s="23">
        <f>'2022-23 Salary &amp; Benefits'!$H$6</f>
        <v>0.2298</v>
      </c>
      <c r="Z291" s="23">
        <f>'2022-23 Salary &amp; Benefits'!$I$6</f>
        <v>0.22339999999999999</v>
      </c>
      <c r="AA291" s="22">
        <f t="shared" si="61"/>
        <v>0</v>
      </c>
      <c r="AB291" s="22">
        <f t="shared" si="62"/>
        <v>0</v>
      </c>
      <c r="AC291" s="22">
        <f t="shared" si="63"/>
        <v>0</v>
      </c>
      <c r="AD291" s="22">
        <f t="shared" si="53"/>
        <v>0</v>
      </c>
      <c r="AE291" s="22">
        <f t="shared" si="54"/>
        <v>0</v>
      </c>
      <c r="AF291" s="19" t="str">
        <f>VLOOKUP(C291,'2021-22 School Level AAFTE'!C:N,12,FALSE)</f>
        <v>No</v>
      </c>
    </row>
    <row r="292" spans="1:284" s="19" customFormat="1">
      <c r="A292" s="97" t="s">
        <v>2492</v>
      </c>
      <c r="B292" s="97" t="s">
        <v>1849</v>
      </c>
      <c r="C292" s="95">
        <v>3465</v>
      </c>
      <c r="D292" s="95" t="s">
        <v>1862</v>
      </c>
      <c r="E292" s="129">
        <f>VLOOKUP($C292,'2021-22 School Level AAFTE'!$C:$Z,11,FALSE)</f>
        <v>0.23716666666666666</v>
      </c>
      <c r="F292" s="129" t="str">
        <f>VLOOKUP($C292,'2021-22 School Level AAFTE'!$C:$Z,8,FALSE)</f>
        <v>No</v>
      </c>
      <c r="G292" s="129" t="str">
        <f>VLOOKUP($C292,'2021-22 School Level AAFTE'!$C:$Z,12,FALSE)</f>
        <v>No</v>
      </c>
      <c r="H292" s="127">
        <f>VLOOKUP($C292,'2021-22 School Level AAFTE'!$C:$I,7,FALSE)</f>
        <v>341.57</v>
      </c>
      <c r="I292" s="112">
        <f>IFERROR(IF(OR(G292="yes",F292= "yes"),VLOOKUP(C292,Summary!$B:$J,6,0),0),0)</f>
        <v>0</v>
      </c>
      <c r="J292" s="111">
        <f t="shared" si="57"/>
        <v>0</v>
      </c>
      <c r="K292" s="91">
        <f>VLOOKUP($A292,'2022-23 Salary &amp; Benefits'!$A:$I,3,FALSE)</f>
        <v>1</v>
      </c>
      <c r="L292" s="91">
        <f>VLOOKUP($A292,'2022-23 Salary &amp; Benefits'!$A:$I,4,FALSE)</f>
        <v>1</v>
      </c>
      <c r="M292" s="39">
        <f t="shared" si="52"/>
        <v>0</v>
      </c>
      <c r="N292" s="24">
        <v>15</v>
      </c>
      <c r="O292" s="26">
        <f t="shared" si="55"/>
        <v>0</v>
      </c>
      <c r="P292" s="24">
        <v>1.1000000000000001</v>
      </c>
      <c r="Q292" s="24">
        <v>36</v>
      </c>
      <c r="R292" s="27">
        <f t="shared" si="56"/>
        <v>0</v>
      </c>
      <c r="S292" s="102">
        <f t="shared" si="58"/>
        <v>0</v>
      </c>
      <c r="T292" s="21">
        <f>VLOOKUP($A292,'2022-23 Salary &amp; Benefits'!$A:$I,5,FALSE)</f>
        <v>68937</v>
      </c>
      <c r="U292" s="21">
        <f>VLOOKUP($A292,'2022-23 Salary &amp; Benefits'!$A:$I,6,FALSE)</f>
        <v>72728</v>
      </c>
      <c r="V292" s="22">
        <f t="shared" si="59"/>
        <v>0</v>
      </c>
      <c r="W292" s="22">
        <f t="shared" si="60"/>
        <v>0</v>
      </c>
      <c r="X292" s="22">
        <f>'2022-23 Salary &amp; Benefits'!$G$6</f>
        <v>12558.24</v>
      </c>
      <c r="Y292" s="23">
        <f>'2022-23 Salary &amp; Benefits'!$H$6</f>
        <v>0.2298</v>
      </c>
      <c r="Z292" s="23">
        <f>'2022-23 Salary &amp; Benefits'!$I$6</f>
        <v>0.22339999999999999</v>
      </c>
      <c r="AA292" s="22">
        <f t="shared" si="61"/>
        <v>0</v>
      </c>
      <c r="AB292" s="22">
        <f t="shared" si="62"/>
        <v>0</v>
      </c>
      <c r="AC292" s="22">
        <f t="shared" si="63"/>
        <v>0</v>
      </c>
      <c r="AD292" s="22">
        <f t="shared" si="53"/>
        <v>0</v>
      </c>
      <c r="AE292" s="22">
        <f t="shared" si="54"/>
        <v>0</v>
      </c>
      <c r="AF292" s="19" t="str">
        <f>VLOOKUP(C292,'2021-22 School Level AAFTE'!C:N,12,FALSE)</f>
        <v>No</v>
      </c>
    </row>
    <row r="293" spans="1:284" s="19" customFormat="1">
      <c r="A293" s="97" t="s">
        <v>2492</v>
      </c>
      <c r="B293" s="97" t="s">
        <v>1849</v>
      </c>
      <c r="C293" s="95">
        <v>3573</v>
      </c>
      <c r="D293" s="95" t="s">
        <v>1863</v>
      </c>
      <c r="E293" s="129">
        <f>VLOOKUP($C293,'2021-22 School Level AAFTE'!$C:$Z,11,FALSE)</f>
        <v>0.30306666666666665</v>
      </c>
      <c r="F293" s="129" t="str">
        <f>VLOOKUP($C293,'2021-22 School Level AAFTE'!$C:$Z,8,FALSE)</f>
        <v>No</v>
      </c>
      <c r="G293" s="129" t="str">
        <f>VLOOKUP($C293,'2021-22 School Level AAFTE'!$C:$Z,12,FALSE)</f>
        <v>No</v>
      </c>
      <c r="H293" s="127">
        <f>VLOOKUP($C293,'2021-22 School Level AAFTE'!$C:$I,7,FALSE)</f>
        <v>502.67</v>
      </c>
      <c r="I293" s="112">
        <f>IFERROR(IF(OR(G293="yes",F293= "yes"),VLOOKUP(C293,Summary!$B:$J,6,0),0),0)</f>
        <v>0</v>
      </c>
      <c r="J293" s="111">
        <f t="shared" si="57"/>
        <v>0</v>
      </c>
      <c r="K293" s="91">
        <f>VLOOKUP($A293,'2022-23 Salary &amp; Benefits'!$A:$I,3,FALSE)</f>
        <v>1</v>
      </c>
      <c r="L293" s="91">
        <f>VLOOKUP($A293,'2022-23 Salary &amp; Benefits'!$A:$I,4,FALSE)</f>
        <v>1</v>
      </c>
      <c r="M293" s="39">
        <f t="shared" si="52"/>
        <v>0</v>
      </c>
      <c r="N293" s="24">
        <v>15</v>
      </c>
      <c r="O293" s="26">
        <f t="shared" si="55"/>
        <v>0</v>
      </c>
      <c r="P293" s="24">
        <v>1.1000000000000001</v>
      </c>
      <c r="Q293" s="24">
        <v>36</v>
      </c>
      <c r="R293" s="27">
        <f t="shared" si="56"/>
        <v>0</v>
      </c>
      <c r="S293" s="102">
        <f t="shared" si="58"/>
        <v>0</v>
      </c>
      <c r="T293" s="21">
        <f>VLOOKUP($A293,'2022-23 Salary &amp; Benefits'!$A:$I,5,FALSE)</f>
        <v>68937</v>
      </c>
      <c r="U293" s="21">
        <f>VLOOKUP($A293,'2022-23 Salary &amp; Benefits'!$A:$I,6,FALSE)</f>
        <v>72728</v>
      </c>
      <c r="V293" s="22">
        <f t="shared" si="59"/>
        <v>0</v>
      </c>
      <c r="W293" s="22">
        <f t="shared" si="60"/>
        <v>0</v>
      </c>
      <c r="X293" s="22">
        <f>'2022-23 Salary &amp; Benefits'!$G$6</f>
        <v>12558.24</v>
      </c>
      <c r="Y293" s="23">
        <f>'2022-23 Salary &amp; Benefits'!$H$6</f>
        <v>0.2298</v>
      </c>
      <c r="Z293" s="23">
        <f>'2022-23 Salary &amp; Benefits'!$I$6</f>
        <v>0.22339999999999999</v>
      </c>
      <c r="AA293" s="22">
        <f t="shared" si="61"/>
        <v>0</v>
      </c>
      <c r="AB293" s="22">
        <f t="shared" si="62"/>
        <v>0</v>
      </c>
      <c r="AC293" s="22">
        <f t="shared" si="63"/>
        <v>0</v>
      </c>
      <c r="AD293" s="22">
        <f t="shared" si="53"/>
        <v>0</v>
      </c>
      <c r="AE293" s="22">
        <f t="shared" si="54"/>
        <v>0</v>
      </c>
      <c r="AF293" s="19" t="str">
        <f>VLOOKUP(C293,'2021-22 School Level AAFTE'!C:N,12,FALSE)</f>
        <v>No</v>
      </c>
    </row>
    <row r="294" spans="1:284" s="19" customFormat="1">
      <c r="A294" s="97" t="s">
        <v>2492</v>
      </c>
      <c r="B294" s="97" t="s">
        <v>1849</v>
      </c>
      <c r="C294" s="95">
        <v>3890</v>
      </c>
      <c r="D294" s="95" t="s">
        <v>925</v>
      </c>
      <c r="E294" s="129">
        <f>VLOOKUP($C294,'2021-22 School Level AAFTE'!$C:$Z,11,FALSE)</f>
        <v>0.30236666666666667</v>
      </c>
      <c r="F294" s="129" t="str">
        <f>VLOOKUP($C294,'2021-22 School Level AAFTE'!$C:$Z,8,FALSE)</f>
        <v>No</v>
      </c>
      <c r="G294" s="129" t="str">
        <f>VLOOKUP($C294,'2021-22 School Level AAFTE'!$C:$Z,12,FALSE)</f>
        <v>No</v>
      </c>
      <c r="H294" s="127">
        <f>VLOOKUP($C294,'2021-22 School Level AAFTE'!$C:$I,7,FALSE)</f>
        <v>632.4</v>
      </c>
      <c r="I294" s="112">
        <f>IFERROR(IF(OR(G294="yes",F294= "yes"),VLOOKUP(C294,Summary!$B:$J,6,0),0),0)</f>
        <v>0</v>
      </c>
      <c r="J294" s="111">
        <f t="shared" si="57"/>
        <v>0</v>
      </c>
      <c r="K294" s="91">
        <f>VLOOKUP($A294,'2022-23 Salary &amp; Benefits'!$A:$I,3,FALSE)</f>
        <v>1</v>
      </c>
      <c r="L294" s="91">
        <f>VLOOKUP($A294,'2022-23 Salary &amp; Benefits'!$A:$I,4,FALSE)</f>
        <v>1</v>
      </c>
      <c r="M294" s="101">
        <f t="shared" si="52"/>
        <v>0</v>
      </c>
      <c r="N294" s="24">
        <v>15</v>
      </c>
      <c r="O294" s="26">
        <f t="shared" si="55"/>
        <v>0</v>
      </c>
      <c r="P294" s="24">
        <v>1.1000000000000001</v>
      </c>
      <c r="Q294" s="24">
        <v>36</v>
      </c>
      <c r="R294" s="27">
        <f t="shared" si="56"/>
        <v>0</v>
      </c>
      <c r="S294" s="102">
        <f t="shared" si="58"/>
        <v>0</v>
      </c>
      <c r="T294" s="21">
        <f>VLOOKUP($A294,'2022-23 Salary &amp; Benefits'!$A:$I,5,FALSE)</f>
        <v>68937</v>
      </c>
      <c r="U294" s="21">
        <f>VLOOKUP($A294,'2022-23 Salary &amp; Benefits'!$A:$I,6,FALSE)</f>
        <v>72728</v>
      </c>
      <c r="V294" s="22">
        <f t="shared" si="59"/>
        <v>0</v>
      </c>
      <c r="W294" s="22">
        <f t="shared" si="60"/>
        <v>0</v>
      </c>
      <c r="X294" s="22">
        <f>'2022-23 Salary &amp; Benefits'!$G$6</f>
        <v>12558.24</v>
      </c>
      <c r="Y294" s="23">
        <f>'2022-23 Salary &amp; Benefits'!$H$6</f>
        <v>0.2298</v>
      </c>
      <c r="Z294" s="23">
        <f>'2022-23 Salary &amp; Benefits'!$I$6</f>
        <v>0.22339999999999999</v>
      </c>
      <c r="AA294" s="22">
        <f t="shared" si="61"/>
        <v>0</v>
      </c>
      <c r="AB294" s="22">
        <f t="shared" si="62"/>
        <v>0</v>
      </c>
      <c r="AC294" s="22">
        <f t="shared" si="63"/>
        <v>0</v>
      </c>
      <c r="AD294" s="22">
        <f t="shared" si="53"/>
        <v>0</v>
      </c>
      <c r="AE294" s="22">
        <f t="shared" si="54"/>
        <v>0</v>
      </c>
      <c r="AF294" s="19" t="str">
        <f>VLOOKUP(C294,'2021-22 School Level AAFTE'!C:N,12,FALSE)</f>
        <v>No</v>
      </c>
    </row>
    <row r="295" spans="1:284" s="19" customFormat="1">
      <c r="A295" s="97" t="s">
        <v>2492</v>
      </c>
      <c r="B295" s="97" t="s">
        <v>1849</v>
      </c>
      <c r="C295" s="95">
        <v>3918</v>
      </c>
      <c r="D295" s="95" t="s">
        <v>1864</v>
      </c>
      <c r="E295" s="129">
        <f>VLOOKUP($C295,'2021-22 School Level AAFTE'!$C:$Z,11,FALSE)</f>
        <v>0.51953333333333329</v>
      </c>
      <c r="F295" s="129" t="str">
        <f>VLOOKUP($C295,'2021-22 School Level AAFTE'!$C:$Z,8,FALSE)</f>
        <v>Yes</v>
      </c>
      <c r="G295" s="129" t="str">
        <f>VLOOKUP($C295,'2021-22 School Level AAFTE'!$C:$Z,12,FALSE)</f>
        <v>No</v>
      </c>
      <c r="H295" s="127">
        <f>VLOOKUP($C295,'2021-22 School Level AAFTE'!$C:$I,7,FALSE)</f>
        <v>112.77999999999999</v>
      </c>
      <c r="I295" s="112">
        <f>IFERROR(IF(OR(G295="yes",F295= "yes"),VLOOKUP(C295,Summary!$B:$J,6,0),0),0)</f>
        <v>0</v>
      </c>
      <c r="J295" s="111">
        <f t="shared" si="57"/>
        <v>112.77999999999999</v>
      </c>
      <c r="K295" s="91">
        <f>VLOOKUP($A295,'2022-23 Salary &amp; Benefits'!$A:$I,3,FALSE)</f>
        <v>1</v>
      </c>
      <c r="L295" s="91">
        <f>VLOOKUP($A295,'2022-23 Salary &amp; Benefits'!$A:$I,4,FALSE)</f>
        <v>1</v>
      </c>
      <c r="M295" s="101">
        <f t="shared" si="52"/>
        <v>112.77999999999999</v>
      </c>
      <c r="N295" s="24">
        <v>15</v>
      </c>
      <c r="O295" s="26">
        <f t="shared" si="55"/>
        <v>7.5186666666666655</v>
      </c>
      <c r="P295" s="24">
        <v>1.1000000000000001</v>
      </c>
      <c r="Q295" s="24">
        <v>36</v>
      </c>
      <c r="R295" s="27">
        <f t="shared" si="56"/>
        <v>297.73919999999998</v>
      </c>
      <c r="S295" s="102">
        <f t="shared" si="58"/>
        <v>0.33100000000000002</v>
      </c>
      <c r="T295" s="21">
        <f>VLOOKUP($A295,'2022-23 Salary &amp; Benefits'!$A:$I,5,FALSE)</f>
        <v>68937</v>
      </c>
      <c r="U295" s="21">
        <f>VLOOKUP($A295,'2022-23 Salary &amp; Benefits'!$A:$I,6,FALSE)</f>
        <v>72728</v>
      </c>
      <c r="V295" s="22">
        <f t="shared" si="59"/>
        <v>22818.15</v>
      </c>
      <c r="W295" s="22">
        <f t="shared" si="60"/>
        <v>1254.8199999999997</v>
      </c>
      <c r="X295" s="22">
        <f>'2022-23 Salary &amp; Benefits'!$G$6</f>
        <v>12558.24</v>
      </c>
      <c r="Y295" s="23">
        <f>'2022-23 Salary &amp; Benefits'!$H$6</f>
        <v>0.2298</v>
      </c>
      <c r="Z295" s="23">
        <f>'2022-23 Salary &amp; Benefits'!$I$6</f>
        <v>0.22339999999999999</v>
      </c>
      <c r="AA295" s="22">
        <f t="shared" si="61"/>
        <v>9680.7199999999993</v>
      </c>
      <c r="AB295" s="22">
        <f t="shared" si="62"/>
        <v>401.22</v>
      </c>
      <c r="AC295" s="22">
        <f t="shared" si="63"/>
        <v>89.63</v>
      </c>
      <c r="AD295" s="22">
        <f t="shared" si="53"/>
        <v>490.85</v>
      </c>
      <c r="AE295" s="22">
        <f t="shared" si="54"/>
        <v>34244.54</v>
      </c>
      <c r="AF295" s="19" t="str">
        <f>VLOOKUP(C295,'2021-22 School Level AAFTE'!C:N,12,FALSE)</f>
        <v>No</v>
      </c>
    </row>
    <row r="296" spans="1:284" s="19" customFormat="1">
      <c r="A296" s="97" t="s">
        <v>2492</v>
      </c>
      <c r="B296" s="97" t="s">
        <v>1849</v>
      </c>
      <c r="C296" s="95">
        <v>3929</v>
      </c>
      <c r="D296" s="95" t="s">
        <v>1865</v>
      </c>
      <c r="E296" s="129">
        <f>VLOOKUP($C296,'2021-22 School Level AAFTE'!$C:$Z,11,FALSE)</f>
        <v>0.22670000000000001</v>
      </c>
      <c r="F296" s="129" t="str">
        <f>VLOOKUP($C296,'2021-22 School Level AAFTE'!$C:$Z,8,FALSE)</f>
        <v>No</v>
      </c>
      <c r="G296" s="129" t="str">
        <f>VLOOKUP($C296,'2021-22 School Level AAFTE'!$C:$Z,12,FALSE)</f>
        <v>No</v>
      </c>
      <c r="H296" s="127">
        <f>VLOOKUP($C296,'2021-22 School Level AAFTE'!$C:$I,7,FALSE)</f>
        <v>431.86</v>
      </c>
      <c r="I296" s="112">
        <f>IFERROR(IF(OR(G296="yes",F296= "yes"),VLOOKUP(C296,Summary!$B:$J,6,0),0),0)</f>
        <v>0</v>
      </c>
      <c r="J296" s="111">
        <f t="shared" si="57"/>
        <v>0</v>
      </c>
      <c r="K296" s="91">
        <f>VLOOKUP($A296,'2022-23 Salary &amp; Benefits'!$A:$I,3,FALSE)</f>
        <v>1</v>
      </c>
      <c r="L296" s="91">
        <f>VLOOKUP($A296,'2022-23 Salary &amp; Benefits'!$A:$I,4,FALSE)</f>
        <v>1</v>
      </c>
      <c r="M296" s="101">
        <f t="shared" si="52"/>
        <v>0</v>
      </c>
      <c r="N296" s="24">
        <v>15</v>
      </c>
      <c r="O296" s="26">
        <f t="shared" si="55"/>
        <v>0</v>
      </c>
      <c r="P296" s="24">
        <v>1.1000000000000001</v>
      </c>
      <c r="Q296" s="24">
        <v>36</v>
      </c>
      <c r="R296" s="27">
        <f t="shared" si="56"/>
        <v>0</v>
      </c>
      <c r="S296" s="102">
        <f t="shared" si="58"/>
        <v>0</v>
      </c>
      <c r="T296" s="21">
        <f>VLOOKUP($A296,'2022-23 Salary &amp; Benefits'!$A:$I,5,FALSE)</f>
        <v>68937</v>
      </c>
      <c r="U296" s="21">
        <f>VLOOKUP($A296,'2022-23 Salary &amp; Benefits'!$A:$I,6,FALSE)</f>
        <v>72728</v>
      </c>
      <c r="V296" s="22">
        <f t="shared" si="59"/>
        <v>0</v>
      </c>
      <c r="W296" s="22">
        <f t="shared" si="60"/>
        <v>0</v>
      </c>
      <c r="X296" s="22">
        <f>'2022-23 Salary &amp; Benefits'!$G$6</f>
        <v>12558.24</v>
      </c>
      <c r="Y296" s="23">
        <f>'2022-23 Salary &amp; Benefits'!$H$6</f>
        <v>0.2298</v>
      </c>
      <c r="Z296" s="23">
        <f>'2022-23 Salary &amp; Benefits'!$I$6</f>
        <v>0.22339999999999999</v>
      </c>
      <c r="AA296" s="22">
        <f t="shared" si="61"/>
        <v>0</v>
      </c>
      <c r="AB296" s="22">
        <f t="shared" si="62"/>
        <v>0</v>
      </c>
      <c r="AC296" s="22">
        <f t="shared" si="63"/>
        <v>0</v>
      </c>
      <c r="AD296" s="22">
        <f t="shared" si="53"/>
        <v>0</v>
      </c>
      <c r="AE296" s="22">
        <f t="shared" si="54"/>
        <v>0</v>
      </c>
      <c r="AF296" s="19" t="str">
        <f>VLOOKUP(C296,'2021-22 School Level AAFTE'!C:N,12,FALSE)</f>
        <v>No</v>
      </c>
    </row>
    <row r="297" spans="1:284" s="19" customFormat="1">
      <c r="A297" s="97" t="s">
        <v>2492</v>
      </c>
      <c r="B297" s="97" t="s">
        <v>1849</v>
      </c>
      <c r="C297" s="95">
        <v>4098</v>
      </c>
      <c r="D297" s="95" t="s">
        <v>1866</v>
      </c>
      <c r="E297" s="129">
        <f>VLOOKUP($C297,'2021-22 School Level AAFTE'!$C:$Z,11,FALSE)</f>
        <v>0.2898</v>
      </c>
      <c r="F297" s="129" t="str">
        <f>VLOOKUP($C297,'2021-22 School Level AAFTE'!$C:$Z,8,FALSE)</f>
        <v>No</v>
      </c>
      <c r="G297" s="129" t="str">
        <f>VLOOKUP($C297,'2021-22 School Level AAFTE'!$C:$Z,12,FALSE)</f>
        <v>No</v>
      </c>
      <c r="H297" s="127">
        <f>VLOOKUP($C297,'2021-22 School Level AAFTE'!$C:$I,7,FALSE)</f>
        <v>415.73</v>
      </c>
      <c r="I297" s="112">
        <f>IFERROR(IF(OR(G297="yes",F297= "yes"),VLOOKUP(C297,Summary!$B:$J,6,0),0),0)</f>
        <v>0</v>
      </c>
      <c r="J297" s="111">
        <f t="shared" si="57"/>
        <v>0</v>
      </c>
      <c r="K297" s="91">
        <f>VLOOKUP($A297,'2022-23 Salary &amp; Benefits'!$A:$I,3,FALSE)</f>
        <v>1</v>
      </c>
      <c r="L297" s="91">
        <f>VLOOKUP($A297,'2022-23 Salary &amp; Benefits'!$A:$I,4,FALSE)</f>
        <v>1</v>
      </c>
      <c r="M297" s="39">
        <f t="shared" si="52"/>
        <v>0</v>
      </c>
      <c r="N297" s="24">
        <v>15</v>
      </c>
      <c r="O297" s="26">
        <f t="shared" si="55"/>
        <v>0</v>
      </c>
      <c r="P297" s="24">
        <v>1.1000000000000001</v>
      </c>
      <c r="Q297" s="24">
        <v>36</v>
      </c>
      <c r="R297" s="27">
        <f t="shared" si="56"/>
        <v>0</v>
      </c>
      <c r="S297" s="102">
        <f t="shared" si="58"/>
        <v>0</v>
      </c>
      <c r="T297" s="21">
        <f>VLOOKUP($A297,'2022-23 Salary &amp; Benefits'!$A:$I,5,FALSE)</f>
        <v>68937</v>
      </c>
      <c r="U297" s="21">
        <f>VLOOKUP($A297,'2022-23 Salary &amp; Benefits'!$A:$I,6,FALSE)</f>
        <v>72728</v>
      </c>
      <c r="V297" s="22">
        <f t="shared" si="59"/>
        <v>0</v>
      </c>
      <c r="W297" s="22">
        <f t="shared" si="60"/>
        <v>0</v>
      </c>
      <c r="X297" s="22">
        <f>'2022-23 Salary &amp; Benefits'!$G$6</f>
        <v>12558.24</v>
      </c>
      <c r="Y297" s="23">
        <f>'2022-23 Salary &amp; Benefits'!$H$6</f>
        <v>0.2298</v>
      </c>
      <c r="Z297" s="23">
        <f>'2022-23 Salary &amp; Benefits'!$I$6</f>
        <v>0.22339999999999999</v>
      </c>
      <c r="AA297" s="22">
        <f t="shared" si="61"/>
        <v>0</v>
      </c>
      <c r="AB297" s="22">
        <f t="shared" si="62"/>
        <v>0</v>
      </c>
      <c r="AC297" s="22">
        <f t="shared" si="63"/>
        <v>0</v>
      </c>
      <c r="AD297" s="22">
        <f t="shared" si="53"/>
        <v>0</v>
      </c>
      <c r="AE297" s="22">
        <f t="shared" si="54"/>
        <v>0</v>
      </c>
      <c r="AF297" s="19" t="str">
        <f>VLOOKUP(C297,'2021-22 School Level AAFTE'!C:N,12,FALSE)</f>
        <v>No</v>
      </c>
    </row>
    <row r="298" spans="1:284" s="19" customFormat="1">
      <c r="A298" s="97" t="s">
        <v>2492</v>
      </c>
      <c r="B298" s="97" t="s">
        <v>1849</v>
      </c>
      <c r="C298" s="95">
        <v>4160</v>
      </c>
      <c r="D298" s="95" t="s">
        <v>693</v>
      </c>
      <c r="E298" s="129">
        <f>VLOOKUP($C298,'2021-22 School Level AAFTE'!$C:$Z,11,FALSE)</f>
        <v>0.14646666666666666</v>
      </c>
      <c r="F298" s="129" t="str">
        <f>VLOOKUP($C298,'2021-22 School Level AAFTE'!$C:$Z,8,FALSE)</f>
        <v>No</v>
      </c>
      <c r="G298" s="129" t="str">
        <f>VLOOKUP($C298,'2021-22 School Level AAFTE'!$C:$Z,12,FALSE)</f>
        <v>No</v>
      </c>
      <c r="H298" s="127">
        <f>VLOOKUP($C298,'2021-22 School Level AAFTE'!$C:$I,7,FALSE)</f>
        <v>641.92999999999995</v>
      </c>
      <c r="I298" s="112">
        <f>IFERROR(IF(OR(G298="yes",F298= "yes"),VLOOKUP(C298,Summary!$B:$J,6,0),0),0)</f>
        <v>0</v>
      </c>
      <c r="J298" s="111">
        <f t="shared" si="57"/>
        <v>0</v>
      </c>
      <c r="K298" s="91">
        <f>VLOOKUP($A298,'2022-23 Salary &amp; Benefits'!$A:$I,3,FALSE)</f>
        <v>1</v>
      </c>
      <c r="L298" s="91">
        <f>VLOOKUP($A298,'2022-23 Salary &amp; Benefits'!$A:$I,4,FALSE)</f>
        <v>1</v>
      </c>
      <c r="M298" s="101">
        <f t="shared" si="52"/>
        <v>0</v>
      </c>
      <c r="N298" s="24">
        <v>15</v>
      </c>
      <c r="O298" s="26">
        <f t="shared" si="55"/>
        <v>0</v>
      </c>
      <c r="P298" s="24">
        <v>1.1000000000000001</v>
      </c>
      <c r="Q298" s="24">
        <v>36</v>
      </c>
      <c r="R298" s="27">
        <f t="shared" si="56"/>
        <v>0</v>
      </c>
      <c r="S298" s="102">
        <f t="shared" si="58"/>
        <v>0</v>
      </c>
      <c r="T298" s="21">
        <f>VLOOKUP($A298,'2022-23 Salary &amp; Benefits'!$A:$I,5,FALSE)</f>
        <v>68937</v>
      </c>
      <c r="U298" s="21">
        <f>VLOOKUP($A298,'2022-23 Salary &amp; Benefits'!$A:$I,6,FALSE)</f>
        <v>72728</v>
      </c>
      <c r="V298" s="22">
        <f t="shared" si="59"/>
        <v>0</v>
      </c>
      <c r="W298" s="22">
        <f t="shared" si="60"/>
        <v>0</v>
      </c>
      <c r="X298" s="22">
        <f>'2022-23 Salary &amp; Benefits'!$G$6</f>
        <v>12558.24</v>
      </c>
      <c r="Y298" s="23">
        <f>'2022-23 Salary &amp; Benefits'!$H$6</f>
        <v>0.2298</v>
      </c>
      <c r="Z298" s="23">
        <f>'2022-23 Salary &amp; Benefits'!$I$6</f>
        <v>0.22339999999999999</v>
      </c>
      <c r="AA298" s="22">
        <f t="shared" si="61"/>
        <v>0</v>
      </c>
      <c r="AB298" s="22">
        <f t="shared" si="62"/>
        <v>0</v>
      </c>
      <c r="AC298" s="22">
        <f t="shared" si="63"/>
        <v>0</v>
      </c>
      <c r="AD298" s="22">
        <f t="shared" si="53"/>
        <v>0</v>
      </c>
      <c r="AE298" s="22">
        <f t="shared" si="54"/>
        <v>0</v>
      </c>
      <c r="AF298" s="19" t="str">
        <f>VLOOKUP(C298,'2021-22 School Level AAFTE'!C:N,12,FALSE)</f>
        <v>No</v>
      </c>
    </row>
    <row r="299" spans="1:284" s="19" customFormat="1">
      <c r="A299" s="97" t="s">
        <v>2492</v>
      </c>
      <c r="B299" s="97" t="s">
        <v>1849</v>
      </c>
      <c r="C299" s="95">
        <v>4185</v>
      </c>
      <c r="D299" s="95" t="s">
        <v>1867</v>
      </c>
      <c r="E299" s="129">
        <f>VLOOKUP($C299,'2021-22 School Level AAFTE'!$C:$Z,11,FALSE)</f>
        <v>0.21290000000000001</v>
      </c>
      <c r="F299" s="129" t="str">
        <f>VLOOKUP($C299,'2021-22 School Level AAFTE'!$C:$Z,8,FALSE)</f>
        <v>No</v>
      </c>
      <c r="G299" s="129" t="str">
        <f>VLOOKUP($C299,'2021-22 School Level AAFTE'!$C:$Z,12,FALSE)</f>
        <v>No</v>
      </c>
      <c r="H299" s="127">
        <f>VLOOKUP($C299,'2021-22 School Level AAFTE'!$C:$I,7,FALSE)</f>
        <v>486.15</v>
      </c>
      <c r="I299" s="112">
        <f>IFERROR(IF(OR(G299="yes",F299= "yes"),VLOOKUP(C299,Summary!$B:$J,6,0),0),0)</f>
        <v>0</v>
      </c>
      <c r="J299" s="111">
        <f t="shared" si="57"/>
        <v>0</v>
      </c>
      <c r="K299" s="91">
        <f>VLOOKUP($A299,'2022-23 Salary &amp; Benefits'!$A:$I,3,FALSE)</f>
        <v>1</v>
      </c>
      <c r="L299" s="91">
        <f>VLOOKUP($A299,'2022-23 Salary &amp; Benefits'!$A:$I,4,FALSE)</f>
        <v>1</v>
      </c>
      <c r="M299" s="39">
        <f t="shared" si="52"/>
        <v>0</v>
      </c>
      <c r="N299" s="24">
        <v>15</v>
      </c>
      <c r="O299" s="26">
        <f t="shared" si="55"/>
        <v>0</v>
      </c>
      <c r="P299" s="24">
        <v>1.1000000000000001</v>
      </c>
      <c r="Q299" s="24">
        <v>36</v>
      </c>
      <c r="R299" s="27">
        <f t="shared" si="56"/>
        <v>0</v>
      </c>
      <c r="S299" s="102">
        <f t="shared" si="58"/>
        <v>0</v>
      </c>
      <c r="T299" s="21">
        <f>VLOOKUP($A299,'2022-23 Salary &amp; Benefits'!$A:$I,5,FALSE)</f>
        <v>68937</v>
      </c>
      <c r="U299" s="21">
        <f>VLOOKUP($A299,'2022-23 Salary &amp; Benefits'!$A:$I,6,FALSE)</f>
        <v>72728</v>
      </c>
      <c r="V299" s="22">
        <f t="shared" si="59"/>
        <v>0</v>
      </c>
      <c r="W299" s="22">
        <f t="shared" si="60"/>
        <v>0</v>
      </c>
      <c r="X299" s="22">
        <f>'2022-23 Salary &amp; Benefits'!$G$6</f>
        <v>12558.24</v>
      </c>
      <c r="Y299" s="23">
        <f>'2022-23 Salary &amp; Benefits'!$H$6</f>
        <v>0.2298</v>
      </c>
      <c r="Z299" s="23">
        <f>'2022-23 Salary &amp; Benefits'!$I$6</f>
        <v>0.22339999999999999</v>
      </c>
      <c r="AA299" s="22">
        <f t="shared" si="61"/>
        <v>0</v>
      </c>
      <c r="AB299" s="22">
        <f t="shared" si="62"/>
        <v>0</v>
      </c>
      <c r="AC299" s="22">
        <f t="shared" si="63"/>
        <v>0</v>
      </c>
      <c r="AD299" s="22">
        <f t="shared" si="53"/>
        <v>0</v>
      </c>
      <c r="AE299" s="22">
        <f t="shared" si="54"/>
        <v>0</v>
      </c>
      <c r="AF299" s="19" t="str">
        <f>VLOOKUP(C299,'2021-22 School Level AAFTE'!C:N,12,FALSE)</f>
        <v>No</v>
      </c>
    </row>
    <row r="300" spans="1:284" s="19" customFormat="1">
      <c r="A300" s="97" t="s">
        <v>2492</v>
      </c>
      <c r="B300" s="97" t="s">
        <v>1849</v>
      </c>
      <c r="C300" s="95">
        <v>4529</v>
      </c>
      <c r="D300" s="95" t="s">
        <v>1868</v>
      </c>
      <c r="E300" s="129">
        <f>VLOOKUP($C300,'2021-22 School Level AAFTE'!$C:$Z,11,FALSE)</f>
        <v>0.19576666666666667</v>
      </c>
      <c r="F300" s="129" t="str">
        <f>VLOOKUP($C300,'2021-22 School Level AAFTE'!$C:$Z,8,FALSE)</f>
        <v>No</v>
      </c>
      <c r="G300" s="129" t="str">
        <f>VLOOKUP($C300,'2021-22 School Level AAFTE'!$C:$Z,12,FALSE)</f>
        <v>No</v>
      </c>
      <c r="H300" s="127">
        <f>VLOOKUP($C300,'2021-22 School Level AAFTE'!$C:$I,7,FALSE)</f>
        <v>495.73</v>
      </c>
      <c r="I300" s="112">
        <f>IFERROR(IF(OR(G300="yes",F300= "yes"),VLOOKUP(C300,Summary!$B:$J,6,0),0),0)</f>
        <v>0</v>
      </c>
      <c r="J300" s="111">
        <f t="shared" si="57"/>
        <v>0</v>
      </c>
      <c r="K300" s="91">
        <f>VLOOKUP($A300,'2022-23 Salary &amp; Benefits'!$A:$I,3,FALSE)</f>
        <v>1</v>
      </c>
      <c r="L300" s="91">
        <f>VLOOKUP($A300,'2022-23 Salary &amp; Benefits'!$A:$I,4,FALSE)</f>
        <v>1</v>
      </c>
      <c r="M300" s="39">
        <f t="shared" si="52"/>
        <v>0</v>
      </c>
      <c r="N300" s="24">
        <v>15</v>
      </c>
      <c r="O300" s="26">
        <f t="shared" si="55"/>
        <v>0</v>
      </c>
      <c r="P300" s="24">
        <v>1.1000000000000001</v>
      </c>
      <c r="Q300" s="24">
        <v>36</v>
      </c>
      <c r="R300" s="27">
        <f t="shared" si="56"/>
        <v>0</v>
      </c>
      <c r="S300" s="102">
        <f t="shared" si="58"/>
        <v>0</v>
      </c>
      <c r="T300" s="21">
        <f>VLOOKUP($A300,'2022-23 Salary &amp; Benefits'!$A:$I,5,FALSE)</f>
        <v>68937</v>
      </c>
      <c r="U300" s="21">
        <f>VLOOKUP($A300,'2022-23 Salary &amp; Benefits'!$A:$I,6,FALSE)</f>
        <v>72728</v>
      </c>
      <c r="V300" s="22">
        <f t="shared" si="59"/>
        <v>0</v>
      </c>
      <c r="W300" s="22">
        <f t="shared" si="60"/>
        <v>0</v>
      </c>
      <c r="X300" s="22">
        <f>'2022-23 Salary &amp; Benefits'!$G$6</f>
        <v>12558.24</v>
      </c>
      <c r="Y300" s="23">
        <f>'2022-23 Salary &amp; Benefits'!$H$6</f>
        <v>0.2298</v>
      </c>
      <c r="Z300" s="23">
        <f>'2022-23 Salary &amp; Benefits'!$I$6</f>
        <v>0.22339999999999999</v>
      </c>
      <c r="AA300" s="22">
        <f t="shared" si="61"/>
        <v>0</v>
      </c>
      <c r="AB300" s="22">
        <f t="shared" si="62"/>
        <v>0</v>
      </c>
      <c r="AC300" s="22">
        <f t="shared" si="63"/>
        <v>0</v>
      </c>
      <c r="AD300" s="22">
        <f t="shared" si="53"/>
        <v>0</v>
      </c>
      <c r="AE300" s="22">
        <f t="shared" si="54"/>
        <v>0</v>
      </c>
      <c r="AF300" s="19" t="str">
        <f>VLOOKUP(C300,'2021-22 School Level AAFTE'!C:N,12,FALSE)</f>
        <v>No</v>
      </c>
    </row>
    <row r="301" spans="1:284" s="19" customFormat="1">
      <c r="A301" s="97" t="s">
        <v>2492</v>
      </c>
      <c r="B301" s="97" t="s">
        <v>1849</v>
      </c>
      <c r="C301" s="95">
        <v>5003</v>
      </c>
      <c r="D301" s="95" t="s">
        <v>1869</v>
      </c>
      <c r="E301" s="129">
        <f>VLOOKUP($C301,'2021-22 School Level AAFTE'!$C:$Z,11,FALSE)</f>
        <v>0.4568666666666667</v>
      </c>
      <c r="F301" s="129" t="str">
        <f>VLOOKUP($C301,'2021-22 School Level AAFTE'!$C:$Z,8,FALSE)</f>
        <v>No</v>
      </c>
      <c r="G301" s="129" t="str">
        <f>VLOOKUP($C301,'2021-22 School Level AAFTE'!$C:$Z,12,FALSE)</f>
        <v>Yes</v>
      </c>
      <c r="H301" s="127">
        <f>VLOOKUP($C301,'2021-22 School Level AAFTE'!$C:$I,7,FALSE)</f>
        <v>25.14</v>
      </c>
      <c r="I301" s="112">
        <f>IFERROR(IF(OR(G301="yes",F301= "yes"),VLOOKUP(C301,Summary!$B:$J,6,0),0),0)</f>
        <v>0</v>
      </c>
      <c r="J301" s="111">
        <f t="shared" si="57"/>
        <v>25.14</v>
      </c>
      <c r="K301" s="91">
        <f>VLOOKUP($A301,'2022-23 Salary &amp; Benefits'!$A:$I,3,FALSE)</f>
        <v>1</v>
      </c>
      <c r="L301" s="91">
        <f>VLOOKUP($A301,'2022-23 Salary &amp; Benefits'!$A:$I,4,FALSE)</f>
        <v>1</v>
      </c>
      <c r="M301" s="101">
        <f t="shared" si="52"/>
        <v>25.14</v>
      </c>
      <c r="N301" s="24">
        <v>15</v>
      </c>
      <c r="O301" s="26">
        <f t="shared" si="55"/>
        <v>1.6759999999999999</v>
      </c>
      <c r="P301" s="24">
        <v>1.1000000000000001</v>
      </c>
      <c r="Q301" s="24">
        <v>36</v>
      </c>
      <c r="R301" s="27">
        <f t="shared" si="56"/>
        <v>66.369600000000005</v>
      </c>
      <c r="S301" s="102">
        <f t="shared" si="58"/>
        <v>7.3999999999999996E-2</v>
      </c>
      <c r="T301" s="21">
        <f>VLOOKUP($A301,'2022-23 Salary &amp; Benefits'!$A:$I,5,FALSE)</f>
        <v>68937</v>
      </c>
      <c r="U301" s="21">
        <f>VLOOKUP($A301,'2022-23 Salary &amp; Benefits'!$A:$I,6,FALSE)</f>
        <v>72728</v>
      </c>
      <c r="V301" s="22">
        <f t="shared" si="59"/>
        <v>5101.34</v>
      </c>
      <c r="W301" s="22">
        <f t="shared" si="60"/>
        <v>280.52999999999975</v>
      </c>
      <c r="X301" s="22">
        <f>'2022-23 Salary &amp; Benefits'!$G$6</f>
        <v>12558.24</v>
      </c>
      <c r="Y301" s="23">
        <f>'2022-23 Salary &amp; Benefits'!$H$6</f>
        <v>0.2298</v>
      </c>
      <c r="Z301" s="23">
        <f>'2022-23 Salary &amp; Benefits'!$I$6</f>
        <v>0.22339999999999999</v>
      </c>
      <c r="AA301" s="22">
        <f t="shared" si="61"/>
        <v>2164.27</v>
      </c>
      <c r="AB301" s="22">
        <f t="shared" si="62"/>
        <v>89.7</v>
      </c>
      <c r="AC301" s="22">
        <f t="shared" si="63"/>
        <v>20.04</v>
      </c>
      <c r="AD301" s="22">
        <f t="shared" si="53"/>
        <v>109.74000000000001</v>
      </c>
      <c r="AE301" s="22">
        <f t="shared" si="54"/>
        <v>7655.88</v>
      </c>
      <c r="AF301" s="19" t="str">
        <f>VLOOKUP(C301,'2021-22 School Level AAFTE'!C:N,12,FALSE)</f>
        <v>Yes</v>
      </c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</row>
    <row r="302" spans="1:284" s="19" customFormat="1">
      <c r="A302" s="97" t="s">
        <v>2492</v>
      </c>
      <c r="B302" s="97" t="s">
        <v>1849</v>
      </c>
      <c r="C302" s="95">
        <v>5278</v>
      </c>
      <c r="D302" s="95" t="s">
        <v>2718</v>
      </c>
      <c r="E302" s="129">
        <f>VLOOKUP($C302,'2021-22 School Level AAFTE'!$C:$Z,11,FALSE)</f>
        <v>6.8000000000000005E-2</v>
      </c>
      <c r="F302" s="129" t="str">
        <f>VLOOKUP($C302,'2021-22 School Level AAFTE'!$C:$Z,8,FALSE)</f>
        <v>No</v>
      </c>
      <c r="G302" s="129" t="str">
        <f>VLOOKUP($C302,'2021-22 School Level AAFTE'!$C:$Z,12,FALSE)</f>
        <v>No</v>
      </c>
      <c r="H302" s="127">
        <f>VLOOKUP($C302,'2021-22 School Level AAFTE'!$C:$I,7,FALSE)</f>
        <v>51.84</v>
      </c>
      <c r="I302" s="112">
        <f>IFERROR(IF(OR(G302="yes",F302= "yes"),VLOOKUP(C302,Summary!$B:$J,6,0),0),0)</f>
        <v>0</v>
      </c>
      <c r="J302" s="111">
        <f t="shared" si="57"/>
        <v>0</v>
      </c>
      <c r="K302" s="91">
        <f>VLOOKUP($A302,'2022-23 Salary &amp; Benefits'!$A:$I,3,FALSE)</f>
        <v>1</v>
      </c>
      <c r="L302" s="91">
        <f>VLOOKUP($A302,'2022-23 Salary &amp; Benefits'!$A:$I,4,FALSE)</f>
        <v>1</v>
      </c>
      <c r="M302" s="101">
        <f t="shared" si="52"/>
        <v>0</v>
      </c>
      <c r="N302" s="24">
        <v>15</v>
      </c>
      <c r="O302" s="26">
        <f t="shared" si="55"/>
        <v>0</v>
      </c>
      <c r="P302" s="24">
        <v>1.1000000000000001</v>
      </c>
      <c r="Q302" s="24">
        <v>36</v>
      </c>
      <c r="R302" s="27">
        <f t="shared" si="56"/>
        <v>0</v>
      </c>
      <c r="S302" s="102">
        <f t="shared" si="58"/>
        <v>0</v>
      </c>
      <c r="T302" s="21">
        <f>VLOOKUP($A302,'2022-23 Salary &amp; Benefits'!$A:$I,5,FALSE)</f>
        <v>68937</v>
      </c>
      <c r="U302" s="21">
        <f>VLOOKUP($A302,'2022-23 Salary &amp; Benefits'!$A:$I,6,FALSE)</f>
        <v>72728</v>
      </c>
      <c r="V302" s="22">
        <f t="shared" si="59"/>
        <v>0</v>
      </c>
      <c r="W302" s="22">
        <f t="shared" si="60"/>
        <v>0</v>
      </c>
      <c r="X302" s="22">
        <f>'2022-23 Salary &amp; Benefits'!$G$6</f>
        <v>12558.24</v>
      </c>
      <c r="Y302" s="23">
        <f>'2022-23 Salary &amp; Benefits'!$H$6</f>
        <v>0.2298</v>
      </c>
      <c r="Z302" s="23">
        <f>'2022-23 Salary &amp; Benefits'!$I$6</f>
        <v>0.22339999999999999</v>
      </c>
      <c r="AA302" s="22">
        <f t="shared" si="61"/>
        <v>0</v>
      </c>
      <c r="AB302" s="22">
        <f t="shared" si="62"/>
        <v>0</v>
      </c>
      <c r="AC302" s="22">
        <f t="shared" si="63"/>
        <v>0</v>
      </c>
      <c r="AD302" s="22">
        <f t="shared" si="53"/>
        <v>0</v>
      </c>
      <c r="AE302" s="22">
        <f t="shared" si="54"/>
        <v>0</v>
      </c>
      <c r="AF302" s="19" t="str">
        <f>VLOOKUP(C302,'2021-22 School Level AAFTE'!C:N,12,FALSE)</f>
        <v>No</v>
      </c>
    </row>
    <row r="303" spans="1:284" s="19" customFormat="1">
      <c r="A303" s="97" t="s">
        <v>2492</v>
      </c>
      <c r="B303" s="97" t="s">
        <v>1849</v>
      </c>
      <c r="C303" s="95">
        <v>5328</v>
      </c>
      <c r="D303" s="95" t="s">
        <v>1870</v>
      </c>
      <c r="E303" s="129">
        <f>VLOOKUP($C303,'2021-22 School Level AAFTE'!$C:$Z,11,FALSE)</f>
        <v>0.36909999999999998</v>
      </c>
      <c r="F303" s="129" t="str">
        <f>VLOOKUP($C303,'2021-22 School Level AAFTE'!$C:$Z,8,FALSE)</f>
        <v>No</v>
      </c>
      <c r="G303" s="129" t="str">
        <f>VLOOKUP($C303,'2021-22 School Level AAFTE'!$C:$Z,12,FALSE)</f>
        <v>No</v>
      </c>
      <c r="H303" s="127">
        <f>VLOOKUP($C303,'2021-22 School Level AAFTE'!$C:$I,7,FALSE)</f>
        <v>99.86</v>
      </c>
      <c r="I303" s="112">
        <f>IFERROR(IF(OR(G303="yes",F303= "yes"),VLOOKUP(C303,Summary!$B:$J,6,0),0),0)</f>
        <v>0</v>
      </c>
      <c r="J303" s="111">
        <f t="shared" si="57"/>
        <v>0</v>
      </c>
      <c r="K303" s="91">
        <f>VLOOKUP($A303,'2022-23 Salary &amp; Benefits'!$A:$I,3,FALSE)</f>
        <v>1</v>
      </c>
      <c r="L303" s="91">
        <f>VLOOKUP($A303,'2022-23 Salary &amp; Benefits'!$A:$I,4,FALSE)</f>
        <v>1</v>
      </c>
      <c r="M303" s="101">
        <f t="shared" si="52"/>
        <v>0</v>
      </c>
      <c r="N303" s="24">
        <v>15</v>
      </c>
      <c r="O303" s="26">
        <f t="shared" si="55"/>
        <v>0</v>
      </c>
      <c r="P303" s="24">
        <v>1.1000000000000001</v>
      </c>
      <c r="Q303" s="24">
        <v>36</v>
      </c>
      <c r="R303" s="27">
        <f t="shared" si="56"/>
        <v>0</v>
      </c>
      <c r="S303" s="102">
        <f t="shared" si="58"/>
        <v>0</v>
      </c>
      <c r="T303" s="21">
        <f>VLOOKUP($A303,'2022-23 Salary &amp; Benefits'!$A:$I,5,FALSE)</f>
        <v>68937</v>
      </c>
      <c r="U303" s="21">
        <f>VLOOKUP($A303,'2022-23 Salary &amp; Benefits'!$A:$I,6,FALSE)</f>
        <v>72728</v>
      </c>
      <c r="V303" s="22">
        <f t="shared" si="59"/>
        <v>0</v>
      </c>
      <c r="W303" s="22">
        <f t="shared" si="60"/>
        <v>0</v>
      </c>
      <c r="X303" s="22">
        <f>'2022-23 Salary &amp; Benefits'!$G$6</f>
        <v>12558.24</v>
      </c>
      <c r="Y303" s="23">
        <f>'2022-23 Salary &amp; Benefits'!$H$6</f>
        <v>0.2298</v>
      </c>
      <c r="Z303" s="23">
        <f>'2022-23 Salary &amp; Benefits'!$I$6</f>
        <v>0.22339999999999999</v>
      </c>
      <c r="AA303" s="22">
        <f t="shared" si="61"/>
        <v>0</v>
      </c>
      <c r="AB303" s="22">
        <f t="shared" si="62"/>
        <v>0</v>
      </c>
      <c r="AC303" s="22">
        <f t="shared" si="63"/>
        <v>0</v>
      </c>
      <c r="AD303" s="22">
        <f t="shared" si="53"/>
        <v>0</v>
      </c>
      <c r="AE303" s="22">
        <f t="shared" si="54"/>
        <v>0</v>
      </c>
      <c r="AF303" s="19" t="str">
        <f>VLOOKUP(C303,'2021-22 School Level AAFTE'!C:N,12,FALSE)</f>
        <v>No</v>
      </c>
    </row>
    <row r="304" spans="1:284" s="19" customFormat="1">
      <c r="A304" s="97" t="s">
        <v>2492</v>
      </c>
      <c r="B304" s="97" t="s">
        <v>1849</v>
      </c>
      <c r="C304" s="95">
        <v>5507</v>
      </c>
      <c r="D304" s="95" t="s">
        <v>2717</v>
      </c>
      <c r="E304" s="129">
        <f>VLOOKUP($C304,'2021-22 School Level AAFTE'!$C:$Z,11,FALSE)</f>
        <v>0.17373333333333332</v>
      </c>
      <c r="F304" s="129" t="str">
        <f>VLOOKUP($C304,'2021-22 School Level AAFTE'!$C:$Z,8,FALSE)</f>
        <v>No</v>
      </c>
      <c r="G304" s="129" t="str">
        <f>VLOOKUP($C304,'2021-22 School Level AAFTE'!$C:$Z,12,FALSE)</f>
        <v>No</v>
      </c>
      <c r="H304" s="127">
        <f>VLOOKUP($C304,'2021-22 School Level AAFTE'!$C:$I,7,FALSE)</f>
        <v>473.29</v>
      </c>
      <c r="I304" s="112">
        <f>IFERROR(IF(OR(G304="yes",F304= "yes"),VLOOKUP(C304,Summary!$B:$J,6,0),0),0)</f>
        <v>0</v>
      </c>
      <c r="J304" s="111">
        <f t="shared" si="57"/>
        <v>0</v>
      </c>
      <c r="K304" s="91">
        <f>VLOOKUP($A304,'2022-23 Salary &amp; Benefits'!$A:$I,3,FALSE)</f>
        <v>1</v>
      </c>
      <c r="L304" s="91">
        <f>VLOOKUP($A304,'2022-23 Salary &amp; Benefits'!$A:$I,4,FALSE)</f>
        <v>1</v>
      </c>
      <c r="M304" s="39">
        <f t="shared" si="52"/>
        <v>0</v>
      </c>
      <c r="N304" s="24">
        <v>15</v>
      </c>
      <c r="O304" s="26">
        <f t="shared" si="55"/>
        <v>0</v>
      </c>
      <c r="P304" s="24">
        <v>1.1000000000000001</v>
      </c>
      <c r="Q304" s="24">
        <v>36</v>
      </c>
      <c r="R304" s="27">
        <f t="shared" si="56"/>
        <v>0</v>
      </c>
      <c r="S304" s="102">
        <f t="shared" si="58"/>
        <v>0</v>
      </c>
      <c r="T304" s="21">
        <f>VLOOKUP($A304,'2022-23 Salary &amp; Benefits'!$A:$I,5,FALSE)</f>
        <v>68937</v>
      </c>
      <c r="U304" s="21">
        <f>VLOOKUP($A304,'2022-23 Salary &amp; Benefits'!$A:$I,6,FALSE)</f>
        <v>72728</v>
      </c>
      <c r="V304" s="22">
        <f t="shared" si="59"/>
        <v>0</v>
      </c>
      <c r="W304" s="22">
        <f t="shared" si="60"/>
        <v>0</v>
      </c>
      <c r="X304" s="22">
        <f>'2022-23 Salary &amp; Benefits'!$G$6</f>
        <v>12558.24</v>
      </c>
      <c r="Y304" s="23">
        <f>'2022-23 Salary &amp; Benefits'!$H$6</f>
        <v>0.2298</v>
      </c>
      <c r="Z304" s="23">
        <f>'2022-23 Salary &amp; Benefits'!$I$6</f>
        <v>0.22339999999999999</v>
      </c>
      <c r="AA304" s="22">
        <f t="shared" si="61"/>
        <v>0</v>
      </c>
      <c r="AB304" s="22">
        <f t="shared" si="62"/>
        <v>0</v>
      </c>
      <c r="AC304" s="22">
        <f t="shared" si="63"/>
        <v>0</v>
      </c>
      <c r="AD304" s="22">
        <f t="shared" si="53"/>
        <v>0</v>
      </c>
      <c r="AE304" s="22">
        <f t="shared" si="54"/>
        <v>0</v>
      </c>
      <c r="AF304" s="19" t="str">
        <f>VLOOKUP(C304,'2021-22 School Level AAFTE'!C:N,12,FALSE)</f>
        <v>No</v>
      </c>
    </row>
    <row r="305" spans="1:32" s="19" customFormat="1">
      <c r="A305" s="97" t="s">
        <v>2492</v>
      </c>
      <c r="B305" s="97" t="s">
        <v>1849</v>
      </c>
      <c r="C305" s="95">
        <v>5541</v>
      </c>
      <c r="D305" s="95" t="s">
        <v>2871</v>
      </c>
      <c r="E305" s="129">
        <f>VLOOKUP($C305,'2021-22 School Level AAFTE'!$C:$Z,11,FALSE)</f>
        <v>0.2961333333333333</v>
      </c>
      <c r="F305" s="129" t="str">
        <f>VLOOKUP($C305,'2021-22 School Level AAFTE'!$C:$Z,8,FALSE)</f>
        <v>No</v>
      </c>
      <c r="G305" s="129" t="str">
        <f>VLOOKUP($C305,'2021-22 School Level AAFTE'!$C:$Z,12,FALSE)</f>
        <v>No</v>
      </c>
      <c r="H305" s="127">
        <f>VLOOKUP($C305,'2021-22 School Level AAFTE'!$C:$I,7,FALSE)</f>
        <v>538.12</v>
      </c>
      <c r="I305" s="112">
        <f>IFERROR(IF(OR(G305="yes",F305= "yes"),VLOOKUP(C305,Summary!$B:$J,6,0),0),0)</f>
        <v>0</v>
      </c>
      <c r="J305" s="111">
        <f t="shared" si="57"/>
        <v>0</v>
      </c>
      <c r="K305" s="91">
        <f>VLOOKUP($A305,'2022-23 Salary &amp; Benefits'!$A:$I,3,FALSE)</f>
        <v>1</v>
      </c>
      <c r="L305" s="91">
        <f>VLOOKUP($A305,'2022-23 Salary &amp; Benefits'!$A:$I,4,FALSE)</f>
        <v>1</v>
      </c>
      <c r="M305" s="39">
        <f t="shared" si="52"/>
        <v>0</v>
      </c>
      <c r="N305" s="24">
        <v>15</v>
      </c>
      <c r="O305" s="26">
        <f t="shared" si="55"/>
        <v>0</v>
      </c>
      <c r="P305" s="24">
        <v>1.1000000000000001</v>
      </c>
      <c r="Q305" s="24">
        <v>36</v>
      </c>
      <c r="R305" s="27">
        <f t="shared" si="56"/>
        <v>0</v>
      </c>
      <c r="S305" s="102">
        <f t="shared" si="58"/>
        <v>0</v>
      </c>
      <c r="T305" s="21">
        <f>VLOOKUP($A305,'2022-23 Salary &amp; Benefits'!$A:$I,5,FALSE)</f>
        <v>68937</v>
      </c>
      <c r="U305" s="21">
        <f>VLOOKUP($A305,'2022-23 Salary &amp; Benefits'!$A:$I,6,FALSE)</f>
        <v>72728</v>
      </c>
      <c r="V305" s="22">
        <f t="shared" si="59"/>
        <v>0</v>
      </c>
      <c r="W305" s="22">
        <f t="shared" si="60"/>
        <v>0</v>
      </c>
      <c r="X305" s="22">
        <f>'2022-23 Salary &amp; Benefits'!$G$6</f>
        <v>12558.24</v>
      </c>
      <c r="Y305" s="23">
        <f>'2022-23 Salary &amp; Benefits'!$H$6</f>
        <v>0.2298</v>
      </c>
      <c r="Z305" s="23">
        <f>'2022-23 Salary &amp; Benefits'!$I$6</f>
        <v>0.22339999999999999</v>
      </c>
      <c r="AA305" s="22">
        <f t="shared" si="61"/>
        <v>0</v>
      </c>
      <c r="AB305" s="22">
        <f t="shared" si="62"/>
        <v>0</v>
      </c>
      <c r="AC305" s="22">
        <f t="shared" si="63"/>
        <v>0</v>
      </c>
      <c r="AD305" s="22">
        <f t="shared" si="53"/>
        <v>0</v>
      </c>
      <c r="AE305" s="22">
        <f t="shared" si="54"/>
        <v>0</v>
      </c>
      <c r="AF305" s="19" t="str">
        <f>VLOOKUP(C305,'2021-22 School Level AAFTE'!C:N,12,FALSE)</f>
        <v>No</v>
      </c>
    </row>
    <row r="306" spans="1:32" s="19" customFormat="1">
      <c r="A306" s="97" t="s">
        <v>2492</v>
      </c>
      <c r="B306" s="97" t="s">
        <v>1849</v>
      </c>
      <c r="C306" s="95">
        <v>5542</v>
      </c>
      <c r="D306" s="95" t="s">
        <v>2819</v>
      </c>
      <c r="E306" s="129">
        <f>VLOOKUP($C306,'2021-22 School Level AAFTE'!$C:$Z,11,FALSE)</f>
        <v>0.20280000000000001</v>
      </c>
      <c r="F306" s="129" t="str">
        <f>VLOOKUP($C306,'2021-22 School Level AAFTE'!$C:$Z,8,FALSE)</f>
        <v>No</v>
      </c>
      <c r="G306" s="129" t="str">
        <f>VLOOKUP($C306,'2021-22 School Level AAFTE'!$C:$Z,12,FALSE)</f>
        <v>No</v>
      </c>
      <c r="H306" s="127">
        <f>VLOOKUP($C306,'2021-22 School Level AAFTE'!$C:$I,7,FALSE)</f>
        <v>152.09</v>
      </c>
      <c r="I306" s="112">
        <f>IFERROR(IF(OR(G306="yes",F306= "yes"),VLOOKUP(C306,Summary!$B:$J,6,0),0),0)</f>
        <v>0</v>
      </c>
      <c r="J306" s="111">
        <f t="shared" si="57"/>
        <v>0</v>
      </c>
      <c r="K306" s="91">
        <f>VLOOKUP($A306,'2022-23 Salary &amp; Benefits'!$A:$I,3,FALSE)</f>
        <v>1</v>
      </c>
      <c r="L306" s="91">
        <f>VLOOKUP($A306,'2022-23 Salary &amp; Benefits'!$A:$I,4,FALSE)</f>
        <v>1</v>
      </c>
      <c r="M306" s="39">
        <f t="shared" si="52"/>
        <v>0</v>
      </c>
      <c r="N306" s="24">
        <v>15</v>
      </c>
      <c r="O306" s="26">
        <f t="shared" si="55"/>
        <v>0</v>
      </c>
      <c r="P306" s="24">
        <v>1.1000000000000001</v>
      </c>
      <c r="Q306" s="24">
        <v>36</v>
      </c>
      <c r="R306" s="27">
        <f t="shared" si="56"/>
        <v>0</v>
      </c>
      <c r="S306" s="102">
        <f t="shared" si="58"/>
        <v>0</v>
      </c>
      <c r="T306" s="21">
        <f>VLOOKUP($A306,'2022-23 Salary &amp; Benefits'!$A:$I,5,FALSE)</f>
        <v>68937</v>
      </c>
      <c r="U306" s="21">
        <f>VLOOKUP($A306,'2022-23 Salary &amp; Benefits'!$A:$I,6,FALSE)</f>
        <v>72728</v>
      </c>
      <c r="V306" s="22">
        <f t="shared" si="59"/>
        <v>0</v>
      </c>
      <c r="W306" s="22">
        <f t="shared" si="60"/>
        <v>0</v>
      </c>
      <c r="X306" s="22">
        <f>'2022-23 Salary &amp; Benefits'!$G$6</f>
        <v>12558.24</v>
      </c>
      <c r="Y306" s="23">
        <f>'2022-23 Salary &amp; Benefits'!$H$6</f>
        <v>0.2298</v>
      </c>
      <c r="Z306" s="23">
        <f>'2022-23 Salary &amp; Benefits'!$I$6</f>
        <v>0.22339999999999999</v>
      </c>
      <c r="AA306" s="22">
        <f t="shared" si="61"/>
        <v>0</v>
      </c>
      <c r="AB306" s="22">
        <f t="shared" si="62"/>
        <v>0</v>
      </c>
      <c r="AC306" s="22">
        <f t="shared" si="63"/>
        <v>0</v>
      </c>
      <c r="AD306" s="22">
        <f t="shared" si="53"/>
        <v>0</v>
      </c>
      <c r="AE306" s="22">
        <f t="shared" si="54"/>
        <v>0</v>
      </c>
      <c r="AF306" s="19" t="str">
        <f>VLOOKUP(C306,'2021-22 School Level AAFTE'!C:N,12,FALSE)</f>
        <v>No</v>
      </c>
    </row>
    <row r="307" spans="1:32" s="19" customFormat="1">
      <c r="A307" s="97" t="s">
        <v>2492</v>
      </c>
      <c r="B307" s="97" t="s">
        <v>1849</v>
      </c>
      <c r="C307" s="95">
        <v>5552</v>
      </c>
      <c r="D307" s="95" t="s">
        <v>1290</v>
      </c>
      <c r="E307" s="129">
        <f>VLOOKUP($C307,'2021-22 School Level AAFTE'!$C:$Z,11,FALSE)</f>
        <v>0.23643333333333336</v>
      </c>
      <c r="F307" s="129" t="str">
        <f>VLOOKUP($C307,'2021-22 School Level AAFTE'!$C:$Z,8,FALSE)</f>
        <v>No</v>
      </c>
      <c r="G307" s="129" t="str">
        <f>VLOOKUP($C307,'2021-22 School Level AAFTE'!$C:$Z,12,FALSE)</f>
        <v>No</v>
      </c>
      <c r="H307" s="127">
        <f>VLOOKUP($C307,'2021-22 School Level AAFTE'!$C:$I,7,FALSE)</f>
        <v>530.42999999999995</v>
      </c>
      <c r="I307" s="112">
        <f>IFERROR(IF(OR(G307="yes",F307= "yes"),VLOOKUP(C307,Summary!$B:$J,6,0),0),0)</f>
        <v>0</v>
      </c>
      <c r="J307" s="111">
        <f t="shared" si="57"/>
        <v>0</v>
      </c>
      <c r="K307" s="91">
        <f>VLOOKUP($A307,'2022-23 Salary &amp; Benefits'!$A:$I,3,FALSE)</f>
        <v>1</v>
      </c>
      <c r="L307" s="91">
        <f>VLOOKUP($A307,'2022-23 Salary &amp; Benefits'!$A:$I,4,FALSE)</f>
        <v>1</v>
      </c>
      <c r="M307" s="101">
        <f t="shared" si="52"/>
        <v>0</v>
      </c>
      <c r="N307" s="24">
        <v>15</v>
      </c>
      <c r="O307" s="26">
        <f t="shared" si="55"/>
        <v>0</v>
      </c>
      <c r="P307" s="24">
        <v>1.1000000000000001</v>
      </c>
      <c r="Q307" s="24">
        <v>36</v>
      </c>
      <c r="R307" s="27">
        <f t="shared" si="56"/>
        <v>0</v>
      </c>
      <c r="S307" s="102">
        <f t="shared" si="58"/>
        <v>0</v>
      </c>
      <c r="T307" s="21">
        <f>VLOOKUP($A307,'2022-23 Salary &amp; Benefits'!$A:$I,5,FALSE)</f>
        <v>68937</v>
      </c>
      <c r="U307" s="21">
        <f>VLOOKUP($A307,'2022-23 Salary &amp; Benefits'!$A:$I,6,FALSE)</f>
        <v>72728</v>
      </c>
      <c r="V307" s="22">
        <f t="shared" si="59"/>
        <v>0</v>
      </c>
      <c r="W307" s="22">
        <f t="shared" si="60"/>
        <v>0</v>
      </c>
      <c r="X307" s="22">
        <f>'2022-23 Salary &amp; Benefits'!$G$6</f>
        <v>12558.24</v>
      </c>
      <c r="Y307" s="23">
        <f>'2022-23 Salary &amp; Benefits'!$H$6</f>
        <v>0.2298</v>
      </c>
      <c r="Z307" s="23">
        <f>'2022-23 Salary &amp; Benefits'!$I$6</f>
        <v>0.22339999999999999</v>
      </c>
      <c r="AA307" s="22">
        <f t="shared" si="61"/>
        <v>0</v>
      </c>
      <c r="AB307" s="22">
        <f t="shared" si="62"/>
        <v>0</v>
      </c>
      <c r="AC307" s="22">
        <f t="shared" si="63"/>
        <v>0</v>
      </c>
      <c r="AD307" s="22">
        <f t="shared" si="53"/>
        <v>0</v>
      </c>
      <c r="AE307" s="22">
        <f t="shared" si="54"/>
        <v>0</v>
      </c>
      <c r="AF307" s="19" t="str">
        <f>VLOOKUP(C307,'2021-22 School Level AAFTE'!C:N,12,FALSE)</f>
        <v>No</v>
      </c>
    </row>
    <row r="308" spans="1:32" s="19" customFormat="1">
      <c r="A308" s="97" t="s">
        <v>2492</v>
      </c>
      <c r="B308" s="97" t="s">
        <v>1849</v>
      </c>
      <c r="C308" s="95">
        <v>5660</v>
      </c>
      <c r="D308" s="95" t="s">
        <v>3006</v>
      </c>
      <c r="E308" s="129">
        <f>VLOOKUP($C308,'2021-22 School Level AAFTE'!$C:$Z,11,FALSE)</f>
        <v>0.24529999999999999</v>
      </c>
      <c r="F308" s="129" t="str">
        <f>VLOOKUP($C308,'2021-22 School Level AAFTE'!$C:$Z,8,FALSE)</f>
        <v>No</v>
      </c>
      <c r="G308" s="129" t="str">
        <f>VLOOKUP($C308,'2021-22 School Level AAFTE'!$C:$Z,12,FALSE)</f>
        <v>No</v>
      </c>
      <c r="H308" s="127">
        <f>VLOOKUP($C308,'2021-22 School Level AAFTE'!$C:$I,7,FALSE)</f>
        <v>942.58</v>
      </c>
      <c r="I308" s="112">
        <f>IFERROR(IF(OR(G308="yes",F308= "yes"),VLOOKUP(C308,Summary!$B:$J,6,0),0),0)</f>
        <v>0</v>
      </c>
      <c r="J308" s="111">
        <f t="shared" si="57"/>
        <v>0</v>
      </c>
      <c r="K308" s="91">
        <f>VLOOKUP($A308,'2022-23 Salary &amp; Benefits'!$A:$I,3,FALSE)</f>
        <v>1</v>
      </c>
      <c r="L308" s="91">
        <f>VLOOKUP($A308,'2022-23 Salary &amp; Benefits'!$A:$I,4,FALSE)</f>
        <v>1</v>
      </c>
      <c r="M308" s="101">
        <f t="shared" si="52"/>
        <v>0</v>
      </c>
      <c r="N308" s="24">
        <v>15</v>
      </c>
      <c r="O308" s="26">
        <f t="shared" si="55"/>
        <v>0</v>
      </c>
      <c r="P308" s="24">
        <v>1.1000000000000001</v>
      </c>
      <c r="Q308" s="24">
        <v>36</v>
      </c>
      <c r="R308" s="27">
        <f t="shared" si="56"/>
        <v>0</v>
      </c>
      <c r="S308" s="102">
        <f t="shared" si="58"/>
        <v>0</v>
      </c>
      <c r="T308" s="21">
        <f>VLOOKUP($A308,'2022-23 Salary &amp; Benefits'!$A:$I,5,FALSE)</f>
        <v>68937</v>
      </c>
      <c r="U308" s="21">
        <f>VLOOKUP($A308,'2022-23 Salary &amp; Benefits'!$A:$I,6,FALSE)</f>
        <v>72728</v>
      </c>
      <c r="V308" s="22">
        <f t="shared" si="59"/>
        <v>0</v>
      </c>
      <c r="W308" s="22">
        <f t="shared" si="60"/>
        <v>0</v>
      </c>
      <c r="X308" s="22">
        <f>'2022-23 Salary &amp; Benefits'!$G$6</f>
        <v>12558.24</v>
      </c>
      <c r="Y308" s="23">
        <f>'2022-23 Salary &amp; Benefits'!$H$6</f>
        <v>0.2298</v>
      </c>
      <c r="Z308" s="23">
        <f>'2022-23 Salary &amp; Benefits'!$I$6</f>
        <v>0.22339999999999999</v>
      </c>
      <c r="AA308" s="22">
        <f t="shared" si="61"/>
        <v>0</v>
      </c>
      <c r="AB308" s="22">
        <f t="shared" si="62"/>
        <v>0</v>
      </c>
      <c r="AC308" s="22">
        <f t="shared" si="63"/>
        <v>0</v>
      </c>
      <c r="AD308" s="22">
        <f t="shared" si="53"/>
        <v>0</v>
      </c>
      <c r="AE308" s="22">
        <f t="shared" si="54"/>
        <v>0</v>
      </c>
      <c r="AF308" s="19" t="str">
        <f>VLOOKUP(C308,'2021-22 School Level AAFTE'!C:N,12,FALSE)</f>
        <v>No</v>
      </c>
    </row>
    <row r="309" spans="1:32" s="19" customFormat="1">
      <c r="A309" s="97" t="s">
        <v>2492</v>
      </c>
      <c r="B309" s="97" t="s">
        <v>1849</v>
      </c>
      <c r="C309" s="95">
        <v>5667</v>
      </c>
      <c r="D309" s="95" t="s">
        <v>3005</v>
      </c>
      <c r="E309" s="129">
        <f>VLOOKUP($C309,'2021-22 School Level AAFTE'!$C:$Z,11,FALSE)</f>
        <v>0.51249999999999996</v>
      </c>
      <c r="F309" s="129" t="str">
        <f>VLOOKUP($C309,'2021-22 School Level AAFTE'!$C:$Z,8,FALSE)</f>
        <v>Yes</v>
      </c>
      <c r="G309" s="129" t="str">
        <f>VLOOKUP($C309,'2021-22 School Level AAFTE'!$C:$Z,12,FALSE)</f>
        <v>No</v>
      </c>
      <c r="H309" s="127">
        <f>VLOOKUP($C309,'2021-22 School Level AAFTE'!$C:$I,7,FALSE)</f>
        <v>284.08999999999997</v>
      </c>
      <c r="I309" s="112">
        <f>IFERROR(IF(OR(G309="yes",F309= "yes"),VLOOKUP(C309,Summary!$B:$J,6,0),0),0)</f>
        <v>0</v>
      </c>
      <c r="J309" s="111">
        <f t="shared" si="57"/>
        <v>284.08999999999997</v>
      </c>
      <c r="K309" s="91">
        <f>VLOOKUP($A309,'2022-23 Salary &amp; Benefits'!$A:$I,3,FALSE)</f>
        <v>1</v>
      </c>
      <c r="L309" s="91">
        <f>VLOOKUP($A309,'2022-23 Salary &amp; Benefits'!$A:$I,4,FALSE)</f>
        <v>1</v>
      </c>
      <c r="M309" s="101">
        <f t="shared" si="52"/>
        <v>284.08999999999997</v>
      </c>
      <c r="N309" s="24">
        <v>15</v>
      </c>
      <c r="O309" s="26">
        <f t="shared" si="55"/>
        <v>18.93933333333333</v>
      </c>
      <c r="P309" s="24">
        <v>1.1000000000000001</v>
      </c>
      <c r="Q309" s="24">
        <v>36</v>
      </c>
      <c r="R309" s="27">
        <f t="shared" si="56"/>
        <v>749.99759999999992</v>
      </c>
      <c r="S309" s="102">
        <f t="shared" si="58"/>
        <v>0.83299999999999996</v>
      </c>
      <c r="T309" s="21">
        <f>VLOOKUP($A309,'2022-23 Salary &amp; Benefits'!$A:$I,5,FALSE)</f>
        <v>68937</v>
      </c>
      <c r="U309" s="21">
        <f>VLOOKUP($A309,'2022-23 Salary &amp; Benefits'!$A:$I,6,FALSE)</f>
        <v>72728</v>
      </c>
      <c r="V309" s="22">
        <f t="shared" si="59"/>
        <v>57424.52</v>
      </c>
      <c r="W309" s="22">
        <f t="shared" si="60"/>
        <v>3157.9000000000015</v>
      </c>
      <c r="X309" s="22">
        <f>'2022-23 Salary &amp; Benefits'!$G$6</f>
        <v>12558.24</v>
      </c>
      <c r="Y309" s="23">
        <f>'2022-23 Salary &amp; Benefits'!$H$6</f>
        <v>0.2298</v>
      </c>
      <c r="Z309" s="23">
        <f>'2022-23 Salary &amp; Benefits'!$I$6</f>
        <v>0.22339999999999999</v>
      </c>
      <c r="AA309" s="22">
        <f t="shared" si="61"/>
        <v>24362.639999999999</v>
      </c>
      <c r="AB309" s="22">
        <f t="shared" si="62"/>
        <v>1009.71</v>
      </c>
      <c r="AC309" s="22">
        <f t="shared" si="63"/>
        <v>225.57</v>
      </c>
      <c r="AD309" s="22">
        <f t="shared" si="53"/>
        <v>1235.28</v>
      </c>
      <c r="AE309" s="22">
        <f t="shared" si="54"/>
        <v>86180.34</v>
      </c>
      <c r="AF309" s="19" t="str">
        <f>VLOOKUP(C309,'2021-22 School Level AAFTE'!C:N,12,FALSE)</f>
        <v>No</v>
      </c>
    </row>
    <row r="310" spans="1:32" s="19" customFormat="1">
      <c r="A310" s="97" t="s">
        <v>2405</v>
      </c>
      <c r="B310" s="97" t="s">
        <v>1173</v>
      </c>
      <c r="C310" s="95">
        <v>2166</v>
      </c>
      <c r="D310" s="95" t="s">
        <v>1174</v>
      </c>
      <c r="E310" s="129">
        <f>VLOOKUP($C310,'2021-22 School Level AAFTE'!$C:$Z,11,FALSE)</f>
        <v>0.71523333333333339</v>
      </c>
      <c r="F310" s="129" t="str">
        <f>VLOOKUP($C310,'2021-22 School Level AAFTE'!$C:$Z,8,FALSE)</f>
        <v>Yes</v>
      </c>
      <c r="G310" s="129" t="str">
        <f>VLOOKUP($C310,'2021-22 School Level AAFTE'!$C:$Z,12,FALSE)</f>
        <v>No</v>
      </c>
      <c r="H310" s="127">
        <f>VLOOKUP($C310,'2021-22 School Level AAFTE'!$C:$I,7,FALSE)</f>
        <v>948.51</v>
      </c>
      <c r="I310" s="112">
        <f>IFERROR(IF(OR(G310="yes",F310= "yes"),VLOOKUP(C310,Summary!$B:$J,6,0),0),0)</f>
        <v>0</v>
      </c>
      <c r="J310" s="111">
        <f t="shared" si="57"/>
        <v>948.51</v>
      </c>
      <c r="K310" s="91">
        <f>VLOOKUP($A310,'2022-23 Salary &amp; Benefits'!$A:$I,3,FALSE)</f>
        <v>1</v>
      </c>
      <c r="L310" s="91">
        <f>VLOOKUP($A310,'2022-23 Salary &amp; Benefits'!$A:$I,4,FALSE)</f>
        <v>1</v>
      </c>
      <c r="M310" s="101">
        <f t="shared" si="52"/>
        <v>948.51</v>
      </c>
      <c r="N310" s="24">
        <v>15</v>
      </c>
      <c r="O310" s="26">
        <f t="shared" si="55"/>
        <v>63.234000000000002</v>
      </c>
      <c r="P310" s="24">
        <v>1.1000000000000001</v>
      </c>
      <c r="Q310" s="24">
        <v>36</v>
      </c>
      <c r="R310" s="27">
        <f t="shared" si="56"/>
        <v>2504.0664000000002</v>
      </c>
      <c r="S310" s="102">
        <f t="shared" si="58"/>
        <v>2.782</v>
      </c>
      <c r="T310" s="21">
        <f>VLOOKUP($A310,'2022-23 Salary &amp; Benefits'!$A:$I,5,FALSE)</f>
        <v>68937</v>
      </c>
      <c r="U310" s="21">
        <f>VLOOKUP($A310,'2022-23 Salary &amp; Benefits'!$A:$I,6,FALSE)</f>
        <v>72728</v>
      </c>
      <c r="V310" s="22">
        <f t="shared" si="59"/>
        <v>191782.73</v>
      </c>
      <c r="W310" s="22">
        <f t="shared" si="60"/>
        <v>10546.569999999978</v>
      </c>
      <c r="X310" s="22">
        <f>'2022-23 Salary &amp; Benefits'!$G$6</f>
        <v>12558.24</v>
      </c>
      <c r="Y310" s="23">
        <f>'2022-23 Salary &amp; Benefits'!$H$6</f>
        <v>0.2298</v>
      </c>
      <c r="Z310" s="23">
        <f>'2022-23 Salary &amp; Benefits'!$I$6</f>
        <v>0.22339999999999999</v>
      </c>
      <c r="AA310" s="22">
        <f t="shared" si="61"/>
        <v>81364.800000000003</v>
      </c>
      <c r="AB310" s="22">
        <f t="shared" si="62"/>
        <v>3372.15</v>
      </c>
      <c r="AC310" s="22">
        <f t="shared" si="63"/>
        <v>753.34</v>
      </c>
      <c r="AD310" s="22">
        <f t="shared" si="53"/>
        <v>4125.49</v>
      </c>
      <c r="AE310" s="22">
        <f t="shared" si="54"/>
        <v>287819.58999999997</v>
      </c>
      <c r="AF310" s="19" t="str">
        <f>VLOOKUP(C310,'2021-22 School Level AAFTE'!C:N,12,FALSE)</f>
        <v>No</v>
      </c>
    </row>
    <row r="311" spans="1:32" s="19" customFormat="1">
      <c r="A311" s="97" t="s">
        <v>2405</v>
      </c>
      <c r="B311" s="97" t="s">
        <v>1173</v>
      </c>
      <c r="C311" s="95">
        <v>2244</v>
      </c>
      <c r="D311" s="95" t="s">
        <v>1175</v>
      </c>
      <c r="E311" s="129">
        <f>VLOOKUP($C311,'2021-22 School Level AAFTE'!$C:$Z,11,FALSE)</f>
        <v>0.73333333333333339</v>
      </c>
      <c r="F311" s="129" t="str">
        <f>VLOOKUP($C311,'2021-22 School Level AAFTE'!$C:$Z,8,FALSE)</f>
        <v>Yes</v>
      </c>
      <c r="G311" s="129" t="str">
        <f>VLOOKUP($C311,'2021-22 School Level AAFTE'!$C:$Z,12,FALSE)</f>
        <v>No</v>
      </c>
      <c r="H311" s="127">
        <f>VLOOKUP($C311,'2021-22 School Level AAFTE'!$C:$I,7,FALSE)</f>
        <v>281.93</v>
      </c>
      <c r="I311" s="112">
        <f>IFERROR(IF(OR(G311="yes",F311= "yes"),VLOOKUP(C311,Summary!$B:$J,6,0),0),0)</f>
        <v>0</v>
      </c>
      <c r="J311" s="111">
        <f t="shared" si="57"/>
        <v>281.93</v>
      </c>
      <c r="K311" s="91">
        <f>VLOOKUP($A311,'2022-23 Salary &amp; Benefits'!$A:$I,3,FALSE)</f>
        <v>1</v>
      </c>
      <c r="L311" s="91">
        <f>VLOOKUP($A311,'2022-23 Salary &amp; Benefits'!$A:$I,4,FALSE)</f>
        <v>1</v>
      </c>
      <c r="M311" s="101">
        <f t="shared" si="52"/>
        <v>281.93</v>
      </c>
      <c r="N311" s="24">
        <v>15</v>
      </c>
      <c r="O311" s="26">
        <f t="shared" si="55"/>
        <v>18.795333333333335</v>
      </c>
      <c r="P311" s="24">
        <v>1.1000000000000001</v>
      </c>
      <c r="Q311" s="24">
        <v>36</v>
      </c>
      <c r="R311" s="27">
        <f t="shared" si="56"/>
        <v>744.29520000000014</v>
      </c>
      <c r="S311" s="102">
        <f t="shared" si="58"/>
        <v>0.82699999999999996</v>
      </c>
      <c r="T311" s="21">
        <f>VLOOKUP($A311,'2022-23 Salary &amp; Benefits'!$A:$I,5,FALSE)</f>
        <v>68937</v>
      </c>
      <c r="U311" s="21">
        <f>VLOOKUP($A311,'2022-23 Salary &amp; Benefits'!$A:$I,6,FALSE)</f>
        <v>72728</v>
      </c>
      <c r="V311" s="22">
        <f t="shared" si="59"/>
        <v>57010.9</v>
      </c>
      <c r="W311" s="22">
        <f t="shared" si="60"/>
        <v>3135.1599999999962</v>
      </c>
      <c r="X311" s="22">
        <f>'2022-23 Salary &amp; Benefits'!$G$6</f>
        <v>12558.24</v>
      </c>
      <c r="Y311" s="23">
        <f>'2022-23 Salary &amp; Benefits'!$H$6</f>
        <v>0.2298</v>
      </c>
      <c r="Z311" s="23">
        <f>'2022-23 Salary &amp; Benefits'!$I$6</f>
        <v>0.22339999999999999</v>
      </c>
      <c r="AA311" s="22">
        <f t="shared" si="61"/>
        <v>24187.16</v>
      </c>
      <c r="AB311" s="22">
        <f t="shared" si="62"/>
        <v>1002.43</v>
      </c>
      <c r="AC311" s="22">
        <f t="shared" si="63"/>
        <v>223.94</v>
      </c>
      <c r="AD311" s="22">
        <f t="shared" si="53"/>
        <v>1226.3699999999999</v>
      </c>
      <c r="AE311" s="22">
        <f t="shared" si="54"/>
        <v>85559.59</v>
      </c>
      <c r="AF311" s="19" t="str">
        <f>VLOOKUP(C311,'2021-22 School Level AAFTE'!C:N,12,FALSE)</f>
        <v>No</v>
      </c>
    </row>
    <row r="312" spans="1:32" s="19" customFormat="1">
      <c r="A312" s="97" t="s">
        <v>2405</v>
      </c>
      <c r="B312" s="97" t="s">
        <v>1173</v>
      </c>
      <c r="C312" s="95">
        <v>2291</v>
      </c>
      <c r="D312" s="95" t="s">
        <v>1176</v>
      </c>
      <c r="E312" s="129">
        <f>VLOOKUP($C312,'2021-22 School Level AAFTE'!$C:$Z,11,FALSE)</f>
        <v>0.8363666666666667</v>
      </c>
      <c r="F312" s="129" t="str">
        <f>VLOOKUP($C312,'2021-22 School Level AAFTE'!$C:$Z,8,FALSE)</f>
        <v>Yes</v>
      </c>
      <c r="G312" s="129" t="str">
        <f>VLOOKUP($C312,'2021-22 School Level AAFTE'!$C:$Z,12,FALSE)</f>
        <v>No</v>
      </c>
      <c r="H312" s="127">
        <f>VLOOKUP($C312,'2021-22 School Level AAFTE'!$C:$I,7,FALSE)</f>
        <v>359</v>
      </c>
      <c r="I312" s="112">
        <f>IFERROR(IF(OR(G312="yes",F312= "yes"),VLOOKUP(C312,Summary!$B:$J,6,0),0),0)</f>
        <v>0</v>
      </c>
      <c r="J312" s="111">
        <f t="shared" si="57"/>
        <v>359</v>
      </c>
      <c r="K312" s="91">
        <f>VLOOKUP($A312,'2022-23 Salary &amp; Benefits'!$A:$I,3,FALSE)</f>
        <v>1</v>
      </c>
      <c r="L312" s="91">
        <f>VLOOKUP($A312,'2022-23 Salary &amp; Benefits'!$A:$I,4,FALSE)</f>
        <v>1</v>
      </c>
      <c r="M312" s="101">
        <f t="shared" si="52"/>
        <v>359</v>
      </c>
      <c r="N312" s="24">
        <v>15</v>
      </c>
      <c r="O312" s="26">
        <f t="shared" si="55"/>
        <v>23.933333333333334</v>
      </c>
      <c r="P312" s="24">
        <v>1.1000000000000001</v>
      </c>
      <c r="Q312" s="24">
        <v>36</v>
      </c>
      <c r="R312" s="27">
        <f t="shared" si="56"/>
        <v>947.76</v>
      </c>
      <c r="S312" s="102">
        <f t="shared" si="58"/>
        <v>1.0529999999999999</v>
      </c>
      <c r="T312" s="21">
        <f>VLOOKUP($A312,'2022-23 Salary &amp; Benefits'!$A:$I,5,FALSE)</f>
        <v>68937</v>
      </c>
      <c r="U312" s="21">
        <f>VLOOKUP($A312,'2022-23 Salary &amp; Benefits'!$A:$I,6,FALSE)</f>
        <v>72728</v>
      </c>
      <c r="V312" s="22">
        <f t="shared" si="59"/>
        <v>72590.66</v>
      </c>
      <c r="W312" s="22">
        <f t="shared" si="60"/>
        <v>3991.9199999999983</v>
      </c>
      <c r="X312" s="22">
        <f>'2022-23 Salary &amp; Benefits'!$G$6</f>
        <v>12558.24</v>
      </c>
      <c r="Y312" s="23">
        <f>'2022-23 Salary &amp; Benefits'!$H$6</f>
        <v>0.2298</v>
      </c>
      <c r="Z312" s="23">
        <f>'2022-23 Salary &amp; Benefits'!$I$6</f>
        <v>0.22339999999999999</v>
      </c>
      <c r="AA312" s="22">
        <f t="shared" si="61"/>
        <v>30796.959999999999</v>
      </c>
      <c r="AB312" s="22">
        <f t="shared" si="62"/>
        <v>1276.3800000000001</v>
      </c>
      <c r="AC312" s="22">
        <f t="shared" si="63"/>
        <v>285.14</v>
      </c>
      <c r="AD312" s="22">
        <f t="shared" si="53"/>
        <v>1561.52</v>
      </c>
      <c r="AE312" s="22">
        <f t="shared" si="54"/>
        <v>108941.06</v>
      </c>
      <c r="AF312" s="19" t="str">
        <f>VLOOKUP(C312,'2021-22 School Level AAFTE'!C:N,12,FALSE)</f>
        <v>No</v>
      </c>
    </row>
    <row r="313" spans="1:32" s="19" customFormat="1">
      <c r="A313" s="97" t="s">
        <v>2405</v>
      </c>
      <c r="B313" s="97" t="s">
        <v>1173</v>
      </c>
      <c r="C313" s="95">
        <v>2704</v>
      </c>
      <c r="D313" s="95" t="s">
        <v>1177</v>
      </c>
      <c r="E313" s="129">
        <f>VLOOKUP($C313,'2021-22 School Level AAFTE'!$C:$Z,11,FALSE)</f>
        <v>0.74126666666666663</v>
      </c>
      <c r="F313" s="129" t="str">
        <f>VLOOKUP($C313,'2021-22 School Level AAFTE'!$C:$Z,8,FALSE)</f>
        <v>Yes</v>
      </c>
      <c r="G313" s="129" t="str">
        <f>VLOOKUP($C313,'2021-22 School Level AAFTE'!$C:$Z,12,FALSE)</f>
        <v>No</v>
      </c>
      <c r="H313" s="127">
        <f>VLOOKUP($C313,'2021-22 School Level AAFTE'!$C:$I,7,FALSE)</f>
        <v>438.71</v>
      </c>
      <c r="I313" s="112">
        <f>IFERROR(IF(OR(G313="yes",F313= "yes"),VLOOKUP(C313,Summary!$B:$J,6,0),0),0)</f>
        <v>0</v>
      </c>
      <c r="J313" s="111">
        <f t="shared" si="57"/>
        <v>438.71</v>
      </c>
      <c r="K313" s="91">
        <f>VLOOKUP($A313,'2022-23 Salary &amp; Benefits'!$A:$I,3,FALSE)</f>
        <v>1</v>
      </c>
      <c r="L313" s="91">
        <f>VLOOKUP($A313,'2022-23 Salary &amp; Benefits'!$A:$I,4,FALSE)</f>
        <v>1</v>
      </c>
      <c r="M313" s="101">
        <f t="shared" si="52"/>
        <v>438.71</v>
      </c>
      <c r="N313" s="24">
        <v>15</v>
      </c>
      <c r="O313" s="26">
        <f t="shared" si="55"/>
        <v>29.247333333333334</v>
      </c>
      <c r="P313" s="24">
        <v>1.1000000000000001</v>
      </c>
      <c r="Q313" s="24">
        <v>36</v>
      </c>
      <c r="R313" s="27">
        <f t="shared" si="56"/>
        <v>1158.1944000000003</v>
      </c>
      <c r="S313" s="102">
        <f t="shared" si="58"/>
        <v>1.2869999999999999</v>
      </c>
      <c r="T313" s="21">
        <f>VLOOKUP($A313,'2022-23 Salary &amp; Benefits'!$A:$I,5,FALSE)</f>
        <v>68937</v>
      </c>
      <c r="U313" s="21">
        <f>VLOOKUP($A313,'2022-23 Salary &amp; Benefits'!$A:$I,6,FALSE)</f>
        <v>72728</v>
      </c>
      <c r="V313" s="22">
        <f t="shared" si="59"/>
        <v>88721.919999999998</v>
      </c>
      <c r="W313" s="22">
        <f t="shared" si="60"/>
        <v>4879.0200000000041</v>
      </c>
      <c r="X313" s="22">
        <f>'2022-23 Salary &amp; Benefits'!$G$6</f>
        <v>12558.24</v>
      </c>
      <c r="Y313" s="23">
        <f>'2022-23 Salary &amp; Benefits'!$H$6</f>
        <v>0.2298</v>
      </c>
      <c r="Z313" s="23">
        <f>'2022-23 Salary &amp; Benefits'!$I$6</f>
        <v>0.22339999999999999</v>
      </c>
      <c r="AA313" s="22">
        <f t="shared" si="61"/>
        <v>37640.730000000003</v>
      </c>
      <c r="AB313" s="22">
        <f t="shared" si="62"/>
        <v>1560.02</v>
      </c>
      <c r="AC313" s="22">
        <f t="shared" si="63"/>
        <v>348.51</v>
      </c>
      <c r="AD313" s="22">
        <f t="shared" si="53"/>
        <v>1908.53</v>
      </c>
      <c r="AE313" s="22">
        <f t="shared" si="54"/>
        <v>133150.19999999998</v>
      </c>
      <c r="AF313" s="19" t="str">
        <f>VLOOKUP(C313,'2021-22 School Level AAFTE'!C:N,12,FALSE)</f>
        <v>No</v>
      </c>
    </row>
    <row r="314" spans="1:32" s="19" customFormat="1">
      <c r="A314" s="97" t="s">
        <v>2405</v>
      </c>
      <c r="B314" s="97" t="s">
        <v>1173</v>
      </c>
      <c r="C314" s="95">
        <v>2768</v>
      </c>
      <c r="D314" s="95" t="s">
        <v>40</v>
      </c>
      <c r="E314" s="129">
        <f>VLOOKUP($C314,'2021-22 School Level AAFTE'!$C:$Z,11,FALSE)</f>
        <v>0.86193333333333333</v>
      </c>
      <c r="F314" s="129" t="str">
        <f>VLOOKUP($C314,'2021-22 School Level AAFTE'!$C:$Z,8,FALSE)</f>
        <v>Yes</v>
      </c>
      <c r="G314" s="129" t="str">
        <f>VLOOKUP($C314,'2021-22 School Level AAFTE'!$C:$Z,12,FALSE)</f>
        <v>No</v>
      </c>
      <c r="H314" s="127">
        <f>VLOOKUP($C314,'2021-22 School Level AAFTE'!$C:$I,7,FALSE)</f>
        <v>337.14</v>
      </c>
      <c r="I314" s="112">
        <f>IFERROR(IF(OR(G314="yes",F314= "yes"),VLOOKUP(C314,Summary!$B:$J,6,0),0),0)</f>
        <v>0</v>
      </c>
      <c r="J314" s="111">
        <f t="shared" si="57"/>
        <v>337.14</v>
      </c>
      <c r="K314" s="91">
        <f>VLOOKUP($A314,'2022-23 Salary &amp; Benefits'!$A:$I,3,FALSE)</f>
        <v>1</v>
      </c>
      <c r="L314" s="91">
        <f>VLOOKUP($A314,'2022-23 Salary &amp; Benefits'!$A:$I,4,FALSE)</f>
        <v>1</v>
      </c>
      <c r="M314" s="101">
        <f t="shared" si="52"/>
        <v>337.14</v>
      </c>
      <c r="N314" s="24">
        <v>15</v>
      </c>
      <c r="O314" s="26">
        <f t="shared" si="55"/>
        <v>22.475999999999999</v>
      </c>
      <c r="P314" s="24">
        <v>1.1000000000000001</v>
      </c>
      <c r="Q314" s="24">
        <v>36</v>
      </c>
      <c r="R314" s="27">
        <f t="shared" si="56"/>
        <v>890.04960000000005</v>
      </c>
      <c r="S314" s="102">
        <f t="shared" si="58"/>
        <v>0.98899999999999999</v>
      </c>
      <c r="T314" s="21">
        <f>VLOOKUP($A314,'2022-23 Salary &amp; Benefits'!$A:$I,5,FALSE)</f>
        <v>68937</v>
      </c>
      <c r="U314" s="21">
        <f>VLOOKUP($A314,'2022-23 Salary &amp; Benefits'!$A:$I,6,FALSE)</f>
        <v>72728</v>
      </c>
      <c r="V314" s="22">
        <f t="shared" si="59"/>
        <v>68178.69</v>
      </c>
      <c r="W314" s="22">
        <f t="shared" si="60"/>
        <v>3749.3000000000029</v>
      </c>
      <c r="X314" s="22">
        <f>'2022-23 Salary &amp; Benefits'!$G$6</f>
        <v>12558.24</v>
      </c>
      <c r="Y314" s="23">
        <f>'2022-23 Salary &amp; Benefits'!$H$6</f>
        <v>0.2298</v>
      </c>
      <c r="Z314" s="23">
        <f>'2022-23 Salary &amp; Benefits'!$I$6</f>
        <v>0.22339999999999999</v>
      </c>
      <c r="AA314" s="22">
        <f t="shared" si="61"/>
        <v>28925.16</v>
      </c>
      <c r="AB314" s="22">
        <f t="shared" si="62"/>
        <v>1198.8</v>
      </c>
      <c r="AC314" s="22">
        <f t="shared" si="63"/>
        <v>267.81</v>
      </c>
      <c r="AD314" s="22">
        <f t="shared" si="53"/>
        <v>1466.61</v>
      </c>
      <c r="AE314" s="22">
        <f t="shared" si="54"/>
        <v>102319.76000000001</v>
      </c>
      <c r="AF314" s="19" t="str">
        <f>VLOOKUP(C314,'2021-22 School Level AAFTE'!C:N,12,FALSE)</f>
        <v>No</v>
      </c>
    </row>
    <row r="315" spans="1:32" s="19" customFormat="1">
      <c r="A315" s="97" t="s">
        <v>2405</v>
      </c>
      <c r="B315" s="97" t="s">
        <v>1173</v>
      </c>
      <c r="C315" s="95">
        <v>3172</v>
      </c>
      <c r="D315" s="95" t="s">
        <v>1178</v>
      </c>
      <c r="E315" s="129">
        <f>VLOOKUP($C315,'2021-22 School Level AAFTE'!$C:$Z,11,FALSE)</f>
        <v>0.8450333333333333</v>
      </c>
      <c r="F315" s="129" t="str">
        <f>VLOOKUP($C315,'2021-22 School Level AAFTE'!$C:$Z,8,FALSE)</f>
        <v>Yes</v>
      </c>
      <c r="G315" s="129" t="str">
        <f>VLOOKUP($C315,'2021-22 School Level AAFTE'!$C:$Z,12,FALSE)</f>
        <v>No</v>
      </c>
      <c r="H315" s="127">
        <f>VLOOKUP($C315,'2021-22 School Level AAFTE'!$C:$I,7,FALSE)</f>
        <v>430.15</v>
      </c>
      <c r="I315" s="112">
        <f>IFERROR(IF(OR(G315="yes",F315= "yes"),VLOOKUP(C315,Summary!$B:$J,6,0),0),0)</f>
        <v>0</v>
      </c>
      <c r="J315" s="111">
        <f t="shared" si="57"/>
        <v>430.15</v>
      </c>
      <c r="K315" s="91">
        <f>VLOOKUP($A315,'2022-23 Salary &amp; Benefits'!$A:$I,3,FALSE)</f>
        <v>1</v>
      </c>
      <c r="L315" s="91">
        <f>VLOOKUP($A315,'2022-23 Salary &amp; Benefits'!$A:$I,4,FALSE)</f>
        <v>1</v>
      </c>
      <c r="M315" s="101">
        <f t="shared" si="52"/>
        <v>430.15</v>
      </c>
      <c r="N315" s="24">
        <v>15</v>
      </c>
      <c r="O315" s="26">
        <f t="shared" si="55"/>
        <v>28.676666666666666</v>
      </c>
      <c r="P315" s="24">
        <v>1.1000000000000001</v>
      </c>
      <c r="Q315" s="24">
        <v>36</v>
      </c>
      <c r="R315" s="27">
        <f t="shared" si="56"/>
        <v>1135.596</v>
      </c>
      <c r="S315" s="102">
        <f t="shared" si="58"/>
        <v>1.262</v>
      </c>
      <c r="T315" s="21">
        <f>VLOOKUP($A315,'2022-23 Salary &amp; Benefits'!$A:$I,5,FALSE)</f>
        <v>68937</v>
      </c>
      <c r="U315" s="21">
        <f>VLOOKUP($A315,'2022-23 Salary &amp; Benefits'!$A:$I,6,FALSE)</f>
        <v>72728</v>
      </c>
      <c r="V315" s="22">
        <f t="shared" si="59"/>
        <v>86998.49</v>
      </c>
      <c r="W315" s="22">
        <f t="shared" si="60"/>
        <v>4784.25</v>
      </c>
      <c r="X315" s="22">
        <f>'2022-23 Salary &amp; Benefits'!$G$6</f>
        <v>12558.24</v>
      </c>
      <c r="Y315" s="23">
        <f>'2022-23 Salary &amp; Benefits'!$H$6</f>
        <v>0.2298</v>
      </c>
      <c r="Z315" s="23">
        <f>'2022-23 Salary &amp; Benefits'!$I$6</f>
        <v>0.22339999999999999</v>
      </c>
      <c r="AA315" s="22">
        <f t="shared" si="61"/>
        <v>36909.550000000003</v>
      </c>
      <c r="AB315" s="22">
        <f t="shared" si="62"/>
        <v>1529.71</v>
      </c>
      <c r="AC315" s="22">
        <f t="shared" si="63"/>
        <v>341.74</v>
      </c>
      <c r="AD315" s="22">
        <f t="shared" si="53"/>
        <v>1871.45</v>
      </c>
      <c r="AE315" s="22">
        <f t="shared" si="54"/>
        <v>130563.74</v>
      </c>
      <c r="AF315" s="19" t="str">
        <f>VLOOKUP(C315,'2021-22 School Level AAFTE'!C:N,12,FALSE)</f>
        <v>No</v>
      </c>
    </row>
    <row r="316" spans="1:32" s="19" customFormat="1">
      <c r="A316" s="97" t="s">
        <v>2405</v>
      </c>
      <c r="B316" s="97" t="s">
        <v>1173</v>
      </c>
      <c r="C316" s="95">
        <v>3240</v>
      </c>
      <c r="D316" s="95" t="s">
        <v>1179</v>
      </c>
      <c r="E316" s="129">
        <f>VLOOKUP($C316,'2021-22 School Level AAFTE'!$C:$Z,11,FALSE)</f>
        <v>0.78893333333333349</v>
      </c>
      <c r="F316" s="129" t="str">
        <f>VLOOKUP($C316,'2021-22 School Level AAFTE'!$C:$Z,8,FALSE)</f>
        <v>Yes</v>
      </c>
      <c r="G316" s="129" t="str">
        <f>VLOOKUP($C316,'2021-22 School Level AAFTE'!$C:$Z,12,FALSE)</f>
        <v>No</v>
      </c>
      <c r="H316" s="127">
        <f>VLOOKUP($C316,'2021-22 School Level AAFTE'!$C:$I,7,FALSE)</f>
        <v>518.02</v>
      </c>
      <c r="I316" s="112">
        <f>IFERROR(IF(OR(G316="yes",F316= "yes"),VLOOKUP(C316,Summary!$B:$J,6,0),0),0)</f>
        <v>0</v>
      </c>
      <c r="J316" s="111">
        <f t="shared" si="57"/>
        <v>518.02</v>
      </c>
      <c r="K316" s="91">
        <f>VLOOKUP($A316,'2022-23 Salary &amp; Benefits'!$A:$I,3,FALSE)</f>
        <v>1</v>
      </c>
      <c r="L316" s="91">
        <f>VLOOKUP($A316,'2022-23 Salary &amp; Benefits'!$A:$I,4,FALSE)</f>
        <v>1</v>
      </c>
      <c r="M316" s="101">
        <f t="shared" si="52"/>
        <v>518.02</v>
      </c>
      <c r="N316" s="24">
        <v>15</v>
      </c>
      <c r="O316" s="26">
        <f t="shared" si="55"/>
        <v>34.534666666666666</v>
      </c>
      <c r="P316" s="24">
        <v>1.1000000000000001</v>
      </c>
      <c r="Q316" s="24">
        <v>36</v>
      </c>
      <c r="R316" s="27">
        <f t="shared" si="56"/>
        <v>1367.5728000000001</v>
      </c>
      <c r="S316" s="102">
        <f t="shared" si="58"/>
        <v>1.52</v>
      </c>
      <c r="T316" s="21">
        <f>VLOOKUP($A316,'2022-23 Salary &amp; Benefits'!$A:$I,5,FALSE)</f>
        <v>68937</v>
      </c>
      <c r="U316" s="21">
        <f>VLOOKUP($A316,'2022-23 Salary &amp; Benefits'!$A:$I,6,FALSE)</f>
        <v>72728</v>
      </c>
      <c r="V316" s="22">
        <f t="shared" si="59"/>
        <v>104784.24</v>
      </c>
      <c r="W316" s="22">
        <f t="shared" si="60"/>
        <v>5762.3199999999924</v>
      </c>
      <c r="X316" s="22">
        <f>'2022-23 Salary &amp; Benefits'!$G$6</f>
        <v>12558.24</v>
      </c>
      <c r="Y316" s="23">
        <f>'2022-23 Salary &amp; Benefits'!$H$6</f>
        <v>0.2298</v>
      </c>
      <c r="Z316" s="23">
        <f>'2022-23 Salary &amp; Benefits'!$I$6</f>
        <v>0.22339999999999999</v>
      </c>
      <c r="AA316" s="22">
        <f t="shared" si="61"/>
        <v>44455.25</v>
      </c>
      <c r="AB316" s="22">
        <f t="shared" si="62"/>
        <v>1842.44</v>
      </c>
      <c r="AC316" s="22">
        <f t="shared" si="63"/>
        <v>411.6</v>
      </c>
      <c r="AD316" s="22">
        <f t="shared" si="53"/>
        <v>2254.04</v>
      </c>
      <c r="AE316" s="22">
        <f t="shared" si="54"/>
        <v>157255.85</v>
      </c>
      <c r="AF316" s="19" t="str">
        <f>VLOOKUP(C316,'2021-22 School Level AAFTE'!C:N,12,FALSE)</f>
        <v>No</v>
      </c>
    </row>
    <row r="317" spans="1:32" s="19" customFormat="1">
      <c r="A317" s="97" t="s">
        <v>2405</v>
      </c>
      <c r="B317" s="97" t="s">
        <v>1173</v>
      </c>
      <c r="C317" s="95">
        <v>5359</v>
      </c>
      <c r="D317" s="95" t="s">
        <v>1180</v>
      </c>
      <c r="E317" s="129">
        <f>VLOOKUP($C317,'2021-22 School Level AAFTE'!$C:$Z,11,FALSE)</f>
        <v>0.75326666666666664</v>
      </c>
      <c r="F317" s="129" t="str">
        <f>VLOOKUP($C317,'2021-22 School Level AAFTE'!$C:$Z,8,FALSE)</f>
        <v>Yes</v>
      </c>
      <c r="G317" s="129" t="str">
        <f>VLOOKUP($C317,'2021-22 School Level AAFTE'!$C:$Z,12,FALSE)</f>
        <v>No</v>
      </c>
      <c r="H317" s="127">
        <f>VLOOKUP($C317,'2021-22 School Level AAFTE'!$C:$I,7,FALSE)</f>
        <v>52.35</v>
      </c>
      <c r="I317" s="112">
        <f>IFERROR(IF(OR(G317="yes",F317= "yes"),VLOOKUP(C317,Summary!$B:$J,6,0),0),0)</f>
        <v>0</v>
      </c>
      <c r="J317" s="111">
        <f t="shared" si="57"/>
        <v>52.35</v>
      </c>
      <c r="K317" s="91">
        <f>VLOOKUP($A317,'2022-23 Salary &amp; Benefits'!$A:$I,3,FALSE)</f>
        <v>1</v>
      </c>
      <c r="L317" s="91">
        <f>VLOOKUP($A317,'2022-23 Salary &amp; Benefits'!$A:$I,4,FALSE)</f>
        <v>1</v>
      </c>
      <c r="M317" s="101">
        <f t="shared" si="52"/>
        <v>52.35</v>
      </c>
      <c r="N317" s="24">
        <v>15</v>
      </c>
      <c r="O317" s="26">
        <f t="shared" si="55"/>
        <v>3.49</v>
      </c>
      <c r="P317" s="24">
        <v>1.1000000000000001</v>
      </c>
      <c r="Q317" s="24">
        <v>36</v>
      </c>
      <c r="R317" s="27">
        <f t="shared" si="56"/>
        <v>138.20400000000001</v>
      </c>
      <c r="S317" s="102">
        <f t="shared" si="58"/>
        <v>0.154</v>
      </c>
      <c r="T317" s="21">
        <f>VLOOKUP($A317,'2022-23 Salary &amp; Benefits'!$A:$I,5,FALSE)</f>
        <v>68937</v>
      </c>
      <c r="U317" s="21">
        <f>VLOOKUP($A317,'2022-23 Salary &amp; Benefits'!$A:$I,6,FALSE)</f>
        <v>72728</v>
      </c>
      <c r="V317" s="22">
        <f t="shared" si="59"/>
        <v>10616.3</v>
      </c>
      <c r="W317" s="22">
        <f t="shared" si="60"/>
        <v>583.81000000000131</v>
      </c>
      <c r="X317" s="22">
        <f>'2022-23 Salary &amp; Benefits'!$G$6</f>
        <v>12558.24</v>
      </c>
      <c r="Y317" s="23">
        <f>'2022-23 Salary &amp; Benefits'!$H$6</f>
        <v>0.2298</v>
      </c>
      <c r="Z317" s="23">
        <f>'2022-23 Salary &amp; Benefits'!$I$6</f>
        <v>0.22339999999999999</v>
      </c>
      <c r="AA317" s="22">
        <f t="shared" si="61"/>
        <v>4504.0200000000004</v>
      </c>
      <c r="AB317" s="22">
        <f t="shared" si="62"/>
        <v>186.67</v>
      </c>
      <c r="AC317" s="22">
        <f t="shared" si="63"/>
        <v>41.7</v>
      </c>
      <c r="AD317" s="22">
        <f t="shared" si="53"/>
        <v>228.37</v>
      </c>
      <c r="AE317" s="22">
        <f t="shared" si="54"/>
        <v>15932.500000000002</v>
      </c>
      <c r="AF317" s="19" t="str">
        <f>VLOOKUP(C317,'2021-22 School Level AAFTE'!C:N,12,FALSE)</f>
        <v>No</v>
      </c>
    </row>
    <row r="318" spans="1:32" s="19" customFormat="1">
      <c r="A318" s="97" t="s">
        <v>2403</v>
      </c>
      <c r="B318" s="97" t="s">
        <v>1166</v>
      </c>
      <c r="C318" s="95">
        <v>2799</v>
      </c>
      <c r="D318" s="95" t="s">
        <v>1167</v>
      </c>
      <c r="E318" s="129">
        <f>VLOOKUP($C318,'2021-22 School Level AAFTE'!$C:$Z,11,FALSE)</f>
        <v>0.37713333333333332</v>
      </c>
      <c r="F318" s="129" t="str">
        <f>VLOOKUP($C318,'2021-22 School Level AAFTE'!$C:$Z,8,FALSE)</f>
        <v>No</v>
      </c>
      <c r="G318" s="129" t="str">
        <f>VLOOKUP($C318,'2021-22 School Level AAFTE'!$C:$Z,12,FALSE)</f>
        <v>No</v>
      </c>
      <c r="H318" s="127">
        <f>VLOOKUP($C318,'2021-22 School Level AAFTE'!$C:$I,7,FALSE)</f>
        <v>946.74</v>
      </c>
      <c r="I318" s="112">
        <f>IFERROR(IF(OR(G318="yes",F318= "yes"),VLOOKUP(C318,Summary!$B:$J,6,0),0),0)</f>
        <v>0</v>
      </c>
      <c r="J318" s="111">
        <f t="shared" si="57"/>
        <v>0</v>
      </c>
      <c r="K318" s="91">
        <f>VLOOKUP($A318,'2022-23 Salary &amp; Benefits'!$A:$I,3,FALSE)</f>
        <v>1</v>
      </c>
      <c r="L318" s="91">
        <f>VLOOKUP($A318,'2022-23 Salary &amp; Benefits'!$A:$I,4,FALSE)</f>
        <v>1.04</v>
      </c>
      <c r="M318" s="101">
        <f t="shared" si="52"/>
        <v>0</v>
      </c>
      <c r="N318" s="24">
        <v>15</v>
      </c>
      <c r="O318" s="26">
        <f t="shared" si="55"/>
        <v>0</v>
      </c>
      <c r="P318" s="24">
        <v>1.1000000000000001</v>
      </c>
      <c r="Q318" s="24">
        <v>36</v>
      </c>
      <c r="R318" s="27">
        <f t="shared" si="56"/>
        <v>0</v>
      </c>
      <c r="S318" s="102">
        <f t="shared" si="58"/>
        <v>0</v>
      </c>
      <c r="T318" s="21">
        <f>VLOOKUP($A318,'2022-23 Salary &amp; Benefits'!$A:$I,5,FALSE)</f>
        <v>68937</v>
      </c>
      <c r="U318" s="21">
        <f>VLOOKUP($A318,'2022-23 Salary &amp; Benefits'!$A:$I,6,FALSE)</f>
        <v>72728</v>
      </c>
      <c r="V318" s="22">
        <f t="shared" si="59"/>
        <v>0</v>
      </c>
      <c r="W318" s="22">
        <f t="shared" si="60"/>
        <v>0</v>
      </c>
      <c r="X318" s="22">
        <f>'2022-23 Salary &amp; Benefits'!$G$6</f>
        <v>12558.24</v>
      </c>
      <c r="Y318" s="23">
        <f>'2022-23 Salary &amp; Benefits'!$H$6</f>
        <v>0.2298</v>
      </c>
      <c r="Z318" s="23">
        <f>'2022-23 Salary &amp; Benefits'!$I$6</f>
        <v>0.22339999999999999</v>
      </c>
      <c r="AA318" s="22">
        <f t="shared" si="61"/>
        <v>0</v>
      </c>
      <c r="AB318" s="22">
        <f t="shared" si="62"/>
        <v>0</v>
      </c>
      <c r="AC318" s="22">
        <f t="shared" si="63"/>
        <v>0</v>
      </c>
      <c r="AD318" s="22">
        <f t="shared" si="53"/>
        <v>0</v>
      </c>
      <c r="AE318" s="22">
        <f t="shared" si="54"/>
        <v>0</v>
      </c>
      <c r="AF318" s="19" t="str">
        <f>VLOOKUP(C318,'2021-22 School Level AAFTE'!C:N,12,FALSE)</f>
        <v>No</v>
      </c>
    </row>
    <row r="319" spans="1:32" s="19" customFormat="1">
      <c r="A319" s="137" t="s">
        <v>2403</v>
      </c>
      <c r="B319" s="97" t="s">
        <v>1166</v>
      </c>
      <c r="C319" s="138">
        <v>4311</v>
      </c>
      <c r="D319" s="56" t="s">
        <v>1168</v>
      </c>
      <c r="E319" s="129">
        <f>VLOOKUP($C319,'2021-22 School Level AAFTE'!$C:$Z,11,FALSE)</f>
        <v>0.4709666666666667</v>
      </c>
      <c r="F319" s="129" t="str">
        <f>VLOOKUP($C319,'2021-22 School Level AAFTE'!$C:$Z,8,FALSE)</f>
        <v>No</v>
      </c>
      <c r="G319" s="129" t="str">
        <f>VLOOKUP($C319,'2021-22 School Level AAFTE'!$C:$Z,12,FALSE)</f>
        <v>No</v>
      </c>
      <c r="H319" s="127">
        <f>VLOOKUP($C319,'2021-22 School Level AAFTE'!$C:$I,7,FALSE)</f>
        <v>635.76</v>
      </c>
      <c r="I319" s="112">
        <f>IFERROR(IF(OR(G319="yes",F319= "yes"),VLOOKUP(C319,Summary!$B:$J,6,0),0),0)</f>
        <v>0</v>
      </c>
      <c r="J319" s="111">
        <f t="shared" si="57"/>
        <v>0</v>
      </c>
      <c r="K319" s="91">
        <f>VLOOKUP($A319,'2022-23 Salary &amp; Benefits'!$A:$I,3,FALSE)</f>
        <v>1</v>
      </c>
      <c r="L319" s="91">
        <f>VLOOKUP($A319,'2022-23 Salary &amp; Benefits'!$A:$I,4,FALSE)</f>
        <v>1.04</v>
      </c>
      <c r="M319" s="101">
        <f t="shared" si="52"/>
        <v>0</v>
      </c>
      <c r="N319" s="24">
        <v>15</v>
      </c>
      <c r="O319" s="26">
        <f t="shared" si="55"/>
        <v>0</v>
      </c>
      <c r="P319" s="24">
        <v>1.1000000000000001</v>
      </c>
      <c r="Q319" s="24">
        <v>36</v>
      </c>
      <c r="R319" s="27">
        <f t="shared" si="56"/>
        <v>0</v>
      </c>
      <c r="S319" s="102">
        <f t="shared" si="58"/>
        <v>0</v>
      </c>
      <c r="T319" s="21">
        <f>VLOOKUP($A319,'2022-23 Salary &amp; Benefits'!$A:$I,5,FALSE)</f>
        <v>68937</v>
      </c>
      <c r="U319" s="21">
        <f>VLOOKUP($A319,'2022-23 Salary &amp; Benefits'!$A:$I,6,FALSE)</f>
        <v>72728</v>
      </c>
      <c r="V319" s="22">
        <f t="shared" si="59"/>
        <v>0</v>
      </c>
      <c r="W319" s="22">
        <f t="shared" si="60"/>
        <v>0</v>
      </c>
      <c r="X319" s="22">
        <f>'2022-23 Salary &amp; Benefits'!$G$6</f>
        <v>12558.24</v>
      </c>
      <c r="Y319" s="23">
        <f>'2022-23 Salary &amp; Benefits'!$H$6</f>
        <v>0.2298</v>
      </c>
      <c r="Z319" s="23">
        <f>'2022-23 Salary &amp; Benefits'!$I$6</f>
        <v>0.22339999999999999</v>
      </c>
      <c r="AA319" s="22">
        <f t="shared" si="61"/>
        <v>0</v>
      </c>
      <c r="AB319" s="22">
        <f t="shared" si="62"/>
        <v>0</v>
      </c>
      <c r="AC319" s="22">
        <f t="shared" si="63"/>
        <v>0</v>
      </c>
      <c r="AD319" s="22">
        <f t="shared" si="53"/>
        <v>0</v>
      </c>
      <c r="AE319" s="22">
        <f t="shared" si="54"/>
        <v>0</v>
      </c>
      <c r="AF319" s="19" t="str">
        <f>VLOOKUP(C319,'2021-22 School Level AAFTE'!C:N,12,FALSE)</f>
        <v>No</v>
      </c>
    </row>
    <row r="320" spans="1:32" s="19" customFormat="1">
      <c r="A320" s="97" t="s">
        <v>2403</v>
      </c>
      <c r="B320" s="97" t="s">
        <v>1166</v>
      </c>
      <c r="C320" s="95">
        <v>5369</v>
      </c>
      <c r="D320" s="95" t="s">
        <v>1169</v>
      </c>
      <c r="E320" s="129">
        <f>VLOOKUP($C320,'2021-22 School Level AAFTE'!$C:$Z,11,FALSE)</f>
        <v>0.78683333333333338</v>
      </c>
      <c r="F320" s="129" t="str">
        <f>VLOOKUP($C320,'2021-22 School Level AAFTE'!$C:$Z,8,FALSE)</f>
        <v>Yes</v>
      </c>
      <c r="G320" s="129" t="str">
        <f>VLOOKUP($C320,'2021-22 School Level AAFTE'!$C:$Z,12,FALSE)</f>
        <v>No</v>
      </c>
      <c r="H320" s="127">
        <f>VLOOKUP($C320,'2021-22 School Level AAFTE'!$C:$I,7,FALSE)</f>
        <v>29.12</v>
      </c>
      <c r="I320" s="112">
        <f>IFERROR(IF(OR(G320="yes",F320= "yes"),VLOOKUP(C320,Summary!$B:$J,6,0),0),0)</f>
        <v>0</v>
      </c>
      <c r="J320" s="111">
        <f t="shared" si="57"/>
        <v>29.12</v>
      </c>
      <c r="K320" s="91">
        <f>VLOOKUP($A320,'2022-23 Salary &amp; Benefits'!$A:$I,3,FALSE)</f>
        <v>1</v>
      </c>
      <c r="L320" s="91">
        <f>VLOOKUP($A320,'2022-23 Salary &amp; Benefits'!$A:$I,4,FALSE)</f>
        <v>1.04</v>
      </c>
      <c r="M320" s="101">
        <f t="shared" si="52"/>
        <v>29.12</v>
      </c>
      <c r="N320" s="24">
        <v>15</v>
      </c>
      <c r="O320" s="26">
        <f t="shared" si="55"/>
        <v>1.9413333333333334</v>
      </c>
      <c r="P320" s="24">
        <v>1.1000000000000001</v>
      </c>
      <c r="Q320" s="24">
        <v>36</v>
      </c>
      <c r="R320" s="27">
        <f t="shared" si="56"/>
        <v>76.876800000000003</v>
      </c>
      <c r="S320" s="102">
        <f t="shared" si="58"/>
        <v>8.5000000000000006E-2</v>
      </c>
      <c r="T320" s="21">
        <f>VLOOKUP($A320,'2022-23 Salary &amp; Benefits'!$A:$I,5,FALSE)</f>
        <v>68937</v>
      </c>
      <c r="U320" s="21">
        <f>VLOOKUP($A320,'2022-23 Salary &amp; Benefits'!$A:$I,6,FALSE)</f>
        <v>72728</v>
      </c>
      <c r="V320" s="22">
        <f t="shared" si="59"/>
        <v>5859.65</v>
      </c>
      <c r="W320" s="22">
        <f t="shared" si="60"/>
        <v>569.51000000000022</v>
      </c>
      <c r="X320" s="22">
        <f>'2022-23 Salary &amp; Benefits'!$G$6</f>
        <v>12558.24</v>
      </c>
      <c r="Y320" s="23">
        <f>'2022-23 Salary &amp; Benefits'!$H$6</f>
        <v>0.2298</v>
      </c>
      <c r="Z320" s="23">
        <f>'2022-23 Salary &amp; Benefits'!$I$6</f>
        <v>0.22339999999999999</v>
      </c>
      <c r="AA320" s="22">
        <f t="shared" si="61"/>
        <v>2541.23</v>
      </c>
      <c r="AB320" s="22">
        <f t="shared" si="62"/>
        <v>107.15</v>
      </c>
      <c r="AC320" s="22">
        <f t="shared" si="63"/>
        <v>23.94</v>
      </c>
      <c r="AD320" s="22">
        <f t="shared" si="53"/>
        <v>131.09</v>
      </c>
      <c r="AE320" s="22">
        <f t="shared" si="54"/>
        <v>9101.48</v>
      </c>
      <c r="AF320" s="19" t="str">
        <f>VLOOKUP(C320,'2021-22 School Level AAFTE'!C:N,12,FALSE)</f>
        <v>No</v>
      </c>
    </row>
    <row r="321" spans="1:284" s="19" customFormat="1">
      <c r="A321" s="97" t="s">
        <v>2403</v>
      </c>
      <c r="B321" s="97" t="s">
        <v>1166</v>
      </c>
      <c r="C321" s="95">
        <v>5509</v>
      </c>
      <c r="D321" s="95" t="s">
        <v>2796</v>
      </c>
      <c r="E321" s="129">
        <f>VLOOKUP($C321,'2021-22 School Level AAFTE'!$C:$Z,11,FALSE)</f>
        <v>0.48943333333333333</v>
      </c>
      <c r="F321" s="129" t="str">
        <f>VLOOKUP($C321,'2021-22 School Level AAFTE'!$C:$Z,8,FALSE)</f>
        <v>No</v>
      </c>
      <c r="G321" s="129" t="str">
        <f>VLOOKUP($C321,'2021-22 School Level AAFTE'!$C:$Z,12,FALSE)</f>
        <v>Yes</v>
      </c>
      <c r="H321" s="127">
        <f>VLOOKUP($C321,'2021-22 School Level AAFTE'!$C:$I,7,FALSE)</f>
        <v>601.29</v>
      </c>
      <c r="I321" s="112">
        <f>IFERROR(IF(OR(G321="yes",F321= "yes"),VLOOKUP(C321,Summary!$B:$J,6,0),0),0)</f>
        <v>0</v>
      </c>
      <c r="J321" s="111">
        <f t="shared" si="57"/>
        <v>601.29</v>
      </c>
      <c r="K321" s="91">
        <f>VLOOKUP($A321,'2022-23 Salary &amp; Benefits'!$A:$I,3,FALSE)</f>
        <v>1</v>
      </c>
      <c r="L321" s="91">
        <f>VLOOKUP($A321,'2022-23 Salary &amp; Benefits'!$A:$I,4,FALSE)</f>
        <v>1.04</v>
      </c>
      <c r="M321" s="101">
        <f t="shared" si="52"/>
        <v>601.29</v>
      </c>
      <c r="N321" s="24">
        <v>15</v>
      </c>
      <c r="O321" s="26">
        <f t="shared" si="55"/>
        <v>40.085999999999999</v>
      </c>
      <c r="P321" s="24">
        <v>1.1000000000000001</v>
      </c>
      <c r="Q321" s="24">
        <v>36</v>
      </c>
      <c r="R321" s="27">
        <f t="shared" si="56"/>
        <v>1587.4056</v>
      </c>
      <c r="S321" s="102">
        <f t="shared" si="58"/>
        <v>1.764</v>
      </c>
      <c r="T321" s="21">
        <f>VLOOKUP($A321,'2022-23 Salary &amp; Benefits'!$A:$I,5,FALSE)</f>
        <v>68937</v>
      </c>
      <c r="U321" s="21">
        <f>VLOOKUP($A321,'2022-23 Salary &amp; Benefits'!$A:$I,6,FALSE)</f>
        <v>72728</v>
      </c>
      <c r="V321" s="22">
        <f t="shared" si="59"/>
        <v>121604.87</v>
      </c>
      <c r="W321" s="22">
        <f t="shared" si="60"/>
        <v>11819.010000000009</v>
      </c>
      <c r="X321" s="22">
        <f>'2022-23 Salary &amp; Benefits'!$G$6</f>
        <v>12558.24</v>
      </c>
      <c r="Y321" s="23">
        <f>'2022-23 Salary &amp; Benefits'!$H$6</f>
        <v>0.2298</v>
      </c>
      <c r="Z321" s="23">
        <f>'2022-23 Salary &amp; Benefits'!$I$6</f>
        <v>0.22339999999999999</v>
      </c>
      <c r="AA321" s="22">
        <f t="shared" si="61"/>
        <v>52737.9</v>
      </c>
      <c r="AB321" s="22">
        <f t="shared" si="62"/>
        <v>2223.73</v>
      </c>
      <c r="AC321" s="22">
        <f t="shared" si="63"/>
        <v>496.78</v>
      </c>
      <c r="AD321" s="22">
        <f t="shared" si="53"/>
        <v>2720.51</v>
      </c>
      <c r="AE321" s="22">
        <f t="shared" si="54"/>
        <v>188882.29</v>
      </c>
      <c r="AF321" s="19" t="str">
        <f>VLOOKUP(C321,'2021-22 School Level AAFTE'!C:N,12,FALSE)</f>
        <v>Yes</v>
      </c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</row>
    <row r="322" spans="1:284" s="19" customFormat="1">
      <c r="A322" s="97" t="s">
        <v>2403</v>
      </c>
      <c r="B322" s="97" t="s">
        <v>1166</v>
      </c>
      <c r="C322" s="95">
        <v>5510</v>
      </c>
      <c r="D322" s="95" t="s">
        <v>2797</v>
      </c>
      <c r="E322" s="129">
        <f>VLOOKUP($C322,'2021-22 School Level AAFTE'!$C:$Z,11,FALSE)</f>
        <v>0.50416666666666654</v>
      </c>
      <c r="F322" s="129" t="str">
        <f>VLOOKUP($C322,'2021-22 School Level AAFTE'!$C:$Z,8,FALSE)</f>
        <v>Yes</v>
      </c>
      <c r="G322" s="129" t="str">
        <f>VLOOKUP($C322,'2021-22 School Level AAFTE'!$C:$Z,12,FALSE)</f>
        <v>No</v>
      </c>
      <c r="H322" s="127">
        <f>VLOOKUP($C322,'2021-22 School Level AAFTE'!$C:$I,7,FALSE)</f>
        <v>626.80999999999995</v>
      </c>
      <c r="I322" s="112">
        <f>IFERROR(IF(OR(G322="yes",F322= "yes"),VLOOKUP(C322,Summary!$B:$J,6,0),0),0)</f>
        <v>0</v>
      </c>
      <c r="J322" s="111">
        <f t="shared" si="57"/>
        <v>626.80999999999995</v>
      </c>
      <c r="K322" s="91">
        <f>VLOOKUP($A322,'2022-23 Salary &amp; Benefits'!$A:$I,3,FALSE)</f>
        <v>1</v>
      </c>
      <c r="L322" s="91">
        <f>VLOOKUP($A322,'2022-23 Salary &amp; Benefits'!$A:$I,4,FALSE)</f>
        <v>1.04</v>
      </c>
      <c r="M322" s="101">
        <f t="shared" si="52"/>
        <v>626.80999999999995</v>
      </c>
      <c r="N322" s="24">
        <v>15</v>
      </c>
      <c r="O322" s="26">
        <f t="shared" si="55"/>
        <v>41.787333333333329</v>
      </c>
      <c r="P322" s="24">
        <v>1.1000000000000001</v>
      </c>
      <c r="Q322" s="24">
        <v>36</v>
      </c>
      <c r="R322" s="27">
        <f t="shared" si="56"/>
        <v>1654.7783999999999</v>
      </c>
      <c r="S322" s="102">
        <f t="shared" si="58"/>
        <v>1.839</v>
      </c>
      <c r="T322" s="21">
        <f>VLOOKUP($A322,'2022-23 Salary &amp; Benefits'!$A:$I,5,FALSE)</f>
        <v>68937</v>
      </c>
      <c r="U322" s="21">
        <f>VLOOKUP($A322,'2022-23 Salary &amp; Benefits'!$A:$I,6,FALSE)</f>
        <v>72728</v>
      </c>
      <c r="V322" s="22">
        <f t="shared" si="59"/>
        <v>126775.14</v>
      </c>
      <c r="W322" s="22">
        <f t="shared" si="60"/>
        <v>12321.520000000004</v>
      </c>
      <c r="X322" s="22">
        <f>'2022-23 Salary &amp; Benefits'!$G$6</f>
        <v>12558.24</v>
      </c>
      <c r="Y322" s="23">
        <f>'2022-23 Salary &amp; Benefits'!$H$6</f>
        <v>0.2298</v>
      </c>
      <c r="Z322" s="23">
        <f>'2022-23 Salary &amp; Benefits'!$I$6</f>
        <v>0.22339999999999999</v>
      </c>
      <c r="AA322" s="22">
        <f t="shared" si="61"/>
        <v>54980.160000000003</v>
      </c>
      <c r="AB322" s="22">
        <f t="shared" si="62"/>
        <v>2318.2800000000002</v>
      </c>
      <c r="AC322" s="22">
        <f t="shared" si="63"/>
        <v>517.9</v>
      </c>
      <c r="AD322" s="22">
        <f t="shared" si="53"/>
        <v>2836.1800000000003</v>
      </c>
      <c r="AE322" s="22">
        <f t="shared" si="54"/>
        <v>196913</v>
      </c>
      <c r="AF322" s="19" t="str">
        <f>VLOOKUP(C322,'2021-22 School Level AAFTE'!C:N,12,FALSE)</f>
        <v>No</v>
      </c>
    </row>
    <row r="323" spans="1:284" s="19" customFormat="1">
      <c r="A323" s="97" t="s">
        <v>2494</v>
      </c>
      <c r="B323" s="97" t="s">
        <v>1875</v>
      </c>
      <c r="C323" s="95">
        <v>1769</v>
      </c>
      <c r="D323" s="95" t="s">
        <v>1876</v>
      </c>
      <c r="E323" s="129">
        <f>VLOOKUP($C323,'2021-22 School Level AAFTE'!$C:$Z,11,FALSE)</f>
        <v>0.73473333333333335</v>
      </c>
      <c r="F323" s="129" t="str">
        <f>VLOOKUP($C323,'2021-22 School Level AAFTE'!$C:$Z,8,FALSE)</f>
        <v>Yes</v>
      </c>
      <c r="G323" s="129" t="str">
        <f>VLOOKUP($C323,'2021-22 School Level AAFTE'!$C:$Z,12,FALSE)</f>
        <v>No</v>
      </c>
      <c r="H323" s="127">
        <f>VLOOKUP($C323,'2021-22 School Level AAFTE'!$C:$I,7,FALSE)</f>
        <v>105.78</v>
      </c>
      <c r="I323" s="112">
        <f>IFERROR(IF(OR(G323="yes",F323= "yes"),VLOOKUP(C323,Summary!$B:$J,6,0),0),0)</f>
        <v>0</v>
      </c>
      <c r="J323" s="111">
        <f t="shared" si="57"/>
        <v>105.78</v>
      </c>
      <c r="K323" s="91">
        <f>VLOOKUP($A323,'2022-23 Salary &amp; Benefits'!$A:$I,3,FALSE)</f>
        <v>1</v>
      </c>
      <c r="L323" s="91">
        <f>VLOOKUP($A323,'2022-23 Salary &amp; Benefits'!$A:$I,4,FALSE)</f>
        <v>1</v>
      </c>
      <c r="M323" s="39">
        <f t="shared" ref="M323:M381" si="64">IF(I323&gt;0,I323,J323)</f>
        <v>105.78</v>
      </c>
      <c r="N323" s="24">
        <v>15</v>
      </c>
      <c r="O323" s="26">
        <f t="shared" si="55"/>
        <v>7.0520000000000005</v>
      </c>
      <c r="P323" s="24">
        <v>1.1000000000000001</v>
      </c>
      <c r="Q323" s="24">
        <v>36</v>
      </c>
      <c r="R323" s="27">
        <f t="shared" si="56"/>
        <v>279.25920000000002</v>
      </c>
      <c r="S323" s="102">
        <f t="shared" si="58"/>
        <v>0.31</v>
      </c>
      <c r="T323" s="21">
        <f>VLOOKUP($A323,'2022-23 Salary &amp; Benefits'!$A:$I,5,FALSE)</f>
        <v>68937</v>
      </c>
      <c r="U323" s="21">
        <f>VLOOKUP($A323,'2022-23 Salary &amp; Benefits'!$A:$I,6,FALSE)</f>
        <v>72728</v>
      </c>
      <c r="V323" s="22">
        <f t="shared" si="59"/>
        <v>21370.47</v>
      </c>
      <c r="W323" s="22">
        <f t="shared" si="60"/>
        <v>1175.2099999999991</v>
      </c>
      <c r="X323" s="22">
        <f>'2022-23 Salary &amp; Benefits'!$G$6</f>
        <v>12558.24</v>
      </c>
      <c r="Y323" s="23">
        <f>'2022-23 Salary &amp; Benefits'!$H$6</f>
        <v>0.2298</v>
      </c>
      <c r="Z323" s="23">
        <f>'2022-23 Salary &amp; Benefits'!$I$6</f>
        <v>0.22339999999999999</v>
      </c>
      <c r="AA323" s="22">
        <f t="shared" si="61"/>
        <v>9066.5300000000007</v>
      </c>
      <c r="AB323" s="22">
        <f t="shared" si="62"/>
        <v>375.76</v>
      </c>
      <c r="AC323" s="22">
        <f t="shared" si="63"/>
        <v>83.94</v>
      </c>
      <c r="AD323" s="22">
        <f t="shared" ref="AD323:AD381" si="65">SUM(AB323:AC323)</f>
        <v>459.7</v>
      </c>
      <c r="AE323" s="22">
        <f t="shared" ref="AE323:AE381" si="66">SUM(AA323,V323:W323,AD323)</f>
        <v>32071.91</v>
      </c>
      <c r="AF323" s="19" t="str">
        <f>VLOOKUP(C323,'2021-22 School Level AAFTE'!C:N,12,FALSE)</f>
        <v>No</v>
      </c>
    </row>
    <row r="324" spans="1:284" s="19" customFormat="1">
      <c r="A324" s="97" t="s">
        <v>2494</v>
      </c>
      <c r="B324" s="97" t="s">
        <v>1875</v>
      </c>
      <c r="C324" s="95">
        <v>2447</v>
      </c>
      <c r="D324" s="95" t="s">
        <v>1877</v>
      </c>
      <c r="E324" s="129">
        <f>VLOOKUP($C324,'2021-22 School Level AAFTE'!$C:$Z,11,FALSE)</f>
        <v>0.48083333333333339</v>
      </c>
      <c r="F324" s="129" t="str">
        <f>VLOOKUP($C324,'2021-22 School Level AAFTE'!$C:$Z,8,FALSE)</f>
        <v>No</v>
      </c>
      <c r="G324" s="129" t="str">
        <f>VLOOKUP($C324,'2021-22 School Level AAFTE'!$C:$Z,12,FALSE)</f>
        <v>No</v>
      </c>
      <c r="H324" s="127">
        <f>VLOOKUP($C324,'2021-22 School Level AAFTE'!$C:$I,7,FALSE)</f>
        <v>623.96</v>
      </c>
      <c r="I324" s="112">
        <f>IFERROR(IF(OR(G324="yes",F324= "yes"),VLOOKUP(C324,Summary!$B:$J,6,0),0),0)</f>
        <v>0</v>
      </c>
      <c r="J324" s="111">
        <f t="shared" si="57"/>
        <v>0</v>
      </c>
      <c r="K324" s="91">
        <f>VLOOKUP($A324,'2022-23 Salary &amp; Benefits'!$A:$I,3,FALSE)</f>
        <v>1</v>
      </c>
      <c r="L324" s="91">
        <f>VLOOKUP($A324,'2022-23 Salary &amp; Benefits'!$A:$I,4,FALSE)</f>
        <v>1</v>
      </c>
      <c r="M324" s="101">
        <f t="shared" si="64"/>
        <v>0</v>
      </c>
      <c r="N324" s="24">
        <v>15</v>
      </c>
      <c r="O324" s="26">
        <f t="shared" si="55"/>
        <v>0</v>
      </c>
      <c r="P324" s="24">
        <v>1.1000000000000001</v>
      </c>
      <c r="Q324" s="24">
        <v>36</v>
      </c>
      <c r="R324" s="27">
        <f t="shared" si="56"/>
        <v>0</v>
      </c>
      <c r="S324" s="102">
        <f t="shared" si="58"/>
        <v>0</v>
      </c>
      <c r="T324" s="21">
        <f>VLOOKUP($A324,'2022-23 Salary &amp; Benefits'!$A:$I,5,FALSE)</f>
        <v>68937</v>
      </c>
      <c r="U324" s="21">
        <f>VLOOKUP($A324,'2022-23 Salary &amp; Benefits'!$A:$I,6,FALSE)</f>
        <v>72728</v>
      </c>
      <c r="V324" s="22">
        <f t="shared" si="59"/>
        <v>0</v>
      </c>
      <c r="W324" s="22">
        <f t="shared" si="60"/>
        <v>0</v>
      </c>
      <c r="X324" s="22">
        <f>'2022-23 Salary &amp; Benefits'!$G$6</f>
        <v>12558.24</v>
      </c>
      <c r="Y324" s="23">
        <f>'2022-23 Salary &amp; Benefits'!$H$6</f>
        <v>0.2298</v>
      </c>
      <c r="Z324" s="23">
        <f>'2022-23 Salary &amp; Benefits'!$I$6</f>
        <v>0.22339999999999999</v>
      </c>
      <c r="AA324" s="22">
        <f t="shared" si="61"/>
        <v>0</v>
      </c>
      <c r="AB324" s="22">
        <f t="shared" si="62"/>
        <v>0</v>
      </c>
      <c r="AC324" s="22">
        <f t="shared" si="63"/>
        <v>0</v>
      </c>
      <c r="AD324" s="22">
        <f t="shared" si="65"/>
        <v>0</v>
      </c>
      <c r="AE324" s="22">
        <f t="shared" si="66"/>
        <v>0</v>
      </c>
      <c r="AF324" s="19" t="str">
        <f>VLOOKUP(C324,'2021-22 School Level AAFTE'!C:N,12,FALSE)</f>
        <v>No</v>
      </c>
    </row>
    <row r="325" spans="1:284" s="19" customFormat="1">
      <c r="A325" s="97" t="s">
        <v>2494</v>
      </c>
      <c r="B325" s="97" t="s">
        <v>1875</v>
      </c>
      <c r="C325" s="95">
        <v>2814</v>
      </c>
      <c r="D325" s="95" t="s">
        <v>850</v>
      </c>
      <c r="E325" s="129">
        <f>VLOOKUP($C325,'2021-22 School Level AAFTE'!$C:$Z,11,FALSE)</f>
        <v>0.68396666666666661</v>
      </c>
      <c r="F325" s="129" t="str">
        <f>VLOOKUP($C325,'2021-22 School Level AAFTE'!$C:$Z,8,FALSE)</f>
        <v>Yes</v>
      </c>
      <c r="G325" s="129" t="str">
        <f>VLOOKUP($C325,'2021-22 School Level AAFTE'!$C:$Z,12,FALSE)</f>
        <v>No</v>
      </c>
      <c r="H325" s="127">
        <f>VLOOKUP($C325,'2021-22 School Level AAFTE'!$C:$I,7,FALSE)</f>
        <v>522.29</v>
      </c>
      <c r="I325" s="112">
        <f>IFERROR(IF(OR(G325="yes",F325= "yes"),VLOOKUP(C325,Summary!$B:$J,6,0),0),0)</f>
        <v>0</v>
      </c>
      <c r="J325" s="111">
        <f t="shared" si="57"/>
        <v>522.29</v>
      </c>
      <c r="K325" s="91">
        <f>VLOOKUP($A325,'2022-23 Salary &amp; Benefits'!$A:$I,3,FALSE)</f>
        <v>1</v>
      </c>
      <c r="L325" s="91">
        <f>VLOOKUP($A325,'2022-23 Salary &amp; Benefits'!$A:$I,4,FALSE)</f>
        <v>1</v>
      </c>
      <c r="M325" s="101">
        <f t="shared" si="64"/>
        <v>522.29</v>
      </c>
      <c r="N325" s="24">
        <v>15</v>
      </c>
      <c r="O325" s="26">
        <f t="shared" si="55"/>
        <v>34.819333333333333</v>
      </c>
      <c r="P325" s="24">
        <v>1.1000000000000001</v>
      </c>
      <c r="Q325" s="24">
        <v>36</v>
      </c>
      <c r="R325" s="27">
        <f t="shared" si="56"/>
        <v>1378.8456000000001</v>
      </c>
      <c r="S325" s="102">
        <f t="shared" si="58"/>
        <v>1.532</v>
      </c>
      <c r="T325" s="21">
        <f>VLOOKUP($A325,'2022-23 Salary &amp; Benefits'!$A:$I,5,FALSE)</f>
        <v>68937</v>
      </c>
      <c r="U325" s="21">
        <f>VLOOKUP($A325,'2022-23 Salary &amp; Benefits'!$A:$I,6,FALSE)</f>
        <v>72728</v>
      </c>
      <c r="V325" s="22">
        <f t="shared" si="59"/>
        <v>105611.48</v>
      </c>
      <c r="W325" s="22">
        <f t="shared" si="60"/>
        <v>5807.820000000007</v>
      </c>
      <c r="X325" s="22">
        <f>'2022-23 Salary &amp; Benefits'!$G$6</f>
        <v>12558.24</v>
      </c>
      <c r="Y325" s="23">
        <f>'2022-23 Salary &amp; Benefits'!$H$6</f>
        <v>0.2298</v>
      </c>
      <c r="Z325" s="23">
        <f>'2022-23 Salary &amp; Benefits'!$I$6</f>
        <v>0.22339999999999999</v>
      </c>
      <c r="AA325" s="22">
        <f t="shared" si="61"/>
        <v>44806.21</v>
      </c>
      <c r="AB325" s="22">
        <f t="shared" si="62"/>
        <v>1856.99</v>
      </c>
      <c r="AC325" s="22">
        <f t="shared" si="63"/>
        <v>414.85</v>
      </c>
      <c r="AD325" s="22">
        <f t="shared" si="65"/>
        <v>2271.84</v>
      </c>
      <c r="AE325" s="22">
        <f t="shared" si="66"/>
        <v>158497.35</v>
      </c>
      <c r="AF325" s="19" t="str">
        <f>VLOOKUP(C325,'2021-22 School Level AAFTE'!C:N,12,FALSE)</f>
        <v>No</v>
      </c>
    </row>
    <row r="326" spans="1:284" s="19" customFormat="1">
      <c r="A326" s="97" t="s">
        <v>2494</v>
      </c>
      <c r="B326" s="97" t="s">
        <v>1875</v>
      </c>
      <c r="C326" s="95">
        <v>2954</v>
      </c>
      <c r="D326" s="95" t="s">
        <v>1878</v>
      </c>
      <c r="E326" s="129">
        <f>VLOOKUP($C326,'2021-22 School Level AAFTE'!$C:$Z,11,FALSE)</f>
        <v>0.45290000000000002</v>
      </c>
      <c r="F326" s="129" t="str">
        <f>VLOOKUP($C326,'2021-22 School Level AAFTE'!$C:$Z,8,FALSE)</f>
        <v>No</v>
      </c>
      <c r="G326" s="129" t="str">
        <f>VLOOKUP($C326,'2021-22 School Level AAFTE'!$C:$Z,12,FALSE)</f>
        <v>No</v>
      </c>
      <c r="H326" s="127">
        <f>VLOOKUP($C326,'2021-22 School Level AAFTE'!$C:$I,7,FALSE)</f>
        <v>452</v>
      </c>
      <c r="I326" s="112">
        <f>IFERROR(IF(OR(G326="yes",F326= "yes"),VLOOKUP(C326,Summary!$B:$J,6,0),0),0)</f>
        <v>0</v>
      </c>
      <c r="J326" s="111">
        <f t="shared" si="57"/>
        <v>0</v>
      </c>
      <c r="K326" s="91">
        <f>VLOOKUP($A326,'2022-23 Salary &amp; Benefits'!$A:$I,3,FALSE)</f>
        <v>1</v>
      </c>
      <c r="L326" s="91">
        <f>VLOOKUP($A326,'2022-23 Salary &amp; Benefits'!$A:$I,4,FALSE)</f>
        <v>1</v>
      </c>
      <c r="M326" s="101">
        <f t="shared" si="64"/>
        <v>0</v>
      </c>
      <c r="N326" s="24">
        <v>15</v>
      </c>
      <c r="O326" s="26">
        <f t="shared" si="55"/>
        <v>0</v>
      </c>
      <c r="P326" s="24">
        <v>1.1000000000000001</v>
      </c>
      <c r="Q326" s="24">
        <v>36</v>
      </c>
      <c r="R326" s="27">
        <f t="shared" si="56"/>
        <v>0</v>
      </c>
      <c r="S326" s="102">
        <f t="shared" si="58"/>
        <v>0</v>
      </c>
      <c r="T326" s="21">
        <f>VLOOKUP($A326,'2022-23 Salary &amp; Benefits'!$A:$I,5,FALSE)</f>
        <v>68937</v>
      </c>
      <c r="U326" s="21">
        <f>VLOOKUP($A326,'2022-23 Salary &amp; Benefits'!$A:$I,6,FALSE)</f>
        <v>72728</v>
      </c>
      <c r="V326" s="22">
        <f t="shared" si="59"/>
        <v>0</v>
      </c>
      <c r="W326" s="22">
        <f t="shared" si="60"/>
        <v>0</v>
      </c>
      <c r="X326" s="22">
        <f>'2022-23 Salary &amp; Benefits'!$G$6</f>
        <v>12558.24</v>
      </c>
      <c r="Y326" s="23">
        <f>'2022-23 Salary &amp; Benefits'!$H$6</f>
        <v>0.2298</v>
      </c>
      <c r="Z326" s="23">
        <f>'2022-23 Salary &amp; Benefits'!$I$6</f>
        <v>0.22339999999999999</v>
      </c>
      <c r="AA326" s="22">
        <f t="shared" si="61"/>
        <v>0</v>
      </c>
      <c r="AB326" s="22">
        <f t="shared" si="62"/>
        <v>0</v>
      </c>
      <c r="AC326" s="22">
        <f t="shared" si="63"/>
        <v>0</v>
      </c>
      <c r="AD326" s="22">
        <f t="shared" si="65"/>
        <v>0</v>
      </c>
      <c r="AE326" s="22">
        <f t="shared" si="66"/>
        <v>0</v>
      </c>
      <c r="AF326" s="19" t="str">
        <f>VLOOKUP(C326,'2021-22 School Level AAFTE'!C:N,12,FALSE)</f>
        <v>No</v>
      </c>
    </row>
    <row r="327" spans="1:284" s="19" customFormat="1">
      <c r="A327" s="97" t="s">
        <v>2494</v>
      </c>
      <c r="B327" s="97" t="s">
        <v>1875</v>
      </c>
      <c r="C327" s="95">
        <v>3309</v>
      </c>
      <c r="D327" s="95" t="s">
        <v>1879</v>
      </c>
      <c r="E327" s="129">
        <f>VLOOKUP($C327,'2021-22 School Level AAFTE'!$C:$Z,11,FALSE)</f>
        <v>0.36103333333333332</v>
      </c>
      <c r="F327" s="129" t="str">
        <f>VLOOKUP($C327,'2021-22 School Level AAFTE'!$C:$Z,8,FALSE)</f>
        <v>No</v>
      </c>
      <c r="G327" s="129" t="str">
        <f>VLOOKUP($C327,'2021-22 School Level AAFTE'!$C:$Z,12,FALSE)</f>
        <v>No</v>
      </c>
      <c r="H327" s="127">
        <f>VLOOKUP($C327,'2021-22 School Level AAFTE'!$C:$I,7,FALSE)</f>
        <v>526.29</v>
      </c>
      <c r="I327" s="112">
        <f>IFERROR(IF(OR(G327="yes",F327= "yes"),VLOOKUP(C327,Summary!$B:$J,6,0),0),0)</f>
        <v>0</v>
      </c>
      <c r="J327" s="111">
        <f t="shared" si="57"/>
        <v>0</v>
      </c>
      <c r="K327" s="91">
        <f>VLOOKUP($A327,'2022-23 Salary &amp; Benefits'!$A:$I,3,FALSE)</f>
        <v>1</v>
      </c>
      <c r="L327" s="91">
        <f>VLOOKUP($A327,'2022-23 Salary &amp; Benefits'!$A:$I,4,FALSE)</f>
        <v>1</v>
      </c>
      <c r="M327" s="101">
        <f t="shared" si="64"/>
        <v>0</v>
      </c>
      <c r="N327" s="24">
        <v>15</v>
      </c>
      <c r="O327" s="26">
        <f t="shared" si="55"/>
        <v>0</v>
      </c>
      <c r="P327" s="24">
        <v>1.1000000000000001</v>
      </c>
      <c r="Q327" s="24">
        <v>36</v>
      </c>
      <c r="R327" s="27">
        <f t="shared" si="56"/>
        <v>0</v>
      </c>
      <c r="S327" s="102">
        <f t="shared" si="58"/>
        <v>0</v>
      </c>
      <c r="T327" s="21">
        <f>VLOOKUP($A327,'2022-23 Salary &amp; Benefits'!$A:$I,5,FALSE)</f>
        <v>68937</v>
      </c>
      <c r="U327" s="21">
        <f>VLOOKUP($A327,'2022-23 Salary &amp; Benefits'!$A:$I,6,FALSE)</f>
        <v>72728</v>
      </c>
      <c r="V327" s="22">
        <f t="shared" si="59"/>
        <v>0</v>
      </c>
      <c r="W327" s="22">
        <f t="shared" si="60"/>
        <v>0</v>
      </c>
      <c r="X327" s="22">
        <f>'2022-23 Salary &amp; Benefits'!$G$6</f>
        <v>12558.24</v>
      </c>
      <c r="Y327" s="23">
        <f>'2022-23 Salary &amp; Benefits'!$H$6</f>
        <v>0.2298</v>
      </c>
      <c r="Z327" s="23">
        <f>'2022-23 Salary &amp; Benefits'!$I$6</f>
        <v>0.22339999999999999</v>
      </c>
      <c r="AA327" s="22">
        <f t="shared" si="61"/>
        <v>0</v>
      </c>
      <c r="AB327" s="22">
        <f t="shared" si="62"/>
        <v>0</v>
      </c>
      <c r="AC327" s="22">
        <f t="shared" si="63"/>
        <v>0</v>
      </c>
      <c r="AD327" s="22">
        <f t="shared" si="65"/>
        <v>0</v>
      </c>
      <c r="AE327" s="22">
        <f t="shared" si="66"/>
        <v>0</v>
      </c>
      <c r="AF327" s="19" t="str">
        <f>VLOOKUP(C327,'2021-22 School Level AAFTE'!C:N,12,FALSE)</f>
        <v>No</v>
      </c>
    </row>
    <row r="328" spans="1:284" s="19" customFormat="1">
      <c r="A328" s="97" t="s">
        <v>2494</v>
      </c>
      <c r="B328" s="97" t="s">
        <v>1875</v>
      </c>
      <c r="C328" s="95">
        <v>3610</v>
      </c>
      <c r="D328" s="95" t="s">
        <v>1880</v>
      </c>
      <c r="E328" s="129">
        <f>VLOOKUP($C328,'2021-22 School Level AAFTE'!$C:$Z,11,FALSE)</f>
        <v>0.41303333333333336</v>
      </c>
      <c r="F328" s="129" t="str">
        <f>VLOOKUP($C328,'2021-22 School Level AAFTE'!$C:$Z,8,FALSE)</f>
        <v>No</v>
      </c>
      <c r="G328" s="129" t="str">
        <f>VLOOKUP($C328,'2021-22 School Level AAFTE'!$C:$Z,12,FALSE)</f>
        <v>No</v>
      </c>
      <c r="H328" s="127">
        <f>VLOOKUP($C328,'2021-22 School Level AAFTE'!$C:$I,7,FALSE)</f>
        <v>1408.06</v>
      </c>
      <c r="I328" s="112">
        <f>IFERROR(IF(OR(G328="yes",F328= "yes"),VLOOKUP(C328,Summary!$B:$J,6,0),0),0)</f>
        <v>0</v>
      </c>
      <c r="J328" s="111">
        <f t="shared" si="57"/>
        <v>0</v>
      </c>
      <c r="K328" s="91">
        <f>VLOOKUP($A328,'2022-23 Salary &amp; Benefits'!$A:$I,3,FALSE)</f>
        <v>1</v>
      </c>
      <c r="L328" s="91">
        <f>VLOOKUP($A328,'2022-23 Salary &amp; Benefits'!$A:$I,4,FALSE)</f>
        <v>1</v>
      </c>
      <c r="M328" s="101">
        <f t="shared" si="64"/>
        <v>0</v>
      </c>
      <c r="N328" s="24">
        <v>15</v>
      </c>
      <c r="O328" s="26">
        <f t="shared" si="55"/>
        <v>0</v>
      </c>
      <c r="P328" s="24">
        <v>1.1000000000000001</v>
      </c>
      <c r="Q328" s="24">
        <v>36</v>
      </c>
      <c r="R328" s="27">
        <f t="shared" si="56"/>
        <v>0</v>
      </c>
      <c r="S328" s="102">
        <f t="shared" si="58"/>
        <v>0</v>
      </c>
      <c r="T328" s="21">
        <f>VLOOKUP($A328,'2022-23 Salary &amp; Benefits'!$A:$I,5,FALSE)</f>
        <v>68937</v>
      </c>
      <c r="U328" s="21">
        <f>VLOOKUP($A328,'2022-23 Salary &amp; Benefits'!$A:$I,6,FALSE)</f>
        <v>72728</v>
      </c>
      <c r="V328" s="22">
        <f t="shared" si="59"/>
        <v>0</v>
      </c>
      <c r="W328" s="22">
        <f t="shared" si="60"/>
        <v>0</v>
      </c>
      <c r="X328" s="22">
        <f>'2022-23 Salary &amp; Benefits'!$G$6</f>
        <v>12558.24</v>
      </c>
      <c r="Y328" s="23">
        <f>'2022-23 Salary &amp; Benefits'!$H$6</f>
        <v>0.2298</v>
      </c>
      <c r="Z328" s="23">
        <f>'2022-23 Salary &amp; Benefits'!$I$6</f>
        <v>0.22339999999999999</v>
      </c>
      <c r="AA328" s="22">
        <f t="shared" si="61"/>
        <v>0</v>
      </c>
      <c r="AB328" s="22">
        <f t="shared" si="62"/>
        <v>0</v>
      </c>
      <c r="AC328" s="22">
        <f t="shared" si="63"/>
        <v>0</v>
      </c>
      <c r="AD328" s="22">
        <f t="shared" si="65"/>
        <v>0</v>
      </c>
      <c r="AE328" s="22">
        <f t="shared" si="66"/>
        <v>0</v>
      </c>
      <c r="AF328" s="19" t="str">
        <f>VLOOKUP(C328,'2021-22 School Level AAFTE'!C:N,12,FALSE)</f>
        <v>No</v>
      </c>
    </row>
    <row r="329" spans="1:284" s="19" customFormat="1">
      <c r="A329" s="97" t="s">
        <v>2494</v>
      </c>
      <c r="B329" s="97" t="s">
        <v>1875</v>
      </c>
      <c r="C329" s="95">
        <v>3761</v>
      </c>
      <c r="D329" s="95" t="s">
        <v>1881</v>
      </c>
      <c r="E329" s="129">
        <f>VLOOKUP($C329,'2021-22 School Level AAFTE'!$C:$Z,11,FALSE)</f>
        <v>0.53726666666666667</v>
      </c>
      <c r="F329" s="129" t="str">
        <f>VLOOKUP($C329,'2021-22 School Level AAFTE'!$C:$Z,8,FALSE)</f>
        <v>Yes</v>
      </c>
      <c r="G329" s="129" t="str">
        <f>VLOOKUP($C329,'2021-22 School Level AAFTE'!$C:$Z,12,FALSE)</f>
        <v>No</v>
      </c>
      <c r="H329" s="127">
        <f>VLOOKUP($C329,'2021-22 School Level AAFTE'!$C:$I,7,FALSE)</f>
        <v>318.61</v>
      </c>
      <c r="I329" s="112">
        <f>IFERROR(IF(OR(G329="yes",F329= "yes"),VLOOKUP(C329,Summary!$B:$J,6,0),0),0)</f>
        <v>0</v>
      </c>
      <c r="J329" s="111">
        <f t="shared" si="57"/>
        <v>318.61</v>
      </c>
      <c r="K329" s="91">
        <f>VLOOKUP($A329,'2022-23 Salary &amp; Benefits'!$A:$I,3,FALSE)</f>
        <v>1</v>
      </c>
      <c r="L329" s="91">
        <f>VLOOKUP($A329,'2022-23 Salary &amp; Benefits'!$A:$I,4,FALSE)</f>
        <v>1</v>
      </c>
      <c r="M329" s="39">
        <f t="shared" si="64"/>
        <v>318.61</v>
      </c>
      <c r="N329" s="24">
        <v>15</v>
      </c>
      <c r="O329" s="26">
        <f t="shared" si="55"/>
        <v>21.240666666666666</v>
      </c>
      <c r="P329" s="24">
        <v>1.1000000000000001</v>
      </c>
      <c r="Q329" s="24">
        <v>36</v>
      </c>
      <c r="R329" s="27">
        <f t="shared" si="56"/>
        <v>841.13040000000001</v>
      </c>
      <c r="S329" s="102">
        <f t="shared" si="58"/>
        <v>0.93500000000000005</v>
      </c>
      <c r="T329" s="21">
        <f>VLOOKUP($A329,'2022-23 Salary &amp; Benefits'!$A:$I,5,FALSE)</f>
        <v>68937</v>
      </c>
      <c r="U329" s="21">
        <f>VLOOKUP($A329,'2022-23 Salary &amp; Benefits'!$A:$I,6,FALSE)</f>
        <v>72728</v>
      </c>
      <c r="V329" s="22">
        <f t="shared" si="59"/>
        <v>64456.1</v>
      </c>
      <c r="W329" s="22">
        <f t="shared" si="60"/>
        <v>3544.5799999999945</v>
      </c>
      <c r="X329" s="22">
        <f>'2022-23 Salary &amp; Benefits'!$G$6</f>
        <v>12558.24</v>
      </c>
      <c r="Y329" s="23">
        <f>'2022-23 Salary &amp; Benefits'!$H$6</f>
        <v>0.2298</v>
      </c>
      <c r="Z329" s="23">
        <f>'2022-23 Salary &amp; Benefits'!$I$6</f>
        <v>0.22339999999999999</v>
      </c>
      <c r="AA329" s="22">
        <f t="shared" si="61"/>
        <v>27345.83</v>
      </c>
      <c r="AB329" s="22">
        <f t="shared" si="62"/>
        <v>1133.3399999999999</v>
      </c>
      <c r="AC329" s="22">
        <f t="shared" si="63"/>
        <v>253.19</v>
      </c>
      <c r="AD329" s="22">
        <f t="shared" si="65"/>
        <v>1386.53</v>
      </c>
      <c r="AE329" s="22">
        <f t="shared" si="66"/>
        <v>96733.039999999979</v>
      </c>
      <c r="AF329" s="19" t="str">
        <f>VLOOKUP(C329,'2021-22 School Level AAFTE'!C:N,12,FALSE)</f>
        <v>No</v>
      </c>
    </row>
    <row r="330" spans="1:284" s="19" customFormat="1">
      <c r="A330" s="97" t="s">
        <v>2494</v>
      </c>
      <c r="B330" s="97" t="s">
        <v>1875</v>
      </c>
      <c r="C330" s="95">
        <v>5035</v>
      </c>
      <c r="D330" s="95" t="s">
        <v>1882</v>
      </c>
      <c r="E330" s="129">
        <f>VLOOKUP($C330,'2021-22 School Level AAFTE'!$C:$Z,11,FALSE)</f>
        <v>0.37486666666666668</v>
      </c>
      <c r="F330" s="129" t="str">
        <f>VLOOKUP($C330,'2021-22 School Level AAFTE'!$C:$Z,8,FALSE)</f>
        <v>No</v>
      </c>
      <c r="G330" s="129" t="str">
        <f>VLOOKUP($C330,'2021-22 School Level AAFTE'!$C:$Z,12,FALSE)</f>
        <v>No</v>
      </c>
      <c r="H330" s="127">
        <f>VLOOKUP($C330,'2021-22 School Level AAFTE'!$C:$I,7,FALSE)</f>
        <v>204.05</v>
      </c>
      <c r="I330" s="112">
        <f>IFERROR(IF(OR(G330="yes",F330= "yes"),VLOOKUP(C330,Summary!$B:$J,6,0),0),0)</f>
        <v>0</v>
      </c>
      <c r="J330" s="111">
        <f t="shared" si="57"/>
        <v>0</v>
      </c>
      <c r="K330" s="91">
        <f>VLOOKUP($A330,'2022-23 Salary &amp; Benefits'!$A:$I,3,FALSE)</f>
        <v>1</v>
      </c>
      <c r="L330" s="91">
        <f>VLOOKUP($A330,'2022-23 Salary &amp; Benefits'!$A:$I,4,FALSE)</f>
        <v>1</v>
      </c>
      <c r="M330" s="39">
        <f t="shared" si="64"/>
        <v>0</v>
      </c>
      <c r="N330" s="24">
        <v>15</v>
      </c>
      <c r="O330" s="26">
        <f t="shared" ref="O330:O393" si="67">IF(M330="no",0,M330/N330)</f>
        <v>0</v>
      </c>
      <c r="P330" s="24">
        <v>1.1000000000000001</v>
      </c>
      <c r="Q330" s="24">
        <v>36</v>
      </c>
      <c r="R330" s="27">
        <f t="shared" ref="R330:R393" si="68">IF(M330="no",0,O330*P330*Q330)</f>
        <v>0</v>
      </c>
      <c r="S330" s="102">
        <f t="shared" si="58"/>
        <v>0</v>
      </c>
      <c r="T330" s="21">
        <f>VLOOKUP($A330,'2022-23 Salary &amp; Benefits'!$A:$I,5,FALSE)</f>
        <v>68937</v>
      </c>
      <c r="U330" s="21">
        <f>VLOOKUP($A330,'2022-23 Salary &amp; Benefits'!$A:$I,6,FALSE)</f>
        <v>72728</v>
      </c>
      <c r="V330" s="22">
        <f t="shared" si="59"/>
        <v>0</v>
      </c>
      <c r="W330" s="22">
        <f t="shared" si="60"/>
        <v>0</v>
      </c>
      <c r="X330" s="22">
        <f>'2022-23 Salary &amp; Benefits'!$G$6</f>
        <v>12558.24</v>
      </c>
      <c r="Y330" s="23">
        <f>'2022-23 Salary &amp; Benefits'!$H$6</f>
        <v>0.2298</v>
      </c>
      <c r="Z330" s="23">
        <f>'2022-23 Salary &amp; Benefits'!$I$6</f>
        <v>0.22339999999999999</v>
      </c>
      <c r="AA330" s="22">
        <f t="shared" si="61"/>
        <v>0</v>
      </c>
      <c r="AB330" s="22">
        <f t="shared" si="62"/>
        <v>0</v>
      </c>
      <c r="AC330" s="22">
        <f t="shared" si="63"/>
        <v>0</v>
      </c>
      <c r="AD330" s="22">
        <f t="shared" si="65"/>
        <v>0</v>
      </c>
      <c r="AE330" s="22">
        <f t="shared" si="66"/>
        <v>0</v>
      </c>
      <c r="AF330" s="19" t="str">
        <f>VLOOKUP(C330,'2021-22 School Level AAFTE'!C:N,12,FALSE)</f>
        <v>No</v>
      </c>
    </row>
    <row r="331" spans="1:284" s="19" customFormat="1">
      <c r="A331" s="97" t="s">
        <v>2494</v>
      </c>
      <c r="B331" s="97" t="s">
        <v>1875</v>
      </c>
      <c r="C331" s="95">
        <v>5269</v>
      </c>
      <c r="D331" s="95" t="s">
        <v>1883</v>
      </c>
      <c r="E331" s="129">
        <f>VLOOKUP($C331,'2021-22 School Level AAFTE'!$C:$Z,11,FALSE)</f>
        <v>0.51123333333333332</v>
      </c>
      <c r="F331" s="129" t="str">
        <f>VLOOKUP($C331,'2021-22 School Level AAFTE'!$C:$Z,8,FALSE)</f>
        <v>Yes</v>
      </c>
      <c r="G331" s="129" t="str">
        <f>VLOOKUP($C331,'2021-22 School Level AAFTE'!$C:$Z,12,FALSE)</f>
        <v>No</v>
      </c>
      <c r="H331" s="127">
        <f>VLOOKUP($C331,'2021-22 School Level AAFTE'!$C:$I,7,FALSE)</f>
        <v>554.95000000000005</v>
      </c>
      <c r="I331" s="112">
        <f>IFERROR(IF(OR(G331="yes",F331= "yes"),VLOOKUP(C331,Summary!$B:$J,6,0),0),0)</f>
        <v>0</v>
      </c>
      <c r="J331" s="111">
        <f t="shared" ref="J331:J394" si="69">IF(OR(G331="yes",F331= "yes"), H331,0)</f>
        <v>554.95000000000005</v>
      </c>
      <c r="K331" s="91">
        <f>VLOOKUP($A331,'2022-23 Salary &amp; Benefits'!$A:$I,3,FALSE)</f>
        <v>1</v>
      </c>
      <c r="L331" s="91">
        <f>VLOOKUP($A331,'2022-23 Salary &amp; Benefits'!$A:$I,4,FALSE)</f>
        <v>1</v>
      </c>
      <c r="M331" s="39">
        <f t="shared" si="64"/>
        <v>554.95000000000005</v>
      </c>
      <c r="N331" s="24">
        <v>15</v>
      </c>
      <c r="O331" s="26">
        <f t="shared" si="67"/>
        <v>36.99666666666667</v>
      </c>
      <c r="P331" s="24">
        <v>1.1000000000000001</v>
      </c>
      <c r="Q331" s="24">
        <v>36</v>
      </c>
      <c r="R331" s="27">
        <f t="shared" si="68"/>
        <v>1465.0680000000002</v>
      </c>
      <c r="S331" s="102">
        <f t="shared" ref="S331:S394" si="70">ROUND(IF(M331="no",0,R331/900),3)</f>
        <v>1.6279999999999999</v>
      </c>
      <c r="T331" s="21">
        <f>VLOOKUP($A331,'2022-23 Salary &amp; Benefits'!$A:$I,5,FALSE)</f>
        <v>68937</v>
      </c>
      <c r="U331" s="21">
        <f>VLOOKUP($A331,'2022-23 Salary &amp; Benefits'!$A:$I,6,FALSE)</f>
        <v>72728</v>
      </c>
      <c r="V331" s="22">
        <f t="shared" ref="V331:V394" si="71">ROUND($K331*$T331*$S331,2)</f>
        <v>112229.44</v>
      </c>
      <c r="W331" s="22">
        <f t="shared" ref="W331:W394" si="72">ROUND($L331*$U331*$S331,2)-V331</f>
        <v>6171.7399999999907</v>
      </c>
      <c r="X331" s="22">
        <f>'2022-23 Salary &amp; Benefits'!$G$6</f>
        <v>12558.24</v>
      </c>
      <c r="Y331" s="23">
        <f>'2022-23 Salary &amp; Benefits'!$H$6</f>
        <v>0.2298</v>
      </c>
      <c r="Z331" s="23">
        <f>'2022-23 Salary &amp; Benefits'!$I$6</f>
        <v>0.22339999999999999</v>
      </c>
      <c r="AA331" s="22">
        <f t="shared" ref="AA331:AA394" si="73">ROUND(V331*Y331+W331*Z331+S331*X331,2)</f>
        <v>47613.91</v>
      </c>
      <c r="AB331" s="22">
        <f t="shared" ref="AB331:AB394" si="74">ROUND(($U331*$L331*$S331/180*3),2)</f>
        <v>1973.35</v>
      </c>
      <c r="AC331" s="22">
        <f t="shared" ref="AC331:AC394" si="75">ROUND(AB331*Z331,2)</f>
        <v>440.85</v>
      </c>
      <c r="AD331" s="22">
        <f t="shared" si="65"/>
        <v>2414.1999999999998</v>
      </c>
      <c r="AE331" s="22">
        <f t="shared" si="66"/>
        <v>168429.29</v>
      </c>
      <c r="AF331" s="19" t="str">
        <f>VLOOKUP(C331,'2021-22 School Level AAFTE'!C:N,12,FALSE)</f>
        <v>No</v>
      </c>
    </row>
    <row r="332" spans="1:284" s="19" customFormat="1">
      <c r="A332" s="97" t="s">
        <v>2494</v>
      </c>
      <c r="B332" s="97" t="s">
        <v>1875</v>
      </c>
      <c r="C332" s="95">
        <v>5294</v>
      </c>
      <c r="D332" s="95" t="s">
        <v>1884</v>
      </c>
      <c r="E332" s="129">
        <f>VLOOKUP($C332,'2021-22 School Level AAFTE'!$C:$Z,11,FALSE)</f>
        <v>0.43696666666666667</v>
      </c>
      <c r="F332" s="129" t="str">
        <f>VLOOKUP($C332,'2021-22 School Level AAFTE'!$C:$Z,8,FALSE)</f>
        <v>No</v>
      </c>
      <c r="G332" s="129" t="str">
        <f>VLOOKUP($C332,'2021-22 School Level AAFTE'!$C:$Z,12,FALSE)</f>
        <v>No</v>
      </c>
      <c r="H332" s="127">
        <f>VLOOKUP($C332,'2021-22 School Level AAFTE'!$C:$I,7,FALSE)</f>
        <v>437</v>
      </c>
      <c r="I332" s="112">
        <f>IFERROR(IF(OR(G332="yes",F332= "yes"),VLOOKUP(C332,Summary!$B:$J,6,0),0),0)</f>
        <v>0</v>
      </c>
      <c r="J332" s="111">
        <f t="shared" si="69"/>
        <v>0</v>
      </c>
      <c r="K332" s="91">
        <f>VLOOKUP($A332,'2022-23 Salary &amp; Benefits'!$A:$I,3,FALSE)</f>
        <v>1</v>
      </c>
      <c r="L332" s="91">
        <f>VLOOKUP($A332,'2022-23 Salary &amp; Benefits'!$A:$I,4,FALSE)</f>
        <v>1</v>
      </c>
      <c r="M332" s="39">
        <f t="shared" si="64"/>
        <v>0</v>
      </c>
      <c r="N332" s="24">
        <v>15</v>
      </c>
      <c r="O332" s="26">
        <f t="shared" si="67"/>
        <v>0</v>
      </c>
      <c r="P332" s="24">
        <v>1.1000000000000001</v>
      </c>
      <c r="Q332" s="24">
        <v>36</v>
      </c>
      <c r="R332" s="27">
        <f t="shared" si="68"/>
        <v>0</v>
      </c>
      <c r="S332" s="102">
        <f t="shared" si="70"/>
        <v>0</v>
      </c>
      <c r="T332" s="21">
        <f>VLOOKUP($A332,'2022-23 Salary &amp; Benefits'!$A:$I,5,FALSE)</f>
        <v>68937</v>
      </c>
      <c r="U332" s="21">
        <f>VLOOKUP($A332,'2022-23 Salary &amp; Benefits'!$A:$I,6,FALSE)</f>
        <v>72728</v>
      </c>
      <c r="V332" s="22">
        <f t="shared" si="71"/>
        <v>0</v>
      </c>
      <c r="W332" s="22">
        <f t="shared" si="72"/>
        <v>0</v>
      </c>
      <c r="X332" s="22">
        <f>'2022-23 Salary &amp; Benefits'!$G$6</f>
        <v>12558.24</v>
      </c>
      <c r="Y332" s="23">
        <f>'2022-23 Salary &amp; Benefits'!$H$6</f>
        <v>0.2298</v>
      </c>
      <c r="Z332" s="23">
        <f>'2022-23 Salary &amp; Benefits'!$I$6</f>
        <v>0.22339999999999999</v>
      </c>
      <c r="AA332" s="22">
        <f t="shared" si="73"/>
        <v>0</v>
      </c>
      <c r="AB332" s="22">
        <f t="shared" si="74"/>
        <v>0</v>
      </c>
      <c r="AC332" s="22">
        <f t="shared" si="75"/>
        <v>0</v>
      </c>
      <c r="AD332" s="22">
        <f t="shared" si="65"/>
        <v>0</v>
      </c>
      <c r="AE332" s="22">
        <f t="shared" si="66"/>
        <v>0</v>
      </c>
      <c r="AF332" s="19" t="str">
        <f>VLOOKUP(C332,'2021-22 School Level AAFTE'!C:N,12,FALSE)</f>
        <v>No</v>
      </c>
    </row>
    <row r="333" spans="1:284" s="19" customFormat="1">
      <c r="A333" s="97" t="s">
        <v>2494</v>
      </c>
      <c r="B333" s="97" t="s">
        <v>1875</v>
      </c>
      <c r="C333" s="95">
        <v>5396</v>
      </c>
      <c r="D333" s="95" t="s">
        <v>1885</v>
      </c>
      <c r="E333" s="129">
        <f>VLOOKUP($C333,'2021-22 School Level AAFTE'!$C:$Z,11,FALSE)</f>
        <v>0.46666666666666662</v>
      </c>
      <c r="F333" s="129" t="str">
        <f>VLOOKUP($C333,'2021-22 School Level AAFTE'!$C:$Z,8,FALSE)</f>
        <v>No</v>
      </c>
      <c r="G333" s="129" t="str">
        <f>VLOOKUP($C333,'2021-22 School Level AAFTE'!$C:$Z,12,FALSE)</f>
        <v>Yes</v>
      </c>
      <c r="H333" s="127">
        <f>VLOOKUP($C333,'2021-22 School Level AAFTE'!$C:$I,7,FALSE)</f>
        <v>8.34</v>
      </c>
      <c r="I333" s="112">
        <f>IFERROR(IF(OR(G333="yes",F333= "yes"),VLOOKUP(C333,Summary!$B:$J,6,0),0),0)</f>
        <v>0</v>
      </c>
      <c r="J333" s="111">
        <f t="shared" si="69"/>
        <v>8.34</v>
      </c>
      <c r="K333" s="91">
        <f>VLOOKUP($A333,'2022-23 Salary &amp; Benefits'!$A:$I,3,FALSE)</f>
        <v>1</v>
      </c>
      <c r="L333" s="91">
        <f>VLOOKUP($A333,'2022-23 Salary &amp; Benefits'!$A:$I,4,FALSE)</f>
        <v>1</v>
      </c>
      <c r="M333" s="39">
        <f t="shared" si="64"/>
        <v>8.34</v>
      </c>
      <c r="N333" s="24">
        <v>15</v>
      </c>
      <c r="O333" s="26">
        <f t="shared" si="67"/>
        <v>0.55599999999999994</v>
      </c>
      <c r="P333" s="24">
        <v>1.1000000000000001</v>
      </c>
      <c r="Q333" s="24">
        <v>36</v>
      </c>
      <c r="R333" s="27">
        <f t="shared" si="68"/>
        <v>22.017600000000002</v>
      </c>
      <c r="S333" s="102">
        <f t="shared" si="70"/>
        <v>2.4E-2</v>
      </c>
      <c r="T333" s="21">
        <f>VLOOKUP($A333,'2022-23 Salary &amp; Benefits'!$A:$I,5,FALSE)</f>
        <v>68937</v>
      </c>
      <c r="U333" s="21">
        <f>VLOOKUP($A333,'2022-23 Salary &amp; Benefits'!$A:$I,6,FALSE)</f>
        <v>72728</v>
      </c>
      <c r="V333" s="22">
        <f t="shared" si="71"/>
        <v>1654.49</v>
      </c>
      <c r="W333" s="22">
        <f t="shared" si="72"/>
        <v>90.980000000000018</v>
      </c>
      <c r="X333" s="22">
        <f>'2022-23 Salary &amp; Benefits'!$G$6</f>
        <v>12558.24</v>
      </c>
      <c r="Y333" s="23">
        <f>'2022-23 Salary &amp; Benefits'!$H$6</f>
        <v>0.2298</v>
      </c>
      <c r="Z333" s="23">
        <f>'2022-23 Salary &amp; Benefits'!$I$6</f>
        <v>0.22339999999999999</v>
      </c>
      <c r="AA333" s="22">
        <f t="shared" si="73"/>
        <v>701.92</v>
      </c>
      <c r="AB333" s="22">
        <f t="shared" si="74"/>
        <v>29.09</v>
      </c>
      <c r="AC333" s="22">
        <f t="shared" si="75"/>
        <v>6.5</v>
      </c>
      <c r="AD333" s="22">
        <f t="shared" si="65"/>
        <v>35.590000000000003</v>
      </c>
      <c r="AE333" s="22">
        <f t="shared" si="66"/>
        <v>2482.98</v>
      </c>
      <c r="AF333" s="19" t="str">
        <f>VLOOKUP(C333,'2021-22 School Level AAFTE'!C:N,12,FALSE)</f>
        <v>Yes</v>
      </c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</row>
    <row r="334" spans="1:284" s="19" customFormat="1">
      <c r="A334" s="97" t="s">
        <v>2504</v>
      </c>
      <c r="B334" s="97" t="s">
        <v>1925</v>
      </c>
      <c r="C334" s="95">
        <v>1763</v>
      </c>
      <c r="D334" s="95" t="s">
        <v>2872</v>
      </c>
      <c r="E334" s="129">
        <f>VLOOKUP($C334,'2021-22 School Level AAFTE'!$C:$Z,11,FALSE)</f>
        <v>0.54976666666666663</v>
      </c>
      <c r="F334" s="129" t="str">
        <f>VLOOKUP($C334,'2021-22 School Level AAFTE'!$C:$Z,8,FALSE)</f>
        <v>Yes</v>
      </c>
      <c r="G334" s="129" t="str">
        <f>VLOOKUP($C334,'2021-22 School Level AAFTE'!$C:$Z,12,FALSE)</f>
        <v>No</v>
      </c>
      <c r="H334" s="127">
        <f>VLOOKUP($C334,'2021-22 School Level AAFTE'!$C:$I,7,FALSE)</f>
        <v>120.66</v>
      </c>
      <c r="I334" s="112">
        <f>IFERROR(IF(OR(G334="yes",F334= "yes"),VLOOKUP(C334,Summary!$B:$J,6,0),0),0)</f>
        <v>0</v>
      </c>
      <c r="J334" s="111">
        <f t="shared" si="69"/>
        <v>120.66</v>
      </c>
      <c r="K334" s="91">
        <f>VLOOKUP($A334,'2022-23 Salary &amp; Benefits'!$A:$I,3,FALSE)</f>
        <v>1</v>
      </c>
      <c r="L334" s="91">
        <f>VLOOKUP($A334,'2022-23 Salary &amp; Benefits'!$A:$I,4,FALSE)</f>
        <v>1</v>
      </c>
      <c r="M334" s="39">
        <f t="shared" si="64"/>
        <v>120.66</v>
      </c>
      <c r="N334" s="24">
        <v>15</v>
      </c>
      <c r="O334" s="26">
        <f t="shared" si="67"/>
        <v>8.0440000000000005</v>
      </c>
      <c r="P334" s="24">
        <v>1.1000000000000001</v>
      </c>
      <c r="Q334" s="24">
        <v>36</v>
      </c>
      <c r="R334" s="27">
        <f t="shared" si="68"/>
        <v>318.54240000000004</v>
      </c>
      <c r="S334" s="102">
        <f t="shared" si="70"/>
        <v>0.35399999999999998</v>
      </c>
      <c r="T334" s="21">
        <f>VLOOKUP($A334,'2022-23 Salary &amp; Benefits'!$A:$I,5,FALSE)</f>
        <v>68937</v>
      </c>
      <c r="U334" s="21">
        <f>VLOOKUP($A334,'2022-23 Salary &amp; Benefits'!$A:$I,6,FALSE)</f>
        <v>72728</v>
      </c>
      <c r="V334" s="22">
        <f t="shared" si="71"/>
        <v>24403.7</v>
      </c>
      <c r="W334" s="22">
        <f t="shared" si="72"/>
        <v>1342.0099999999984</v>
      </c>
      <c r="X334" s="22">
        <f>'2022-23 Salary &amp; Benefits'!$G$6</f>
        <v>12558.24</v>
      </c>
      <c r="Y334" s="23">
        <f>'2022-23 Salary &amp; Benefits'!$H$6</f>
        <v>0.2298</v>
      </c>
      <c r="Z334" s="23">
        <f>'2022-23 Salary &amp; Benefits'!$I$6</f>
        <v>0.22339999999999999</v>
      </c>
      <c r="AA334" s="22">
        <f t="shared" si="73"/>
        <v>10353.39</v>
      </c>
      <c r="AB334" s="22">
        <f t="shared" si="74"/>
        <v>429.1</v>
      </c>
      <c r="AC334" s="22">
        <f t="shared" si="75"/>
        <v>95.86</v>
      </c>
      <c r="AD334" s="22">
        <f t="shared" si="65"/>
        <v>524.96</v>
      </c>
      <c r="AE334" s="22">
        <f t="shared" si="66"/>
        <v>36624.05999999999</v>
      </c>
      <c r="AF334" s="19" t="str">
        <f>VLOOKUP(C334,'2021-22 School Level AAFTE'!C:N,12,FALSE)</f>
        <v>No</v>
      </c>
    </row>
    <row r="335" spans="1:284" s="19" customFormat="1">
      <c r="A335" s="97" t="s">
        <v>2504</v>
      </c>
      <c r="B335" s="97" t="s">
        <v>1925</v>
      </c>
      <c r="C335" s="95">
        <v>2404</v>
      </c>
      <c r="D335" s="95" t="s">
        <v>1926</v>
      </c>
      <c r="E335" s="129">
        <f>VLOOKUP($C335,'2021-22 School Level AAFTE'!$C:$Z,11,FALSE)</f>
        <v>0.5014333333333334</v>
      </c>
      <c r="F335" s="129" t="str">
        <f>VLOOKUP($C335,'2021-22 School Level AAFTE'!$C:$Z,8,FALSE)</f>
        <v>Yes</v>
      </c>
      <c r="G335" s="129" t="str">
        <f>VLOOKUP($C335,'2021-22 School Level AAFTE'!$C:$Z,12,FALSE)</f>
        <v>No</v>
      </c>
      <c r="H335" s="127">
        <f>VLOOKUP($C335,'2021-22 School Level AAFTE'!$C:$I,7,FALSE)</f>
        <v>313.12</v>
      </c>
      <c r="I335" s="112">
        <f>IFERROR(IF(OR(G335="yes",F335= "yes"),VLOOKUP(C335,Summary!$B:$J,6,0),0),0)</f>
        <v>0</v>
      </c>
      <c r="J335" s="111">
        <f t="shared" si="69"/>
        <v>313.12</v>
      </c>
      <c r="K335" s="91">
        <f>VLOOKUP($A335,'2022-23 Salary &amp; Benefits'!$A:$I,3,FALSE)</f>
        <v>1</v>
      </c>
      <c r="L335" s="91">
        <f>VLOOKUP($A335,'2022-23 Salary &amp; Benefits'!$A:$I,4,FALSE)</f>
        <v>1</v>
      </c>
      <c r="M335" s="39">
        <f t="shared" si="64"/>
        <v>313.12</v>
      </c>
      <c r="N335" s="24">
        <v>15</v>
      </c>
      <c r="O335" s="26">
        <f t="shared" si="67"/>
        <v>20.874666666666666</v>
      </c>
      <c r="P335" s="24">
        <v>1.1000000000000001</v>
      </c>
      <c r="Q335" s="24">
        <v>36</v>
      </c>
      <c r="R335" s="27">
        <f t="shared" si="68"/>
        <v>826.63679999999999</v>
      </c>
      <c r="S335" s="102">
        <f t="shared" si="70"/>
        <v>0.91800000000000004</v>
      </c>
      <c r="T335" s="21">
        <f>VLOOKUP($A335,'2022-23 Salary &amp; Benefits'!$A:$I,5,FALSE)</f>
        <v>68937</v>
      </c>
      <c r="U335" s="21">
        <f>VLOOKUP($A335,'2022-23 Salary &amp; Benefits'!$A:$I,6,FALSE)</f>
        <v>72728</v>
      </c>
      <c r="V335" s="22">
        <f t="shared" si="71"/>
        <v>63284.17</v>
      </c>
      <c r="W335" s="22">
        <f t="shared" si="72"/>
        <v>3480.1300000000047</v>
      </c>
      <c r="X335" s="22">
        <f>'2022-23 Salary &amp; Benefits'!$G$6</f>
        <v>12558.24</v>
      </c>
      <c r="Y335" s="23">
        <f>'2022-23 Salary &amp; Benefits'!$H$6</f>
        <v>0.2298</v>
      </c>
      <c r="Z335" s="23">
        <f>'2022-23 Salary &amp; Benefits'!$I$6</f>
        <v>0.22339999999999999</v>
      </c>
      <c r="AA335" s="22">
        <f t="shared" si="73"/>
        <v>26848.63</v>
      </c>
      <c r="AB335" s="22">
        <f t="shared" si="74"/>
        <v>1112.74</v>
      </c>
      <c r="AC335" s="22">
        <f t="shared" si="75"/>
        <v>248.59</v>
      </c>
      <c r="AD335" s="22">
        <f t="shared" si="65"/>
        <v>1361.33</v>
      </c>
      <c r="AE335" s="22">
        <f t="shared" si="66"/>
        <v>94974.260000000009</v>
      </c>
      <c r="AF335" s="19" t="str">
        <f>VLOOKUP(C335,'2021-22 School Level AAFTE'!C:N,12,FALSE)</f>
        <v>No</v>
      </c>
    </row>
    <row r="336" spans="1:284" s="19" customFormat="1">
      <c r="A336" s="97" t="s">
        <v>2504</v>
      </c>
      <c r="B336" s="97" t="s">
        <v>1925</v>
      </c>
      <c r="C336" s="95">
        <v>2664</v>
      </c>
      <c r="D336" s="95" t="s">
        <v>1927</v>
      </c>
      <c r="E336" s="129">
        <f>VLOOKUP($C336,'2021-22 School Level AAFTE'!$C:$Z,11,FALSE)</f>
        <v>0.60346666666666671</v>
      </c>
      <c r="F336" s="129" t="str">
        <f>VLOOKUP($C336,'2021-22 School Level AAFTE'!$C:$Z,8,FALSE)</f>
        <v>Yes</v>
      </c>
      <c r="G336" s="129" t="str">
        <f>VLOOKUP($C336,'2021-22 School Level AAFTE'!$C:$Z,12,FALSE)</f>
        <v>No</v>
      </c>
      <c r="H336" s="127">
        <f>VLOOKUP($C336,'2021-22 School Level AAFTE'!$C:$I,7,FALSE)</f>
        <v>320.14</v>
      </c>
      <c r="I336" s="112">
        <f>IFERROR(IF(OR(G336="yes",F336= "yes"),VLOOKUP(C336,Summary!$B:$J,6,0),0),0)</f>
        <v>0</v>
      </c>
      <c r="J336" s="111">
        <f t="shared" si="69"/>
        <v>320.14</v>
      </c>
      <c r="K336" s="91">
        <f>VLOOKUP($A336,'2022-23 Salary &amp; Benefits'!$A:$I,3,FALSE)</f>
        <v>1</v>
      </c>
      <c r="L336" s="91">
        <f>VLOOKUP($A336,'2022-23 Salary &amp; Benefits'!$A:$I,4,FALSE)</f>
        <v>1</v>
      </c>
      <c r="M336" s="39">
        <f t="shared" si="64"/>
        <v>320.14</v>
      </c>
      <c r="N336" s="24">
        <v>15</v>
      </c>
      <c r="O336" s="26">
        <f t="shared" si="67"/>
        <v>21.342666666666666</v>
      </c>
      <c r="P336" s="24">
        <v>1.1000000000000001</v>
      </c>
      <c r="Q336" s="24">
        <v>36</v>
      </c>
      <c r="R336" s="27">
        <f t="shared" si="68"/>
        <v>845.16960000000006</v>
      </c>
      <c r="S336" s="102">
        <f t="shared" si="70"/>
        <v>0.93899999999999995</v>
      </c>
      <c r="T336" s="21">
        <f>VLOOKUP($A336,'2022-23 Salary &amp; Benefits'!$A:$I,5,FALSE)</f>
        <v>68937</v>
      </c>
      <c r="U336" s="21">
        <f>VLOOKUP($A336,'2022-23 Salary &amp; Benefits'!$A:$I,6,FALSE)</f>
        <v>72728</v>
      </c>
      <c r="V336" s="22">
        <f t="shared" si="71"/>
        <v>64731.839999999997</v>
      </c>
      <c r="W336" s="22">
        <f t="shared" si="72"/>
        <v>3559.75</v>
      </c>
      <c r="X336" s="22">
        <f>'2022-23 Salary &amp; Benefits'!$G$6</f>
        <v>12558.24</v>
      </c>
      <c r="Y336" s="23">
        <f>'2022-23 Salary &amp; Benefits'!$H$6</f>
        <v>0.2298</v>
      </c>
      <c r="Z336" s="23">
        <f>'2022-23 Salary &amp; Benefits'!$I$6</f>
        <v>0.22339999999999999</v>
      </c>
      <c r="AA336" s="22">
        <f t="shared" si="73"/>
        <v>27462.81</v>
      </c>
      <c r="AB336" s="22">
        <f t="shared" si="74"/>
        <v>1138.19</v>
      </c>
      <c r="AC336" s="22">
        <f t="shared" si="75"/>
        <v>254.27</v>
      </c>
      <c r="AD336" s="22">
        <f t="shared" si="65"/>
        <v>1392.46</v>
      </c>
      <c r="AE336" s="22">
        <f t="shared" si="66"/>
        <v>97146.86</v>
      </c>
      <c r="AF336" s="19" t="str">
        <f>VLOOKUP(C336,'2021-22 School Level AAFTE'!C:N,12,FALSE)</f>
        <v>No</v>
      </c>
    </row>
    <row r="337" spans="1:32" s="19" customFormat="1">
      <c r="A337" s="97" t="s">
        <v>2504</v>
      </c>
      <c r="B337" s="97" t="s">
        <v>1925</v>
      </c>
      <c r="C337" s="95">
        <v>5523</v>
      </c>
      <c r="D337" s="95" t="s">
        <v>2798</v>
      </c>
      <c r="E337" s="129">
        <f>VLOOKUP($C337,'2021-22 School Level AAFTE'!$C:$Z,11,FALSE)</f>
        <v>0.9035333333333333</v>
      </c>
      <c r="F337" s="129" t="str">
        <f>VLOOKUP($C337,'2021-22 School Level AAFTE'!$C:$Z,8,FALSE)</f>
        <v>Yes</v>
      </c>
      <c r="G337" s="129" t="str">
        <f>VLOOKUP($C337,'2021-22 School Level AAFTE'!$C:$Z,12,FALSE)</f>
        <v>No</v>
      </c>
      <c r="H337" s="127">
        <f>VLOOKUP($C337,'2021-22 School Level AAFTE'!$C:$I,7,FALSE)</f>
        <v>13.71</v>
      </c>
      <c r="I337" s="112">
        <f>IFERROR(IF(OR(G337="yes",F337= "yes"),VLOOKUP(C337,Summary!$B:$J,6,0),0),0)</f>
        <v>0</v>
      </c>
      <c r="J337" s="111">
        <f t="shared" si="69"/>
        <v>13.71</v>
      </c>
      <c r="K337" s="91">
        <f>VLOOKUP($A337,'2022-23 Salary &amp; Benefits'!$A:$I,3,FALSE)</f>
        <v>1</v>
      </c>
      <c r="L337" s="91">
        <f>VLOOKUP($A337,'2022-23 Salary &amp; Benefits'!$A:$I,4,FALSE)</f>
        <v>1</v>
      </c>
      <c r="M337" s="39">
        <f t="shared" si="64"/>
        <v>13.71</v>
      </c>
      <c r="N337" s="24">
        <v>15</v>
      </c>
      <c r="O337" s="26">
        <f t="shared" si="67"/>
        <v>0.91400000000000003</v>
      </c>
      <c r="P337" s="24">
        <v>1.1000000000000001</v>
      </c>
      <c r="Q337" s="24">
        <v>36</v>
      </c>
      <c r="R337" s="27">
        <f t="shared" si="68"/>
        <v>36.194400000000002</v>
      </c>
      <c r="S337" s="102">
        <f t="shared" si="70"/>
        <v>0.04</v>
      </c>
      <c r="T337" s="21">
        <f>VLOOKUP($A337,'2022-23 Salary &amp; Benefits'!$A:$I,5,FALSE)</f>
        <v>68937</v>
      </c>
      <c r="U337" s="21">
        <f>VLOOKUP($A337,'2022-23 Salary &amp; Benefits'!$A:$I,6,FALSE)</f>
        <v>72728</v>
      </c>
      <c r="V337" s="22">
        <f t="shared" si="71"/>
        <v>2757.48</v>
      </c>
      <c r="W337" s="22">
        <f t="shared" si="72"/>
        <v>151.63999999999987</v>
      </c>
      <c r="X337" s="22">
        <f>'2022-23 Salary &amp; Benefits'!$G$6</f>
        <v>12558.24</v>
      </c>
      <c r="Y337" s="23">
        <f>'2022-23 Salary &amp; Benefits'!$H$6</f>
        <v>0.2298</v>
      </c>
      <c r="Z337" s="23">
        <f>'2022-23 Salary &amp; Benefits'!$I$6</f>
        <v>0.22339999999999999</v>
      </c>
      <c r="AA337" s="22">
        <f t="shared" si="73"/>
        <v>1169.8699999999999</v>
      </c>
      <c r="AB337" s="22">
        <f t="shared" si="74"/>
        <v>48.49</v>
      </c>
      <c r="AC337" s="22">
        <f t="shared" si="75"/>
        <v>10.83</v>
      </c>
      <c r="AD337" s="22">
        <f t="shared" si="65"/>
        <v>59.32</v>
      </c>
      <c r="AE337" s="22">
        <f t="shared" si="66"/>
        <v>4138.3099999999995</v>
      </c>
      <c r="AF337" s="19" t="str">
        <f>VLOOKUP(C337,'2021-22 School Level AAFTE'!C:N,12,FALSE)</f>
        <v>No</v>
      </c>
    </row>
    <row r="338" spans="1:32" s="19" customFormat="1">
      <c r="A338" s="97" t="s">
        <v>2762</v>
      </c>
      <c r="B338" s="97" t="s">
        <v>2964</v>
      </c>
      <c r="C338" s="95">
        <v>5549</v>
      </c>
      <c r="D338" s="95" t="s">
        <v>1319</v>
      </c>
      <c r="E338" s="129">
        <f>VLOOKUP($C338,'2021-22 School Level AAFTE'!$C:$Z,11,FALSE)</f>
        <v>0.54223333333333334</v>
      </c>
      <c r="F338" s="129" t="str">
        <f>VLOOKUP($C338,'2021-22 School Level AAFTE'!$C:$Z,8,FALSE)</f>
        <v>Yes</v>
      </c>
      <c r="G338" s="129" t="str">
        <f>VLOOKUP($C338,'2021-22 School Level AAFTE'!$C:$Z,12,FALSE)</f>
        <v>No</v>
      </c>
      <c r="H338" s="127">
        <f>VLOOKUP($C338,'2021-22 School Level AAFTE'!$C:$I,7,FALSE)</f>
        <v>580.71</v>
      </c>
      <c r="I338" s="112">
        <f>IFERROR(IF(OR(G338="yes",F338= "yes"),VLOOKUP(C338,Summary!$B:$J,6,0),0),0)</f>
        <v>0</v>
      </c>
      <c r="J338" s="111">
        <f t="shared" si="69"/>
        <v>580.71</v>
      </c>
      <c r="K338" s="91">
        <f>VLOOKUP($A338,'2022-23 Salary &amp; Benefits'!$A:$I,3,FALSE)</f>
        <v>1.06</v>
      </c>
      <c r="L338" s="91">
        <f>VLOOKUP($A338,'2022-23 Salary &amp; Benefits'!$A:$I,4,FALSE)</f>
        <v>1.06</v>
      </c>
      <c r="M338" s="39">
        <f t="shared" si="64"/>
        <v>580.71</v>
      </c>
      <c r="N338" s="24">
        <v>15</v>
      </c>
      <c r="O338" s="26">
        <f t="shared" si="67"/>
        <v>38.714000000000006</v>
      </c>
      <c r="P338" s="24">
        <v>1.1000000000000001</v>
      </c>
      <c r="Q338" s="24">
        <v>36</v>
      </c>
      <c r="R338" s="27">
        <f t="shared" si="68"/>
        <v>1533.0744000000002</v>
      </c>
      <c r="S338" s="102">
        <f t="shared" si="70"/>
        <v>1.7030000000000001</v>
      </c>
      <c r="T338" s="21">
        <f>VLOOKUP($A338,'2022-23 Salary &amp; Benefits'!$A:$I,5,FALSE)</f>
        <v>68937</v>
      </c>
      <c r="U338" s="21">
        <f>VLOOKUP($A338,'2022-23 Salary &amp; Benefits'!$A:$I,6,FALSE)</f>
        <v>72728</v>
      </c>
      <c r="V338" s="22">
        <f t="shared" si="71"/>
        <v>124443.69</v>
      </c>
      <c r="W338" s="22">
        <f t="shared" si="72"/>
        <v>6843.4400000000023</v>
      </c>
      <c r="X338" s="22">
        <f>'2022-23 Salary &amp; Benefits'!$G$6</f>
        <v>12558.24</v>
      </c>
      <c r="Y338" s="23">
        <f>'2022-23 Salary &amp; Benefits'!$H$6</f>
        <v>0.2298</v>
      </c>
      <c r="Z338" s="23">
        <f>'2022-23 Salary &amp; Benefits'!$I$6</f>
        <v>0.22339999999999999</v>
      </c>
      <c r="AA338" s="22">
        <f t="shared" si="73"/>
        <v>51512.67</v>
      </c>
      <c r="AB338" s="22">
        <f t="shared" si="74"/>
        <v>2188.12</v>
      </c>
      <c r="AC338" s="22">
        <f t="shared" si="75"/>
        <v>488.83</v>
      </c>
      <c r="AD338" s="22">
        <f t="shared" si="65"/>
        <v>2676.95</v>
      </c>
      <c r="AE338" s="22">
        <f t="shared" si="66"/>
        <v>185476.75</v>
      </c>
      <c r="AF338" s="19" t="str">
        <f>VLOOKUP(C338,'2021-22 School Level AAFTE'!C:N,12,FALSE)</f>
        <v>No</v>
      </c>
    </row>
    <row r="339" spans="1:32" s="19" customFormat="1">
      <c r="A339" s="97" t="s">
        <v>2346</v>
      </c>
      <c r="B339" s="97" t="s">
        <v>539</v>
      </c>
      <c r="C339" s="95">
        <v>1724</v>
      </c>
      <c r="D339" s="95" t="s">
        <v>540</v>
      </c>
      <c r="E339" s="129">
        <f>VLOOKUP($C339,'2021-22 School Level AAFTE'!$C:$Z,11,FALSE)</f>
        <v>0.4680333333333333</v>
      </c>
      <c r="F339" s="129" t="str">
        <f>VLOOKUP($C339,'2021-22 School Level AAFTE'!$C:$Z,8,FALSE)</f>
        <v>No</v>
      </c>
      <c r="G339" s="129" t="str">
        <f>VLOOKUP($C339,'2021-22 School Level AAFTE'!$C:$Z,12,FALSE)</f>
        <v>No</v>
      </c>
      <c r="H339" s="127">
        <f>VLOOKUP($C339,'2021-22 School Level AAFTE'!$C:$I,7,FALSE)</f>
        <v>79.11</v>
      </c>
      <c r="I339" s="112">
        <f>IFERROR(IF(OR(G339="yes",F339= "yes"),VLOOKUP(C339,Summary!$B:$J,6,0),0),0)</f>
        <v>0</v>
      </c>
      <c r="J339" s="111">
        <f t="shared" si="69"/>
        <v>0</v>
      </c>
      <c r="K339" s="91">
        <f>VLOOKUP($A339,'2022-23 Salary &amp; Benefits'!$A:$I,3,FALSE)</f>
        <v>1.1200000000000001</v>
      </c>
      <c r="L339" s="91">
        <f>VLOOKUP($A339,'2022-23 Salary &amp; Benefits'!$A:$I,4,FALSE)</f>
        <v>1.1200000000000001</v>
      </c>
      <c r="M339" s="39">
        <f t="shared" si="64"/>
        <v>0</v>
      </c>
      <c r="N339" s="24">
        <v>15</v>
      </c>
      <c r="O339" s="26">
        <f t="shared" si="67"/>
        <v>0</v>
      </c>
      <c r="P339" s="24">
        <v>1.1000000000000001</v>
      </c>
      <c r="Q339" s="24">
        <v>36</v>
      </c>
      <c r="R339" s="27">
        <f t="shared" si="68"/>
        <v>0</v>
      </c>
      <c r="S339" s="102">
        <f t="shared" si="70"/>
        <v>0</v>
      </c>
      <c r="T339" s="21">
        <f>VLOOKUP($A339,'2022-23 Salary &amp; Benefits'!$A:$I,5,FALSE)</f>
        <v>68937</v>
      </c>
      <c r="U339" s="21">
        <f>VLOOKUP($A339,'2022-23 Salary &amp; Benefits'!$A:$I,6,FALSE)</f>
        <v>72728</v>
      </c>
      <c r="V339" s="22">
        <f t="shared" si="71"/>
        <v>0</v>
      </c>
      <c r="W339" s="22">
        <f t="shared" si="72"/>
        <v>0</v>
      </c>
      <c r="X339" s="22">
        <f>'2022-23 Salary &amp; Benefits'!$G$6</f>
        <v>12558.24</v>
      </c>
      <c r="Y339" s="23">
        <f>'2022-23 Salary &amp; Benefits'!$H$6</f>
        <v>0.2298</v>
      </c>
      <c r="Z339" s="23">
        <f>'2022-23 Salary &amp; Benefits'!$I$6</f>
        <v>0.22339999999999999</v>
      </c>
      <c r="AA339" s="22">
        <f t="shared" si="73"/>
        <v>0</v>
      </c>
      <c r="AB339" s="22">
        <f t="shared" si="74"/>
        <v>0</v>
      </c>
      <c r="AC339" s="22">
        <f t="shared" si="75"/>
        <v>0</v>
      </c>
      <c r="AD339" s="22">
        <f t="shared" si="65"/>
        <v>0</v>
      </c>
      <c r="AE339" s="22">
        <f t="shared" si="66"/>
        <v>0</v>
      </c>
      <c r="AF339" s="19" t="str">
        <f>VLOOKUP(C339,'2021-22 School Level AAFTE'!C:N,12,FALSE)</f>
        <v>No</v>
      </c>
    </row>
    <row r="340" spans="1:32" s="19" customFormat="1">
      <c r="A340" s="97" t="s">
        <v>2346</v>
      </c>
      <c r="B340" s="97" t="s">
        <v>539</v>
      </c>
      <c r="C340" s="95">
        <v>2697</v>
      </c>
      <c r="D340" s="95" t="s">
        <v>541</v>
      </c>
      <c r="E340" s="129">
        <f>VLOOKUP($C340,'2021-22 School Level AAFTE'!$C:$Z,11,FALSE)</f>
        <v>0.55533333333333335</v>
      </c>
      <c r="F340" s="129" t="str">
        <f>VLOOKUP($C340,'2021-22 School Level AAFTE'!$C:$Z,8,FALSE)</f>
        <v>Yes</v>
      </c>
      <c r="G340" s="129" t="str">
        <f>VLOOKUP($C340,'2021-22 School Level AAFTE'!$C:$Z,12,FALSE)</f>
        <v>No</v>
      </c>
      <c r="H340" s="127">
        <f>VLOOKUP($C340,'2021-22 School Level AAFTE'!$C:$I,7,FALSE)</f>
        <v>186.29</v>
      </c>
      <c r="I340" s="112">
        <f>IFERROR(IF(OR(G340="yes",F340= "yes"),VLOOKUP(C340,Summary!$B:$J,6,0),0),0)</f>
        <v>0</v>
      </c>
      <c r="J340" s="111">
        <f t="shared" si="69"/>
        <v>186.29</v>
      </c>
      <c r="K340" s="91">
        <f>VLOOKUP($A340,'2022-23 Salary &amp; Benefits'!$A:$I,3,FALSE)</f>
        <v>1.1200000000000001</v>
      </c>
      <c r="L340" s="91">
        <f>VLOOKUP($A340,'2022-23 Salary &amp; Benefits'!$A:$I,4,FALSE)</f>
        <v>1.1200000000000001</v>
      </c>
      <c r="M340" s="101">
        <f t="shared" si="64"/>
        <v>186.29</v>
      </c>
      <c r="N340" s="24">
        <v>15</v>
      </c>
      <c r="O340" s="26">
        <f t="shared" si="67"/>
        <v>12.419333333333332</v>
      </c>
      <c r="P340" s="24">
        <v>1.1000000000000001</v>
      </c>
      <c r="Q340" s="24">
        <v>36</v>
      </c>
      <c r="R340" s="27">
        <f t="shared" si="68"/>
        <v>491.80559999999997</v>
      </c>
      <c r="S340" s="102">
        <f t="shared" si="70"/>
        <v>0.54600000000000004</v>
      </c>
      <c r="T340" s="21">
        <f>VLOOKUP($A340,'2022-23 Salary &amp; Benefits'!$A:$I,5,FALSE)</f>
        <v>68937</v>
      </c>
      <c r="U340" s="21">
        <f>VLOOKUP($A340,'2022-23 Salary &amp; Benefits'!$A:$I,6,FALSE)</f>
        <v>72728</v>
      </c>
      <c r="V340" s="22">
        <f t="shared" si="71"/>
        <v>42156.35</v>
      </c>
      <c r="W340" s="22">
        <f t="shared" si="72"/>
        <v>2318.2799999999988</v>
      </c>
      <c r="X340" s="22">
        <f>'2022-23 Salary &amp; Benefits'!$G$6</f>
        <v>12558.24</v>
      </c>
      <c r="Y340" s="23">
        <f>'2022-23 Salary &amp; Benefits'!$H$6</f>
        <v>0.2298</v>
      </c>
      <c r="Z340" s="23">
        <f>'2022-23 Salary &amp; Benefits'!$I$6</f>
        <v>0.22339999999999999</v>
      </c>
      <c r="AA340" s="22">
        <f t="shared" si="73"/>
        <v>17062.23</v>
      </c>
      <c r="AB340" s="22">
        <f t="shared" si="74"/>
        <v>741.24</v>
      </c>
      <c r="AC340" s="22">
        <f t="shared" si="75"/>
        <v>165.59</v>
      </c>
      <c r="AD340" s="22">
        <f t="shared" si="65"/>
        <v>906.83</v>
      </c>
      <c r="AE340" s="22">
        <f t="shared" si="66"/>
        <v>62443.69</v>
      </c>
      <c r="AF340" s="19" t="str">
        <f>VLOOKUP(C340,'2021-22 School Level AAFTE'!C:N,12,FALSE)</f>
        <v>No</v>
      </c>
    </row>
    <row r="341" spans="1:32" s="19" customFormat="1">
      <c r="A341" s="97" t="s">
        <v>2346</v>
      </c>
      <c r="B341" s="97" t="s">
        <v>539</v>
      </c>
      <c r="C341" s="95">
        <v>3275</v>
      </c>
      <c r="D341" s="95" t="s">
        <v>2873</v>
      </c>
      <c r="E341" s="129">
        <f>VLOOKUP($C341,'2021-22 School Level AAFTE'!$C:$Z,11,FALSE)</f>
        <v>0.46393333333333331</v>
      </c>
      <c r="F341" s="129" t="str">
        <f>VLOOKUP($C341,'2021-22 School Level AAFTE'!$C:$Z,8,FALSE)</f>
        <v>No</v>
      </c>
      <c r="G341" s="129" t="str">
        <f>VLOOKUP($C341,'2021-22 School Level AAFTE'!$C:$Z,12,FALSE)</f>
        <v>No</v>
      </c>
      <c r="H341" s="127">
        <f>VLOOKUP($C341,'2021-22 School Level AAFTE'!$C:$I,7,FALSE)</f>
        <v>268.85999999999996</v>
      </c>
      <c r="I341" s="112">
        <f>IFERROR(IF(OR(G341="yes",F341= "yes"),VLOOKUP(C341,Summary!$B:$J,6,0),0),0)</f>
        <v>0</v>
      </c>
      <c r="J341" s="111">
        <f t="shared" si="69"/>
        <v>0</v>
      </c>
      <c r="K341" s="91">
        <f>VLOOKUP($A341,'2022-23 Salary &amp; Benefits'!$A:$I,3,FALSE)</f>
        <v>1.1200000000000001</v>
      </c>
      <c r="L341" s="91">
        <f>VLOOKUP($A341,'2022-23 Salary &amp; Benefits'!$A:$I,4,FALSE)</f>
        <v>1.1200000000000001</v>
      </c>
      <c r="M341" s="39">
        <f t="shared" si="64"/>
        <v>0</v>
      </c>
      <c r="N341" s="24">
        <v>15</v>
      </c>
      <c r="O341" s="26">
        <f t="shared" si="67"/>
        <v>0</v>
      </c>
      <c r="P341" s="24">
        <v>1.1000000000000001</v>
      </c>
      <c r="Q341" s="24">
        <v>36</v>
      </c>
      <c r="R341" s="27">
        <f t="shared" si="68"/>
        <v>0</v>
      </c>
      <c r="S341" s="102">
        <f t="shared" si="70"/>
        <v>0</v>
      </c>
      <c r="T341" s="21">
        <f>VLOOKUP($A341,'2022-23 Salary &amp; Benefits'!$A:$I,5,FALSE)</f>
        <v>68937</v>
      </c>
      <c r="U341" s="21">
        <f>VLOOKUP($A341,'2022-23 Salary &amp; Benefits'!$A:$I,6,FALSE)</f>
        <v>72728</v>
      </c>
      <c r="V341" s="22">
        <f t="shared" si="71"/>
        <v>0</v>
      </c>
      <c r="W341" s="22">
        <f t="shared" si="72"/>
        <v>0</v>
      </c>
      <c r="X341" s="22">
        <f>'2022-23 Salary &amp; Benefits'!$G$6</f>
        <v>12558.24</v>
      </c>
      <c r="Y341" s="23">
        <f>'2022-23 Salary &amp; Benefits'!$H$6</f>
        <v>0.2298</v>
      </c>
      <c r="Z341" s="23">
        <f>'2022-23 Salary &amp; Benefits'!$I$6</f>
        <v>0.22339999999999999</v>
      </c>
      <c r="AA341" s="22">
        <f t="shared" si="73"/>
        <v>0</v>
      </c>
      <c r="AB341" s="22">
        <f t="shared" si="74"/>
        <v>0</v>
      </c>
      <c r="AC341" s="22">
        <f t="shared" si="75"/>
        <v>0</v>
      </c>
      <c r="AD341" s="22">
        <f t="shared" si="65"/>
        <v>0</v>
      </c>
      <c r="AE341" s="22">
        <f t="shared" si="66"/>
        <v>0</v>
      </c>
      <c r="AF341" s="19" t="str">
        <f>VLOOKUP(C341,'2021-22 School Level AAFTE'!C:N,12,FALSE)</f>
        <v>No</v>
      </c>
    </row>
    <row r="342" spans="1:32" s="19" customFormat="1">
      <c r="A342" s="97" t="s">
        <v>2346</v>
      </c>
      <c r="B342" s="97" t="s">
        <v>539</v>
      </c>
      <c r="C342" s="95">
        <v>4552</v>
      </c>
      <c r="D342" s="95" t="s">
        <v>542</v>
      </c>
      <c r="E342" s="129">
        <f>VLOOKUP($C342,'2021-22 School Level AAFTE'!$C:$Z,11,FALSE)</f>
        <v>0.52013333333333334</v>
      </c>
      <c r="F342" s="129" t="str">
        <f>VLOOKUP($C342,'2021-22 School Level AAFTE'!$C:$Z,8,FALSE)</f>
        <v>Yes</v>
      </c>
      <c r="G342" s="129" t="str">
        <f>VLOOKUP($C342,'2021-22 School Level AAFTE'!$C:$Z,12,FALSE)</f>
        <v>No</v>
      </c>
      <c r="H342" s="127">
        <f>VLOOKUP($C342,'2021-22 School Level AAFTE'!$C:$I,7,FALSE)</f>
        <v>139.43</v>
      </c>
      <c r="I342" s="112">
        <f>IFERROR(IF(OR(G342="yes",F342= "yes"),VLOOKUP(C342,Summary!$B:$J,6,0),0),0)</f>
        <v>0</v>
      </c>
      <c r="J342" s="111">
        <f t="shared" si="69"/>
        <v>139.43</v>
      </c>
      <c r="K342" s="91">
        <f>VLOOKUP($A342,'2022-23 Salary &amp; Benefits'!$A:$I,3,FALSE)</f>
        <v>1.1200000000000001</v>
      </c>
      <c r="L342" s="91">
        <f>VLOOKUP($A342,'2022-23 Salary &amp; Benefits'!$A:$I,4,FALSE)</f>
        <v>1.1200000000000001</v>
      </c>
      <c r="M342" s="101">
        <f t="shared" si="64"/>
        <v>139.43</v>
      </c>
      <c r="N342" s="24">
        <v>15</v>
      </c>
      <c r="O342" s="26">
        <f t="shared" si="67"/>
        <v>9.2953333333333337</v>
      </c>
      <c r="P342" s="24">
        <v>1.1000000000000001</v>
      </c>
      <c r="Q342" s="24">
        <v>36</v>
      </c>
      <c r="R342" s="27">
        <f t="shared" si="68"/>
        <v>368.09520000000003</v>
      </c>
      <c r="S342" s="102">
        <f t="shared" si="70"/>
        <v>0.40899999999999997</v>
      </c>
      <c r="T342" s="21">
        <f>VLOOKUP($A342,'2022-23 Salary &amp; Benefits'!$A:$I,5,FALSE)</f>
        <v>68937</v>
      </c>
      <c r="U342" s="21">
        <f>VLOOKUP($A342,'2022-23 Salary &amp; Benefits'!$A:$I,6,FALSE)</f>
        <v>72728</v>
      </c>
      <c r="V342" s="22">
        <f t="shared" si="71"/>
        <v>31578.66</v>
      </c>
      <c r="W342" s="22">
        <f t="shared" si="72"/>
        <v>1736.5799999999981</v>
      </c>
      <c r="X342" s="22">
        <f>'2022-23 Salary &amp; Benefits'!$G$6</f>
        <v>12558.24</v>
      </c>
      <c r="Y342" s="23">
        <f>'2022-23 Salary &amp; Benefits'!$H$6</f>
        <v>0.2298</v>
      </c>
      <c r="Z342" s="23">
        <f>'2022-23 Salary &amp; Benefits'!$I$6</f>
        <v>0.22339999999999999</v>
      </c>
      <c r="AA342" s="22">
        <f t="shared" si="73"/>
        <v>12781.05</v>
      </c>
      <c r="AB342" s="22">
        <f t="shared" si="74"/>
        <v>555.25</v>
      </c>
      <c r="AC342" s="22">
        <f t="shared" si="75"/>
        <v>124.04</v>
      </c>
      <c r="AD342" s="22">
        <f t="shared" si="65"/>
        <v>679.29</v>
      </c>
      <c r="AE342" s="22">
        <f t="shared" si="66"/>
        <v>46775.579999999994</v>
      </c>
      <c r="AF342" s="19" t="str">
        <f>VLOOKUP(C342,'2021-22 School Level AAFTE'!C:N,12,FALSE)</f>
        <v>No</v>
      </c>
    </row>
    <row r="343" spans="1:32" s="19" customFormat="1">
      <c r="A343" s="97" t="s">
        <v>2262</v>
      </c>
      <c r="B343" s="97" t="s">
        <v>20</v>
      </c>
      <c r="C343" s="95">
        <v>1617</v>
      </c>
      <c r="D343" s="95" t="s">
        <v>21</v>
      </c>
      <c r="E343" s="129">
        <f>VLOOKUP($C343,'2021-22 School Level AAFTE'!$C:$Z,11,FALSE)</f>
        <v>0.76466666666666672</v>
      </c>
      <c r="F343" s="129" t="str">
        <f>VLOOKUP($C343,'2021-22 School Level AAFTE'!$C:$Z,8,FALSE)</f>
        <v>Yes</v>
      </c>
      <c r="G343" s="129" t="str">
        <f>VLOOKUP($C343,'2021-22 School Level AAFTE'!$C:$Z,12,FALSE)</f>
        <v>No</v>
      </c>
      <c r="H343" s="127">
        <f>VLOOKUP($C343,'2021-22 School Level AAFTE'!$C:$I,7,FALSE)</f>
        <v>96.3</v>
      </c>
      <c r="I343" s="112">
        <f>IFERROR(IF(OR(G343="yes",F343= "yes"),VLOOKUP(C343,Summary!$B:$J,6,0),0),0)</f>
        <v>0</v>
      </c>
      <c r="J343" s="111">
        <f t="shared" si="69"/>
        <v>96.3</v>
      </c>
      <c r="K343" s="91">
        <f>VLOOKUP($A343,'2022-23 Salary &amp; Benefits'!$A:$I,3,FALSE)</f>
        <v>1</v>
      </c>
      <c r="L343" s="91">
        <f>VLOOKUP($A343,'2022-23 Salary &amp; Benefits'!$A:$I,4,FALSE)</f>
        <v>1</v>
      </c>
      <c r="M343" s="101">
        <f t="shared" si="64"/>
        <v>96.3</v>
      </c>
      <c r="N343" s="24">
        <v>15</v>
      </c>
      <c r="O343" s="26">
        <f t="shared" si="67"/>
        <v>6.42</v>
      </c>
      <c r="P343" s="24">
        <v>1.1000000000000001</v>
      </c>
      <c r="Q343" s="24">
        <v>36</v>
      </c>
      <c r="R343" s="27">
        <f t="shared" si="68"/>
        <v>254.232</v>
      </c>
      <c r="S343" s="102">
        <f t="shared" si="70"/>
        <v>0.28199999999999997</v>
      </c>
      <c r="T343" s="21">
        <f>VLOOKUP($A343,'2022-23 Salary &amp; Benefits'!$A:$I,5,FALSE)</f>
        <v>68937</v>
      </c>
      <c r="U343" s="21">
        <f>VLOOKUP($A343,'2022-23 Salary &amp; Benefits'!$A:$I,6,FALSE)</f>
        <v>72728</v>
      </c>
      <c r="V343" s="22">
        <f t="shared" si="71"/>
        <v>19440.23</v>
      </c>
      <c r="W343" s="22">
        <f t="shared" si="72"/>
        <v>1069.0699999999997</v>
      </c>
      <c r="X343" s="22">
        <f>'2022-23 Salary &amp; Benefits'!$G$6</f>
        <v>12558.24</v>
      </c>
      <c r="Y343" s="23">
        <f>'2022-23 Salary &amp; Benefits'!$H$6</f>
        <v>0.2298</v>
      </c>
      <c r="Z343" s="23">
        <f>'2022-23 Salary &amp; Benefits'!$I$6</f>
        <v>0.22339999999999999</v>
      </c>
      <c r="AA343" s="22">
        <f t="shared" si="73"/>
        <v>8247.6200000000008</v>
      </c>
      <c r="AB343" s="22">
        <f t="shared" si="74"/>
        <v>341.82</v>
      </c>
      <c r="AC343" s="22">
        <f t="shared" si="75"/>
        <v>76.36</v>
      </c>
      <c r="AD343" s="22">
        <f t="shared" si="65"/>
        <v>418.18</v>
      </c>
      <c r="AE343" s="22">
        <f t="shared" si="66"/>
        <v>29175.1</v>
      </c>
      <c r="AF343" s="19" t="str">
        <f>VLOOKUP(C343,'2021-22 School Level AAFTE'!C:N,12,FALSE)</f>
        <v>No</v>
      </c>
    </row>
    <row r="344" spans="1:32" s="19" customFormat="1">
      <c r="A344" s="97" t="s">
        <v>2262</v>
      </c>
      <c r="B344" s="97" t="s">
        <v>20</v>
      </c>
      <c r="C344" s="95">
        <v>2299</v>
      </c>
      <c r="D344" s="95" t="s">
        <v>22</v>
      </c>
      <c r="E344" s="129">
        <f>VLOOKUP($C344,'2021-22 School Level AAFTE'!$C:$Z,11,FALSE)</f>
        <v>0.49426666666666663</v>
      </c>
      <c r="F344" s="129" t="str">
        <f>VLOOKUP($C344,'2021-22 School Level AAFTE'!$C:$Z,8,FALSE)</f>
        <v>No</v>
      </c>
      <c r="G344" s="129" t="str">
        <f>VLOOKUP($C344,'2021-22 School Level AAFTE'!$C:$Z,12,FALSE)</f>
        <v>No</v>
      </c>
      <c r="H344" s="127">
        <f>VLOOKUP($C344,'2021-22 School Level AAFTE'!$C:$I,7,FALSE)</f>
        <v>722.73</v>
      </c>
      <c r="I344" s="112">
        <f>IFERROR(IF(OR(G344="yes",F344= "yes"),VLOOKUP(C344,Summary!$B:$J,6,0),0),0)</f>
        <v>0</v>
      </c>
      <c r="J344" s="111">
        <f t="shared" si="69"/>
        <v>0</v>
      </c>
      <c r="K344" s="91">
        <f>VLOOKUP($A344,'2022-23 Salary &amp; Benefits'!$A:$I,3,FALSE)</f>
        <v>1</v>
      </c>
      <c r="L344" s="91">
        <f>VLOOKUP($A344,'2022-23 Salary &amp; Benefits'!$A:$I,4,FALSE)</f>
        <v>1</v>
      </c>
      <c r="M344" s="39">
        <f t="shared" si="64"/>
        <v>0</v>
      </c>
      <c r="N344" s="24">
        <v>15</v>
      </c>
      <c r="O344" s="26">
        <f t="shared" si="67"/>
        <v>0</v>
      </c>
      <c r="P344" s="24">
        <v>1.1000000000000001</v>
      </c>
      <c r="Q344" s="24">
        <v>36</v>
      </c>
      <c r="R344" s="27">
        <f t="shared" si="68"/>
        <v>0</v>
      </c>
      <c r="S344" s="102">
        <f t="shared" si="70"/>
        <v>0</v>
      </c>
      <c r="T344" s="21">
        <f>VLOOKUP($A344,'2022-23 Salary &amp; Benefits'!$A:$I,5,FALSE)</f>
        <v>68937</v>
      </c>
      <c r="U344" s="21">
        <f>VLOOKUP($A344,'2022-23 Salary &amp; Benefits'!$A:$I,6,FALSE)</f>
        <v>72728</v>
      </c>
      <c r="V344" s="22">
        <f t="shared" si="71"/>
        <v>0</v>
      </c>
      <c r="W344" s="22">
        <f t="shared" si="72"/>
        <v>0</v>
      </c>
      <c r="X344" s="22">
        <f>'2022-23 Salary &amp; Benefits'!$G$6</f>
        <v>12558.24</v>
      </c>
      <c r="Y344" s="23">
        <f>'2022-23 Salary &amp; Benefits'!$H$6</f>
        <v>0.2298</v>
      </c>
      <c r="Z344" s="23">
        <f>'2022-23 Salary &amp; Benefits'!$I$6</f>
        <v>0.22339999999999999</v>
      </c>
      <c r="AA344" s="22">
        <f t="shared" si="73"/>
        <v>0</v>
      </c>
      <c r="AB344" s="22">
        <f t="shared" si="74"/>
        <v>0</v>
      </c>
      <c r="AC344" s="22">
        <f t="shared" si="75"/>
        <v>0</v>
      </c>
      <c r="AD344" s="22">
        <f t="shared" si="65"/>
        <v>0</v>
      </c>
      <c r="AE344" s="22">
        <f t="shared" si="66"/>
        <v>0</v>
      </c>
      <c r="AF344" s="19" t="str">
        <f>VLOOKUP(C344,'2021-22 School Level AAFTE'!C:N,12,FALSE)</f>
        <v>No</v>
      </c>
    </row>
    <row r="345" spans="1:32" s="19" customFormat="1">
      <c r="A345" s="97" t="s">
        <v>2262</v>
      </c>
      <c r="B345" s="97" t="s">
        <v>20</v>
      </c>
      <c r="C345" s="95">
        <v>2501</v>
      </c>
      <c r="D345" s="95" t="s">
        <v>23</v>
      </c>
      <c r="E345" s="129">
        <f>VLOOKUP($C345,'2021-22 School Level AAFTE'!$C:$Z,11,FALSE)</f>
        <v>0.58433333333333337</v>
      </c>
      <c r="F345" s="129" t="str">
        <f>VLOOKUP($C345,'2021-22 School Level AAFTE'!$C:$Z,8,FALSE)</f>
        <v>Yes</v>
      </c>
      <c r="G345" s="129" t="str">
        <f>VLOOKUP($C345,'2021-22 School Level AAFTE'!$C:$Z,12,FALSE)</f>
        <v>No</v>
      </c>
      <c r="H345" s="127">
        <f>VLOOKUP($C345,'2021-22 School Level AAFTE'!$C:$I,7,FALSE)</f>
        <v>311.39</v>
      </c>
      <c r="I345" s="112">
        <f>IFERROR(IF(OR(G345="yes",F345= "yes"),VLOOKUP(C345,Summary!$B:$J,6,0),0),0)</f>
        <v>0</v>
      </c>
      <c r="J345" s="111">
        <f t="shared" si="69"/>
        <v>311.39</v>
      </c>
      <c r="K345" s="91">
        <f>VLOOKUP($A345,'2022-23 Salary &amp; Benefits'!$A:$I,3,FALSE)</f>
        <v>1</v>
      </c>
      <c r="L345" s="91">
        <f>VLOOKUP($A345,'2022-23 Salary &amp; Benefits'!$A:$I,4,FALSE)</f>
        <v>1</v>
      </c>
      <c r="M345" s="39">
        <f t="shared" si="64"/>
        <v>311.39</v>
      </c>
      <c r="N345" s="24">
        <v>15</v>
      </c>
      <c r="O345" s="26">
        <f t="shared" si="67"/>
        <v>20.759333333333334</v>
      </c>
      <c r="P345" s="24">
        <v>1.1000000000000001</v>
      </c>
      <c r="Q345" s="24">
        <v>36</v>
      </c>
      <c r="R345" s="27">
        <f t="shared" si="68"/>
        <v>822.06960000000004</v>
      </c>
      <c r="S345" s="102">
        <f t="shared" si="70"/>
        <v>0.91300000000000003</v>
      </c>
      <c r="T345" s="21">
        <f>VLOOKUP($A345,'2022-23 Salary &amp; Benefits'!$A:$I,5,FALSE)</f>
        <v>68937</v>
      </c>
      <c r="U345" s="21">
        <f>VLOOKUP($A345,'2022-23 Salary &amp; Benefits'!$A:$I,6,FALSE)</f>
        <v>72728</v>
      </c>
      <c r="V345" s="22">
        <f t="shared" si="71"/>
        <v>62939.48</v>
      </c>
      <c r="W345" s="22">
        <f t="shared" si="72"/>
        <v>3461.1800000000003</v>
      </c>
      <c r="X345" s="22">
        <f>'2022-23 Salary &amp; Benefits'!$G$6</f>
        <v>12558.24</v>
      </c>
      <c r="Y345" s="23">
        <f>'2022-23 Salary &amp; Benefits'!$H$6</f>
        <v>0.2298</v>
      </c>
      <c r="Z345" s="23">
        <f>'2022-23 Salary &amp; Benefits'!$I$6</f>
        <v>0.22339999999999999</v>
      </c>
      <c r="AA345" s="22">
        <f t="shared" si="73"/>
        <v>26702.39</v>
      </c>
      <c r="AB345" s="22">
        <f t="shared" si="74"/>
        <v>1106.68</v>
      </c>
      <c r="AC345" s="22">
        <f t="shared" si="75"/>
        <v>247.23</v>
      </c>
      <c r="AD345" s="22">
        <f t="shared" si="65"/>
        <v>1353.91</v>
      </c>
      <c r="AE345" s="22">
        <f t="shared" si="66"/>
        <v>94456.959999999992</v>
      </c>
      <c r="AF345" s="19" t="str">
        <f>VLOOKUP(C345,'2021-22 School Level AAFTE'!C:N,12,FALSE)</f>
        <v>No</v>
      </c>
    </row>
    <row r="346" spans="1:32" s="19" customFormat="1">
      <c r="A346" s="97" t="s">
        <v>2262</v>
      </c>
      <c r="B346" s="97" t="s">
        <v>20</v>
      </c>
      <c r="C346" s="95">
        <v>2823</v>
      </c>
      <c r="D346" s="95" t="s">
        <v>24</v>
      </c>
      <c r="E346" s="129">
        <f>VLOOKUP($C346,'2021-22 School Level AAFTE'!$C:$Z,11,FALSE)</f>
        <v>0.61030000000000006</v>
      </c>
      <c r="F346" s="129" t="str">
        <f>VLOOKUP($C346,'2021-22 School Level AAFTE'!$C:$Z,8,FALSE)</f>
        <v>Yes</v>
      </c>
      <c r="G346" s="129" t="str">
        <f>VLOOKUP($C346,'2021-22 School Level AAFTE'!$C:$Z,12,FALSE)</f>
        <v>No</v>
      </c>
      <c r="H346" s="127">
        <f>VLOOKUP($C346,'2021-22 School Level AAFTE'!$C:$I,7,FALSE)</f>
        <v>324.47000000000003</v>
      </c>
      <c r="I346" s="112">
        <f>IFERROR(IF(OR(G346="yes",F346= "yes"),VLOOKUP(C346,Summary!$B:$J,6,0),0),0)</f>
        <v>0</v>
      </c>
      <c r="J346" s="111">
        <f t="shared" si="69"/>
        <v>324.47000000000003</v>
      </c>
      <c r="K346" s="91">
        <f>VLOOKUP($A346,'2022-23 Salary &amp; Benefits'!$A:$I,3,FALSE)</f>
        <v>1</v>
      </c>
      <c r="L346" s="91">
        <f>VLOOKUP($A346,'2022-23 Salary &amp; Benefits'!$A:$I,4,FALSE)</f>
        <v>1</v>
      </c>
      <c r="M346" s="101">
        <f t="shared" si="64"/>
        <v>324.47000000000003</v>
      </c>
      <c r="N346" s="24">
        <v>15</v>
      </c>
      <c r="O346" s="26">
        <f t="shared" si="67"/>
        <v>21.631333333333334</v>
      </c>
      <c r="P346" s="24">
        <v>1.1000000000000001</v>
      </c>
      <c r="Q346" s="24">
        <v>36</v>
      </c>
      <c r="R346" s="27">
        <f t="shared" si="68"/>
        <v>856.60080000000005</v>
      </c>
      <c r="S346" s="102">
        <f t="shared" si="70"/>
        <v>0.95199999999999996</v>
      </c>
      <c r="T346" s="21">
        <f>VLOOKUP($A346,'2022-23 Salary &amp; Benefits'!$A:$I,5,FALSE)</f>
        <v>68937</v>
      </c>
      <c r="U346" s="21">
        <f>VLOOKUP($A346,'2022-23 Salary &amp; Benefits'!$A:$I,6,FALSE)</f>
        <v>72728</v>
      </c>
      <c r="V346" s="22">
        <f t="shared" si="71"/>
        <v>65628.02</v>
      </c>
      <c r="W346" s="22">
        <f t="shared" si="72"/>
        <v>3609.0399999999936</v>
      </c>
      <c r="X346" s="22">
        <f>'2022-23 Salary &amp; Benefits'!$G$6</f>
        <v>12558.24</v>
      </c>
      <c r="Y346" s="23">
        <f>'2022-23 Salary &amp; Benefits'!$H$6</f>
        <v>0.2298</v>
      </c>
      <c r="Z346" s="23">
        <f>'2022-23 Salary &amp; Benefits'!$I$6</f>
        <v>0.22339999999999999</v>
      </c>
      <c r="AA346" s="22">
        <f t="shared" si="73"/>
        <v>27843.02</v>
      </c>
      <c r="AB346" s="22">
        <f t="shared" si="74"/>
        <v>1153.95</v>
      </c>
      <c r="AC346" s="22">
        <f t="shared" si="75"/>
        <v>257.79000000000002</v>
      </c>
      <c r="AD346" s="22">
        <f t="shared" si="65"/>
        <v>1411.74</v>
      </c>
      <c r="AE346" s="22">
        <f t="shared" si="66"/>
        <v>98491.82</v>
      </c>
      <c r="AF346" s="19" t="str">
        <f>VLOOKUP(C346,'2021-22 School Level AAFTE'!C:N,12,FALSE)</f>
        <v>No</v>
      </c>
    </row>
    <row r="347" spans="1:32" s="19" customFormat="1">
      <c r="A347" s="97" t="s">
        <v>2262</v>
      </c>
      <c r="B347" s="97" t="s">
        <v>20</v>
      </c>
      <c r="C347" s="95">
        <v>2962</v>
      </c>
      <c r="D347" s="95" t="s">
        <v>25</v>
      </c>
      <c r="E347" s="129">
        <f>VLOOKUP($C347,'2021-22 School Level AAFTE'!$C:$Z,11,FALSE)</f>
        <v>0.82436666666666669</v>
      </c>
      <c r="F347" s="129" t="str">
        <f>VLOOKUP($C347,'2021-22 School Level AAFTE'!$C:$Z,8,FALSE)</f>
        <v>Yes</v>
      </c>
      <c r="G347" s="129" t="str">
        <f>VLOOKUP($C347,'2021-22 School Level AAFTE'!$C:$Z,12,FALSE)</f>
        <v>No</v>
      </c>
      <c r="H347" s="127">
        <f>VLOOKUP($C347,'2021-22 School Level AAFTE'!$C:$I,7,FALSE)</f>
        <v>279.79000000000002</v>
      </c>
      <c r="I347" s="112">
        <f>IFERROR(IF(OR(G347="yes",F347= "yes"),VLOOKUP(C347,Summary!$B:$J,6,0),0),0)</f>
        <v>0</v>
      </c>
      <c r="J347" s="111">
        <f t="shared" si="69"/>
        <v>279.79000000000002</v>
      </c>
      <c r="K347" s="91">
        <f>VLOOKUP($A347,'2022-23 Salary &amp; Benefits'!$A:$I,3,FALSE)</f>
        <v>1</v>
      </c>
      <c r="L347" s="91">
        <f>VLOOKUP($A347,'2022-23 Salary &amp; Benefits'!$A:$I,4,FALSE)</f>
        <v>1</v>
      </c>
      <c r="M347" s="39">
        <f t="shared" si="64"/>
        <v>279.79000000000002</v>
      </c>
      <c r="N347" s="24">
        <v>15</v>
      </c>
      <c r="O347" s="26">
        <f t="shared" si="67"/>
        <v>18.652666666666669</v>
      </c>
      <c r="P347" s="24">
        <v>1.1000000000000001</v>
      </c>
      <c r="Q347" s="24">
        <v>36</v>
      </c>
      <c r="R347" s="27">
        <f t="shared" si="68"/>
        <v>738.64560000000006</v>
      </c>
      <c r="S347" s="102">
        <f t="shared" si="70"/>
        <v>0.82099999999999995</v>
      </c>
      <c r="T347" s="21">
        <f>VLOOKUP($A347,'2022-23 Salary &amp; Benefits'!$A:$I,5,FALSE)</f>
        <v>68937</v>
      </c>
      <c r="U347" s="21">
        <f>VLOOKUP($A347,'2022-23 Salary &amp; Benefits'!$A:$I,6,FALSE)</f>
        <v>72728</v>
      </c>
      <c r="V347" s="22">
        <f t="shared" si="71"/>
        <v>56597.279999999999</v>
      </c>
      <c r="W347" s="22">
        <f t="shared" si="72"/>
        <v>3112.4100000000035</v>
      </c>
      <c r="X347" s="22">
        <f>'2022-23 Salary &amp; Benefits'!$G$6</f>
        <v>12558.24</v>
      </c>
      <c r="Y347" s="23">
        <f>'2022-23 Salary &amp; Benefits'!$H$6</f>
        <v>0.2298</v>
      </c>
      <c r="Z347" s="23">
        <f>'2022-23 Salary &amp; Benefits'!$I$6</f>
        <v>0.22339999999999999</v>
      </c>
      <c r="AA347" s="22">
        <f t="shared" si="73"/>
        <v>24011.68</v>
      </c>
      <c r="AB347" s="22">
        <f t="shared" si="74"/>
        <v>995.16</v>
      </c>
      <c r="AC347" s="22">
        <f t="shared" si="75"/>
        <v>222.32</v>
      </c>
      <c r="AD347" s="22">
        <f t="shared" si="65"/>
        <v>1217.48</v>
      </c>
      <c r="AE347" s="22">
        <f t="shared" si="66"/>
        <v>84938.849999999991</v>
      </c>
      <c r="AF347" s="19" t="str">
        <f>VLOOKUP(C347,'2021-22 School Level AAFTE'!C:N,12,FALSE)</f>
        <v>No</v>
      </c>
    </row>
    <row r="348" spans="1:32" s="19" customFormat="1">
      <c r="A348" s="97" t="s">
        <v>2262</v>
      </c>
      <c r="B348" s="97" t="s">
        <v>20</v>
      </c>
      <c r="C348" s="95">
        <v>3266</v>
      </c>
      <c r="D348" s="95" t="s">
        <v>26</v>
      </c>
      <c r="E348" s="129">
        <f>VLOOKUP($C348,'2021-22 School Level AAFTE'!$C:$Z,11,FALSE)</f>
        <v>0.70983333333333343</v>
      </c>
      <c r="F348" s="129" t="str">
        <f>VLOOKUP($C348,'2021-22 School Level AAFTE'!$C:$Z,8,FALSE)</f>
        <v>Yes</v>
      </c>
      <c r="G348" s="129" t="str">
        <f>VLOOKUP($C348,'2021-22 School Level AAFTE'!$C:$Z,12,FALSE)</f>
        <v>No</v>
      </c>
      <c r="H348" s="127">
        <f>VLOOKUP($C348,'2021-22 School Level AAFTE'!$C:$I,7,FALSE)</f>
        <v>255.81</v>
      </c>
      <c r="I348" s="112">
        <f>IFERROR(IF(OR(G348="yes",F348= "yes"),VLOOKUP(C348,Summary!$B:$J,6,0),0),0)</f>
        <v>0</v>
      </c>
      <c r="J348" s="111">
        <f t="shared" si="69"/>
        <v>255.81</v>
      </c>
      <c r="K348" s="91">
        <f>VLOOKUP($A348,'2022-23 Salary &amp; Benefits'!$A:$I,3,FALSE)</f>
        <v>1</v>
      </c>
      <c r="L348" s="91">
        <f>VLOOKUP($A348,'2022-23 Salary &amp; Benefits'!$A:$I,4,FALSE)</f>
        <v>1</v>
      </c>
      <c r="M348" s="39">
        <f t="shared" si="64"/>
        <v>255.81</v>
      </c>
      <c r="N348" s="24">
        <v>15</v>
      </c>
      <c r="O348" s="26">
        <f t="shared" si="67"/>
        <v>17.053999999999998</v>
      </c>
      <c r="P348" s="24">
        <v>1.1000000000000001</v>
      </c>
      <c r="Q348" s="24">
        <v>36</v>
      </c>
      <c r="R348" s="27">
        <f t="shared" si="68"/>
        <v>675.33839999999998</v>
      </c>
      <c r="S348" s="102">
        <f t="shared" si="70"/>
        <v>0.75</v>
      </c>
      <c r="T348" s="21">
        <f>VLOOKUP($A348,'2022-23 Salary &amp; Benefits'!$A:$I,5,FALSE)</f>
        <v>68937</v>
      </c>
      <c r="U348" s="21">
        <f>VLOOKUP($A348,'2022-23 Salary &amp; Benefits'!$A:$I,6,FALSE)</f>
        <v>72728</v>
      </c>
      <c r="V348" s="22">
        <f t="shared" si="71"/>
        <v>51702.75</v>
      </c>
      <c r="W348" s="22">
        <f t="shared" si="72"/>
        <v>2843.25</v>
      </c>
      <c r="X348" s="22">
        <f>'2022-23 Salary &amp; Benefits'!$G$6</f>
        <v>12558.24</v>
      </c>
      <c r="Y348" s="23">
        <f>'2022-23 Salary &amp; Benefits'!$H$6</f>
        <v>0.2298</v>
      </c>
      <c r="Z348" s="23">
        <f>'2022-23 Salary &amp; Benefits'!$I$6</f>
        <v>0.22339999999999999</v>
      </c>
      <c r="AA348" s="22">
        <f t="shared" si="73"/>
        <v>21935.15</v>
      </c>
      <c r="AB348" s="22">
        <f t="shared" si="74"/>
        <v>909.1</v>
      </c>
      <c r="AC348" s="22">
        <f t="shared" si="75"/>
        <v>203.09</v>
      </c>
      <c r="AD348" s="22">
        <f t="shared" si="65"/>
        <v>1112.19</v>
      </c>
      <c r="AE348" s="22">
        <f t="shared" si="66"/>
        <v>77593.34</v>
      </c>
      <c r="AF348" s="19" t="str">
        <f>VLOOKUP(C348,'2021-22 School Level AAFTE'!C:N,12,FALSE)</f>
        <v>No</v>
      </c>
    </row>
    <row r="349" spans="1:32" s="19" customFormat="1">
      <c r="A349" s="97" t="s">
        <v>2262</v>
      </c>
      <c r="B349" s="97" t="s">
        <v>20</v>
      </c>
      <c r="C349" s="95">
        <v>3616</v>
      </c>
      <c r="D349" s="95" t="s">
        <v>27</v>
      </c>
      <c r="E349" s="129">
        <f>VLOOKUP($C349,'2021-22 School Level AAFTE'!$C:$Z,11,FALSE)</f>
        <v>0.29009999999999997</v>
      </c>
      <c r="F349" s="129" t="str">
        <f>VLOOKUP($C349,'2021-22 School Level AAFTE'!$C:$Z,8,FALSE)</f>
        <v>No</v>
      </c>
      <c r="G349" s="129" t="str">
        <f>VLOOKUP($C349,'2021-22 School Level AAFTE'!$C:$Z,12,FALSE)</f>
        <v>No</v>
      </c>
      <c r="H349" s="127">
        <f>VLOOKUP($C349,'2021-22 School Level AAFTE'!$C:$I,7,FALSE)</f>
        <v>4.42</v>
      </c>
      <c r="I349" s="112">
        <f>IFERROR(IF(OR(G349="yes",F349= "yes"),VLOOKUP(C349,Summary!$B:$J,6,0),0),0)</f>
        <v>0</v>
      </c>
      <c r="J349" s="111">
        <f t="shared" si="69"/>
        <v>0</v>
      </c>
      <c r="K349" s="91">
        <f>VLOOKUP($A349,'2022-23 Salary &amp; Benefits'!$A:$I,3,FALSE)</f>
        <v>1</v>
      </c>
      <c r="L349" s="91">
        <f>VLOOKUP($A349,'2022-23 Salary &amp; Benefits'!$A:$I,4,FALSE)</f>
        <v>1</v>
      </c>
      <c r="M349" s="39">
        <f t="shared" si="64"/>
        <v>0</v>
      </c>
      <c r="N349" s="24">
        <v>15</v>
      </c>
      <c r="O349" s="26">
        <f t="shared" si="67"/>
        <v>0</v>
      </c>
      <c r="P349" s="24">
        <v>1.1000000000000001</v>
      </c>
      <c r="Q349" s="24">
        <v>36</v>
      </c>
      <c r="R349" s="27">
        <f t="shared" si="68"/>
        <v>0</v>
      </c>
      <c r="S349" s="102">
        <f t="shared" si="70"/>
        <v>0</v>
      </c>
      <c r="T349" s="21">
        <f>VLOOKUP($A349,'2022-23 Salary &amp; Benefits'!$A:$I,5,FALSE)</f>
        <v>68937</v>
      </c>
      <c r="U349" s="21">
        <f>VLOOKUP($A349,'2022-23 Salary &amp; Benefits'!$A:$I,6,FALSE)</f>
        <v>72728</v>
      </c>
      <c r="V349" s="22">
        <f t="shared" si="71"/>
        <v>0</v>
      </c>
      <c r="W349" s="22">
        <f t="shared" si="72"/>
        <v>0</v>
      </c>
      <c r="X349" s="22">
        <f>'2022-23 Salary &amp; Benefits'!$G$6</f>
        <v>12558.24</v>
      </c>
      <c r="Y349" s="23">
        <f>'2022-23 Salary &amp; Benefits'!$H$6</f>
        <v>0.2298</v>
      </c>
      <c r="Z349" s="23">
        <f>'2022-23 Salary &amp; Benefits'!$I$6</f>
        <v>0.22339999999999999</v>
      </c>
      <c r="AA349" s="22">
        <f t="shared" si="73"/>
        <v>0</v>
      </c>
      <c r="AB349" s="22">
        <f t="shared" si="74"/>
        <v>0</v>
      </c>
      <c r="AC349" s="22">
        <f t="shared" si="75"/>
        <v>0</v>
      </c>
      <c r="AD349" s="22">
        <f t="shared" si="65"/>
        <v>0</v>
      </c>
      <c r="AE349" s="22">
        <f t="shared" si="66"/>
        <v>0</v>
      </c>
      <c r="AF349" s="19" t="str">
        <f>VLOOKUP(C349,'2021-22 School Level AAFTE'!C:N,12,FALSE)</f>
        <v>No</v>
      </c>
    </row>
    <row r="350" spans="1:32" s="19" customFormat="1">
      <c r="A350" s="97" t="s">
        <v>2262</v>
      </c>
      <c r="B350" s="97" t="s">
        <v>20</v>
      </c>
      <c r="C350" s="95">
        <v>4384</v>
      </c>
      <c r="D350" s="95" t="s">
        <v>28</v>
      </c>
      <c r="E350" s="129">
        <f>VLOOKUP($C350,'2021-22 School Level AAFTE'!$C:$Z,11,FALSE)</f>
        <v>0.31063333333333332</v>
      </c>
      <c r="F350" s="129" t="str">
        <f>VLOOKUP($C350,'2021-22 School Level AAFTE'!$C:$Z,8,FALSE)</f>
        <v>No</v>
      </c>
      <c r="G350" s="129" t="str">
        <f>VLOOKUP($C350,'2021-22 School Level AAFTE'!$C:$Z,12,FALSE)</f>
        <v>No</v>
      </c>
      <c r="H350" s="127">
        <f>VLOOKUP($C350,'2021-22 School Level AAFTE'!$C:$I,7,FALSE)</f>
        <v>354.24</v>
      </c>
      <c r="I350" s="112">
        <f>IFERROR(IF(OR(G350="yes",F350= "yes"),VLOOKUP(C350,Summary!$B:$J,6,0),0),0)</f>
        <v>0</v>
      </c>
      <c r="J350" s="111">
        <f t="shared" si="69"/>
        <v>0</v>
      </c>
      <c r="K350" s="91">
        <f>VLOOKUP($A350,'2022-23 Salary &amp; Benefits'!$A:$I,3,FALSE)</f>
        <v>1</v>
      </c>
      <c r="L350" s="91">
        <f>VLOOKUP($A350,'2022-23 Salary &amp; Benefits'!$A:$I,4,FALSE)</f>
        <v>1</v>
      </c>
      <c r="M350" s="39">
        <f t="shared" si="64"/>
        <v>0</v>
      </c>
      <c r="N350" s="24">
        <v>15</v>
      </c>
      <c r="O350" s="26">
        <f t="shared" si="67"/>
        <v>0</v>
      </c>
      <c r="P350" s="24">
        <v>1.1000000000000001</v>
      </c>
      <c r="Q350" s="24">
        <v>36</v>
      </c>
      <c r="R350" s="27">
        <f t="shared" si="68"/>
        <v>0</v>
      </c>
      <c r="S350" s="102">
        <f t="shared" si="70"/>
        <v>0</v>
      </c>
      <c r="T350" s="21">
        <f>VLOOKUP($A350,'2022-23 Salary &amp; Benefits'!$A:$I,5,FALSE)</f>
        <v>68937</v>
      </c>
      <c r="U350" s="21">
        <f>VLOOKUP($A350,'2022-23 Salary &amp; Benefits'!$A:$I,6,FALSE)</f>
        <v>72728</v>
      </c>
      <c r="V350" s="22">
        <f t="shared" si="71"/>
        <v>0</v>
      </c>
      <c r="W350" s="22">
        <f t="shared" si="72"/>
        <v>0</v>
      </c>
      <c r="X350" s="22">
        <f>'2022-23 Salary &amp; Benefits'!$G$6</f>
        <v>12558.24</v>
      </c>
      <c r="Y350" s="23">
        <f>'2022-23 Salary &amp; Benefits'!$H$6</f>
        <v>0.2298</v>
      </c>
      <c r="Z350" s="23">
        <f>'2022-23 Salary &amp; Benefits'!$I$6</f>
        <v>0.22339999999999999</v>
      </c>
      <c r="AA350" s="22">
        <f t="shared" si="73"/>
        <v>0</v>
      </c>
      <c r="AB350" s="22">
        <f t="shared" si="74"/>
        <v>0</v>
      </c>
      <c r="AC350" s="22">
        <f t="shared" si="75"/>
        <v>0</v>
      </c>
      <c r="AD350" s="22">
        <f t="shared" si="65"/>
        <v>0</v>
      </c>
      <c r="AE350" s="22">
        <f t="shared" si="66"/>
        <v>0</v>
      </c>
      <c r="AF350" s="19" t="str">
        <f>VLOOKUP(C350,'2021-22 School Level AAFTE'!C:N,12,FALSE)</f>
        <v>No</v>
      </c>
    </row>
    <row r="351" spans="1:32" s="19" customFormat="1">
      <c r="A351" s="97" t="s">
        <v>2262</v>
      </c>
      <c r="B351" s="97" t="s">
        <v>20</v>
      </c>
      <c r="C351" s="95">
        <v>5413</v>
      </c>
      <c r="D351" s="95" t="s">
        <v>29</v>
      </c>
      <c r="E351" s="129">
        <f>VLOOKUP($C351,'2021-22 School Level AAFTE'!$C:$Z,11,FALSE)</f>
        <v>0.68076666666666663</v>
      </c>
      <c r="F351" s="129" t="str">
        <f>VLOOKUP($C351,'2021-22 School Level AAFTE'!$C:$Z,8,FALSE)</f>
        <v>Yes</v>
      </c>
      <c r="G351" s="129" t="str">
        <f>VLOOKUP($C351,'2021-22 School Level AAFTE'!$C:$Z,12,FALSE)</f>
        <v>No</v>
      </c>
      <c r="H351" s="127">
        <f>VLOOKUP($C351,'2021-22 School Level AAFTE'!$C:$I,7,FALSE)</f>
        <v>3.71</v>
      </c>
      <c r="I351" s="112">
        <f>IFERROR(IF(OR(G351="yes",F351= "yes"),VLOOKUP(C351,Summary!$B:$J,6,0),0),0)</f>
        <v>0</v>
      </c>
      <c r="J351" s="111">
        <f t="shared" si="69"/>
        <v>3.71</v>
      </c>
      <c r="K351" s="91">
        <f>VLOOKUP($A351,'2022-23 Salary &amp; Benefits'!$A:$I,3,FALSE)</f>
        <v>1</v>
      </c>
      <c r="L351" s="91">
        <f>VLOOKUP($A351,'2022-23 Salary &amp; Benefits'!$A:$I,4,FALSE)</f>
        <v>1</v>
      </c>
      <c r="M351" s="101">
        <f t="shared" si="64"/>
        <v>3.71</v>
      </c>
      <c r="N351" s="24">
        <v>15</v>
      </c>
      <c r="O351" s="26">
        <f t="shared" si="67"/>
        <v>0.24733333333333332</v>
      </c>
      <c r="P351" s="24">
        <v>1.1000000000000001</v>
      </c>
      <c r="Q351" s="24">
        <v>36</v>
      </c>
      <c r="R351" s="27">
        <f t="shared" si="68"/>
        <v>9.7943999999999996</v>
      </c>
      <c r="S351" s="102">
        <f t="shared" si="70"/>
        <v>1.0999999999999999E-2</v>
      </c>
      <c r="T351" s="21">
        <f>VLOOKUP($A351,'2022-23 Salary &amp; Benefits'!$A:$I,5,FALSE)</f>
        <v>68937</v>
      </c>
      <c r="U351" s="21">
        <f>VLOOKUP($A351,'2022-23 Salary &amp; Benefits'!$A:$I,6,FALSE)</f>
        <v>72728</v>
      </c>
      <c r="V351" s="22">
        <f t="shared" si="71"/>
        <v>758.31</v>
      </c>
      <c r="W351" s="22">
        <f t="shared" si="72"/>
        <v>41.700000000000045</v>
      </c>
      <c r="X351" s="22">
        <f>'2022-23 Salary &amp; Benefits'!$G$6</f>
        <v>12558.24</v>
      </c>
      <c r="Y351" s="23">
        <f>'2022-23 Salary &amp; Benefits'!$H$6</f>
        <v>0.2298</v>
      </c>
      <c r="Z351" s="23">
        <f>'2022-23 Salary &amp; Benefits'!$I$6</f>
        <v>0.22339999999999999</v>
      </c>
      <c r="AA351" s="22">
        <f t="shared" si="73"/>
        <v>321.72000000000003</v>
      </c>
      <c r="AB351" s="22">
        <f t="shared" si="74"/>
        <v>13.33</v>
      </c>
      <c r="AC351" s="22">
        <f t="shared" si="75"/>
        <v>2.98</v>
      </c>
      <c r="AD351" s="22">
        <f t="shared" si="65"/>
        <v>16.309999999999999</v>
      </c>
      <c r="AE351" s="22">
        <f t="shared" si="66"/>
        <v>1138.04</v>
      </c>
      <c r="AF351" s="19" t="str">
        <f>VLOOKUP(C351,'2021-22 School Level AAFTE'!C:N,12,FALSE)</f>
        <v>No</v>
      </c>
    </row>
    <row r="352" spans="1:32" s="19" customFormat="1">
      <c r="A352" s="97" t="s">
        <v>2262</v>
      </c>
      <c r="B352" s="97" t="s">
        <v>20</v>
      </c>
      <c r="C352" s="95">
        <v>5644</v>
      </c>
      <c r="D352" s="95" t="s">
        <v>2874</v>
      </c>
      <c r="E352" s="129">
        <f>VLOOKUP($C352,'2021-22 School Level AAFTE'!$C:$Z,11,FALSE)</f>
        <v>0.55295000000000005</v>
      </c>
      <c r="F352" s="129" t="str">
        <f>VLOOKUP($C352,'2021-22 School Level AAFTE'!$C:$Z,8,FALSE)</f>
        <v>Yes</v>
      </c>
      <c r="G352" s="129" t="str">
        <f>VLOOKUP($C352,'2021-22 School Level AAFTE'!$C:$Z,12,FALSE)</f>
        <v>No</v>
      </c>
      <c r="H352" s="127">
        <f>VLOOKUP($C352,'2021-22 School Level AAFTE'!$C:$I,7,FALSE)</f>
        <v>78.94</v>
      </c>
      <c r="I352" s="112">
        <f>IFERROR(IF(OR(G352="yes",F352= "yes"),VLOOKUP(C352,Summary!$B:$J,6,0),0),0)</f>
        <v>0</v>
      </c>
      <c r="J352" s="111">
        <f t="shared" si="69"/>
        <v>78.94</v>
      </c>
      <c r="K352" s="91">
        <f>VLOOKUP($A352,'2022-23 Salary &amp; Benefits'!$A:$I,3,FALSE)</f>
        <v>1</v>
      </c>
      <c r="L352" s="91">
        <f>VLOOKUP($A352,'2022-23 Salary &amp; Benefits'!$A:$I,4,FALSE)</f>
        <v>1</v>
      </c>
      <c r="M352" s="39">
        <f t="shared" si="64"/>
        <v>78.94</v>
      </c>
      <c r="N352" s="24">
        <v>15</v>
      </c>
      <c r="O352" s="26">
        <f t="shared" si="67"/>
        <v>5.2626666666666662</v>
      </c>
      <c r="P352" s="24">
        <v>1.1000000000000001</v>
      </c>
      <c r="Q352" s="24">
        <v>36</v>
      </c>
      <c r="R352" s="27">
        <f t="shared" si="68"/>
        <v>208.4016</v>
      </c>
      <c r="S352" s="102">
        <f t="shared" si="70"/>
        <v>0.23200000000000001</v>
      </c>
      <c r="T352" s="21">
        <f>VLOOKUP($A352,'2022-23 Salary &amp; Benefits'!$A:$I,5,FALSE)</f>
        <v>68937</v>
      </c>
      <c r="U352" s="21">
        <f>VLOOKUP($A352,'2022-23 Salary &amp; Benefits'!$A:$I,6,FALSE)</f>
        <v>72728</v>
      </c>
      <c r="V352" s="22">
        <f t="shared" si="71"/>
        <v>15993.38</v>
      </c>
      <c r="W352" s="22">
        <f t="shared" si="72"/>
        <v>879.52000000000226</v>
      </c>
      <c r="X352" s="22">
        <f>'2022-23 Salary &amp; Benefits'!$G$6</f>
        <v>12558.24</v>
      </c>
      <c r="Y352" s="23">
        <f>'2022-23 Salary &amp; Benefits'!$H$6</f>
        <v>0.2298</v>
      </c>
      <c r="Z352" s="23">
        <f>'2022-23 Salary &amp; Benefits'!$I$6</f>
        <v>0.22339999999999999</v>
      </c>
      <c r="AA352" s="22">
        <f t="shared" si="73"/>
        <v>6785.28</v>
      </c>
      <c r="AB352" s="22">
        <f t="shared" si="74"/>
        <v>281.20999999999998</v>
      </c>
      <c r="AC352" s="22">
        <f t="shared" si="75"/>
        <v>62.82</v>
      </c>
      <c r="AD352" s="22">
        <f t="shared" si="65"/>
        <v>344.03</v>
      </c>
      <c r="AE352" s="22">
        <f t="shared" si="66"/>
        <v>24002.21</v>
      </c>
      <c r="AF352" s="19" t="str">
        <f>VLOOKUP(C352,'2021-22 School Level AAFTE'!C:N,12,FALSE)</f>
        <v>No</v>
      </c>
    </row>
    <row r="353" spans="1:32" s="19" customFormat="1">
      <c r="A353" s="97" t="s">
        <v>2382</v>
      </c>
      <c r="B353" s="97" t="s">
        <v>1099</v>
      </c>
      <c r="C353" s="95">
        <v>1987</v>
      </c>
      <c r="D353" s="95" t="s">
        <v>1100</v>
      </c>
      <c r="E353" s="129">
        <f>VLOOKUP($C353,'2021-22 School Level AAFTE'!$C:$Z,11,FALSE)</f>
        <v>0.61393333333333333</v>
      </c>
      <c r="F353" s="129" t="str">
        <f>VLOOKUP($C353,'2021-22 School Level AAFTE'!$C:$Z,8,FALSE)</f>
        <v>Yes</v>
      </c>
      <c r="G353" s="129" t="str">
        <f>VLOOKUP($C353,'2021-22 School Level AAFTE'!$C:$Z,12,FALSE)</f>
        <v>No</v>
      </c>
      <c r="H353" s="127">
        <f>VLOOKUP($C353,'2021-22 School Level AAFTE'!$C:$I,7,FALSE)</f>
        <v>22.66</v>
      </c>
      <c r="I353" s="112">
        <f>IFERROR(IF(OR(G353="yes",F353= "yes"),VLOOKUP(C353,Summary!$B:$J,6,0),0),0)</f>
        <v>0</v>
      </c>
      <c r="J353" s="111">
        <f t="shared" si="69"/>
        <v>22.66</v>
      </c>
      <c r="K353" s="91">
        <f>VLOOKUP($A353,'2022-23 Salary &amp; Benefits'!$A:$I,3,FALSE)</f>
        <v>1</v>
      </c>
      <c r="L353" s="91">
        <f>VLOOKUP($A353,'2022-23 Salary &amp; Benefits'!$A:$I,4,FALSE)</f>
        <v>1</v>
      </c>
      <c r="M353" s="39">
        <f t="shared" si="64"/>
        <v>22.66</v>
      </c>
      <c r="N353" s="24">
        <v>15</v>
      </c>
      <c r="O353" s="26">
        <f t="shared" si="67"/>
        <v>1.5106666666666666</v>
      </c>
      <c r="P353" s="24">
        <v>1.1000000000000001</v>
      </c>
      <c r="Q353" s="24">
        <v>36</v>
      </c>
      <c r="R353" s="27">
        <f t="shared" si="68"/>
        <v>59.822400000000009</v>
      </c>
      <c r="S353" s="102">
        <f t="shared" si="70"/>
        <v>6.6000000000000003E-2</v>
      </c>
      <c r="T353" s="21">
        <f>VLOOKUP($A353,'2022-23 Salary &amp; Benefits'!$A:$I,5,FALSE)</f>
        <v>68937</v>
      </c>
      <c r="U353" s="21">
        <f>VLOOKUP($A353,'2022-23 Salary &amp; Benefits'!$A:$I,6,FALSE)</f>
        <v>72728</v>
      </c>
      <c r="V353" s="22">
        <f t="shared" si="71"/>
        <v>4549.84</v>
      </c>
      <c r="W353" s="22">
        <f t="shared" si="72"/>
        <v>250.21000000000004</v>
      </c>
      <c r="X353" s="22">
        <f>'2022-23 Salary &amp; Benefits'!$G$6</f>
        <v>12558.24</v>
      </c>
      <c r="Y353" s="23">
        <f>'2022-23 Salary &amp; Benefits'!$H$6</f>
        <v>0.2298</v>
      </c>
      <c r="Z353" s="23">
        <f>'2022-23 Salary &amp; Benefits'!$I$6</f>
        <v>0.22339999999999999</v>
      </c>
      <c r="AA353" s="22">
        <f t="shared" si="73"/>
        <v>1930.29</v>
      </c>
      <c r="AB353" s="22">
        <f t="shared" si="74"/>
        <v>80</v>
      </c>
      <c r="AC353" s="22">
        <f t="shared" si="75"/>
        <v>17.87</v>
      </c>
      <c r="AD353" s="22">
        <f t="shared" si="65"/>
        <v>97.87</v>
      </c>
      <c r="AE353" s="22">
        <f t="shared" si="66"/>
        <v>6828.21</v>
      </c>
      <c r="AF353" s="19" t="str">
        <f>VLOOKUP(C353,'2021-22 School Level AAFTE'!C:N,12,FALSE)</f>
        <v>No</v>
      </c>
    </row>
    <row r="354" spans="1:32" s="19" customFormat="1">
      <c r="A354" s="97" t="s">
        <v>2382</v>
      </c>
      <c r="B354" s="97" t="s">
        <v>1099</v>
      </c>
      <c r="C354" s="95">
        <v>2328</v>
      </c>
      <c r="D354" s="95" t="s">
        <v>1101</v>
      </c>
      <c r="E354" s="129">
        <f>VLOOKUP($C354,'2021-22 School Level AAFTE'!$C:$Z,11,FALSE)</f>
        <v>0.37893333333333334</v>
      </c>
      <c r="F354" s="129" t="str">
        <f>VLOOKUP($C354,'2021-22 School Level AAFTE'!$C:$Z,8,FALSE)</f>
        <v>No</v>
      </c>
      <c r="G354" s="129" t="str">
        <f>VLOOKUP($C354,'2021-22 School Level AAFTE'!$C:$Z,12,FALSE)</f>
        <v>No</v>
      </c>
      <c r="H354" s="127">
        <f>VLOOKUP($C354,'2021-22 School Level AAFTE'!$C:$I,7,FALSE)</f>
        <v>393.17</v>
      </c>
      <c r="I354" s="112">
        <f>IFERROR(IF(OR(G354="yes",F354= "yes"),VLOOKUP(C354,Summary!$B:$J,6,0),0),0)</f>
        <v>0</v>
      </c>
      <c r="J354" s="111">
        <f t="shared" si="69"/>
        <v>0</v>
      </c>
      <c r="K354" s="91">
        <f>VLOOKUP($A354,'2022-23 Salary &amp; Benefits'!$A:$I,3,FALSE)</f>
        <v>1</v>
      </c>
      <c r="L354" s="91">
        <f>VLOOKUP($A354,'2022-23 Salary &amp; Benefits'!$A:$I,4,FALSE)</f>
        <v>1</v>
      </c>
      <c r="M354" s="39">
        <f t="shared" si="64"/>
        <v>0</v>
      </c>
      <c r="N354" s="24">
        <v>15</v>
      </c>
      <c r="O354" s="26">
        <f t="shared" si="67"/>
        <v>0</v>
      </c>
      <c r="P354" s="24">
        <v>1.1000000000000001</v>
      </c>
      <c r="Q354" s="24">
        <v>36</v>
      </c>
      <c r="R354" s="27">
        <f t="shared" si="68"/>
        <v>0</v>
      </c>
      <c r="S354" s="102">
        <f t="shared" si="70"/>
        <v>0</v>
      </c>
      <c r="T354" s="21">
        <f>VLOOKUP($A354,'2022-23 Salary &amp; Benefits'!$A:$I,5,FALSE)</f>
        <v>68937</v>
      </c>
      <c r="U354" s="21">
        <f>VLOOKUP($A354,'2022-23 Salary &amp; Benefits'!$A:$I,6,FALSE)</f>
        <v>72728</v>
      </c>
      <c r="V354" s="22">
        <f t="shared" si="71"/>
        <v>0</v>
      </c>
      <c r="W354" s="22">
        <f t="shared" si="72"/>
        <v>0</v>
      </c>
      <c r="X354" s="22">
        <f>'2022-23 Salary &amp; Benefits'!$G$6</f>
        <v>12558.24</v>
      </c>
      <c r="Y354" s="23">
        <f>'2022-23 Salary &amp; Benefits'!$H$6</f>
        <v>0.2298</v>
      </c>
      <c r="Z354" s="23">
        <f>'2022-23 Salary &amp; Benefits'!$I$6</f>
        <v>0.22339999999999999</v>
      </c>
      <c r="AA354" s="22">
        <f t="shared" si="73"/>
        <v>0</v>
      </c>
      <c r="AB354" s="22">
        <f t="shared" si="74"/>
        <v>0</v>
      </c>
      <c r="AC354" s="22">
        <f t="shared" si="75"/>
        <v>0</v>
      </c>
      <c r="AD354" s="22">
        <f t="shared" si="65"/>
        <v>0</v>
      </c>
      <c r="AE354" s="22">
        <f t="shared" si="66"/>
        <v>0</v>
      </c>
      <c r="AF354" s="19" t="str">
        <f>VLOOKUP(C354,'2021-22 School Level AAFTE'!C:N,12,FALSE)</f>
        <v>No</v>
      </c>
    </row>
    <row r="355" spans="1:32" s="19" customFormat="1">
      <c r="A355" s="97" t="s">
        <v>2382</v>
      </c>
      <c r="B355" s="97" t="s">
        <v>1099</v>
      </c>
      <c r="C355" s="95">
        <v>2329</v>
      </c>
      <c r="D355" s="95" t="s">
        <v>1102</v>
      </c>
      <c r="E355" s="129">
        <f>VLOOKUP($C355,'2021-22 School Level AAFTE'!$C:$Z,11,FALSE)</f>
        <v>0.33706666666666668</v>
      </c>
      <c r="F355" s="129" t="str">
        <f>VLOOKUP($C355,'2021-22 School Level AAFTE'!$C:$Z,8,FALSE)</f>
        <v>No</v>
      </c>
      <c r="G355" s="129" t="str">
        <f>VLOOKUP($C355,'2021-22 School Level AAFTE'!$C:$Z,12,FALSE)</f>
        <v>No</v>
      </c>
      <c r="H355" s="127">
        <f>VLOOKUP($C355,'2021-22 School Level AAFTE'!$C:$I,7,FALSE)</f>
        <v>239.54</v>
      </c>
      <c r="I355" s="112">
        <f>IFERROR(IF(OR(G355="yes",F355= "yes"),VLOOKUP(C355,Summary!$B:$J,6,0),0),0)</f>
        <v>0</v>
      </c>
      <c r="J355" s="111">
        <f t="shared" si="69"/>
        <v>0</v>
      </c>
      <c r="K355" s="91">
        <f>VLOOKUP($A355,'2022-23 Salary &amp; Benefits'!$A:$I,3,FALSE)</f>
        <v>1</v>
      </c>
      <c r="L355" s="91">
        <f>VLOOKUP($A355,'2022-23 Salary &amp; Benefits'!$A:$I,4,FALSE)</f>
        <v>1</v>
      </c>
      <c r="M355" s="39">
        <f t="shared" si="64"/>
        <v>0</v>
      </c>
      <c r="N355" s="24">
        <v>15</v>
      </c>
      <c r="O355" s="26">
        <f t="shared" si="67"/>
        <v>0</v>
      </c>
      <c r="P355" s="24">
        <v>1.1000000000000001</v>
      </c>
      <c r="Q355" s="24">
        <v>36</v>
      </c>
      <c r="R355" s="27">
        <f t="shared" si="68"/>
        <v>0</v>
      </c>
      <c r="S355" s="102">
        <f t="shared" si="70"/>
        <v>0</v>
      </c>
      <c r="T355" s="21">
        <f>VLOOKUP($A355,'2022-23 Salary &amp; Benefits'!$A:$I,5,FALSE)</f>
        <v>68937</v>
      </c>
      <c r="U355" s="21">
        <f>VLOOKUP($A355,'2022-23 Salary &amp; Benefits'!$A:$I,6,FALSE)</f>
        <v>72728</v>
      </c>
      <c r="V355" s="22">
        <f t="shared" si="71"/>
        <v>0</v>
      </c>
      <c r="W355" s="22">
        <f t="shared" si="72"/>
        <v>0</v>
      </c>
      <c r="X355" s="22">
        <f>'2022-23 Salary &amp; Benefits'!$G$6</f>
        <v>12558.24</v>
      </c>
      <c r="Y355" s="23">
        <f>'2022-23 Salary &amp; Benefits'!$H$6</f>
        <v>0.2298</v>
      </c>
      <c r="Z355" s="23">
        <f>'2022-23 Salary &amp; Benefits'!$I$6</f>
        <v>0.22339999999999999</v>
      </c>
      <c r="AA355" s="22">
        <f t="shared" si="73"/>
        <v>0</v>
      </c>
      <c r="AB355" s="22">
        <f t="shared" si="74"/>
        <v>0</v>
      </c>
      <c r="AC355" s="22">
        <f t="shared" si="75"/>
        <v>0</v>
      </c>
      <c r="AD355" s="22">
        <f t="shared" si="65"/>
        <v>0</v>
      </c>
      <c r="AE355" s="22">
        <f t="shared" si="66"/>
        <v>0</v>
      </c>
      <c r="AF355" s="19" t="str">
        <f>VLOOKUP(C355,'2021-22 School Level AAFTE'!C:N,12,FALSE)</f>
        <v>No</v>
      </c>
    </row>
    <row r="356" spans="1:32" s="19" customFormat="1">
      <c r="A356" s="97" t="s">
        <v>2382</v>
      </c>
      <c r="B356" s="97" t="s">
        <v>1099</v>
      </c>
      <c r="C356" s="95">
        <v>2570</v>
      </c>
      <c r="D356" s="95" t="s">
        <v>1103</v>
      </c>
      <c r="E356" s="129">
        <f>VLOOKUP($C356,'2021-22 School Level AAFTE'!$C:$Z,11,FALSE)</f>
        <v>0.42643333333333339</v>
      </c>
      <c r="F356" s="129" t="str">
        <f>VLOOKUP($C356,'2021-22 School Level AAFTE'!$C:$Z,8,FALSE)</f>
        <v>No</v>
      </c>
      <c r="G356" s="129" t="str">
        <f>VLOOKUP($C356,'2021-22 School Level AAFTE'!$C:$Z,12,FALSE)</f>
        <v>No</v>
      </c>
      <c r="H356" s="127">
        <f>VLOOKUP($C356,'2021-22 School Level AAFTE'!$C:$I,7,FALSE)</f>
        <v>225.81</v>
      </c>
      <c r="I356" s="112">
        <f>IFERROR(IF(OR(G356="yes",F356= "yes"),VLOOKUP(C356,Summary!$B:$J,6,0),0),0)</f>
        <v>0</v>
      </c>
      <c r="J356" s="111">
        <f t="shared" si="69"/>
        <v>0</v>
      </c>
      <c r="K356" s="91">
        <f>VLOOKUP($A356,'2022-23 Salary &amp; Benefits'!$A:$I,3,FALSE)</f>
        <v>1</v>
      </c>
      <c r="L356" s="91">
        <f>VLOOKUP($A356,'2022-23 Salary &amp; Benefits'!$A:$I,4,FALSE)</f>
        <v>1</v>
      </c>
      <c r="M356" s="39">
        <f t="shared" si="64"/>
        <v>0</v>
      </c>
      <c r="N356" s="24">
        <v>15</v>
      </c>
      <c r="O356" s="26">
        <f t="shared" si="67"/>
        <v>0</v>
      </c>
      <c r="P356" s="24">
        <v>1.1000000000000001</v>
      </c>
      <c r="Q356" s="24">
        <v>36</v>
      </c>
      <c r="R356" s="27">
        <f t="shared" si="68"/>
        <v>0</v>
      </c>
      <c r="S356" s="102">
        <f t="shared" si="70"/>
        <v>0</v>
      </c>
      <c r="T356" s="21">
        <f>VLOOKUP($A356,'2022-23 Salary &amp; Benefits'!$A:$I,5,FALSE)</f>
        <v>68937</v>
      </c>
      <c r="U356" s="21">
        <f>VLOOKUP($A356,'2022-23 Salary &amp; Benefits'!$A:$I,6,FALSE)</f>
        <v>72728</v>
      </c>
      <c r="V356" s="22">
        <f t="shared" si="71"/>
        <v>0</v>
      </c>
      <c r="W356" s="22">
        <f t="shared" si="72"/>
        <v>0</v>
      </c>
      <c r="X356" s="22">
        <f>'2022-23 Salary &amp; Benefits'!$G$6</f>
        <v>12558.24</v>
      </c>
      <c r="Y356" s="23">
        <f>'2022-23 Salary &amp; Benefits'!$H$6</f>
        <v>0.2298</v>
      </c>
      <c r="Z356" s="23">
        <f>'2022-23 Salary &amp; Benefits'!$I$6</f>
        <v>0.22339999999999999</v>
      </c>
      <c r="AA356" s="22">
        <f t="shared" si="73"/>
        <v>0</v>
      </c>
      <c r="AB356" s="22">
        <f t="shared" si="74"/>
        <v>0</v>
      </c>
      <c r="AC356" s="22">
        <f t="shared" si="75"/>
        <v>0</v>
      </c>
      <c r="AD356" s="22">
        <f t="shared" si="65"/>
        <v>0</v>
      </c>
      <c r="AE356" s="22">
        <f t="shared" si="66"/>
        <v>0</v>
      </c>
      <c r="AF356" s="19" t="str">
        <f>VLOOKUP(C356,'2021-22 School Level AAFTE'!C:N,12,FALSE)</f>
        <v>No</v>
      </c>
    </row>
    <row r="357" spans="1:32" s="19" customFormat="1">
      <c r="A357" s="97" t="s">
        <v>2446</v>
      </c>
      <c r="B357" s="97" t="s">
        <v>1418</v>
      </c>
      <c r="C357" s="95">
        <v>1825</v>
      </c>
      <c r="D357" s="95" t="s">
        <v>1419</v>
      </c>
      <c r="E357" s="129">
        <f>VLOOKUP($C357,'2021-22 School Level AAFTE'!$C:$Z,11,FALSE)</f>
        <v>0.66559999999999997</v>
      </c>
      <c r="F357" s="129" t="str">
        <f>VLOOKUP($C357,'2021-22 School Level AAFTE'!$C:$Z,8,FALSE)</f>
        <v>Yes</v>
      </c>
      <c r="G357" s="129" t="str">
        <f>VLOOKUP($C357,'2021-22 School Level AAFTE'!$C:$Z,12,FALSE)</f>
        <v>No</v>
      </c>
      <c r="H357" s="127">
        <f>VLOOKUP($C357,'2021-22 School Level AAFTE'!$C:$I,7,FALSE)</f>
        <v>28.619999999999997</v>
      </c>
      <c r="I357" s="112">
        <f>IFERROR(IF(OR(G357="yes",F357= "yes"),VLOOKUP(C357,Summary!$B:$J,6,0),0),0)</f>
        <v>0</v>
      </c>
      <c r="J357" s="111">
        <f t="shared" si="69"/>
        <v>28.619999999999997</v>
      </c>
      <c r="K357" s="91">
        <f>VLOOKUP($A357,'2022-23 Salary &amp; Benefits'!$A:$I,3,FALSE)</f>
        <v>1.06</v>
      </c>
      <c r="L357" s="91">
        <f>VLOOKUP($A357,'2022-23 Salary &amp; Benefits'!$A:$I,4,FALSE)</f>
        <v>1.06</v>
      </c>
      <c r="M357" s="39">
        <f t="shared" si="64"/>
        <v>28.619999999999997</v>
      </c>
      <c r="N357" s="24">
        <v>15</v>
      </c>
      <c r="O357" s="26">
        <f t="shared" si="67"/>
        <v>1.9079999999999999</v>
      </c>
      <c r="P357" s="24">
        <v>1.1000000000000001</v>
      </c>
      <c r="Q357" s="24">
        <v>36</v>
      </c>
      <c r="R357" s="27">
        <f t="shared" si="68"/>
        <v>75.55680000000001</v>
      </c>
      <c r="S357" s="102">
        <f t="shared" si="70"/>
        <v>8.4000000000000005E-2</v>
      </c>
      <c r="T357" s="21">
        <f>VLOOKUP($A357,'2022-23 Salary &amp; Benefits'!$A:$I,5,FALSE)</f>
        <v>68937</v>
      </c>
      <c r="U357" s="21">
        <f>VLOOKUP($A357,'2022-23 Salary &amp; Benefits'!$A:$I,6,FALSE)</f>
        <v>72728</v>
      </c>
      <c r="V357" s="22">
        <f t="shared" si="71"/>
        <v>6138.15</v>
      </c>
      <c r="W357" s="22">
        <f t="shared" si="72"/>
        <v>337.55000000000018</v>
      </c>
      <c r="X357" s="22">
        <f>'2022-23 Salary &amp; Benefits'!$G$6</f>
        <v>12558.24</v>
      </c>
      <c r="Y357" s="23">
        <f>'2022-23 Salary &amp; Benefits'!$H$6</f>
        <v>0.2298</v>
      </c>
      <c r="Z357" s="23">
        <f>'2022-23 Salary &amp; Benefits'!$I$6</f>
        <v>0.22339999999999999</v>
      </c>
      <c r="AA357" s="22">
        <f t="shared" si="73"/>
        <v>2540.85</v>
      </c>
      <c r="AB357" s="22">
        <f t="shared" si="74"/>
        <v>107.93</v>
      </c>
      <c r="AC357" s="22">
        <f t="shared" si="75"/>
        <v>24.11</v>
      </c>
      <c r="AD357" s="22">
        <f t="shared" si="65"/>
        <v>132.04000000000002</v>
      </c>
      <c r="AE357" s="22">
        <f t="shared" si="66"/>
        <v>9148.59</v>
      </c>
      <c r="AF357" s="19" t="str">
        <f>VLOOKUP(C357,'2021-22 School Level AAFTE'!C:N,12,FALSE)</f>
        <v>No</v>
      </c>
    </row>
    <row r="358" spans="1:32" s="19" customFormat="1">
      <c r="A358" s="97" t="s">
        <v>2446</v>
      </c>
      <c r="B358" s="97" t="s">
        <v>1418</v>
      </c>
      <c r="C358" s="95">
        <v>1880</v>
      </c>
      <c r="D358" s="95" t="s">
        <v>2776</v>
      </c>
      <c r="E358" s="129">
        <f>VLOOKUP($C358,'2021-22 School Level AAFTE'!$C:$Z,11,FALSE)</f>
        <v>0.66666666666666663</v>
      </c>
      <c r="F358" s="129" t="str">
        <f>VLOOKUP($C358,'2021-22 School Level AAFTE'!$C:$Z,8,FALSE)</f>
        <v>Yes</v>
      </c>
      <c r="G358" s="129" t="str">
        <f>VLOOKUP($C358,'2021-22 School Level AAFTE'!$C:$Z,12,FALSE)</f>
        <v>No</v>
      </c>
      <c r="H358" s="127">
        <f>VLOOKUP($C358,'2021-22 School Level AAFTE'!$C:$I,7,FALSE)</f>
        <v>0.08</v>
      </c>
      <c r="I358" s="112">
        <f>IFERROR(IF(OR(G358="yes",F358= "yes"),VLOOKUP(C358,Summary!$B:$J,6,0),0),0)</f>
        <v>0</v>
      </c>
      <c r="J358" s="111">
        <f t="shared" si="69"/>
        <v>0.08</v>
      </c>
      <c r="K358" s="91">
        <f>VLOOKUP($A358,'2022-23 Salary &amp; Benefits'!$A:$I,3,FALSE)</f>
        <v>1.06</v>
      </c>
      <c r="L358" s="91">
        <f>VLOOKUP($A358,'2022-23 Salary &amp; Benefits'!$A:$I,4,FALSE)</f>
        <v>1.06</v>
      </c>
      <c r="M358" s="39">
        <f t="shared" si="64"/>
        <v>0.08</v>
      </c>
      <c r="N358" s="24">
        <v>15</v>
      </c>
      <c r="O358" s="26">
        <f t="shared" si="67"/>
        <v>5.3333333333333332E-3</v>
      </c>
      <c r="P358" s="24">
        <v>1.1000000000000001</v>
      </c>
      <c r="Q358" s="24">
        <v>36</v>
      </c>
      <c r="R358" s="27">
        <f t="shared" si="68"/>
        <v>0.2112</v>
      </c>
      <c r="S358" s="102">
        <f t="shared" si="70"/>
        <v>0</v>
      </c>
      <c r="T358" s="21">
        <f>VLOOKUP($A358,'2022-23 Salary &amp; Benefits'!$A:$I,5,FALSE)</f>
        <v>68937</v>
      </c>
      <c r="U358" s="21">
        <f>VLOOKUP($A358,'2022-23 Salary &amp; Benefits'!$A:$I,6,FALSE)</f>
        <v>72728</v>
      </c>
      <c r="V358" s="22">
        <f t="shared" si="71"/>
        <v>0</v>
      </c>
      <c r="W358" s="22">
        <f t="shared" si="72"/>
        <v>0</v>
      </c>
      <c r="X358" s="22">
        <f>'2022-23 Salary &amp; Benefits'!$G$6</f>
        <v>12558.24</v>
      </c>
      <c r="Y358" s="23">
        <f>'2022-23 Salary &amp; Benefits'!$H$6</f>
        <v>0.2298</v>
      </c>
      <c r="Z358" s="23">
        <f>'2022-23 Salary &amp; Benefits'!$I$6</f>
        <v>0.22339999999999999</v>
      </c>
      <c r="AA358" s="22">
        <f t="shared" si="73"/>
        <v>0</v>
      </c>
      <c r="AB358" s="22">
        <f t="shared" si="74"/>
        <v>0</v>
      </c>
      <c r="AC358" s="22">
        <f t="shared" si="75"/>
        <v>0</v>
      </c>
      <c r="AD358" s="22">
        <f t="shared" si="65"/>
        <v>0</v>
      </c>
      <c r="AE358" s="22">
        <f t="shared" si="66"/>
        <v>0</v>
      </c>
      <c r="AF358" s="19" t="str">
        <f>VLOOKUP(C358,'2021-22 School Level AAFTE'!C:N,12,FALSE)</f>
        <v>No</v>
      </c>
    </row>
    <row r="359" spans="1:32" s="19" customFormat="1">
      <c r="A359" s="97" t="s">
        <v>2446</v>
      </c>
      <c r="B359" s="97" t="s">
        <v>1418</v>
      </c>
      <c r="C359" s="95">
        <v>1881</v>
      </c>
      <c r="D359" s="95" t="s">
        <v>2980</v>
      </c>
      <c r="E359" s="129">
        <f>VLOOKUP($C359,'2021-22 School Level AAFTE'!$C:$Z,11,FALSE)</f>
        <v>0</v>
      </c>
      <c r="F359" s="129" t="str">
        <f>VLOOKUP($C359,'2021-22 School Level AAFTE'!$C:$Z,8,FALSE)</f>
        <v>No</v>
      </c>
      <c r="G359" s="129" t="str">
        <f>VLOOKUP($C359,'2021-22 School Level AAFTE'!$C:$Z,12,FALSE)</f>
        <v>No</v>
      </c>
      <c r="H359" s="127">
        <f>VLOOKUP($C359,'2021-22 School Level AAFTE'!$C:$I,7,FALSE)</f>
        <v>0.41</v>
      </c>
      <c r="I359" s="112">
        <f>IFERROR(IF(OR(G359="yes",F359= "yes"),VLOOKUP(C359,Summary!$B:$J,6,0),0),0)</f>
        <v>0</v>
      </c>
      <c r="J359" s="111">
        <f t="shared" si="69"/>
        <v>0</v>
      </c>
      <c r="K359" s="91">
        <f>VLOOKUP($A359,'2022-23 Salary &amp; Benefits'!$A:$I,3,FALSE)</f>
        <v>1.06</v>
      </c>
      <c r="L359" s="91">
        <f>VLOOKUP($A359,'2022-23 Salary &amp; Benefits'!$A:$I,4,FALSE)</f>
        <v>1.06</v>
      </c>
      <c r="M359" s="101">
        <f t="shared" si="64"/>
        <v>0</v>
      </c>
      <c r="N359" s="24">
        <v>15</v>
      </c>
      <c r="O359" s="26">
        <f t="shared" si="67"/>
        <v>0</v>
      </c>
      <c r="P359" s="24">
        <v>1.1000000000000001</v>
      </c>
      <c r="Q359" s="24">
        <v>36</v>
      </c>
      <c r="R359" s="27">
        <f t="shared" si="68"/>
        <v>0</v>
      </c>
      <c r="S359" s="102">
        <f t="shared" si="70"/>
        <v>0</v>
      </c>
      <c r="T359" s="21">
        <f>VLOOKUP($A359,'2022-23 Salary &amp; Benefits'!$A:$I,5,FALSE)</f>
        <v>68937</v>
      </c>
      <c r="U359" s="21">
        <f>VLOOKUP($A359,'2022-23 Salary &amp; Benefits'!$A:$I,6,FALSE)</f>
        <v>72728</v>
      </c>
      <c r="V359" s="22">
        <f t="shared" si="71"/>
        <v>0</v>
      </c>
      <c r="W359" s="22">
        <f t="shared" si="72"/>
        <v>0</v>
      </c>
      <c r="X359" s="22">
        <f>'2022-23 Salary &amp; Benefits'!$G$6</f>
        <v>12558.24</v>
      </c>
      <c r="Y359" s="23">
        <f>'2022-23 Salary &amp; Benefits'!$H$6</f>
        <v>0.2298</v>
      </c>
      <c r="Z359" s="23">
        <f>'2022-23 Salary &amp; Benefits'!$I$6</f>
        <v>0.22339999999999999</v>
      </c>
      <c r="AA359" s="22">
        <f t="shared" si="73"/>
        <v>0</v>
      </c>
      <c r="AB359" s="22">
        <f t="shared" si="74"/>
        <v>0</v>
      </c>
      <c r="AC359" s="22">
        <f t="shared" si="75"/>
        <v>0</v>
      </c>
      <c r="AD359" s="22">
        <f t="shared" si="65"/>
        <v>0</v>
      </c>
      <c r="AE359" s="22">
        <f t="shared" si="66"/>
        <v>0</v>
      </c>
      <c r="AF359" s="19" t="str">
        <f>VLOOKUP(C359,'2021-22 School Level AAFTE'!C:N,12,FALSE)</f>
        <v>No</v>
      </c>
    </row>
    <row r="360" spans="1:32" s="19" customFormat="1">
      <c r="A360" s="97" t="s">
        <v>2446</v>
      </c>
      <c r="B360" s="97" t="s">
        <v>1418</v>
      </c>
      <c r="C360" s="95">
        <v>1882</v>
      </c>
      <c r="D360" s="95" t="s">
        <v>1420</v>
      </c>
      <c r="E360" s="129">
        <f>VLOOKUP($C360,'2021-22 School Level AAFTE'!$C:$Z,11,FALSE)</f>
        <v>0.61640000000000006</v>
      </c>
      <c r="F360" s="129" t="str">
        <f>VLOOKUP($C360,'2021-22 School Level AAFTE'!$C:$Z,8,FALSE)</f>
        <v>Yes</v>
      </c>
      <c r="G360" s="129" t="str">
        <f>VLOOKUP($C360,'2021-22 School Level AAFTE'!$C:$Z,12,FALSE)</f>
        <v>No</v>
      </c>
      <c r="H360" s="127">
        <f>VLOOKUP($C360,'2021-22 School Level AAFTE'!$C:$I,7,FALSE)</f>
        <v>2.7</v>
      </c>
      <c r="I360" s="112">
        <f>IFERROR(IF(OR(G360="yes",F360= "yes"),VLOOKUP(C360,Summary!$B:$J,6,0),0),0)</f>
        <v>0</v>
      </c>
      <c r="J360" s="111">
        <f t="shared" si="69"/>
        <v>2.7</v>
      </c>
      <c r="K360" s="91">
        <f>VLOOKUP($A360,'2022-23 Salary &amp; Benefits'!$A:$I,3,FALSE)</f>
        <v>1.06</v>
      </c>
      <c r="L360" s="91">
        <f>VLOOKUP($A360,'2022-23 Salary &amp; Benefits'!$A:$I,4,FALSE)</f>
        <v>1.06</v>
      </c>
      <c r="M360" s="39">
        <f t="shared" si="64"/>
        <v>2.7</v>
      </c>
      <c r="N360" s="24">
        <v>15</v>
      </c>
      <c r="O360" s="26">
        <f t="shared" si="67"/>
        <v>0.18000000000000002</v>
      </c>
      <c r="P360" s="24">
        <v>1.1000000000000001</v>
      </c>
      <c r="Q360" s="24">
        <v>36</v>
      </c>
      <c r="R360" s="27">
        <f t="shared" si="68"/>
        <v>7.128000000000001</v>
      </c>
      <c r="S360" s="102">
        <f t="shared" si="70"/>
        <v>8.0000000000000002E-3</v>
      </c>
      <c r="T360" s="21">
        <f>VLOOKUP($A360,'2022-23 Salary &amp; Benefits'!$A:$I,5,FALSE)</f>
        <v>68937</v>
      </c>
      <c r="U360" s="21">
        <f>VLOOKUP($A360,'2022-23 Salary &amp; Benefits'!$A:$I,6,FALSE)</f>
        <v>72728</v>
      </c>
      <c r="V360" s="22">
        <f t="shared" si="71"/>
        <v>584.59</v>
      </c>
      <c r="W360" s="22">
        <f t="shared" si="72"/>
        <v>32.139999999999986</v>
      </c>
      <c r="X360" s="22">
        <f>'2022-23 Salary &amp; Benefits'!$G$6</f>
        <v>12558.24</v>
      </c>
      <c r="Y360" s="23">
        <f>'2022-23 Salary &amp; Benefits'!$H$6</f>
        <v>0.2298</v>
      </c>
      <c r="Z360" s="23">
        <f>'2022-23 Salary &amp; Benefits'!$I$6</f>
        <v>0.22339999999999999</v>
      </c>
      <c r="AA360" s="22">
        <f t="shared" si="73"/>
        <v>241.98</v>
      </c>
      <c r="AB360" s="22">
        <f t="shared" si="74"/>
        <v>10.28</v>
      </c>
      <c r="AC360" s="22">
        <f t="shared" si="75"/>
        <v>2.2999999999999998</v>
      </c>
      <c r="AD360" s="22">
        <f t="shared" si="65"/>
        <v>12.579999999999998</v>
      </c>
      <c r="AE360" s="22">
        <f t="shared" si="66"/>
        <v>871.29000000000008</v>
      </c>
      <c r="AF360" s="19" t="str">
        <f>VLOOKUP(C360,'2021-22 School Level AAFTE'!C:N,12,FALSE)</f>
        <v>No</v>
      </c>
    </row>
    <row r="361" spans="1:32" s="19" customFormat="1">
      <c r="A361" s="97" t="s">
        <v>2446</v>
      </c>
      <c r="B361" s="97" t="s">
        <v>1418</v>
      </c>
      <c r="C361" s="95">
        <v>2189</v>
      </c>
      <c r="D361" s="95" t="s">
        <v>1421</v>
      </c>
      <c r="E361" s="129">
        <f>VLOOKUP($C361,'2021-22 School Level AAFTE'!$C:$Z,11,FALSE)</f>
        <v>0.85003333333333331</v>
      </c>
      <c r="F361" s="129" t="str">
        <f>VLOOKUP($C361,'2021-22 School Level AAFTE'!$C:$Z,8,FALSE)</f>
        <v>Yes</v>
      </c>
      <c r="G361" s="129" t="str">
        <f>VLOOKUP($C361,'2021-22 School Level AAFTE'!$C:$Z,12,FALSE)</f>
        <v>No</v>
      </c>
      <c r="H361" s="127">
        <f>VLOOKUP($C361,'2021-22 School Level AAFTE'!$C:$I,7,FALSE)</f>
        <v>387.14</v>
      </c>
      <c r="I361" s="112">
        <f>IFERROR(IF(OR(G361="yes",F361= "yes"),VLOOKUP(C361,Summary!$B:$J,6,0),0),0)</f>
        <v>0</v>
      </c>
      <c r="J361" s="111">
        <f t="shared" si="69"/>
        <v>387.14</v>
      </c>
      <c r="K361" s="91">
        <f>VLOOKUP($A361,'2022-23 Salary &amp; Benefits'!$A:$I,3,FALSE)</f>
        <v>1.06</v>
      </c>
      <c r="L361" s="91">
        <f>VLOOKUP($A361,'2022-23 Salary &amp; Benefits'!$A:$I,4,FALSE)</f>
        <v>1.06</v>
      </c>
      <c r="M361" s="39">
        <f t="shared" si="64"/>
        <v>387.14</v>
      </c>
      <c r="N361" s="24">
        <v>15</v>
      </c>
      <c r="O361" s="26">
        <f t="shared" si="67"/>
        <v>25.809333333333331</v>
      </c>
      <c r="P361" s="24">
        <v>1.1000000000000001</v>
      </c>
      <c r="Q361" s="24">
        <v>36</v>
      </c>
      <c r="R361" s="27">
        <f t="shared" si="68"/>
        <v>1022.0495999999999</v>
      </c>
      <c r="S361" s="102">
        <f t="shared" si="70"/>
        <v>1.1359999999999999</v>
      </c>
      <c r="T361" s="21">
        <f>VLOOKUP($A361,'2022-23 Salary &amp; Benefits'!$A:$I,5,FALSE)</f>
        <v>68937</v>
      </c>
      <c r="U361" s="21">
        <f>VLOOKUP($A361,'2022-23 Salary &amp; Benefits'!$A:$I,6,FALSE)</f>
        <v>72728</v>
      </c>
      <c r="V361" s="22">
        <f t="shared" si="71"/>
        <v>83011.179999999993</v>
      </c>
      <c r="W361" s="22">
        <f t="shared" si="72"/>
        <v>4564.9700000000012</v>
      </c>
      <c r="X361" s="22">
        <f>'2022-23 Salary &amp; Benefits'!$G$6</f>
        <v>12558.24</v>
      </c>
      <c r="Y361" s="23">
        <f>'2022-23 Salary &amp; Benefits'!$H$6</f>
        <v>0.2298</v>
      </c>
      <c r="Z361" s="23">
        <f>'2022-23 Salary &amp; Benefits'!$I$6</f>
        <v>0.22339999999999999</v>
      </c>
      <c r="AA361" s="22">
        <f t="shared" si="73"/>
        <v>34361.94</v>
      </c>
      <c r="AB361" s="22">
        <f t="shared" si="74"/>
        <v>1459.6</v>
      </c>
      <c r="AC361" s="22">
        <f t="shared" si="75"/>
        <v>326.07</v>
      </c>
      <c r="AD361" s="22">
        <f t="shared" si="65"/>
        <v>1785.6699999999998</v>
      </c>
      <c r="AE361" s="22">
        <f t="shared" si="66"/>
        <v>123723.76</v>
      </c>
      <c r="AF361" s="19" t="str">
        <f>VLOOKUP(C361,'2021-22 School Level AAFTE'!C:N,12,FALSE)</f>
        <v>No</v>
      </c>
    </row>
    <row r="362" spans="1:32" s="19" customFormat="1">
      <c r="A362" s="97" t="s">
        <v>2446</v>
      </c>
      <c r="B362" s="97" t="s">
        <v>1418</v>
      </c>
      <c r="C362" s="95">
        <v>2425</v>
      </c>
      <c r="D362" s="95" t="s">
        <v>1422</v>
      </c>
      <c r="E362" s="129">
        <f>VLOOKUP($C362,'2021-22 School Level AAFTE'!$C:$Z,11,FALSE)</f>
        <v>0.77619999999999989</v>
      </c>
      <c r="F362" s="129" t="str">
        <f>VLOOKUP($C362,'2021-22 School Level AAFTE'!$C:$Z,8,FALSE)</f>
        <v>Yes</v>
      </c>
      <c r="G362" s="129" t="str">
        <f>VLOOKUP($C362,'2021-22 School Level AAFTE'!$C:$Z,12,FALSE)</f>
        <v>No</v>
      </c>
      <c r="H362" s="127">
        <f>VLOOKUP($C362,'2021-22 School Level AAFTE'!$C:$I,7,FALSE)</f>
        <v>1338.6899999999998</v>
      </c>
      <c r="I362" s="112">
        <f>IFERROR(IF(OR(G362="yes",F362= "yes"),VLOOKUP(C362,Summary!$B:$J,6,0),0),0)</f>
        <v>0</v>
      </c>
      <c r="J362" s="111">
        <f t="shared" si="69"/>
        <v>1338.6899999999998</v>
      </c>
      <c r="K362" s="91">
        <f>VLOOKUP($A362,'2022-23 Salary &amp; Benefits'!$A:$I,3,FALSE)</f>
        <v>1.06</v>
      </c>
      <c r="L362" s="91">
        <f>VLOOKUP($A362,'2022-23 Salary &amp; Benefits'!$A:$I,4,FALSE)</f>
        <v>1.06</v>
      </c>
      <c r="M362" s="39">
        <f t="shared" si="64"/>
        <v>1338.6899999999998</v>
      </c>
      <c r="N362" s="24">
        <v>15</v>
      </c>
      <c r="O362" s="26">
        <f t="shared" si="67"/>
        <v>89.245999999999995</v>
      </c>
      <c r="P362" s="24">
        <v>1.1000000000000001</v>
      </c>
      <c r="Q362" s="24">
        <v>36</v>
      </c>
      <c r="R362" s="27">
        <f t="shared" si="68"/>
        <v>3534.1416000000004</v>
      </c>
      <c r="S362" s="102">
        <f t="shared" si="70"/>
        <v>3.927</v>
      </c>
      <c r="T362" s="21">
        <f>VLOOKUP($A362,'2022-23 Salary &amp; Benefits'!$A:$I,5,FALSE)</f>
        <v>68937</v>
      </c>
      <c r="U362" s="21">
        <f>VLOOKUP($A362,'2022-23 Salary &amp; Benefits'!$A:$I,6,FALSE)</f>
        <v>72728</v>
      </c>
      <c r="V362" s="22">
        <f t="shared" si="71"/>
        <v>286958.53000000003</v>
      </c>
      <c r="W362" s="22">
        <f t="shared" si="72"/>
        <v>15780.5</v>
      </c>
      <c r="X362" s="22">
        <f>'2022-23 Salary &amp; Benefits'!$G$6</f>
        <v>12558.24</v>
      </c>
      <c r="Y362" s="23">
        <f>'2022-23 Salary &amp; Benefits'!$H$6</f>
        <v>0.2298</v>
      </c>
      <c r="Z362" s="23">
        <f>'2022-23 Salary &amp; Benefits'!$I$6</f>
        <v>0.22339999999999999</v>
      </c>
      <c r="AA362" s="22">
        <f t="shared" si="73"/>
        <v>118784.64</v>
      </c>
      <c r="AB362" s="22">
        <f t="shared" si="74"/>
        <v>5045.6499999999996</v>
      </c>
      <c r="AC362" s="22">
        <f t="shared" si="75"/>
        <v>1127.2</v>
      </c>
      <c r="AD362" s="22">
        <f t="shared" si="65"/>
        <v>6172.8499999999995</v>
      </c>
      <c r="AE362" s="22">
        <f t="shared" si="66"/>
        <v>427696.52</v>
      </c>
      <c r="AF362" s="19" t="str">
        <f>VLOOKUP(C362,'2021-22 School Level AAFTE'!C:N,12,FALSE)</f>
        <v>No</v>
      </c>
    </row>
    <row r="363" spans="1:32" s="19" customFormat="1">
      <c r="A363" s="97" t="s">
        <v>2446</v>
      </c>
      <c r="B363" s="97" t="s">
        <v>1418</v>
      </c>
      <c r="C363" s="95">
        <v>2651</v>
      </c>
      <c r="D363" s="95" t="s">
        <v>1423</v>
      </c>
      <c r="E363" s="129">
        <f>VLOOKUP($C363,'2021-22 School Level AAFTE'!$C:$Z,11,FALSE)</f>
        <v>0.89503333333333324</v>
      </c>
      <c r="F363" s="129" t="str">
        <f>VLOOKUP($C363,'2021-22 School Level AAFTE'!$C:$Z,8,FALSE)</f>
        <v>Yes</v>
      </c>
      <c r="G363" s="129" t="str">
        <f>VLOOKUP($C363,'2021-22 School Level AAFTE'!$C:$Z,12,FALSE)</f>
        <v>No</v>
      </c>
      <c r="H363" s="127">
        <f>VLOOKUP($C363,'2021-22 School Level AAFTE'!$C:$I,7,FALSE)</f>
        <v>256.14</v>
      </c>
      <c r="I363" s="112">
        <f>IFERROR(IF(OR(G363="yes",F363= "yes"),VLOOKUP(C363,Summary!$B:$J,6,0),0),0)</f>
        <v>0</v>
      </c>
      <c r="J363" s="111">
        <f t="shared" si="69"/>
        <v>256.14</v>
      </c>
      <c r="K363" s="91">
        <f>VLOOKUP($A363,'2022-23 Salary &amp; Benefits'!$A:$I,3,FALSE)</f>
        <v>1.06</v>
      </c>
      <c r="L363" s="91">
        <f>VLOOKUP($A363,'2022-23 Salary &amp; Benefits'!$A:$I,4,FALSE)</f>
        <v>1.06</v>
      </c>
      <c r="M363" s="39">
        <f t="shared" si="64"/>
        <v>256.14</v>
      </c>
      <c r="N363" s="24">
        <v>15</v>
      </c>
      <c r="O363" s="26">
        <f t="shared" si="67"/>
        <v>17.076000000000001</v>
      </c>
      <c r="P363" s="24">
        <v>1.1000000000000001</v>
      </c>
      <c r="Q363" s="24">
        <v>36</v>
      </c>
      <c r="R363" s="27">
        <f t="shared" si="68"/>
        <v>676.20960000000014</v>
      </c>
      <c r="S363" s="102">
        <f t="shared" si="70"/>
        <v>0.751</v>
      </c>
      <c r="T363" s="21">
        <f>VLOOKUP($A363,'2022-23 Salary &amp; Benefits'!$A:$I,5,FALSE)</f>
        <v>68937</v>
      </c>
      <c r="U363" s="21">
        <f>VLOOKUP($A363,'2022-23 Salary &amp; Benefits'!$A:$I,6,FALSE)</f>
        <v>72728</v>
      </c>
      <c r="V363" s="22">
        <f t="shared" si="71"/>
        <v>54877.99</v>
      </c>
      <c r="W363" s="22">
        <f t="shared" si="72"/>
        <v>3017.8600000000006</v>
      </c>
      <c r="X363" s="22">
        <f>'2022-23 Salary &amp; Benefits'!$G$6</f>
        <v>12558.24</v>
      </c>
      <c r="Y363" s="23">
        <f>'2022-23 Salary &amp; Benefits'!$H$6</f>
        <v>0.2298</v>
      </c>
      <c r="Z363" s="23">
        <f>'2022-23 Salary &amp; Benefits'!$I$6</f>
        <v>0.22339999999999999</v>
      </c>
      <c r="AA363" s="22">
        <f t="shared" si="73"/>
        <v>22716.39</v>
      </c>
      <c r="AB363" s="22">
        <f t="shared" si="74"/>
        <v>964.93</v>
      </c>
      <c r="AC363" s="22">
        <f t="shared" si="75"/>
        <v>215.57</v>
      </c>
      <c r="AD363" s="22">
        <f t="shared" si="65"/>
        <v>1180.5</v>
      </c>
      <c r="AE363" s="22">
        <f t="shared" si="66"/>
        <v>81792.740000000005</v>
      </c>
      <c r="AF363" s="19" t="str">
        <f>VLOOKUP(C363,'2021-22 School Level AAFTE'!C:N,12,FALSE)</f>
        <v>No</v>
      </c>
    </row>
    <row r="364" spans="1:32" s="19" customFormat="1">
      <c r="A364" s="97" t="s">
        <v>2446</v>
      </c>
      <c r="B364" s="97" t="s">
        <v>1418</v>
      </c>
      <c r="C364" s="95">
        <v>2652</v>
      </c>
      <c r="D364" s="95" t="s">
        <v>1424</v>
      </c>
      <c r="E364" s="129">
        <f>VLOOKUP($C364,'2021-22 School Level AAFTE'!$C:$Z,11,FALSE)</f>
        <v>0.84600000000000009</v>
      </c>
      <c r="F364" s="129" t="str">
        <f>VLOOKUP($C364,'2021-22 School Level AAFTE'!$C:$Z,8,FALSE)</f>
        <v>Yes</v>
      </c>
      <c r="G364" s="129" t="str">
        <f>VLOOKUP($C364,'2021-22 School Level AAFTE'!$C:$Z,12,FALSE)</f>
        <v>No</v>
      </c>
      <c r="H364" s="127">
        <f>VLOOKUP($C364,'2021-22 School Level AAFTE'!$C:$I,7,FALSE)</f>
        <v>558.45000000000005</v>
      </c>
      <c r="I364" s="112">
        <f>IFERROR(IF(OR(G364="yes",F364= "yes"),VLOOKUP(C364,Summary!$B:$J,6,0),0),0)</f>
        <v>0</v>
      </c>
      <c r="J364" s="111">
        <f t="shared" si="69"/>
        <v>558.45000000000005</v>
      </c>
      <c r="K364" s="91">
        <f>VLOOKUP($A364,'2022-23 Salary &amp; Benefits'!$A:$I,3,FALSE)</f>
        <v>1.06</v>
      </c>
      <c r="L364" s="91">
        <f>VLOOKUP($A364,'2022-23 Salary &amp; Benefits'!$A:$I,4,FALSE)</f>
        <v>1.06</v>
      </c>
      <c r="M364" s="101">
        <f t="shared" si="64"/>
        <v>558.45000000000005</v>
      </c>
      <c r="N364" s="24">
        <v>15</v>
      </c>
      <c r="O364" s="26">
        <f t="shared" si="67"/>
        <v>37.230000000000004</v>
      </c>
      <c r="P364" s="24">
        <v>1.1000000000000001</v>
      </c>
      <c r="Q364" s="24">
        <v>36</v>
      </c>
      <c r="R364" s="27">
        <f t="shared" si="68"/>
        <v>1474.3080000000004</v>
      </c>
      <c r="S364" s="102">
        <f t="shared" si="70"/>
        <v>1.6379999999999999</v>
      </c>
      <c r="T364" s="21">
        <f>VLOOKUP($A364,'2022-23 Salary &amp; Benefits'!$A:$I,5,FALSE)</f>
        <v>68937</v>
      </c>
      <c r="U364" s="21">
        <f>VLOOKUP($A364,'2022-23 Salary &amp; Benefits'!$A:$I,6,FALSE)</f>
        <v>72728</v>
      </c>
      <c r="V364" s="22">
        <f t="shared" si="71"/>
        <v>119693.93</v>
      </c>
      <c r="W364" s="22">
        <f t="shared" si="72"/>
        <v>6582.2400000000052</v>
      </c>
      <c r="X364" s="22">
        <f>'2022-23 Salary &amp; Benefits'!$G$6</f>
        <v>12558.24</v>
      </c>
      <c r="Y364" s="23">
        <f>'2022-23 Salary &amp; Benefits'!$H$6</f>
        <v>0.2298</v>
      </c>
      <c r="Z364" s="23">
        <f>'2022-23 Salary &amp; Benefits'!$I$6</f>
        <v>0.22339999999999999</v>
      </c>
      <c r="AA364" s="22">
        <f t="shared" si="73"/>
        <v>49546.53</v>
      </c>
      <c r="AB364" s="22">
        <f t="shared" si="74"/>
        <v>2104.6</v>
      </c>
      <c r="AC364" s="22">
        <f t="shared" si="75"/>
        <v>470.17</v>
      </c>
      <c r="AD364" s="22">
        <f t="shared" si="65"/>
        <v>2574.77</v>
      </c>
      <c r="AE364" s="22">
        <f t="shared" si="66"/>
        <v>178397.47</v>
      </c>
      <c r="AF364" s="19" t="str">
        <f>VLOOKUP(C364,'2021-22 School Level AAFTE'!C:N,12,FALSE)</f>
        <v>No</v>
      </c>
    </row>
    <row r="365" spans="1:32" s="19" customFormat="1">
      <c r="A365" s="97" t="s">
        <v>2446</v>
      </c>
      <c r="B365" s="97" t="s">
        <v>1418</v>
      </c>
      <c r="C365" s="95">
        <v>2943</v>
      </c>
      <c r="D365" s="95" t="s">
        <v>1425</v>
      </c>
      <c r="E365" s="129">
        <f>VLOOKUP($C365,'2021-22 School Level AAFTE'!$C:$Z,11,FALSE)</f>
        <v>0.76910000000000001</v>
      </c>
      <c r="F365" s="129" t="str">
        <f>VLOOKUP($C365,'2021-22 School Level AAFTE'!$C:$Z,8,FALSE)</f>
        <v>Yes</v>
      </c>
      <c r="G365" s="129" t="str">
        <f>VLOOKUP($C365,'2021-22 School Level AAFTE'!$C:$Z,12,FALSE)</f>
        <v>No</v>
      </c>
      <c r="H365" s="127">
        <f>VLOOKUP($C365,'2021-22 School Level AAFTE'!$C:$I,7,FALSE)</f>
        <v>231.19</v>
      </c>
      <c r="I365" s="112">
        <f>IFERROR(IF(OR(G365="yes",F365= "yes"),VLOOKUP(C365,Summary!$B:$J,6,0),0),0)</f>
        <v>0</v>
      </c>
      <c r="J365" s="111">
        <f t="shared" si="69"/>
        <v>231.19</v>
      </c>
      <c r="K365" s="91">
        <f>VLOOKUP($A365,'2022-23 Salary &amp; Benefits'!$A:$I,3,FALSE)</f>
        <v>1.06</v>
      </c>
      <c r="L365" s="91">
        <f>VLOOKUP($A365,'2022-23 Salary &amp; Benefits'!$A:$I,4,FALSE)</f>
        <v>1.06</v>
      </c>
      <c r="M365" s="39">
        <f t="shared" si="64"/>
        <v>231.19</v>
      </c>
      <c r="N365" s="24">
        <v>15</v>
      </c>
      <c r="O365" s="26">
        <f t="shared" si="67"/>
        <v>15.412666666666667</v>
      </c>
      <c r="P365" s="24">
        <v>1.1000000000000001</v>
      </c>
      <c r="Q365" s="24">
        <v>36</v>
      </c>
      <c r="R365" s="27">
        <f t="shared" si="68"/>
        <v>610.34160000000008</v>
      </c>
      <c r="S365" s="102">
        <f t="shared" si="70"/>
        <v>0.67800000000000005</v>
      </c>
      <c r="T365" s="21">
        <f>VLOOKUP($A365,'2022-23 Salary &amp; Benefits'!$A:$I,5,FALSE)</f>
        <v>68937</v>
      </c>
      <c r="U365" s="21">
        <f>VLOOKUP($A365,'2022-23 Salary &amp; Benefits'!$A:$I,6,FALSE)</f>
        <v>72728</v>
      </c>
      <c r="V365" s="22">
        <f t="shared" si="71"/>
        <v>49543.64</v>
      </c>
      <c r="W365" s="22">
        <f t="shared" si="72"/>
        <v>2724.5200000000041</v>
      </c>
      <c r="X365" s="22">
        <f>'2022-23 Salary &amp; Benefits'!$G$6</f>
        <v>12558.24</v>
      </c>
      <c r="Y365" s="23">
        <f>'2022-23 Salary &amp; Benefits'!$H$6</f>
        <v>0.2298</v>
      </c>
      <c r="Z365" s="23">
        <f>'2022-23 Salary &amp; Benefits'!$I$6</f>
        <v>0.22339999999999999</v>
      </c>
      <c r="AA365" s="22">
        <f t="shared" si="73"/>
        <v>20508.27</v>
      </c>
      <c r="AB365" s="22">
        <f t="shared" si="74"/>
        <v>871.14</v>
      </c>
      <c r="AC365" s="22">
        <f t="shared" si="75"/>
        <v>194.61</v>
      </c>
      <c r="AD365" s="22">
        <f t="shared" si="65"/>
        <v>1065.75</v>
      </c>
      <c r="AE365" s="22">
        <f t="shared" si="66"/>
        <v>73842.180000000008</v>
      </c>
      <c r="AF365" s="19" t="str">
        <f>VLOOKUP(C365,'2021-22 School Level AAFTE'!C:N,12,FALSE)</f>
        <v>No</v>
      </c>
    </row>
    <row r="366" spans="1:32" s="19" customFormat="1">
      <c r="A366" s="97" t="s">
        <v>2446</v>
      </c>
      <c r="B366" s="97" t="s">
        <v>1418</v>
      </c>
      <c r="C366" s="95">
        <v>3117</v>
      </c>
      <c r="D366" s="95" t="s">
        <v>1426</v>
      </c>
      <c r="E366" s="129">
        <f>VLOOKUP($C366,'2021-22 School Level AAFTE'!$C:$Z,11,FALSE)</f>
        <v>0.37263333333333332</v>
      </c>
      <c r="F366" s="129" t="str">
        <f>VLOOKUP($C366,'2021-22 School Level AAFTE'!$C:$Z,8,FALSE)</f>
        <v>No</v>
      </c>
      <c r="G366" s="129" t="str">
        <f>VLOOKUP($C366,'2021-22 School Level AAFTE'!$C:$Z,12,FALSE)</f>
        <v>No</v>
      </c>
      <c r="H366" s="127">
        <f>VLOOKUP($C366,'2021-22 School Level AAFTE'!$C:$I,7,FALSE)</f>
        <v>439.71</v>
      </c>
      <c r="I366" s="112">
        <f>IFERROR(IF(OR(G366="yes",F366= "yes"),VLOOKUP(C366,Summary!$B:$J,6,0),0),0)</f>
        <v>0</v>
      </c>
      <c r="J366" s="111">
        <f t="shared" si="69"/>
        <v>0</v>
      </c>
      <c r="K366" s="91">
        <f>VLOOKUP($A366,'2022-23 Salary &amp; Benefits'!$A:$I,3,FALSE)</f>
        <v>1.06</v>
      </c>
      <c r="L366" s="91">
        <f>VLOOKUP($A366,'2022-23 Salary &amp; Benefits'!$A:$I,4,FALSE)</f>
        <v>1.06</v>
      </c>
      <c r="M366" s="101">
        <f t="shared" si="64"/>
        <v>0</v>
      </c>
      <c r="N366" s="24">
        <v>15</v>
      </c>
      <c r="O366" s="26">
        <f t="shared" si="67"/>
        <v>0</v>
      </c>
      <c r="P366" s="24">
        <v>1.1000000000000001</v>
      </c>
      <c r="Q366" s="24">
        <v>36</v>
      </c>
      <c r="R366" s="27">
        <f t="shared" si="68"/>
        <v>0</v>
      </c>
      <c r="S366" s="102">
        <f t="shared" si="70"/>
        <v>0</v>
      </c>
      <c r="T366" s="21">
        <f>VLOOKUP($A366,'2022-23 Salary &amp; Benefits'!$A:$I,5,FALSE)</f>
        <v>68937</v>
      </c>
      <c r="U366" s="21">
        <f>VLOOKUP($A366,'2022-23 Salary &amp; Benefits'!$A:$I,6,FALSE)</f>
        <v>72728</v>
      </c>
      <c r="V366" s="22">
        <f t="shared" si="71"/>
        <v>0</v>
      </c>
      <c r="W366" s="22">
        <f t="shared" si="72"/>
        <v>0</v>
      </c>
      <c r="X366" s="22">
        <f>'2022-23 Salary &amp; Benefits'!$G$6</f>
        <v>12558.24</v>
      </c>
      <c r="Y366" s="23">
        <f>'2022-23 Salary &amp; Benefits'!$H$6</f>
        <v>0.2298</v>
      </c>
      <c r="Z366" s="23">
        <f>'2022-23 Salary &amp; Benefits'!$I$6</f>
        <v>0.22339999999999999</v>
      </c>
      <c r="AA366" s="22">
        <f t="shared" si="73"/>
        <v>0</v>
      </c>
      <c r="AB366" s="22">
        <f t="shared" si="74"/>
        <v>0</v>
      </c>
      <c r="AC366" s="22">
        <f t="shared" si="75"/>
        <v>0</v>
      </c>
      <c r="AD366" s="22">
        <f t="shared" si="65"/>
        <v>0</v>
      </c>
      <c r="AE366" s="22">
        <f t="shared" si="66"/>
        <v>0</v>
      </c>
      <c r="AF366" s="19" t="str">
        <f>VLOOKUP(C366,'2021-22 School Level AAFTE'!C:N,12,FALSE)</f>
        <v>No</v>
      </c>
    </row>
    <row r="367" spans="1:32" s="19" customFormat="1">
      <c r="A367" s="97" t="s">
        <v>2446</v>
      </c>
      <c r="B367" s="97" t="s">
        <v>1418</v>
      </c>
      <c r="C367" s="95">
        <v>3248</v>
      </c>
      <c r="D367" s="95" t="s">
        <v>1427</v>
      </c>
      <c r="E367" s="129">
        <f>VLOOKUP($C367,'2021-22 School Level AAFTE'!$C:$Z,11,FALSE)</f>
        <v>0.7319</v>
      </c>
      <c r="F367" s="129" t="str">
        <f>VLOOKUP($C367,'2021-22 School Level AAFTE'!$C:$Z,8,FALSE)</f>
        <v>Yes</v>
      </c>
      <c r="G367" s="129" t="str">
        <f>VLOOKUP($C367,'2021-22 School Level AAFTE'!$C:$Z,12,FALSE)</f>
        <v>No</v>
      </c>
      <c r="H367" s="127">
        <f>VLOOKUP($C367,'2021-22 School Level AAFTE'!$C:$I,7,FALSE)</f>
        <v>644.01</v>
      </c>
      <c r="I367" s="112">
        <f>IFERROR(IF(OR(G367="yes",F367= "yes"),VLOOKUP(C367,Summary!$B:$J,6,0),0),0)</f>
        <v>0</v>
      </c>
      <c r="J367" s="111">
        <f t="shared" si="69"/>
        <v>644.01</v>
      </c>
      <c r="K367" s="91">
        <f>VLOOKUP($A367,'2022-23 Salary &amp; Benefits'!$A:$I,3,FALSE)</f>
        <v>1.06</v>
      </c>
      <c r="L367" s="91">
        <f>VLOOKUP($A367,'2022-23 Salary &amp; Benefits'!$A:$I,4,FALSE)</f>
        <v>1.06</v>
      </c>
      <c r="M367" s="39">
        <f t="shared" si="64"/>
        <v>644.01</v>
      </c>
      <c r="N367" s="24">
        <v>15</v>
      </c>
      <c r="O367" s="26">
        <f t="shared" si="67"/>
        <v>42.933999999999997</v>
      </c>
      <c r="P367" s="24">
        <v>1.1000000000000001</v>
      </c>
      <c r="Q367" s="24">
        <v>36</v>
      </c>
      <c r="R367" s="27">
        <f t="shared" si="68"/>
        <v>1700.1864</v>
      </c>
      <c r="S367" s="102">
        <f t="shared" si="70"/>
        <v>1.889</v>
      </c>
      <c r="T367" s="21">
        <f>VLOOKUP($A367,'2022-23 Salary &amp; Benefits'!$A:$I,5,FALSE)</f>
        <v>68937</v>
      </c>
      <c r="U367" s="21">
        <f>VLOOKUP($A367,'2022-23 Salary &amp; Benefits'!$A:$I,6,FALSE)</f>
        <v>72728</v>
      </c>
      <c r="V367" s="22">
        <f t="shared" si="71"/>
        <v>138035.31</v>
      </c>
      <c r="W367" s="22">
        <f t="shared" si="72"/>
        <v>7590.8699999999953</v>
      </c>
      <c r="X367" s="22">
        <f>'2022-23 Salary &amp; Benefits'!$G$6</f>
        <v>12558.24</v>
      </c>
      <c r="Y367" s="23">
        <f>'2022-23 Salary &amp; Benefits'!$H$6</f>
        <v>0.2298</v>
      </c>
      <c r="Z367" s="23">
        <f>'2022-23 Salary &amp; Benefits'!$I$6</f>
        <v>0.22339999999999999</v>
      </c>
      <c r="AA367" s="22">
        <f t="shared" si="73"/>
        <v>57138.83</v>
      </c>
      <c r="AB367" s="22">
        <f t="shared" si="74"/>
        <v>2427.1</v>
      </c>
      <c r="AC367" s="22">
        <f t="shared" si="75"/>
        <v>542.21</v>
      </c>
      <c r="AD367" s="22">
        <f t="shared" si="65"/>
        <v>2969.31</v>
      </c>
      <c r="AE367" s="22">
        <f t="shared" si="66"/>
        <v>205734.32</v>
      </c>
      <c r="AF367" s="19" t="str">
        <f>VLOOKUP(C367,'2021-22 School Level AAFTE'!C:N,12,FALSE)</f>
        <v>No</v>
      </c>
    </row>
    <row r="368" spans="1:32" s="19" customFormat="1">
      <c r="A368" s="97" t="s">
        <v>2446</v>
      </c>
      <c r="B368" s="97" t="s">
        <v>1418</v>
      </c>
      <c r="C368" s="95">
        <v>3249</v>
      </c>
      <c r="D368" s="95" t="s">
        <v>1428</v>
      </c>
      <c r="E368" s="129">
        <f>VLOOKUP($C368,'2021-22 School Level AAFTE'!$C:$Z,11,FALSE)</f>
        <v>0.81499999999999995</v>
      </c>
      <c r="F368" s="129" t="str">
        <f>VLOOKUP($C368,'2021-22 School Level AAFTE'!$C:$Z,8,FALSE)</f>
        <v>Yes</v>
      </c>
      <c r="G368" s="129" t="str">
        <f>VLOOKUP($C368,'2021-22 School Level AAFTE'!$C:$Z,12,FALSE)</f>
        <v>No</v>
      </c>
      <c r="H368" s="127">
        <f>VLOOKUP($C368,'2021-22 School Level AAFTE'!$C:$I,7,FALSE)</f>
        <v>391.71</v>
      </c>
      <c r="I368" s="112">
        <f>IFERROR(IF(OR(G368="yes",F368= "yes"),VLOOKUP(C368,Summary!$B:$J,6,0),0),0)</f>
        <v>0</v>
      </c>
      <c r="J368" s="111">
        <f t="shared" si="69"/>
        <v>391.71</v>
      </c>
      <c r="K368" s="91">
        <f>VLOOKUP($A368,'2022-23 Salary &amp; Benefits'!$A:$I,3,FALSE)</f>
        <v>1.06</v>
      </c>
      <c r="L368" s="91">
        <f>VLOOKUP($A368,'2022-23 Salary &amp; Benefits'!$A:$I,4,FALSE)</f>
        <v>1.06</v>
      </c>
      <c r="M368" s="39">
        <f t="shared" si="64"/>
        <v>391.71</v>
      </c>
      <c r="N368" s="24">
        <v>15</v>
      </c>
      <c r="O368" s="26">
        <f t="shared" si="67"/>
        <v>26.113999999999997</v>
      </c>
      <c r="P368" s="24">
        <v>1.1000000000000001</v>
      </c>
      <c r="Q368" s="24">
        <v>36</v>
      </c>
      <c r="R368" s="27">
        <f t="shared" si="68"/>
        <v>1034.1143999999999</v>
      </c>
      <c r="S368" s="102">
        <f t="shared" si="70"/>
        <v>1.149</v>
      </c>
      <c r="T368" s="21">
        <f>VLOOKUP($A368,'2022-23 Salary &amp; Benefits'!$A:$I,5,FALSE)</f>
        <v>68937</v>
      </c>
      <c r="U368" s="21">
        <f>VLOOKUP($A368,'2022-23 Salary &amp; Benefits'!$A:$I,6,FALSE)</f>
        <v>72728</v>
      </c>
      <c r="V368" s="22">
        <f t="shared" si="71"/>
        <v>83961.13</v>
      </c>
      <c r="W368" s="22">
        <f t="shared" si="72"/>
        <v>4617.2099999999919</v>
      </c>
      <c r="X368" s="22">
        <f>'2022-23 Salary &amp; Benefits'!$G$6</f>
        <v>12558.24</v>
      </c>
      <c r="Y368" s="23">
        <f>'2022-23 Salary &amp; Benefits'!$H$6</f>
        <v>0.2298</v>
      </c>
      <c r="Z368" s="23">
        <f>'2022-23 Salary &amp; Benefits'!$I$6</f>
        <v>0.22339999999999999</v>
      </c>
      <c r="AA368" s="22">
        <f t="shared" si="73"/>
        <v>34755.17</v>
      </c>
      <c r="AB368" s="22">
        <f t="shared" si="74"/>
        <v>1476.31</v>
      </c>
      <c r="AC368" s="22">
        <f t="shared" si="75"/>
        <v>329.81</v>
      </c>
      <c r="AD368" s="22">
        <f t="shared" si="65"/>
        <v>1806.12</v>
      </c>
      <c r="AE368" s="22">
        <f t="shared" si="66"/>
        <v>125139.62999999999</v>
      </c>
      <c r="AF368" s="19" t="str">
        <f>VLOOKUP(C368,'2021-22 School Level AAFTE'!C:N,12,FALSE)</f>
        <v>No</v>
      </c>
    </row>
    <row r="369" spans="1:284" s="19" customFormat="1">
      <c r="A369" s="97" t="s">
        <v>2446</v>
      </c>
      <c r="B369" s="97" t="s">
        <v>1418</v>
      </c>
      <c r="C369" s="95">
        <v>3298</v>
      </c>
      <c r="D369" s="95" t="s">
        <v>1429</v>
      </c>
      <c r="E369" s="129">
        <f>VLOOKUP($C369,'2021-22 School Level AAFTE'!$C:$Z,11,FALSE)</f>
        <v>0.62183333333333335</v>
      </c>
      <c r="F369" s="129" t="str">
        <f>VLOOKUP($C369,'2021-22 School Level AAFTE'!$C:$Z,8,FALSE)</f>
        <v>Yes</v>
      </c>
      <c r="G369" s="129" t="str">
        <f>VLOOKUP($C369,'2021-22 School Level AAFTE'!$C:$Z,12,FALSE)</f>
        <v>No</v>
      </c>
      <c r="H369" s="127">
        <f>VLOOKUP($C369,'2021-22 School Level AAFTE'!$C:$I,7,FALSE)</f>
        <v>433.9</v>
      </c>
      <c r="I369" s="112">
        <f>IFERROR(IF(OR(G369="yes",F369= "yes"),VLOOKUP(C369,Summary!$B:$J,6,0),0),0)</f>
        <v>0</v>
      </c>
      <c r="J369" s="111">
        <f t="shared" si="69"/>
        <v>433.9</v>
      </c>
      <c r="K369" s="91">
        <f>VLOOKUP($A369,'2022-23 Salary &amp; Benefits'!$A:$I,3,FALSE)</f>
        <v>1.06</v>
      </c>
      <c r="L369" s="91">
        <f>VLOOKUP($A369,'2022-23 Salary &amp; Benefits'!$A:$I,4,FALSE)</f>
        <v>1.06</v>
      </c>
      <c r="M369" s="39">
        <f t="shared" si="64"/>
        <v>433.9</v>
      </c>
      <c r="N369" s="24">
        <v>15</v>
      </c>
      <c r="O369" s="26">
        <f t="shared" si="67"/>
        <v>28.926666666666666</v>
      </c>
      <c r="P369" s="24">
        <v>1.1000000000000001</v>
      </c>
      <c r="Q369" s="24">
        <v>36</v>
      </c>
      <c r="R369" s="27">
        <f t="shared" si="68"/>
        <v>1145.4960000000001</v>
      </c>
      <c r="S369" s="102">
        <f t="shared" si="70"/>
        <v>1.2729999999999999</v>
      </c>
      <c r="T369" s="21">
        <f>VLOOKUP($A369,'2022-23 Salary &amp; Benefits'!$A:$I,5,FALSE)</f>
        <v>68937</v>
      </c>
      <c r="U369" s="21">
        <f>VLOOKUP($A369,'2022-23 Salary &amp; Benefits'!$A:$I,6,FALSE)</f>
        <v>72728</v>
      </c>
      <c r="V369" s="22">
        <f t="shared" si="71"/>
        <v>93022.21</v>
      </c>
      <c r="W369" s="22">
        <f t="shared" si="72"/>
        <v>5115.5</v>
      </c>
      <c r="X369" s="22">
        <f>'2022-23 Salary &amp; Benefits'!$G$6</f>
        <v>12558.24</v>
      </c>
      <c r="Y369" s="23">
        <f>'2022-23 Salary &amp; Benefits'!$H$6</f>
        <v>0.2298</v>
      </c>
      <c r="Z369" s="23">
        <f>'2022-23 Salary &amp; Benefits'!$I$6</f>
        <v>0.22339999999999999</v>
      </c>
      <c r="AA369" s="22">
        <f t="shared" si="73"/>
        <v>38505.949999999997</v>
      </c>
      <c r="AB369" s="22">
        <f t="shared" si="74"/>
        <v>1635.63</v>
      </c>
      <c r="AC369" s="22">
        <f t="shared" si="75"/>
        <v>365.4</v>
      </c>
      <c r="AD369" s="22">
        <f t="shared" si="65"/>
        <v>2001.0300000000002</v>
      </c>
      <c r="AE369" s="22">
        <f t="shared" si="66"/>
        <v>138644.69</v>
      </c>
      <c r="AF369" s="19" t="str">
        <f>VLOOKUP(C369,'2021-22 School Level AAFTE'!C:N,12,FALSE)</f>
        <v>No</v>
      </c>
    </row>
    <row r="370" spans="1:284" s="19" customFormat="1">
      <c r="A370" s="97" t="s">
        <v>2446</v>
      </c>
      <c r="B370" s="97" t="s">
        <v>1418</v>
      </c>
      <c r="C370" s="95">
        <v>3351</v>
      </c>
      <c r="D370" s="95" t="s">
        <v>1430</v>
      </c>
      <c r="E370" s="129">
        <f>VLOOKUP($C370,'2021-22 School Level AAFTE'!$C:$Z,11,FALSE)</f>
        <v>0.69396666666666673</v>
      </c>
      <c r="F370" s="129" t="str">
        <f>VLOOKUP($C370,'2021-22 School Level AAFTE'!$C:$Z,8,FALSE)</f>
        <v>Yes</v>
      </c>
      <c r="G370" s="129" t="str">
        <f>VLOOKUP($C370,'2021-22 School Level AAFTE'!$C:$Z,12,FALSE)</f>
        <v>No</v>
      </c>
      <c r="H370" s="127">
        <f>VLOOKUP($C370,'2021-22 School Level AAFTE'!$C:$I,7,FALSE)</f>
        <v>454.86</v>
      </c>
      <c r="I370" s="112">
        <f>IFERROR(IF(OR(G370="yes",F370= "yes"),VLOOKUP(C370,Summary!$B:$J,6,0),0),0)</f>
        <v>0</v>
      </c>
      <c r="J370" s="111">
        <f t="shared" si="69"/>
        <v>454.86</v>
      </c>
      <c r="K370" s="91">
        <f>VLOOKUP($A370,'2022-23 Salary &amp; Benefits'!$A:$I,3,FALSE)</f>
        <v>1.06</v>
      </c>
      <c r="L370" s="91">
        <f>VLOOKUP($A370,'2022-23 Salary &amp; Benefits'!$A:$I,4,FALSE)</f>
        <v>1.06</v>
      </c>
      <c r="M370" s="39">
        <f t="shared" si="64"/>
        <v>454.86</v>
      </c>
      <c r="N370" s="24">
        <v>15</v>
      </c>
      <c r="O370" s="26">
        <f t="shared" si="67"/>
        <v>30.324000000000002</v>
      </c>
      <c r="P370" s="24">
        <v>1.1000000000000001</v>
      </c>
      <c r="Q370" s="24">
        <v>36</v>
      </c>
      <c r="R370" s="27">
        <f t="shared" si="68"/>
        <v>1200.8304000000003</v>
      </c>
      <c r="S370" s="102">
        <f t="shared" si="70"/>
        <v>1.3340000000000001</v>
      </c>
      <c r="T370" s="21">
        <f>VLOOKUP($A370,'2022-23 Salary &amp; Benefits'!$A:$I,5,FALSE)</f>
        <v>68937</v>
      </c>
      <c r="U370" s="21">
        <f>VLOOKUP($A370,'2022-23 Salary &amp; Benefits'!$A:$I,6,FALSE)</f>
        <v>72728</v>
      </c>
      <c r="V370" s="22">
        <f t="shared" si="71"/>
        <v>97479.679999999993</v>
      </c>
      <c r="W370" s="22">
        <f t="shared" si="72"/>
        <v>5360.6200000000099</v>
      </c>
      <c r="X370" s="22">
        <f>'2022-23 Salary &amp; Benefits'!$G$6</f>
        <v>12558.24</v>
      </c>
      <c r="Y370" s="23">
        <f>'2022-23 Salary &amp; Benefits'!$H$6</f>
        <v>0.2298</v>
      </c>
      <c r="Z370" s="23">
        <f>'2022-23 Salary &amp; Benefits'!$I$6</f>
        <v>0.22339999999999999</v>
      </c>
      <c r="AA370" s="22">
        <f t="shared" si="73"/>
        <v>40351.089999999997</v>
      </c>
      <c r="AB370" s="22">
        <f t="shared" si="74"/>
        <v>1714.01</v>
      </c>
      <c r="AC370" s="22">
        <f t="shared" si="75"/>
        <v>382.91</v>
      </c>
      <c r="AD370" s="22">
        <f t="shared" si="65"/>
        <v>2096.92</v>
      </c>
      <c r="AE370" s="22">
        <f t="shared" si="66"/>
        <v>145288.31000000003</v>
      </c>
      <c r="AF370" s="19" t="str">
        <f>VLOOKUP(C370,'2021-22 School Level AAFTE'!C:N,12,FALSE)</f>
        <v>No</v>
      </c>
    </row>
    <row r="371" spans="1:284" s="19" customFormat="1">
      <c r="A371" s="97" t="s">
        <v>2446</v>
      </c>
      <c r="B371" s="97" t="s">
        <v>1418</v>
      </c>
      <c r="C371" s="95">
        <v>3454</v>
      </c>
      <c r="D371" s="95" t="s">
        <v>1431</v>
      </c>
      <c r="E371" s="129">
        <f>VLOOKUP($C371,'2021-22 School Level AAFTE'!$C:$Z,11,FALSE)</f>
        <v>0.33440000000000003</v>
      </c>
      <c r="F371" s="129" t="str">
        <f>VLOOKUP($C371,'2021-22 School Level AAFTE'!$C:$Z,8,FALSE)</f>
        <v>No</v>
      </c>
      <c r="G371" s="129" t="str">
        <f>VLOOKUP($C371,'2021-22 School Level AAFTE'!$C:$Z,12,FALSE)</f>
        <v>No</v>
      </c>
      <c r="H371" s="127">
        <f>VLOOKUP($C371,'2021-22 School Level AAFTE'!$C:$I,7,FALSE)</f>
        <v>317.33</v>
      </c>
      <c r="I371" s="112">
        <f>IFERROR(IF(OR(G371="yes",F371= "yes"),VLOOKUP(C371,Summary!$B:$J,6,0),0),0)</f>
        <v>0</v>
      </c>
      <c r="J371" s="111">
        <f t="shared" si="69"/>
        <v>0</v>
      </c>
      <c r="K371" s="91">
        <f>VLOOKUP($A371,'2022-23 Salary &amp; Benefits'!$A:$I,3,FALSE)</f>
        <v>1.06</v>
      </c>
      <c r="L371" s="91">
        <f>VLOOKUP($A371,'2022-23 Salary &amp; Benefits'!$A:$I,4,FALSE)</f>
        <v>1.06</v>
      </c>
      <c r="M371" s="39">
        <f t="shared" si="64"/>
        <v>0</v>
      </c>
      <c r="N371" s="24">
        <v>15</v>
      </c>
      <c r="O371" s="26">
        <f t="shared" si="67"/>
        <v>0</v>
      </c>
      <c r="P371" s="24">
        <v>1.1000000000000001</v>
      </c>
      <c r="Q371" s="24">
        <v>36</v>
      </c>
      <c r="R371" s="27">
        <f t="shared" si="68"/>
        <v>0</v>
      </c>
      <c r="S371" s="102">
        <f t="shared" si="70"/>
        <v>0</v>
      </c>
      <c r="T371" s="21">
        <f>VLOOKUP($A371,'2022-23 Salary &amp; Benefits'!$A:$I,5,FALSE)</f>
        <v>68937</v>
      </c>
      <c r="U371" s="21">
        <f>VLOOKUP($A371,'2022-23 Salary &amp; Benefits'!$A:$I,6,FALSE)</f>
        <v>72728</v>
      </c>
      <c r="V371" s="22">
        <f t="shared" si="71"/>
        <v>0</v>
      </c>
      <c r="W371" s="22">
        <f t="shared" si="72"/>
        <v>0</v>
      </c>
      <c r="X371" s="22">
        <f>'2022-23 Salary &amp; Benefits'!$G$6</f>
        <v>12558.24</v>
      </c>
      <c r="Y371" s="23">
        <f>'2022-23 Salary &amp; Benefits'!$H$6</f>
        <v>0.2298</v>
      </c>
      <c r="Z371" s="23">
        <f>'2022-23 Salary &amp; Benefits'!$I$6</f>
        <v>0.22339999999999999</v>
      </c>
      <c r="AA371" s="22">
        <f t="shared" si="73"/>
        <v>0</v>
      </c>
      <c r="AB371" s="22">
        <f t="shared" si="74"/>
        <v>0</v>
      </c>
      <c r="AC371" s="22">
        <f t="shared" si="75"/>
        <v>0</v>
      </c>
      <c r="AD371" s="22">
        <f t="shared" si="65"/>
        <v>0</v>
      </c>
      <c r="AE371" s="22">
        <f t="shared" si="66"/>
        <v>0</v>
      </c>
      <c r="AF371" s="19" t="str">
        <f>VLOOKUP(C371,'2021-22 School Level AAFTE'!C:N,12,FALSE)</f>
        <v>No</v>
      </c>
    </row>
    <row r="372" spans="1:284" s="19" customFormat="1">
      <c r="A372" s="97" t="s">
        <v>2446</v>
      </c>
      <c r="B372" s="97" t="s">
        <v>1418</v>
      </c>
      <c r="C372" s="95">
        <v>3455</v>
      </c>
      <c r="D372" s="95" t="s">
        <v>1432</v>
      </c>
      <c r="E372" s="129">
        <f>VLOOKUP($C372,'2021-22 School Level AAFTE'!$C:$Z,11,FALSE)</f>
        <v>0.73686666666666678</v>
      </c>
      <c r="F372" s="129" t="str">
        <f>VLOOKUP($C372,'2021-22 School Level AAFTE'!$C:$Z,8,FALSE)</f>
        <v>Yes</v>
      </c>
      <c r="G372" s="129" t="str">
        <f>VLOOKUP($C372,'2021-22 School Level AAFTE'!$C:$Z,12,FALSE)</f>
        <v>No</v>
      </c>
      <c r="H372" s="127">
        <f>VLOOKUP($C372,'2021-22 School Level AAFTE'!$C:$I,7,FALSE)</f>
        <v>293.79000000000002</v>
      </c>
      <c r="I372" s="112">
        <f>IFERROR(IF(OR(G372="yes",F372= "yes"),VLOOKUP(C372,Summary!$B:$J,6,0),0),0)</f>
        <v>0</v>
      </c>
      <c r="J372" s="111">
        <f t="shared" si="69"/>
        <v>293.79000000000002</v>
      </c>
      <c r="K372" s="91">
        <f>VLOOKUP($A372,'2022-23 Salary &amp; Benefits'!$A:$I,3,FALSE)</f>
        <v>1.06</v>
      </c>
      <c r="L372" s="91">
        <f>VLOOKUP($A372,'2022-23 Salary &amp; Benefits'!$A:$I,4,FALSE)</f>
        <v>1.06</v>
      </c>
      <c r="M372" s="39">
        <f t="shared" si="64"/>
        <v>293.79000000000002</v>
      </c>
      <c r="N372" s="24">
        <v>15</v>
      </c>
      <c r="O372" s="26">
        <f t="shared" si="67"/>
        <v>19.586000000000002</v>
      </c>
      <c r="P372" s="24">
        <v>1.1000000000000001</v>
      </c>
      <c r="Q372" s="24">
        <v>36</v>
      </c>
      <c r="R372" s="27">
        <f t="shared" si="68"/>
        <v>775.60560000000009</v>
      </c>
      <c r="S372" s="102">
        <f t="shared" si="70"/>
        <v>0.86199999999999999</v>
      </c>
      <c r="T372" s="21">
        <f>VLOOKUP($A372,'2022-23 Salary &amp; Benefits'!$A:$I,5,FALSE)</f>
        <v>68937</v>
      </c>
      <c r="U372" s="21">
        <f>VLOOKUP($A372,'2022-23 Salary &amp; Benefits'!$A:$I,6,FALSE)</f>
        <v>72728</v>
      </c>
      <c r="V372" s="22">
        <f t="shared" si="71"/>
        <v>62989.120000000003</v>
      </c>
      <c r="W372" s="22">
        <f t="shared" si="72"/>
        <v>3463.9099999999962</v>
      </c>
      <c r="X372" s="22">
        <f>'2022-23 Salary &amp; Benefits'!$G$6</f>
        <v>12558.24</v>
      </c>
      <c r="Y372" s="23">
        <f>'2022-23 Salary &amp; Benefits'!$H$6</f>
        <v>0.2298</v>
      </c>
      <c r="Z372" s="23">
        <f>'2022-23 Salary &amp; Benefits'!$I$6</f>
        <v>0.22339999999999999</v>
      </c>
      <c r="AA372" s="22">
        <f t="shared" si="73"/>
        <v>26073.94</v>
      </c>
      <c r="AB372" s="22">
        <f t="shared" si="74"/>
        <v>1107.55</v>
      </c>
      <c r="AC372" s="22">
        <f t="shared" si="75"/>
        <v>247.43</v>
      </c>
      <c r="AD372" s="22">
        <f t="shared" si="65"/>
        <v>1354.98</v>
      </c>
      <c r="AE372" s="22">
        <f t="shared" si="66"/>
        <v>93881.95</v>
      </c>
      <c r="AF372" s="19" t="str">
        <f>VLOOKUP(C372,'2021-22 School Level AAFTE'!C:N,12,FALSE)</f>
        <v>No</v>
      </c>
    </row>
    <row r="373" spans="1:284" s="19" customFormat="1">
      <c r="A373" s="97" t="s">
        <v>2446</v>
      </c>
      <c r="B373" s="97" t="s">
        <v>1418</v>
      </c>
      <c r="C373" s="95">
        <v>3456</v>
      </c>
      <c r="D373" s="95" t="s">
        <v>1433</v>
      </c>
      <c r="E373" s="129">
        <f>VLOOKUP($C373,'2021-22 School Level AAFTE'!$C:$Z,11,FALSE)</f>
        <v>0.47293333333333337</v>
      </c>
      <c r="F373" s="129" t="str">
        <f>VLOOKUP($C373,'2021-22 School Level AAFTE'!$C:$Z,8,FALSE)</f>
        <v>No</v>
      </c>
      <c r="G373" s="129" t="str">
        <f>VLOOKUP($C373,'2021-22 School Level AAFTE'!$C:$Z,12,FALSE)</f>
        <v>No</v>
      </c>
      <c r="H373" s="127">
        <f>VLOOKUP($C373,'2021-22 School Level AAFTE'!$C:$I,7,FALSE)</f>
        <v>1240.46</v>
      </c>
      <c r="I373" s="112">
        <f>IFERROR(IF(OR(G373="yes",F373= "yes"),VLOOKUP(C373,Summary!$B:$J,6,0),0),0)</f>
        <v>0</v>
      </c>
      <c r="J373" s="111">
        <f t="shared" si="69"/>
        <v>0</v>
      </c>
      <c r="K373" s="91">
        <f>VLOOKUP($A373,'2022-23 Salary &amp; Benefits'!$A:$I,3,FALSE)</f>
        <v>1.06</v>
      </c>
      <c r="L373" s="91">
        <f>VLOOKUP($A373,'2022-23 Salary &amp; Benefits'!$A:$I,4,FALSE)</f>
        <v>1.06</v>
      </c>
      <c r="M373" s="39">
        <f t="shared" si="64"/>
        <v>0</v>
      </c>
      <c r="N373" s="24">
        <v>15</v>
      </c>
      <c r="O373" s="26">
        <f t="shared" si="67"/>
        <v>0</v>
      </c>
      <c r="P373" s="24">
        <v>1.1000000000000001</v>
      </c>
      <c r="Q373" s="24">
        <v>36</v>
      </c>
      <c r="R373" s="27">
        <f t="shared" si="68"/>
        <v>0</v>
      </c>
      <c r="S373" s="102">
        <f t="shared" si="70"/>
        <v>0</v>
      </c>
      <c r="T373" s="21">
        <f>VLOOKUP($A373,'2022-23 Salary &amp; Benefits'!$A:$I,5,FALSE)</f>
        <v>68937</v>
      </c>
      <c r="U373" s="21">
        <f>VLOOKUP($A373,'2022-23 Salary &amp; Benefits'!$A:$I,6,FALSE)</f>
        <v>72728</v>
      </c>
      <c r="V373" s="22">
        <f t="shared" si="71"/>
        <v>0</v>
      </c>
      <c r="W373" s="22">
        <f t="shared" si="72"/>
        <v>0</v>
      </c>
      <c r="X373" s="22">
        <f>'2022-23 Salary &amp; Benefits'!$G$6</f>
        <v>12558.24</v>
      </c>
      <c r="Y373" s="23">
        <f>'2022-23 Salary &amp; Benefits'!$H$6</f>
        <v>0.2298</v>
      </c>
      <c r="Z373" s="23">
        <f>'2022-23 Salary &amp; Benefits'!$I$6</f>
        <v>0.22339999999999999</v>
      </c>
      <c r="AA373" s="22">
        <f t="shared" si="73"/>
        <v>0</v>
      </c>
      <c r="AB373" s="22">
        <f t="shared" si="74"/>
        <v>0</v>
      </c>
      <c r="AC373" s="22">
        <f t="shared" si="75"/>
        <v>0</v>
      </c>
      <c r="AD373" s="22">
        <f t="shared" si="65"/>
        <v>0</v>
      </c>
      <c r="AE373" s="22">
        <f t="shared" si="66"/>
        <v>0</v>
      </c>
      <c r="AF373" s="19" t="str">
        <f>VLOOKUP(C373,'2021-22 School Level AAFTE'!C:N,12,FALSE)</f>
        <v>No</v>
      </c>
    </row>
    <row r="374" spans="1:284" s="19" customFormat="1">
      <c r="A374" s="97" t="s">
        <v>2446</v>
      </c>
      <c r="B374" s="97" t="s">
        <v>1418</v>
      </c>
      <c r="C374" s="95">
        <v>3457</v>
      </c>
      <c r="D374" s="95" t="s">
        <v>1434</v>
      </c>
      <c r="E374" s="129">
        <f>VLOOKUP($C374,'2021-22 School Level AAFTE'!$C:$Z,11,FALSE)</f>
        <v>0.40850000000000003</v>
      </c>
      <c r="F374" s="129" t="str">
        <f>VLOOKUP($C374,'2021-22 School Level AAFTE'!$C:$Z,8,FALSE)</f>
        <v>No</v>
      </c>
      <c r="G374" s="129" t="str">
        <f>VLOOKUP($C374,'2021-22 School Level AAFTE'!$C:$Z,12,FALSE)</f>
        <v>No</v>
      </c>
      <c r="H374" s="127">
        <f>VLOOKUP($C374,'2021-22 School Level AAFTE'!$C:$I,7,FALSE)</f>
        <v>491.49</v>
      </c>
      <c r="I374" s="112">
        <f>IFERROR(IF(OR(G374="yes",F374= "yes"),VLOOKUP(C374,Summary!$B:$J,6,0),0),0)</f>
        <v>0</v>
      </c>
      <c r="J374" s="111">
        <f t="shared" si="69"/>
        <v>0</v>
      </c>
      <c r="K374" s="91">
        <f>VLOOKUP($A374,'2022-23 Salary &amp; Benefits'!$A:$I,3,FALSE)</f>
        <v>1.06</v>
      </c>
      <c r="L374" s="91">
        <f>VLOOKUP($A374,'2022-23 Salary &amp; Benefits'!$A:$I,4,FALSE)</f>
        <v>1.06</v>
      </c>
      <c r="M374" s="101">
        <f t="shared" si="64"/>
        <v>0</v>
      </c>
      <c r="N374" s="24">
        <v>15</v>
      </c>
      <c r="O374" s="26">
        <f t="shared" si="67"/>
        <v>0</v>
      </c>
      <c r="P374" s="24">
        <v>1.1000000000000001</v>
      </c>
      <c r="Q374" s="24">
        <v>36</v>
      </c>
      <c r="R374" s="27">
        <f t="shared" si="68"/>
        <v>0</v>
      </c>
      <c r="S374" s="102">
        <f t="shared" si="70"/>
        <v>0</v>
      </c>
      <c r="T374" s="21">
        <f>VLOOKUP($A374,'2022-23 Salary &amp; Benefits'!$A:$I,5,FALSE)</f>
        <v>68937</v>
      </c>
      <c r="U374" s="21">
        <f>VLOOKUP($A374,'2022-23 Salary &amp; Benefits'!$A:$I,6,FALSE)</f>
        <v>72728</v>
      </c>
      <c r="V374" s="22">
        <f t="shared" si="71"/>
        <v>0</v>
      </c>
      <c r="W374" s="22">
        <f t="shared" si="72"/>
        <v>0</v>
      </c>
      <c r="X374" s="22">
        <f>'2022-23 Salary &amp; Benefits'!$G$6</f>
        <v>12558.24</v>
      </c>
      <c r="Y374" s="23">
        <f>'2022-23 Salary &amp; Benefits'!$H$6</f>
        <v>0.2298</v>
      </c>
      <c r="Z374" s="23">
        <f>'2022-23 Salary &amp; Benefits'!$I$6</f>
        <v>0.22339999999999999</v>
      </c>
      <c r="AA374" s="22">
        <f t="shared" si="73"/>
        <v>0</v>
      </c>
      <c r="AB374" s="22">
        <f t="shared" si="74"/>
        <v>0</v>
      </c>
      <c r="AC374" s="22">
        <f t="shared" si="75"/>
        <v>0</v>
      </c>
      <c r="AD374" s="22">
        <f t="shared" si="65"/>
        <v>0</v>
      </c>
      <c r="AE374" s="22">
        <f t="shared" si="66"/>
        <v>0</v>
      </c>
      <c r="AF374" s="19" t="str">
        <f>VLOOKUP(C374,'2021-22 School Level AAFTE'!C:N,12,FALSE)</f>
        <v>No</v>
      </c>
    </row>
    <row r="375" spans="1:284" s="19" customFormat="1">
      <c r="A375" s="97" t="s">
        <v>2446</v>
      </c>
      <c r="B375" s="97" t="s">
        <v>1418</v>
      </c>
      <c r="C375" s="95">
        <v>3500</v>
      </c>
      <c r="D375" s="95" t="s">
        <v>2875</v>
      </c>
      <c r="E375" s="129">
        <f>VLOOKUP($C375,'2021-22 School Level AAFTE'!$C:$Z,11,FALSE)</f>
        <v>0.62679999999999991</v>
      </c>
      <c r="F375" s="129" t="str">
        <f>VLOOKUP($C375,'2021-22 School Level AAFTE'!$C:$Z,8,FALSE)</f>
        <v>Yes</v>
      </c>
      <c r="G375" s="129" t="str">
        <f>VLOOKUP($C375,'2021-22 School Level AAFTE'!$C:$Z,12,FALSE)</f>
        <v>No</v>
      </c>
      <c r="H375" s="127">
        <f>VLOOKUP($C375,'2021-22 School Level AAFTE'!$C:$I,7,FALSE)</f>
        <v>938.17</v>
      </c>
      <c r="I375" s="112">
        <f>IFERROR(IF(OR(G375="yes",F375= "yes"),VLOOKUP(C375,Summary!$B:$J,6,0),0),0)</f>
        <v>0</v>
      </c>
      <c r="J375" s="111">
        <f t="shared" si="69"/>
        <v>938.17</v>
      </c>
      <c r="K375" s="91">
        <f>VLOOKUP($A375,'2022-23 Salary &amp; Benefits'!$A:$I,3,FALSE)</f>
        <v>1.06</v>
      </c>
      <c r="L375" s="91">
        <f>VLOOKUP($A375,'2022-23 Salary &amp; Benefits'!$A:$I,4,FALSE)</f>
        <v>1.06</v>
      </c>
      <c r="M375" s="39">
        <f t="shared" si="64"/>
        <v>938.17</v>
      </c>
      <c r="N375" s="24">
        <v>15</v>
      </c>
      <c r="O375" s="26">
        <f t="shared" si="67"/>
        <v>62.544666666666664</v>
      </c>
      <c r="P375" s="24">
        <v>1.1000000000000001</v>
      </c>
      <c r="Q375" s="24">
        <v>36</v>
      </c>
      <c r="R375" s="27">
        <f t="shared" si="68"/>
        <v>2476.7687999999998</v>
      </c>
      <c r="S375" s="102">
        <f t="shared" si="70"/>
        <v>2.7519999999999998</v>
      </c>
      <c r="T375" s="21">
        <f>VLOOKUP($A375,'2022-23 Salary &amp; Benefits'!$A:$I,5,FALSE)</f>
        <v>68937</v>
      </c>
      <c r="U375" s="21">
        <f>VLOOKUP($A375,'2022-23 Salary &amp; Benefits'!$A:$I,6,FALSE)</f>
        <v>72728</v>
      </c>
      <c r="V375" s="22">
        <f t="shared" si="71"/>
        <v>201097.5</v>
      </c>
      <c r="W375" s="22">
        <f t="shared" si="72"/>
        <v>11058.799999999988</v>
      </c>
      <c r="X375" s="22">
        <f>'2022-23 Salary &amp; Benefits'!$G$6</f>
        <v>12558.24</v>
      </c>
      <c r="Y375" s="23">
        <f>'2022-23 Salary &amp; Benefits'!$H$6</f>
        <v>0.2298</v>
      </c>
      <c r="Z375" s="23">
        <f>'2022-23 Salary &amp; Benefits'!$I$6</f>
        <v>0.22339999999999999</v>
      </c>
      <c r="AA375" s="22">
        <f t="shared" si="73"/>
        <v>83243.02</v>
      </c>
      <c r="AB375" s="22">
        <f t="shared" si="74"/>
        <v>3535.94</v>
      </c>
      <c r="AC375" s="22">
        <f t="shared" si="75"/>
        <v>789.93</v>
      </c>
      <c r="AD375" s="22">
        <f t="shared" si="65"/>
        <v>4325.87</v>
      </c>
      <c r="AE375" s="22">
        <f t="shared" si="66"/>
        <v>299725.19</v>
      </c>
      <c r="AF375" s="19" t="str">
        <f>VLOOKUP(C375,'2021-22 School Level AAFTE'!C:N,12,FALSE)</f>
        <v>No</v>
      </c>
    </row>
    <row r="376" spans="1:284" s="19" customFormat="1">
      <c r="A376" s="97" t="s">
        <v>2446</v>
      </c>
      <c r="B376" s="97" t="s">
        <v>1418</v>
      </c>
      <c r="C376" s="95">
        <v>3602</v>
      </c>
      <c r="D376" s="95" t="s">
        <v>1435</v>
      </c>
      <c r="E376" s="129">
        <f>VLOOKUP($C376,'2021-22 School Level AAFTE'!$C:$Z,11,FALSE)</f>
        <v>0.87436666666666663</v>
      </c>
      <c r="F376" s="129" t="str">
        <f>VLOOKUP($C376,'2021-22 School Level AAFTE'!$C:$Z,8,FALSE)</f>
        <v>Yes</v>
      </c>
      <c r="G376" s="129" t="str">
        <f>VLOOKUP($C376,'2021-22 School Level AAFTE'!$C:$Z,12,FALSE)</f>
        <v>No</v>
      </c>
      <c r="H376" s="127">
        <f>VLOOKUP($C376,'2021-22 School Level AAFTE'!$C:$I,7,FALSE)</f>
        <v>543.23</v>
      </c>
      <c r="I376" s="112">
        <f>IFERROR(IF(OR(G376="yes",F376= "yes"),VLOOKUP(C376,Summary!$B:$J,6,0),0),0)</f>
        <v>0</v>
      </c>
      <c r="J376" s="111">
        <f t="shared" si="69"/>
        <v>543.23</v>
      </c>
      <c r="K376" s="91">
        <f>VLOOKUP($A376,'2022-23 Salary &amp; Benefits'!$A:$I,3,FALSE)</f>
        <v>1.06</v>
      </c>
      <c r="L376" s="91">
        <f>VLOOKUP($A376,'2022-23 Salary &amp; Benefits'!$A:$I,4,FALSE)</f>
        <v>1.06</v>
      </c>
      <c r="M376" s="101">
        <f t="shared" si="64"/>
        <v>543.23</v>
      </c>
      <c r="N376" s="24">
        <v>15</v>
      </c>
      <c r="O376" s="26">
        <f t="shared" si="67"/>
        <v>36.215333333333334</v>
      </c>
      <c r="P376" s="24">
        <v>1.1000000000000001</v>
      </c>
      <c r="Q376" s="24">
        <v>36</v>
      </c>
      <c r="R376" s="27">
        <f t="shared" si="68"/>
        <v>1434.1272000000001</v>
      </c>
      <c r="S376" s="102">
        <f t="shared" si="70"/>
        <v>1.593</v>
      </c>
      <c r="T376" s="21">
        <f>VLOOKUP($A376,'2022-23 Salary &amp; Benefits'!$A:$I,5,FALSE)</f>
        <v>68937</v>
      </c>
      <c r="U376" s="21">
        <f>VLOOKUP($A376,'2022-23 Salary &amp; Benefits'!$A:$I,6,FALSE)</f>
        <v>72728</v>
      </c>
      <c r="V376" s="22">
        <f t="shared" si="71"/>
        <v>116405.64</v>
      </c>
      <c r="W376" s="22">
        <f t="shared" si="72"/>
        <v>6401.4100000000035</v>
      </c>
      <c r="X376" s="22">
        <f>'2022-23 Salary &amp; Benefits'!$G$6</f>
        <v>12558.24</v>
      </c>
      <c r="Y376" s="23">
        <f>'2022-23 Salary &amp; Benefits'!$H$6</f>
        <v>0.2298</v>
      </c>
      <c r="Z376" s="23">
        <f>'2022-23 Salary &amp; Benefits'!$I$6</f>
        <v>0.22339999999999999</v>
      </c>
      <c r="AA376" s="22">
        <f t="shared" si="73"/>
        <v>48185.37</v>
      </c>
      <c r="AB376" s="22">
        <f t="shared" si="74"/>
        <v>2046.78</v>
      </c>
      <c r="AC376" s="22">
        <f t="shared" si="75"/>
        <v>457.25</v>
      </c>
      <c r="AD376" s="22">
        <f t="shared" si="65"/>
        <v>2504.0299999999997</v>
      </c>
      <c r="AE376" s="22">
        <f t="shared" si="66"/>
        <v>173496.45</v>
      </c>
      <c r="AF376" s="19" t="str">
        <f>VLOOKUP(C376,'2021-22 School Level AAFTE'!C:N,12,FALSE)</f>
        <v>No</v>
      </c>
    </row>
    <row r="377" spans="1:284" s="19" customFormat="1">
      <c r="A377" s="97" t="s">
        <v>2446</v>
      </c>
      <c r="B377" s="97" t="s">
        <v>1418</v>
      </c>
      <c r="C377" s="95">
        <v>3763</v>
      </c>
      <c r="D377" s="95" t="s">
        <v>1436</v>
      </c>
      <c r="E377" s="129">
        <f>VLOOKUP($C377,'2021-22 School Level AAFTE'!$C:$Z,11,FALSE)</f>
        <v>0.496</v>
      </c>
      <c r="F377" s="129" t="str">
        <f>VLOOKUP($C377,'2021-22 School Level AAFTE'!$C:$Z,8,FALSE)</f>
        <v>No</v>
      </c>
      <c r="G377" s="129" t="str">
        <f>VLOOKUP($C377,'2021-22 School Level AAFTE'!$C:$Z,12,FALSE)</f>
        <v>Yes</v>
      </c>
      <c r="H377" s="127">
        <f>VLOOKUP($C377,'2021-22 School Level AAFTE'!$C:$I,7,FALSE)</f>
        <v>270.66000000000003</v>
      </c>
      <c r="I377" s="112">
        <f>IFERROR(IF(OR(G377="yes",F377= "yes"),VLOOKUP(C377,Summary!$B:$J,6,0),0),0)</f>
        <v>0</v>
      </c>
      <c r="J377" s="111">
        <f t="shared" si="69"/>
        <v>270.66000000000003</v>
      </c>
      <c r="K377" s="91">
        <f>VLOOKUP($A377,'2022-23 Salary &amp; Benefits'!$A:$I,3,FALSE)</f>
        <v>1.06</v>
      </c>
      <c r="L377" s="91">
        <f>VLOOKUP($A377,'2022-23 Salary &amp; Benefits'!$A:$I,4,FALSE)</f>
        <v>1.06</v>
      </c>
      <c r="M377" s="39">
        <f t="shared" si="64"/>
        <v>270.66000000000003</v>
      </c>
      <c r="N377" s="24">
        <v>15</v>
      </c>
      <c r="O377" s="26">
        <f t="shared" si="67"/>
        <v>18.044</v>
      </c>
      <c r="P377" s="24">
        <v>1.1000000000000001</v>
      </c>
      <c r="Q377" s="24">
        <v>36</v>
      </c>
      <c r="R377" s="27">
        <f t="shared" si="68"/>
        <v>714.54240000000004</v>
      </c>
      <c r="S377" s="102">
        <f t="shared" si="70"/>
        <v>0.79400000000000004</v>
      </c>
      <c r="T377" s="21">
        <f>VLOOKUP($A377,'2022-23 Salary &amp; Benefits'!$A:$I,5,FALSE)</f>
        <v>68937</v>
      </c>
      <c r="U377" s="21">
        <f>VLOOKUP($A377,'2022-23 Salary &amp; Benefits'!$A:$I,6,FALSE)</f>
        <v>72728</v>
      </c>
      <c r="V377" s="22">
        <f t="shared" si="71"/>
        <v>58020.14</v>
      </c>
      <c r="W377" s="22">
        <f t="shared" si="72"/>
        <v>3190.6500000000015</v>
      </c>
      <c r="X377" s="22">
        <f>'2022-23 Salary &amp; Benefits'!$G$6</f>
        <v>12558.24</v>
      </c>
      <c r="Y377" s="23">
        <f>'2022-23 Salary &amp; Benefits'!$H$6</f>
        <v>0.2298</v>
      </c>
      <c r="Z377" s="23">
        <f>'2022-23 Salary &amp; Benefits'!$I$6</f>
        <v>0.22339999999999999</v>
      </c>
      <c r="AA377" s="22">
        <f t="shared" si="73"/>
        <v>24017.06</v>
      </c>
      <c r="AB377" s="22">
        <f t="shared" si="74"/>
        <v>1020.18</v>
      </c>
      <c r="AC377" s="22">
        <f t="shared" si="75"/>
        <v>227.91</v>
      </c>
      <c r="AD377" s="22">
        <f t="shared" si="65"/>
        <v>1248.0899999999999</v>
      </c>
      <c r="AE377" s="22">
        <f t="shared" si="66"/>
        <v>86475.94</v>
      </c>
      <c r="AF377" s="19" t="str">
        <f>VLOOKUP(C377,'2021-22 School Level AAFTE'!C:N,12,FALSE)</f>
        <v>Yes</v>
      </c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</row>
    <row r="378" spans="1:284" s="19" customFormat="1">
      <c r="A378" s="97" t="s">
        <v>2446</v>
      </c>
      <c r="B378" s="97" t="s">
        <v>1418</v>
      </c>
      <c r="C378" s="95">
        <v>4396</v>
      </c>
      <c r="D378" s="95" t="s">
        <v>1209</v>
      </c>
      <c r="E378" s="129">
        <f>VLOOKUP($C378,'2021-22 School Level AAFTE'!$C:$Z,11,FALSE)</f>
        <v>0.53156666666666663</v>
      </c>
      <c r="F378" s="129" t="str">
        <f>VLOOKUP($C378,'2021-22 School Level AAFTE'!$C:$Z,8,FALSE)</f>
        <v>Yes</v>
      </c>
      <c r="G378" s="129" t="str">
        <f>VLOOKUP($C378,'2021-22 School Level AAFTE'!$C:$Z,12,FALSE)</f>
        <v>No</v>
      </c>
      <c r="H378" s="127">
        <f>VLOOKUP($C378,'2021-22 School Level AAFTE'!$C:$I,7,FALSE)</f>
        <v>432.42</v>
      </c>
      <c r="I378" s="112">
        <f>IFERROR(IF(OR(G378="yes",F378= "yes"),VLOOKUP(C378,Summary!$B:$J,6,0),0),0)</f>
        <v>0</v>
      </c>
      <c r="J378" s="111">
        <f t="shared" si="69"/>
        <v>432.42</v>
      </c>
      <c r="K378" s="91">
        <f>VLOOKUP($A378,'2022-23 Salary &amp; Benefits'!$A:$I,3,FALSE)</f>
        <v>1.06</v>
      </c>
      <c r="L378" s="91">
        <f>VLOOKUP($A378,'2022-23 Salary &amp; Benefits'!$A:$I,4,FALSE)</f>
        <v>1.06</v>
      </c>
      <c r="M378" s="101">
        <f t="shared" si="64"/>
        <v>432.42</v>
      </c>
      <c r="N378" s="24">
        <v>15</v>
      </c>
      <c r="O378" s="26">
        <f t="shared" si="67"/>
        <v>28.827999999999999</v>
      </c>
      <c r="P378" s="24">
        <v>1.1000000000000001</v>
      </c>
      <c r="Q378" s="24">
        <v>36</v>
      </c>
      <c r="R378" s="27">
        <f t="shared" si="68"/>
        <v>1141.5888</v>
      </c>
      <c r="S378" s="102">
        <f t="shared" si="70"/>
        <v>1.268</v>
      </c>
      <c r="T378" s="21">
        <f>VLOOKUP($A378,'2022-23 Salary &amp; Benefits'!$A:$I,5,FALSE)</f>
        <v>68937</v>
      </c>
      <c r="U378" s="21">
        <f>VLOOKUP($A378,'2022-23 Salary &amp; Benefits'!$A:$I,6,FALSE)</f>
        <v>72728</v>
      </c>
      <c r="V378" s="22">
        <f t="shared" si="71"/>
        <v>92656.84</v>
      </c>
      <c r="W378" s="22">
        <f t="shared" si="72"/>
        <v>5095.4100000000035</v>
      </c>
      <c r="X378" s="22">
        <f>'2022-23 Salary &amp; Benefits'!$G$6</f>
        <v>12558.24</v>
      </c>
      <c r="Y378" s="23">
        <f>'2022-23 Salary &amp; Benefits'!$H$6</f>
        <v>0.2298</v>
      </c>
      <c r="Z378" s="23">
        <f>'2022-23 Salary &amp; Benefits'!$I$6</f>
        <v>0.22339999999999999</v>
      </c>
      <c r="AA378" s="22">
        <f t="shared" si="73"/>
        <v>38354.699999999997</v>
      </c>
      <c r="AB378" s="22">
        <f t="shared" si="74"/>
        <v>1629.2</v>
      </c>
      <c r="AC378" s="22">
        <f t="shared" si="75"/>
        <v>363.96</v>
      </c>
      <c r="AD378" s="22">
        <f t="shared" si="65"/>
        <v>1993.16</v>
      </c>
      <c r="AE378" s="22">
        <f t="shared" si="66"/>
        <v>138100.11000000002</v>
      </c>
      <c r="AF378" s="19" t="str">
        <f>VLOOKUP(C378,'2021-22 School Level AAFTE'!C:N,12,FALSE)</f>
        <v>No</v>
      </c>
    </row>
    <row r="379" spans="1:284" s="19" customFormat="1">
      <c r="A379" s="97" t="s">
        <v>2446</v>
      </c>
      <c r="B379" s="97" t="s">
        <v>1418</v>
      </c>
      <c r="C379" s="95">
        <v>5027</v>
      </c>
      <c r="D379" s="95" t="s">
        <v>1437</v>
      </c>
      <c r="E379" s="129">
        <f>VLOOKUP($C379,'2021-22 School Level AAFTE'!$C:$Z,11,FALSE)</f>
        <v>0.61030000000000006</v>
      </c>
      <c r="F379" s="129" t="str">
        <f>VLOOKUP($C379,'2021-22 School Level AAFTE'!$C:$Z,8,FALSE)</f>
        <v>Yes</v>
      </c>
      <c r="G379" s="129" t="str">
        <f>VLOOKUP($C379,'2021-22 School Level AAFTE'!$C:$Z,12,FALSE)</f>
        <v>No</v>
      </c>
      <c r="H379" s="127">
        <f>VLOOKUP($C379,'2021-22 School Level AAFTE'!$C:$I,7,FALSE)</f>
        <v>713.91</v>
      </c>
      <c r="I379" s="112">
        <f>IFERROR(IF(OR(G379="yes",F379= "yes"),VLOOKUP(C379,Summary!$B:$J,6,0),0),0)</f>
        <v>0</v>
      </c>
      <c r="J379" s="111">
        <f t="shared" si="69"/>
        <v>713.91</v>
      </c>
      <c r="K379" s="91">
        <f>VLOOKUP($A379,'2022-23 Salary &amp; Benefits'!$A:$I,3,FALSE)</f>
        <v>1.06</v>
      </c>
      <c r="L379" s="91">
        <f>VLOOKUP($A379,'2022-23 Salary &amp; Benefits'!$A:$I,4,FALSE)</f>
        <v>1.06</v>
      </c>
      <c r="M379" s="39">
        <f t="shared" si="64"/>
        <v>713.91</v>
      </c>
      <c r="N379" s="24">
        <v>15</v>
      </c>
      <c r="O379" s="26">
        <f t="shared" si="67"/>
        <v>47.594000000000001</v>
      </c>
      <c r="P379" s="24">
        <v>1.1000000000000001</v>
      </c>
      <c r="Q379" s="24">
        <v>36</v>
      </c>
      <c r="R379" s="27">
        <f t="shared" si="68"/>
        <v>1884.7224000000003</v>
      </c>
      <c r="S379" s="102">
        <f t="shared" si="70"/>
        <v>2.0939999999999999</v>
      </c>
      <c r="T379" s="21">
        <f>VLOOKUP($A379,'2022-23 Salary &amp; Benefits'!$A:$I,5,FALSE)</f>
        <v>68937</v>
      </c>
      <c r="U379" s="21">
        <f>VLOOKUP($A379,'2022-23 Salary &amp; Benefits'!$A:$I,6,FALSE)</f>
        <v>72728</v>
      </c>
      <c r="V379" s="22">
        <f t="shared" si="71"/>
        <v>153015.32</v>
      </c>
      <c r="W379" s="22">
        <f t="shared" si="72"/>
        <v>8414.6600000000035</v>
      </c>
      <c r="X379" s="22">
        <f>'2022-23 Salary &amp; Benefits'!$G$6</f>
        <v>12558.24</v>
      </c>
      <c r="Y379" s="23">
        <f>'2022-23 Salary &amp; Benefits'!$H$6</f>
        <v>0.2298</v>
      </c>
      <c r="Z379" s="23">
        <f>'2022-23 Salary &amp; Benefits'!$I$6</f>
        <v>0.22339999999999999</v>
      </c>
      <c r="AA379" s="22">
        <f t="shared" si="73"/>
        <v>63339.71</v>
      </c>
      <c r="AB379" s="22">
        <f t="shared" si="74"/>
        <v>2690.5</v>
      </c>
      <c r="AC379" s="22">
        <f t="shared" si="75"/>
        <v>601.05999999999995</v>
      </c>
      <c r="AD379" s="22">
        <f t="shared" si="65"/>
        <v>3291.56</v>
      </c>
      <c r="AE379" s="22">
        <f t="shared" si="66"/>
        <v>228061.25</v>
      </c>
      <c r="AF379" s="19" t="str">
        <f>VLOOKUP(C379,'2021-22 School Level AAFTE'!C:N,12,FALSE)</f>
        <v>No</v>
      </c>
    </row>
    <row r="380" spans="1:284" s="19" customFormat="1">
      <c r="A380" s="56" t="s">
        <v>2446</v>
      </c>
      <c r="B380" s="97" t="s">
        <v>1418</v>
      </c>
      <c r="C380" s="95">
        <v>5297</v>
      </c>
      <c r="D380" s="56" t="s">
        <v>1438</v>
      </c>
      <c r="E380" s="129">
        <f>VLOOKUP($C380,'2021-22 School Level AAFTE'!$C:$Z,11,FALSE)</f>
        <v>0.60636666666666672</v>
      </c>
      <c r="F380" s="129" t="str">
        <f>VLOOKUP($C380,'2021-22 School Level AAFTE'!$C:$Z,8,FALSE)</f>
        <v>Yes</v>
      </c>
      <c r="G380" s="129" t="str">
        <f>VLOOKUP($C380,'2021-22 School Level AAFTE'!$C:$Z,12,FALSE)</f>
        <v>No</v>
      </c>
      <c r="H380" s="127">
        <f>VLOOKUP($C380,'2021-22 School Level AAFTE'!$C:$I,7,FALSE)</f>
        <v>12.71</v>
      </c>
      <c r="I380" s="112">
        <f>IFERROR(IF(OR(G380="yes",F380= "yes"),VLOOKUP(C380,Summary!$B:$J,6,0),0),0)</f>
        <v>0</v>
      </c>
      <c r="J380" s="111">
        <f t="shared" si="69"/>
        <v>12.71</v>
      </c>
      <c r="K380" s="91">
        <f>VLOOKUP($A380,'2022-23 Salary &amp; Benefits'!$A:$I,3,FALSE)</f>
        <v>1.06</v>
      </c>
      <c r="L380" s="91">
        <f>VLOOKUP($A380,'2022-23 Salary &amp; Benefits'!$A:$I,4,FALSE)</f>
        <v>1.06</v>
      </c>
      <c r="M380" s="101">
        <f t="shared" si="64"/>
        <v>12.71</v>
      </c>
      <c r="N380" s="24">
        <v>15</v>
      </c>
      <c r="O380" s="26">
        <f t="shared" si="67"/>
        <v>0.84733333333333338</v>
      </c>
      <c r="P380" s="24">
        <v>1.1000000000000001</v>
      </c>
      <c r="Q380" s="24">
        <v>36</v>
      </c>
      <c r="R380" s="27">
        <f t="shared" si="68"/>
        <v>33.554400000000008</v>
      </c>
      <c r="S380" s="102">
        <f t="shared" si="70"/>
        <v>3.6999999999999998E-2</v>
      </c>
      <c r="T380" s="21">
        <f>VLOOKUP($A380,'2022-23 Salary &amp; Benefits'!$A:$I,5,FALSE)</f>
        <v>68937</v>
      </c>
      <c r="U380" s="21">
        <f>VLOOKUP($A380,'2022-23 Salary &amp; Benefits'!$A:$I,6,FALSE)</f>
        <v>72728</v>
      </c>
      <c r="V380" s="22">
        <f t="shared" si="71"/>
        <v>2703.71</v>
      </c>
      <c r="W380" s="22">
        <f t="shared" si="72"/>
        <v>148.67999999999984</v>
      </c>
      <c r="X380" s="22">
        <f>'2022-23 Salary &amp; Benefits'!$G$6</f>
        <v>12558.24</v>
      </c>
      <c r="Y380" s="23">
        <f>'2022-23 Salary &amp; Benefits'!$H$6</f>
        <v>0.2298</v>
      </c>
      <c r="Z380" s="23">
        <f>'2022-23 Salary &amp; Benefits'!$I$6</f>
        <v>0.22339999999999999</v>
      </c>
      <c r="AA380" s="22">
        <f t="shared" si="73"/>
        <v>1119.18</v>
      </c>
      <c r="AB380" s="22">
        <f t="shared" si="74"/>
        <v>47.54</v>
      </c>
      <c r="AC380" s="22">
        <f t="shared" si="75"/>
        <v>10.62</v>
      </c>
      <c r="AD380" s="22">
        <f t="shared" si="65"/>
        <v>58.16</v>
      </c>
      <c r="AE380" s="22">
        <f t="shared" si="66"/>
        <v>4029.73</v>
      </c>
      <c r="AF380" s="19" t="str">
        <f>VLOOKUP(C380,'2021-22 School Level AAFTE'!C:N,12,FALSE)</f>
        <v>No</v>
      </c>
    </row>
    <row r="381" spans="1:284" s="19" customFormat="1">
      <c r="A381" s="97" t="s">
        <v>2446</v>
      </c>
      <c r="B381" s="97" t="s">
        <v>1418</v>
      </c>
      <c r="C381" s="95">
        <v>5364</v>
      </c>
      <c r="D381" s="95" t="s">
        <v>1439</v>
      </c>
      <c r="E381" s="129">
        <f>VLOOKUP($C381,'2021-22 School Level AAFTE'!$C:$Z,11,FALSE)</f>
        <v>0.31009999999999999</v>
      </c>
      <c r="F381" s="129" t="str">
        <f>VLOOKUP($C381,'2021-22 School Level AAFTE'!$C:$Z,8,FALSE)</f>
        <v>No</v>
      </c>
      <c r="G381" s="129" t="str">
        <f>VLOOKUP($C381,'2021-22 School Level AAFTE'!$C:$Z,12,FALSE)</f>
        <v>No</v>
      </c>
      <c r="H381" s="127">
        <f>VLOOKUP($C381,'2021-22 School Level AAFTE'!$C:$I,7,FALSE)</f>
        <v>284.64999999999998</v>
      </c>
      <c r="I381" s="112">
        <f>IFERROR(IF(OR(G381="yes",F381= "yes"),VLOOKUP(C381,Summary!$B:$J,6,0),0),0)</f>
        <v>0</v>
      </c>
      <c r="J381" s="111">
        <f t="shared" si="69"/>
        <v>0</v>
      </c>
      <c r="K381" s="91">
        <f>VLOOKUP($A381,'2022-23 Salary &amp; Benefits'!$A:$I,3,FALSE)</f>
        <v>1.06</v>
      </c>
      <c r="L381" s="91">
        <f>VLOOKUP($A381,'2022-23 Salary &amp; Benefits'!$A:$I,4,FALSE)</f>
        <v>1.06</v>
      </c>
      <c r="M381" s="101">
        <f t="shared" si="64"/>
        <v>0</v>
      </c>
      <c r="N381" s="24">
        <v>15</v>
      </c>
      <c r="O381" s="26">
        <f t="shared" si="67"/>
        <v>0</v>
      </c>
      <c r="P381" s="24">
        <v>1.1000000000000001</v>
      </c>
      <c r="Q381" s="24">
        <v>36</v>
      </c>
      <c r="R381" s="27">
        <f t="shared" si="68"/>
        <v>0</v>
      </c>
      <c r="S381" s="102">
        <f t="shared" si="70"/>
        <v>0</v>
      </c>
      <c r="T381" s="21">
        <f>VLOOKUP($A381,'2022-23 Salary &amp; Benefits'!$A:$I,5,FALSE)</f>
        <v>68937</v>
      </c>
      <c r="U381" s="21">
        <f>VLOOKUP($A381,'2022-23 Salary &amp; Benefits'!$A:$I,6,FALSE)</f>
        <v>72728</v>
      </c>
      <c r="V381" s="22">
        <f t="shared" si="71"/>
        <v>0</v>
      </c>
      <c r="W381" s="22">
        <f t="shared" si="72"/>
        <v>0</v>
      </c>
      <c r="X381" s="22">
        <f>'2022-23 Salary &amp; Benefits'!$G$6</f>
        <v>12558.24</v>
      </c>
      <c r="Y381" s="23">
        <f>'2022-23 Salary &amp; Benefits'!$H$6</f>
        <v>0.2298</v>
      </c>
      <c r="Z381" s="23">
        <f>'2022-23 Salary &amp; Benefits'!$I$6</f>
        <v>0.22339999999999999</v>
      </c>
      <c r="AA381" s="22">
        <f t="shared" si="73"/>
        <v>0</v>
      </c>
      <c r="AB381" s="22">
        <f t="shared" si="74"/>
        <v>0</v>
      </c>
      <c r="AC381" s="22">
        <f t="shared" si="75"/>
        <v>0</v>
      </c>
      <c r="AD381" s="22">
        <f t="shared" si="65"/>
        <v>0</v>
      </c>
      <c r="AE381" s="22">
        <f t="shared" si="66"/>
        <v>0</v>
      </c>
      <c r="AF381" s="19" t="str">
        <f>VLOOKUP(C381,'2021-22 School Level AAFTE'!C:N,12,FALSE)</f>
        <v>No</v>
      </c>
    </row>
    <row r="382" spans="1:284" s="19" customFormat="1">
      <c r="A382" s="97" t="s">
        <v>2446</v>
      </c>
      <c r="B382" s="97" t="s">
        <v>1418</v>
      </c>
      <c r="C382" s="95">
        <v>5365</v>
      </c>
      <c r="D382" s="95" t="s">
        <v>1440</v>
      </c>
      <c r="E382" s="129">
        <f>VLOOKUP($C382,'2021-22 School Level AAFTE'!$C:$Z,11,FALSE)</f>
        <v>0.43780000000000002</v>
      </c>
      <c r="F382" s="129" t="str">
        <f>VLOOKUP($C382,'2021-22 School Level AAFTE'!$C:$Z,8,FALSE)</f>
        <v>No</v>
      </c>
      <c r="G382" s="129" t="str">
        <f>VLOOKUP($C382,'2021-22 School Level AAFTE'!$C:$Z,12,FALSE)</f>
        <v>Yes</v>
      </c>
      <c r="H382" s="127">
        <f>VLOOKUP($C382,'2021-22 School Level AAFTE'!$C:$I,7,FALSE)</f>
        <v>520.16</v>
      </c>
      <c r="I382" s="112">
        <f>IFERROR(IF(OR(G382="yes",F382= "yes"),VLOOKUP(C382,Summary!$B:$J,6,0),0),0)</f>
        <v>0</v>
      </c>
      <c r="J382" s="111">
        <f t="shared" si="69"/>
        <v>520.16</v>
      </c>
      <c r="K382" s="91">
        <f>VLOOKUP($A382,'2022-23 Salary &amp; Benefits'!$A:$I,3,FALSE)</f>
        <v>1.06</v>
      </c>
      <c r="L382" s="91">
        <f>VLOOKUP($A382,'2022-23 Salary &amp; Benefits'!$A:$I,4,FALSE)</f>
        <v>1.06</v>
      </c>
      <c r="M382" s="101">
        <f t="shared" ref="M382:M439" si="76">IF(I382&gt;0,I382,J382)</f>
        <v>520.16</v>
      </c>
      <c r="N382" s="24">
        <v>15</v>
      </c>
      <c r="O382" s="26">
        <f t="shared" si="67"/>
        <v>34.67733333333333</v>
      </c>
      <c r="P382" s="24">
        <v>1.1000000000000001</v>
      </c>
      <c r="Q382" s="24">
        <v>36</v>
      </c>
      <c r="R382" s="27">
        <f t="shared" si="68"/>
        <v>1373.2223999999999</v>
      </c>
      <c r="S382" s="102">
        <f t="shared" si="70"/>
        <v>1.526</v>
      </c>
      <c r="T382" s="21">
        <f>VLOOKUP($A382,'2022-23 Salary &amp; Benefits'!$A:$I,5,FALSE)</f>
        <v>68937</v>
      </c>
      <c r="U382" s="21">
        <f>VLOOKUP($A382,'2022-23 Salary &amp; Benefits'!$A:$I,6,FALSE)</f>
        <v>72728</v>
      </c>
      <c r="V382" s="22">
        <f t="shared" si="71"/>
        <v>111509.73</v>
      </c>
      <c r="W382" s="22">
        <f t="shared" si="72"/>
        <v>6132.1699999999983</v>
      </c>
      <c r="X382" s="22">
        <f>'2022-23 Salary &amp; Benefits'!$G$6</f>
        <v>12558.24</v>
      </c>
      <c r="Y382" s="23">
        <f>'2022-23 Salary &amp; Benefits'!$H$6</f>
        <v>0.2298</v>
      </c>
      <c r="Z382" s="23">
        <f>'2022-23 Salary &amp; Benefits'!$I$6</f>
        <v>0.22339999999999999</v>
      </c>
      <c r="AA382" s="22">
        <f t="shared" si="73"/>
        <v>46158.74</v>
      </c>
      <c r="AB382" s="22">
        <f t="shared" si="74"/>
        <v>1960.7</v>
      </c>
      <c r="AC382" s="22">
        <f t="shared" si="75"/>
        <v>438.02</v>
      </c>
      <c r="AD382" s="22">
        <f t="shared" ref="AD382:AD439" si="77">SUM(AB382:AC382)</f>
        <v>2398.7200000000003</v>
      </c>
      <c r="AE382" s="22">
        <f t="shared" ref="AE382:AE439" si="78">SUM(AA382,V382:W382,AD382)</f>
        <v>166199.36000000002</v>
      </c>
      <c r="AF382" s="19" t="str">
        <f>VLOOKUP(C382,'2021-22 School Level AAFTE'!C:N,12,FALSE)</f>
        <v>Yes</v>
      </c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</row>
    <row r="383" spans="1:284" s="19" customFormat="1">
      <c r="A383" s="97" t="s">
        <v>2446</v>
      </c>
      <c r="B383" s="97" t="s">
        <v>1418</v>
      </c>
      <c r="C383" s="95">
        <v>5387</v>
      </c>
      <c r="D383" s="95" t="s">
        <v>1441</v>
      </c>
      <c r="E383" s="129">
        <f>VLOOKUP($C383,'2021-22 School Level AAFTE'!$C:$Z,11,FALSE)</f>
        <v>0.84949999999999992</v>
      </c>
      <c r="F383" s="129" t="str">
        <f>VLOOKUP($C383,'2021-22 School Level AAFTE'!$C:$Z,8,FALSE)</f>
        <v>Yes</v>
      </c>
      <c r="G383" s="129" t="str">
        <f>VLOOKUP($C383,'2021-22 School Level AAFTE'!$C:$Z,12,FALSE)</f>
        <v>No</v>
      </c>
      <c r="H383" s="127">
        <f>VLOOKUP($C383,'2021-22 School Level AAFTE'!$C:$I,7,FALSE)</f>
        <v>570.29</v>
      </c>
      <c r="I383" s="112">
        <f>IFERROR(IF(OR(G383="yes",F383= "yes"),VLOOKUP(C383,Summary!$B:$J,6,0),0),0)</f>
        <v>0</v>
      </c>
      <c r="J383" s="111">
        <f t="shared" si="69"/>
        <v>570.29</v>
      </c>
      <c r="K383" s="91">
        <f>VLOOKUP($A383,'2022-23 Salary &amp; Benefits'!$A:$I,3,FALSE)</f>
        <v>1.06</v>
      </c>
      <c r="L383" s="91">
        <f>VLOOKUP($A383,'2022-23 Salary &amp; Benefits'!$A:$I,4,FALSE)</f>
        <v>1.06</v>
      </c>
      <c r="M383" s="101">
        <f t="shared" si="76"/>
        <v>570.29</v>
      </c>
      <c r="N383" s="24">
        <v>15</v>
      </c>
      <c r="O383" s="26">
        <f t="shared" si="67"/>
        <v>38.019333333333329</v>
      </c>
      <c r="P383" s="24">
        <v>1.1000000000000001</v>
      </c>
      <c r="Q383" s="24">
        <v>36</v>
      </c>
      <c r="R383" s="27">
        <f t="shared" si="68"/>
        <v>1505.5655999999999</v>
      </c>
      <c r="S383" s="102">
        <f t="shared" si="70"/>
        <v>1.673</v>
      </c>
      <c r="T383" s="21">
        <f>VLOOKUP($A383,'2022-23 Salary &amp; Benefits'!$A:$I,5,FALSE)</f>
        <v>68937</v>
      </c>
      <c r="U383" s="21">
        <f>VLOOKUP($A383,'2022-23 Salary &amp; Benefits'!$A:$I,6,FALSE)</f>
        <v>72728</v>
      </c>
      <c r="V383" s="22">
        <f t="shared" si="71"/>
        <v>122251.5</v>
      </c>
      <c r="W383" s="22">
        <f t="shared" si="72"/>
        <v>6722.8800000000047</v>
      </c>
      <c r="X383" s="22">
        <f>'2022-23 Salary &amp; Benefits'!$G$6</f>
        <v>12558.24</v>
      </c>
      <c r="Y383" s="23">
        <f>'2022-23 Salary &amp; Benefits'!$H$6</f>
        <v>0.2298</v>
      </c>
      <c r="Z383" s="23">
        <f>'2022-23 Salary &amp; Benefits'!$I$6</f>
        <v>0.22339999999999999</v>
      </c>
      <c r="AA383" s="22">
        <f t="shared" si="73"/>
        <v>50605.22</v>
      </c>
      <c r="AB383" s="22">
        <f t="shared" si="74"/>
        <v>2149.5700000000002</v>
      </c>
      <c r="AC383" s="22">
        <f t="shared" si="75"/>
        <v>480.21</v>
      </c>
      <c r="AD383" s="22">
        <f t="shared" si="77"/>
        <v>2629.78</v>
      </c>
      <c r="AE383" s="22">
        <f t="shared" si="78"/>
        <v>182209.38</v>
      </c>
      <c r="AF383" s="19" t="str">
        <f>VLOOKUP(C383,'2021-22 School Level AAFTE'!C:N,12,FALSE)</f>
        <v>No</v>
      </c>
    </row>
    <row r="384" spans="1:284" s="19" customFormat="1">
      <c r="A384" s="97" t="s">
        <v>2446</v>
      </c>
      <c r="B384" s="97" t="s">
        <v>1418</v>
      </c>
      <c r="C384" s="95">
        <v>5411</v>
      </c>
      <c r="D384" s="95" t="s">
        <v>1442</v>
      </c>
      <c r="E384" s="129">
        <f>VLOOKUP($C384,'2021-22 School Level AAFTE'!$C:$Z,11,FALSE)</f>
        <v>0.76129999999999998</v>
      </c>
      <c r="F384" s="129" t="str">
        <f>VLOOKUP($C384,'2021-22 School Level AAFTE'!$C:$Z,8,FALSE)</f>
        <v>Yes</v>
      </c>
      <c r="G384" s="129" t="str">
        <f>VLOOKUP($C384,'2021-22 School Level AAFTE'!$C:$Z,12,FALSE)</f>
        <v>No</v>
      </c>
      <c r="H384" s="127">
        <f>VLOOKUP($C384,'2021-22 School Level AAFTE'!$C:$I,7,FALSE)</f>
        <v>192.71</v>
      </c>
      <c r="I384" s="112">
        <f>IFERROR(IF(OR(G384="yes",F384= "yes"),VLOOKUP(C384,Summary!$B:$J,6,0),0),0)</f>
        <v>0</v>
      </c>
      <c r="J384" s="111">
        <f t="shared" si="69"/>
        <v>192.71</v>
      </c>
      <c r="K384" s="91">
        <f>VLOOKUP($A384,'2022-23 Salary &amp; Benefits'!$A:$I,3,FALSE)</f>
        <v>1.06</v>
      </c>
      <c r="L384" s="91">
        <f>VLOOKUP($A384,'2022-23 Salary &amp; Benefits'!$A:$I,4,FALSE)</f>
        <v>1.06</v>
      </c>
      <c r="M384" s="101">
        <f t="shared" si="76"/>
        <v>192.71</v>
      </c>
      <c r="N384" s="24">
        <v>15</v>
      </c>
      <c r="O384" s="26">
        <f t="shared" si="67"/>
        <v>12.847333333333333</v>
      </c>
      <c r="P384" s="24">
        <v>1.1000000000000001</v>
      </c>
      <c r="Q384" s="24">
        <v>36</v>
      </c>
      <c r="R384" s="27">
        <f t="shared" si="68"/>
        <v>508.75440000000009</v>
      </c>
      <c r="S384" s="102">
        <f t="shared" si="70"/>
        <v>0.56499999999999995</v>
      </c>
      <c r="T384" s="21">
        <f>VLOOKUP($A384,'2022-23 Salary &amp; Benefits'!$A:$I,5,FALSE)</f>
        <v>68937</v>
      </c>
      <c r="U384" s="21">
        <f>VLOOKUP($A384,'2022-23 Salary &amp; Benefits'!$A:$I,6,FALSE)</f>
        <v>72728</v>
      </c>
      <c r="V384" s="22">
        <f t="shared" si="71"/>
        <v>41286.370000000003</v>
      </c>
      <c r="W384" s="22">
        <f t="shared" si="72"/>
        <v>2270.4300000000003</v>
      </c>
      <c r="X384" s="22">
        <f>'2022-23 Salary &amp; Benefits'!$G$6</f>
        <v>12558.24</v>
      </c>
      <c r="Y384" s="23">
        <f>'2022-23 Salary &amp; Benefits'!$H$6</f>
        <v>0.2298</v>
      </c>
      <c r="Z384" s="23">
        <f>'2022-23 Salary &amp; Benefits'!$I$6</f>
        <v>0.22339999999999999</v>
      </c>
      <c r="AA384" s="22">
        <f t="shared" si="73"/>
        <v>17090.23</v>
      </c>
      <c r="AB384" s="22">
        <f t="shared" si="74"/>
        <v>725.95</v>
      </c>
      <c r="AC384" s="22">
        <f t="shared" si="75"/>
        <v>162.18</v>
      </c>
      <c r="AD384" s="22">
        <f t="shared" si="77"/>
        <v>888.13000000000011</v>
      </c>
      <c r="AE384" s="22">
        <f t="shared" si="78"/>
        <v>61535.16</v>
      </c>
      <c r="AF384" s="19" t="str">
        <f>VLOOKUP(C384,'2021-22 School Level AAFTE'!C:N,12,FALSE)</f>
        <v>No</v>
      </c>
    </row>
    <row r="385" spans="1:32" s="19" customFormat="1">
      <c r="A385" s="97" t="s">
        <v>2544</v>
      </c>
      <c r="B385" s="97" t="s">
        <v>2140</v>
      </c>
      <c r="C385" s="95">
        <v>2894</v>
      </c>
      <c r="D385" s="95" t="s">
        <v>2141</v>
      </c>
      <c r="E385" s="129">
        <f>VLOOKUP($C385,'2021-22 School Level AAFTE'!$C:$Z,11,FALSE)</f>
        <v>0.30826666666666663</v>
      </c>
      <c r="F385" s="129" t="str">
        <f>VLOOKUP($C385,'2021-22 School Level AAFTE'!$C:$Z,8,FALSE)</f>
        <v>No</v>
      </c>
      <c r="G385" s="129" t="str">
        <f>VLOOKUP($C385,'2021-22 School Level AAFTE'!$C:$Z,12,FALSE)</f>
        <v>No</v>
      </c>
      <c r="H385" s="127">
        <f>VLOOKUP($C385,'2021-22 School Level AAFTE'!$C:$I,7,FALSE)</f>
        <v>269.57</v>
      </c>
      <c r="I385" s="112">
        <f>IFERROR(IF(OR(G385="yes",F385= "yes"),VLOOKUP(C385,Summary!$B:$J,6,0),0),0)</f>
        <v>0</v>
      </c>
      <c r="J385" s="111">
        <f t="shared" si="69"/>
        <v>0</v>
      </c>
      <c r="K385" s="91">
        <f>VLOOKUP($A385,'2022-23 Salary &amp; Benefits'!$A:$I,3,FALSE)</f>
        <v>1</v>
      </c>
      <c r="L385" s="91">
        <f>VLOOKUP($A385,'2022-23 Salary &amp; Benefits'!$A:$I,4,FALSE)</f>
        <v>1</v>
      </c>
      <c r="M385" s="101">
        <f t="shared" si="76"/>
        <v>0</v>
      </c>
      <c r="N385" s="24">
        <v>15</v>
      </c>
      <c r="O385" s="26">
        <f t="shared" si="67"/>
        <v>0</v>
      </c>
      <c r="P385" s="24">
        <v>1.1000000000000001</v>
      </c>
      <c r="Q385" s="24">
        <v>36</v>
      </c>
      <c r="R385" s="27">
        <f t="shared" si="68"/>
        <v>0</v>
      </c>
      <c r="S385" s="102">
        <f t="shared" si="70"/>
        <v>0</v>
      </c>
      <c r="T385" s="21">
        <f>VLOOKUP($A385,'2022-23 Salary &amp; Benefits'!$A:$I,5,FALSE)</f>
        <v>68937</v>
      </c>
      <c r="U385" s="21">
        <f>VLOOKUP($A385,'2022-23 Salary &amp; Benefits'!$A:$I,6,FALSE)</f>
        <v>72728</v>
      </c>
      <c r="V385" s="22">
        <f t="shared" si="71"/>
        <v>0</v>
      </c>
      <c r="W385" s="22">
        <f t="shared" si="72"/>
        <v>0</v>
      </c>
      <c r="X385" s="22">
        <f>'2022-23 Salary &amp; Benefits'!$G$6</f>
        <v>12558.24</v>
      </c>
      <c r="Y385" s="23">
        <f>'2022-23 Salary &amp; Benefits'!$H$6</f>
        <v>0.2298</v>
      </c>
      <c r="Z385" s="23">
        <f>'2022-23 Salary &amp; Benefits'!$I$6</f>
        <v>0.22339999999999999</v>
      </c>
      <c r="AA385" s="22">
        <f t="shared" si="73"/>
        <v>0</v>
      </c>
      <c r="AB385" s="22">
        <f t="shared" si="74"/>
        <v>0</v>
      </c>
      <c r="AC385" s="22">
        <f t="shared" si="75"/>
        <v>0</v>
      </c>
      <c r="AD385" s="22">
        <f t="shared" si="77"/>
        <v>0</v>
      </c>
      <c r="AE385" s="22">
        <f t="shared" si="78"/>
        <v>0</v>
      </c>
      <c r="AF385" s="19" t="str">
        <f>VLOOKUP(C385,'2021-22 School Level AAFTE'!C:N,12,FALSE)</f>
        <v>No</v>
      </c>
    </row>
    <row r="386" spans="1:32" s="19" customFormat="1">
      <c r="A386" s="97" t="s">
        <v>2544</v>
      </c>
      <c r="B386" s="97" t="s">
        <v>2140</v>
      </c>
      <c r="C386" s="95">
        <v>3366</v>
      </c>
      <c r="D386" s="95" t="s">
        <v>2142</v>
      </c>
      <c r="E386" s="129">
        <f>VLOOKUP($C386,'2021-22 School Level AAFTE'!$C:$Z,11,FALSE)</f>
        <v>0.29356666666666664</v>
      </c>
      <c r="F386" s="129" t="str">
        <f>VLOOKUP($C386,'2021-22 School Level AAFTE'!$C:$Z,8,FALSE)</f>
        <v>No</v>
      </c>
      <c r="G386" s="129" t="str">
        <f>VLOOKUP($C386,'2021-22 School Level AAFTE'!$C:$Z,12,FALSE)</f>
        <v>No</v>
      </c>
      <c r="H386" s="127">
        <f>VLOOKUP($C386,'2021-22 School Level AAFTE'!$C:$I,7,FALSE)</f>
        <v>246.24</v>
      </c>
      <c r="I386" s="112">
        <f>IFERROR(IF(OR(G386="yes",F386= "yes"),VLOOKUP(C386,Summary!$B:$J,6,0),0),0)</f>
        <v>0</v>
      </c>
      <c r="J386" s="111">
        <f t="shared" si="69"/>
        <v>0</v>
      </c>
      <c r="K386" s="91">
        <f>VLOOKUP($A386,'2022-23 Salary &amp; Benefits'!$A:$I,3,FALSE)</f>
        <v>1</v>
      </c>
      <c r="L386" s="91">
        <f>VLOOKUP($A386,'2022-23 Salary &amp; Benefits'!$A:$I,4,FALSE)</f>
        <v>1</v>
      </c>
      <c r="M386" s="101">
        <f t="shared" si="76"/>
        <v>0</v>
      </c>
      <c r="N386" s="24">
        <v>15</v>
      </c>
      <c r="O386" s="26">
        <f t="shared" si="67"/>
        <v>0</v>
      </c>
      <c r="P386" s="24">
        <v>1.1000000000000001</v>
      </c>
      <c r="Q386" s="24">
        <v>36</v>
      </c>
      <c r="R386" s="27">
        <f t="shared" si="68"/>
        <v>0</v>
      </c>
      <c r="S386" s="102">
        <f t="shared" si="70"/>
        <v>0</v>
      </c>
      <c r="T386" s="21">
        <f>VLOOKUP($A386,'2022-23 Salary &amp; Benefits'!$A:$I,5,FALSE)</f>
        <v>68937</v>
      </c>
      <c r="U386" s="21">
        <f>VLOOKUP($A386,'2022-23 Salary &amp; Benefits'!$A:$I,6,FALSE)</f>
        <v>72728</v>
      </c>
      <c r="V386" s="22">
        <f t="shared" si="71"/>
        <v>0</v>
      </c>
      <c r="W386" s="22">
        <f t="shared" si="72"/>
        <v>0</v>
      </c>
      <c r="X386" s="22">
        <f>'2022-23 Salary &amp; Benefits'!$G$6</f>
        <v>12558.24</v>
      </c>
      <c r="Y386" s="23">
        <f>'2022-23 Salary &amp; Benefits'!$H$6</f>
        <v>0.2298</v>
      </c>
      <c r="Z386" s="23">
        <f>'2022-23 Salary &amp; Benefits'!$I$6</f>
        <v>0.22339999999999999</v>
      </c>
      <c r="AA386" s="22">
        <f t="shared" si="73"/>
        <v>0</v>
      </c>
      <c r="AB386" s="22">
        <f t="shared" si="74"/>
        <v>0</v>
      </c>
      <c r="AC386" s="22">
        <f t="shared" si="75"/>
        <v>0</v>
      </c>
      <c r="AD386" s="22">
        <f t="shared" si="77"/>
        <v>0</v>
      </c>
      <c r="AE386" s="22">
        <f t="shared" si="78"/>
        <v>0</v>
      </c>
      <c r="AF386" s="19" t="str">
        <f>VLOOKUP(C386,'2021-22 School Level AAFTE'!C:N,12,FALSE)</f>
        <v>No</v>
      </c>
    </row>
    <row r="387" spans="1:32" s="19" customFormat="1">
      <c r="A387" s="97" t="s">
        <v>2527</v>
      </c>
      <c r="B387" s="97" t="s">
        <v>2049</v>
      </c>
      <c r="C387" s="95">
        <v>2114</v>
      </c>
      <c r="D387" s="95" t="s">
        <v>2050</v>
      </c>
      <c r="E387" s="129">
        <f>VLOOKUP($C387,'2021-22 School Level AAFTE'!$C:$Z,11,FALSE)</f>
        <v>0.5383</v>
      </c>
      <c r="F387" s="129" t="str">
        <f>VLOOKUP($C387,'2021-22 School Level AAFTE'!$C:$Z,8,FALSE)</f>
        <v>Yes</v>
      </c>
      <c r="G387" s="129" t="str">
        <f>VLOOKUP($C387,'2021-22 School Level AAFTE'!$C:$Z,12,FALSE)</f>
        <v>No</v>
      </c>
      <c r="H387" s="127">
        <f>VLOOKUP($C387,'2021-22 School Level AAFTE'!$C:$I,7,FALSE)</f>
        <v>656.42</v>
      </c>
      <c r="I387" s="112">
        <f>IFERROR(IF(OR(G387="yes",F387= "yes"),VLOOKUP(C387,Summary!$B:$J,6,0),0),0)</f>
        <v>0</v>
      </c>
      <c r="J387" s="111">
        <f t="shared" si="69"/>
        <v>656.42</v>
      </c>
      <c r="K387" s="91">
        <f>VLOOKUP($A387,'2022-23 Salary &amp; Benefits'!$A:$I,3,FALSE)</f>
        <v>1</v>
      </c>
      <c r="L387" s="91">
        <f>VLOOKUP($A387,'2022-23 Salary &amp; Benefits'!$A:$I,4,FALSE)</f>
        <v>1</v>
      </c>
      <c r="M387" s="39">
        <f t="shared" si="76"/>
        <v>656.42</v>
      </c>
      <c r="N387" s="24">
        <v>15</v>
      </c>
      <c r="O387" s="26">
        <f t="shared" si="67"/>
        <v>43.761333333333333</v>
      </c>
      <c r="P387" s="24">
        <v>1.1000000000000001</v>
      </c>
      <c r="Q387" s="24">
        <v>36</v>
      </c>
      <c r="R387" s="27">
        <f t="shared" si="68"/>
        <v>1732.9488000000001</v>
      </c>
      <c r="S387" s="102">
        <f t="shared" si="70"/>
        <v>1.925</v>
      </c>
      <c r="T387" s="21">
        <f>VLOOKUP($A387,'2022-23 Salary &amp; Benefits'!$A:$I,5,FALSE)</f>
        <v>68937</v>
      </c>
      <c r="U387" s="21">
        <f>VLOOKUP($A387,'2022-23 Salary &amp; Benefits'!$A:$I,6,FALSE)</f>
        <v>72728</v>
      </c>
      <c r="V387" s="22">
        <f t="shared" si="71"/>
        <v>132703.73000000001</v>
      </c>
      <c r="W387" s="22">
        <f t="shared" si="72"/>
        <v>7297.6699999999837</v>
      </c>
      <c r="X387" s="22">
        <f>'2022-23 Salary &amp; Benefits'!$G$6</f>
        <v>12558.24</v>
      </c>
      <c r="Y387" s="23">
        <f>'2022-23 Salary &amp; Benefits'!$H$6</f>
        <v>0.2298</v>
      </c>
      <c r="Z387" s="23">
        <f>'2022-23 Salary &amp; Benefits'!$I$6</f>
        <v>0.22339999999999999</v>
      </c>
      <c r="AA387" s="22">
        <f t="shared" si="73"/>
        <v>56300.23</v>
      </c>
      <c r="AB387" s="22">
        <f t="shared" si="74"/>
        <v>2333.36</v>
      </c>
      <c r="AC387" s="22">
        <f t="shared" si="75"/>
        <v>521.27</v>
      </c>
      <c r="AD387" s="22">
        <f t="shared" si="77"/>
        <v>2854.63</v>
      </c>
      <c r="AE387" s="22">
        <f t="shared" si="78"/>
        <v>199156.26</v>
      </c>
      <c r="AF387" s="19" t="str">
        <f>VLOOKUP(C387,'2021-22 School Level AAFTE'!C:N,12,FALSE)</f>
        <v>No</v>
      </c>
    </row>
    <row r="388" spans="1:32" s="19" customFormat="1">
      <c r="A388" s="97" t="s">
        <v>2527</v>
      </c>
      <c r="B388" s="97" t="s">
        <v>2049</v>
      </c>
      <c r="C388" s="95">
        <v>3541</v>
      </c>
      <c r="D388" s="95" t="s">
        <v>2051</v>
      </c>
      <c r="E388" s="129">
        <f>VLOOKUP($C388,'2021-22 School Level AAFTE'!$C:$Z,11,FALSE)</f>
        <v>0.57859999999999989</v>
      </c>
      <c r="F388" s="129" t="str">
        <f>VLOOKUP($C388,'2021-22 School Level AAFTE'!$C:$Z,8,FALSE)</f>
        <v>Yes</v>
      </c>
      <c r="G388" s="129" t="str">
        <f>VLOOKUP($C388,'2021-22 School Level AAFTE'!$C:$Z,12,FALSE)</f>
        <v>No</v>
      </c>
      <c r="H388" s="127">
        <f>VLOOKUP($C388,'2021-22 School Level AAFTE'!$C:$I,7,FALSE)</f>
        <v>369.23</v>
      </c>
      <c r="I388" s="112">
        <f>IFERROR(IF(OR(G388="yes",F388= "yes"),VLOOKUP(C388,Summary!$B:$J,6,0),0),0)</f>
        <v>0</v>
      </c>
      <c r="J388" s="111">
        <f t="shared" si="69"/>
        <v>369.23</v>
      </c>
      <c r="K388" s="91">
        <f>VLOOKUP($A388,'2022-23 Salary &amp; Benefits'!$A:$I,3,FALSE)</f>
        <v>1</v>
      </c>
      <c r="L388" s="91">
        <f>VLOOKUP($A388,'2022-23 Salary &amp; Benefits'!$A:$I,4,FALSE)</f>
        <v>1</v>
      </c>
      <c r="M388" s="39">
        <f t="shared" si="76"/>
        <v>369.23</v>
      </c>
      <c r="N388" s="24">
        <v>15</v>
      </c>
      <c r="O388" s="26">
        <f t="shared" si="67"/>
        <v>24.615333333333336</v>
      </c>
      <c r="P388" s="24">
        <v>1.1000000000000001</v>
      </c>
      <c r="Q388" s="24">
        <v>36</v>
      </c>
      <c r="R388" s="27">
        <f t="shared" si="68"/>
        <v>974.76720000000012</v>
      </c>
      <c r="S388" s="102">
        <f t="shared" si="70"/>
        <v>1.083</v>
      </c>
      <c r="T388" s="21">
        <f>VLOOKUP($A388,'2022-23 Salary &amp; Benefits'!$A:$I,5,FALSE)</f>
        <v>68937</v>
      </c>
      <c r="U388" s="21">
        <f>VLOOKUP($A388,'2022-23 Salary &amp; Benefits'!$A:$I,6,FALSE)</f>
        <v>72728</v>
      </c>
      <c r="V388" s="22">
        <f t="shared" si="71"/>
        <v>74658.77</v>
      </c>
      <c r="W388" s="22">
        <f t="shared" si="72"/>
        <v>4105.6499999999942</v>
      </c>
      <c r="X388" s="22">
        <f>'2022-23 Salary &amp; Benefits'!$G$6</f>
        <v>12558.24</v>
      </c>
      <c r="Y388" s="23">
        <f>'2022-23 Salary &amp; Benefits'!$H$6</f>
        <v>0.2298</v>
      </c>
      <c r="Z388" s="23">
        <f>'2022-23 Salary &amp; Benefits'!$I$6</f>
        <v>0.22339999999999999</v>
      </c>
      <c r="AA388" s="22">
        <f t="shared" si="73"/>
        <v>31674.36</v>
      </c>
      <c r="AB388" s="22">
        <f t="shared" si="74"/>
        <v>1312.74</v>
      </c>
      <c r="AC388" s="22">
        <f t="shared" si="75"/>
        <v>293.27</v>
      </c>
      <c r="AD388" s="22">
        <f t="shared" si="77"/>
        <v>1606.01</v>
      </c>
      <c r="AE388" s="22">
        <f t="shared" si="78"/>
        <v>112044.79</v>
      </c>
      <c r="AF388" s="19" t="str">
        <f>VLOOKUP(C388,'2021-22 School Level AAFTE'!C:N,12,FALSE)</f>
        <v>No</v>
      </c>
    </row>
    <row r="389" spans="1:32" s="19" customFormat="1">
      <c r="A389" s="97" t="s">
        <v>2527</v>
      </c>
      <c r="B389" s="97" t="s">
        <v>2049</v>
      </c>
      <c r="C389" s="95">
        <v>5362</v>
      </c>
      <c r="D389" s="95" t="s">
        <v>2052</v>
      </c>
      <c r="E389" s="129">
        <f>VLOOKUP($C389,'2021-22 School Level AAFTE'!$C:$Z,11,FALSE)</f>
        <v>0.51549999999999996</v>
      </c>
      <c r="F389" s="129" t="str">
        <f>VLOOKUP($C389,'2021-22 School Level AAFTE'!$C:$Z,8,FALSE)</f>
        <v>Yes</v>
      </c>
      <c r="G389" s="129" t="str">
        <f>VLOOKUP($C389,'2021-22 School Level AAFTE'!$C:$Z,12,FALSE)</f>
        <v>No</v>
      </c>
      <c r="H389" s="127">
        <f>VLOOKUP($C389,'2021-22 School Level AAFTE'!$C:$I,7,FALSE)</f>
        <v>496.89000000000004</v>
      </c>
      <c r="I389" s="112">
        <f>IFERROR(IF(OR(G389="yes",F389= "yes"),VLOOKUP(C389,Summary!$B:$J,6,0),0),0)</f>
        <v>0</v>
      </c>
      <c r="J389" s="111">
        <f t="shared" si="69"/>
        <v>496.89000000000004</v>
      </c>
      <c r="K389" s="91">
        <f>VLOOKUP($A389,'2022-23 Salary &amp; Benefits'!$A:$I,3,FALSE)</f>
        <v>1</v>
      </c>
      <c r="L389" s="91">
        <f>VLOOKUP($A389,'2022-23 Salary &amp; Benefits'!$A:$I,4,FALSE)</f>
        <v>1</v>
      </c>
      <c r="M389" s="101">
        <f t="shared" si="76"/>
        <v>496.89000000000004</v>
      </c>
      <c r="N389" s="24">
        <v>15</v>
      </c>
      <c r="O389" s="26">
        <f t="shared" si="67"/>
        <v>33.126000000000005</v>
      </c>
      <c r="P389" s="24">
        <v>1.1000000000000001</v>
      </c>
      <c r="Q389" s="24">
        <v>36</v>
      </c>
      <c r="R389" s="27">
        <f t="shared" si="68"/>
        <v>1311.7896000000003</v>
      </c>
      <c r="S389" s="102">
        <f t="shared" si="70"/>
        <v>1.458</v>
      </c>
      <c r="T389" s="21">
        <f>VLOOKUP($A389,'2022-23 Salary &amp; Benefits'!$A:$I,5,FALSE)</f>
        <v>68937</v>
      </c>
      <c r="U389" s="21">
        <f>VLOOKUP($A389,'2022-23 Salary &amp; Benefits'!$A:$I,6,FALSE)</f>
        <v>72728</v>
      </c>
      <c r="V389" s="22">
        <f t="shared" si="71"/>
        <v>100510.15</v>
      </c>
      <c r="W389" s="22">
        <f t="shared" si="72"/>
        <v>5527.2700000000041</v>
      </c>
      <c r="X389" s="22">
        <f>'2022-23 Salary &amp; Benefits'!$G$6</f>
        <v>12558.24</v>
      </c>
      <c r="Y389" s="23">
        <f>'2022-23 Salary &amp; Benefits'!$H$6</f>
        <v>0.2298</v>
      </c>
      <c r="Z389" s="23">
        <f>'2022-23 Salary &amp; Benefits'!$I$6</f>
        <v>0.22339999999999999</v>
      </c>
      <c r="AA389" s="22">
        <f t="shared" si="73"/>
        <v>42641.94</v>
      </c>
      <c r="AB389" s="22">
        <f t="shared" si="74"/>
        <v>1767.29</v>
      </c>
      <c r="AC389" s="22">
        <f t="shared" si="75"/>
        <v>394.81</v>
      </c>
      <c r="AD389" s="22">
        <f t="shared" si="77"/>
        <v>2162.1</v>
      </c>
      <c r="AE389" s="22">
        <f t="shared" si="78"/>
        <v>150841.46</v>
      </c>
      <c r="AF389" s="19" t="str">
        <f>VLOOKUP(C389,'2021-22 School Level AAFTE'!C:N,12,FALSE)</f>
        <v>No</v>
      </c>
    </row>
    <row r="390" spans="1:32" s="19" customFormat="1">
      <c r="A390" s="97" t="s">
        <v>2548</v>
      </c>
      <c r="B390" s="97" t="s">
        <v>2152</v>
      </c>
      <c r="C390" s="95">
        <v>2588</v>
      </c>
      <c r="D390" s="95" t="s">
        <v>2153</v>
      </c>
      <c r="E390" s="129">
        <f>VLOOKUP($C390,'2021-22 School Level AAFTE'!$C:$Z,11,FALSE)</f>
        <v>0.30633333333333335</v>
      </c>
      <c r="F390" s="129" t="str">
        <f>VLOOKUP($C390,'2021-22 School Level AAFTE'!$C:$Z,8,FALSE)</f>
        <v>No</v>
      </c>
      <c r="G390" s="129" t="str">
        <f>VLOOKUP($C390,'2021-22 School Level AAFTE'!$C:$Z,12,FALSE)</f>
        <v>No</v>
      </c>
      <c r="H390" s="127">
        <f>VLOOKUP($C390,'2021-22 School Level AAFTE'!$C:$I,7,FALSE)</f>
        <v>157.51</v>
      </c>
      <c r="I390" s="112">
        <f>IFERROR(IF(OR(G390="yes",F390= "yes"),VLOOKUP(C390,Summary!$B:$J,6,0),0),0)</f>
        <v>0</v>
      </c>
      <c r="J390" s="111">
        <f t="shared" si="69"/>
        <v>0</v>
      </c>
      <c r="K390" s="91">
        <f>VLOOKUP($A390,'2022-23 Salary &amp; Benefits'!$A:$I,3,FALSE)</f>
        <v>1</v>
      </c>
      <c r="L390" s="91">
        <f>VLOOKUP($A390,'2022-23 Salary &amp; Benefits'!$A:$I,4,FALSE)</f>
        <v>1.04</v>
      </c>
      <c r="M390" s="101">
        <f t="shared" si="76"/>
        <v>0</v>
      </c>
      <c r="N390" s="24">
        <v>15</v>
      </c>
      <c r="O390" s="26">
        <f t="shared" si="67"/>
        <v>0</v>
      </c>
      <c r="P390" s="24">
        <v>1.1000000000000001</v>
      </c>
      <c r="Q390" s="24">
        <v>36</v>
      </c>
      <c r="R390" s="27">
        <f t="shared" si="68"/>
        <v>0</v>
      </c>
      <c r="S390" s="102">
        <f t="shared" si="70"/>
        <v>0</v>
      </c>
      <c r="T390" s="21">
        <f>VLOOKUP($A390,'2022-23 Salary &amp; Benefits'!$A:$I,5,FALSE)</f>
        <v>68937</v>
      </c>
      <c r="U390" s="21">
        <f>VLOOKUP($A390,'2022-23 Salary &amp; Benefits'!$A:$I,6,FALSE)</f>
        <v>72728</v>
      </c>
      <c r="V390" s="22">
        <f t="shared" si="71"/>
        <v>0</v>
      </c>
      <c r="W390" s="22">
        <f t="shared" si="72"/>
        <v>0</v>
      </c>
      <c r="X390" s="22">
        <f>'2022-23 Salary &amp; Benefits'!$G$6</f>
        <v>12558.24</v>
      </c>
      <c r="Y390" s="23">
        <f>'2022-23 Salary &amp; Benefits'!$H$6</f>
        <v>0.2298</v>
      </c>
      <c r="Z390" s="23">
        <f>'2022-23 Salary &amp; Benefits'!$I$6</f>
        <v>0.22339999999999999</v>
      </c>
      <c r="AA390" s="22">
        <f t="shared" si="73"/>
        <v>0</v>
      </c>
      <c r="AB390" s="22">
        <f t="shared" si="74"/>
        <v>0</v>
      </c>
      <c r="AC390" s="22">
        <f t="shared" si="75"/>
        <v>0</v>
      </c>
      <c r="AD390" s="22">
        <f t="shared" si="77"/>
        <v>0</v>
      </c>
      <c r="AE390" s="22">
        <f t="shared" si="78"/>
        <v>0</v>
      </c>
      <c r="AF390" s="19" t="str">
        <f>VLOOKUP(C390,'2021-22 School Level AAFTE'!C:N,12,FALSE)</f>
        <v>No</v>
      </c>
    </row>
    <row r="391" spans="1:32" s="19" customFormat="1">
      <c r="A391" s="97" t="s">
        <v>2511</v>
      </c>
      <c r="B391" s="97" t="s">
        <v>1949</v>
      </c>
      <c r="C391" s="95">
        <v>3508</v>
      </c>
      <c r="D391" s="95" t="s">
        <v>1950</v>
      </c>
      <c r="E391" s="129">
        <f>VLOOKUP($C391,'2021-22 School Level AAFTE'!$C:$Z,11,FALSE)</f>
        <v>0.72070000000000001</v>
      </c>
      <c r="F391" s="129" t="str">
        <f>VLOOKUP($C391,'2021-22 School Level AAFTE'!$C:$Z,8,FALSE)</f>
        <v>Yes</v>
      </c>
      <c r="G391" s="129" t="str">
        <f>VLOOKUP($C391,'2021-22 School Level AAFTE'!$C:$Z,12,FALSE)</f>
        <v>No</v>
      </c>
      <c r="H391" s="127">
        <f>VLOOKUP($C391,'2021-22 School Level AAFTE'!$C:$I,7,FALSE)</f>
        <v>106.41000000000001</v>
      </c>
      <c r="I391" s="112">
        <f>IFERROR(IF(OR(G391="yes",F391= "yes"),VLOOKUP(C391,Summary!$B:$J,6,0),0),0)</f>
        <v>0</v>
      </c>
      <c r="J391" s="111">
        <f t="shared" si="69"/>
        <v>106.41000000000001</v>
      </c>
      <c r="K391" s="91">
        <f>VLOOKUP($A391,'2022-23 Salary &amp; Benefits'!$A:$I,3,FALSE)</f>
        <v>1</v>
      </c>
      <c r="L391" s="91">
        <f>VLOOKUP($A391,'2022-23 Salary &amp; Benefits'!$A:$I,4,FALSE)</f>
        <v>1</v>
      </c>
      <c r="M391" s="39">
        <f t="shared" si="76"/>
        <v>106.41000000000001</v>
      </c>
      <c r="N391" s="24">
        <v>15</v>
      </c>
      <c r="O391" s="26">
        <f t="shared" si="67"/>
        <v>7.0940000000000003</v>
      </c>
      <c r="P391" s="24">
        <v>1.1000000000000001</v>
      </c>
      <c r="Q391" s="24">
        <v>36</v>
      </c>
      <c r="R391" s="27">
        <f t="shared" si="68"/>
        <v>280.92240000000004</v>
      </c>
      <c r="S391" s="102">
        <f t="shared" si="70"/>
        <v>0.312</v>
      </c>
      <c r="T391" s="21">
        <f>VLOOKUP($A391,'2022-23 Salary &amp; Benefits'!$A:$I,5,FALSE)</f>
        <v>68937</v>
      </c>
      <c r="U391" s="21">
        <f>VLOOKUP($A391,'2022-23 Salary &amp; Benefits'!$A:$I,6,FALSE)</f>
        <v>72728</v>
      </c>
      <c r="V391" s="22">
        <f t="shared" si="71"/>
        <v>21508.34</v>
      </c>
      <c r="W391" s="22">
        <f t="shared" si="72"/>
        <v>1182.7999999999993</v>
      </c>
      <c r="X391" s="22">
        <f>'2022-23 Salary &amp; Benefits'!$G$6</f>
        <v>12558.24</v>
      </c>
      <c r="Y391" s="23">
        <f>'2022-23 Salary &amp; Benefits'!$H$6</f>
        <v>0.2298</v>
      </c>
      <c r="Z391" s="23">
        <f>'2022-23 Salary &amp; Benefits'!$I$6</f>
        <v>0.22339999999999999</v>
      </c>
      <c r="AA391" s="22">
        <f t="shared" si="73"/>
        <v>9125.02</v>
      </c>
      <c r="AB391" s="22">
        <f t="shared" si="74"/>
        <v>378.19</v>
      </c>
      <c r="AC391" s="22">
        <f t="shared" si="75"/>
        <v>84.49</v>
      </c>
      <c r="AD391" s="22">
        <f t="shared" si="77"/>
        <v>462.68</v>
      </c>
      <c r="AE391" s="22">
        <f t="shared" si="78"/>
        <v>32278.84</v>
      </c>
      <c r="AF391" s="19" t="str">
        <f>VLOOKUP(C391,'2021-22 School Level AAFTE'!C:N,12,FALSE)</f>
        <v>No</v>
      </c>
    </row>
    <row r="392" spans="1:32" s="19" customFormat="1">
      <c r="A392" s="97" t="s">
        <v>2529</v>
      </c>
      <c r="B392" s="97" t="s">
        <v>2055</v>
      </c>
      <c r="C392" s="95">
        <v>3012</v>
      </c>
      <c r="D392" s="95" t="s">
        <v>2056</v>
      </c>
      <c r="E392" s="129">
        <f>VLOOKUP($C392,'2021-22 School Level AAFTE'!$C:$Z,11,FALSE)</f>
        <v>0.59889999999999999</v>
      </c>
      <c r="F392" s="129" t="str">
        <f>VLOOKUP($C392,'2021-22 School Level AAFTE'!$C:$Z,8,FALSE)</f>
        <v>Yes</v>
      </c>
      <c r="G392" s="129" t="str">
        <f>VLOOKUP($C392,'2021-22 School Level AAFTE'!$C:$Z,12,FALSE)</f>
        <v>No</v>
      </c>
      <c r="H392" s="127">
        <f>VLOOKUP($C392,'2021-22 School Level AAFTE'!$C:$I,7,FALSE)</f>
        <v>183.34</v>
      </c>
      <c r="I392" s="112">
        <f>IFERROR(IF(OR(G392="yes",F392= "yes"),VLOOKUP(C392,Summary!$B:$J,6,0),0),0)</f>
        <v>0</v>
      </c>
      <c r="J392" s="111">
        <f t="shared" si="69"/>
        <v>183.34</v>
      </c>
      <c r="K392" s="91">
        <f>VLOOKUP($A392,'2022-23 Salary &amp; Benefits'!$A:$I,3,FALSE)</f>
        <v>1</v>
      </c>
      <c r="L392" s="91">
        <f>VLOOKUP($A392,'2022-23 Salary &amp; Benefits'!$A:$I,4,FALSE)</f>
        <v>1.04</v>
      </c>
      <c r="M392" s="39">
        <f t="shared" si="76"/>
        <v>183.34</v>
      </c>
      <c r="N392" s="24">
        <v>15</v>
      </c>
      <c r="O392" s="26">
        <f t="shared" si="67"/>
        <v>12.222666666666667</v>
      </c>
      <c r="P392" s="24">
        <v>1.1000000000000001</v>
      </c>
      <c r="Q392" s="24">
        <v>36</v>
      </c>
      <c r="R392" s="27">
        <f t="shared" si="68"/>
        <v>484.01760000000007</v>
      </c>
      <c r="S392" s="102">
        <f t="shared" si="70"/>
        <v>0.53800000000000003</v>
      </c>
      <c r="T392" s="21">
        <f>VLOOKUP($A392,'2022-23 Salary &amp; Benefits'!$A:$I,5,FALSE)</f>
        <v>68937</v>
      </c>
      <c r="U392" s="21">
        <f>VLOOKUP($A392,'2022-23 Salary &amp; Benefits'!$A:$I,6,FALSE)</f>
        <v>72728</v>
      </c>
      <c r="V392" s="22">
        <f t="shared" si="71"/>
        <v>37088.11</v>
      </c>
      <c r="W392" s="22">
        <f t="shared" si="72"/>
        <v>3604.6599999999962</v>
      </c>
      <c r="X392" s="22">
        <f>'2022-23 Salary &amp; Benefits'!$G$6</f>
        <v>12558.24</v>
      </c>
      <c r="Y392" s="23">
        <f>'2022-23 Salary &amp; Benefits'!$H$6</f>
        <v>0.2298</v>
      </c>
      <c r="Z392" s="23">
        <f>'2022-23 Salary &amp; Benefits'!$I$6</f>
        <v>0.22339999999999999</v>
      </c>
      <c r="AA392" s="22">
        <f t="shared" si="73"/>
        <v>16084.46</v>
      </c>
      <c r="AB392" s="22">
        <f t="shared" si="74"/>
        <v>678.21</v>
      </c>
      <c r="AC392" s="22">
        <f t="shared" si="75"/>
        <v>151.51</v>
      </c>
      <c r="AD392" s="22">
        <f t="shared" si="77"/>
        <v>829.72</v>
      </c>
      <c r="AE392" s="22">
        <f t="shared" si="78"/>
        <v>57606.95</v>
      </c>
      <c r="AF392" s="19" t="str">
        <f>VLOOKUP(C392,'2021-22 School Level AAFTE'!C:N,12,FALSE)</f>
        <v>No</v>
      </c>
    </row>
    <row r="393" spans="1:32" s="19" customFormat="1">
      <c r="A393" s="97" t="s">
        <v>2529</v>
      </c>
      <c r="B393" s="97" t="s">
        <v>2055</v>
      </c>
      <c r="C393" s="95">
        <v>3613</v>
      </c>
      <c r="D393" s="95" t="s">
        <v>1637</v>
      </c>
      <c r="E393" s="129">
        <f>VLOOKUP($C393,'2021-22 School Level AAFTE'!$C:$Z,11,FALSE)</f>
        <v>0.54159999999999997</v>
      </c>
      <c r="F393" s="129" t="str">
        <f>VLOOKUP($C393,'2021-22 School Level AAFTE'!$C:$Z,8,FALSE)</f>
        <v>Yes</v>
      </c>
      <c r="G393" s="129" t="str">
        <f>VLOOKUP($C393,'2021-22 School Level AAFTE'!$C:$Z,12,FALSE)</f>
        <v>No</v>
      </c>
      <c r="H393" s="127">
        <f>VLOOKUP($C393,'2021-22 School Level AAFTE'!$C:$I,7,FALSE)</f>
        <v>330.29</v>
      </c>
      <c r="I393" s="112">
        <f>IFERROR(IF(OR(G393="yes",F393= "yes"),VLOOKUP(C393,Summary!$B:$J,6,0),0),0)</f>
        <v>0</v>
      </c>
      <c r="J393" s="111">
        <f t="shared" si="69"/>
        <v>330.29</v>
      </c>
      <c r="K393" s="91">
        <f>VLOOKUP($A393,'2022-23 Salary &amp; Benefits'!$A:$I,3,FALSE)</f>
        <v>1</v>
      </c>
      <c r="L393" s="91">
        <f>VLOOKUP($A393,'2022-23 Salary &amp; Benefits'!$A:$I,4,FALSE)</f>
        <v>1.04</v>
      </c>
      <c r="M393" s="39">
        <f t="shared" si="76"/>
        <v>330.29</v>
      </c>
      <c r="N393" s="24">
        <v>15</v>
      </c>
      <c r="O393" s="26">
        <f t="shared" si="67"/>
        <v>22.019333333333336</v>
      </c>
      <c r="P393" s="24">
        <v>1.1000000000000001</v>
      </c>
      <c r="Q393" s="24">
        <v>36</v>
      </c>
      <c r="R393" s="27">
        <f t="shared" si="68"/>
        <v>871.96560000000022</v>
      </c>
      <c r="S393" s="102">
        <f t="shared" si="70"/>
        <v>0.96899999999999997</v>
      </c>
      <c r="T393" s="21">
        <f>VLOOKUP($A393,'2022-23 Salary &amp; Benefits'!$A:$I,5,FALSE)</f>
        <v>68937</v>
      </c>
      <c r="U393" s="21">
        <f>VLOOKUP($A393,'2022-23 Salary &amp; Benefits'!$A:$I,6,FALSE)</f>
        <v>72728</v>
      </c>
      <c r="V393" s="22">
        <f t="shared" si="71"/>
        <v>66799.95</v>
      </c>
      <c r="W393" s="22">
        <f t="shared" si="72"/>
        <v>6492.4199999999983</v>
      </c>
      <c r="X393" s="22">
        <f>'2022-23 Salary &amp; Benefits'!$G$6</f>
        <v>12558.24</v>
      </c>
      <c r="Y393" s="23">
        <f>'2022-23 Salary &amp; Benefits'!$H$6</f>
        <v>0.2298</v>
      </c>
      <c r="Z393" s="23">
        <f>'2022-23 Salary &amp; Benefits'!$I$6</f>
        <v>0.22339999999999999</v>
      </c>
      <c r="AA393" s="22">
        <f t="shared" si="73"/>
        <v>28969.97</v>
      </c>
      <c r="AB393" s="22">
        <f t="shared" si="74"/>
        <v>1221.54</v>
      </c>
      <c r="AC393" s="22">
        <f t="shared" si="75"/>
        <v>272.89</v>
      </c>
      <c r="AD393" s="22">
        <f t="shared" si="77"/>
        <v>1494.4299999999998</v>
      </c>
      <c r="AE393" s="22">
        <f t="shared" si="78"/>
        <v>103756.76999999999</v>
      </c>
      <c r="AF393" s="19" t="str">
        <f>VLOOKUP(C393,'2021-22 School Level AAFTE'!C:N,12,FALSE)</f>
        <v>No</v>
      </c>
    </row>
    <row r="394" spans="1:32" s="19" customFormat="1">
      <c r="A394" s="97" t="s">
        <v>2529</v>
      </c>
      <c r="B394" s="97" t="s">
        <v>2055</v>
      </c>
      <c r="C394" s="95">
        <v>4049</v>
      </c>
      <c r="D394" s="95" t="s">
        <v>1124</v>
      </c>
      <c r="E394" s="129">
        <f>VLOOKUP($C394,'2021-22 School Level AAFTE'!$C:$Z,11,FALSE)</f>
        <v>0.52746666666666664</v>
      </c>
      <c r="F394" s="129" t="str">
        <f>VLOOKUP($C394,'2021-22 School Level AAFTE'!$C:$Z,8,FALSE)</f>
        <v>Yes</v>
      </c>
      <c r="G394" s="129" t="str">
        <f>VLOOKUP($C394,'2021-22 School Level AAFTE'!$C:$Z,12,FALSE)</f>
        <v>No</v>
      </c>
      <c r="H394" s="127">
        <f>VLOOKUP($C394,'2021-22 School Level AAFTE'!$C:$I,7,FALSE)</f>
        <v>200.73000000000002</v>
      </c>
      <c r="I394" s="112">
        <f>IFERROR(IF(OR(G394="yes",F394= "yes"),VLOOKUP(C394,Summary!$B:$J,6,0),0),0)</f>
        <v>0</v>
      </c>
      <c r="J394" s="111">
        <f t="shared" si="69"/>
        <v>200.73000000000002</v>
      </c>
      <c r="K394" s="91">
        <f>VLOOKUP($A394,'2022-23 Salary &amp; Benefits'!$A:$I,3,FALSE)</f>
        <v>1</v>
      </c>
      <c r="L394" s="91">
        <f>VLOOKUP($A394,'2022-23 Salary &amp; Benefits'!$A:$I,4,FALSE)</f>
        <v>1.04</v>
      </c>
      <c r="M394" s="39">
        <f t="shared" si="76"/>
        <v>200.73000000000002</v>
      </c>
      <c r="N394" s="24">
        <v>15</v>
      </c>
      <c r="O394" s="26">
        <f t="shared" ref="O394:O457" si="79">IF(M394="no",0,M394/N394)</f>
        <v>13.382000000000001</v>
      </c>
      <c r="P394" s="24">
        <v>1.1000000000000001</v>
      </c>
      <c r="Q394" s="24">
        <v>36</v>
      </c>
      <c r="R394" s="27">
        <f t="shared" ref="R394:R457" si="80">IF(M394="no",0,O394*P394*Q394)</f>
        <v>529.92720000000008</v>
      </c>
      <c r="S394" s="102">
        <f t="shared" si="70"/>
        <v>0.58899999999999997</v>
      </c>
      <c r="T394" s="21">
        <f>VLOOKUP($A394,'2022-23 Salary &amp; Benefits'!$A:$I,5,FALSE)</f>
        <v>68937</v>
      </c>
      <c r="U394" s="21">
        <f>VLOOKUP($A394,'2022-23 Salary &amp; Benefits'!$A:$I,6,FALSE)</f>
        <v>72728</v>
      </c>
      <c r="V394" s="22">
        <f t="shared" si="71"/>
        <v>40603.89</v>
      </c>
      <c r="W394" s="22">
        <f t="shared" si="72"/>
        <v>3946.3700000000026</v>
      </c>
      <c r="X394" s="22">
        <f>'2022-23 Salary &amp; Benefits'!$G$6</f>
        <v>12558.24</v>
      </c>
      <c r="Y394" s="23">
        <f>'2022-23 Salary &amp; Benefits'!$H$6</f>
        <v>0.2298</v>
      </c>
      <c r="Z394" s="23">
        <f>'2022-23 Salary &amp; Benefits'!$I$6</f>
        <v>0.22339999999999999</v>
      </c>
      <c r="AA394" s="22">
        <f t="shared" si="73"/>
        <v>17609.2</v>
      </c>
      <c r="AB394" s="22">
        <f t="shared" si="74"/>
        <v>742.5</v>
      </c>
      <c r="AC394" s="22">
        <f t="shared" si="75"/>
        <v>165.87</v>
      </c>
      <c r="AD394" s="22">
        <f t="shared" si="77"/>
        <v>908.37</v>
      </c>
      <c r="AE394" s="22">
        <f t="shared" si="78"/>
        <v>63067.83</v>
      </c>
      <c r="AF394" s="19" t="str">
        <f>VLOOKUP(C394,'2021-22 School Level AAFTE'!C:N,12,FALSE)</f>
        <v>No</v>
      </c>
    </row>
    <row r="395" spans="1:32" s="19" customFormat="1">
      <c r="A395" s="97" t="s">
        <v>2507</v>
      </c>
      <c r="B395" s="97" t="s">
        <v>1936</v>
      </c>
      <c r="C395" s="95">
        <v>1594</v>
      </c>
      <c r="D395" s="95" t="s">
        <v>1937</v>
      </c>
      <c r="E395" s="129">
        <f>VLOOKUP($C395,'2021-22 School Level AAFTE'!$C:$Z,11,FALSE)</f>
        <v>0.5440666666666667</v>
      </c>
      <c r="F395" s="129" t="str">
        <f>VLOOKUP($C395,'2021-22 School Level AAFTE'!$C:$Z,8,FALSE)</f>
        <v>Yes</v>
      </c>
      <c r="G395" s="129" t="str">
        <f>VLOOKUP($C395,'2021-22 School Level AAFTE'!$C:$Z,12,FALSE)</f>
        <v>No</v>
      </c>
      <c r="H395" s="127">
        <f>VLOOKUP($C395,'2021-22 School Level AAFTE'!$C:$I,7,FALSE)</f>
        <v>76.599999999999994</v>
      </c>
      <c r="I395" s="112">
        <f>IFERROR(IF(OR(G395="yes",F395= "yes"),VLOOKUP(C395,Summary!$B:$J,6,0),0),0)</f>
        <v>0</v>
      </c>
      <c r="J395" s="111">
        <f t="shared" ref="J395:J458" si="81">IF(OR(G395="yes",F395= "yes"), H395,0)</f>
        <v>76.599999999999994</v>
      </c>
      <c r="K395" s="91">
        <f>VLOOKUP($A395,'2022-23 Salary &amp; Benefits'!$A:$I,3,FALSE)</f>
        <v>1</v>
      </c>
      <c r="L395" s="91">
        <f>VLOOKUP($A395,'2022-23 Salary &amp; Benefits'!$A:$I,4,FALSE)</f>
        <v>1.04</v>
      </c>
      <c r="M395" s="101">
        <f t="shared" si="76"/>
        <v>76.599999999999994</v>
      </c>
      <c r="N395" s="24">
        <v>15</v>
      </c>
      <c r="O395" s="26">
        <f t="shared" si="79"/>
        <v>5.1066666666666665</v>
      </c>
      <c r="P395" s="24">
        <v>1.1000000000000001</v>
      </c>
      <c r="Q395" s="24">
        <v>36</v>
      </c>
      <c r="R395" s="27">
        <f t="shared" si="80"/>
        <v>202.22400000000002</v>
      </c>
      <c r="S395" s="102">
        <f t="shared" ref="S395:S458" si="82">ROUND(IF(M395="no",0,R395/900),3)</f>
        <v>0.22500000000000001</v>
      </c>
      <c r="T395" s="21">
        <f>VLOOKUP($A395,'2022-23 Salary &amp; Benefits'!$A:$I,5,FALSE)</f>
        <v>68937</v>
      </c>
      <c r="U395" s="21">
        <f>VLOOKUP($A395,'2022-23 Salary &amp; Benefits'!$A:$I,6,FALSE)</f>
        <v>72728</v>
      </c>
      <c r="V395" s="22">
        <f t="shared" ref="V395:V458" si="83">ROUND($K395*$T395*$S395,2)</f>
        <v>15510.83</v>
      </c>
      <c r="W395" s="22">
        <f t="shared" ref="W395:W458" si="84">ROUND($L395*$U395*$S395,2)-V395</f>
        <v>1507.5199999999986</v>
      </c>
      <c r="X395" s="22">
        <f>'2022-23 Salary &amp; Benefits'!$G$6</f>
        <v>12558.24</v>
      </c>
      <c r="Y395" s="23">
        <f>'2022-23 Salary &amp; Benefits'!$H$6</f>
        <v>0.2298</v>
      </c>
      <c r="Z395" s="23">
        <f>'2022-23 Salary &amp; Benefits'!$I$6</f>
        <v>0.22339999999999999</v>
      </c>
      <c r="AA395" s="22">
        <f t="shared" ref="AA395:AA458" si="85">ROUND(V395*Y395+W395*Z395+S395*X395,2)</f>
        <v>6726.77</v>
      </c>
      <c r="AB395" s="22">
        <f t="shared" ref="AB395:AB458" si="86">ROUND(($U395*$L395*$S395/180*3),2)</f>
        <v>283.64</v>
      </c>
      <c r="AC395" s="22">
        <f t="shared" ref="AC395:AC458" si="87">ROUND(AB395*Z395,2)</f>
        <v>63.37</v>
      </c>
      <c r="AD395" s="22">
        <f t="shared" si="77"/>
        <v>347.01</v>
      </c>
      <c r="AE395" s="22">
        <f t="shared" si="78"/>
        <v>24092.129999999994</v>
      </c>
      <c r="AF395" s="19" t="str">
        <f>VLOOKUP(C395,'2021-22 School Level AAFTE'!C:N,12,FALSE)</f>
        <v>No</v>
      </c>
    </row>
    <row r="396" spans="1:32" s="19" customFormat="1">
      <c r="A396" s="97" t="s">
        <v>2507</v>
      </c>
      <c r="B396" s="97" t="s">
        <v>1936</v>
      </c>
      <c r="C396" s="95">
        <v>2957</v>
      </c>
      <c r="D396" s="95" t="s">
        <v>1938</v>
      </c>
      <c r="E396" s="129">
        <f>VLOOKUP($C396,'2021-22 School Level AAFTE'!$C:$Z,11,FALSE)</f>
        <v>0.50873333333333337</v>
      </c>
      <c r="F396" s="129" t="str">
        <f>VLOOKUP($C396,'2021-22 School Level AAFTE'!$C:$Z,8,FALSE)</f>
        <v>Yes</v>
      </c>
      <c r="G396" s="129" t="str">
        <f>VLOOKUP($C396,'2021-22 School Level AAFTE'!$C:$Z,12,FALSE)</f>
        <v>No</v>
      </c>
      <c r="H396" s="127">
        <f>VLOOKUP($C396,'2021-22 School Level AAFTE'!$C:$I,7,FALSE)</f>
        <v>316.19</v>
      </c>
      <c r="I396" s="112">
        <f>IFERROR(IF(OR(G396="yes",F396= "yes"),VLOOKUP(C396,Summary!$B:$J,6,0),0),0)</f>
        <v>0</v>
      </c>
      <c r="J396" s="111">
        <f t="shared" si="81"/>
        <v>316.19</v>
      </c>
      <c r="K396" s="91">
        <f>VLOOKUP($A396,'2022-23 Salary &amp; Benefits'!$A:$I,3,FALSE)</f>
        <v>1</v>
      </c>
      <c r="L396" s="91">
        <f>VLOOKUP($A396,'2022-23 Salary &amp; Benefits'!$A:$I,4,FALSE)</f>
        <v>1.04</v>
      </c>
      <c r="M396" s="39">
        <f t="shared" si="76"/>
        <v>316.19</v>
      </c>
      <c r="N396" s="24">
        <v>15</v>
      </c>
      <c r="O396" s="26">
        <f t="shared" si="79"/>
        <v>21.079333333333334</v>
      </c>
      <c r="P396" s="24">
        <v>1.1000000000000001</v>
      </c>
      <c r="Q396" s="24">
        <v>36</v>
      </c>
      <c r="R396" s="27">
        <f t="shared" si="80"/>
        <v>834.74160000000006</v>
      </c>
      <c r="S396" s="102">
        <f t="shared" si="82"/>
        <v>0.92700000000000005</v>
      </c>
      <c r="T396" s="21">
        <f>VLOOKUP($A396,'2022-23 Salary &amp; Benefits'!$A:$I,5,FALSE)</f>
        <v>68937</v>
      </c>
      <c r="U396" s="21">
        <f>VLOOKUP($A396,'2022-23 Salary &amp; Benefits'!$A:$I,6,FALSE)</f>
        <v>72728</v>
      </c>
      <c r="V396" s="22">
        <f t="shared" si="83"/>
        <v>63904.6</v>
      </c>
      <c r="W396" s="22">
        <f t="shared" si="84"/>
        <v>6211.010000000002</v>
      </c>
      <c r="X396" s="22">
        <f>'2022-23 Salary &amp; Benefits'!$G$6</f>
        <v>12558.24</v>
      </c>
      <c r="Y396" s="23">
        <f>'2022-23 Salary &amp; Benefits'!$H$6</f>
        <v>0.2298</v>
      </c>
      <c r="Z396" s="23">
        <f>'2022-23 Salary &amp; Benefits'!$I$6</f>
        <v>0.22339999999999999</v>
      </c>
      <c r="AA396" s="22">
        <f t="shared" si="85"/>
        <v>27714.31</v>
      </c>
      <c r="AB396" s="22">
        <f t="shared" si="86"/>
        <v>1168.5899999999999</v>
      </c>
      <c r="AC396" s="22">
        <f t="shared" si="87"/>
        <v>261.06</v>
      </c>
      <c r="AD396" s="22">
        <f t="shared" si="77"/>
        <v>1429.6499999999999</v>
      </c>
      <c r="AE396" s="22">
        <f t="shared" si="78"/>
        <v>99259.57</v>
      </c>
      <c r="AF396" s="19" t="str">
        <f>VLOOKUP(C396,'2021-22 School Level AAFTE'!C:N,12,FALSE)</f>
        <v>No</v>
      </c>
    </row>
    <row r="397" spans="1:32" s="19" customFormat="1">
      <c r="A397" s="56" t="s">
        <v>2507</v>
      </c>
      <c r="B397" s="97" t="s">
        <v>1936</v>
      </c>
      <c r="C397" s="95">
        <v>3310</v>
      </c>
      <c r="D397" s="56" t="s">
        <v>1939</v>
      </c>
      <c r="E397" s="129">
        <f>VLOOKUP($C397,'2021-22 School Level AAFTE'!$C:$Z,11,FALSE)</f>
        <v>0.45346666666666668</v>
      </c>
      <c r="F397" s="129" t="str">
        <f>VLOOKUP($C397,'2021-22 School Level AAFTE'!$C:$Z,8,FALSE)</f>
        <v>No</v>
      </c>
      <c r="G397" s="129" t="str">
        <f>VLOOKUP($C397,'2021-22 School Level AAFTE'!$C:$Z,12,FALSE)</f>
        <v>No</v>
      </c>
      <c r="H397" s="127">
        <f>VLOOKUP($C397,'2021-22 School Level AAFTE'!$C:$I,7,FALSE)</f>
        <v>512.72</v>
      </c>
      <c r="I397" s="112">
        <f>IFERROR(IF(OR(G397="yes",F397= "yes"),VLOOKUP(C397,Summary!$B:$J,6,0),0),0)</f>
        <v>0</v>
      </c>
      <c r="J397" s="111">
        <f t="shared" si="81"/>
        <v>0</v>
      </c>
      <c r="K397" s="91">
        <f>VLOOKUP($A397,'2022-23 Salary &amp; Benefits'!$A:$I,3,FALSE)</f>
        <v>1</v>
      </c>
      <c r="L397" s="91">
        <f>VLOOKUP($A397,'2022-23 Salary &amp; Benefits'!$A:$I,4,FALSE)</f>
        <v>1.04</v>
      </c>
      <c r="M397" s="39">
        <f t="shared" si="76"/>
        <v>0</v>
      </c>
      <c r="N397" s="24">
        <v>15</v>
      </c>
      <c r="O397" s="26">
        <f t="shared" si="79"/>
        <v>0</v>
      </c>
      <c r="P397" s="24">
        <v>1.1000000000000001</v>
      </c>
      <c r="Q397" s="24">
        <v>36</v>
      </c>
      <c r="R397" s="27">
        <f t="shared" si="80"/>
        <v>0</v>
      </c>
      <c r="S397" s="102">
        <f t="shared" si="82"/>
        <v>0</v>
      </c>
      <c r="T397" s="21">
        <f>VLOOKUP($A397,'2022-23 Salary &amp; Benefits'!$A:$I,5,FALSE)</f>
        <v>68937</v>
      </c>
      <c r="U397" s="21">
        <f>VLOOKUP($A397,'2022-23 Salary &amp; Benefits'!$A:$I,6,FALSE)</f>
        <v>72728</v>
      </c>
      <c r="V397" s="22">
        <f t="shared" si="83"/>
        <v>0</v>
      </c>
      <c r="W397" s="22">
        <f t="shared" si="84"/>
        <v>0</v>
      </c>
      <c r="X397" s="22">
        <f>'2022-23 Salary &amp; Benefits'!$G$6</f>
        <v>12558.24</v>
      </c>
      <c r="Y397" s="23">
        <f>'2022-23 Salary &amp; Benefits'!$H$6</f>
        <v>0.2298</v>
      </c>
      <c r="Z397" s="23">
        <f>'2022-23 Salary &amp; Benefits'!$I$6</f>
        <v>0.22339999999999999</v>
      </c>
      <c r="AA397" s="22">
        <f t="shared" si="85"/>
        <v>0</v>
      </c>
      <c r="AB397" s="22">
        <f t="shared" si="86"/>
        <v>0</v>
      </c>
      <c r="AC397" s="22">
        <f t="shared" si="87"/>
        <v>0</v>
      </c>
      <c r="AD397" s="22">
        <f t="shared" si="77"/>
        <v>0</v>
      </c>
      <c r="AE397" s="22">
        <f t="shared" si="78"/>
        <v>0</v>
      </c>
      <c r="AF397" s="19" t="str">
        <f>VLOOKUP(C397,'2021-22 School Level AAFTE'!C:N,12,FALSE)</f>
        <v>No</v>
      </c>
    </row>
    <row r="398" spans="1:32" s="19" customFormat="1">
      <c r="A398" s="97" t="s">
        <v>2507</v>
      </c>
      <c r="B398" s="97" t="s">
        <v>1936</v>
      </c>
      <c r="C398" s="95">
        <v>3831</v>
      </c>
      <c r="D398" s="95" t="s">
        <v>1940</v>
      </c>
      <c r="E398" s="129">
        <f>VLOOKUP($C398,'2021-22 School Level AAFTE'!$C:$Z,11,FALSE)</f>
        <v>0.50866666666666671</v>
      </c>
      <c r="F398" s="129" t="str">
        <f>VLOOKUP($C398,'2021-22 School Level AAFTE'!$C:$Z,8,FALSE)</f>
        <v>Yes</v>
      </c>
      <c r="G398" s="129" t="str">
        <f>VLOOKUP($C398,'2021-22 School Level AAFTE'!$C:$Z,12,FALSE)</f>
        <v>No</v>
      </c>
      <c r="H398" s="127">
        <f>VLOOKUP($C398,'2021-22 School Level AAFTE'!$C:$I,7,FALSE)</f>
        <v>367.81</v>
      </c>
      <c r="I398" s="112">
        <f>IFERROR(IF(OR(G398="yes",F398= "yes"),VLOOKUP(C398,Summary!$B:$J,6,0),0),0)</f>
        <v>0</v>
      </c>
      <c r="J398" s="111">
        <f t="shared" si="81"/>
        <v>367.81</v>
      </c>
      <c r="K398" s="91">
        <f>VLOOKUP($A398,'2022-23 Salary &amp; Benefits'!$A:$I,3,FALSE)</f>
        <v>1</v>
      </c>
      <c r="L398" s="91">
        <f>VLOOKUP($A398,'2022-23 Salary &amp; Benefits'!$A:$I,4,FALSE)</f>
        <v>1.04</v>
      </c>
      <c r="M398" s="39">
        <f t="shared" si="76"/>
        <v>367.81</v>
      </c>
      <c r="N398" s="24">
        <v>15</v>
      </c>
      <c r="O398" s="26">
        <f t="shared" si="79"/>
        <v>24.520666666666667</v>
      </c>
      <c r="P398" s="24">
        <v>1.1000000000000001</v>
      </c>
      <c r="Q398" s="24">
        <v>36</v>
      </c>
      <c r="R398" s="27">
        <f t="shared" si="80"/>
        <v>971.01840000000016</v>
      </c>
      <c r="S398" s="102">
        <f t="shared" si="82"/>
        <v>1.079</v>
      </c>
      <c r="T398" s="21">
        <f>VLOOKUP($A398,'2022-23 Salary &amp; Benefits'!$A:$I,5,FALSE)</f>
        <v>68937</v>
      </c>
      <c r="U398" s="21">
        <f>VLOOKUP($A398,'2022-23 Salary &amp; Benefits'!$A:$I,6,FALSE)</f>
        <v>72728</v>
      </c>
      <c r="V398" s="22">
        <f t="shared" si="83"/>
        <v>74383.02</v>
      </c>
      <c r="W398" s="22">
        <f t="shared" si="84"/>
        <v>7229.429999999993</v>
      </c>
      <c r="X398" s="22">
        <f>'2022-23 Salary &amp; Benefits'!$G$6</f>
        <v>12558.24</v>
      </c>
      <c r="Y398" s="23">
        <f>'2022-23 Salary &amp; Benefits'!$H$6</f>
        <v>0.2298</v>
      </c>
      <c r="Z398" s="23">
        <f>'2022-23 Salary &amp; Benefits'!$I$6</f>
        <v>0.22339999999999999</v>
      </c>
      <c r="AA398" s="22">
        <f t="shared" si="85"/>
        <v>32258.61</v>
      </c>
      <c r="AB398" s="22">
        <f t="shared" si="86"/>
        <v>1360.21</v>
      </c>
      <c r="AC398" s="22">
        <f t="shared" si="87"/>
        <v>303.87</v>
      </c>
      <c r="AD398" s="22">
        <f t="shared" si="77"/>
        <v>1664.08</v>
      </c>
      <c r="AE398" s="22">
        <f t="shared" si="78"/>
        <v>115535.14</v>
      </c>
      <c r="AF398" s="19" t="str">
        <f>VLOOKUP(C398,'2021-22 School Level AAFTE'!C:N,12,FALSE)</f>
        <v>No</v>
      </c>
    </row>
    <row r="399" spans="1:32" s="19" customFormat="1">
      <c r="A399" s="97" t="s">
        <v>2507</v>
      </c>
      <c r="B399" s="97" t="s">
        <v>1936</v>
      </c>
      <c r="C399" s="95">
        <v>4180</v>
      </c>
      <c r="D399" s="95" t="s">
        <v>1941</v>
      </c>
      <c r="E399" s="129">
        <f>VLOOKUP($C399,'2021-22 School Level AAFTE'!$C:$Z,11,FALSE)</f>
        <v>0.56956666666666667</v>
      </c>
      <c r="F399" s="129" t="str">
        <f>VLOOKUP($C399,'2021-22 School Level AAFTE'!$C:$Z,8,FALSE)</f>
        <v>Yes</v>
      </c>
      <c r="G399" s="129" t="str">
        <f>VLOOKUP($C399,'2021-22 School Level AAFTE'!$C:$Z,12,FALSE)</f>
        <v>No</v>
      </c>
      <c r="H399" s="127">
        <f>VLOOKUP($C399,'2021-22 School Level AAFTE'!$C:$I,7,FALSE)</f>
        <v>343.84</v>
      </c>
      <c r="I399" s="112">
        <f>IFERROR(IF(OR(G399="yes",F399= "yes"),VLOOKUP(C399,Summary!$B:$J,6,0),0),0)</f>
        <v>0</v>
      </c>
      <c r="J399" s="111">
        <f t="shared" si="81"/>
        <v>343.84</v>
      </c>
      <c r="K399" s="91">
        <f>VLOOKUP($A399,'2022-23 Salary &amp; Benefits'!$A:$I,3,FALSE)</f>
        <v>1</v>
      </c>
      <c r="L399" s="91">
        <f>VLOOKUP($A399,'2022-23 Salary &amp; Benefits'!$A:$I,4,FALSE)</f>
        <v>1.04</v>
      </c>
      <c r="M399" s="101">
        <f t="shared" si="76"/>
        <v>343.84</v>
      </c>
      <c r="N399" s="24">
        <v>15</v>
      </c>
      <c r="O399" s="26">
        <f t="shared" si="79"/>
        <v>22.922666666666665</v>
      </c>
      <c r="P399" s="24">
        <v>1.1000000000000001</v>
      </c>
      <c r="Q399" s="24">
        <v>36</v>
      </c>
      <c r="R399" s="27">
        <f t="shared" si="80"/>
        <v>907.73760000000004</v>
      </c>
      <c r="S399" s="102">
        <f t="shared" si="82"/>
        <v>1.0089999999999999</v>
      </c>
      <c r="T399" s="21">
        <f>VLOOKUP($A399,'2022-23 Salary &amp; Benefits'!$A:$I,5,FALSE)</f>
        <v>68937</v>
      </c>
      <c r="U399" s="21">
        <f>VLOOKUP($A399,'2022-23 Salary &amp; Benefits'!$A:$I,6,FALSE)</f>
        <v>72728</v>
      </c>
      <c r="V399" s="22">
        <f t="shared" si="83"/>
        <v>69557.429999999993</v>
      </c>
      <c r="W399" s="22">
        <f t="shared" si="84"/>
        <v>6760.4200000000128</v>
      </c>
      <c r="X399" s="22">
        <f>'2022-23 Salary &amp; Benefits'!$G$6</f>
        <v>12558.24</v>
      </c>
      <c r="Y399" s="23">
        <f>'2022-23 Salary &amp; Benefits'!$H$6</f>
        <v>0.2298</v>
      </c>
      <c r="Z399" s="23">
        <f>'2022-23 Salary &amp; Benefits'!$I$6</f>
        <v>0.22339999999999999</v>
      </c>
      <c r="AA399" s="22">
        <f t="shared" si="85"/>
        <v>30165.84</v>
      </c>
      <c r="AB399" s="22">
        <f t="shared" si="86"/>
        <v>1271.96</v>
      </c>
      <c r="AC399" s="22">
        <f t="shared" si="87"/>
        <v>284.16000000000003</v>
      </c>
      <c r="AD399" s="22">
        <f t="shared" si="77"/>
        <v>1556.1200000000001</v>
      </c>
      <c r="AE399" s="22">
        <f t="shared" si="78"/>
        <v>108039.81</v>
      </c>
      <c r="AF399" s="19" t="str">
        <f>VLOOKUP(C399,'2021-22 School Level AAFTE'!C:N,12,FALSE)</f>
        <v>No</v>
      </c>
    </row>
    <row r="400" spans="1:32" s="19" customFormat="1">
      <c r="A400" s="97" t="s">
        <v>2507</v>
      </c>
      <c r="B400" s="97" t="s">
        <v>1936</v>
      </c>
      <c r="C400" s="95">
        <v>5604</v>
      </c>
      <c r="D400" s="95" t="s">
        <v>2982</v>
      </c>
      <c r="E400" s="129">
        <f>VLOOKUP($C400,'2021-22 School Level AAFTE'!$C:$Z,11,FALSE)</f>
        <v>0</v>
      </c>
      <c r="F400" s="129" t="str">
        <f>VLOOKUP($C400,'2021-22 School Level AAFTE'!$C:$Z,8,FALSE)</f>
        <v>No</v>
      </c>
      <c r="G400" s="129" t="str">
        <f>VLOOKUP($C400,'2021-22 School Level AAFTE'!$C:$Z,12,FALSE)</f>
        <v>No</v>
      </c>
      <c r="H400" s="127">
        <f>VLOOKUP($C400,'2021-22 School Level AAFTE'!$C:$I,7,FALSE)</f>
        <v>13.14</v>
      </c>
      <c r="I400" s="112">
        <f>IFERROR(IF(OR(G400="yes",F400= "yes"),VLOOKUP(C400,Summary!$B:$J,6,0),0),0)</f>
        <v>0</v>
      </c>
      <c r="J400" s="111">
        <f t="shared" si="81"/>
        <v>0</v>
      </c>
      <c r="K400" s="91">
        <f>VLOOKUP($A400,'2022-23 Salary &amp; Benefits'!$A:$I,3,FALSE)</f>
        <v>1</v>
      </c>
      <c r="L400" s="91">
        <f>VLOOKUP($A400,'2022-23 Salary &amp; Benefits'!$A:$I,4,FALSE)</f>
        <v>1.04</v>
      </c>
      <c r="M400" s="39">
        <f t="shared" si="76"/>
        <v>0</v>
      </c>
      <c r="N400" s="24">
        <v>15</v>
      </c>
      <c r="O400" s="26">
        <f t="shared" si="79"/>
        <v>0</v>
      </c>
      <c r="P400" s="24">
        <v>1.1000000000000001</v>
      </c>
      <c r="Q400" s="24">
        <v>36</v>
      </c>
      <c r="R400" s="27">
        <f t="shared" si="80"/>
        <v>0</v>
      </c>
      <c r="S400" s="102">
        <f t="shared" si="82"/>
        <v>0</v>
      </c>
      <c r="T400" s="21">
        <f>VLOOKUP($A400,'2022-23 Salary &amp; Benefits'!$A:$I,5,FALSE)</f>
        <v>68937</v>
      </c>
      <c r="U400" s="21">
        <f>VLOOKUP($A400,'2022-23 Salary &amp; Benefits'!$A:$I,6,FALSE)</f>
        <v>72728</v>
      </c>
      <c r="V400" s="22">
        <f t="shared" si="83"/>
        <v>0</v>
      </c>
      <c r="W400" s="22">
        <f t="shared" si="84"/>
        <v>0</v>
      </c>
      <c r="X400" s="22">
        <f>'2022-23 Salary &amp; Benefits'!$G$6</f>
        <v>12558.24</v>
      </c>
      <c r="Y400" s="23">
        <f>'2022-23 Salary &amp; Benefits'!$H$6</f>
        <v>0.2298</v>
      </c>
      <c r="Z400" s="23">
        <f>'2022-23 Salary &amp; Benefits'!$I$6</f>
        <v>0.22339999999999999</v>
      </c>
      <c r="AA400" s="22">
        <f t="shared" si="85"/>
        <v>0</v>
      </c>
      <c r="AB400" s="22">
        <f t="shared" si="86"/>
        <v>0</v>
      </c>
      <c r="AC400" s="22">
        <f t="shared" si="87"/>
        <v>0</v>
      </c>
      <c r="AD400" s="22">
        <f t="shared" si="77"/>
        <v>0</v>
      </c>
      <c r="AE400" s="22">
        <f t="shared" si="78"/>
        <v>0</v>
      </c>
      <c r="AF400" s="19" t="str">
        <f>VLOOKUP(C400,'2021-22 School Level AAFTE'!C:N,12,FALSE)</f>
        <v>No</v>
      </c>
    </row>
    <row r="401" spans="1:32" s="19" customFormat="1">
      <c r="A401" s="97" t="s">
        <v>2460</v>
      </c>
      <c r="B401" s="97" t="s">
        <v>1542</v>
      </c>
      <c r="C401" s="95">
        <v>1605</v>
      </c>
      <c r="D401" s="95" t="s">
        <v>1543</v>
      </c>
      <c r="E401" s="129">
        <f>VLOOKUP($C401,'2021-22 School Level AAFTE'!$C:$Z,11,FALSE)</f>
        <v>0.67410000000000003</v>
      </c>
      <c r="F401" s="129" t="str">
        <f>VLOOKUP($C401,'2021-22 School Level AAFTE'!$C:$Z,8,FALSE)</f>
        <v>Yes</v>
      </c>
      <c r="G401" s="129" t="str">
        <f>VLOOKUP($C401,'2021-22 School Level AAFTE'!$C:$Z,12,FALSE)</f>
        <v>No</v>
      </c>
      <c r="H401" s="127">
        <f>VLOOKUP($C401,'2021-22 School Level AAFTE'!$C:$I,7,FALSE)</f>
        <v>4.96</v>
      </c>
      <c r="I401" s="112">
        <f>IFERROR(IF(OR(G401="yes",F401= "yes"),VLOOKUP(C401,Summary!$B:$J,6,0),0),0)</f>
        <v>0</v>
      </c>
      <c r="J401" s="111">
        <f t="shared" si="81"/>
        <v>4.96</v>
      </c>
      <c r="K401" s="91">
        <f>VLOOKUP($A401,'2022-23 Salary &amp; Benefits'!$A:$I,3,FALSE)</f>
        <v>1.1200000000000001</v>
      </c>
      <c r="L401" s="91">
        <f>VLOOKUP($A401,'2022-23 Salary &amp; Benefits'!$A:$I,4,FALSE)</f>
        <v>1.1200000000000001</v>
      </c>
      <c r="M401" s="39">
        <f t="shared" si="76"/>
        <v>4.96</v>
      </c>
      <c r="N401" s="24">
        <v>15</v>
      </c>
      <c r="O401" s="26">
        <f t="shared" si="79"/>
        <v>0.33066666666666666</v>
      </c>
      <c r="P401" s="24">
        <v>1.1000000000000001</v>
      </c>
      <c r="Q401" s="24">
        <v>36</v>
      </c>
      <c r="R401" s="27">
        <f t="shared" si="80"/>
        <v>13.0944</v>
      </c>
      <c r="S401" s="102">
        <f t="shared" si="82"/>
        <v>1.4999999999999999E-2</v>
      </c>
      <c r="T401" s="21">
        <f>VLOOKUP($A401,'2022-23 Salary &amp; Benefits'!$A:$I,5,FALSE)</f>
        <v>68937</v>
      </c>
      <c r="U401" s="21">
        <f>VLOOKUP($A401,'2022-23 Salary &amp; Benefits'!$A:$I,6,FALSE)</f>
        <v>72728</v>
      </c>
      <c r="V401" s="22">
        <f t="shared" si="83"/>
        <v>1158.1400000000001</v>
      </c>
      <c r="W401" s="22">
        <f t="shared" si="84"/>
        <v>63.689999999999827</v>
      </c>
      <c r="X401" s="22">
        <f>'2022-23 Salary &amp; Benefits'!$G$6</f>
        <v>12558.24</v>
      </c>
      <c r="Y401" s="23">
        <f>'2022-23 Salary &amp; Benefits'!$H$6</f>
        <v>0.2298</v>
      </c>
      <c r="Z401" s="23">
        <f>'2022-23 Salary &amp; Benefits'!$I$6</f>
        <v>0.22339999999999999</v>
      </c>
      <c r="AA401" s="22">
        <f t="shared" si="85"/>
        <v>468.74</v>
      </c>
      <c r="AB401" s="22">
        <f t="shared" si="86"/>
        <v>20.36</v>
      </c>
      <c r="AC401" s="22">
        <f t="shared" si="87"/>
        <v>4.55</v>
      </c>
      <c r="AD401" s="22">
        <f t="shared" si="77"/>
        <v>24.91</v>
      </c>
      <c r="AE401" s="22">
        <f t="shared" si="78"/>
        <v>1715.48</v>
      </c>
      <c r="AF401" s="19" t="str">
        <f>VLOOKUP(C401,'2021-22 School Level AAFTE'!C:N,12,FALSE)</f>
        <v>No</v>
      </c>
    </row>
    <row r="402" spans="1:32" s="19" customFormat="1">
      <c r="A402" s="97" t="s">
        <v>2460</v>
      </c>
      <c r="B402" s="97" t="s">
        <v>1542</v>
      </c>
      <c r="C402" s="95">
        <v>2577</v>
      </c>
      <c r="D402" s="95" t="s">
        <v>1544</v>
      </c>
      <c r="E402" s="129">
        <f>VLOOKUP($C402,'2021-22 School Level AAFTE'!$C:$Z,11,FALSE)</f>
        <v>0.7488999999999999</v>
      </c>
      <c r="F402" s="129" t="str">
        <f>VLOOKUP($C402,'2021-22 School Level AAFTE'!$C:$Z,8,FALSE)</f>
        <v>Yes</v>
      </c>
      <c r="G402" s="129" t="str">
        <f>VLOOKUP($C402,'2021-22 School Level AAFTE'!$C:$Z,12,FALSE)</f>
        <v>No</v>
      </c>
      <c r="H402" s="127">
        <f>VLOOKUP($C402,'2021-22 School Level AAFTE'!$C:$I,7,FALSE)</f>
        <v>290.44</v>
      </c>
      <c r="I402" s="112">
        <f>IFERROR(IF(OR(G402="yes",F402= "yes"),VLOOKUP(C402,Summary!$B:$J,6,0),0),0)</f>
        <v>0</v>
      </c>
      <c r="J402" s="111">
        <f t="shared" si="81"/>
        <v>290.44</v>
      </c>
      <c r="K402" s="91">
        <f>VLOOKUP($A402,'2022-23 Salary &amp; Benefits'!$A:$I,3,FALSE)</f>
        <v>1.1200000000000001</v>
      </c>
      <c r="L402" s="91">
        <f>VLOOKUP($A402,'2022-23 Salary &amp; Benefits'!$A:$I,4,FALSE)</f>
        <v>1.1200000000000001</v>
      </c>
      <c r="M402" s="39">
        <f t="shared" si="76"/>
        <v>290.44</v>
      </c>
      <c r="N402" s="24">
        <v>15</v>
      </c>
      <c r="O402" s="26">
        <f t="shared" si="79"/>
        <v>19.362666666666666</v>
      </c>
      <c r="P402" s="24">
        <v>1.1000000000000001</v>
      </c>
      <c r="Q402" s="24">
        <v>36</v>
      </c>
      <c r="R402" s="27">
        <f t="shared" si="80"/>
        <v>766.76160000000004</v>
      </c>
      <c r="S402" s="102">
        <f t="shared" si="82"/>
        <v>0.85199999999999998</v>
      </c>
      <c r="T402" s="21">
        <f>VLOOKUP($A402,'2022-23 Salary &amp; Benefits'!$A:$I,5,FALSE)</f>
        <v>68937</v>
      </c>
      <c r="U402" s="21">
        <f>VLOOKUP($A402,'2022-23 Salary &amp; Benefits'!$A:$I,6,FALSE)</f>
        <v>72728</v>
      </c>
      <c r="V402" s="22">
        <f t="shared" si="83"/>
        <v>65782.44</v>
      </c>
      <c r="W402" s="22">
        <f t="shared" si="84"/>
        <v>3617.5299999999988</v>
      </c>
      <c r="X402" s="22">
        <f>'2022-23 Salary &amp; Benefits'!$G$6</f>
        <v>12558.24</v>
      </c>
      <c r="Y402" s="23">
        <f>'2022-23 Salary &amp; Benefits'!$H$6</f>
        <v>0.2298</v>
      </c>
      <c r="Z402" s="23">
        <f>'2022-23 Salary &amp; Benefits'!$I$6</f>
        <v>0.22339999999999999</v>
      </c>
      <c r="AA402" s="22">
        <f t="shared" si="85"/>
        <v>26624.58</v>
      </c>
      <c r="AB402" s="22">
        <f t="shared" si="86"/>
        <v>1156.67</v>
      </c>
      <c r="AC402" s="22">
        <f t="shared" si="87"/>
        <v>258.39999999999998</v>
      </c>
      <c r="AD402" s="22">
        <f t="shared" si="77"/>
        <v>1415.0700000000002</v>
      </c>
      <c r="AE402" s="22">
        <f t="shared" si="78"/>
        <v>97439.62000000001</v>
      </c>
      <c r="AF402" s="19" t="str">
        <f>VLOOKUP(C402,'2021-22 School Level AAFTE'!C:N,12,FALSE)</f>
        <v>No</v>
      </c>
    </row>
    <row r="403" spans="1:32" s="19" customFormat="1">
      <c r="A403" s="97" t="s">
        <v>2460</v>
      </c>
      <c r="B403" s="97" t="s">
        <v>1542</v>
      </c>
      <c r="C403" s="95">
        <v>2810</v>
      </c>
      <c r="D403" s="95" t="s">
        <v>1545</v>
      </c>
      <c r="E403" s="129">
        <f>VLOOKUP($C403,'2021-22 School Level AAFTE'!$C:$Z,11,FALSE)</f>
        <v>0.79033333333333333</v>
      </c>
      <c r="F403" s="129" t="str">
        <f>VLOOKUP($C403,'2021-22 School Level AAFTE'!$C:$Z,8,FALSE)</f>
        <v>Yes</v>
      </c>
      <c r="G403" s="129" t="str">
        <f>VLOOKUP($C403,'2021-22 School Level AAFTE'!$C:$Z,12,FALSE)</f>
        <v>No</v>
      </c>
      <c r="H403" s="127">
        <f>VLOOKUP($C403,'2021-22 School Level AAFTE'!$C:$I,7,FALSE)</f>
        <v>191.19</v>
      </c>
      <c r="I403" s="112">
        <f>IFERROR(IF(OR(G403="yes",F403= "yes"),VLOOKUP(C403,Summary!$B:$J,6,0),0),0)</f>
        <v>0</v>
      </c>
      <c r="J403" s="111">
        <f t="shared" si="81"/>
        <v>191.19</v>
      </c>
      <c r="K403" s="91">
        <f>VLOOKUP($A403,'2022-23 Salary &amp; Benefits'!$A:$I,3,FALSE)</f>
        <v>1.1200000000000001</v>
      </c>
      <c r="L403" s="91">
        <f>VLOOKUP($A403,'2022-23 Salary &amp; Benefits'!$A:$I,4,FALSE)</f>
        <v>1.1200000000000001</v>
      </c>
      <c r="M403" s="101">
        <f t="shared" si="76"/>
        <v>191.19</v>
      </c>
      <c r="N403" s="24">
        <v>15</v>
      </c>
      <c r="O403" s="26">
        <f t="shared" si="79"/>
        <v>12.746</v>
      </c>
      <c r="P403" s="24">
        <v>1.1000000000000001</v>
      </c>
      <c r="Q403" s="24">
        <v>36</v>
      </c>
      <c r="R403" s="27">
        <f t="shared" si="80"/>
        <v>504.74160000000006</v>
      </c>
      <c r="S403" s="102">
        <f t="shared" si="82"/>
        <v>0.56100000000000005</v>
      </c>
      <c r="T403" s="21">
        <f>VLOOKUP($A403,'2022-23 Salary &amp; Benefits'!$A:$I,5,FALSE)</f>
        <v>68937</v>
      </c>
      <c r="U403" s="21">
        <f>VLOOKUP($A403,'2022-23 Salary &amp; Benefits'!$A:$I,6,FALSE)</f>
        <v>72728</v>
      </c>
      <c r="V403" s="22">
        <f t="shared" si="83"/>
        <v>43314.5</v>
      </c>
      <c r="W403" s="22">
        <f t="shared" si="84"/>
        <v>2381.9599999999991</v>
      </c>
      <c r="X403" s="22">
        <f>'2022-23 Salary &amp; Benefits'!$G$6</f>
        <v>12558.24</v>
      </c>
      <c r="Y403" s="23">
        <f>'2022-23 Salary &amp; Benefits'!$H$6</f>
        <v>0.2298</v>
      </c>
      <c r="Z403" s="23">
        <f>'2022-23 Salary &amp; Benefits'!$I$6</f>
        <v>0.22339999999999999</v>
      </c>
      <c r="AA403" s="22">
        <f t="shared" si="85"/>
        <v>17530.97</v>
      </c>
      <c r="AB403" s="22">
        <f t="shared" si="86"/>
        <v>761.61</v>
      </c>
      <c r="AC403" s="22">
        <f t="shared" si="87"/>
        <v>170.14</v>
      </c>
      <c r="AD403" s="22">
        <f t="shared" si="77"/>
        <v>931.75</v>
      </c>
      <c r="AE403" s="22">
        <f t="shared" si="78"/>
        <v>64159.18</v>
      </c>
      <c r="AF403" s="19" t="str">
        <f>VLOOKUP(C403,'2021-22 School Level AAFTE'!C:N,12,FALSE)</f>
        <v>No</v>
      </c>
    </row>
    <row r="404" spans="1:32" s="19" customFormat="1">
      <c r="A404" s="97" t="s">
        <v>2465</v>
      </c>
      <c r="B404" s="97" t="s">
        <v>1573</v>
      </c>
      <c r="C404" s="95">
        <v>2578</v>
      </c>
      <c r="D404" s="95" t="s">
        <v>1574</v>
      </c>
      <c r="E404" s="129">
        <f>VLOOKUP($C404,'2021-22 School Level AAFTE'!$C:$Z,11,FALSE)</f>
        <v>0.17860000000000001</v>
      </c>
      <c r="F404" s="129" t="str">
        <f>VLOOKUP($C404,'2021-22 School Level AAFTE'!$C:$Z,8,FALSE)</f>
        <v>No</v>
      </c>
      <c r="G404" s="129" t="str">
        <f>VLOOKUP($C404,'2021-22 School Level AAFTE'!$C:$Z,12,FALSE)</f>
        <v>No</v>
      </c>
      <c r="H404" s="127">
        <f>VLOOKUP($C404,'2021-22 School Level AAFTE'!$C:$I,7,FALSE)</f>
        <v>450.33</v>
      </c>
      <c r="I404" s="112">
        <f>IFERROR(IF(OR(G404="yes",F404= "yes"),VLOOKUP(C404,Summary!$B:$J,6,0),0),0)</f>
        <v>0</v>
      </c>
      <c r="J404" s="111">
        <f t="shared" si="81"/>
        <v>0</v>
      </c>
      <c r="K404" s="91">
        <f>VLOOKUP($A404,'2022-23 Salary &amp; Benefits'!$A:$I,3,FALSE)</f>
        <v>1.0900000000000001</v>
      </c>
      <c r="L404" s="91">
        <f>VLOOKUP($A404,'2022-23 Salary &amp; Benefits'!$A:$I,4,FALSE)</f>
        <v>1.1299999999999999</v>
      </c>
      <c r="M404" s="39">
        <f t="shared" si="76"/>
        <v>0</v>
      </c>
      <c r="N404" s="24">
        <v>15</v>
      </c>
      <c r="O404" s="26">
        <f t="shared" si="79"/>
        <v>0</v>
      </c>
      <c r="P404" s="24">
        <v>1.1000000000000001</v>
      </c>
      <c r="Q404" s="24">
        <v>36</v>
      </c>
      <c r="R404" s="27">
        <f t="shared" si="80"/>
        <v>0</v>
      </c>
      <c r="S404" s="102">
        <f t="shared" si="82"/>
        <v>0</v>
      </c>
      <c r="T404" s="21">
        <f>VLOOKUP($A404,'2022-23 Salary &amp; Benefits'!$A:$I,5,FALSE)</f>
        <v>68937</v>
      </c>
      <c r="U404" s="21">
        <f>VLOOKUP($A404,'2022-23 Salary &amp; Benefits'!$A:$I,6,FALSE)</f>
        <v>72728</v>
      </c>
      <c r="V404" s="22">
        <f t="shared" si="83"/>
        <v>0</v>
      </c>
      <c r="W404" s="22">
        <f t="shared" si="84"/>
        <v>0</v>
      </c>
      <c r="X404" s="22">
        <f>'2022-23 Salary &amp; Benefits'!$G$6</f>
        <v>12558.24</v>
      </c>
      <c r="Y404" s="23">
        <f>'2022-23 Salary &amp; Benefits'!$H$6</f>
        <v>0.2298</v>
      </c>
      <c r="Z404" s="23">
        <f>'2022-23 Salary &amp; Benefits'!$I$6</f>
        <v>0.22339999999999999</v>
      </c>
      <c r="AA404" s="22">
        <f t="shared" si="85"/>
        <v>0</v>
      </c>
      <c r="AB404" s="22">
        <f t="shared" si="86"/>
        <v>0</v>
      </c>
      <c r="AC404" s="22">
        <f t="shared" si="87"/>
        <v>0</v>
      </c>
      <c r="AD404" s="22">
        <f t="shared" si="77"/>
        <v>0</v>
      </c>
      <c r="AE404" s="22">
        <f t="shared" si="78"/>
        <v>0</v>
      </c>
      <c r="AF404" s="19" t="str">
        <f>VLOOKUP(C404,'2021-22 School Level AAFTE'!C:N,12,FALSE)</f>
        <v>No</v>
      </c>
    </row>
    <row r="405" spans="1:32" s="19" customFormat="1">
      <c r="A405" s="97" t="s">
        <v>2335</v>
      </c>
      <c r="B405" s="97" t="s">
        <v>501</v>
      </c>
      <c r="C405" s="95">
        <v>3326</v>
      </c>
      <c r="D405" s="95" t="s">
        <v>502</v>
      </c>
      <c r="E405" s="129">
        <f>VLOOKUP($C405,'2021-22 School Level AAFTE'!$C:$Z,11,FALSE)</f>
        <v>0.42336666666666667</v>
      </c>
      <c r="F405" s="129" t="str">
        <f>VLOOKUP($C405,'2021-22 School Level AAFTE'!$C:$Z,8,FALSE)</f>
        <v>No</v>
      </c>
      <c r="G405" s="129" t="str">
        <f>VLOOKUP($C405,'2021-22 School Level AAFTE'!$C:$Z,12,FALSE)</f>
        <v>No</v>
      </c>
      <c r="H405" s="127">
        <f>VLOOKUP($C405,'2021-22 School Level AAFTE'!$C:$I,7,FALSE)</f>
        <v>164.64</v>
      </c>
      <c r="I405" s="112">
        <f>IFERROR(IF(OR(G405="yes",F405= "yes"),VLOOKUP(C405,Summary!$B:$J,6,0),0),0)</f>
        <v>0</v>
      </c>
      <c r="J405" s="111">
        <f t="shared" si="81"/>
        <v>0</v>
      </c>
      <c r="K405" s="91">
        <f>VLOOKUP($A405,'2022-23 Salary &amp; Benefits'!$A:$I,3,FALSE)</f>
        <v>1</v>
      </c>
      <c r="L405" s="91">
        <f>VLOOKUP($A405,'2022-23 Salary &amp; Benefits'!$A:$I,4,FALSE)</f>
        <v>1</v>
      </c>
      <c r="M405" s="39">
        <f t="shared" si="76"/>
        <v>0</v>
      </c>
      <c r="N405" s="24">
        <v>15</v>
      </c>
      <c r="O405" s="26">
        <f t="shared" si="79"/>
        <v>0</v>
      </c>
      <c r="P405" s="24">
        <v>1.1000000000000001</v>
      </c>
      <c r="Q405" s="24">
        <v>36</v>
      </c>
      <c r="R405" s="27">
        <f t="shared" si="80"/>
        <v>0</v>
      </c>
      <c r="S405" s="102">
        <f t="shared" si="82"/>
        <v>0</v>
      </c>
      <c r="T405" s="21">
        <f>VLOOKUP($A405,'2022-23 Salary &amp; Benefits'!$A:$I,5,FALSE)</f>
        <v>68937</v>
      </c>
      <c r="U405" s="21">
        <f>VLOOKUP($A405,'2022-23 Salary &amp; Benefits'!$A:$I,6,FALSE)</f>
        <v>72728</v>
      </c>
      <c r="V405" s="22">
        <f t="shared" si="83"/>
        <v>0</v>
      </c>
      <c r="W405" s="22">
        <f t="shared" si="84"/>
        <v>0</v>
      </c>
      <c r="X405" s="22">
        <f>'2022-23 Salary &amp; Benefits'!$G$6</f>
        <v>12558.24</v>
      </c>
      <c r="Y405" s="23">
        <f>'2022-23 Salary &amp; Benefits'!$H$6</f>
        <v>0.2298</v>
      </c>
      <c r="Z405" s="23">
        <f>'2022-23 Salary &amp; Benefits'!$I$6</f>
        <v>0.22339999999999999</v>
      </c>
      <c r="AA405" s="22">
        <f t="shared" si="85"/>
        <v>0</v>
      </c>
      <c r="AB405" s="22">
        <f t="shared" si="86"/>
        <v>0</v>
      </c>
      <c r="AC405" s="22">
        <f t="shared" si="87"/>
        <v>0</v>
      </c>
      <c r="AD405" s="22">
        <f t="shared" si="77"/>
        <v>0</v>
      </c>
      <c r="AE405" s="22">
        <f t="shared" si="78"/>
        <v>0</v>
      </c>
      <c r="AF405" s="19" t="str">
        <f>VLOOKUP(C405,'2021-22 School Level AAFTE'!C:N,12,FALSE)</f>
        <v>No</v>
      </c>
    </row>
    <row r="406" spans="1:32" s="19" customFormat="1">
      <c r="A406" s="97" t="s">
        <v>2320</v>
      </c>
      <c r="B406" s="97" t="s">
        <v>425</v>
      </c>
      <c r="C406" s="95">
        <v>2693</v>
      </c>
      <c r="D406" s="95" t="s">
        <v>426</v>
      </c>
      <c r="E406" s="129">
        <f>VLOOKUP($C406,'2021-22 School Level AAFTE'!$C:$Z,11,FALSE)</f>
        <v>0.45406666666666667</v>
      </c>
      <c r="F406" s="129" t="str">
        <f>VLOOKUP($C406,'2021-22 School Level AAFTE'!$C:$Z,8,FALSE)</f>
        <v>No</v>
      </c>
      <c r="G406" s="129" t="str">
        <f>VLOOKUP($C406,'2021-22 School Level AAFTE'!$C:$Z,12,FALSE)</f>
        <v>No</v>
      </c>
      <c r="H406" s="127">
        <f>VLOOKUP($C406,'2021-22 School Level AAFTE'!$C:$I,7,FALSE)</f>
        <v>104.58</v>
      </c>
      <c r="I406" s="112">
        <f>IFERROR(IF(OR(G406="yes",F406= "yes"),VLOOKUP(C406,Summary!$B:$J,6,0),0),0)</f>
        <v>0</v>
      </c>
      <c r="J406" s="111">
        <f t="shared" si="81"/>
        <v>0</v>
      </c>
      <c r="K406" s="91">
        <f>VLOOKUP($A406,'2022-23 Salary &amp; Benefits'!$A:$I,3,FALSE)</f>
        <v>1</v>
      </c>
      <c r="L406" s="91">
        <f>VLOOKUP($A406,'2022-23 Salary &amp; Benefits'!$A:$I,4,FALSE)</f>
        <v>1</v>
      </c>
      <c r="M406" s="101">
        <f t="shared" si="76"/>
        <v>0</v>
      </c>
      <c r="N406" s="24">
        <v>15</v>
      </c>
      <c r="O406" s="26">
        <f t="shared" si="79"/>
        <v>0</v>
      </c>
      <c r="P406" s="24">
        <v>1.1000000000000001</v>
      </c>
      <c r="Q406" s="24">
        <v>36</v>
      </c>
      <c r="R406" s="27">
        <f t="shared" si="80"/>
        <v>0</v>
      </c>
      <c r="S406" s="102">
        <f t="shared" si="82"/>
        <v>0</v>
      </c>
      <c r="T406" s="21">
        <f>VLOOKUP($A406,'2022-23 Salary &amp; Benefits'!$A:$I,5,FALSE)</f>
        <v>68937</v>
      </c>
      <c r="U406" s="21">
        <f>VLOOKUP($A406,'2022-23 Salary &amp; Benefits'!$A:$I,6,FALSE)</f>
        <v>72728</v>
      </c>
      <c r="V406" s="22">
        <f t="shared" si="83"/>
        <v>0</v>
      </c>
      <c r="W406" s="22">
        <f t="shared" si="84"/>
        <v>0</v>
      </c>
      <c r="X406" s="22">
        <f>'2022-23 Salary &amp; Benefits'!$G$6</f>
        <v>12558.24</v>
      </c>
      <c r="Y406" s="23">
        <f>'2022-23 Salary &amp; Benefits'!$H$6</f>
        <v>0.2298</v>
      </c>
      <c r="Z406" s="23">
        <f>'2022-23 Salary &amp; Benefits'!$I$6</f>
        <v>0.22339999999999999</v>
      </c>
      <c r="AA406" s="22">
        <f t="shared" si="85"/>
        <v>0</v>
      </c>
      <c r="AB406" s="22">
        <f t="shared" si="86"/>
        <v>0</v>
      </c>
      <c r="AC406" s="22">
        <f t="shared" si="87"/>
        <v>0</v>
      </c>
      <c r="AD406" s="22">
        <f t="shared" si="77"/>
        <v>0</v>
      </c>
      <c r="AE406" s="22">
        <f t="shared" si="78"/>
        <v>0</v>
      </c>
      <c r="AF406" s="19" t="str">
        <f>VLOOKUP(C406,'2021-22 School Level AAFTE'!C:N,12,FALSE)</f>
        <v>No</v>
      </c>
    </row>
    <row r="407" spans="1:32" s="19" customFormat="1">
      <c r="A407" s="97" t="s">
        <v>2320</v>
      </c>
      <c r="B407" s="97" t="s">
        <v>425</v>
      </c>
      <c r="C407" s="95">
        <v>2968</v>
      </c>
      <c r="D407" s="95" t="s">
        <v>427</v>
      </c>
      <c r="E407" s="129">
        <f>VLOOKUP($C407,'2021-22 School Level AAFTE'!$C:$Z,11,FALSE)</f>
        <v>0.41539999999999999</v>
      </c>
      <c r="F407" s="129" t="str">
        <f>VLOOKUP($C407,'2021-22 School Level AAFTE'!$C:$Z,8,FALSE)</f>
        <v>No</v>
      </c>
      <c r="G407" s="129" t="str">
        <f>VLOOKUP($C407,'2021-22 School Level AAFTE'!$C:$Z,12,FALSE)</f>
        <v>No</v>
      </c>
      <c r="H407" s="127">
        <f>VLOOKUP($C407,'2021-22 School Level AAFTE'!$C:$I,7,FALSE)</f>
        <v>110.27</v>
      </c>
      <c r="I407" s="112">
        <f>IFERROR(IF(OR(G407="yes",F407= "yes"),VLOOKUP(C407,Summary!$B:$J,6,0),0),0)</f>
        <v>0</v>
      </c>
      <c r="J407" s="111">
        <f t="shared" si="81"/>
        <v>0</v>
      </c>
      <c r="K407" s="91">
        <f>VLOOKUP($A407,'2022-23 Salary &amp; Benefits'!$A:$I,3,FALSE)</f>
        <v>1</v>
      </c>
      <c r="L407" s="91">
        <f>VLOOKUP($A407,'2022-23 Salary &amp; Benefits'!$A:$I,4,FALSE)</f>
        <v>1</v>
      </c>
      <c r="M407" s="101">
        <f t="shared" si="76"/>
        <v>0</v>
      </c>
      <c r="N407" s="24">
        <v>15</v>
      </c>
      <c r="O407" s="26">
        <f t="shared" si="79"/>
        <v>0</v>
      </c>
      <c r="P407" s="24">
        <v>1.1000000000000001</v>
      </c>
      <c r="Q407" s="24">
        <v>36</v>
      </c>
      <c r="R407" s="27">
        <f t="shared" si="80"/>
        <v>0</v>
      </c>
      <c r="S407" s="102">
        <f t="shared" si="82"/>
        <v>0</v>
      </c>
      <c r="T407" s="21">
        <f>VLOOKUP($A407,'2022-23 Salary &amp; Benefits'!$A:$I,5,FALSE)</f>
        <v>68937</v>
      </c>
      <c r="U407" s="21">
        <f>VLOOKUP($A407,'2022-23 Salary &amp; Benefits'!$A:$I,6,FALSE)</f>
        <v>72728</v>
      </c>
      <c r="V407" s="22">
        <f t="shared" si="83"/>
        <v>0</v>
      </c>
      <c r="W407" s="22">
        <f t="shared" si="84"/>
        <v>0</v>
      </c>
      <c r="X407" s="22">
        <f>'2022-23 Salary &amp; Benefits'!$G$6</f>
        <v>12558.24</v>
      </c>
      <c r="Y407" s="23">
        <f>'2022-23 Salary &amp; Benefits'!$H$6</f>
        <v>0.2298</v>
      </c>
      <c r="Z407" s="23">
        <f>'2022-23 Salary &amp; Benefits'!$I$6</f>
        <v>0.22339999999999999</v>
      </c>
      <c r="AA407" s="22">
        <f t="shared" si="85"/>
        <v>0</v>
      </c>
      <c r="AB407" s="22">
        <f t="shared" si="86"/>
        <v>0</v>
      </c>
      <c r="AC407" s="22">
        <f t="shared" si="87"/>
        <v>0</v>
      </c>
      <c r="AD407" s="22">
        <f t="shared" si="77"/>
        <v>0</v>
      </c>
      <c r="AE407" s="22">
        <f t="shared" si="78"/>
        <v>0</v>
      </c>
      <c r="AF407" s="19" t="str">
        <f>VLOOKUP(C407,'2021-22 School Level AAFTE'!C:N,12,FALSE)</f>
        <v>No</v>
      </c>
    </row>
    <row r="408" spans="1:32" s="19" customFormat="1">
      <c r="A408" s="97" t="s">
        <v>2341</v>
      </c>
      <c r="B408" s="97" t="s">
        <v>522</v>
      </c>
      <c r="C408" s="95">
        <v>2625</v>
      </c>
      <c r="D408" s="95" t="s">
        <v>523</v>
      </c>
      <c r="E408" s="129">
        <f>VLOOKUP($C408,'2021-22 School Level AAFTE'!$C:$Z,11,FALSE)</f>
        <v>0.27843333333333331</v>
      </c>
      <c r="F408" s="129" t="str">
        <f>VLOOKUP($C408,'2021-22 School Level AAFTE'!$C:$Z,8,FALSE)</f>
        <v>No</v>
      </c>
      <c r="G408" s="129" t="str">
        <f>VLOOKUP($C408,'2021-22 School Level AAFTE'!$C:$Z,12,FALSE)</f>
        <v>No</v>
      </c>
      <c r="H408" s="127">
        <f>VLOOKUP($C408,'2021-22 School Level AAFTE'!$C:$I,7,FALSE)</f>
        <v>290.02999999999997</v>
      </c>
      <c r="I408" s="112">
        <f>IFERROR(IF(OR(G408="yes",F408= "yes"),VLOOKUP(C408,Summary!$B:$J,6,0),0),0)</f>
        <v>0</v>
      </c>
      <c r="J408" s="111">
        <f t="shared" si="81"/>
        <v>0</v>
      </c>
      <c r="K408" s="91">
        <f>VLOOKUP($A408,'2022-23 Salary &amp; Benefits'!$A:$I,3,FALSE)</f>
        <v>1.1200000000000001</v>
      </c>
      <c r="L408" s="91">
        <f>VLOOKUP($A408,'2022-23 Salary &amp; Benefits'!$A:$I,4,FALSE)</f>
        <v>1.1600000000000001</v>
      </c>
      <c r="M408" s="101">
        <f t="shared" si="76"/>
        <v>0</v>
      </c>
      <c r="N408" s="24">
        <v>15</v>
      </c>
      <c r="O408" s="26">
        <f t="shared" si="79"/>
        <v>0</v>
      </c>
      <c r="P408" s="24">
        <v>1.1000000000000001</v>
      </c>
      <c r="Q408" s="24">
        <v>36</v>
      </c>
      <c r="R408" s="27">
        <f t="shared" si="80"/>
        <v>0</v>
      </c>
      <c r="S408" s="102">
        <f t="shared" si="82"/>
        <v>0</v>
      </c>
      <c r="T408" s="21">
        <f>VLOOKUP($A408,'2022-23 Salary &amp; Benefits'!$A:$I,5,FALSE)</f>
        <v>68937</v>
      </c>
      <c r="U408" s="21">
        <f>VLOOKUP($A408,'2022-23 Salary &amp; Benefits'!$A:$I,6,FALSE)</f>
        <v>72728</v>
      </c>
      <c r="V408" s="22">
        <f t="shared" si="83"/>
        <v>0</v>
      </c>
      <c r="W408" s="22">
        <f t="shared" si="84"/>
        <v>0</v>
      </c>
      <c r="X408" s="22">
        <f>'2022-23 Salary &amp; Benefits'!$G$6</f>
        <v>12558.24</v>
      </c>
      <c r="Y408" s="23">
        <f>'2022-23 Salary &amp; Benefits'!$H$6</f>
        <v>0.2298</v>
      </c>
      <c r="Z408" s="23">
        <f>'2022-23 Salary &amp; Benefits'!$I$6</f>
        <v>0.22339999999999999</v>
      </c>
      <c r="AA408" s="22">
        <f t="shared" si="85"/>
        <v>0</v>
      </c>
      <c r="AB408" s="22">
        <f t="shared" si="86"/>
        <v>0</v>
      </c>
      <c r="AC408" s="22">
        <f t="shared" si="87"/>
        <v>0</v>
      </c>
      <c r="AD408" s="22">
        <f t="shared" si="77"/>
        <v>0</v>
      </c>
      <c r="AE408" s="22">
        <f t="shared" si="78"/>
        <v>0</v>
      </c>
      <c r="AF408" s="19" t="str">
        <f>VLOOKUP(C408,'2021-22 School Level AAFTE'!C:N,12,FALSE)</f>
        <v>No</v>
      </c>
    </row>
    <row r="409" spans="1:32" s="19" customFormat="1">
      <c r="A409" s="97" t="s">
        <v>2341</v>
      </c>
      <c r="B409" s="97" t="s">
        <v>522</v>
      </c>
      <c r="C409" s="95">
        <v>3664</v>
      </c>
      <c r="D409" s="95" t="s">
        <v>524</v>
      </c>
      <c r="E409" s="129">
        <f>VLOOKUP($C409,'2021-22 School Level AAFTE'!$C:$Z,11,FALSE)</f>
        <v>0.33183333333333337</v>
      </c>
      <c r="F409" s="129" t="str">
        <f>VLOOKUP($C409,'2021-22 School Level AAFTE'!$C:$Z,8,FALSE)</f>
        <v>No</v>
      </c>
      <c r="G409" s="129" t="str">
        <f>VLOOKUP($C409,'2021-22 School Level AAFTE'!$C:$Z,12,FALSE)</f>
        <v>No</v>
      </c>
      <c r="H409" s="127">
        <f>VLOOKUP($C409,'2021-22 School Level AAFTE'!$C:$I,7,FALSE)</f>
        <v>430</v>
      </c>
      <c r="I409" s="112">
        <f>IFERROR(IF(OR(G409="yes",F409= "yes"),VLOOKUP(C409,Summary!$B:$J,6,0),0),0)</f>
        <v>0</v>
      </c>
      <c r="J409" s="111">
        <f t="shared" si="81"/>
        <v>0</v>
      </c>
      <c r="K409" s="91">
        <f>VLOOKUP($A409,'2022-23 Salary &amp; Benefits'!$A:$I,3,FALSE)</f>
        <v>1.1200000000000001</v>
      </c>
      <c r="L409" s="91">
        <f>VLOOKUP($A409,'2022-23 Salary &amp; Benefits'!$A:$I,4,FALSE)</f>
        <v>1.1600000000000001</v>
      </c>
      <c r="M409" s="101">
        <f t="shared" si="76"/>
        <v>0</v>
      </c>
      <c r="N409" s="24">
        <v>15</v>
      </c>
      <c r="O409" s="26">
        <f t="shared" si="79"/>
        <v>0</v>
      </c>
      <c r="P409" s="24">
        <v>1.1000000000000001</v>
      </c>
      <c r="Q409" s="24">
        <v>36</v>
      </c>
      <c r="R409" s="27">
        <f t="shared" si="80"/>
        <v>0</v>
      </c>
      <c r="S409" s="102">
        <f t="shared" si="82"/>
        <v>0</v>
      </c>
      <c r="T409" s="21">
        <f>VLOOKUP($A409,'2022-23 Salary &amp; Benefits'!$A:$I,5,FALSE)</f>
        <v>68937</v>
      </c>
      <c r="U409" s="21">
        <f>VLOOKUP($A409,'2022-23 Salary &amp; Benefits'!$A:$I,6,FALSE)</f>
        <v>72728</v>
      </c>
      <c r="V409" s="22">
        <f t="shared" si="83"/>
        <v>0</v>
      </c>
      <c r="W409" s="22">
        <f t="shared" si="84"/>
        <v>0</v>
      </c>
      <c r="X409" s="22">
        <f>'2022-23 Salary &amp; Benefits'!$G$6</f>
        <v>12558.24</v>
      </c>
      <c r="Y409" s="23">
        <f>'2022-23 Salary &amp; Benefits'!$H$6</f>
        <v>0.2298</v>
      </c>
      <c r="Z409" s="23">
        <f>'2022-23 Salary &amp; Benefits'!$I$6</f>
        <v>0.22339999999999999</v>
      </c>
      <c r="AA409" s="22">
        <f t="shared" si="85"/>
        <v>0</v>
      </c>
      <c r="AB409" s="22">
        <f t="shared" si="86"/>
        <v>0</v>
      </c>
      <c r="AC409" s="22">
        <f t="shared" si="87"/>
        <v>0</v>
      </c>
      <c r="AD409" s="22">
        <f t="shared" si="77"/>
        <v>0</v>
      </c>
      <c r="AE409" s="22">
        <f t="shared" si="78"/>
        <v>0</v>
      </c>
      <c r="AF409" s="19" t="str">
        <f>VLOOKUP(C409,'2021-22 School Level AAFTE'!C:N,12,FALSE)</f>
        <v>No</v>
      </c>
    </row>
    <row r="410" spans="1:32" s="19" customFormat="1">
      <c r="A410" s="97" t="s">
        <v>2341</v>
      </c>
      <c r="B410" s="97" t="s">
        <v>522</v>
      </c>
      <c r="C410" s="95">
        <v>4004</v>
      </c>
      <c r="D410" s="95" t="s">
        <v>525</v>
      </c>
      <c r="E410" s="129">
        <f>VLOOKUP($C410,'2021-22 School Level AAFTE'!$C:$Z,11,FALSE)</f>
        <v>0.33089999999999997</v>
      </c>
      <c r="F410" s="129" t="str">
        <f>VLOOKUP($C410,'2021-22 School Level AAFTE'!$C:$Z,8,FALSE)</f>
        <v>No</v>
      </c>
      <c r="G410" s="129" t="str">
        <f>VLOOKUP($C410,'2021-22 School Level AAFTE'!$C:$Z,12,FALSE)</f>
        <v>No</v>
      </c>
      <c r="H410" s="127">
        <f>VLOOKUP($C410,'2021-22 School Level AAFTE'!$C:$I,7,FALSE)</f>
        <v>193.57</v>
      </c>
      <c r="I410" s="112">
        <f>IFERROR(IF(OR(G410="yes",F410= "yes"),VLOOKUP(C410,Summary!$B:$J,6,0),0),0)</f>
        <v>0</v>
      </c>
      <c r="J410" s="111">
        <f t="shared" si="81"/>
        <v>0</v>
      </c>
      <c r="K410" s="91">
        <f>VLOOKUP($A410,'2022-23 Salary &amp; Benefits'!$A:$I,3,FALSE)</f>
        <v>1.1200000000000001</v>
      </c>
      <c r="L410" s="91">
        <f>VLOOKUP($A410,'2022-23 Salary &amp; Benefits'!$A:$I,4,FALSE)</f>
        <v>1.1600000000000001</v>
      </c>
      <c r="M410" s="101">
        <f t="shared" si="76"/>
        <v>0</v>
      </c>
      <c r="N410" s="24">
        <v>15</v>
      </c>
      <c r="O410" s="26">
        <f t="shared" si="79"/>
        <v>0</v>
      </c>
      <c r="P410" s="24">
        <v>1.1000000000000001</v>
      </c>
      <c r="Q410" s="24">
        <v>36</v>
      </c>
      <c r="R410" s="27">
        <f t="shared" si="80"/>
        <v>0</v>
      </c>
      <c r="S410" s="102">
        <f t="shared" si="82"/>
        <v>0</v>
      </c>
      <c r="T410" s="21">
        <f>VLOOKUP($A410,'2022-23 Salary &amp; Benefits'!$A:$I,5,FALSE)</f>
        <v>68937</v>
      </c>
      <c r="U410" s="21">
        <f>VLOOKUP($A410,'2022-23 Salary &amp; Benefits'!$A:$I,6,FALSE)</f>
        <v>72728</v>
      </c>
      <c r="V410" s="22">
        <f t="shared" si="83"/>
        <v>0</v>
      </c>
      <c r="W410" s="22">
        <f t="shared" si="84"/>
        <v>0</v>
      </c>
      <c r="X410" s="22">
        <f>'2022-23 Salary &amp; Benefits'!$G$6</f>
        <v>12558.24</v>
      </c>
      <c r="Y410" s="23">
        <f>'2022-23 Salary &amp; Benefits'!$H$6</f>
        <v>0.2298</v>
      </c>
      <c r="Z410" s="23">
        <f>'2022-23 Salary &amp; Benefits'!$I$6</f>
        <v>0.22339999999999999</v>
      </c>
      <c r="AA410" s="22">
        <f t="shared" si="85"/>
        <v>0</v>
      </c>
      <c r="AB410" s="22">
        <f t="shared" si="86"/>
        <v>0</v>
      </c>
      <c r="AC410" s="22">
        <f t="shared" si="87"/>
        <v>0</v>
      </c>
      <c r="AD410" s="22">
        <f t="shared" si="77"/>
        <v>0</v>
      </c>
      <c r="AE410" s="22">
        <f t="shared" si="78"/>
        <v>0</v>
      </c>
      <c r="AF410" s="19" t="str">
        <f>VLOOKUP(C410,'2021-22 School Level AAFTE'!C:N,12,FALSE)</f>
        <v>No</v>
      </c>
    </row>
    <row r="411" spans="1:32" s="19" customFormat="1">
      <c r="A411" s="97" t="s">
        <v>2341</v>
      </c>
      <c r="B411" s="97" t="s">
        <v>522</v>
      </c>
      <c r="C411" s="95">
        <v>5412</v>
      </c>
      <c r="D411" s="95" t="s">
        <v>526</v>
      </c>
      <c r="E411" s="129">
        <f>VLOOKUP($C411,'2021-22 School Level AAFTE'!$C:$Z,11,FALSE)</f>
        <v>0.56856666666666666</v>
      </c>
      <c r="F411" s="129" t="str">
        <f>VLOOKUP($C411,'2021-22 School Level AAFTE'!$C:$Z,8,FALSE)</f>
        <v>Yes</v>
      </c>
      <c r="G411" s="129" t="str">
        <f>VLOOKUP($C411,'2021-22 School Level AAFTE'!$C:$Z,12,FALSE)</f>
        <v>No</v>
      </c>
      <c r="H411" s="127">
        <f>VLOOKUP($C411,'2021-22 School Level AAFTE'!$C:$I,7,FALSE)</f>
        <v>52.43</v>
      </c>
      <c r="I411" s="112">
        <f>IFERROR(IF(OR(G411="yes",F411= "yes"),VLOOKUP(C411,Summary!$B:$J,6,0),0),0)</f>
        <v>0</v>
      </c>
      <c r="J411" s="111">
        <f t="shared" si="81"/>
        <v>52.43</v>
      </c>
      <c r="K411" s="91">
        <f>VLOOKUP($A411,'2022-23 Salary &amp; Benefits'!$A:$I,3,FALSE)</f>
        <v>1.1200000000000001</v>
      </c>
      <c r="L411" s="91">
        <f>VLOOKUP($A411,'2022-23 Salary &amp; Benefits'!$A:$I,4,FALSE)</f>
        <v>1.1600000000000001</v>
      </c>
      <c r="M411" s="39">
        <f t="shared" si="76"/>
        <v>52.43</v>
      </c>
      <c r="N411" s="24">
        <v>15</v>
      </c>
      <c r="O411" s="26">
        <f t="shared" si="79"/>
        <v>3.4953333333333334</v>
      </c>
      <c r="P411" s="24">
        <v>1.1000000000000001</v>
      </c>
      <c r="Q411" s="24">
        <v>36</v>
      </c>
      <c r="R411" s="27">
        <f t="shared" si="80"/>
        <v>138.4152</v>
      </c>
      <c r="S411" s="102">
        <f t="shared" si="82"/>
        <v>0.154</v>
      </c>
      <c r="T411" s="21">
        <f>VLOOKUP($A411,'2022-23 Salary &amp; Benefits'!$A:$I,5,FALSE)</f>
        <v>68937</v>
      </c>
      <c r="U411" s="21">
        <f>VLOOKUP($A411,'2022-23 Salary &amp; Benefits'!$A:$I,6,FALSE)</f>
        <v>72728</v>
      </c>
      <c r="V411" s="22">
        <f t="shared" si="83"/>
        <v>11890.25</v>
      </c>
      <c r="W411" s="22">
        <f t="shared" si="84"/>
        <v>1101.8799999999992</v>
      </c>
      <c r="X411" s="22">
        <f>'2022-23 Salary &amp; Benefits'!$G$6</f>
        <v>12558.24</v>
      </c>
      <c r="Y411" s="23">
        <f>'2022-23 Salary &amp; Benefits'!$H$6</f>
        <v>0.2298</v>
      </c>
      <c r="Z411" s="23">
        <f>'2022-23 Salary &amp; Benefits'!$I$6</f>
        <v>0.22339999999999999</v>
      </c>
      <c r="AA411" s="22">
        <f t="shared" si="85"/>
        <v>4912.51</v>
      </c>
      <c r="AB411" s="22">
        <f t="shared" si="86"/>
        <v>216.54</v>
      </c>
      <c r="AC411" s="22">
        <f t="shared" si="87"/>
        <v>48.38</v>
      </c>
      <c r="AD411" s="22">
        <f t="shared" si="77"/>
        <v>264.92</v>
      </c>
      <c r="AE411" s="22">
        <f t="shared" si="78"/>
        <v>18169.559999999998</v>
      </c>
      <c r="AF411" s="19" t="str">
        <f>VLOOKUP(C411,'2021-22 School Level AAFTE'!C:N,12,FALSE)</f>
        <v>No</v>
      </c>
    </row>
    <row r="412" spans="1:32" s="19" customFormat="1">
      <c r="A412" s="97" t="s">
        <v>2278</v>
      </c>
      <c r="B412" s="97" t="s">
        <v>145</v>
      </c>
      <c r="C412" s="95">
        <v>3473</v>
      </c>
      <c r="D412" s="95" t="s">
        <v>146</v>
      </c>
      <c r="E412" s="129">
        <f>VLOOKUP($C412,'2021-22 School Level AAFTE'!$C:$Z,11,FALSE)</f>
        <v>0.56343333333333334</v>
      </c>
      <c r="F412" s="129" t="str">
        <f>VLOOKUP($C412,'2021-22 School Level AAFTE'!$C:$Z,8,FALSE)</f>
        <v>Yes</v>
      </c>
      <c r="G412" s="129" t="str">
        <f>VLOOKUP($C412,'2021-22 School Level AAFTE'!$C:$Z,12,FALSE)</f>
        <v>No</v>
      </c>
      <c r="H412" s="127">
        <f>VLOOKUP($C412,'2021-22 School Level AAFTE'!$C:$I,7,FALSE)</f>
        <v>219.98000000000002</v>
      </c>
      <c r="I412" s="112">
        <f>IFERROR(IF(OR(G412="yes",F412= "yes"),VLOOKUP(C412,Summary!$B:$J,6,0),0),0)</f>
        <v>0</v>
      </c>
      <c r="J412" s="111">
        <f t="shared" si="81"/>
        <v>219.98000000000002</v>
      </c>
      <c r="K412" s="91">
        <f>VLOOKUP($A412,'2022-23 Salary &amp; Benefits'!$A:$I,3,FALSE)</f>
        <v>1</v>
      </c>
      <c r="L412" s="91">
        <f>VLOOKUP($A412,'2022-23 Salary &amp; Benefits'!$A:$I,4,FALSE)</f>
        <v>1</v>
      </c>
      <c r="M412" s="39">
        <f t="shared" si="76"/>
        <v>219.98000000000002</v>
      </c>
      <c r="N412" s="24">
        <v>15</v>
      </c>
      <c r="O412" s="26">
        <f t="shared" si="79"/>
        <v>14.665333333333335</v>
      </c>
      <c r="P412" s="24">
        <v>1.1000000000000001</v>
      </c>
      <c r="Q412" s="24">
        <v>36</v>
      </c>
      <c r="R412" s="27">
        <f t="shared" si="80"/>
        <v>580.74720000000013</v>
      </c>
      <c r="S412" s="102">
        <f t="shared" si="82"/>
        <v>0.64500000000000002</v>
      </c>
      <c r="T412" s="21">
        <f>VLOOKUP($A412,'2022-23 Salary &amp; Benefits'!$A:$I,5,FALSE)</f>
        <v>68937</v>
      </c>
      <c r="U412" s="21">
        <f>VLOOKUP($A412,'2022-23 Salary &amp; Benefits'!$A:$I,6,FALSE)</f>
        <v>72728</v>
      </c>
      <c r="V412" s="22">
        <f t="shared" si="83"/>
        <v>44464.37</v>
      </c>
      <c r="W412" s="22">
        <f t="shared" si="84"/>
        <v>2445.1899999999951</v>
      </c>
      <c r="X412" s="22">
        <f>'2022-23 Salary &amp; Benefits'!$G$6</f>
        <v>12558.24</v>
      </c>
      <c r="Y412" s="23">
        <f>'2022-23 Salary &amp; Benefits'!$H$6</f>
        <v>0.2298</v>
      </c>
      <c r="Z412" s="23">
        <f>'2022-23 Salary &amp; Benefits'!$I$6</f>
        <v>0.22339999999999999</v>
      </c>
      <c r="AA412" s="22">
        <f t="shared" si="85"/>
        <v>18864.23</v>
      </c>
      <c r="AB412" s="22">
        <f t="shared" si="86"/>
        <v>781.83</v>
      </c>
      <c r="AC412" s="22">
        <f t="shared" si="87"/>
        <v>174.66</v>
      </c>
      <c r="AD412" s="22">
        <f t="shared" si="77"/>
        <v>956.49</v>
      </c>
      <c r="AE412" s="22">
        <f t="shared" si="78"/>
        <v>66730.280000000013</v>
      </c>
      <c r="AF412" s="19" t="str">
        <f>VLOOKUP(C412,'2021-22 School Level AAFTE'!C:N,12,FALSE)</f>
        <v>No</v>
      </c>
    </row>
    <row r="413" spans="1:32" s="19" customFormat="1">
      <c r="A413" s="97" t="s">
        <v>2278</v>
      </c>
      <c r="B413" s="97" t="s">
        <v>145</v>
      </c>
      <c r="C413" s="95">
        <v>5030</v>
      </c>
      <c r="D413" s="95" t="s">
        <v>147</v>
      </c>
      <c r="E413" s="129">
        <f>VLOOKUP($C413,'2021-22 School Level AAFTE'!$C:$Z,11,FALSE)</f>
        <v>0.4437666666666667</v>
      </c>
      <c r="F413" s="129" t="str">
        <f>VLOOKUP($C413,'2021-22 School Level AAFTE'!$C:$Z,8,FALSE)</f>
        <v>No</v>
      </c>
      <c r="G413" s="129" t="str">
        <f>VLOOKUP($C413,'2021-22 School Level AAFTE'!$C:$Z,12,FALSE)</f>
        <v>No</v>
      </c>
      <c r="H413" s="127">
        <f>VLOOKUP($C413,'2021-22 School Level AAFTE'!$C:$I,7,FALSE)</f>
        <v>87.99</v>
      </c>
      <c r="I413" s="112">
        <f>IFERROR(IF(OR(G413="yes",F413= "yes"),VLOOKUP(C413,Summary!$B:$J,6,0),0),0)</f>
        <v>0</v>
      </c>
      <c r="J413" s="111">
        <f t="shared" si="81"/>
        <v>0</v>
      </c>
      <c r="K413" s="91">
        <f>VLOOKUP($A413,'2022-23 Salary &amp; Benefits'!$A:$I,3,FALSE)</f>
        <v>1</v>
      </c>
      <c r="L413" s="91">
        <f>VLOOKUP($A413,'2022-23 Salary &amp; Benefits'!$A:$I,4,FALSE)</f>
        <v>1</v>
      </c>
      <c r="M413" s="39">
        <f t="shared" si="76"/>
        <v>0</v>
      </c>
      <c r="N413" s="24">
        <v>15</v>
      </c>
      <c r="O413" s="26">
        <f t="shared" si="79"/>
        <v>0</v>
      </c>
      <c r="P413" s="24">
        <v>1.1000000000000001</v>
      </c>
      <c r="Q413" s="24">
        <v>36</v>
      </c>
      <c r="R413" s="27">
        <f t="shared" si="80"/>
        <v>0</v>
      </c>
      <c r="S413" s="102">
        <f t="shared" si="82"/>
        <v>0</v>
      </c>
      <c r="T413" s="21">
        <f>VLOOKUP($A413,'2022-23 Salary &amp; Benefits'!$A:$I,5,FALSE)</f>
        <v>68937</v>
      </c>
      <c r="U413" s="21">
        <f>VLOOKUP($A413,'2022-23 Salary &amp; Benefits'!$A:$I,6,FALSE)</f>
        <v>72728</v>
      </c>
      <c r="V413" s="22">
        <f t="shared" si="83"/>
        <v>0</v>
      </c>
      <c r="W413" s="22">
        <f t="shared" si="84"/>
        <v>0</v>
      </c>
      <c r="X413" s="22">
        <f>'2022-23 Salary &amp; Benefits'!$G$6</f>
        <v>12558.24</v>
      </c>
      <c r="Y413" s="23">
        <f>'2022-23 Salary &amp; Benefits'!$H$6</f>
        <v>0.2298</v>
      </c>
      <c r="Z413" s="23">
        <f>'2022-23 Salary &amp; Benefits'!$I$6</f>
        <v>0.22339999999999999</v>
      </c>
      <c r="AA413" s="22">
        <f t="shared" si="85"/>
        <v>0</v>
      </c>
      <c r="AB413" s="22">
        <f t="shared" si="86"/>
        <v>0</v>
      </c>
      <c r="AC413" s="22">
        <f t="shared" si="87"/>
        <v>0</v>
      </c>
      <c r="AD413" s="22">
        <f t="shared" si="77"/>
        <v>0</v>
      </c>
      <c r="AE413" s="22">
        <f t="shared" si="78"/>
        <v>0</v>
      </c>
      <c r="AF413" s="19" t="str">
        <f>VLOOKUP(C413,'2021-22 School Level AAFTE'!C:N,12,FALSE)</f>
        <v>No</v>
      </c>
    </row>
    <row r="414" spans="1:32" s="19" customFormat="1">
      <c r="A414" s="56" t="s">
        <v>2409</v>
      </c>
      <c r="B414" s="97" t="s">
        <v>1189</v>
      </c>
      <c r="C414" s="95">
        <v>2862</v>
      </c>
      <c r="D414" s="56" t="s">
        <v>1190</v>
      </c>
      <c r="E414" s="129">
        <f>VLOOKUP($C414,'2021-22 School Level AAFTE'!$C:$Z,11,FALSE)</f>
        <v>0.5</v>
      </c>
      <c r="F414" s="129" t="str">
        <f>VLOOKUP($C414,'2021-22 School Level AAFTE'!$C:$Z,8,FALSE)</f>
        <v>Yes</v>
      </c>
      <c r="G414" s="129" t="str">
        <f>VLOOKUP($C414,'2021-22 School Level AAFTE'!$C:$Z,12,FALSE)</f>
        <v>No</v>
      </c>
      <c r="H414" s="127">
        <f>VLOOKUP($C414,'2021-22 School Level AAFTE'!$C:$I,7,FALSE)</f>
        <v>40.86</v>
      </c>
      <c r="I414" s="112">
        <f>IFERROR(IF(OR(G414="yes",F414= "yes"),VLOOKUP(C414,Summary!$B:$J,6,0),0),0)</f>
        <v>0</v>
      </c>
      <c r="J414" s="111">
        <f t="shared" si="81"/>
        <v>40.86</v>
      </c>
      <c r="K414" s="91">
        <f>VLOOKUP($A414,'2022-23 Salary &amp; Benefits'!$A:$I,3,FALSE)</f>
        <v>1</v>
      </c>
      <c r="L414" s="91">
        <f>VLOOKUP($A414,'2022-23 Salary &amp; Benefits'!$A:$I,4,FALSE)</f>
        <v>1.04</v>
      </c>
      <c r="M414" s="101">
        <f t="shared" si="76"/>
        <v>40.86</v>
      </c>
      <c r="N414" s="24">
        <v>15</v>
      </c>
      <c r="O414" s="26">
        <f t="shared" si="79"/>
        <v>2.7239999999999998</v>
      </c>
      <c r="P414" s="24">
        <v>1.1000000000000001</v>
      </c>
      <c r="Q414" s="24">
        <v>36</v>
      </c>
      <c r="R414" s="27">
        <f t="shared" si="80"/>
        <v>107.8704</v>
      </c>
      <c r="S414" s="102">
        <f t="shared" si="82"/>
        <v>0.12</v>
      </c>
      <c r="T414" s="21">
        <f>VLOOKUP($A414,'2022-23 Salary &amp; Benefits'!$A:$I,5,FALSE)</f>
        <v>68937</v>
      </c>
      <c r="U414" s="21">
        <f>VLOOKUP($A414,'2022-23 Salary &amp; Benefits'!$A:$I,6,FALSE)</f>
        <v>72728</v>
      </c>
      <c r="V414" s="22">
        <f t="shared" si="83"/>
        <v>8272.44</v>
      </c>
      <c r="W414" s="22">
        <f t="shared" si="84"/>
        <v>804.01000000000022</v>
      </c>
      <c r="X414" s="22">
        <f>'2022-23 Salary &amp; Benefits'!$G$6</f>
        <v>12558.24</v>
      </c>
      <c r="Y414" s="23">
        <f>'2022-23 Salary &amp; Benefits'!$H$6</f>
        <v>0.2298</v>
      </c>
      <c r="Z414" s="23">
        <f>'2022-23 Salary &amp; Benefits'!$I$6</f>
        <v>0.22339999999999999</v>
      </c>
      <c r="AA414" s="22">
        <f t="shared" si="85"/>
        <v>3587.61</v>
      </c>
      <c r="AB414" s="22">
        <f t="shared" si="86"/>
        <v>151.27000000000001</v>
      </c>
      <c r="AC414" s="22">
        <f t="shared" si="87"/>
        <v>33.79</v>
      </c>
      <c r="AD414" s="22">
        <f t="shared" si="77"/>
        <v>185.06</v>
      </c>
      <c r="AE414" s="22">
        <f t="shared" si="78"/>
        <v>12849.12</v>
      </c>
      <c r="AF414" s="19" t="str">
        <f>VLOOKUP(C414,'2021-22 School Level AAFTE'!C:N,12,FALSE)</f>
        <v>No</v>
      </c>
    </row>
    <row r="415" spans="1:32" s="19" customFormat="1">
      <c r="A415" s="97" t="s">
        <v>2409</v>
      </c>
      <c r="B415" s="97" t="s">
        <v>1189</v>
      </c>
      <c r="C415" s="95">
        <v>2863</v>
      </c>
      <c r="D415" s="95" t="s">
        <v>1191</v>
      </c>
      <c r="E415" s="129">
        <f>VLOOKUP($C415,'2021-22 School Level AAFTE'!$C:$Z,11,FALSE)</f>
        <v>0.32046666666666662</v>
      </c>
      <c r="F415" s="129" t="str">
        <f>VLOOKUP($C415,'2021-22 School Level AAFTE'!$C:$Z,8,FALSE)</f>
        <v>No</v>
      </c>
      <c r="G415" s="129" t="str">
        <f>VLOOKUP($C415,'2021-22 School Level AAFTE'!$C:$Z,12,FALSE)</f>
        <v>No</v>
      </c>
      <c r="H415" s="127">
        <f>VLOOKUP($C415,'2021-22 School Level AAFTE'!$C:$I,7,FALSE)</f>
        <v>46.14</v>
      </c>
      <c r="I415" s="112">
        <f>IFERROR(IF(OR(G415="yes",F415= "yes"),VLOOKUP(C415,Summary!$B:$J,6,0),0),0)</f>
        <v>0</v>
      </c>
      <c r="J415" s="111">
        <f t="shared" si="81"/>
        <v>0</v>
      </c>
      <c r="K415" s="91">
        <f>VLOOKUP($A415,'2022-23 Salary &amp; Benefits'!$A:$I,3,FALSE)</f>
        <v>1</v>
      </c>
      <c r="L415" s="91">
        <f>VLOOKUP($A415,'2022-23 Salary &amp; Benefits'!$A:$I,4,FALSE)</f>
        <v>1.04</v>
      </c>
      <c r="M415" s="39">
        <f t="shared" si="76"/>
        <v>0</v>
      </c>
      <c r="N415" s="24">
        <v>15</v>
      </c>
      <c r="O415" s="26">
        <f t="shared" si="79"/>
        <v>0</v>
      </c>
      <c r="P415" s="24">
        <v>1.1000000000000001</v>
      </c>
      <c r="Q415" s="24">
        <v>36</v>
      </c>
      <c r="R415" s="27">
        <f t="shared" si="80"/>
        <v>0</v>
      </c>
      <c r="S415" s="102">
        <f t="shared" si="82"/>
        <v>0</v>
      </c>
      <c r="T415" s="21">
        <f>VLOOKUP($A415,'2022-23 Salary &amp; Benefits'!$A:$I,5,FALSE)</f>
        <v>68937</v>
      </c>
      <c r="U415" s="21">
        <f>VLOOKUP($A415,'2022-23 Salary &amp; Benefits'!$A:$I,6,FALSE)</f>
        <v>72728</v>
      </c>
      <c r="V415" s="22">
        <f t="shared" si="83"/>
        <v>0</v>
      </c>
      <c r="W415" s="22">
        <f t="shared" si="84"/>
        <v>0</v>
      </c>
      <c r="X415" s="22">
        <f>'2022-23 Salary &amp; Benefits'!$G$6</f>
        <v>12558.24</v>
      </c>
      <c r="Y415" s="23">
        <f>'2022-23 Salary &amp; Benefits'!$H$6</f>
        <v>0.2298</v>
      </c>
      <c r="Z415" s="23">
        <f>'2022-23 Salary &amp; Benefits'!$I$6</f>
        <v>0.22339999999999999</v>
      </c>
      <c r="AA415" s="22">
        <f t="shared" si="85"/>
        <v>0</v>
      </c>
      <c r="AB415" s="22">
        <f t="shared" si="86"/>
        <v>0</v>
      </c>
      <c r="AC415" s="22">
        <f t="shared" si="87"/>
        <v>0</v>
      </c>
      <c r="AD415" s="22">
        <f t="shared" si="77"/>
        <v>0</v>
      </c>
      <c r="AE415" s="22">
        <f t="shared" si="78"/>
        <v>0</v>
      </c>
      <c r="AF415" s="19" t="str">
        <f>VLOOKUP(C415,'2021-22 School Level AAFTE'!C:N,12,FALSE)</f>
        <v>No</v>
      </c>
    </row>
    <row r="416" spans="1:32" s="19" customFormat="1">
      <c r="A416" s="97" t="s">
        <v>2308</v>
      </c>
      <c r="B416" s="97" t="s">
        <v>360</v>
      </c>
      <c r="C416" s="95">
        <v>2006</v>
      </c>
      <c r="D416" s="95" t="s">
        <v>361</v>
      </c>
      <c r="E416" s="129">
        <f>VLOOKUP($C416,'2021-22 School Level AAFTE'!$C:$Z,11,FALSE)</f>
        <v>0.62673333333333325</v>
      </c>
      <c r="F416" s="129" t="str">
        <f>VLOOKUP($C416,'2021-22 School Level AAFTE'!$C:$Z,8,FALSE)</f>
        <v>Yes</v>
      </c>
      <c r="G416" s="129" t="str">
        <f>VLOOKUP($C416,'2021-22 School Level AAFTE'!$C:$Z,12,FALSE)</f>
        <v>No</v>
      </c>
      <c r="H416" s="127">
        <f>VLOOKUP($C416,'2021-22 School Level AAFTE'!$C:$I,7,FALSE)</f>
        <v>220.92</v>
      </c>
      <c r="I416" s="112">
        <f>IFERROR(IF(OR(G416="yes",F416= "yes"),VLOOKUP(C416,Summary!$B:$J,6,0),0),0)</f>
        <v>0</v>
      </c>
      <c r="J416" s="111">
        <f t="shared" si="81"/>
        <v>220.92</v>
      </c>
      <c r="K416" s="91">
        <f>VLOOKUP($A416,'2022-23 Salary &amp; Benefits'!$A:$I,3,FALSE)</f>
        <v>1</v>
      </c>
      <c r="L416" s="91">
        <f>VLOOKUP($A416,'2022-23 Salary &amp; Benefits'!$A:$I,4,FALSE)</f>
        <v>1.04</v>
      </c>
      <c r="M416" s="39">
        <f t="shared" si="76"/>
        <v>220.92</v>
      </c>
      <c r="N416" s="24">
        <v>15</v>
      </c>
      <c r="O416" s="26">
        <f t="shared" si="79"/>
        <v>14.728</v>
      </c>
      <c r="P416" s="24">
        <v>1.1000000000000001</v>
      </c>
      <c r="Q416" s="24">
        <v>36</v>
      </c>
      <c r="R416" s="27">
        <f t="shared" si="80"/>
        <v>583.22880000000009</v>
      </c>
      <c r="S416" s="102">
        <f t="shared" si="82"/>
        <v>0.64800000000000002</v>
      </c>
      <c r="T416" s="21">
        <f>VLOOKUP($A416,'2022-23 Salary &amp; Benefits'!$A:$I,5,FALSE)</f>
        <v>68937</v>
      </c>
      <c r="U416" s="21">
        <f>VLOOKUP($A416,'2022-23 Salary &amp; Benefits'!$A:$I,6,FALSE)</f>
        <v>72728</v>
      </c>
      <c r="V416" s="22">
        <f t="shared" si="83"/>
        <v>44671.18</v>
      </c>
      <c r="W416" s="22">
        <f t="shared" si="84"/>
        <v>4341.6699999999983</v>
      </c>
      <c r="X416" s="22">
        <f>'2022-23 Salary &amp; Benefits'!$G$6</f>
        <v>12558.24</v>
      </c>
      <c r="Y416" s="23">
        <f>'2022-23 Salary &amp; Benefits'!$H$6</f>
        <v>0.2298</v>
      </c>
      <c r="Z416" s="23">
        <f>'2022-23 Salary &amp; Benefits'!$I$6</f>
        <v>0.22339999999999999</v>
      </c>
      <c r="AA416" s="22">
        <f t="shared" si="85"/>
        <v>19373.11</v>
      </c>
      <c r="AB416" s="22">
        <f t="shared" si="86"/>
        <v>816.88</v>
      </c>
      <c r="AC416" s="22">
        <f t="shared" si="87"/>
        <v>182.49</v>
      </c>
      <c r="AD416" s="22">
        <f t="shared" si="77"/>
        <v>999.37</v>
      </c>
      <c r="AE416" s="22">
        <f t="shared" si="78"/>
        <v>69385.329999999987</v>
      </c>
      <c r="AF416" s="19" t="str">
        <f>VLOOKUP(C416,'2021-22 School Level AAFTE'!C:N,12,FALSE)</f>
        <v>No</v>
      </c>
    </row>
    <row r="417" spans="1:284" s="19" customFormat="1">
      <c r="A417" s="97" t="s">
        <v>2308</v>
      </c>
      <c r="B417" s="97" t="s">
        <v>360</v>
      </c>
      <c r="C417" s="95">
        <v>5530</v>
      </c>
      <c r="D417" s="95" t="s">
        <v>2777</v>
      </c>
      <c r="E417" s="129">
        <f>VLOOKUP($C417,'2021-22 School Level AAFTE'!$C:$Z,11,FALSE)</f>
        <v>0</v>
      </c>
      <c r="F417" s="129" t="str">
        <f>VLOOKUP($C417,'2021-22 School Level AAFTE'!$C:$Z,8,FALSE)</f>
        <v>No</v>
      </c>
      <c r="G417" s="129" t="str">
        <f>VLOOKUP($C417,'2021-22 School Level AAFTE'!$C:$Z,12,FALSE)</f>
        <v>No</v>
      </c>
      <c r="H417" s="127">
        <f>VLOOKUP($C417,'2021-22 School Level AAFTE'!$C:$I,7,FALSE)</f>
        <v>27.4</v>
      </c>
      <c r="I417" s="112">
        <f>IFERROR(IF(OR(G417="yes",F417= "yes"),VLOOKUP(C417,Summary!$B:$J,6,0),0),0)</f>
        <v>0</v>
      </c>
      <c r="J417" s="111">
        <f t="shared" si="81"/>
        <v>0</v>
      </c>
      <c r="K417" s="91">
        <f>VLOOKUP($A417,'2022-23 Salary &amp; Benefits'!$A:$I,3,FALSE)</f>
        <v>1</v>
      </c>
      <c r="L417" s="91">
        <f>VLOOKUP($A417,'2022-23 Salary &amp; Benefits'!$A:$I,4,FALSE)</f>
        <v>1.04</v>
      </c>
      <c r="M417" s="39">
        <f t="shared" si="76"/>
        <v>0</v>
      </c>
      <c r="N417" s="24">
        <v>15</v>
      </c>
      <c r="O417" s="26">
        <f t="shared" si="79"/>
        <v>0</v>
      </c>
      <c r="P417" s="24">
        <v>1.1000000000000001</v>
      </c>
      <c r="Q417" s="24">
        <v>36</v>
      </c>
      <c r="R417" s="27">
        <f t="shared" si="80"/>
        <v>0</v>
      </c>
      <c r="S417" s="102">
        <f t="shared" si="82"/>
        <v>0</v>
      </c>
      <c r="T417" s="21">
        <f>VLOOKUP($A417,'2022-23 Salary &amp; Benefits'!$A:$I,5,FALSE)</f>
        <v>68937</v>
      </c>
      <c r="U417" s="21">
        <f>VLOOKUP($A417,'2022-23 Salary &amp; Benefits'!$A:$I,6,FALSE)</f>
        <v>72728</v>
      </c>
      <c r="V417" s="22">
        <f t="shared" si="83"/>
        <v>0</v>
      </c>
      <c r="W417" s="22">
        <f t="shared" si="84"/>
        <v>0</v>
      </c>
      <c r="X417" s="22">
        <f>'2022-23 Salary &amp; Benefits'!$G$6</f>
        <v>12558.24</v>
      </c>
      <c r="Y417" s="23">
        <f>'2022-23 Salary &amp; Benefits'!$H$6</f>
        <v>0.2298</v>
      </c>
      <c r="Z417" s="23">
        <f>'2022-23 Salary &amp; Benefits'!$I$6</f>
        <v>0.22339999999999999</v>
      </c>
      <c r="AA417" s="22">
        <f t="shared" si="85"/>
        <v>0</v>
      </c>
      <c r="AB417" s="22">
        <f t="shared" si="86"/>
        <v>0</v>
      </c>
      <c r="AC417" s="22">
        <f t="shared" si="87"/>
        <v>0</v>
      </c>
      <c r="AD417" s="22">
        <f t="shared" si="77"/>
        <v>0</v>
      </c>
      <c r="AE417" s="22">
        <f t="shared" si="78"/>
        <v>0</v>
      </c>
      <c r="AF417" s="19" t="str">
        <f>VLOOKUP(C417,'2021-22 School Level AAFTE'!C:N,12,FALSE)</f>
        <v>No</v>
      </c>
    </row>
    <row r="418" spans="1:284" s="19" customFormat="1">
      <c r="A418" s="56" t="s">
        <v>2436</v>
      </c>
      <c r="B418" s="97" t="s">
        <v>1285</v>
      </c>
      <c r="C418" s="95">
        <v>2423</v>
      </c>
      <c r="D418" s="56" t="s">
        <v>1286</v>
      </c>
      <c r="E418" s="129">
        <f>VLOOKUP($C418,'2021-22 School Level AAFTE'!$C:$Z,11,FALSE)</f>
        <v>0.74940000000000007</v>
      </c>
      <c r="F418" s="129" t="str">
        <f>VLOOKUP($C418,'2021-22 School Level AAFTE'!$C:$Z,8,FALSE)</f>
        <v>Yes</v>
      </c>
      <c r="G418" s="129" t="str">
        <f>VLOOKUP($C418,'2021-22 School Level AAFTE'!$C:$Z,12,FALSE)</f>
        <v>No</v>
      </c>
      <c r="H418" s="127">
        <f>VLOOKUP($C418,'2021-22 School Level AAFTE'!$C:$I,7,FALSE)</f>
        <v>132.58000000000001</v>
      </c>
      <c r="I418" s="112">
        <f>IFERROR(IF(OR(G418="yes",F418= "yes"),VLOOKUP(C418,Summary!$B:$J,6,0),0),0)</f>
        <v>0</v>
      </c>
      <c r="J418" s="111">
        <f t="shared" si="81"/>
        <v>132.58000000000001</v>
      </c>
      <c r="K418" s="91">
        <f>VLOOKUP($A418,'2022-23 Salary &amp; Benefits'!$A:$I,3,FALSE)</f>
        <v>1</v>
      </c>
      <c r="L418" s="91">
        <f>VLOOKUP($A418,'2022-23 Salary &amp; Benefits'!$A:$I,4,FALSE)</f>
        <v>1</v>
      </c>
      <c r="M418" s="39">
        <f t="shared" si="76"/>
        <v>132.58000000000001</v>
      </c>
      <c r="N418" s="24">
        <v>15</v>
      </c>
      <c r="O418" s="26">
        <f t="shared" si="79"/>
        <v>8.8386666666666667</v>
      </c>
      <c r="P418" s="24">
        <v>1.1000000000000001</v>
      </c>
      <c r="Q418" s="24">
        <v>36</v>
      </c>
      <c r="R418" s="27">
        <f t="shared" si="80"/>
        <v>350.01120000000003</v>
      </c>
      <c r="S418" s="102">
        <f t="shared" si="82"/>
        <v>0.38900000000000001</v>
      </c>
      <c r="T418" s="21">
        <f>VLOOKUP($A418,'2022-23 Salary &amp; Benefits'!$A:$I,5,FALSE)</f>
        <v>68937</v>
      </c>
      <c r="U418" s="21">
        <f>VLOOKUP($A418,'2022-23 Salary &amp; Benefits'!$A:$I,6,FALSE)</f>
        <v>72728</v>
      </c>
      <c r="V418" s="22">
        <f t="shared" si="83"/>
        <v>26816.49</v>
      </c>
      <c r="W418" s="22">
        <f t="shared" si="84"/>
        <v>1474.6999999999971</v>
      </c>
      <c r="X418" s="22">
        <f>'2022-23 Salary &amp; Benefits'!$G$6</f>
        <v>12558.24</v>
      </c>
      <c r="Y418" s="23">
        <f>'2022-23 Salary &amp; Benefits'!$H$6</f>
        <v>0.2298</v>
      </c>
      <c r="Z418" s="23">
        <f>'2022-23 Salary &amp; Benefits'!$I$6</f>
        <v>0.22339999999999999</v>
      </c>
      <c r="AA418" s="22">
        <f t="shared" si="85"/>
        <v>11377.03</v>
      </c>
      <c r="AB418" s="22">
        <f t="shared" si="86"/>
        <v>471.52</v>
      </c>
      <c r="AC418" s="22">
        <f t="shared" si="87"/>
        <v>105.34</v>
      </c>
      <c r="AD418" s="22">
        <f t="shared" si="77"/>
        <v>576.86</v>
      </c>
      <c r="AE418" s="22">
        <f t="shared" si="78"/>
        <v>40245.08</v>
      </c>
      <c r="AF418" s="19" t="str">
        <f>VLOOKUP(C418,'2021-22 School Level AAFTE'!C:N,12,FALSE)</f>
        <v>No</v>
      </c>
    </row>
    <row r="419" spans="1:284" s="19" customFormat="1">
      <c r="A419" s="97" t="s">
        <v>2436</v>
      </c>
      <c r="B419" s="97" t="s">
        <v>1285</v>
      </c>
      <c r="C419" s="95">
        <v>2770</v>
      </c>
      <c r="D419" s="95" t="s">
        <v>1287</v>
      </c>
      <c r="E419" s="129">
        <f>VLOOKUP($C419,'2021-22 School Level AAFTE'!$C:$Z,11,FALSE)</f>
        <v>0.69840000000000002</v>
      </c>
      <c r="F419" s="129" t="str">
        <f>VLOOKUP($C419,'2021-22 School Level AAFTE'!$C:$Z,8,FALSE)</f>
        <v>Yes</v>
      </c>
      <c r="G419" s="129" t="str">
        <f>VLOOKUP($C419,'2021-22 School Level AAFTE'!$C:$Z,12,FALSE)</f>
        <v>No</v>
      </c>
      <c r="H419" s="127">
        <f>VLOOKUP($C419,'2021-22 School Level AAFTE'!$C:$I,7,FALSE)</f>
        <v>86</v>
      </c>
      <c r="I419" s="112">
        <f>IFERROR(IF(OR(G419="yes",F419= "yes"),VLOOKUP(C419,Summary!$B:$J,6,0),0),0)</f>
        <v>0</v>
      </c>
      <c r="J419" s="111">
        <f t="shared" si="81"/>
        <v>86</v>
      </c>
      <c r="K419" s="91">
        <f>VLOOKUP($A419,'2022-23 Salary &amp; Benefits'!$A:$I,3,FALSE)</f>
        <v>1</v>
      </c>
      <c r="L419" s="91">
        <f>VLOOKUP($A419,'2022-23 Salary &amp; Benefits'!$A:$I,4,FALSE)</f>
        <v>1</v>
      </c>
      <c r="M419" s="101">
        <f t="shared" si="76"/>
        <v>86</v>
      </c>
      <c r="N419" s="24">
        <v>15</v>
      </c>
      <c r="O419" s="26">
        <f t="shared" si="79"/>
        <v>5.7333333333333334</v>
      </c>
      <c r="P419" s="24">
        <v>1.1000000000000001</v>
      </c>
      <c r="Q419" s="24">
        <v>36</v>
      </c>
      <c r="R419" s="27">
        <f t="shared" si="80"/>
        <v>227.04000000000002</v>
      </c>
      <c r="S419" s="102">
        <f t="shared" si="82"/>
        <v>0.252</v>
      </c>
      <c r="T419" s="21">
        <f>VLOOKUP($A419,'2022-23 Salary &amp; Benefits'!$A:$I,5,FALSE)</f>
        <v>68937</v>
      </c>
      <c r="U419" s="21">
        <f>VLOOKUP($A419,'2022-23 Salary &amp; Benefits'!$A:$I,6,FALSE)</f>
        <v>72728</v>
      </c>
      <c r="V419" s="22">
        <f t="shared" si="83"/>
        <v>17372.12</v>
      </c>
      <c r="W419" s="22">
        <f t="shared" si="84"/>
        <v>955.34000000000015</v>
      </c>
      <c r="X419" s="22">
        <f>'2022-23 Salary &amp; Benefits'!$G$6</f>
        <v>12558.24</v>
      </c>
      <c r="Y419" s="23">
        <f>'2022-23 Salary &amp; Benefits'!$H$6</f>
        <v>0.2298</v>
      </c>
      <c r="Z419" s="23">
        <f>'2022-23 Salary &amp; Benefits'!$I$6</f>
        <v>0.22339999999999999</v>
      </c>
      <c r="AA419" s="22">
        <f t="shared" si="85"/>
        <v>7370.21</v>
      </c>
      <c r="AB419" s="22">
        <f t="shared" si="86"/>
        <v>305.45999999999998</v>
      </c>
      <c r="AC419" s="22">
        <f t="shared" si="87"/>
        <v>68.239999999999995</v>
      </c>
      <c r="AD419" s="22">
        <f t="shared" si="77"/>
        <v>373.7</v>
      </c>
      <c r="AE419" s="22">
        <f t="shared" si="78"/>
        <v>26071.37</v>
      </c>
      <c r="AF419" s="19" t="str">
        <f>VLOOKUP(C419,'2021-22 School Level AAFTE'!C:N,12,FALSE)</f>
        <v>No</v>
      </c>
    </row>
    <row r="420" spans="1:284" s="19" customFormat="1">
      <c r="A420" s="97" t="s">
        <v>2436</v>
      </c>
      <c r="B420" s="97" t="s">
        <v>1285</v>
      </c>
      <c r="C420" s="95">
        <v>5538</v>
      </c>
      <c r="D420" s="95" t="s">
        <v>2799</v>
      </c>
      <c r="E420" s="129">
        <f>VLOOKUP($C420,'2021-22 School Level AAFTE'!$C:$Z,11,FALSE)</f>
        <v>0.46066666666666672</v>
      </c>
      <c r="F420" s="129" t="str">
        <f>VLOOKUP($C420,'2021-22 School Level AAFTE'!$C:$Z,8,FALSE)</f>
        <v>No</v>
      </c>
      <c r="G420" s="129" t="str">
        <f>VLOOKUP($C420,'2021-22 School Level AAFTE'!$C:$Z,12,FALSE)</f>
        <v>No</v>
      </c>
      <c r="H420" s="127">
        <f>VLOOKUP($C420,'2021-22 School Level AAFTE'!$C:$I,7,FALSE)</f>
        <v>91.06</v>
      </c>
      <c r="I420" s="112">
        <f>IFERROR(IF(OR(G420="yes",F420= "yes"),VLOOKUP(C420,Summary!$B:$J,6,0),0),0)</f>
        <v>0</v>
      </c>
      <c r="J420" s="111">
        <f t="shared" si="81"/>
        <v>0</v>
      </c>
      <c r="K420" s="91">
        <f>VLOOKUP($A420,'2022-23 Salary &amp; Benefits'!$A:$I,3,FALSE)</f>
        <v>1</v>
      </c>
      <c r="L420" s="91">
        <f>VLOOKUP($A420,'2022-23 Salary &amp; Benefits'!$A:$I,4,FALSE)</f>
        <v>1</v>
      </c>
      <c r="M420" s="101">
        <f t="shared" si="76"/>
        <v>0</v>
      </c>
      <c r="N420" s="24">
        <v>15</v>
      </c>
      <c r="O420" s="26">
        <f t="shared" si="79"/>
        <v>0</v>
      </c>
      <c r="P420" s="24">
        <v>1.1000000000000001</v>
      </c>
      <c r="Q420" s="24">
        <v>36</v>
      </c>
      <c r="R420" s="27">
        <f t="shared" si="80"/>
        <v>0</v>
      </c>
      <c r="S420" s="102">
        <f t="shared" si="82"/>
        <v>0</v>
      </c>
      <c r="T420" s="21">
        <f>VLOOKUP($A420,'2022-23 Salary &amp; Benefits'!$A:$I,5,FALSE)</f>
        <v>68937</v>
      </c>
      <c r="U420" s="21">
        <f>VLOOKUP($A420,'2022-23 Salary &amp; Benefits'!$A:$I,6,FALSE)</f>
        <v>72728</v>
      </c>
      <c r="V420" s="22">
        <f t="shared" si="83"/>
        <v>0</v>
      </c>
      <c r="W420" s="22">
        <f t="shared" si="84"/>
        <v>0</v>
      </c>
      <c r="X420" s="22">
        <f>'2022-23 Salary &amp; Benefits'!$G$6</f>
        <v>12558.24</v>
      </c>
      <c r="Y420" s="23">
        <f>'2022-23 Salary &amp; Benefits'!$H$6</f>
        <v>0.2298</v>
      </c>
      <c r="Z420" s="23">
        <f>'2022-23 Salary &amp; Benefits'!$I$6</f>
        <v>0.22339999999999999</v>
      </c>
      <c r="AA420" s="22">
        <f t="shared" si="85"/>
        <v>0</v>
      </c>
      <c r="AB420" s="22">
        <f t="shared" si="86"/>
        <v>0</v>
      </c>
      <c r="AC420" s="22">
        <f t="shared" si="87"/>
        <v>0</v>
      </c>
      <c r="AD420" s="22">
        <f t="shared" si="77"/>
        <v>0</v>
      </c>
      <c r="AE420" s="22">
        <f t="shared" si="78"/>
        <v>0</v>
      </c>
      <c r="AF420" s="19" t="str">
        <f>VLOOKUP(C420,'2021-22 School Level AAFTE'!C:N,12,FALSE)</f>
        <v>No</v>
      </c>
    </row>
    <row r="421" spans="1:284" s="19" customFormat="1">
      <c r="A421" s="97" t="s">
        <v>2436</v>
      </c>
      <c r="B421" s="97" t="s">
        <v>1285</v>
      </c>
      <c r="C421" s="95">
        <v>5539</v>
      </c>
      <c r="D421" s="95" t="s">
        <v>2817</v>
      </c>
      <c r="E421" s="129">
        <f>VLOOKUP($C421,'2021-22 School Level AAFTE'!$C:$Z,11,FALSE)</f>
        <v>0.73909999999999998</v>
      </c>
      <c r="F421" s="129" t="str">
        <f>VLOOKUP($C421,'2021-22 School Level AAFTE'!$C:$Z,8,FALSE)</f>
        <v>Yes</v>
      </c>
      <c r="G421" s="129" t="str">
        <f>VLOOKUP($C421,'2021-22 School Level AAFTE'!$C:$Z,12,FALSE)</f>
        <v>No</v>
      </c>
      <c r="H421" s="127">
        <f>VLOOKUP($C421,'2021-22 School Level AAFTE'!$C:$I,7,FALSE)</f>
        <v>12.82</v>
      </c>
      <c r="I421" s="112">
        <f>IFERROR(IF(OR(G421="yes",F421= "yes"),VLOOKUP(C421,Summary!$B:$J,6,0),0),0)</f>
        <v>0</v>
      </c>
      <c r="J421" s="111">
        <f t="shared" si="81"/>
        <v>12.82</v>
      </c>
      <c r="K421" s="91">
        <f>VLOOKUP($A421,'2022-23 Salary &amp; Benefits'!$A:$I,3,FALSE)</f>
        <v>1</v>
      </c>
      <c r="L421" s="91">
        <f>VLOOKUP($A421,'2022-23 Salary &amp; Benefits'!$A:$I,4,FALSE)</f>
        <v>1</v>
      </c>
      <c r="M421" s="101">
        <f t="shared" si="76"/>
        <v>12.82</v>
      </c>
      <c r="N421" s="24">
        <v>15</v>
      </c>
      <c r="O421" s="26">
        <f t="shared" si="79"/>
        <v>0.85466666666666669</v>
      </c>
      <c r="P421" s="24">
        <v>1.1000000000000001</v>
      </c>
      <c r="Q421" s="24">
        <v>36</v>
      </c>
      <c r="R421" s="27">
        <f t="shared" si="80"/>
        <v>33.844799999999999</v>
      </c>
      <c r="S421" s="102">
        <f t="shared" si="82"/>
        <v>3.7999999999999999E-2</v>
      </c>
      <c r="T421" s="21">
        <f>VLOOKUP($A421,'2022-23 Salary &amp; Benefits'!$A:$I,5,FALSE)</f>
        <v>68937</v>
      </c>
      <c r="U421" s="21">
        <f>VLOOKUP($A421,'2022-23 Salary &amp; Benefits'!$A:$I,6,FALSE)</f>
        <v>72728</v>
      </c>
      <c r="V421" s="22">
        <f t="shared" si="83"/>
        <v>2619.61</v>
      </c>
      <c r="W421" s="22">
        <f t="shared" si="84"/>
        <v>144.04999999999973</v>
      </c>
      <c r="X421" s="22">
        <f>'2022-23 Salary &amp; Benefits'!$G$6</f>
        <v>12558.24</v>
      </c>
      <c r="Y421" s="23">
        <f>'2022-23 Salary &amp; Benefits'!$H$6</f>
        <v>0.2298</v>
      </c>
      <c r="Z421" s="23">
        <f>'2022-23 Salary &amp; Benefits'!$I$6</f>
        <v>0.22339999999999999</v>
      </c>
      <c r="AA421" s="22">
        <f t="shared" si="85"/>
        <v>1111.3800000000001</v>
      </c>
      <c r="AB421" s="22">
        <f t="shared" si="86"/>
        <v>46.06</v>
      </c>
      <c r="AC421" s="22">
        <f t="shared" si="87"/>
        <v>10.29</v>
      </c>
      <c r="AD421" s="22">
        <f t="shared" si="77"/>
        <v>56.35</v>
      </c>
      <c r="AE421" s="22">
        <f t="shared" si="78"/>
        <v>3931.39</v>
      </c>
      <c r="AF421" s="19" t="str">
        <f>VLOOKUP(C421,'2021-22 School Level AAFTE'!C:N,12,FALSE)</f>
        <v>No</v>
      </c>
    </row>
    <row r="422" spans="1:284" s="19" customFormat="1">
      <c r="A422" s="97" t="s">
        <v>2377</v>
      </c>
      <c r="B422" s="97" t="s">
        <v>1083</v>
      </c>
      <c r="C422" s="95">
        <v>2077</v>
      </c>
      <c r="D422" s="95" t="s">
        <v>1084</v>
      </c>
      <c r="E422" s="129">
        <f>VLOOKUP($C422,'2021-22 School Level AAFTE'!$C:$Z,11,FALSE)</f>
        <v>0</v>
      </c>
      <c r="F422" s="129" t="str">
        <f>VLOOKUP($C422,'2021-22 School Level AAFTE'!$C:$Z,8,FALSE)</f>
        <v>No</v>
      </c>
      <c r="G422" s="129" t="str">
        <f>VLOOKUP($C422,'2021-22 School Level AAFTE'!$C:$Z,12,FALSE)</f>
        <v>No</v>
      </c>
      <c r="H422" s="127">
        <f>VLOOKUP($C422,'2021-22 School Level AAFTE'!$C:$I,7,FALSE)</f>
        <v>41</v>
      </c>
      <c r="I422" s="112">
        <f>IFERROR(IF(OR(G422="yes",F422= "yes"),VLOOKUP(C422,Summary!$B:$J,6,0),0),0)</f>
        <v>0</v>
      </c>
      <c r="J422" s="111">
        <f t="shared" si="81"/>
        <v>0</v>
      </c>
      <c r="K422" s="91">
        <f>VLOOKUP($A422,'2022-23 Salary &amp; Benefits'!$A:$I,3,FALSE)</f>
        <v>1</v>
      </c>
      <c r="L422" s="91">
        <f>VLOOKUP($A422,'2022-23 Salary &amp; Benefits'!$A:$I,4,FALSE)</f>
        <v>1</v>
      </c>
      <c r="M422" s="101">
        <f t="shared" si="76"/>
        <v>0</v>
      </c>
      <c r="N422" s="24">
        <v>15</v>
      </c>
      <c r="O422" s="26">
        <f t="shared" si="79"/>
        <v>0</v>
      </c>
      <c r="P422" s="24">
        <v>1.1000000000000001</v>
      </c>
      <c r="Q422" s="24">
        <v>36</v>
      </c>
      <c r="R422" s="27">
        <f t="shared" si="80"/>
        <v>0</v>
      </c>
      <c r="S422" s="102">
        <f t="shared" si="82"/>
        <v>0</v>
      </c>
      <c r="T422" s="21">
        <f>VLOOKUP($A422,'2022-23 Salary &amp; Benefits'!$A:$I,5,FALSE)</f>
        <v>68937</v>
      </c>
      <c r="U422" s="21">
        <f>VLOOKUP($A422,'2022-23 Salary &amp; Benefits'!$A:$I,6,FALSE)</f>
        <v>72728</v>
      </c>
      <c r="V422" s="22">
        <f t="shared" si="83"/>
        <v>0</v>
      </c>
      <c r="W422" s="22">
        <f t="shared" si="84"/>
        <v>0</v>
      </c>
      <c r="X422" s="22">
        <f>'2022-23 Salary &amp; Benefits'!$G$6</f>
        <v>12558.24</v>
      </c>
      <c r="Y422" s="23">
        <f>'2022-23 Salary &amp; Benefits'!$H$6</f>
        <v>0.2298</v>
      </c>
      <c r="Z422" s="23">
        <f>'2022-23 Salary &amp; Benefits'!$I$6</f>
        <v>0.22339999999999999</v>
      </c>
      <c r="AA422" s="22">
        <f t="shared" si="85"/>
        <v>0</v>
      </c>
      <c r="AB422" s="22">
        <f t="shared" si="86"/>
        <v>0</v>
      </c>
      <c r="AC422" s="22">
        <f t="shared" si="87"/>
        <v>0</v>
      </c>
      <c r="AD422" s="22">
        <f t="shared" si="77"/>
        <v>0</v>
      </c>
      <c r="AE422" s="22">
        <f t="shared" si="78"/>
        <v>0</v>
      </c>
      <c r="AF422" s="19" t="str">
        <f>VLOOKUP(C422,'2021-22 School Level AAFTE'!C:N,12,FALSE)</f>
        <v>No</v>
      </c>
    </row>
    <row r="423" spans="1:284" s="19" customFormat="1">
      <c r="A423" s="97" t="s">
        <v>2483</v>
      </c>
      <c r="B423" s="97" t="s">
        <v>1752</v>
      </c>
      <c r="C423" s="95">
        <v>3188</v>
      </c>
      <c r="D423" s="95" t="s">
        <v>2876</v>
      </c>
      <c r="E423" s="129">
        <f>VLOOKUP($C423,'2021-22 School Level AAFTE'!$C:$Z,11,FALSE)</f>
        <v>0.41593333333333332</v>
      </c>
      <c r="F423" s="129" t="str">
        <f>VLOOKUP($C423,'2021-22 School Level AAFTE'!$C:$Z,8,FALSE)</f>
        <v>No</v>
      </c>
      <c r="G423" s="129" t="str">
        <f>VLOOKUP($C423,'2021-22 School Level AAFTE'!$C:$Z,12,FALSE)</f>
        <v>No</v>
      </c>
      <c r="H423" s="127">
        <f>VLOOKUP($C423,'2021-22 School Level AAFTE'!$C:$I,7,FALSE)</f>
        <v>116</v>
      </c>
      <c r="I423" s="112">
        <f>IFERROR(IF(OR(G423="yes",F423= "yes"),VLOOKUP(C423,Summary!$B:$J,6,0),0),0)</f>
        <v>0</v>
      </c>
      <c r="J423" s="111">
        <f t="shared" si="81"/>
        <v>0</v>
      </c>
      <c r="K423" s="91">
        <f>VLOOKUP($A423,'2022-23 Salary &amp; Benefits'!$A:$I,3,FALSE)</f>
        <v>1.1200000000000001</v>
      </c>
      <c r="L423" s="91">
        <f>VLOOKUP($A423,'2022-23 Salary &amp; Benefits'!$A:$I,4,FALSE)</f>
        <v>1.1200000000000001</v>
      </c>
      <c r="M423" s="101">
        <f t="shared" si="76"/>
        <v>0</v>
      </c>
      <c r="N423" s="24">
        <v>15</v>
      </c>
      <c r="O423" s="26">
        <f t="shared" si="79"/>
        <v>0</v>
      </c>
      <c r="P423" s="24">
        <v>1.1000000000000001</v>
      </c>
      <c r="Q423" s="24">
        <v>36</v>
      </c>
      <c r="R423" s="27">
        <f t="shared" si="80"/>
        <v>0</v>
      </c>
      <c r="S423" s="102">
        <f t="shared" si="82"/>
        <v>0</v>
      </c>
      <c r="T423" s="21">
        <f>VLOOKUP($A423,'2022-23 Salary &amp; Benefits'!$A:$I,5,FALSE)</f>
        <v>68937</v>
      </c>
      <c r="U423" s="21">
        <f>VLOOKUP($A423,'2022-23 Salary &amp; Benefits'!$A:$I,6,FALSE)</f>
        <v>72728</v>
      </c>
      <c r="V423" s="22">
        <f t="shared" si="83"/>
        <v>0</v>
      </c>
      <c r="W423" s="22">
        <f t="shared" si="84"/>
        <v>0</v>
      </c>
      <c r="X423" s="22">
        <f>'2022-23 Salary &amp; Benefits'!$G$6</f>
        <v>12558.24</v>
      </c>
      <c r="Y423" s="23">
        <f>'2022-23 Salary &amp; Benefits'!$H$6</f>
        <v>0.2298</v>
      </c>
      <c r="Z423" s="23">
        <f>'2022-23 Salary &amp; Benefits'!$I$6</f>
        <v>0.22339999999999999</v>
      </c>
      <c r="AA423" s="22">
        <f t="shared" si="85"/>
        <v>0</v>
      </c>
      <c r="AB423" s="22">
        <f t="shared" si="86"/>
        <v>0</v>
      </c>
      <c r="AC423" s="22">
        <f t="shared" si="87"/>
        <v>0</v>
      </c>
      <c r="AD423" s="22">
        <f t="shared" si="77"/>
        <v>0</v>
      </c>
      <c r="AE423" s="22">
        <f t="shared" si="78"/>
        <v>0</v>
      </c>
      <c r="AF423" s="19" t="str">
        <f>VLOOKUP(C423,'2021-22 School Level AAFTE'!C:N,12,FALSE)</f>
        <v>No</v>
      </c>
    </row>
    <row r="424" spans="1:284" s="19" customFormat="1">
      <c r="A424" s="56" t="s">
        <v>2483</v>
      </c>
      <c r="B424" s="97" t="s">
        <v>1752</v>
      </c>
      <c r="C424" s="95">
        <v>3609</v>
      </c>
      <c r="D424" s="56" t="s">
        <v>1753</v>
      </c>
      <c r="E424" s="129">
        <f>VLOOKUP($C424,'2021-22 School Level AAFTE'!$C:$Z,11,FALSE)</f>
        <v>0.51753333333333329</v>
      </c>
      <c r="F424" s="129" t="str">
        <f>VLOOKUP($C424,'2021-22 School Level AAFTE'!$C:$Z,8,FALSE)</f>
        <v>Yes</v>
      </c>
      <c r="G424" s="129" t="str">
        <f>VLOOKUP($C424,'2021-22 School Level AAFTE'!$C:$Z,12,FALSE)</f>
        <v>No</v>
      </c>
      <c r="H424" s="127">
        <f>VLOOKUP($C424,'2021-22 School Level AAFTE'!$C:$I,7,FALSE)</f>
        <v>290.61</v>
      </c>
      <c r="I424" s="112">
        <f>IFERROR(IF(OR(G424="yes",F424= "yes"),VLOOKUP(C424,Summary!$B:$J,6,0),0),0)</f>
        <v>0</v>
      </c>
      <c r="J424" s="111">
        <f t="shared" si="81"/>
        <v>290.61</v>
      </c>
      <c r="K424" s="91">
        <f>VLOOKUP($A424,'2022-23 Salary &amp; Benefits'!$A:$I,3,FALSE)</f>
        <v>1.1200000000000001</v>
      </c>
      <c r="L424" s="91">
        <f>VLOOKUP($A424,'2022-23 Salary &amp; Benefits'!$A:$I,4,FALSE)</f>
        <v>1.1200000000000001</v>
      </c>
      <c r="M424" s="101">
        <f t="shared" si="76"/>
        <v>290.61</v>
      </c>
      <c r="N424" s="24">
        <v>15</v>
      </c>
      <c r="O424" s="26">
        <f t="shared" si="79"/>
        <v>19.374000000000002</v>
      </c>
      <c r="P424" s="24">
        <v>1.1000000000000001</v>
      </c>
      <c r="Q424" s="24">
        <v>36</v>
      </c>
      <c r="R424" s="27">
        <f t="shared" si="80"/>
        <v>767.21040000000005</v>
      </c>
      <c r="S424" s="102">
        <f t="shared" si="82"/>
        <v>0.85199999999999998</v>
      </c>
      <c r="T424" s="21">
        <f>VLOOKUP($A424,'2022-23 Salary &amp; Benefits'!$A:$I,5,FALSE)</f>
        <v>68937</v>
      </c>
      <c r="U424" s="21">
        <f>VLOOKUP($A424,'2022-23 Salary &amp; Benefits'!$A:$I,6,FALSE)</f>
        <v>72728</v>
      </c>
      <c r="V424" s="22">
        <f t="shared" si="83"/>
        <v>65782.44</v>
      </c>
      <c r="W424" s="22">
        <f t="shared" si="84"/>
        <v>3617.5299999999988</v>
      </c>
      <c r="X424" s="22">
        <f>'2022-23 Salary &amp; Benefits'!$G$6</f>
        <v>12558.24</v>
      </c>
      <c r="Y424" s="23">
        <f>'2022-23 Salary &amp; Benefits'!$H$6</f>
        <v>0.2298</v>
      </c>
      <c r="Z424" s="23">
        <f>'2022-23 Salary &amp; Benefits'!$I$6</f>
        <v>0.22339999999999999</v>
      </c>
      <c r="AA424" s="22">
        <f t="shared" si="85"/>
        <v>26624.58</v>
      </c>
      <c r="AB424" s="22">
        <f t="shared" si="86"/>
        <v>1156.67</v>
      </c>
      <c r="AC424" s="22">
        <f t="shared" si="87"/>
        <v>258.39999999999998</v>
      </c>
      <c r="AD424" s="22">
        <f t="shared" si="77"/>
        <v>1415.0700000000002</v>
      </c>
      <c r="AE424" s="22">
        <f t="shared" si="78"/>
        <v>97439.62000000001</v>
      </c>
      <c r="AF424" s="19" t="str">
        <f>VLOOKUP(C424,'2021-22 School Level AAFTE'!C:N,12,FALSE)</f>
        <v>No</v>
      </c>
    </row>
    <row r="425" spans="1:284" s="19" customFormat="1">
      <c r="A425" s="97" t="s">
        <v>2413</v>
      </c>
      <c r="B425" s="97" t="s">
        <v>1201</v>
      </c>
      <c r="C425" s="95">
        <v>2668</v>
      </c>
      <c r="D425" s="95" t="s">
        <v>1202</v>
      </c>
      <c r="E425" s="129">
        <f>VLOOKUP($C425,'2021-22 School Level AAFTE'!$C:$Z,11,FALSE)</f>
        <v>0.48049999999999998</v>
      </c>
      <c r="F425" s="129" t="str">
        <f>VLOOKUP($C425,'2021-22 School Level AAFTE'!$C:$Z,8,FALSE)</f>
        <v>No</v>
      </c>
      <c r="G425" s="129" t="str">
        <f>VLOOKUP($C425,'2021-22 School Level AAFTE'!$C:$Z,12,FALSE)</f>
        <v>Yes</v>
      </c>
      <c r="H425" s="127">
        <f>VLOOKUP($C425,'2021-22 School Level AAFTE'!$C:$I,7,FALSE)</f>
        <v>249.84</v>
      </c>
      <c r="I425" s="112">
        <f>IFERROR(IF(OR(G425="yes",F425= "yes"),VLOOKUP(C425,Summary!$B:$J,6,0),0),0)</f>
        <v>0</v>
      </c>
      <c r="J425" s="111">
        <f t="shared" si="81"/>
        <v>249.84</v>
      </c>
      <c r="K425" s="91">
        <f>VLOOKUP($A425,'2022-23 Salary &amp; Benefits'!$A:$I,3,FALSE)</f>
        <v>1</v>
      </c>
      <c r="L425" s="91">
        <f>VLOOKUP($A425,'2022-23 Salary &amp; Benefits'!$A:$I,4,FALSE)</f>
        <v>1</v>
      </c>
      <c r="M425" s="101">
        <f t="shared" si="76"/>
        <v>249.84</v>
      </c>
      <c r="N425" s="24">
        <v>15</v>
      </c>
      <c r="O425" s="26">
        <f t="shared" si="79"/>
        <v>16.655999999999999</v>
      </c>
      <c r="P425" s="24">
        <v>1.1000000000000001</v>
      </c>
      <c r="Q425" s="24">
        <v>36</v>
      </c>
      <c r="R425" s="27">
        <f t="shared" si="80"/>
        <v>659.57759999999996</v>
      </c>
      <c r="S425" s="102">
        <f t="shared" si="82"/>
        <v>0.73299999999999998</v>
      </c>
      <c r="T425" s="21">
        <f>VLOOKUP($A425,'2022-23 Salary &amp; Benefits'!$A:$I,5,FALSE)</f>
        <v>68937</v>
      </c>
      <c r="U425" s="21">
        <f>VLOOKUP($A425,'2022-23 Salary &amp; Benefits'!$A:$I,6,FALSE)</f>
        <v>72728</v>
      </c>
      <c r="V425" s="22">
        <f t="shared" si="83"/>
        <v>50530.82</v>
      </c>
      <c r="W425" s="22">
        <f t="shared" si="84"/>
        <v>2778.8000000000029</v>
      </c>
      <c r="X425" s="22">
        <f>'2022-23 Salary &amp; Benefits'!$G$6</f>
        <v>12558.24</v>
      </c>
      <c r="Y425" s="23">
        <f>'2022-23 Salary &amp; Benefits'!$H$6</f>
        <v>0.2298</v>
      </c>
      <c r="Z425" s="23">
        <f>'2022-23 Salary &amp; Benefits'!$I$6</f>
        <v>0.22339999999999999</v>
      </c>
      <c r="AA425" s="22">
        <f t="shared" si="85"/>
        <v>21437.96</v>
      </c>
      <c r="AB425" s="22">
        <f t="shared" si="86"/>
        <v>888.49</v>
      </c>
      <c r="AC425" s="22">
        <f t="shared" si="87"/>
        <v>198.49</v>
      </c>
      <c r="AD425" s="22">
        <f t="shared" si="77"/>
        <v>1086.98</v>
      </c>
      <c r="AE425" s="22">
        <f t="shared" si="78"/>
        <v>75834.559999999998</v>
      </c>
      <c r="AF425" s="19" t="str">
        <f>VLOOKUP(C425,'2021-22 School Level AAFTE'!C:N,12,FALSE)</f>
        <v>Yes</v>
      </c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</row>
    <row r="426" spans="1:284" s="19" customFormat="1">
      <c r="A426" s="97" t="s">
        <v>2413</v>
      </c>
      <c r="B426" s="97" t="s">
        <v>1201</v>
      </c>
      <c r="C426" s="95">
        <v>3173</v>
      </c>
      <c r="D426" s="95" t="s">
        <v>1203</v>
      </c>
      <c r="E426" s="129">
        <f>VLOOKUP($C426,'2021-22 School Level AAFTE'!$C:$Z,11,FALSE)</f>
        <v>0.45283333333333337</v>
      </c>
      <c r="F426" s="129" t="str">
        <f>VLOOKUP($C426,'2021-22 School Level AAFTE'!$C:$Z,8,FALSE)</f>
        <v>No</v>
      </c>
      <c r="G426" s="129" t="str">
        <f>VLOOKUP($C426,'2021-22 School Level AAFTE'!$C:$Z,12,FALSE)</f>
        <v>No</v>
      </c>
      <c r="H426" s="127">
        <f>VLOOKUP($C426,'2021-22 School Level AAFTE'!$C:$I,7,FALSE)</f>
        <v>313.55</v>
      </c>
      <c r="I426" s="112">
        <f>IFERROR(IF(OR(G426="yes",F426= "yes"),VLOOKUP(C426,Summary!$B:$J,6,0),0),0)</f>
        <v>0</v>
      </c>
      <c r="J426" s="111">
        <f t="shared" si="81"/>
        <v>0</v>
      </c>
      <c r="K426" s="91">
        <f>VLOOKUP($A426,'2022-23 Salary &amp; Benefits'!$A:$I,3,FALSE)</f>
        <v>1</v>
      </c>
      <c r="L426" s="91">
        <f>VLOOKUP($A426,'2022-23 Salary &amp; Benefits'!$A:$I,4,FALSE)</f>
        <v>1</v>
      </c>
      <c r="M426" s="101">
        <f t="shared" si="76"/>
        <v>0</v>
      </c>
      <c r="N426" s="24">
        <v>15</v>
      </c>
      <c r="O426" s="26">
        <f t="shared" si="79"/>
        <v>0</v>
      </c>
      <c r="P426" s="24">
        <v>1.1000000000000001</v>
      </c>
      <c r="Q426" s="24">
        <v>36</v>
      </c>
      <c r="R426" s="27">
        <f t="shared" si="80"/>
        <v>0</v>
      </c>
      <c r="S426" s="102">
        <f t="shared" si="82"/>
        <v>0</v>
      </c>
      <c r="T426" s="21">
        <f>VLOOKUP($A426,'2022-23 Salary &amp; Benefits'!$A:$I,5,FALSE)</f>
        <v>68937</v>
      </c>
      <c r="U426" s="21">
        <f>VLOOKUP($A426,'2022-23 Salary &amp; Benefits'!$A:$I,6,FALSE)</f>
        <v>72728</v>
      </c>
      <c r="V426" s="22">
        <f t="shared" si="83"/>
        <v>0</v>
      </c>
      <c r="W426" s="22">
        <f t="shared" si="84"/>
        <v>0</v>
      </c>
      <c r="X426" s="22">
        <f>'2022-23 Salary &amp; Benefits'!$G$6</f>
        <v>12558.24</v>
      </c>
      <c r="Y426" s="23">
        <f>'2022-23 Salary &amp; Benefits'!$H$6</f>
        <v>0.2298</v>
      </c>
      <c r="Z426" s="23">
        <f>'2022-23 Salary &amp; Benefits'!$I$6</f>
        <v>0.22339999999999999</v>
      </c>
      <c r="AA426" s="22">
        <f t="shared" si="85"/>
        <v>0</v>
      </c>
      <c r="AB426" s="22">
        <f t="shared" si="86"/>
        <v>0</v>
      </c>
      <c r="AC426" s="22">
        <f t="shared" si="87"/>
        <v>0</v>
      </c>
      <c r="AD426" s="22">
        <f t="shared" si="77"/>
        <v>0</v>
      </c>
      <c r="AE426" s="22">
        <f t="shared" si="78"/>
        <v>0</v>
      </c>
      <c r="AF426" s="19" t="str">
        <f>VLOOKUP(C426,'2021-22 School Level AAFTE'!C:N,12,FALSE)</f>
        <v>No</v>
      </c>
    </row>
    <row r="427" spans="1:284" s="19" customFormat="1">
      <c r="A427" s="97" t="s">
        <v>2413</v>
      </c>
      <c r="B427" s="97" t="s">
        <v>1201</v>
      </c>
      <c r="C427" s="95">
        <v>5603</v>
      </c>
      <c r="D427" s="95" t="s">
        <v>2979</v>
      </c>
      <c r="E427" s="129">
        <f>VLOOKUP($C427,'2021-22 School Level AAFTE'!$C:$Z,11,FALSE)</f>
        <v>0</v>
      </c>
      <c r="F427" s="129" t="str">
        <f>VLOOKUP($C427,'2021-22 School Level AAFTE'!$C:$Z,8,FALSE)</f>
        <v>No</v>
      </c>
      <c r="G427" s="129" t="str">
        <f>VLOOKUP($C427,'2021-22 School Level AAFTE'!$C:$Z,12,FALSE)</f>
        <v>No</v>
      </c>
      <c r="H427" s="127">
        <f>VLOOKUP($C427,'2021-22 School Level AAFTE'!$C:$I,7,FALSE)</f>
        <v>1.54</v>
      </c>
      <c r="I427" s="112">
        <f>IFERROR(IF(OR(G427="yes",F427= "yes"),VLOOKUP(C427,Summary!$B:$J,6,0),0),0)</f>
        <v>0</v>
      </c>
      <c r="J427" s="111">
        <f t="shared" si="81"/>
        <v>0</v>
      </c>
      <c r="K427" s="91">
        <f>VLOOKUP($A427,'2022-23 Salary &amp; Benefits'!$A:$I,3,FALSE)</f>
        <v>1</v>
      </c>
      <c r="L427" s="91">
        <f>VLOOKUP($A427,'2022-23 Salary &amp; Benefits'!$A:$I,4,FALSE)</f>
        <v>1</v>
      </c>
      <c r="M427" s="101">
        <f t="shared" si="76"/>
        <v>0</v>
      </c>
      <c r="N427" s="24">
        <v>15</v>
      </c>
      <c r="O427" s="26">
        <f t="shared" si="79"/>
        <v>0</v>
      </c>
      <c r="P427" s="24">
        <v>1.1000000000000001</v>
      </c>
      <c r="Q427" s="24">
        <v>36</v>
      </c>
      <c r="R427" s="27">
        <f t="shared" si="80"/>
        <v>0</v>
      </c>
      <c r="S427" s="102">
        <f t="shared" si="82"/>
        <v>0</v>
      </c>
      <c r="T427" s="21">
        <f>VLOOKUP($A427,'2022-23 Salary &amp; Benefits'!$A:$I,5,FALSE)</f>
        <v>68937</v>
      </c>
      <c r="U427" s="21">
        <f>VLOOKUP($A427,'2022-23 Salary &amp; Benefits'!$A:$I,6,FALSE)</f>
        <v>72728</v>
      </c>
      <c r="V427" s="22">
        <f t="shared" si="83"/>
        <v>0</v>
      </c>
      <c r="W427" s="22">
        <f t="shared" si="84"/>
        <v>0</v>
      </c>
      <c r="X427" s="22">
        <f>'2022-23 Salary &amp; Benefits'!$G$6</f>
        <v>12558.24</v>
      </c>
      <c r="Y427" s="23">
        <f>'2022-23 Salary &amp; Benefits'!$H$6</f>
        <v>0.2298</v>
      </c>
      <c r="Z427" s="23">
        <f>'2022-23 Salary &amp; Benefits'!$I$6</f>
        <v>0.22339999999999999</v>
      </c>
      <c r="AA427" s="22">
        <f t="shared" si="85"/>
        <v>0</v>
      </c>
      <c r="AB427" s="22">
        <f t="shared" si="86"/>
        <v>0</v>
      </c>
      <c r="AC427" s="22">
        <f t="shared" si="87"/>
        <v>0</v>
      </c>
      <c r="AD427" s="22">
        <f t="shared" si="77"/>
        <v>0</v>
      </c>
      <c r="AE427" s="22">
        <f t="shared" si="78"/>
        <v>0</v>
      </c>
      <c r="AF427" s="19" t="str">
        <f>VLOOKUP(C427,'2021-22 School Level AAFTE'!C:N,12,FALSE)</f>
        <v>No</v>
      </c>
    </row>
    <row r="428" spans="1:284" s="19" customFormat="1">
      <c r="A428" s="97" t="s">
        <v>2413</v>
      </c>
      <c r="B428" s="97" t="s">
        <v>1201</v>
      </c>
      <c r="C428" s="95">
        <v>5643</v>
      </c>
      <c r="D428" s="95" t="s">
        <v>3070</v>
      </c>
      <c r="E428" s="129">
        <f>VLOOKUP($C428,'2021-22 School Level AAFTE'!$C:$Z,11,FALSE)</f>
        <v>0</v>
      </c>
      <c r="F428" s="129" t="str">
        <f>VLOOKUP($C428,'2021-22 School Level AAFTE'!$C:$Z,8,FALSE)</f>
        <v>No</v>
      </c>
      <c r="G428" s="129" t="str">
        <f>VLOOKUP($C428,'2021-22 School Level AAFTE'!$C:$Z,12,FALSE)</f>
        <v>No</v>
      </c>
      <c r="H428" s="127">
        <f>VLOOKUP($C428,'2021-22 School Level AAFTE'!$C:$I,7,FALSE)</f>
        <v>5.7</v>
      </c>
      <c r="I428" s="112">
        <f>IFERROR(IF(OR(G428="yes",F428= "yes"),VLOOKUP(C428,Summary!$B:$J,6,0),0),0)</f>
        <v>0</v>
      </c>
      <c r="J428" s="111">
        <f t="shared" si="81"/>
        <v>0</v>
      </c>
      <c r="K428" s="91">
        <f>VLOOKUP($A428,'2022-23 Salary &amp; Benefits'!$A:$I,3,FALSE)</f>
        <v>1</v>
      </c>
      <c r="L428" s="91">
        <f>VLOOKUP($A428,'2022-23 Salary &amp; Benefits'!$A:$I,4,FALSE)</f>
        <v>1</v>
      </c>
      <c r="M428" s="101">
        <f t="shared" si="76"/>
        <v>0</v>
      </c>
      <c r="N428" s="24">
        <v>15</v>
      </c>
      <c r="O428" s="26">
        <f t="shared" si="79"/>
        <v>0</v>
      </c>
      <c r="P428" s="24">
        <v>1.1000000000000001</v>
      </c>
      <c r="Q428" s="24">
        <v>36</v>
      </c>
      <c r="R428" s="27">
        <f t="shared" si="80"/>
        <v>0</v>
      </c>
      <c r="S428" s="102">
        <f t="shared" si="82"/>
        <v>0</v>
      </c>
      <c r="T428" s="21">
        <f>VLOOKUP($A428,'2022-23 Salary &amp; Benefits'!$A:$I,5,FALSE)</f>
        <v>68937</v>
      </c>
      <c r="U428" s="21">
        <f>VLOOKUP($A428,'2022-23 Salary &amp; Benefits'!$A:$I,6,FALSE)</f>
        <v>72728</v>
      </c>
      <c r="V428" s="22">
        <f t="shared" si="83"/>
        <v>0</v>
      </c>
      <c r="W428" s="22">
        <f t="shared" si="84"/>
        <v>0</v>
      </c>
      <c r="X428" s="22">
        <f>'2022-23 Salary &amp; Benefits'!$G$6</f>
        <v>12558.24</v>
      </c>
      <c r="Y428" s="23">
        <f>'2022-23 Salary &amp; Benefits'!$H$6</f>
        <v>0.2298</v>
      </c>
      <c r="Z428" s="23">
        <f>'2022-23 Salary &amp; Benefits'!$I$6</f>
        <v>0.22339999999999999</v>
      </c>
      <c r="AA428" s="22">
        <f t="shared" si="85"/>
        <v>0</v>
      </c>
      <c r="AB428" s="22">
        <f t="shared" si="86"/>
        <v>0</v>
      </c>
      <c r="AC428" s="22">
        <f t="shared" si="87"/>
        <v>0</v>
      </c>
      <c r="AD428" s="22">
        <f t="shared" si="77"/>
        <v>0</v>
      </c>
      <c r="AE428" s="22">
        <f t="shared" si="78"/>
        <v>0</v>
      </c>
      <c r="AF428" s="19" t="str">
        <f>VLOOKUP(C428,'2021-22 School Level AAFTE'!C:N,12,FALSE)</f>
        <v>No</v>
      </c>
    </row>
    <row r="429" spans="1:284" s="19" customFormat="1">
      <c r="A429" s="97" t="s">
        <v>2293</v>
      </c>
      <c r="B429" s="97" t="s">
        <v>290</v>
      </c>
      <c r="C429" s="95">
        <v>2302</v>
      </c>
      <c r="D429" s="95" t="s">
        <v>291</v>
      </c>
      <c r="E429" s="129">
        <f>VLOOKUP($C429,'2021-22 School Level AAFTE'!$C:$Z,11,FALSE)</f>
        <v>0.53609999999999991</v>
      </c>
      <c r="F429" s="129" t="str">
        <f>VLOOKUP($C429,'2021-22 School Level AAFTE'!$C:$Z,8,FALSE)</f>
        <v>Yes</v>
      </c>
      <c r="G429" s="129" t="str">
        <f>VLOOKUP($C429,'2021-22 School Level AAFTE'!$C:$Z,12,FALSE)</f>
        <v>No</v>
      </c>
      <c r="H429" s="127">
        <f>VLOOKUP($C429,'2021-22 School Level AAFTE'!$C:$I,7,FALSE)</f>
        <v>99.27</v>
      </c>
      <c r="I429" s="112">
        <f>IFERROR(IF(OR(G429="yes",F429= "yes"),VLOOKUP(C429,Summary!$B:$J,6,0),0),0)</f>
        <v>0</v>
      </c>
      <c r="J429" s="111">
        <f t="shared" si="81"/>
        <v>99.27</v>
      </c>
      <c r="K429" s="91">
        <f>VLOOKUP($A429,'2022-23 Salary &amp; Benefits'!$A:$I,3,FALSE)</f>
        <v>1</v>
      </c>
      <c r="L429" s="91">
        <f>VLOOKUP($A429,'2022-23 Salary &amp; Benefits'!$A:$I,4,FALSE)</f>
        <v>1</v>
      </c>
      <c r="M429" s="101">
        <f t="shared" si="76"/>
        <v>99.27</v>
      </c>
      <c r="N429" s="24">
        <v>15</v>
      </c>
      <c r="O429" s="26">
        <f t="shared" si="79"/>
        <v>6.6179999999999994</v>
      </c>
      <c r="P429" s="24">
        <v>1.1000000000000001</v>
      </c>
      <c r="Q429" s="24">
        <v>36</v>
      </c>
      <c r="R429" s="27">
        <f t="shared" si="80"/>
        <v>262.07279999999997</v>
      </c>
      <c r="S429" s="102">
        <f t="shared" si="82"/>
        <v>0.29099999999999998</v>
      </c>
      <c r="T429" s="21">
        <f>VLOOKUP($A429,'2022-23 Salary &amp; Benefits'!$A:$I,5,FALSE)</f>
        <v>68937</v>
      </c>
      <c r="U429" s="21">
        <f>VLOOKUP($A429,'2022-23 Salary &amp; Benefits'!$A:$I,6,FALSE)</f>
        <v>72728</v>
      </c>
      <c r="V429" s="22">
        <f t="shared" si="83"/>
        <v>20060.669999999998</v>
      </c>
      <c r="W429" s="22">
        <f t="shared" si="84"/>
        <v>1103.1800000000003</v>
      </c>
      <c r="X429" s="22">
        <f>'2022-23 Salary &amp; Benefits'!$G$6</f>
        <v>12558.24</v>
      </c>
      <c r="Y429" s="23">
        <f>'2022-23 Salary &amp; Benefits'!$H$6</f>
        <v>0.2298</v>
      </c>
      <c r="Z429" s="23">
        <f>'2022-23 Salary &amp; Benefits'!$I$6</f>
        <v>0.22339999999999999</v>
      </c>
      <c r="AA429" s="22">
        <f t="shared" si="85"/>
        <v>8510.84</v>
      </c>
      <c r="AB429" s="22">
        <f t="shared" si="86"/>
        <v>352.73</v>
      </c>
      <c r="AC429" s="22">
        <f t="shared" si="87"/>
        <v>78.8</v>
      </c>
      <c r="AD429" s="22">
        <f t="shared" si="77"/>
        <v>431.53000000000003</v>
      </c>
      <c r="AE429" s="22">
        <f t="shared" si="78"/>
        <v>30106.219999999998</v>
      </c>
      <c r="AF429" s="19" t="str">
        <f>VLOOKUP(C429,'2021-22 School Level AAFTE'!C:N,12,FALSE)</f>
        <v>No</v>
      </c>
    </row>
    <row r="430" spans="1:284" s="19" customFormat="1">
      <c r="A430" s="97" t="s">
        <v>2293</v>
      </c>
      <c r="B430" s="97" t="s">
        <v>290</v>
      </c>
      <c r="C430" s="95">
        <v>2830</v>
      </c>
      <c r="D430" s="95" t="s">
        <v>292</v>
      </c>
      <c r="E430" s="129">
        <f>VLOOKUP($C430,'2021-22 School Level AAFTE'!$C:$Z,11,FALSE)</f>
        <v>0.4985</v>
      </c>
      <c r="F430" s="129" t="str">
        <f>VLOOKUP($C430,'2021-22 School Level AAFTE'!$C:$Z,8,FALSE)</f>
        <v>Yes</v>
      </c>
      <c r="G430" s="129" t="str">
        <f>VLOOKUP($C430,'2021-22 School Level AAFTE'!$C:$Z,12,FALSE)</f>
        <v>No</v>
      </c>
      <c r="H430" s="127">
        <f>VLOOKUP($C430,'2021-22 School Level AAFTE'!$C:$I,7,FALSE)</f>
        <v>176.22</v>
      </c>
      <c r="I430" s="112">
        <f>IFERROR(IF(OR(G430="yes",F430= "yes"),VLOOKUP(C430,Summary!$B:$J,6,0),0),0)</f>
        <v>0</v>
      </c>
      <c r="J430" s="111">
        <f t="shared" si="81"/>
        <v>176.22</v>
      </c>
      <c r="K430" s="91">
        <f>VLOOKUP($A430,'2022-23 Salary &amp; Benefits'!$A:$I,3,FALSE)</f>
        <v>1</v>
      </c>
      <c r="L430" s="91">
        <f>VLOOKUP($A430,'2022-23 Salary &amp; Benefits'!$A:$I,4,FALSE)</f>
        <v>1</v>
      </c>
      <c r="M430" s="101">
        <f t="shared" si="76"/>
        <v>176.22</v>
      </c>
      <c r="N430" s="24">
        <v>15</v>
      </c>
      <c r="O430" s="26">
        <f t="shared" si="79"/>
        <v>11.747999999999999</v>
      </c>
      <c r="P430" s="24">
        <v>1.1000000000000001</v>
      </c>
      <c r="Q430" s="24">
        <v>36</v>
      </c>
      <c r="R430" s="27">
        <f t="shared" si="80"/>
        <v>465.2208</v>
      </c>
      <c r="S430" s="102">
        <f t="shared" si="82"/>
        <v>0.51700000000000002</v>
      </c>
      <c r="T430" s="21">
        <f>VLOOKUP($A430,'2022-23 Salary &amp; Benefits'!$A:$I,5,FALSE)</f>
        <v>68937</v>
      </c>
      <c r="U430" s="21">
        <f>VLOOKUP($A430,'2022-23 Salary &amp; Benefits'!$A:$I,6,FALSE)</f>
        <v>72728</v>
      </c>
      <c r="V430" s="22">
        <f t="shared" si="83"/>
        <v>35640.43</v>
      </c>
      <c r="W430" s="22">
        <f t="shared" si="84"/>
        <v>1959.9499999999971</v>
      </c>
      <c r="X430" s="22">
        <f>'2022-23 Salary &amp; Benefits'!$G$6</f>
        <v>12558.24</v>
      </c>
      <c r="Y430" s="23">
        <f>'2022-23 Salary &amp; Benefits'!$H$6</f>
        <v>0.2298</v>
      </c>
      <c r="Z430" s="23">
        <f>'2022-23 Salary &amp; Benefits'!$I$6</f>
        <v>0.22339999999999999</v>
      </c>
      <c r="AA430" s="22">
        <f t="shared" si="85"/>
        <v>15120.63</v>
      </c>
      <c r="AB430" s="22">
        <f t="shared" si="86"/>
        <v>626.66999999999996</v>
      </c>
      <c r="AC430" s="22">
        <f t="shared" si="87"/>
        <v>140</v>
      </c>
      <c r="AD430" s="22">
        <f t="shared" si="77"/>
        <v>766.67</v>
      </c>
      <c r="AE430" s="22">
        <f t="shared" si="78"/>
        <v>53487.679999999993</v>
      </c>
      <c r="AF430" s="19" t="str">
        <f>VLOOKUP(C430,'2021-22 School Level AAFTE'!C:N,12,FALSE)</f>
        <v>No</v>
      </c>
    </row>
    <row r="431" spans="1:284" s="19" customFormat="1">
      <c r="A431" s="97" t="s">
        <v>2293</v>
      </c>
      <c r="B431" s="97" t="s">
        <v>290</v>
      </c>
      <c r="C431" s="95">
        <v>4011</v>
      </c>
      <c r="D431" s="95" t="s">
        <v>293</v>
      </c>
      <c r="E431" s="129">
        <f>VLOOKUP($C431,'2021-22 School Level AAFTE'!$C:$Z,11,FALSE)</f>
        <v>0.52910000000000001</v>
      </c>
      <c r="F431" s="129" t="str">
        <f>VLOOKUP($C431,'2021-22 School Level AAFTE'!$C:$Z,8,FALSE)</f>
        <v>Yes</v>
      </c>
      <c r="G431" s="129" t="str">
        <f>VLOOKUP($C431,'2021-22 School Level AAFTE'!$C:$Z,12,FALSE)</f>
        <v>No</v>
      </c>
      <c r="H431" s="127">
        <f>VLOOKUP($C431,'2021-22 School Level AAFTE'!$C:$I,7,FALSE)</f>
        <v>76.33</v>
      </c>
      <c r="I431" s="112">
        <f>IFERROR(IF(OR(G431="yes",F431= "yes"),VLOOKUP(C431,Summary!$B:$J,6,0),0),0)</f>
        <v>0</v>
      </c>
      <c r="J431" s="111">
        <f t="shared" si="81"/>
        <v>76.33</v>
      </c>
      <c r="K431" s="91">
        <f>VLOOKUP($A431,'2022-23 Salary &amp; Benefits'!$A:$I,3,FALSE)</f>
        <v>1</v>
      </c>
      <c r="L431" s="91">
        <f>VLOOKUP($A431,'2022-23 Salary &amp; Benefits'!$A:$I,4,FALSE)</f>
        <v>1</v>
      </c>
      <c r="M431" s="101">
        <f t="shared" si="76"/>
        <v>76.33</v>
      </c>
      <c r="N431" s="24">
        <v>15</v>
      </c>
      <c r="O431" s="26">
        <f t="shared" si="79"/>
        <v>5.0886666666666667</v>
      </c>
      <c r="P431" s="24">
        <v>1.1000000000000001</v>
      </c>
      <c r="Q431" s="24">
        <v>36</v>
      </c>
      <c r="R431" s="27">
        <f t="shared" si="80"/>
        <v>201.5112</v>
      </c>
      <c r="S431" s="102">
        <f t="shared" si="82"/>
        <v>0.224</v>
      </c>
      <c r="T431" s="21">
        <f>VLOOKUP($A431,'2022-23 Salary &amp; Benefits'!$A:$I,5,FALSE)</f>
        <v>68937</v>
      </c>
      <c r="U431" s="21">
        <f>VLOOKUP($A431,'2022-23 Salary &amp; Benefits'!$A:$I,6,FALSE)</f>
        <v>72728</v>
      </c>
      <c r="V431" s="22">
        <f t="shared" si="83"/>
        <v>15441.89</v>
      </c>
      <c r="W431" s="22">
        <f t="shared" si="84"/>
        <v>849.18000000000029</v>
      </c>
      <c r="X431" s="22">
        <f>'2022-23 Salary &amp; Benefits'!$G$6</f>
        <v>12558.24</v>
      </c>
      <c r="Y431" s="23">
        <f>'2022-23 Salary &amp; Benefits'!$H$6</f>
        <v>0.2298</v>
      </c>
      <c r="Z431" s="23">
        <f>'2022-23 Salary &amp; Benefits'!$I$6</f>
        <v>0.22339999999999999</v>
      </c>
      <c r="AA431" s="22">
        <f t="shared" si="85"/>
        <v>6551.3</v>
      </c>
      <c r="AB431" s="22">
        <f t="shared" si="86"/>
        <v>271.52</v>
      </c>
      <c r="AC431" s="22">
        <f t="shared" si="87"/>
        <v>60.66</v>
      </c>
      <c r="AD431" s="22">
        <f t="shared" si="77"/>
        <v>332.17999999999995</v>
      </c>
      <c r="AE431" s="22">
        <f t="shared" si="78"/>
        <v>23174.55</v>
      </c>
      <c r="AF431" s="19" t="str">
        <f>VLOOKUP(C431,'2021-22 School Level AAFTE'!C:N,12,FALSE)</f>
        <v>No</v>
      </c>
    </row>
    <row r="432" spans="1:284" s="19" customFormat="1">
      <c r="A432" s="97" t="s">
        <v>2293</v>
      </c>
      <c r="B432" s="97" t="s">
        <v>290</v>
      </c>
      <c r="C432" s="95">
        <v>5617</v>
      </c>
      <c r="D432" s="95" t="s">
        <v>2877</v>
      </c>
      <c r="E432" s="129">
        <f>VLOOKUP($C432,'2021-22 School Level AAFTE'!$C:$Z,11,FALSE)</f>
        <v>0.45</v>
      </c>
      <c r="F432" s="129" t="str">
        <f>VLOOKUP($C432,'2021-22 School Level AAFTE'!$C:$Z,8,FALSE)</f>
        <v>No</v>
      </c>
      <c r="G432" s="129" t="str">
        <f>VLOOKUP($C432,'2021-22 School Level AAFTE'!$C:$Z,12,FALSE)</f>
        <v>No</v>
      </c>
      <c r="H432" s="127">
        <f>VLOOKUP($C432,'2021-22 School Level AAFTE'!$C:$I,7,FALSE)</f>
        <v>1.72</v>
      </c>
      <c r="I432" s="112">
        <f>IFERROR(IF(OR(G432="yes",F432= "yes"),VLOOKUP(C432,Summary!$B:$J,6,0),0),0)</f>
        <v>0</v>
      </c>
      <c r="J432" s="111">
        <f t="shared" si="81"/>
        <v>0</v>
      </c>
      <c r="K432" s="91">
        <f>VLOOKUP($A432,'2022-23 Salary &amp; Benefits'!$A:$I,3,FALSE)</f>
        <v>1</v>
      </c>
      <c r="L432" s="91">
        <f>VLOOKUP($A432,'2022-23 Salary &amp; Benefits'!$A:$I,4,FALSE)</f>
        <v>1</v>
      </c>
      <c r="M432" s="101">
        <f t="shared" si="76"/>
        <v>0</v>
      </c>
      <c r="N432" s="24">
        <v>15</v>
      </c>
      <c r="O432" s="26">
        <f t="shared" si="79"/>
        <v>0</v>
      </c>
      <c r="P432" s="24">
        <v>1.1000000000000001</v>
      </c>
      <c r="Q432" s="24">
        <v>36</v>
      </c>
      <c r="R432" s="27">
        <f t="shared" si="80"/>
        <v>0</v>
      </c>
      <c r="S432" s="102">
        <f t="shared" si="82"/>
        <v>0</v>
      </c>
      <c r="T432" s="21">
        <f>VLOOKUP($A432,'2022-23 Salary &amp; Benefits'!$A:$I,5,FALSE)</f>
        <v>68937</v>
      </c>
      <c r="U432" s="21">
        <f>VLOOKUP($A432,'2022-23 Salary &amp; Benefits'!$A:$I,6,FALSE)</f>
        <v>72728</v>
      </c>
      <c r="V432" s="22">
        <f t="shared" si="83"/>
        <v>0</v>
      </c>
      <c r="W432" s="22">
        <f t="shared" si="84"/>
        <v>0</v>
      </c>
      <c r="X432" s="22">
        <f>'2022-23 Salary &amp; Benefits'!$G$6</f>
        <v>12558.24</v>
      </c>
      <c r="Y432" s="23">
        <f>'2022-23 Salary &amp; Benefits'!$H$6</f>
        <v>0.2298</v>
      </c>
      <c r="Z432" s="23">
        <f>'2022-23 Salary &amp; Benefits'!$I$6</f>
        <v>0.22339999999999999</v>
      </c>
      <c r="AA432" s="22">
        <f t="shared" si="85"/>
        <v>0</v>
      </c>
      <c r="AB432" s="22">
        <f t="shared" si="86"/>
        <v>0</v>
      </c>
      <c r="AC432" s="22">
        <f t="shared" si="87"/>
        <v>0</v>
      </c>
      <c r="AD432" s="22">
        <f t="shared" si="77"/>
        <v>0</v>
      </c>
      <c r="AE432" s="22">
        <f t="shared" si="78"/>
        <v>0</v>
      </c>
      <c r="AF432" s="19" t="str">
        <f>VLOOKUP(C432,'2021-22 School Level AAFTE'!C:N,12,FALSE)</f>
        <v>No</v>
      </c>
    </row>
    <row r="433" spans="1:32" s="19" customFormat="1">
      <c r="A433" s="97" t="s">
        <v>2498</v>
      </c>
      <c r="B433" s="97" t="s">
        <v>1908</v>
      </c>
      <c r="C433" s="95">
        <v>1852</v>
      </c>
      <c r="D433" s="95" t="s">
        <v>1909</v>
      </c>
      <c r="E433" s="129">
        <f>VLOOKUP($C433,'2021-22 School Level AAFTE'!$C:$Z,11,FALSE)</f>
        <v>0.315</v>
      </c>
      <c r="F433" s="129" t="str">
        <f>VLOOKUP($C433,'2021-22 School Level AAFTE'!$C:$Z,8,FALSE)</f>
        <v>No</v>
      </c>
      <c r="G433" s="129" t="str">
        <f>VLOOKUP($C433,'2021-22 School Level AAFTE'!$C:$Z,12,FALSE)</f>
        <v>No</v>
      </c>
      <c r="H433" s="127">
        <f>VLOOKUP($C433,'2021-22 School Level AAFTE'!$C:$I,7,FALSE)</f>
        <v>499.81</v>
      </c>
      <c r="I433" s="112">
        <f>IFERROR(IF(OR(G433="yes",F433= "yes"),VLOOKUP(C433,Summary!$B:$J,6,0),0),0)</f>
        <v>0</v>
      </c>
      <c r="J433" s="111">
        <f t="shared" si="81"/>
        <v>0</v>
      </c>
      <c r="K433" s="91">
        <f>VLOOKUP($A433,'2022-23 Salary &amp; Benefits'!$A:$I,3,FALSE)</f>
        <v>1</v>
      </c>
      <c r="L433" s="91">
        <f>VLOOKUP($A433,'2022-23 Salary &amp; Benefits'!$A:$I,4,FALSE)</f>
        <v>1</v>
      </c>
      <c r="M433" s="101">
        <f t="shared" si="76"/>
        <v>0</v>
      </c>
      <c r="N433" s="24">
        <v>15</v>
      </c>
      <c r="O433" s="26">
        <f t="shared" si="79"/>
        <v>0</v>
      </c>
      <c r="P433" s="24">
        <v>1.1000000000000001</v>
      </c>
      <c r="Q433" s="24">
        <v>36</v>
      </c>
      <c r="R433" s="27">
        <f t="shared" si="80"/>
        <v>0</v>
      </c>
      <c r="S433" s="102">
        <f t="shared" si="82"/>
        <v>0</v>
      </c>
      <c r="T433" s="21">
        <f>VLOOKUP($A433,'2022-23 Salary &amp; Benefits'!$A:$I,5,FALSE)</f>
        <v>68937</v>
      </c>
      <c r="U433" s="21">
        <f>VLOOKUP($A433,'2022-23 Salary &amp; Benefits'!$A:$I,6,FALSE)</f>
        <v>72728</v>
      </c>
      <c r="V433" s="22">
        <f t="shared" si="83"/>
        <v>0</v>
      </c>
      <c r="W433" s="22">
        <f t="shared" si="84"/>
        <v>0</v>
      </c>
      <c r="X433" s="22">
        <f>'2022-23 Salary &amp; Benefits'!$G$6</f>
        <v>12558.24</v>
      </c>
      <c r="Y433" s="23">
        <f>'2022-23 Salary &amp; Benefits'!$H$6</f>
        <v>0.2298</v>
      </c>
      <c r="Z433" s="23">
        <f>'2022-23 Salary &amp; Benefits'!$I$6</f>
        <v>0.22339999999999999</v>
      </c>
      <c r="AA433" s="22">
        <f t="shared" si="85"/>
        <v>0</v>
      </c>
      <c r="AB433" s="22">
        <f t="shared" si="86"/>
        <v>0</v>
      </c>
      <c r="AC433" s="22">
        <f t="shared" si="87"/>
        <v>0</v>
      </c>
      <c r="AD433" s="22">
        <f t="shared" si="77"/>
        <v>0</v>
      </c>
      <c r="AE433" s="22">
        <f t="shared" si="78"/>
        <v>0</v>
      </c>
      <c r="AF433" s="19" t="str">
        <f>VLOOKUP(C433,'2021-22 School Level AAFTE'!C:N,12,FALSE)</f>
        <v>No</v>
      </c>
    </row>
    <row r="434" spans="1:32" s="19" customFormat="1">
      <c r="A434" s="97" t="s">
        <v>2498</v>
      </c>
      <c r="B434" s="97" t="s">
        <v>1908</v>
      </c>
      <c r="C434" s="95">
        <v>2173</v>
      </c>
      <c r="D434" s="95" t="s">
        <v>1910</v>
      </c>
      <c r="E434" s="129">
        <f>VLOOKUP($C434,'2021-22 School Level AAFTE'!$C:$Z,11,FALSE)</f>
        <v>0.51893333333333336</v>
      </c>
      <c r="F434" s="129" t="str">
        <f>VLOOKUP($C434,'2021-22 School Level AAFTE'!$C:$Z,8,FALSE)</f>
        <v>Yes</v>
      </c>
      <c r="G434" s="129" t="str">
        <f>VLOOKUP($C434,'2021-22 School Level AAFTE'!$C:$Z,12,FALSE)</f>
        <v>No</v>
      </c>
      <c r="H434" s="127">
        <f>VLOOKUP($C434,'2021-22 School Level AAFTE'!$C:$I,7,FALSE)</f>
        <v>451.29</v>
      </c>
      <c r="I434" s="112">
        <f>IFERROR(IF(OR(G434="yes",F434= "yes"),VLOOKUP(C434,Summary!$B:$J,6,0),0),0)</f>
        <v>0</v>
      </c>
      <c r="J434" s="111">
        <f t="shared" si="81"/>
        <v>451.29</v>
      </c>
      <c r="K434" s="91">
        <f>VLOOKUP($A434,'2022-23 Salary &amp; Benefits'!$A:$I,3,FALSE)</f>
        <v>1</v>
      </c>
      <c r="L434" s="91">
        <f>VLOOKUP($A434,'2022-23 Salary &amp; Benefits'!$A:$I,4,FALSE)</f>
        <v>1</v>
      </c>
      <c r="M434" s="39">
        <f t="shared" si="76"/>
        <v>451.29</v>
      </c>
      <c r="N434" s="24">
        <v>15</v>
      </c>
      <c r="O434" s="26">
        <f t="shared" si="79"/>
        <v>30.086000000000002</v>
      </c>
      <c r="P434" s="24">
        <v>1.1000000000000001</v>
      </c>
      <c r="Q434" s="24">
        <v>36</v>
      </c>
      <c r="R434" s="27">
        <f t="shared" si="80"/>
        <v>1191.4056000000003</v>
      </c>
      <c r="S434" s="102">
        <f t="shared" si="82"/>
        <v>1.3240000000000001</v>
      </c>
      <c r="T434" s="21">
        <f>VLOOKUP($A434,'2022-23 Salary &amp; Benefits'!$A:$I,5,FALSE)</f>
        <v>68937</v>
      </c>
      <c r="U434" s="21">
        <f>VLOOKUP($A434,'2022-23 Salary &amp; Benefits'!$A:$I,6,FALSE)</f>
        <v>72728</v>
      </c>
      <c r="V434" s="22">
        <f t="shared" si="83"/>
        <v>91272.59</v>
      </c>
      <c r="W434" s="22">
        <f t="shared" si="84"/>
        <v>5019.2799999999988</v>
      </c>
      <c r="X434" s="22">
        <f>'2022-23 Salary &amp; Benefits'!$G$6</f>
        <v>12558.24</v>
      </c>
      <c r="Y434" s="23">
        <f>'2022-23 Salary &amp; Benefits'!$H$6</f>
        <v>0.2298</v>
      </c>
      <c r="Z434" s="23">
        <f>'2022-23 Salary &amp; Benefits'!$I$6</f>
        <v>0.22339999999999999</v>
      </c>
      <c r="AA434" s="22">
        <f t="shared" si="85"/>
        <v>38722.86</v>
      </c>
      <c r="AB434" s="22">
        <f t="shared" si="86"/>
        <v>1604.86</v>
      </c>
      <c r="AC434" s="22">
        <f t="shared" si="87"/>
        <v>358.53</v>
      </c>
      <c r="AD434" s="22">
        <f t="shared" si="77"/>
        <v>1963.3899999999999</v>
      </c>
      <c r="AE434" s="22">
        <f t="shared" si="78"/>
        <v>136978.12</v>
      </c>
      <c r="AF434" s="19" t="str">
        <f>VLOOKUP(C434,'2021-22 School Level AAFTE'!C:N,12,FALSE)</f>
        <v>No</v>
      </c>
    </row>
    <row r="435" spans="1:32" s="19" customFormat="1">
      <c r="A435" s="97" t="s">
        <v>2498</v>
      </c>
      <c r="B435" s="97" t="s">
        <v>1908</v>
      </c>
      <c r="C435" s="95">
        <v>2430</v>
      </c>
      <c r="D435" s="95" t="s">
        <v>1911</v>
      </c>
      <c r="E435" s="129">
        <f>VLOOKUP($C435,'2021-22 School Level AAFTE'!$C:$Z,11,FALSE)</f>
        <v>0.52113333333333334</v>
      </c>
      <c r="F435" s="129" t="str">
        <f>VLOOKUP($C435,'2021-22 School Level AAFTE'!$C:$Z,8,FALSE)</f>
        <v>Yes</v>
      </c>
      <c r="G435" s="129" t="str">
        <f>VLOOKUP($C435,'2021-22 School Level AAFTE'!$C:$Z,12,FALSE)</f>
        <v>No</v>
      </c>
      <c r="H435" s="127">
        <f>VLOOKUP($C435,'2021-22 School Level AAFTE'!$C:$I,7,FALSE)</f>
        <v>415.31</v>
      </c>
      <c r="I435" s="112">
        <f>IFERROR(IF(OR(G435="yes",F435= "yes"),VLOOKUP(C435,Summary!$B:$J,6,0),0),0)</f>
        <v>0</v>
      </c>
      <c r="J435" s="111">
        <f t="shared" si="81"/>
        <v>415.31</v>
      </c>
      <c r="K435" s="91">
        <f>VLOOKUP($A435,'2022-23 Salary &amp; Benefits'!$A:$I,3,FALSE)</f>
        <v>1</v>
      </c>
      <c r="L435" s="91">
        <f>VLOOKUP($A435,'2022-23 Salary &amp; Benefits'!$A:$I,4,FALSE)</f>
        <v>1</v>
      </c>
      <c r="M435" s="101">
        <f t="shared" si="76"/>
        <v>415.31</v>
      </c>
      <c r="N435" s="24">
        <v>15</v>
      </c>
      <c r="O435" s="26">
        <f t="shared" si="79"/>
        <v>27.687333333333335</v>
      </c>
      <c r="P435" s="24">
        <v>1.1000000000000001</v>
      </c>
      <c r="Q435" s="24">
        <v>36</v>
      </c>
      <c r="R435" s="27">
        <f t="shared" si="80"/>
        <v>1096.4184000000002</v>
      </c>
      <c r="S435" s="102">
        <f t="shared" si="82"/>
        <v>1.218</v>
      </c>
      <c r="T435" s="21">
        <f>VLOOKUP($A435,'2022-23 Salary &amp; Benefits'!$A:$I,5,FALSE)</f>
        <v>68937</v>
      </c>
      <c r="U435" s="21">
        <f>VLOOKUP($A435,'2022-23 Salary &amp; Benefits'!$A:$I,6,FALSE)</f>
        <v>72728</v>
      </c>
      <c r="V435" s="22">
        <f t="shared" si="83"/>
        <v>83965.27</v>
      </c>
      <c r="W435" s="22">
        <f t="shared" si="84"/>
        <v>4617.429999999993</v>
      </c>
      <c r="X435" s="22">
        <f>'2022-23 Salary &amp; Benefits'!$G$6</f>
        <v>12558.24</v>
      </c>
      <c r="Y435" s="23">
        <f>'2022-23 Salary &amp; Benefits'!$H$6</f>
        <v>0.2298</v>
      </c>
      <c r="Z435" s="23">
        <f>'2022-23 Salary &amp; Benefits'!$I$6</f>
        <v>0.22339999999999999</v>
      </c>
      <c r="AA435" s="22">
        <f t="shared" si="85"/>
        <v>35622.69</v>
      </c>
      <c r="AB435" s="22">
        <f t="shared" si="86"/>
        <v>1476.38</v>
      </c>
      <c r="AC435" s="22">
        <f t="shared" si="87"/>
        <v>329.82</v>
      </c>
      <c r="AD435" s="22">
        <f t="shared" si="77"/>
        <v>1806.2</v>
      </c>
      <c r="AE435" s="22">
        <f t="shared" si="78"/>
        <v>126011.59</v>
      </c>
      <c r="AF435" s="19" t="str">
        <f>VLOOKUP(C435,'2021-22 School Level AAFTE'!C:N,12,FALSE)</f>
        <v>No</v>
      </c>
    </row>
    <row r="436" spans="1:32" s="19" customFormat="1">
      <c r="A436" s="97" t="s">
        <v>2498</v>
      </c>
      <c r="B436" s="97" t="s">
        <v>1908</v>
      </c>
      <c r="C436" s="95">
        <v>3261</v>
      </c>
      <c r="D436" s="95" t="s">
        <v>1912</v>
      </c>
      <c r="E436" s="129">
        <f>VLOOKUP($C436,'2021-22 School Level AAFTE'!$C:$Z,11,FALSE)</f>
        <v>0.53086666666666671</v>
      </c>
      <c r="F436" s="129" t="str">
        <f>VLOOKUP($C436,'2021-22 School Level AAFTE'!$C:$Z,8,FALSE)</f>
        <v>Yes</v>
      </c>
      <c r="G436" s="129" t="str">
        <f>VLOOKUP($C436,'2021-22 School Level AAFTE'!$C:$Z,12,FALSE)</f>
        <v>No</v>
      </c>
      <c r="H436" s="127">
        <f>VLOOKUP($C436,'2021-22 School Level AAFTE'!$C:$I,7,FALSE)</f>
        <v>457.78</v>
      </c>
      <c r="I436" s="112">
        <f>IFERROR(IF(OR(G436="yes",F436= "yes"),VLOOKUP(C436,Summary!$B:$J,6,0),0),0)</f>
        <v>0</v>
      </c>
      <c r="J436" s="111">
        <f t="shared" si="81"/>
        <v>457.78</v>
      </c>
      <c r="K436" s="91">
        <f>VLOOKUP($A436,'2022-23 Salary &amp; Benefits'!$A:$I,3,FALSE)</f>
        <v>1</v>
      </c>
      <c r="L436" s="91">
        <f>VLOOKUP($A436,'2022-23 Salary &amp; Benefits'!$A:$I,4,FALSE)</f>
        <v>1</v>
      </c>
      <c r="M436" s="101">
        <f t="shared" si="76"/>
        <v>457.78</v>
      </c>
      <c r="N436" s="24">
        <v>15</v>
      </c>
      <c r="O436" s="26">
        <f t="shared" si="79"/>
        <v>30.518666666666665</v>
      </c>
      <c r="P436" s="24">
        <v>1.1000000000000001</v>
      </c>
      <c r="Q436" s="24">
        <v>36</v>
      </c>
      <c r="R436" s="27">
        <f t="shared" si="80"/>
        <v>1208.5392000000002</v>
      </c>
      <c r="S436" s="102">
        <f t="shared" si="82"/>
        <v>1.343</v>
      </c>
      <c r="T436" s="21">
        <f>VLOOKUP($A436,'2022-23 Salary &amp; Benefits'!$A:$I,5,FALSE)</f>
        <v>68937</v>
      </c>
      <c r="U436" s="21">
        <f>VLOOKUP($A436,'2022-23 Salary &amp; Benefits'!$A:$I,6,FALSE)</f>
        <v>72728</v>
      </c>
      <c r="V436" s="22">
        <f t="shared" si="83"/>
        <v>92582.39</v>
      </c>
      <c r="W436" s="22">
        <f t="shared" si="84"/>
        <v>5091.3099999999977</v>
      </c>
      <c r="X436" s="22">
        <f>'2022-23 Salary &amp; Benefits'!$G$6</f>
        <v>12558.24</v>
      </c>
      <c r="Y436" s="23">
        <f>'2022-23 Salary &amp; Benefits'!$H$6</f>
        <v>0.2298</v>
      </c>
      <c r="Z436" s="23">
        <f>'2022-23 Salary &amp; Benefits'!$I$6</f>
        <v>0.22339999999999999</v>
      </c>
      <c r="AA436" s="22">
        <f t="shared" si="85"/>
        <v>39278.550000000003</v>
      </c>
      <c r="AB436" s="22">
        <f t="shared" si="86"/>
        <v>1627.9</v>
      </c>
      <c r="AC436" s="22">
        <f t="shared" si="87"/>
        <v>363.67</v>
      </c>
      <c r="AD436" s="22">
        <f t="shared" si="77"/>
        <v>1991.5700000000002</v>
      </c>
      <c r="AE436" s="22">
        <f t="shared" si="78"/>
        <v>138943.82</v>
      </c>
      <c r="AF436" s="19" t="str">
        <f>VLOOKUP(C436,'2021-22 School Level AAFTE'!C:N,12,FALSE)</f>
        <v>No</v>
      </c>
    </row>
    <row r="437" spans="1:32" s="19" customFormat="1">
      <c r="A437" s="97" t="s">
        <v>2498</v>
      </c>
      <c r="B437" s="97" t="s">
        <v>1908</v>
      </c>
      <c r="C437" s="95">
        <v>4123</v>
      </c>
      <c r="D437" s="95" t="s">
        <v>1913</v>
      </c>
      <c r="E437" s="129">
        <f>VLOOKUP($C437,'2021-22 School Level AAFTE'!$C:$Z,11,FALSE)</f>
        <v>0.48560000000000003</v>
      </c>
      <c r="F437" s="129" t="str">
        <f>VLOOKUP($C437,'2021-22 School Level AAFTE'!$C:$Z,8,FALSE)</f>
        <v>No</v>
      </c>
      <c r="G437" s="129" t="str">
        <f>VLOOKUP($C437,'2021-22 School Level AAFTE'!$C:$Z,12,FALSE)</f>
        <v>No</v>
      </c>
      <c r="H437" s="127">
        <f>VLOOKUP($C437,'2021-22 School Level AAFTE'!$C:$I,7,FALSE)</f>
        <v>680.28</v>
      </c>
      <c r="I437" s="112">
        <f>IFERROR(IF(OR(G437="yes",F437= "yes"),VLOOKUP(C437,Summary!$B:$J,6,0),0),0)</f>
        <v>0</v>
      </c>
      <c r="J437" s="111">
        <f t="shared" si="81"/>
        <v>0</v>
      </c>
      <c r="K437" s="91">
        <f>VLOOKUP($A437,'2022-23 Salary &amp; Benefits'!$A:$I,3,FALSE)</f>
        <v>1</v>
      </c>
      <c r="L437" s="91">
        <f>VLOOKUP($A437,'2022-23 Salary &amp; Benefits'!$A:$I,4,FALSE)</f>
        <v>1</v>
      </c>
      <c r="M437" s="39">
        <f t="shared" si="76"/>
        <v>0</v>
      </c>
      <c r="N437" s="24">
        <v>15</v>
      </c>
      <c r="O437" s="26">
        <f t="shared" si="79"/>
        <v>0</v>
      </c>
      <c r="P437" s="24">
        <v>1.1000000000000001</v>
      </c>
      <c r="Q437" s="24">
        <v>36</v>
      </c>
      <c r="R437" s="27">
        <f t="shared" si="80"/>
        <v>0</v>
      </c>
      <c r="S437" s="102">
        <f t="shared" si="82"/>
        <v>0</v>
      </c>
      <c r="T437" s="21">
        <f>VLOOKUP($A437,'2022-23 Salary &amp; Benefits'!$A:$I,5,FALSE)</f>
        <v>68937</v>
      </c>
      <c r="U437" s="21">
        <f>VLOOKUP($A437,'2022-23 Salary &amp; Benefits'!$A:$I,6,FALSE)</f>
        <v>72728</v>
      </c>
      <c r="V437" s="22">
        <f t="shared" si="83"/>
        <v>0</v>
      </c>
      <c r="W437" s="22">
        <f t="shared" si="84"/>
        <v>0</v>
      </c>
      <c r="X437" s="22">
        <f>'2022-23 Salary &amp; Benefits'!$G$6</f>
        <v>12558.24</v>
      </c>
      <c r="Y437" s="23">
        <f>'2022-23 Salary &amp; Benefits'!$H$6</f>
        <v>0.2298</v>
      </c>
      <c r="Z437" s="23">
        <f>'2022-23 Salary &amp; Benefits'!$I$6</f>
        <v>0.22339999999999999</v>
      </c>
      <c r="AA437" s="22">
        <f t="shared" si="85"/>
        <v>0</v>
      </c>
      <c r="AB437" s="22">
        <f t="shared" si="86"/>
        <v>0</v>
      </c>
      <c r="AC437" s="22">
        <f t="shared" si="87"/>
        <v>0</v>
      </c>
      <c r="AD437" s="22">
        <f t="shared" si="77"/>
        <v>0</v>
      </c>
      <c r="AE437" s="22">
        <f t="shared" si="78"/>
        <v>0</v>
      </c>
      <c r="AF437" s="19" t="str">
        <f>VLOOKUP(C437,'2021-22 School Level AAFTE'!C:N,12,FALSE)</f>
        <v>No</v>
      </c>
    </row>
    <row r="438" spans="1:32" s="19" customFormat="1">
      <c r="A438" s="97" t="s">
        <v>2444</v>
      </c>
      <c r="B438" s="97" t="s">
        <v>1409</v>
      </c>
      <c r="C438" s="95">
        <v>3683</v>
      </c>
      <c r="D438" s="95" t="s">
        <v>1410</v>
      </c>
      <c r="E438" s="129">
        <f>VLOOKUP($C438,'2021-22 School Level AAFTE'!$C:$Z,11,FALSE)</f>
        <v>0.14669999999999997</v>
      </c>
      <c r="F438" s="129" t="str">
        <f>VLOOKUP($C438,'2021-22 School Level AAFTE'!$C:$Z,8,FALSE)</f>
        <v>No</v>
      </c>
      <c r="G438" s="129" t="str">
        <f>VLOOKUP($C438,'2021-22 School Level AAFTE'!$C:$Z,12,FALSE)</f>
        <v>No</v>
      </c>
      <c r="H438" s="127">
        <f>VLOOKUP($C438,'2021-22 School Level AAFTE'!$C:$I,7,FALSE)</f>
        <v>414.59</v>
      </c>
      <c r="I438" s="112">
        <f>IFERROR(IF(OR(G438="yes",F438= "yes"),VLOOKUP(C438,Summary!$B:$J,6,0),0),0)</f>
        <v>0</v>
      </c>
      <c r="J438" s="111">
        <f t="shared" si="81"/>
        <v>0</v>
      </c>
      <c r="K438" s="91">
        <f>VLOOKUP($A438,'2022-23 Salary &amp; Benefits'!$A:$I,3,FALSE)</f>
        <v>1.1200000000000001</v>
      </c>
      <c r="L438" s="91">
        <f>VLOOKUP($A438,'2022-23 Salary &amp; Benefits'!$A:$I,4,FALSE)</f>
        <v>1.1600000000000001</v>
      </c>
      <c r="M438" s="39">
        <f t="shared" si="76"/>
        <v>0</v>
      </c>
      <c r="N438" s="24">
        <v>15</v>
      </c>
      <c r="O438" s="26">
        <f t="shared" si="79"/>
        <v>0</v>
      </c>
      <c r="P438" s="24">
        <v>1.1000000000000001</v>
      </c>
      <c r="Q438" s="24">
        <v>36</v>
      </c>
      <c r="R438" s="27">
        <f t="shared" si="80"/>
        <v>0</v>
      </c>
      <c r="S438" s="102">
        <f t="shared" si="82"/>
        <v>0</v>
      </c>
      <c r="T438" s="21">
        <f>VLOOKUP($A438,'2022-23 Salary &amp; Benefits'!$A:$I,5,FALSE)</f>
        <v>68937</v>
      </c>
      <c r="U438" s="21">
        <f>VLOOKUP($A438,'2022-23 Salary &amp; Benefits'!$A:$I,6,FALSE)</f>
        <v>72728</v>
      </c>
      <c r="V438" s="22">
        <f t="shared" si="83"/>
        <v>0</v>
      </c>
      <c r="W438" s="22">
        <f t="shared" si="84"/>
        <v>0</v>
      </c>
      <c r="X438" s="22">
        <f>'2022-23 Salary &amp; Benefits'!$G$6</f>
        <v>12558.24</v>
      </c>
      <c r="Y438" s="23">
        <f>'2022-23 Salary &amp; Benefits'!$H$6</f>
        <v>0.2298</v>
      </c>
      <c r="Z438" s="23">
        <f>'2022-23 Salary &amp; Benefits'!$I$6</f>
        <v>0.22339999999999999</v>
      </c>
      <c r="AA438" s="22">
        <f t="shared" si="85"/>
        <v>0</v>
      </c>
      <c r="AB438" s="22">
        <f t="shared" si="86"/>
        <v>0</v>
      </c>
      <c r="AC438" s="22">
        <f t="shared" si="87"/>
        <v>0</v>
      </c>
      <c r="AD438" s="22">
        <f t="shared" si="77"/>
        <v>0</v>
      </c>
      <c r="AE438" s="22">
        <f t="shared" si="78"/>
        <v>0</v>
      </c>
      <c r="AF438" s="19" t="str">
        <f>VLOOKUP(C438,'2021-22 School Level AAFTE'!C:N,12,FALSE)</f>
        <v>No</v>
      </c>
    </row>
    <row r="439" spans="1:32" s="19" customFormat="1">
      <c r="A439" s="97" t="s">
        <v>2444</v>
      </c>
      <c r="B439" s="97" t="s">
        <v>1409</v>
      </c>
      <c r="C439" s="95">
        <v>4416</v>
      </c>
      <c r="D439" s="95" t="s">
        <v>1411</v>
      </c>
      <c r="E439" s="129">
        <f>VLOOKUP($C439,'2021-22 School Level AAFTE'!$C:$Z,11,FALSE)</f>
        <v>0.15883333333333335</v>
      </c>
      <c r="F439" s="129" t="str">
        <f>VLOOKUP($C439,'2021-22 School Level AAFTE'!$C:$Z,8,FALSE)</f>
        <v>No</v>
      </c>
      <c r="G439" s="129" t="str">
        <f>VLOOKUP($C439,'2021-22 School Level AAFTE'!$C:$Z,12,FALSE)</f>
        <v>No</v>
      </c>
      <c r="H439" s="127">
        <f>VLOOKUP($C439,'2021-22 School Level AAFTE'!$C:$I,7,FALSE)</f>
        <v>515.02</v>
      </c>
      <c r="I439" s="112">
        <f>IFERROR(IF(OR(G439="yes",F439= "yes"),VLOOKUP(C439,Summary!$B:$J,6,0),0),0)</f>
        <v>0</v>
      </c>
      <c r="J439" s="111">
        <f t="shared" si="81"/>
        <v>0</v>
      </c>
      <c r="K439" s="91">
        <f>VLOOKUP($A439,'2022-23 Salary &amp; Benefits'!$A:$I,3,FALSE)</f>
        <v>1.1200000000000001</v>
      </c>
      <c r="L439" s="91">
        <f>VLOOKUP($A439,'2022-23 Salary &amp; Benefits'!$A:$I,4,FALSE)</f>
        <v>1.1600000000000001</v>
      </c>
      <c r="M439" s="101">
        <f t="shared" si="76"/>
        <v>0</v>
      </c>
      <c r="N439" s="24">
        <v>15</v>
      </c>
      <c r="O439" s="26">
        <f t="shared" si="79"/>
        <v>0</v>
      </c>
      <c r="P439" s="24">
        <v>1.1000000000000001</v>
      </c>
      <c r="Q439" s="24">
        <v>36</v>
      </c>
      <c r="R439" s="27">
        <f t="shared" si="80"/>
        <v>0</v>
      </c>
      <c r="S439" s="102">
        <f t="shared" si="82"/>
        <v>0</v>
      </c>
      <c r="T439" s="21">
        <f>VLOOKUP($A439,'2022-23 Salary &amp; Benefits'!$A:$I,5,FALSE)</f>
        <v>68937</v>
      </c>
      <c r="U439" s="21">
        <f>VLOOKUP($A439,'2022-23 Salary &amp; Benefits'!$A:$I,6,FALSE)</f>
        <v>72728</v>
      </c>
      <c r="V439" s="22">
        <f t="shared" si="83"/>
        <v>0</v>
      </c>
      <c r="W439" s="22">
        <f t="shared" si="84"/>
        <v>0</v>
      </c>
      <c r="X439" s="22">
        <f>'2022-23 Salary &amp; Benefits'!$G$6</f>
        <v>12558.24</v>
      </c>
      <c r="Y439" s="23">
        <f>'2022-23 Salary &amp; Benefits'!$H$6</f>
        <v>0.2298</v>
      </c>
      <c r="Z439" s="23">
        <f>'2022-23 Salary &amp; Benefits'!$I$6</f>
        <v>0.22339999999999999</v>
      </c>
      <c r="AA439" s="22">
        <f t="shared" si="85"/>
        <v>0</v>
      </c>
      <c r="AB439" s="22">
        <f t="shared" si="86"/>
        <v>0</v>
      </c>
      <c r="AC439" s="22">
        <f t="shared" si="87"/>
        <v>0</v>
      </c>
      <c r="AD439" s="22">
        <f t="shared" si="77"/>
        <v>0</v>
      </c>
      <c r="AE439" s="22">
        <f t="shared" si="78"/>
        <v>0</v>
      </c>
      <c r="AF439" s="19" t="str">
        <f>VLOOKUP(C439,'2021-22 School Level AAFTE'!C:N,12,FALSE)</f>
        <v>No</v>
      </c>
    </row>
    <row r="440" spans="1:32" s="19" customFormat="1">
      <c r="A440" s="97" t="s">
        <v>2444</v>
      </c>
      <c r="B440" s="97" t="s">
        <v>1409</v>
      </c>
      <c r="C440" s="95">
        <v>4548</v>
      </c>
      <c r="D440" s="95" t="s">
        <v>1412</v>
      </c>
      <c r="E440" s="129">
        <f>VLOOKUP($C440,'2021-22 School Level AAFTE'!$C:$Z,11,FALSE)</f>
        <v>0.15833333333333333</v>
      </c>
      <c r="F440" s="129" t="str">
        <f>VLOOKUP($C440,'2021-22 School Level AAFTE'!$C:$Z,8,FALSE)</f>
        <v>No</v>
      </c>
      <c r="G440" s="129" t="str">
        <f>VLOOKUP($C440,'2021-22 School Level AAFTE'!$C:$Z,12,FALSE)</f>
        <v>No</v>
      </c>
      <c r="H440" s="127">
        <f>VLOOKUP($C440,'2021-22 School Level AAFTE'!$C:$I,7,FALSE)</f>
        <v>438.29</v>
      </c>
      <c r="I440" s="112">
        <f>IFERROR(IF(OR(G440="yes",F440= "yes"),VLOOKUP(C440,Summary!$B:$J,6,0),0),0)</f>
        <v>0</v>
      </c>
      <c r="J440" s="111">
        <f t="shared" si="81"/>
        <v>0</v>
      </c>
      <c r="K440" s="91">
        <f>VLOOKUP($A440,'2022-23 Salary &amp; Benefits'!$A:$I,3,FALSE)</f>
        <v>1.1200000000000001</v>
      </c>
      <c r="L440" s="91">
        <f>VLOOKUP($A440,'2022-23 Salary &amp; Benefits'!$A:$I,4,FALSE)</f>
        <v>1.1600000000000001</v>
      </c>
      <c r="M440" s="101">
        <f t="shared" ref="M440:M502" si="88">IF(I440&gt;0,I440,J440)</f>
        <v>0</v>
      </c>
      <c r="N440" s="24">
        <v>15</v>
      </c>
      <c r="O440" s="26">
        <f t="shared" si="79"/>
        <v>0</v>
      </c>
      <c r="P440" s="24">
        <v>1.1000000000000001</v>
      </c>
      <c r="Q440" s="24">
        <v>36</v>
      </c>
      <c r="R440" s="27">
        <f t="shared" si="80"/>
        <v>0</v>
      </c>
      <c r="S440" s="102">
        <f t="shared" si="82"/>
        <v>0</v>
      </c>
      <c r="T440" s="21">
        <f>VLOOKUP($A440,'2022-23 Salary &amp; Benefits'!$A:$I,5,FALSE)</f>
        <v>68937</v>
      </c>
      <c r="U440" s="21">
        <f>VLOOKUP($A440,'2022-23 Salary &amp; Benefits'!$A:$I,6,FALSE)</f>
        <v>72728</v>
      </c>
      <c r="V440" s="22">
        <f t="shared" si="83"/>
        <v>0</v>
      </c>
      <c r="W440" s="22">
        <f t="shared" si="84"/>
        <v>0</v>
      </c>
      <c r="X440" s="22">
        <f>'2022-23 Salary &amp; Benefits'!$G$6</f>
        <v>12558.24</v>
      </c>
      <c r="Y440" s="23">
        <f>'2022-23 Salary &amp; Benefits'!$H$6</f>
        <v>0.2298</v>
      </c>
      <c r="Z440" s="23">
        <f>'2022-23 Salary &amp; Benefits'!$I$6</f>
        <v>0.22339999999999999</v>
      </c>
      <c r="AA440" s="22">
        <f t="shared" si="85"/>
        <v>0</v>
      </c>
      <c r="AB440" s="22">
        <f t="shared" si="86"/>
        <v>0</v>
      </c>
      <c r="AC440" s="22">
        <f t="shared" si="87"/>
        <v>0</v>
      </c>
      <c r="AD440" s="22">
        <f t="shared" ref="AD440:AD502" si="89">SUM(AB440:AC440)</f>
        <v>0</v>
      </c>
      <c r="AE440" s="22">
        <f t="shared" ref="AE440:AE502" si="90">SUM(AA440,V440:W440,AD440)</f>
        <v>0</v>
      </c>
      <c r="AF440" s="19" t="str">
        <f>VLOOKUP(C440,'2021-22 School Level AAFTE'!C:N,12,FALSE)</f>
        <v>No</v>
      </c>
    </row>
    <row r="441" spans="1:32" s="19" customFormat="1">
      <c r="A441" s="97" t="s">
        <v>2525</v>
      </c>
      <c r="B441" s="97" t="s">
        <v>2039</v>
      </c>
      <c r="C441" s="95">
        <v>2278</v>
      </c>
      <c r="D441" s="95" t="s">
        <v>2040</v>
      </c>
      <c r="E441" s="129">
        <f>VLOOKUP($C441,'2021-22 School Level AAFTE'!$C:$Z,11,FALSE)</f>
        <v>1</v>
      </c>
      <c r="F441" s="129" t="str">
        <f>VLOOKUP($C441,'2021-22 School Level AAFTE'!$C:$Z,8,FALSE)</f>
        <v>Yes</v>
      </c>
      <c r="G441" s="129" t="str">
        <f>VLOOKUP($C441,'2021-22 School Level AAFTE'!$C:$Z,12,FALSE)</f>
        <v>No</v>
      </c>
      <c r="H441" s="127">
        <f>VLOOKUP($C441,'2021-22 School Level AAFTE'!$C:$I,7,FALSE)</f>
        <v>17.43</v>
      </c>
      <c r="I441" s="112">
        <f>IFERROR(IF(OR(G441="yes",F441= "yes"),VLOOKUP(C441,Summary!$B:$J,6,0),0),0)</f>
        <v>0</v>
      </c>
      <c r="J441" s="111">
        <f t="shared" si="81"/>
        <v>17.43</v>
      </c>
      <c r="K441" s="91">
        <f>VLOOKUP($A441,'2022-23 Salary &amp; Benefits'!$A:$I,3,FALSE)</f>
        <v>1</v>
      </c>
      <c r="L441" s="91">
        <f>VLOOKUP($A441,'2022-23 Salary &amp; Benefits'!$A:$I,4,FALSE)</f>
        <v>1</v>
      </c>
      <c r="M441" s="101">
        <f t="shared" si="88"/>
        <v>17.43</v>
      </c>
      <c r="N441" s="24">
        <v>15</v>
      </c>
      <c r="O441" s="26">
        <f t="shared" si="79"/>
        <v>1.1619999999999999</v>
      </c>
      <c r="P441" s="24">
        <v>1.1000000000000001</v>
      </c>
      <c r="Q441" s="24">
        <v>36</v>
      </c>
      <c r="R441" s="27">
        <f t="shared" si="80"/>
        <v>46.0152</v>
      </c>
      <c r="S441" s="102">
        <f t="shared" si="82"/>
        <v>5.0999999999999997E-2</v>
      </c>
      <c r="T441" s="21">
        <f>VLOOKUP($A441,'2022-23 Salary &amp; Benefits'!$A:$I,5,FALSE)</f>
        <v>68937</v>
      </c>
      <c r="U441" s="21">
        <f>VLOOKUP($A441,'2022-23 Salary &amp; Benefits'!$A:$I,6,FALSE)</f>
        <v>72728</v>
      </c>
      <c r="V441" s="22">
        <f t="shared" si="83"/>
        <v>3515.79</v>
      </c>
      <c r="W441" s="22">
        <f t="shared" si="84"/>
        <v>193.34000000000015</v>
      </c>
      <c r="X441" s="22">
        <f>'2022-23 Salary &amp; Benefits'!$G$6</f>
        <v>12558.24</v>
      </c>
      <c r="Y441" s="23">
        <f>'2022-23 Salary &amp; Benefits'!$H$6</f>
        <v>0.2298</v>
      </c>
      <c r="Z441" s="23">
        <f>'2022-23 Salary &amp; Benefits'!$I$6</f>
        <v>0.22339999999999999</v>
      </c>
      <c r="AA441" s="22">
        <f t="shared" si="85"/>
        <v>1491.59</v>
      </c>
      <c r="AB441" s="22">
        <f t="shared" si="86"/>
        <v>61.82</v>
      </c>
      <c r="AC441" s="22">
        <f t="shared" si="87"/>
        <v>13.81</v>
      </c>
      <c r="AD441" s="22">
        <f t="shared" si="89"/>
        <v>75.63</v>
      </c>
      <c r="AE441" s="22">
        <f t="shared" si="90"/>
        <v>5276.35</v>
      </c>
      <c r="AF441" s="19" t="str">
        <f>VLOOKUP(C441,'2021-22 School Level AAFTE'!C:N,12,FALSE)</f>
        <v>No</v>
      </c>
    </row>
    <row r="442" spans="1:32" s="19" customFormat="1">
      <c r="A442" s="97" t="s">
        <v>2495</v>
      </c>
      <c r="B442" s="97" t="s">
        <v>1886</v>
      </c>
      <c r="C442" s="95">
        <v>1712</v>
      </c>
      <c r="D442" s="95" t="s">
        <v>1887</v>
      </c>
      <c r="E442" s="129">
        <f>VLOOKUP($C442,'2021-22 School Level AAFTE'!$C:$Z,11,FALSE)</f>
        <v>0.27076666666666666</v>
      </c>
      <c r="F442" s="129" t="str">
        <f>VLOOKUP($C442,'2021-22 School Level AAFTE'!$C:$Z,8,FALSE)</f>
        <v>No</v>
      </c>
      <c r="G442" s="129" t="str">
        <f>VLOOKUP($C442,'2021-22 School Level AAFTE'!$C:$Z,12,FALSE)</f>
        <v>No</v>
      </c>
      <c r="H442" s="127">
        <f>VLOOKUP($C442,'2021-22 School Level AAFTE'!$C:$I,7,FALSE)</f>
        <v>362.06</v>
      </c>
      <c r="I442" s="112">
        <f>IFERROR(IF(OR(G442="yes",F442= "yes"),VLOOKUP(C442,Summary!$B:$J,6,0),0),0)</f>
        <v>0</v>
      </c>
      <c r="J442" s="111">
        <f t="shared" si="81"/>
        <v>0</v>
      </c>
      <c r="K442" s="91">
        <f>VLOOKUP($A442,'2022-23 Salary &amp; Benefits'!$A:$I,3,FALSE)</f>
        <v>1</v>
      </c>
      <c r="L442" s="91">
        <f>VLOOKUP($A442,'2022-23 Salary &amp; Benefits'!$A:$I,4,FALSE)</f>
        <v>1.04</v>
      </c>
      <c r="M442" s="101">
        <f t="shared" si="88"/>
        <v>0</v>
      </c>
      <c r="N442" s="24">
        <v>15</v>
      </c>
      <c r="O442" s="26">
        <f t="shared" si="79"/>
        <v>0</v>
      </c>
      <c r="P442" s="24">
        <v>1.1000000000000001</v>
      </c>
      <c r="Q442" s="24">
        <v>36</v>
      </c>
      <c r="R442" s="27">
        <f t="shared" si="80"/>
        <v>0</v>
      </c>
      <c r="S442" s="102">
        <f t="shared" si="82"/>
        <v>0</v>
      </c>
      <c r="T442" s="21">
        <f>VLOOKUP($A442,'2022-23 Salary &amp; Benefits'!$A:$I,5,FALSE)</f>
        <v>68937</v>
      </c>
      <c r="U442" s="21">
        <f>VLOOKUP($A442,'2022-23 Salary &amp; Benefits'!$A:$I,6,FALSE)</f>
        <v>72728</v>
      </c>
      <c r="V442" s="22">
        <f t="shared" si="83"/>
        <v>0</v>
      </c>
      <c r="W442" s="22">
        <f t="shared" si="84"/>
        <v>0</v>
      </c>
      <c r="X442" s="22">
        <f>'2022-23 Salary &amp; Benefits'!$G$6</f>
        <v>12558.24</v>
      </c>
      <c r="Y442" s="23">
        <f>'2022-23 Salary &amp; Benefits'!$H$6</f>
        <v>0.2298</v>
      </c>
      <c r="Z442" s="23">
        <f>'2022-23 Salary &amp; Benefits'!$I$6</f>
        <v>0.22339999999999999</v>
      </c>
      <c r="AA442" s="22">
        <f t="shared" si="85"/>
        <v>0</v>
      </c>
      <c r="AB442" s="22">
        <f t="shared" si="86"/>
        <v>0</v>
      </c>
      <c r="AC442" s="22">
        <f t="shared" si="87"/>
        <v>0</v>
      </c>
      <c r="AD442" s="22">
        <f t="shared" si="89"/>
        <v>0</v>
      </c>
      <c r="AE442" s="22">
        <f t="shared" si="90"/>
        <v>0</v>
      </c>
      <c r="AF442" s="19" t="str">
        <f>VLOOKUP(C442,'2021-22 School Level AAFTE'!C:N,12,FALSE)</f>
        <v>No</v>
      </c>
    </row>
    <row r="443" spans="1:32" s="19" customFormat="1">
      <c r="A443" s="97" t="s">
        <v>2495</v>
      </c>
      <c r="B443" s="97" t="s">
        <v>1886</v>
      </c>
      <c r="C443" s="95">
        <v>2653</v>
      </c>
      <c r="D443" s="95" t="s">
        <v>1888</v>
      </c>
      <c r="E443" s="129">
        <f>VLOOKUP($C443,'2021-22 School Level AAFTE'!$C:$Z,11,FALSE)</f>
        <v>0.81703333333333328</v>
      </c>
      <c r="F443" s="129" t="str">
        <f>VLOOKUP($C443,'2021-22 School Level AAFTE'!$C:$Z,8,FALSE)</f>
        <v>Yes</v>
      </c>
      <c r="G443" s="129" t="str">
        <f>VLOOKUP($C443,'2021-22 School Level AAFTE'!$C:$Z,12,FALSE)</f>
        <v>No</v>
      </c>
      <c r="H443" s="127">
        <f>VLOOKUP($C443,'2021-22 School Level AAFTE'!$C:$I,7,FALSE)</f>
        <v>391.77</v>
      </c>
      <c r="I443" s="112">
        <f>IFERROR(IF(OR(G443="yes",F443= "yes"),VLOOKUP(C443,Summary!$B:$J,6,0),0),0)</f>
        <v>0</v>
      </c>
      <c r="J443" s="111">
        <f t="shared" si="81"/>
        <v>391.77</v>
      </c>
      <c r="K443" s="91">
        <f>VLOOKUP($A443,'2022-23 Salary &amp; Benefits'!$A:$I,3,FALSE)</f>
        <v>1</v>
      </c>
      <c r="L443" s="91">
        <f>VLOOKUP($A443,'2022-23 Salary &amp; Benefits'!$A:$I,4,FALSE)</f>
        <v>1.04</v>
      </c>
      <c r="M443" s="101">
        <f t="shared" si="88"/>
        <v>391.77</v>
      </c>
      <c r="N443" s="24">
        <v>15</v>
      </c>
      <c r="O443" s="26">
        <f t="shared" si="79"/>
        <v>26.117999999999999</v>
      </c>
      <c r="P443" s="24">
        <v>1.1000000000000001</v>
      </c>
      <c r="Q443" s="24">
        <v>36</v>
      </c>
      <c r="R443" s="27">
        <f t="shared" si="80"/>
        <v>1034.2728</v>
      </c>
      <c r="S443" s="102">
        <f t="shared" si="82"/>
        <v>1.149</v>
      </c>
      <c r="T443" s="21">
        <f>VLOOKUP($A443,'2022-23 Salary &amp; Benefits'!$A:$I,5,FALSE)</f>
        <v>68937</v>
      </c>
      <c r="U443" s="21">
        <f>VLOOKUP($A443,'2022-23 Salary &amp; Benefits'!$A:$I,6,FALSE)</f>
        <v>72728</v>
      </c>
      <c r="V443" s="22">
        <f t="shared" si="83"/>
        <v>79208.61</v>
      </c>
      <c r="W443" s="22">
        <f t="shared" si="84"/>
        <v>7698.4400000000023</v>
      </c>
      <c r="X443" s="22">
        <f>'2022-23 Salary &amp; Benefits'!$G$6</f>
        <v>12558.24</v>
      </c>
      <c r="Y443" s="23">
        <f>'2022-23 Salary &amp; Benefits'!$H$6</f>
        <v>0.2298</v>
      </c>
      <c r="Z443" s="23">
        <f>'2022-23 Salary &amp; Benefits'!$I$6</f>
        <v>0.22339999999999999</v>
      </c>
      <c r="AA443" s="22">
        <f t="shared" si="85"/>
        <v>34351.39</v>
      </c>
      <c r="AB443" s="22">
        <f t="shared" si="86"/>
        <v>1448.45</v>
      </c>
      <c r="AC443" s="22">
        <f t="shared" si="87"/>
        <v>323.58</v>
      </c>
      <c r="AD443" s="22">
        <f t="shared" si="89"/>
        <v>1772.03</v>
      </c>
      <c r="AE443" s="22">
        <f t="shared" si="90"/>
        <v>123030.47</v>
      </c>
      <c r="AF443" s="19" t="str">
        <f>VLOOKUP(C443,'2021-22 School Level AAFTE'!C:N,12,FALSE)</f>
        <v>No</v>
      </c>
    </row>
    <row r="444" spans="1:32" s="19" customFormat="1">
      <c r="A444" s="97" t="s">
        <v>2495</v>
      </c>
      <c r="B444" s="97" t="s">
        <v>1886</v>
      </c>
      <c r="C444" s="95">
        <v>2955</v>
      </c>
      <c r="D444" s="95" t="s">
        <v>1889</v>
      </c>
      <c r="E444" s="129">
        <f>VLOOKUP($C444,'2021-22 School Level AAFTE'!$C:$Z,11,FALSE)</f>
        <v>0.64023333333333332</v>
      </c>
      <c r="F444" s="129" t="str">
        <f>VLOOKUP($C444,'2021-22 School Level AAFTE'!$C:$Z,8,FALSE)</f>
        <v>Yes</v>
      </c>
      <c r="G444" s="129" t="str">
        <f>VLOOKUP($C444,'2021-22 School Level AAFTE'!$C:$Z,12,FALSE)</f>
        <v>No</v>
      </c>
      <c r="H444" s="127">
        <f>VLOOKUP($C444,'2021-22 School Level AAFTE'!$C:$I,7,FALSE)</f>
        <v>355.34</v>
      </c>
      <c r="I444" s="112">
        <f>IFERROR(IF(OR(G444="yes",F444= "yes"),VLOOKUP(C444,Summary!$B:$J,6,0),0),0)</f>
        <v>0</v>
      </c>
      <c r="J444" s="111">
        <f t="shared" si="81"/>
        <v>355.34</v>
      </c>
      <c r="K444" s="91">
        <f>VLOOKUP($A444,'2022-23 Salary &amp; Benefits'!$A:$I,3,FALSE)</f>
        <v>1</v>
      </c>
      <c r="L444" s="91">
        <f>VLOOKUP($A444,'2022-23 Salary &amp; Benefits'!$A:$I,4,FALSE)</f>
        <v>1.04</v>
      </c>
      <c r="M444" s="39">
        <f t="shared" si="88"/>
        <v>355.34</v>
      </c>
      <c r="N444" s="24">
        <v>15</v>
      </c>
      <c r="O444" s="26">
        <f t="shared" si="79"/>
        <v>23.68933333333333</v>
      </c>
      <c r="P444" s="24">
        <v>1.1000000000000001</v>
      </c>
      <c r="Q444" s="24">
        <v>36</v>
      </c>
      <c r="R444" s="27">
        <f t="shared" si="80"/>
        <v>938.09759999999994</v>
      </c>
      <c r="S444" s="102">
        <f t="shared" si="82"/>
        <v>1.042</v>
      </c>
      <c r="T444" s="21">
        <f>VLOOKUP($A444,'2022-23 Salary &amp; Benefits'!$A:$I,5,FALSE)</f>
        <v>68937</v>
      </c>
      <c r="U444" s="21">
        <f>VLOOKUP($A444,'2022-23 Salary &amp; Benefits'!$A:$I,6,FALSE)</f>
        <v>72728</v>
      </c>
      <c r="V444" s="22">
        <f t="shared" si="83"/>
        <v>71832.350000000006</v>
      </c>
      <c r="W444" s="22">
        <f t="shared" si="84"/>
        <v>6981.5299999999988</v>
      </c>
      <c r="X444" s="22">
        <f>'2022-23 Salary &amp; Benefits'!$G$6</f>
        <v>12558.24</v>
      </c>
      <c r="Y444" s="23">
        <f>'2022-23 Salary &amp; Benefits'!$H$6</f>
        <v>0.2298</v>
      </c>
      <c r="Z444" s="23">
        <f>'2022-23 Salary &amp; Benefits'!$I$6</f>
        <v>0.22339999999999999</v>
      </c>
      <c r="AA444" s="22">
        <f t="shared" si="85"/>
        <v>31152.43</v>
      </c>
      <c r="AB444" s="22">
        <f t="shared" si="86"/>
        <v>1313.56</v>
      </c>
      <c r="AC444" s="22">
        <f t="shared" si="87"/>
        <v>293.45</v>
      </c>
      <c r="AD444" s="22">
        <f t="shared" si="89"/>
        <v>1607.01</v>
      </c>
      <c r="AE444" s="22">
        <f t="shared" si="90"/>
        <v>111573.31999999999</v>
      </c>
      <c r="AF444" s="19" t="str">
        <f>VLOOKUP(C444,'2021-22 School Level AAFTE'!C:N,12,FALSE)</f>
        <v>No</v>
      </c>
    </row>
    <row r="445" spans="1:32" s="19" customFormat="1">
      <c r="A445" s="97" t="s">
        <v>2495</v>
      </c>
      <c r="B445" s="97" t="s">
        <v>1886</v>
      </c>
      <c r="C445" s="95">
        <v>3128</v>
      </c>
      <c r="D445" s="95" t="s">
        <v>1890</v>
      </c>
      <c r="E445" s="129">
        <f>VLOOKUP($C445,'2021-22 School Level AAFTE'!$C:$Z,11,FALSE)</f>
        <v>0.60243333333333327</v>
      </c>
      <c r="F445" s="129" t="str">
        <f>VLOOKUP($C445,'2021-22 School Level AAFTE'!$C:$Z,8,FALSE)</f>
        <v>Yes</v>
      </c>
      <c r="G445" s="129" t="str">
        <f>VLOOKUP($C445,'2021-22 School Level AAFTE'!$C:$Z,12,FALSE)</f>
        <v>No</v>
      </c>
      <c r="H445" s="127">
        <f>VLOOKUP($C445,'2021-22 School Level AAFTE'!$C:$I,7,FALSE)</f>
        <v>359.74</v>
      </c>
      <c r="I445" s="112">
        <f>IFERROR(IF(OR(G445="yes",F445= "yes"),VLOOKUP(C445,Summary!$B:$J,6,0),0),0)</f>
        <v>0</v>
      </c>
      <c r="J445" s="111">
        <f t="shared" si="81"/>
        <v>359.74</v>
      </c>
      <c r="K445" s="91">
        <f>VLOOKUP($A445,'2022-23 Salary &amp; Benefits'!$A:$I,3,FALSE)</f>
        <v>1</v>
      </c>
      <c r="L445" s="91">
        <f>VLOOKUP($A445,'2022-23 Salary &amp; Benefits'!$A:$I,4,FALSE)</f>
        <v>1.04</v>
      </c>
      <c r="M445" s="39">
        <f t="shared" si="88"/>
        <v>359.74</v>
      </c>
      <c r="N445" s="24">
        <v>15</v>
      </c>
      <c r="O445" s="26">
        <f t="shared" si="79"/>
        <v>23.982666666666667</v>
      </c>
      <c r="P445" s="24">
        <v>1.1000000000000001</v>
      </c>
      <c r="Q445" s="24">
        <v>36</v>
      </c>
      <c r="R445" s="27">
        <f t="shared" si="80"/>
        <v>949.71360000000004</v>
      </c>
      <c r="S445" s="102">
        <f t="shared" si="82"/>
        <v>1.0549999999999999</v>
      </c>
      <c r="T445" s="21">
        <f>VLOOKUP($A445,'2022-23 Salary &amp; Benefits'!$A:$I,5,FALSE)</f>
        <v>68937</v>
      </c>
      <c r="U445" s="21">
        <f>VLOOKUP($A445,'2022-23 Salary &amp; Benefits'!$A:$I,6,FALSE)</f>
        <v>72728</v>
      </c>
      <c r="V445" s="22">
        <f t="shared" si="83"/>
        <v>72728.539999999994</v>
      </c>
      <c r="W445" s="22">
        <f t="shared" si="84"/>
        <v>7068.6200000000099</v>
      </c>
      <c r="X445" s="22">
        <f>'2022-23 Salary &amp; Benefits'!$G$6</f>
        <v>12558.24</v>
      </c>
      <c r="Y445" s="23">
        <f>'2022-23 Salary &amp; Benefits'!$H$6</f>
        <v>0.2298</v>
      </c>
      <c r="Z445" s="23">
        <f>'2022-23 Salary &amp; Benefits'!$I$6</f>
        <v>0.22339999999999999</v>
      </c>
      <c r="AA445" s="22">
        <f t="shared" si="85"/>
        <v>31541.09</v>
      </c>
      <c r="AB445" s="22">
        <f t="shared" si="86"/>
        <v>1329.95</v>
      </c>
      <c r="AC445" s="22">
        <f t="shared" si="87"/>
        <v>297.11</v>
      </c>
      <c r="AD445" s="22">
        <f t="shared" si="89"/>
        <v>1627.06</v>
      </c>
      <c r="AE445" s="22">
        <f t="shared" si="90"/>
        <v>112965.31</v>
      </c>
      <c r="AF445" s="19" t="str">
        <f>VLOOKUP(C445,'2021-22 School Level AAFTE'!C:N,12,FALSE)</f>
        <v>No</v>
      </c>
    </row>
    <row r="446" spans="1:32" s="19" customFormat="1">
      <c r="A446" s="97" t="s">
        <v>2495</v>
      </c>
      <c r="B446" s="97" t="s">
        <v>1886</v>
      </c>
      <c r="C446" s="95">
        <v>3360</v>
      </c>
      <c r="D446" s="95" t="s">
        <v>1891</v>
      </c>
      <c r="E446" s="129">
        <f>VLOOKUP($C446,'2021-22 School Level AAFTE'!$C:$Z,11,FALSE)</f>
        <v>0.47616666666666668</v>
      </c>
      <c r="F446" s="129" t="str">
        <f>VLOOKUP($C446,'2021-22 School Level AAFTE'!$C:$Z,8,FALSE)</f>
        <v>No</v>
      </c>
      <c r="G446" s="129" t="str">
        <f>VLOOKUP($C446,'2021-22 School Level AAFTE'!$C:$Z,12,FALSE)</f>
        <v>No</v>
      </c>
      <c r="H446" s="127">
        <f>VLOOKUP($C446,'2021-22 School Level AAFTE'!$C:$I,7,FALSE)</f>
        <v>938.58</v>
      </c>
      <c r="I446" s="112">
        <f>IFERROR(IF(OR(G446="yes",F446= "yes"),VLOOKUP(C446,Summary!$B:$J,6,0),0),0)</f>
        <v>0</v>
      </c>
      <c r="J446" s="111">
        <f t="shared" si="81"/>
        <v>0</v>
      </c>
      <c r="K446" s="91">
        <f>VLOOKUP($A446,'2022-23 Salary &amp; Benefits'!$A:$I,3,FALSE)</f>
        <v>1</v>
      </c>
      <c r="L446" s="91">
        <f>VLOOKUP($A446,'2022-23 Salary &amp; Benefits'!$A:$I,4,FALSE)</f>
        <v>1.04</v>
      </c>
      <c r="M446" s="39">
        <f t="shared" si="88"/>
        <v>0</v>
      </c>
      <c r="N446" s="24">
        <v>15</v>
      </c>
      <c r="O446" s="26">
        <f t="shared" si="79"/>
        <v>0</v>
      </c>
      <c r="P446" s="24">
        <v>1.1000000000000001</v>
      </c>
      <c r="Q446" s="24">
        <v>36</v>
      </c>
      <c r="R446" s="27">
        <f t="shared" si="80"/>
        <v>0</v>
      </c>
      <c r="S446" s="102">
        <f t="shared" si="82"/>
        <v>0</v>
      </c>
      <c r="T446" s="21">
        <f>VLOOKUP($A446,'2022-23 Salary &amp; Benefits'!$A:$I,5,FALSE)</f>
        <v>68937</v>
      </c>
      <c r="U446" s="21">
        <f>VLOOKUP($A446,'2022-23 Salary &amp; Benefits'!$A:$I,6,FALSE)</f>
        <v>72728</v>
      </c>
      <c r="V446" s="22">
        <f t="shared" si="83"/>
        <v>0</v>
      </c>
      <c r="W446" s="22">
        <f t="shared" si="84"/>
        <v>0</v>
      </c>
      <c r="X446" s="22">
        <f>'2022-23 Salary &amp; Benefits'!$G$6</f>
        <v>12558.24</v>
      </c>
      <c r="Y446" s="23">
        <f>'2022-23 Salary &amp; Benefits'!$H$6</f>
        <v>0.2298</v>
      </c>
      <c r="Z446" s="23">
        <f>'2022-23 Salary &amp; Benefits'!$I$6</f>
        <v>0.22339999999999999</v>
      </c>
      <c r="AA446" s="22">
        <f t="shared" si="85"/>
        <v>0</v>
      </c>
      <c r="AB446" s="22">
        <f t="shared" si="86"/>
        <v>0</v>
      </c>
      <c r="AC446" s="22">
        <f t="shared" si="87"/>
        <v>0</v>
      </c>
      <c r="AD446" s="22">
        <f t="shared" si="89"/>
        <v>0</v>
      </c>
      <c r="AE446" s="22">
        <f t="shared" si="90"/>
        <v>0</v>
      </c>
      <c r="AF446" s="19" t="str">
        <f>VLOOKUP(C446,'2021-22 School Level AAFTE'!C:N,12,FALSE)</f>
        <v>No</v>
      </c>
    </row>
    <row r="447" spans="1:32" s="19" customFormat="1">
      <c r="A447" s="97" t="s">
        <v>2495</v>
      </c>
      <c r="B447" s="97" t="s">
        <v>1886</v>
      </c>
      <c r="C447" s="95">
        <v>4097</v>
      </c>
      <c r="D447" s="95" t="s">
        <v>2878</v>
      </c>
      <c r="E447" s="129">
        <f>VLOOKUP($C447,'2021-22 School Level AAFTE'!$C:$Z,11,FALSE)</f>
        <v>0.56533333333333335</v>
      </c>
      <c r="F447" s="129" t="str">
        <f>VLOOKUP($C447,'2021-22 School Level AAFTE'!$C:$Z,8,FALSE)</f>
        <v>Yes</v>
      </c>
      <c r="G447" s="129" t="str">
        <f>VLOOKUP($C447,'2021-22 School Level AAFTE'!$C:$Z,12,FALSE)</f>
        <v>No</v>
      </c>
      <c r="H447" s="127">
        <f>VLOOKUP($C447,'2021-22 School Level AAFTE'!$C:$I,7,FALSE)</f>
        <v>358</v>
      </c>
      <c r="I447" s="112">
        <f>IFERROR(IF(OR(G447="yes",F447= "yes"),VLOOKUP(C447,Summary!$B:$J,6,0),0),0)</f>
        <v>0</v>
      </c>
      <c r="J447" s="111">
        <f t="shared" si="81"/>
        <v>358</v>
      </c>
      <c r="K447" s="91">
        <f>VLOOKUP($A447,'2022-23 Salary &amp; Benefits'!$A:$I,3,FALSE)</f>
        <v>1</v>
      </c>
      <c r="L447" s="91">
        <f>VLOOKUP($A447,'2022-23 Salary &amp; Benefits'!$A:$I,4,FALSE)</f>
        <v>1.04</v>
      </c>
      <c r="M447" s="39">
        <f t="shared" si="88"/>
        <v>358</v>
      </c>
      <c r="N447" s="24">
        <v>15</v>
      </c>
      <c r="O447" s="26">
        <f t="shared" si="79"/>
        <v>23.866666666666667</v>
      </c>
      <c r="P447" s="24">
        <v>1.1000000000000001</v>
      </c>
      <c r="Q447" s="24">
        <v>36</v>
      </c>
      <c r="R447" s="27">
        <f t="shared" si="80"/>
        <v>945.12000000000012</v>
      </c>
      <c r="S447" s="102">
        <f t="shared" si="82"/>
        <v>1.05</v>
      </c>
      <c r="T447" s="21">
        <f>VLOOKUP($A447,'2022-23 Salary &amp; Benefits'!$A:$I,5,FALSE)</f>
        <v>68937</v>
      </c>
      <c r="U447" s="21">
        <f>VLOOKUP($A447,'2022-23 Salary &amp; Benefits'!$A:$I,6,FALSE)</f>
        <v>72728</v>
      </c>
      <c r="V447" s="22">
        <f t="shared" si="83"/>
        <v>72383.850000000006</v>
      </c>
      <c r="W447" s="22">
        <f t="shared" si="84"/>
        <v>7035.1299999999901</v>
      </c>
      <c r="X447" s="22">
        <f>'2022-23 Salary &amp; Benefits'!$G$6</f>
        <v>12558.24</v>
      </c>
      <c r="Y447" s="23">
        <f>'2022-23 Salary &amp; Benefits'!$H$6</f>
        <v>0.2298</v>
      </c>
      <c r="Z447" s="23">
        <f>'2022-23 Salary &amp; Benefits'!$I$6</f>
        <v>0.22339999999999999</v>
      </c>
      <c r="AA447" s="22">
        <f t="shared" si="85"/>
        <v>31391.61</v>
      </c>
      <c r="AB447" s="22">
        <f t="shared" si="86"/>
        <v>1323.65</v>
      </c>
      <c r="AC447" s="22">
        <f t="shared" si="87"/>
        <v>295.7</v>
      </c>
      <c r="AD447" s="22">
        <f t="shared" si="89"/>
        <v>1619.3500000000001</v>
      </c>
      <c r="AE447" s="22">
        <f t="shared" si="90"/>
        <v>112429.94</v>
      </c>
      <c r="AF447" s="19" t="str">
        <f>VLOOKUP(C447,'2021-22 School Level AAFTE'!C:N,12,FALSE)</f>
        <v>No</v>
      </c>
    </row>
    <row r="448" spans="1:32" s="19" customFormat="1">
      <c r="A448" s="97" t="s">
        <v>2495</v>
      </c>
      <c r="B448" s="97" t="s">
        <v>1886</v>
      </c>
      <c r="C448" s="95">
        <v>5346</v>
      </c>
      <c r="D448" s="95" t="s">
        <v>1892</v>
      </c>
      <c r="E448" s="129">
        <f>VLOOKUP($C448,'2021-22 School Level AAFTE'!$C:$Z,11,FALSE)</f>
        <v>0.60993333333333333</v>
      </c>
      <c r="F448" s="129" t="str">
        <f>VLOOKUP($C448,'2021-22 School Level AAFTE'!$C:$Z,8,FALSE)</f>
        <v>Yes</v>
      </c>
      <c r="G448" s="129" t="str">
        <f>VLOOKUP($C448,'2021-22 School Level AAFTE'!$C:$Z,12,FALSE)</f>
        <v>No</v>
      </c>
      <c r="H448" s="127">
        <f>VLOOKUP($C448,'2021-22 School Level AAFTE'!$C:$I,7,FALSE)</f>
        <v>423.09</v>
      </c>
      <c r="I448" s="112">
        <f>IFERROR(IF(OR(G448="yes",F448= "yes"),VLOOKUP(C448,Summary!$B:$J,6,0),0),0)</f>
        <v>0</v>
      </c>
      <c r="J448" s="111">
        <f t="shared" si="81"/>
        <v>423.09</v>
      </c>
      <c r="K448" s="91">
        <f>VLOOKUP($A448,'2022-23 Salary &amp; Benefits'!$A:$I,3,FALSE)</f>
        <v>1</v>
      </c>
      <c r="L448" s="91">
        <f>VLOOKUP($A448,'2022-23 Salary &amp; Benefits'!$A:$I,4,FALSE)</f>
        <v>1.04</v>
      </c>
      <c r="M448" s="39">
        <f t="shared" si="88"/>
        <v>423.09</v>
      </c>
      <c r="N448" s="24">
        <v>15</v>
      </c>
      <c r="O448" s="26">
        <f t="shared" si="79"/>
        <v>28.206</v>
      </c>
      <c r="P448" s="24">
        <v>1.1000000000000001</v>
      </c>
      <c r="Q448" s="24">
        <v>36</v>
      </c>
      <c r="R448" s="27">
        <f t="shared" si="80"/>
        <v>1116.9576000000002</v>
      </c>
      <c r="S448" s="102">
        <f t="shared" si="82"/>
        <v>1.2410000000000001</v>
      </c>
      <c r="T448" s="21">
        <f>VLOOKUP($A448,'2022-23 Salary &amp; Benefits'!$A:$I,5,FALSE)</f>
        <v>68937</v>
      </c>
      <c r="U448" s="21">
        <f>VLOOKUP($A448,'2022-23 Salary &amp; Benefits'!$A:$I,6,FALSE)</f>
        <v>72728</v>
      </c>
      <c r="V448" s="22">
        <f t="shared" si="83"/>
        <v>85550.82</v>
      </c>
      <c r="W448" s="22">
        <f t="shared" si="84"/>
        <v>8314.8499999999913</v>
      </c>
      <c r="X448" s="22">
        <f>'2022-23 Salary &amp; Benefits'!$G$6</f>
        <v>12558.24</v>
      </c>
      <c r="Y448" s="23">
        <f>'2022-23 Salary &amp; Benefits'!$H$6</f>
        <v>0.2298</v>
      </c>
      <c r="Z448" s="23">
        <f>'2022-23 Salary &amp; Benefits'!$I$6</f>
        <v>0.22339999999999999</v>
      </c>
      <c r="AA448" s="22">
        <f t="shared" si="85"/>
        <v>37101.89</v>
      </c>
      <c r="AB448" s="22">
        <f t="shared" si="86"/>
        <v>1564.43</v>
      </c>
      <c r="AC448" s="22">
        <f t="shared" si="87"/>
        <v>349.49</v>
      </c>
      <c r="AD448" s="22">
        <f t="shared" si="89"/>
        <v>1913.92</v>
      </c>
      <c r="AE448" s="22">
        <f t="shared" si="90"/>
        <v>132881.48000000001</v>
      </c>
      <c r="AF448" s="19" t="str">
        <f>VLOOKUP(C448,'2021-22 School Level AAFTE'!C:N,12,FALSE)</f>
        <v>No</v>
      </c>
    </row>
    <row r="449" spans="1:32" s="19" customFormat="1">
      <c r="A449" s="97" t="s">
        <v>2495</v>
      </c>
      <c r="B449" s="97" t="s">
        <v>1886</v>
      </c>
      <c r="C449" s="95">
        <v>5432</v>
      </c>
      <c r="D449" s="95" t="s">
        <v>1893</v>
      </c>
      <c r="E449" s="129">
        <f>VLOOKUP($C449,'2021-22 School Level AAFTE'!$C:$Z,11,FALSE)</f>
        <v>0.47216666666666662</v>
      </c>
      <c r="F449" s="129" t="str">
        <f>VLOOKUP($C449,'2021-22 School Level AAFTE'!$C:$Z,8,FALSE)</f>
        <v>No</v>
      </c>
      <c r="G449" s="129" t="str">
        <f>VLOOKUP($C449,'2021-22 School Level AAFTE'!$C:$Z,12,FALSE)</f>
        <v>No</v>
      </c>
      <c r="H449" s="127">
        <f>VLOOKUP($C449,'2021-22 School Level AAFTE'!$C:$I,7,FALSE)</f>
        <v>87.6</v>
      </c>
      <c r="I449" s="112">
        <f>IFERROR(IF(OR(G449="yes",F449= "yes"),VLOOKUP(C449,Summary!$B:$J,6,0),0),0)</f>
        <v>0</v>
      </c>
      <c r="J449" s="111">
        <f t="shared" si="81"/>
        <v>0</v>
      </c>
      <c r="K449" s="91">
        <f>VLOOKUP($A449,'2022-23 Salary &amp; Benefits'!$A:$I,3,FALSE)</f>
        <v>1</v>
      </c>
      <c r="L449" s="91">
        <f>VLOOKUP($A449,'2022-23 Salary &amp; Benefits'!$A:$I,4,FALSE)</f>
        <v>1.04</v>
      </c>
      <c r="M449" s="39">
        <f t="shared" si="88"/>
        <v>0</v>
      </c>
      <c r="N449" s="24">
        <v>15</v>
      </c>
      <c r="O449" s="26">
        <f t="shared" si="79"/>
        <v>0</v>
      </c>
      <c r="P449" s="24">
        <v>1.1000000000000001</v>
      </c>
      <c r="Q449" s="24">
        <v>36</v>
      </c>
      <c r="R449" s="27">
        <f t="shared" si="80"/>
        <v>0</v>
      </c>
      <c r="S449" s="102">
        <f t="shared" si="82"/>
        <v>0</v>
      </c>
      <c r="T449" s="21">
        <f>VLOOKUP($A449,'2022-23 Salary &amp; Benefits'!$A:$I,5,FALSE)</f>
        <v>68937</v>
      </c>
      <c r="U449" s="21">
        <f>VLOOKUP($A449,'2022-23 Salary &amp; Benefits'!$A:$I,6,FALSE)</f>
        <v>72728</v>
      </c>
      <c r="V449" s="22">
        <f t="shared" si="83"/>
        <v>0</v>
      </c>
      <c r="W449" s="22">
        <f t="shared" si="84"/>
        <v>0</v>
      </c>
      <c r="X449" s="22">
        <f>'2022-23 Salary &amp; Benefits'!$G$6</f>
        <v>12558.24</v>
      </c>
      <c r="Y449" s="23">
        <f>'2022-23 Salary &amp; Benefits'!$H$6</f>
        <v>0.2298</v>
      </c>
      <c r="Z449" s="23">
        <f>'2022-23 Salary &amp; Benefits'!$I$6</f>
        <v>0.22339999999999999</v>
      </c>
      <c r="AA449" s="22">
        <f t="shared" si="85"/>
        <v>0</v>
      </c>
      <c r="AB449" s="22">
        <f t="shared" si="86"/>
        <v>0</v>
      </c>
      <c r="AC449" s="22">
        <f t="shared" si="87"/>
        <v>0</v>
      </c>
      <c r="AD449" s="22">
        <f t="shared" si="89"/>
        <v>0</v>
      </c>
      <c r="AE449" s="22">
        <f t="shared" si="90"/>
        <v>0</v>
      </c>
      <c r="AF449" s="19" t="str">
        <f>VLOOKUP(C449,'2021-22 School Level AAFTE'!C:N,12,FALSE)</f>
        <v>No</v>
      </c>
    </row>
    <row r="450" spans="1:32" s="19" customFormat="1">
      <c r="A450" s="97" t="s">
        <v>2495</v>
      </c>
      <c r="B450" s="97" t="s">
        <v>1886</v>
      </c>
      <c r="C450" s="95">
        <v>5433</v>
      </c>
      <c r="D450" s="95" t="s">
        <v>1894</v>
      </c>
      <c r="E450" s="129">
        <f>VLOOKUP($C450,'2021-22 School Level AAFTE'!$C:$Z,11,FALSE)</f>
        <v>0.42230000000000006</v>
      </c>
      <c r="F450" s="129" t="str">
        <f>VLOOKUP($C450,'2021-22 School Level AAFTE'!$C:$Z,8,FALSE)</f>
        <v>No</v>
      </c>
      <c r="G450" s="129" t="str">
        <f>VLOOKUP($C450,'2021-22 School Level AAFTE'!$C:$Z,12,FALSE)</f>
        <v>No</v>
      </c>
      <c r="H450" s="127">
        <f>VLOOKUP($C450,'2021-22 School Level AAFTE'!$C:$I,7,FALSE)</f>
        <v>218.25</v>
      </c>
      <c r="I450" s="112">
        <f>IFERROR(IF(OR(G450="yes",F450= "yes"),VLOOKUP(C450,Summary!$B:$J,6,0),0),0)</f>
        <v>0</v>
      </c>
      <c r="J450" s="111">
        <f t="shared" si="81"/>
        <v>0</v>
      </c>
      <c r="K450" s="91">
        <f>VLOOKUP($A450,'2022-23 Salary &amp; Benefits'!$A:$I,3,FALSE)</f>
        <v>1</v>
      </c>
      <c r="L450" s="91">
        <f>VLOOKUP($A450,'2022-23 Salary &amp; Benefits'!$A:$I,4,FALSE)</f>
        <v>1.04</v>
      </c>
      <c r="M450" s="39">
        <f t="shared" si="88"/>
        <v>0</v>
      </c>
      <c r="N450" s="24">
        <v>15</v>
      </c>
      <c r="O450" s="26">
        <f t="shared" si="79"/>
        <v>0</v>
      </c>
      <c r="P450" s="24">
        <v>1.1000000000000001</v>
      </c>
      <c r="Q450" s="24">
        <v>36</v>
      </c>
      <c r="R450" s="27">
        <f t="shared" si="80"/>
        <v>0</v>
      </c>
      <c r="S450" s="102">
        <f t="shared" si="82"/>
        <v>0</v>
      </c>
      <c r="T450" s="21">
        <f>VLOOKUP($A450,'2022-23 Salary &amp; Benefits'!$A:$I,5,FALSE)</f>
        <v>68937</v>
      </c>
      <c r="U450" s="21">
        <f>VLOOKUP($A450,'2022-23 Salary &amp; Benefits'!$A:$I,6,FALSE)</f>
        <v>72728</v>
      </c>
      <c r="V450" s="22">
        <f t="shared" si="83"/>
        <v>0</v>
      </c>
      <c r="W450" s="22">
        <f t="shared" si="84"/>
        <v>0</v>
      </c>
      <c r="X450" s="22">
        <f>'2022-23 Salary &amp; Benefits'!$G$6</f>
        <v>12558.24</v>
      </c>
      <c r="Y450" s="23">
        <f>'2022-23 Salary &amp; Benefits'!$H$6</f>
        <v>0.2298</v>
      </c>
      <c r="Z450" s="23">
        <f>'2022-23 Salary &amp; Benefits'!$I$6</f>
        <v>0.22339999999999999</v>
      </c>
      <c r="AA450" s="22">
        <f t="shared" si="85"/>
        <v>0</v>
      </c>
      <c r="AB450" s="22">
        <f t="shared" si="86"/>
        <v>0</v>
      </c>
      <c r="AC450" s="22">
        <f t="shared" si="87"/>
        <v>0</v>
      </c>
      <c r="AD450" s="22">
        <f t="shared" si="89"/>
        <v>0</v>
      </c>
      <c r="AE450" s="22">
        <f t="shared" si="90"/>
        <v>0</v>
      </c>
      <c r="AF450" s="19" t="str">
        <f>VLOOKUP(C450,'2021-22 School Level AAFTE'!C:N,12,FALSE)</f>
        <v>No</v>
      </c>
    </row>
    <row r="451" spans="1:32" s="19" customFormat="1">
      <c r="A451" s="97" t="s">
        <v>2556</v>
      </c>
      <c r="B451" s="97" t="s">
        <v>2190</v>
      </c>
      <c r="C451" s="95">
        <v>2344</v>
      </c>
      <c r="D451" s="95" t="s">
        <v>1891</v>
      </c>
      <c r="E451" s="129">
        <f>VLOOKUP($C451,'2021-22 School Level AAFTE'!$C:$Z,11,FALSE)</f>
        <v>0.56920000000000004</v>
      </c>
      <c r="F451" s="129" t="str">
        <f>VLOOKUP($C451,'2021-22 School Level AAFTE'!$C:$Z,8,FALSE)</f>
        <v>Yes</v>
      </c>
      <c r="G451" s="129" t="str">
        <f>VLOOKUP($C451,'2021-22 School Level AAFTE'!$C:$Z,12,FALSE)</f>
        <v>No</v>
      </c>
      <c r="H451" s="127">
        <f>VLOOKUP($C451,'2021-22 School Level AAFTE'!$C:$I,7,FALSE)</f>
        <v>970.69999999999993</v>
      </c>
      <c r="I451" s="112">
        <f>IFERROR(IF(OR(G451="yes",F451= "yes"),VLOOKUP(C451,Summary!$B:$J,6,0),0),0)</f>
        <v>0</v>
      </c>
      <c r="J451" s="111">
        <f t="shared" si="81"/>
        <v>970.69999999999993</v>
      </c>
      <c r="K451" s="91">
        <f>VLOOKUP($A451,'2022-23 Salary &amp; Benefits'!$A:$I,3,FALSE)</f>
        <v>1</v>
      </c>
      <c r="L451" s="91">
        <f>VLOOKUP($A451,'2022-23 Salary &amp; Benefits'!$A:$I,4,FALSE)</f>
        <v>1</v>
      </c>
      <c r="M451" s="39">
        <f t="shared" si="88"/>
        <v>970.69999999999993</v>
      </c>
      <c r="N451" s="24">
        <v>15</v>
      </c>
      <c r="O451" s="26">
        <f t="shared" si="79"/>
        <v>64.713333333333324</v>
      </c>
      <c r="P451" s="24">
        <v>1.1000000000000001</v>
      </c>
      <c r="Q451" s="24">
        <v>36</v>
      </c>
      <c r="R451" s="27">
        <f t="shared" si="80"/>
        <v>2562.6479999999997</v>
      </c>
      <c r="S451" s="102">
        <f t="shared" si="82"/>
        <v>2.847</v>
      </c>
      <c r="T451" s="21">
        <f>VLOOKUP($A451,'2022-23 Salary &amp; Benefits'!$A:$I,5,FALSE)</f>
        <v>68937</v>
      </c>
      <c r="U451" s="21">
        <f>VLOOKUP($A451,'2022-23 Salary &amp; Benefits'!$A:$I,6,FALSE)</f>
        <v>72728</v>
      </c>
      <c r="V451" s="22">
        <f t="shared" si="83"/>
        <v>196263.64</v>
      </c>
      <c r="W451" s="22">
        <f t="shared" si="84"/>
        <v>10792.979999999981</v>
      </c>
      <c r="X451" s="22">
        <f>'2022-23 Salary &amp; Benefits'!$G$6</f>
        <v>12558.24</v>
      </c>
      <c r="Y451" s="23">
        <f>'2022-23 Salary &amp; Benefits'!$H$6</f>
        <v>0.2298</v>
      </c>
      <c r="Z451" s="23">
        <f>'2022-23 Salary &amp; Benefits'!$I$6</f>
        <v>0.22339999999999999</v>
      </c>
      <c r="AA451" s="22">
        <f t="shared" si="85"/>
        <v>83265.850000000006</v>
      </c>
      <c r="AB451" s="22">
        <f t="shared" si="86"/>
        <v>3450.94</v>
      </c>
      <c r="AC451" s="22">
        <f t="shared" si="87"/>
        <v>770.94</v>
      </c>
      <c r="AD451" s="22">
        <f t="shared" si="89"/>
        <v>4221.88</v>
      </c>
      <c r="AE451" s="22">
        <f t="shared" si="90"/>
        <v>294544.34999999998</v>
      </c>
      <c r="AF451" s="19" t="str">
        <f>VLOOKUP(C451,'2021-22 School Level AAFTE'!C:N,12,FALSE)</f>
        <v>No</v>
      </c>
    </row>
    <row r="452" spans="1:32" s="19" customFormat="1">
      <c r="A452" s="97" t="s">
        <v>2556</v>
      </c>
      <c r="B452" s="97" t="s">
        <v>2190</v>
      </c>
      <c r="C452" s="95">
        <v>2530</v>
      </c>
      <c r="D452" s="95" t="s">
        <v>2191</v>
      </c>
      <c r="E452" s="129">
        <f>VLOOKUP($C452,'2021-22 School Level AAFTE'!$C:$Z,11,FALSE)</f>
        <v>0.52003333333333324</v>
      </c>
      <c r="F452" s="129" t="str">
        <f>VLOOKUP($C452,'2021-22 School Level AAFTE'!$C:$Z,8,FALSE)</f>
        <v>Yes</v>
      </c>
      <c r="G452" s="129" t="str">
        <f>VLOOKUP($C452,'2021-22 School Level AAFTE'!$C:$Z,12,FALSE)</f>
        <v>No</v>
      </c>
      <c r="H452" s="127">
        <f>VLOOKUP($C452,'2021-22 School Level AAFTE'!$C:$I,7,FALSE)</f>
        <v>500.11</v>
      </c>
      <c r="I452" s="112">
        <f>IFERROR(IF(OR(G452="yes",F452= "yes"),VLOOKUP(C452,Summary!$B:$J,6,0),0),0)</f>
        <v>0</v>
      </c>
      <c r="J452" s="111">
        <f t="shared" si="81"/>
        <v>500.11</v>
      </c>
      <c r="K452" s="91">
        <f>VLOOKUP($A452,'2022-23 Salary &amp; Benefits'!$A:$I,3,FALSE)</f>
        <v>1</v>
      </c>
      <c r="L452" s="91">
        <f>VLOOKUP($A452,'2022-23 Salary &amp; Benefits'!$A:$I,4,FALSE)</f>
        <v>1</v>
      </c>
      <c r="M452" s="39">
        <f t="shared" si="88"/>
        <v>500.11</v>
      </c>
      <c r="N452" s="24">
        <v>15</v>
      </c>
      <c r="O452" s="26">
        <f t="shared" si="79"/>
        <v>33.340666666666671</v>
      </c>
      <c r="P452" s="24">
        <v>1.1000000000000001</v>
      </c>
      <c r="Q452" s="24">
        <v>36</v>
      </c>
      <c r="R452" s="27">
        <f t="shared" si="80"/>
        <v>1320.2904000000003</v>
      </c>
      <c r="S452" s="102">
        <f t="shared" si="82"/>
        <v>1.4670000000000001</v>
      </c>
      <c r="T452" s="21">
        <f>VLOOKUP($A452,'2022-23 Salary &amp; Benefits'!$A:$I,5,FALSE)</f>
        <v>68937</v>
      </c>
      <c r="U452" s="21">
        <f>VLOOKUP($A452,'2022-23 Salary &amp; Benefits'!$A:$I,6,FALSE)</f>
        <v>72728</v>
      </c>
      <c r="V452" s="22">
        <f t="shared" si="83"/>
        <v>101130.58</v>
      </c>
      <c r="W452" s="22">
        <f t="shared" si="84"/>
        <v>5561.3999999999942</v>
      </c>
      <c r="X452" s="22">
        <f>'2022-23 Salary &amp; Benefits'!$G$6</f>
        <v>12558.24</v>
      </c>
      <c r="Y452" s="23">
        <f>'2022-23 Salary &amp; Benefits'!$H$6</f>
        <v>0.2298</v>
      </c>
      <c r="Z452" s="23">
        <f>'2022-23 Salary &amp; Benefits'!$I$6</f>
        <v>0.22339999999999999</v>
      </c>
      <c r="AA452" s="22">
        <f t="shared" si="85"/>
        <v>42905.16</v>
      </c>
      <c r="AB452" s="22">
        <f t="shared" si="86"/>
        <v>1778.2</v>
      </c>
      <c r="AC452" s="22">
        <f t="shared" si="87"/>
        <v>397.25</v>
      </c>
      <c r="AD452" s="22">
        <f t="shared" si="89"/>
        <v>2175.4499999999998</v>
      </c>
      <c r="AE452" s="22">
        <f t="shared" si="90"/>
        <v>151772.59</v>
      </c>
      <c r="AF452" s="19" t="str">
        <f>VLOOKUP(C452,'2021-22 School Level AAFTE'!C:N,12,FALSE)</f>
        <v>No</v>
      </c>
    </row>
    <row r="453" spans="1:32" s="19" customFormat="1">
      <c r="A453" s="97" t="s">
        <v>2556</v>
      </c>
      <c r="B453" s="97" t="s">
        <v>2190</v>
      </c>
      <c r="C453" s="95">
        <v>2821</v>
      </c>
      <c r="D453" s="95" t="s">
        <v>2192</v>
      </c>
      <c r="E453" s="129">
        <f>VLOOKUP($C453,'2021-22 School Level AAFTE'!$C:$Z,11,FALSE)</f>
        <v>0.59336666666666671</v>
      </c>
      <c r="F453" s="129" t="str">
        <f>VLOOKUP($C453,'2021-22 School Level AAFTE'!$C:$Z,8,FALSE)</f>
        <v>Yes</v>
      </c>
      <c r="G453" s="129" t="str">
        <f>VLOOKUP($C453,'2021-22 School Level AAFTE'!$C:$Z,12,FALSE)</f>
        <v>No</v>
      </c>
      <c r="H453" s="127">
        <f>VLOOKUP($C453,'2021-22 School Level AAFTE'!$C:$I,7,FALSE)</f>
        <v>501.57</v>
      </c>
      <c r="I453" s="112">
        <f>IFERROR(IF(OR(G453="yes",F453= "yes"),VLOOKUP(C453,Summary!$B:$J,6,0),0),0)</f>
        <v>0</v>
      </c>
      <c r="J453" s="111">
        <f t="shared" si="81"/>
        <v>501.57</v>
      </c>
      <c r="K453" s="91">
        <f>VLOOKUP($A453,'2022-23 Salary &amp; Benefits'!$A:$I,3,FALSE)</f>
        <v>1</v>
      </c>
      <c r="L453" s="91">
        <f>VLOOKUP($A453,'2022-23 Salary &amp; Benefits'!$A:$I,4,FALSE)</f>
        <v>1</v>
      </c>
      <c r="M453" s="39">
        <f t="shared" si="88"/>
        <v>501.57</v>
      </c>
      <c r="N453" s="24">
        <v>15</v>
      </c>
      <c r="O453" s="26">
        <f t="shared" si="79"/>
        <v>33.438000000000002</v>
      </c>
      <c r="P453" s="24">
        <v>1.1000000000000001</v>
      </c>
      <c r="Q453" s="24">
        <v>36</v>
      </c>
      <c r="R453" s="27">
        <f t="shared" si="80"/>
        <v>1324.1448</v>
      </c>
      <c r="S453" s="102">
        <f t="shared" si="82"/>
        <v>1.4710000000000001</v>
      </c>
      <c r="T453" s="21">
        <f>VLOOKUP($A453,'2022-23 Salary &amp; Benefits'!$A:$I,5,FALSE)</f>
        <v>68937</v>
      </c>
      <c r="U453" s="21">
        <f>VLOOKUP($A453,'2022-23 Salary &amp; Benefits'!$A:$I,6,FALSE)</f>
        <v>72728</v>
      </c>
      <c r="V453" s="22">
        <f t="shared" si="83"/>
        <v>101406.33</v>
      </c>
      <c r="W453" s="22">
        <f t="shared" si="84"/>
        <v>5576.5599999999977</v>
      </c>
      <c r="X453" s="22">
        <f>'2022-23 Salary &amp; Benefits'!$G$6</f>
        <v>12558.24</v>
      </c>
      <c r="Y453" s="23">
        <f>'2022-23 Salary &amp; Benefits'!$H$6</f>
        <v>0.2298</v>
      </c>
      <c r="Z453" s="23">
        <f>'2022-23 Salary &amp; Benefits'!$I$6</f>
        <v>0.22339999999999999</v>
      </c>
      <c r="AA453" s="22">
        <f t="shared" si="85"/>
        <v>43022.15</v>
      </c>
      <c r="AB453" s="22">
        <f t="shared" si="86"/>
        <v>1783.05</v>
      </c>
      <c r="AC453" s="22">
        <f t="shared" si="87"/>
        <v>398.33</v>
      </c>
      <c r="AD453" s="22">
        <f t="shared" si="89"/>
        <v>2181.38</v>
      </c>
      <c r="AE453" s="22">
        <f t="shared" si="90"/>
        <v>152186.42000000001</v>
      </c>
      <c r="AF453" s="19" t="str">
        <f>VLOOKUP(C453,'2021-22 School Level AAFTE'!C:N,12,FALSE)</f>
        <v>No</v>
      </c>
    </row>
    <row r="454" spans="1:32" s="19" customFormat="1">
      <c r="A454" s="97" t="s">
        <v>2556</v>
      </c>
      <c r="B454" s="97" t="s">
        <v>2190</v>
      </c>
      <c r="C454" s="95">
        <v>4055</v>
      </c>
      <c r="D454" s="95" t="s">
        <v>2193</v>
      </c>
      <c r="E454" s="129">
        <f>VLOOKUP($C454,'2021-22 School Level AAFTE'!$C:$Z,11,FALSE)</f>
        <v>0.58406666666666662</v>
      </c>
      <c r="F454" s="129" t="str">
        <f>VLOOKUP($C454,'2021-22 School Level AAFTE'!$C:$Z,8,FALSE)</f>
        <v>Yes</v>
      </c>
      <c r="G454" s="129" t="str">
        <f>VLOOKUP($C454,'2021-22 School Level AAFTE'!$C:$Z,12,FALSE)</f>
        <v>No</v>
      </c>
      <c r="H454" s="127">
        <f>VLOOKUP($C454,'2021-22 School Level AAFTE'!$C:$I,7,FALSE)</f>
        <v>802.08</v>
      </c>
      <c r="I454" s="112">
        <f>IFERROR(IF(OR(G454="yes",F454= "yes"),VLOOKUP(C454,Summary!$B:$J,6,0),0),0)</f>
        <v>0</v>
      </c>
      <c r="J454" s="111">
        <f t="shared" si="81"/>
        <v>802.08</v>
      </c>
      <c r="K454" s="91">
        <f>VLOOKUP($A454,'2022-23 Salary &amp; Benefits'!$A:$I,3,FALSE)</f>
        <v>1</v>
      </c>
      <c r="L454" s="91">
        <f>VLOOKUP($A454,'2022-23 Salary &amp; Benefits'!$A:$I,4,FALSE)</f>
        <v>1</v>
      </c>
      <c r="M454" s="39">
        <f t="shared" si="88"/>
        <v>802.08</v>
      </c>
      <c r="N454" s="24">
        <v>15</v>
      </c>
      <c r="O454" s="26">
        <f t="shared" si="79"/>
        <v>53.472000000000001</v>
      </c>
      <c r="P454" s="24">
        <v>1.1000000000000001</v>
      </c>
      <c r="Q454" s="24">
        <v>36</v>
      </c>
      <c r="R454" s="27">
        <f t="shared" si="80"/>
        <v>2117.4912000000004</v>
      </c>
      <c r="S454" s="102">
        <f t="shared" si="82"/>
        <v>2.3530000000000002</v>
      </c>
      <c r="T454" s="21">
        <f>VLOOKUP($A454,'2022-23 Salary &amp; Benefits'!$A:$I,5,FALSE)</f>
        <v>68937</v>
      </c>
      <c r="U454" s="21">
        <f>VLOOKUP($A454,'2022-23 Salary &amp; Benefits'!$A:$I,6,FALSE)</f>
        <v>72728</v>
      </c>
      <c r="V454" s="22">
        <f t="shared" si="83"/>
        <v>162208.76</v>
      </c>
      <c r="W454" s="22">
        <f t="shared" si="84"/>
        <v>8920.2200000000012</v>
      </c>
      <c r="X454" s="22">
        <f>'2022-23 Salary &amp; Benefits'!$G$6</f>
        <v>12558.24</v>
      </c>
      <c r="Y454" s="23">
        <f>'2022-23 Salary &amp; Benefits'!$H$6</f>
        <v>0.2298</v>
      </c>
      <c r="Z454" s="23">
        <f>'2022-23 Salary &amp; Benefits'!$I$6</f>
        <v>0.22339999999999999</v>
      </c>
      <c r="AA454" s="22">
        <f t="shared" si="85"/>
        <v>68817.89</v>
      </c>
      <c r="AB454" s="22">
        <f t="shared" si="86"/>
        <v>2852.15</v>
      </c>
      <c r="AC454" s="22">
        <f t="shared" si="87"/>
        <v>637.16999999999996</v>
      </c>
      <c r="AD454" s="22">
        <f t="shared" si="89"/>
        <v>3489.32</v>
      </c>
      <c r="AE454" s="22">
        <f t="shared" si="90"/>
        <v>243436.19000000003</v>
      </c>
      <c r="AF454" s="19" t="str">
        <f>VLOOKUP(C454,'2021-22 School Level AAFTE'!C:N,12,FALSE)</f>
        <v>No</v>
      </c>
    </row>
    <row r="455" spans="1:32" s="19" customFormat="1">
      <c r="A455" s="137" t="s">
        <v>2556</v>
      </c>
      <c r="B455" s="97" t="s">
        <v>2190</v>
      </c>
      <c r="C455" s="138">
        <v>4487</v>
      </c>
      <c r="D455" s="56" t="s">
        <v>2194</v>
      </c>
      <c r="E455" s="129">
        <f>VLOOKUP($C455,'2021-22 School Level AAFTE'!$C:$Z,11,FALSE)</f>
        <v>0.59199999999999997</v>
      </c>
      <c r="F455" s="129" t="str">
        <f>VLOOKUP($C455,'2021-22 School Level AAFTE'!$C:$Z,8,FALSE)</f>
        <v>Yes</v>
      </c>
      <c r="G455" s="129" t="str">
        <f>VLOOKUP($C455,'2021-22 School Level AAFTE'!$C:$Z,12,FALSE)</f>
        <v>No</v>
      </c>
      <c r="H455" s="127">
        <f>VLOOKUP($C455,'2021-22 School Level AAFTE'!$C:$I,7,FALSE)</f>
        <v>491</v>
      </c>
      <c r="I455" s="112">
        <f>IFERROR(IF(OR(G455="yes",F455= "yes"),VLOOKUP(C455,Summary!$B:$J,6,0),0),0)</f>
        <v>0</v>
      </c>
      <c r="J455" s="111">
        <f t="shared" si="81"/>
        <v>491</v>
      </c>
      <c r="K455" s="91">
        <f>VLOOKUP($A455,'2022-23 Salary &amp; Benefits'!$A:$I,3,FALSE)</f>
        <v>1</v>
      </c>
      <c r="L455" s="91">
        <f>VLOOKUP($A455,'2022-23 Salary &amp; Benefits'!$A:$I,4,FALSE)</f>
        <v>1</v>
      </c>
      <c r="M455" s="39">
        <f t="shared" si="88"/>
        <v>491</v>
      </c>
      <c r="N455" s="24">
        <v>15</v>
      </c>
      <c r="O455" s="26">
        <f t="shared" si="79"/>
        <v>32.733333333333334</v>
      </c>
      <c r="P455" s="24">
        <v>1.1000000000000001</v>
      </c>
      <c r="Q455" s="24">
        <v>36</v>
      </c>
      <c r="R455" s="27">
        <f t="shared" si="80"/>
        <v>1296.24</v>
      </c>
      <c r="S455" s="102">
        <f t="shared" si="82"/>
        <v>1.44</v>
      </c>
      <c r="T455" s="21">
        <f>VLOOKUP($A455,'2022-23 Salary &amp; Benefits'!$A:$I,5,FALSE)</f>
        <v>68937</v>
      </c>
      <c r="U455" s="21">
        <f>VLOOKUP($A455,'2022-23 Salary &amp; Benefits'!$A:$I,6,FALSE)</f>
        <v>72728</v>
      </c>
      <c r="V455" s="22">
        <f t="shared" si="83"/>
        <v>99269.28</v>
      </c>
      <c r="W455" s="22">
        <f t="shared" si="84"/>
        <v>5459.0400000000081</v>
      </c>
      <c r="X455" s="22">
        <f>'2022-23 Salary &amp; Benefits'!$G$6</f>
        <v>12558.24</v>
      </c>
      <c r="Y455" s="23">
        <f>'2022-23 Salary &amp; Benefits'!$H$6</f>
        <v>0.2298</v>
      </c>
      <c r="Z455" s="23">
        <f>'2022-23 Salary &amp; Benefits'!$I$6</f>
        <v>0.22339999999999999</v>
      </c>
      <c r="AA455" s="22">
        <f t="shared" si="85"/>
        <v>42115.5</v>
      </c>
      <c r="AB455" s="22">
        <f t="shared" si="86"/>
        <v>1745.47</v>
      </c>
      <c r="AC455" s="22">
        <f t="shared" si="87"/>
        <v>389.94</v>
      </c>
      <c r="AD455" s="22">
        <f t="shared" si="89"/>
        <v>2135.41</v>
      </c>
      <c r="AE455" s="22">
        <f t="shared" si="90"/>
        <v>148979.23000000001</v>
      </c>
      <c r="AF455" s="19" t="str">
        <f>VLOOKUP(C455,'2021-22 School Level AAFTE'!C:N,12,FALSE)</f>
        <v>No</v>
      </c>
    </row>
    <row r="456" spans="1:32" s="19" customFormat="1">
      <c r="A456" s="97" t="s">
        <v>2304</v>
      </c>
      <c r="B456" s="97" t="s">
        <v>346</v>
      </c>
      <c r="C456" s="95">
        <v>2563</v>
      </c>
      <c r="D456" s="95" t="s">
        <v>347</v>
      </c>
      <c r="E456" s="129">
        <f>VLOOKUP($C456,'2021-22 School Level AAFTE'!$C:$Z,11,FALSE)</f>
        <v>0.76113333333333344</v>
      </c>
      <c r="F456" s="129" t="str">
        <f>VLOOKUP($C456,'2021-22 School Level AAFTE'!$C:$Z,8,FALSE)</f>
        <v>Yes</v>
      </c>
      <c r="G456" s="129" t="str">
        <f>VLOOKUP($C456,'2021-22 School Level AAFTE'!$C:$Z,12,FALSE)</f>
        <v>No</v>
      </c>
      <c r="H456" s="127">
        <f>VLOOKUP($C456,'2021-22 School Level AAFTE'!$C:$I,7,FALSE)</f>
        <v>225.49</v>
      </c>
      <c r="I456" s="112">
        <f>IFERROR(IF(OR(G456="yes",F456= "yes"),VLOOKUP(C456,Summary!$B:$J,6,0),0),0)</f>
        <v>0</v>
      </c>
      <c r="J456" s="111">
        <f t="shared" si="81"/>
        <v>225.49</v>
      </c>
      <c r="K456" s="91">
        <f>VLOOKUP($A456,'2022-23 Salary &amp; Benefits'!$A:$I,3,FALSE)</f>
        <v>1</v>
      </c>
      <c r="L456" s="91">
        <f>VLOOKUP($A456,'2022-23 Salary &amp; Benefits'!$A:$I,4,FALSE)</f>
        <v>1</v>
      </c>
      <c r="M456" s="39">
        <f t="shared" si="88"/>
        <v>225.49</v>
      </c>
      <c r="N456" s="24">
        <v>15</v>
      </c>
      <c r="O456" s="26">
        <f t="shared" si="79"/>
        <v>15.032666666666668</v>
      </c>
      <c r="P456" s="24">
        <v>1.1000000000000001</v>
      </c>
      <c r="Q456" s="24">
        <v>36</v>
      </c>
      <c r="R456" s="27">
        <f t="shared" si="80"/>
        <v>595.29360000000008</v>
      </c>
      <c r="S456" s="102">
        <f t="shared" si="82"/>
        <v>0.66100000000000003</v>
      </c>
      <c r="T456" s="21">
        <f>VLOOKUP($A456,'2022-23 Salary &amp; Benefits'!$A:$I,5,FALSE)</f>
        <v>68937</v>
      </c>
      <c r="U456" s="21">
        <f>VLOOKUP($A456,'2022-23 Salary &amp; Benefits'!$A:$I,6,FALSE)</f>
        <v>72728</v>
      </c>
      <c r="V456" s="22">
        <f t="shared" si="83"/>
        <v>45567.360000000001</v>
      </c>
      <c r="W456" s="22">
        <f t="shared" si="84"/>
        <v>2505.8499999999985</v>
      </c>
      <c r="X456" s="22">
        <f>'2022-23 Salary &amp; Benefits'!$G$6</f>
        <v>12558.24</v>
      </c>
      <c r="Y456" s="23">
        <f>'2022-23 Salary &amp; Benefits'!$H$6</f>
        <v>0.2298</v>
      </c>
      <c r="Z456" s="23">
        <f>'2022-23 Salary &amp; Benefits'!$I$6</f>
        <v>0.22339999999999999</v>
      </c>
      <c r="AA456" s="22">
        <f t="shared" si="85"/>
        <v>19332.18</v>
      </c>
      <c r="AB456" s="22">
        <f t="shared" si="86"/>
        <v>801.22</v>
      </c>
      <c r="AC456" s="22">
        <f t="shared" si="87"/>
        <v>178.99</v>
      </c>
      <c r="AD456" s="22">
        <f t="shared" si="89"/>
        <v>980.21</v>
      </c>
      <c r="AE456" s="22">
        <f t="shared" si="90"/>
        <v>68385.600000000006</v>
      </c>
      <c r="AF456" s="19" t="str">
        <f>VLOOKUP(C456,'2021-22 School Level AAFTE'!C:N,12,FALSE)</f>
        <v>No</v>
      </c>
    </row>
    <row r="457" spans="1:32" s="19" customFormat="1">
      <c r="A457" s="97" t="s">
        <v>2304</v>
      </c>
      <c r="B457" s="97" t="s">
        <v>346</v>
      </c>
      <c r="C457" s="95">
        <v>2727</v>
      </c>
      <c r="D457" s="95" t="s">
        <v>348</v>
      </c>
      <c r="E457" s="129">
        <f>VLOOKUP($C457,'2021-22 School Level AAFTE'!$C:$Z,11,FALSE)</f>
        <v>0.55056666666666665</v>
      </c>
      <c r="F457" s="129" t="str">
        <f>VLOOKUP($C457,'2021-22 School Level AAFTE'!$C:$Z,8,FALSE)</f>
        <v>Yes</v>
      </c>
      <c r="G457" s="129" t="str">
        <f>VLOOKUP($C457,'2021-22 School Level AAFTE'!$C:$Z,12,FALSE)</f>
        <v>No</v>
      </c>
      <c r="H457" s="127">
        <f>VLOOKUP($C457,'2021-22 School Level AAFTE'!$C:$I,7,FALSE)</f>
        <v>1398.79</v>
      </c>
      <c r="I457" s="112">
        <f>IFERROR(IF(OR(G457="yes",F457= "yes"),VLOOKUP(C457,Summary!$B:$J,6,0),0),0)</f>
        <v>0</v>
      </c>
      <c r="J457" s="111">
        <f t="shared" si="81"/>
        <v>1398.79</v>
      </c>
      <c r="K457" s="91">
        <f>VLOOKUP($A457,'2022-23 Salary &amp; Benefits'!$A:$I,3,FALSE)</f>
        <v>1</v>
      </c>
      <c r="L457" s="91">
        <f>VLOOKUP($A457,'2022-23 Salary &amp; Benefits'!$A:$I,4,FALSE)</f>
        <v>1</v>
      </c>
      <c r="M457" s="39">
        <f t="shared" si="88"/>
        <v>1398.79</v>
      </c>
      <c r="N457" s="24">
        <v>15</v>
      </c>
      <c r="O457" s="26">
        <f t="shared" si="79"/>
        <v>93.25266666666667</v>
      </c>
      <c r="P457" s="24">
        <v>1.1000000000000001</v>
      </c>
      <c r="Q457" s="24">
        <v>36</v>
      </c>
      <c r="R457" s="27">
        <f t="shared" si="80"/>
        <v>3692.8056000000006</v>
      </c>
      <c r="S457" s="102">
        <f t="shared" si="82"/>
        <v>4.1029999999999998</v>
      </c>
      <c r="T457" s="21">
        <f>VLOOKUP($A457,'2022-23 Salary &amp; Benefits'!$A:$I,5,FALSE)</f>
        <v>68937</v>
      </c>
      <c r="U457" s="21">
        <f>VLOOKUP($A457,'2022-23 Salary &amp; Benefits'!$A:$I,6,FALSE)</f>
        <v>72728</v>
      </c>
      <c r="V457" s="22">
        <f t="shared" si="83"/>
        <v>282848.51</v>
      </c>
      <c r="W457" s="22">
        <f t="shared" si="84"/>
        <v>15554.469999999972</v>
      </c>
      <c r="X457" s="22">
        <f>'2022-23 Salary &amp; Benefits'!$G$6</f>
        <v>12558.24</v>
      </c>
      <c r="Y457" s="23">
        <f>'2022-23 Salary &amp; Benefits'!$H$6</f>
        <v>0.2298</v>
      </c>
      <c r="Z457" s="23">
        <f>'2022-23 Salary &amp; Benefits'!$I$6</f>
        <v>0.22339999999999999</v>
      </c>
      <c r="AA457" s="22">
        <f t="shared" si="85"/>
        <v>119999.91</v>
      </c>
      <c r="AB457" s="22">
        <f t="shared" si="86"/>
        <v>4973.38</v>
      </c>
      <c r="AC457" s="22">
        <f t="shared" si="87"/>
        <v>1111.05</v>
      </c>
      <c r="AD457" s="22">
        <f t="shared" si="89"/>
        <v>6084.43</v>
      </c>
      <c r="AE457" s="22">
        <f t="shared" si="90"/>
        <v>424487.32</v>
      </c>
      <c r="AF457" s="19" t="str">
        <f>VLOOKUP(C457,'2021-22 School Level AAFTE'!C:N,12,FALSE)</f>
        <v>No</v>
      </c>
    </row>
    <row r="458" spans="1:32" s="19" customFormat="1">
      <c r="A458" s="97" t="s">
        <v>2304</v>
      </c>
      <c r="B458" s="97" t="s">
        <v>346</v>
      </c>
      <c r="C458" s="95">
        <v>2966</v>
      </c>
      <c r="D458" s="95" t="s">
        <v>349</v>
      </c>
      <c r="E458" s="129">
        <f>VLOOKUP($C458,'2021-22 School Level AAFTE'!$C:$Z,11,FALSE)</f>
        <v>0.51556666666666662</v>
      </c>
      <c r="F458" s="129" t="str">
        <f>VLOOKUP($C458,'2021-22 School Level AAFTE'!$C:$Z,8,FALSE)</f>
        <v>Yes</v>
      </c>
      <c r="G458" s="129" t="str">
        <f>VLOOKUP($C458,'2021-22 School Level AAFTE'!$C:$Z,12,FALSE)</f>
        <v>No</v>
      </c>
      <c r="H458" s="127">
        <f>VLOOKUP($C458,'2021-22 School Level AAFTE'!$C:$I,7,FALSE)</f>
        <v>406.79</v>
      </c>
      <c r="I458" s="112">
        <f>IFERROR(IF(OR(G458="yes",F458= "yes"),VLOOKUP(C458,Summary!$B:$J,6,0),0),0)</f>
        <v>0</v>
      </c>
      <c r="J458" s="111">
        <f t="shared" si="81"/>
        <v>406.79</v>
      </c>
      <c r="K458" s="91">
        <f>VLOOKUP($A458,'2022-23 Salary &amp; Benefits'!$A:$I,3,FALSE)</f>
        <v>1</v>
      </c>
      <c r="L458" s="91">
        <f>VLOOKUP($A458,'2022-23 Salary &amp; Benefits'!$A:$I,4,FALSE)</f>
        <v>1</v>
      </c>
      <c r="M458" s="39">
        <f t="shared" si="88"/>
        <v>406.79</v>
      </c>
      <c r="N458" s="24">
        <v>15</v>
      </c>
      <c r="O458" s="26">
        <f t="shared" ref="O458:O521" si="91">IF(M458="no",0,M458/N458)</f>
        <v>27.119333333333334</v>
      </c>
      <c r="P458" s="24">
        <v>1.1000000000000001</v>
      </c>
      <c r="Q458" s="24">
        <v>36</v>
      </c>
      <c r="R458" s="27">
        <f t="shared" ref="R458:R521" si="92">IF(M458="no",0,O458*P458*Q458)</f>
        <v>1073.9256</v>
      </c>
      <c r="S458" s="102">
        <f t="shared" si="82"/>
        <v>1.1930000000000001</v>
      </c>
      <c r="T458" s="21">
        <f>VLOOKUP($A458,'2022-23 Salary &amp; Benefits'!$A:$I,5,FALSE)</f>
        <v>68937</v>
      </c>
      <c r="U458" s="21">
        <f>VLOOKUP($A458,'2022-23 Salary &amp; Benefits'!$A:$I,6,FALSE)</f>
        <v>72728</v>
      </c>
      <c r="V458" s="22">
        <f t="shared" si="83"/>
        <v>82241.84</v>
      </c>
      <c r="W458" s="22">
        <f t="shared" si="84"/>
        <v>4522.6600000000035</v>
      </c>
      <c r="X458" s="22">
        <f>'2022-23 Salary &amp; Benefits'!$G$6</f>
        <v>12558.24</v>
      </c>
      <c r="Y458" s="23">
        <f>'2022-23 Salary &amp; Benefits'!$H$6</f>
        <v>0.2298</v>
      </c>
      <c r="Z458" s="23">
        <f>'2022-23 Salary &amp; Benefits'!$I$6</f>
        <v>0.22339999999999999</v>
      </c>
      <c r="AA458" s="22">
        <f t="shared" si="85"/>
        <v>34891.519999999997</v>
      </c>
      <c r="AB458" s="22">
        <f t="shared" si="86"/>
        <v>1446.08</v>
      </c>
      <c r="AC458" s="22">
        <f t="shared" si="87"/>
        <v>323.05</v>
      </c>
      <c r="AD458" s="22">
        <f t="shared" si="89"/>
        <v>1769.1299999999999</v>
      </c>
      <c r="AE458" s="22">
        <f t="shared" si="90"/>
        <v>123425.15</v>
      </c>
      <c r="AF458" s="19" t="str">
        <f>VLOOKUP(C458,'2021-22 School Level AAFTE'!C:N,12,FALSE)</f>
        <v>No</v>
      </c>
    </row>
    <row r="459" spans="1:32" s="19" customFormat="1">
      <c r="A459" s="97" t="s">
        <v>2304</v>
      </c>
      <c r="B459" s="97" t="s">
        <v>346</v>
      </c>
      <c r="C459" s="95">
        <v>3083</v>
      </c>
      <c r="D459" s="95" t="s">
        <v>2880</v>
      </c>
      <c r="E459" s="129">
        <f>VLOOKUP($C459,'2021-22 School Level AAFTE'!$C:$Z,11,FALSE)</f>
        <v>0.67683333333333329</v>
      </c>
      <c r="F459" s="129" t="str">
        <f>VLOOKUP($C459,'2021-22 School Level AAFTE'!$C:$Z,8,FALSE)</f>
        <v>Yes</v>
      </c>
      <c r="G459" s="129" t="str">
        <f>VLOOKUP($C459,'2021-22 School Level AAFTE'!$C:$Z,12,FALSE)</f>
        <v>No</v>
      </c>
      <c r="H459" s="127">
        <f>VLOOKUP($C459,'2021-22 School Level AAFTE'!$C:$I,7,FALSE)</f>
        <v>435.01</v>
      </c>
      <c r="I459" s="112">
        <f>IFERROR(IF(OR(G459="yes",F459= "yes"),VLOOKUP(C459,Summary!$B:$J,6,0),0),0)</f>
        <v>0</v>
      </c>
      <c r="J459" s="111">
        <f t="shared" ref="J459:J522" si="93">IF(OR(G459="yes",F459= "yes"), H459,0)</f>
        <v>435.01</v>
      </c>
      <c r="K459" s="91">
        <f>VLOOKUP($A459,'2022-23 Salary &amp; Benefits'!$A:$I,3,FALSE)</f>
        <v>1</v>
      </c>
      <c r="L459" s="91">
        <f>VLOOKUP($A459,'2022-23 Salary &amp; Benefits'!$A:$I,4,FALSE)</f>
        <v>1</v>
      </c>
      <c r="M459" s="39">
        <f t="shared" si="88"/>
        <v>435.01</v>
      </c>
      <c r="N459" s="24">
        <v>15</v>
      </c>
      <c r="O459" s="26">
        <f t="shared" si="91"/>
        <v>29.000666666666667</v>
      </c>
      <c r="P459" s="24">
        <v>1.1000000000000001</v>
      </c>
      <c r="Q459" s="24">
        <v>36</v>
      </c>
      <c r="R459" s="27">
        <f t="shared" si="92"/>
        <v>1148.4264000000003</v>
      </c>
      <c r="S459" s="102">
        <f t="shared" ref="S459:S522" si="94">ROUND(IF(M459="no",0,R459/900),3)</f>
        <v>1.276</v>
      </c>
      <c r="T459" s="21">
        <f>VLOOKUP($A459,'2022-23 Salary &amp; Benefits'!$A:$I,5,FALSE)</f>
        <v>68937</v>
      </c>
      <c r="U459" s="21">
        <f>VLOOKUP($A459,'2022-23 Salary &amp; Benefits'!$A:$I,6,FALSE)</f>
        <v>72728</v>
      </c>
      <c r="V459" s="22">
        <f t="shared" ref="V459:V522" si="95">ROUND($K459*$T459*$S459,2)</f>
        <v>87963.61</v>
      </c>
      <c r="W459" s="22">
        <f t="shared" ref="W459:W522" si="96">ROUND($L459*$U459*$S459,2)-V459</f>
        <v>4837.3199999999924</v>
      </c>
      <c r="X459" s="22">
        <f>'2022-23 Salary &amp; Benefits'!$G$6</f>
        <v>12558.24</v>
      </c>
      <c r="Y459" s="23">
        <f>'2022-23 Salary &amp; Benefits'!$H$6</f>
        <v>0.2298</v>
      </c>
      <c r="Z459" s="23">
        <f>'2022-23 Salary &amp; Benefits'!$I$6</f>
        <v>0.22339999999999999</v>
      </c>
      <c r="AA459" s="22">
        <f t="shared" ref="AA459:AA522" si="97">ROUND(V459*Y459+W459*Z459+S459*X459,2)</f>
        <v>37319.01</v>
      </c>
      <c r="AB459" s="22">
        <f t="shared" ref="AB459:AB522" si="98">ROUND(($U459*$L459*$S459/180*3),2)</f>
        <v>1546.68</v>
      </c>
      <c r="AC459" s="22">
        <f t="shared" ref="AC459:AC522" si="99">ROUND(AB459*Z459,2)</f>
        <v>345.53</v>
      </c>
      <c r="AD459" s="22">
        <f t="shared" si="89"/>
        <v>1892.21</v>
      </c>
      <c r="AE459" s="22">
        <f t="shared" si="90"/>
        <v>132012.15</v>
      </c>
      <c r="AF459" s="19" t="str">
        <f>VLOOKUP(C459,'2021-22 School Level AAFTE'!C:N,12,FALSE)</f>
        <v>No</v>
      </c>
    </row>
    <row r="460" spans="1:32" s="19" customFormat="1">
      <c r="A460" s="97" t="s">
        <v>2304</v>
      </c>
      <c r="B460" s="97" t="s">
        <v>346</v>
      </c>
      <c r="C460" s="95">
        <v>3212</v>
      </c>
      <c r="D460" s="95" t="s">
        <v>350</v>
      </c>
      <c r="E460" s="129">
        <f>VLOOKUP($C460,'2021-22 School Level AAFTE'!$C:$Z,11,FALSE)</f>
        <v>0.61483333333333334</v>
      </c>
      <c r="F460" s="129" t="str">
        <f>VLOOKUP($C460,'2021-22 School Level AAFTE'!$C:$Z,8,FALSE)</f>
        <v>Yes</v>
      </c>
      <c r="G460" s="129" t="str">
        <f>VLOOKUP($C460,'2021-22 School Level AAFTE'!$C:$Z,12,FALSE)</f>
        <v>No</v>
      </c>
      <c r="H460" s="127">
        <f>VLOOKUP($C460,'2021-22 School Level AAFTE'!$C:$I,7,FALSE)</f>
        <v>467.18</v>
      </c>
      <c r="I460" s="112">
        <f>IFERROR(IF(OR(G460="yes",F460= "yes"),VLOOKUP(C460,Summary!$B:$J,6,0),0),0)</f>
        <v>0</v>
      </c>
      <c r="J460" s="111">
        <f t="shared" si="93"/>
        <v>467.18</v>
      </c>
      <c r="K460" s="91">
        <f>VLOOKUP($A460,'2022-23 Salary &amp; Benefits'!$A:$I,3,FALSE)</f>
        <v>1</v>
      </c>
      <c r="L460" s="91">
        <f>VLOOKUP($A460,'2022-23 Salary &amp; Benefits'!$A:$I,4,FALSE)</f>
        <v>1</v>
      </c>
      <c r="M460" s="101">
        <f t="shared" si="88"/>
        <v>467.18</v>
      </c>
      <c r="N460" s="24">
        <v>15</v>
      </c>
      <c r="O460" s="26">
        <f t="shared" si="91"/>
        <v>31.145333333333333</v>
      </c>
      <c r="P460" s="24">
        <v>1.1000000000000001</v>
      </c>
      <c r="Q460" s="24">
        <v>36</v>
      </c>
      <c r="R460" s="27">
        <f t="shared" si="92"/>
        <v>1233.3552</v>
      </c>
      <c r="S460" s="102">
        <f t="shared" si="94"/>
        <v>1.37</v>
      </c>
      <c r="T460" s="21">
        <f>VLOOKUP($A460,'2022-23 Salary &amp; Benefits'!$A:$I,5,FALSE)</f>
        <v>68937</v>
      </c>
      <c r="U460" s="21">
        <f>VLOOKUP($A460,'2022-23 Salary &amp; Benefits'!$A:$I,6,FALSE)</f>
        <v>72728</v>
      </c>
      <c r="V460" s="22">
        <f t="shared" si="95"/>
        <v>94443.69</v>
      </c>
      <c r="W460" s="22">
        <f t="shared" si="96"/>
        <v>5193.6699999999983</v>
      </c>
      <c r="X460" s="22">
        <f>'2022-23 Salary &amp; Benefits'!$G$6</f>
        <v>12558.24</v>
      </c>
      <c r="Y460" s="23">
        <f>'2022-23 Salary &amp; Benefits'!$H$6</f>
        <v>0.2298</v>
      </c>
      <c r="Z460" s="23">
        <f>'2022-23 Salary &amp; Benefits'!$I$6</f>
        <v>0.22339999999999999</v>
      </c>
      <c r="AA460" s="22">
        <f t="shared" si="97"/>
        <v>40068.21</v>
      </c>
      <c r="AB460" s="22">
        <f t="shared" si="98"/>
        <v>1660.62</v>
      </c>
      <c r="AC460" s="22">
        <f t="shared" si="99"/>
        <v>370.98</v>
      </c>
      <c r="AD460" s="22">
        <f t="shared" si="89"/>
        <v>2031.6</v>
      </c>
      <c r="AE460" s="22">
        <f t="shared" si="90"/>
        <v>141737.17000000001</v>
      </c>
      <c r="AF460" s="19" t="str">
        <f>VLOOKUP(C460,'2021-22 School Level AAFTE'!C:N,12,FALSE)</f>
        <v>No</v>
      </c>
    </row>
    <row r="461" spans="1:32" s="19" customFormat="1">
      <c r="A461" s="97" t="s">
        <v>2304</v>
      </c>
      <c r="B461" s="97" t="s">
        <v>346</v>
      </c>
      <c r="C461" s="95">
        <v>3372</v>
      </c>
      <c r="D461" s="95" t="s">
        <v>351</v>
      </c>
      <c r="E461" s="129">
        <f>VLOOKUP($C461,'2021-22 School Level AAFTE'!$C:$Z,11,FALSE)</f>
        <v>0.59043333333333337</v>
      </c>
      <c r="F461" s="129" t="str">
        <f>VLOOKUP($C461,'2021-22 School Level AAFTE'!$C:$Z,8,FALSE)</f>
        <v>Yes</v>
      </c>
      <c r="G461" s="129" t="str">
        <f>VLOOKUP($C461,'2021-22 School Level AAFTE'!$C:$Z,12,FALSE)</f>
        <v>No</v>
      </c>
      <c r="H461" s="127">
        <f>VLOOKUP($C461,'2021-22 School Level AAFTE'!$C:$I,7,FALSE)</f>
        <v>996.82</v>
      </c>
      <c r="I461" s="112">
        <f>IFERROR(IF(OR(G461="yes",F461= "yes"),VLOOKUP(C461,Summary!$B:$J,6,0),0),0)</f>
        <v>0</v>
      </c>
      <c r="J461" s="111">
        <f t="shared" si="93"/>
        <v>996.82</v>
      </c>
      <c r="K461" s="91">
        <f>VLOOKUP($A461,'2022-23 Salary &amp; Benefits'!$A:$I,3,FALSE)</f>
        <v>1</v>
      </c>
      <c r="L461" s="91">
        <f>VLOOKUP($A461,'2022-23 Salary &amp; Benefits'!$A:$I,4,FALSE)</f>
        <v>1</v>
      </c>
      <c r="M461" s="101">
        <f t="shared" si="88"/>
        <v>996.82</v>
      </c>
      <c r="N461" s="24">
        <v>15</v>
      </c>
      <c r="O461" s="26">
        <f t="shared" si="91"/>
        <v>66.454666666666668</v>
      </c>
      <c r="P461" s="24">
        <v>1.1000000000000001</v>
      </c>
      <c r="Q461" s="24">
        <v>36</v>
      </c>
      <c r="R461" s="27">
        <f t="shared" si="92"/>
        <v>2631.6048000000005</v>
      </c>
      <c r="S461" s="102">
        <f t="shared" si="94"/>
        <v>2.9239999999999999</v>
      </c>
      <c r="T461" s="21">
        <f>VLOOKUP($A461,'2022-23 Salary &amp; Benefits'!$A:$I,5,FALSE)</f>
        <v>68937</v>
      </c>
      <c r="U461" s="21">
        <f>VLOOKUP($A461,'2022-23 Salary &amp; Benefits'!$A:$I,6,FALSE)</f>
        <v>72728</v>
      </c>
      <c r="V461" s="22">
        <f t="shared" si="95"/>
        <v>201571.79</v>
      </c>
      <c r="W461" s="22">
        <f t="shared" si="96"/>
        <v>11084.880000000005</v>
      </c>
      <c r="X461" s="22">
        <f>'2022-23 Salary &amp; Benefits'!$G$6</f>
        <v>12558.24</v>
      </c>
      <c r="Y461" s="23">
        <f>'2022-23 Salary &amp; Benefits'!$H$6</f>
        <v>0.2298</v>
      </c>
      <c r="Z461" s="23">
        <f>'2022-23 Salary &amp; Benefits'!$I$6</f>
        <v>0.22339999999999999</v>
      </c>
      <c r="AA461" s="22">
        <f t="shared" si="97"/>
        <v>85517.85</v>
      </c>
      <c r="AB461" s="22">
        <f t="shared" si="98"/>
        <v>3544.28</v>
      </c>
      <c r="AC461" s="22">
        <f t="shared" si="99"/>
        <v>791.79</v>
      </c>
      <c r="AD461" s="22">
        <f t="shared" si="89"/>
        <v>4336.07</v>
      </c>
      <c r="AE461" s="22">
        <f t="shared" si="90"/>
        <v>302510.59000000003</v>
      </c>
      <c r="AF461" s="19" t="str">
        <f>VLOOKUP(C461,'2021-22 School Level AAFTE'!C:N,12,FALSE)</f>
        <v>No</v>
      </c>
    </row>
    <row r="462" spans="1:32" s="19" customFormat="1">
      <c r="A462" s="97" t="s">
        <v>2304</v>
      </c>
      <c r="B462" s="97" t="s">
        <v>346</v>
      </c>
      <c r="C462" s="95">
        <v>3659</v>
      </c>
      <c r="D462" s="95" t="s">
        <v>352</v>
      </c>
      <c r="E462" s="129">
        <f>VLOOKUP($C462,'2021-22 School Level AAFTE'!$C:$Z,11,FALSE)</f>
        <v>0.41683333333333339</v>
      </c>
      <c r="F462" s="129" t="str">
        <f>VLOOKUP($C462,'2021-22 School Level AAFTE'!$C:$Z,8,FALSE)</f>
        <v>No</v>
      </c>
      <c r="G462" s="129" t="str">
        <f>VLOOKUP($C462,'2021-22 School Level AAFTE'!$C:$Z,12,FALSE)</f>
        <v>No</v>
      </c>
      <c r="H462" s="127">
        <f>VLOOKUP($C462,'2021-22 School Level AAFTE'!$C:$I,7,FALSE)</f>
        <v>515.23</v>
      </c>
      <c r="I462" s="112">
        <f>IFERROR(IF(OR(G462="yes",F462= "yes"),VLOOKUP(C462,Summary!$B:$J,6,0),0),0)</f>
        <v>0</v>
      </c>
      <c r="J462" s="111">
        <f t="shared" si="93"/>
        <v>0</v>
      </c>
      <c r="K462" s="91">
        <f>VLOOKUP($A462,'2022-23 Salary &amp; Benefits'!$A:$I,3,FALSE)</f>
        <v>1</v>
      </c>
      <c r="L462" s="91">
        <f>VLOOKUP($A462,'2022-23 Salary &amp; Benefits'!$A:$I,4,FALSE)</f>
        <v>1</v>
      </c>
      <c r="M462" s="39">
        <f t="shared" si="88"/>
        <v>0</v>
      </c>
      <c r="N462" s="24">
        <v>15</v>
      </c>
      <c r="O462" s="26">
        <f t="shared" si="91"/>
        <v>0</v>
      </c>
      <c r="P462" s="24">
        <v>1.1000000000000001</v>
      </c>
      <c r="Q462" s="24">
        <v>36</v>
      </c>
      <c r="R462" s="27">
        <f t="shared" si="92"/>
        <v>0</v>
      </c>
      <c r="S462" s="102">
        <f t="shared" si="94"/>
        <v>0</v>
      </c>
      <c r="T462" s="21">
        <f>VLOOKUP($A462,'2022-23 Salary &amp; Benefits'!$A:$I,5,FALSE)</f>
        <v>68937</v>
      </c>
      <c r="U462" s="21">
        <f>VLOOKUP($A462,'2022-23 Salary &amp; Benefits'!$A:$I,6,FALSE)</f>
        <v>72728</v>
      </c>
      <c r="V462" s="22">
        <f t="shared" si="95"/>
        <v>0</v>
      </c>
      <c r="W462" s="22">
        <f t="shared" si="96"/>
        <v>0</v>
      </c>
      <c r="X462" s="22">
        <f>'2022-23 Salary &amp; Benefits'!$G$6</f>
        <v>12558.24</v>
      </c>
      <c r="Y462" s="23">
        <f>'2022-23 Salary &amp; Benefits'!$H$6</f>
        <v>0.2298</v>
      </c>
      <c r="Z462" s="23">
        <f>'2022-23 Salary &amp; Benefits'!$I$6</f>
        <v>0.22339999999999999</v>
      </c>
      <c r="AA462" s="22">
        <f t="shared" si="97"/>
        <v>0</v>
      </c>
      <c r="AB462" s="22">
        <f t="shared" si="98"/>
        <v>0</v>
      </c>
      <c r="AC462" s="22">
        <f t="shared" si="99"/>
        <v>0</v>
      </c>
      <c r="AD462" s="22">
        <f t="shared" si="89"/>
        <v>0</v>
      </c>
      <c r="AE462" s="22">
        <f t="shared" si="90"/>
        <v>0</v>
      </c>
      <c r="AF462" s="19" t="str">
        <f>VLOOKUP(C462,'2021-22 School Level AAFTE'!C:N,12,FALSE)</f>
        <v>No</v>
      </c>
    </row>
    <row r="463" spans="1:32" s="19" customFormat="1">
      <c r="A463" s="56" t="s">
        <v>2304</v>
      </c>
      <c r="B463" s="97" t="s">
        <v>346</v>
      </c>
      <c r="C463" s="95">
        <v>5668</v>
      </c>
      <c r="D463" s="56" t="s">
        <v>3008</v>
      </c>
      <c r="E463" s="129">
        <f>VLOOKUP($C463,'2021-22 School Level AAFTE'!$C:$Z,11,FALSE)</f>
        <v>0.60709999999999997</v>
      </c>
      <c r="F463" s="129" t="str">
        <f>VLOOKUP($C463,'2021-22 School Level AAFTE'!$C:$Z,8,FALSE)</f>
        <v>Yes</v>
      </c>
      <c r="G463" s="129" t="str">
        <f>VLOOKUP($C463,'2021-22 School Level AAFTE'!$C:$Z,12,FALSE)</f>
        <v>No</v>
      </c>
      <c r="H463" s="127">
        <f>VLOOKUP($C463,'2021-22 School Level AAFTE'!$C:$I,7,FALSE)</f>
        <v>62.61</v>
      </c>
      <c r="I463" s="112">
        <f>IFERROR(IF(OR(G463="yes",F463= "yes"),VLOOKUP(C463,Summary!$B:$J,6,0),0),0)</f>
        <v>0</v>
      </c>
      <c r="J463" s="111">
        <f t="shared" si="93"/>
        <v>62.61</v>
      </c>
      <c r="K463" s="91">
        <f>VLOOKUP($A463,'2022-23 Salary &amp; Benefits'!$A:$I,3,FALSE)</f>
        <v>1</v>
      </c>
      <c r="L463" s="91">
        <f>VLOOKUP($A463,'2022-23 Salary &amp; Benefits'!$A:$I,4,FALSE)</f>
        <v>1</v>
      </c>
      <c r="M463" s="39">
        <f t="shared" si="88"/>
        <v>62.61</v>
      </c>
      <c r="N463" s="24">
        <v>15</v>
      </c>
      <c r="O463" s="26">
        <f t="shared" si="91"/>
        <v>4.1740000000000004</v>
      </c>
      <c r="P463" s="24">
        <v>1.1000000000000001</v>
      </c>
      <c r="Q463" s="24">
        <v>36</v>
      </c>
      <c r="R463" s="27">
        <f t="shared" si="92"/>
        <v>165.29040000000003</v>
      </c>
      <c r="S463" s="102">
        <f t="shared" si="94"/>
        <v>0.184</v>
      </c>
      <c r="T463" s="21">
        <f>VLOOKUP($A463,'2022-23 Salary &amp; Benefits'!$A:$I,5,FALSE)</f>
        <v>68937</v>
      </c>
      <c r="U463" s="21">
        <f>VLOOKUP($A463,'2022-23 Salary &amp; Benefits'!$A:$I,6,FALSE)</f>
        <v>72728</v>
      </c>
      <c r="V463" s="22">
        <f t="shared" si="95"/>
        <v>12684.41</v>
      </c>
      <c r="W463" s="22">
        <f t="shared" si="96"/>
        <v>697.54000000000087</v>
      </c>
      <c r="X463" s="22">
        <f>'2022-23 Salary &amp; Benefits'!$G$6</f>
        <v>12558.24</v>
      </c>
      <c r="Y463" s="23">
        <f>'2022-23 Salary &amp; Benefits'!$H$6</f>
        <v>0.2298</v>
      </c>
      <c r="Z463" s="23">
        <f>'2022-23 Salary &amp; Benefits'!$I$6</f>
        <v>0.22339999999999999</v>
      </c>
      <c r="AA463" s="22">
        <f t="shared" si="97"/>
        <v>5381.42</v>
      </c>
      <c r="AB463" s="22">
        <f t="shared" si="98"/>
        <v>223.03</v>
      </c>
      <c r="AC463" s="22">
        <f t="shared" si="99"/>
        <v>49.82</v>
      </c>
      <c r="AD463" s="22">
        <f t="shared" si="89"/>
        <v>272.85000000000002</v>
      </c>
      <c r="AE463" s="22">
        <f t="shared" si="90"/>
        <v>19036.22</v>
      </c>
      <c r="AF463" s="19" t="str">
        <f>VLOOKUP(C463,'2021-22 School Level AAFTE'!C:N,12,FALSE)</f>
        <v>No</v>
      </c>
    </row>
    <row r="464" spans="1:32" s="19" customFormat="1">
      <c r="A464" s="97" t="s">
        <v>2304</v>
      </c>
      <c r="B464" s="97" t="s">
        <v>346</v>
      </c>
      <c r="C464" s="95">
        <v>5700</v>
      </c>
      <c r="D464" s="95" t="s">
        <v>3007</v>
      </c>
      <c r="E464" s="129">
        <f>VLOOKUP($C464,'2021-22 School Level AAFTE'!$C:$Z,11,FALSE)</f>
        <v>0.5726</v>
      </c>
      <c r="F464" s="129" t="str">
        <f>VLOOKUP($C464,'2021-22 School Level AAFTE'!$C:$Z,8,FALSE)</f>
        <v>Yes</v>
      </c>
      <c r="G464" s="129" t="str">
        <f>VLOOKUP($C464,'2021-22 School Level AAFTE'!$C:$Z,12,FALSE)</f>
        <v>No</v>
      </c>
      <c r="H464" s="127">
        <f>VLOOKUP($C464,'2021-22 School Level AAFTE'!$C:$I,7,FALSE)</f>
        <v>579.75</v>
      </c>
      <c r="I464" s="112">
        <f>IFERROR(IF(OR(G464="yes",F464= "yes"),VLOOKUP(C464,Summary!$B:$J,6,0),0),0)</f>
        <v>0</v>
      </c>
      <c r="J464" s="111">
        <f t="shared" si="93"/>
        <v>579.75</v>
      </c>
      <c r="K464" s="91">
        <f>VLOOKUP($A464,'2022-23 Salary &amp; Benefits'!$A:$I,3,FALSE)</f>
        <v>1</v>
      </c>
      <c r="L464" s="91">
        <f>VLOOKUP($A464,'2022-23 Salary &amp; Benefits'!$A:$I,4,FALSE)</f>
        <v>1</v>
      </c>
      <c r="M464" s="39">
        <f t="shared" si="88"/>
        <v>579.75</v>
      </c>
      <c r="N464" s="24">
        <v>15</v>
      </c>
      <c r="O464" s="26">
        <f t="shared" si="91"/>
        <v>38.65</v>
      </c>
      <c r="P464" s="24">
        <v>1.1000000000000001</v>
      </c>
      <c r="Q464" s="24">
        <v>36</v>
      </c>
      <c r="R464" s="27">
        <f t="shared" si="92"/>
        <v>1530.54</v>
      </c>
      <c r="S464" s="102">
        <f t="shared" si="94"/>
        <v>1.7010000000000001</v>
      </c>
      <c r="T464" s="21">
        <f>VLOOKUP($A464,'2022-23 Salary &amp; Benefits'!$A:$I,5,FALSE)</f>
        <v>68937</v>
      </c>
      <c r="U464" s="21">
        <f>VLOOKUP($A464,'2022-23 Salary &amp; Benefits'!$A:$I,6,FALSE)</f>
        <v>72728</v>
      </c>
      <c r="V464" s="22">
        <f t="shared" si="95"/>
        <v>117261.84</v>
      </c>
      <c r="W464" s="22">
        <f t="shared" si="96"/>
        <v>6448.4900000000052</v>
      </c>
      <c r="X464" s="22">
        <f>'2022-23 Salary &amp; Benefits'!$G$6</f>
        <v>12558.24</v>
      </c>
      <c r="Y464" s="23">
        <f>'2022-23 Salary &amp; Benefits'!$H$6</f>
        <v>0.2298</v>
      </c>
      <c r="Z464" s="23">
        <f>'2022-23 Salary &amp; Benefits'!$I$6</f>
        <v>0.22339999999999999</v>
      </c>
      <c r="AA464" s="22">
        <f t="shared" si="97"/>
        <v>49748.93</v>
      </c>
      <c r="AB464" s="22">
        <f t="shared" si="98"/>
        <v>2061.84</v>
      </c>
      <c r="AC464" s="22">
        <f t="shared" si="99"/>
        <v>460.62</v>
      </c>
      <c r="AD464" s="22">
        <f t="shared" si="89"/>
        <v>2522.46</v>
      </c>
      <c r="AE464" s="22">
        <f t="shared" si="90"/>
        <v>175981.72</v>
      </c>
      <c r="AF464" s="19" t="str">
        <f>VLOOKUP(C464,'2021-22 School Level AAFTE'!C:N,12,FALSE)</f>
        <v>No</v>
      </c>
    </row>
    <row r="465" spans="1:32" s="19" customFormat="1">
      <c r="A465" s="97" t="s">
        <v>2304</v>
      </c>
      <c r="B465" s="97" t="s">
        <v>346</v>
      </c>
      <c r="C465" s="95">
        <v>5701</v>
      </c>
      <c r="D465" s="95" t="s">
        <v>3009</v>
      </c>
      <c r="E465" s="129">
        <f>VLOOKUP($C465,'2021-22 School Level AAFTE'!$C:$Z,11,FALSE)</f>
        <v>0.56269999999999998</v>
      </c>
      <c r="F465" s="129" t="str">
        <f>VLOOKUP($C465,'2021-22 School Level AAFTE'!$C:$Z,8,FALSE)</f>
        <v>Yes</v>
      </c>
      <c r="G465" s="129" t="str">
        <f>VLOOKUP($C465,'2021-22 School Level AAFTE'!$C:$Z,12,FALSE)</f>
        <v>No</v>
      </c>
      <c r="H465" s="127">
        <f>VLOOKUP($C465,'2021-22 School Level AAFTE'!$C:$I,7,FALSE)</f>
        <v>721.8</v>
      </c>
      <c r="I465" s="112">
        <f>IFERROR(IF(OR(G465="yes",F465= "yes"),VLOOKUP(C465,Summary!$B:$J,6,0),0),0)</f>
        <v>0</v>
      </c>
      <c r="J465" s="111">
        <f t="shared" si="93"/>
        <v>721.8</v>
      </c>
      <c r="K465" s="91">
        <f>VLOOKUP($A465,'2022-23 Salary &amp; Benefits'!$A:$I,3,FALSE)</f>
        <v>1</v>
      </c>
      <c r="L465" s="91">
        <f>VLOOKUP($A465,'2022-23 Salary &amp; Benefits'!$A:$I,4,FALSE)</f>
        <v>1</v>
      </c>
      <c r="M465" s="39">
        <f t="shared" si="88"/>
        <v>721.8</v>
      </c>
      <c r="N465" s="24">
        <v>15</v>
      </c>
      <c r="O465" s="26">
        <f t="shared" si="91"/>
        <v>48.12</v>
      </c>
      <c r="P465" s="24">
        <v>1.1000000000000001</v>
      </c>
      <c r="Q465" s="24">
        <v>36</v>
      </c>
      <c r="R465" s="27">
        <f t="shared" si="92"/>
        <v>1905.5520000000001</v>
      </c>
      <c r="S465" s="102">
        <f t="shared" si="94"/>
        <v>2.117</v>
      </c>
      <c r="T465" s="21">
        <f>VLOOKUP($A465,'2022-23 Salary &amp; Benefits'!$A:$I,5,FALSE)</f>
        <v>68937</v>
      </c>
      <c r="U465" s="21">
        <f>VLOOKUP($A465,'2022-23 Salary &amp; Benefits'!$A:$I,6,FALSE)</f>
        <v>72728</v>
      </c>
      <c r="V465" s="22">
        <f t="shared" si="95"/>
        <v>145939.63</v>
      </c>
      <c r="W465" s="22">
        <f t="shared" si="96"/>
        <v>8025.5499999999884</v>
      </c>
      <c r="X465" s="22">
        <f>'2022-23 Salary &amp; Benefits'!$G$6</f>
        <v>12558.24</v>
      </c>
      <c r="Y465" s="23">
        <f>'2022-23 Salary &amp; Benefits'!$H$6</f>
        <v>0.2298</v>
      </c>
      <c r="Z465" s="23">
        <f>'2022-23 Salary &amp; Benefits'!$I$6</f>
        <v>0.22339999999999999</v>
      </c>
      <c r="AA465" s="22">
        <f t="shared" si="97"/>
        <v>61915.63</v>
      </c>
      <c r="AB465" s="22">
        <f t="shared" si="98"/>
        <v>2566.09</v>
      </c>
      <c r="AC465" s="22">
        <f t="shared" si="99"/>
        <v>573.26</v>
      </c>
      <c r="AD465" s="22">
        <f t="shared" si="89"/>
        <v>3139.3500000000004</v>
      </c>
      <c r="AE465" s="22">
        <f t="shared" si="90"/>
        <v>219020.16</v>
      </c>
      <c r="AF465" s="19" t="str">
        <f>VLOOKUP(C465,'2021-22 School Level AAFTE'!C:N,12,FALSE)</f>
        <v>No</v>
      </c>
    </row>
    <row r="466" spans="1:32" s="19" customFormat="1">
      <c r="A466" s="97" t="s">
        <v>2378</v>
      </c>
      <c r="B466" s="97" t="s">
        <v>1085</v>
      </c>
      <c r="C466" s="95">
        <v>3554</v>
      </c>
      <c r="D466" s="95" t="s">
        <v>1086</v>
      </c>
      <c r="E466" s="129">
        <f>VLOOKUP($C466,'2021-22 School Level AAFTE'!$C:$Z,11,FALSE)</f>
        <v>0.74500000000000011</v>
      </c>
      <c r="F466" s="129" t="str">
        <f>VLOOKUP($C466,'2021-22 School Level AAFTE'!$C:$Z,8,FALSE)</f>
        <v>Yes</v>
      </c>
      <c r="G466" s="129" t="str">
        <f>VLOOKUP($C466,'2021-22 School Level AAFTE'!$C:$Z,12,FALSE)</f>
        <v>No</v>
      </c>
      <c r="H466" s="127">
        <f>VLOOKUP($C466,'2021-22 School Level AAFTE'!$C:$I,7,FALSE)</f>
        <v>40.24</v>
      </c>
      <c r="I466" s="112">
        <f>IFERROR(IF(OR(G466="yes",F466= "yes"),VLOOKUP(C466,Summary!$B:$J,6,0),0),0)</f>
        <v>0</v>
      </c>
      <c r="J466" s="111">
        <f t="shared" si="93"/>
        <v>40.24</v>
      </c>
      <c r="K466" s="91">
        <f>VLOOKUP($A466,'2022-23 Salary &amp; Benefits'!$A:$I,3,FALSE)</f>
        <v>1</v>
      </c>
      <c r="L466" s="91">
        <f>VLOOKUP($A466,'2022-23 Salary &amp; Benefits'!$A:$I,4,FALSE)</f>
        <v>1</v>
      </c>
      <c r="M466" s="101">
        <f t="shared" si="88"/>
        <v>40.24</v>
      </c>
      <c r="N466" s="24">
        <v>15</v>
      </c>
      <c r="O466" s="26">
        <f t="shared" si="91"/>
        <v>2.682666666666667</v>
      </c>
      <c r="P466" s="24">
        <v>1.1000000000000001</v>
      </c>
      <c r="Q466" s="24">
        <v>36</v>
      </c>
      <c r="R466" s="27">
        <f t="shared" si="92"/>
        <v>106.23360000000002</v>
      </c>
      <c r="S466" s="102">
        <f t="shared" si="94"/>
        <v>0.11799999999999999</v>
      </c>
      <c r="T466" s="21">
        <f>VLOOKUP($A466,'2022-23 Salary &amp; Benefits'!$A:$I,5,FALSE)</f>
        <v>68937</v>
      </c>
      <c r="U466" s="21">
        <f>VLOOKUP($A466,'2022-23 Salary &amp; Benefits'!$A:$I,6,FALSE)</f>
        <v>72728</v>
      </c>
      <c r="V466" s="22">
        <f t="shared" si="95"/>
        <v>8134.57</v>
      </c>
      <c r="W466" s="22">
        <f t="shared" si="96"/>
        <v>447.32999999999993</v>
      </c>
      <c r="X466" s="22">
        <f>'2022-23 Salary &amp; Benefits'!$G$6</f>
        <v>12558.24</v>
      </c>
      <c r="Y466" s="23">
        <f>'2022-23 Salary &amp; Benefits'!$H$6</f>
        <v>0.2298</v>
      </c>
      <c r="Z466" s="23">
        <f>'2022-23 Salary &amp; Benefits'!$I$6</f>
        <v>0.22339999999999999</v>
      </c>
      <c r="AA466" s="22">
        <f t="shared" si="97"/>
        <v>3451.13</v>
      </c>
      <c r="AB466" s="22">
        <f t="shared" si="98"/>
        <v>143.03</v>
      </c>
      <c r="AC466" s="22">
        <f t="shared" si="99"/>
        <v>31.95</v>
      </c>
      <c r="AD466" s="22">
        <f t="shared" si="89"/>
        <v>174.98</v>
      </c>
      <c r="AE466" s="22">
        <f t="shared" si="90"/>
        <v>12208.01</v>
      </c>
      <c r="AF466" s="19" t="str">
        <f>VLOOKUP(C466,'2021-22 School Level AAFTE'!C:N,12,FALSE)</f>
        <v>No</v>
      </c>
    </row>
    <row r="467" spans="1:32" s="19" customFormat="1">
      <c r="A467" s="97" t="s">
        <v>2378</v>
      </c>
      <c r="B467" s="97" t="s">
        <v>1085</v>
      </c>
      <c r="C467" s="95">
        <v>5242</v>
      </c>
      <c r="D467" s="95" t="s">
        <v>2969</v>
      </c>
      <c r="E467" s="129">
        <f>VLOOKUP($C467,'2021-22 School Level AAFTE'!$C:$Z,11,FALSE)</f>
        <v>0</v>
      </c>
      <c r="F467" s="129" t="str">
        <f>VLOOKUP($C467,'2021-22 School Level AAFTE'!$C:$Z,8,FALSE)</f>
        <v>No</v>
      </c>
      <c r="G467" s="129" t="str">
        <f>VLOOKUP($C467,'2021-22 School Level AAFTE'!$C:$Z,12,FALSE)</f>
        <v>No</v>
      </c>
      <c r="H467" s="127">
        <f>VLOOKUP($C467,'2021-22 School Level AAFTE'!$C:$I,7,FALSE)</f>
        <v>44.410000000000004</v>
      </c>
      <c r="I467" s="112">
        <f>IFERROR(IF(OR(G467="yes",F467= "yes"),VLOOKUP(C467,Summary!$B:$J,6,0),0),0)</f>
        <v>0</v>
      </c>
      <c r="J467" s="111">
        <f t="shared" si="93"/>
        <v>0</v>
      </c>
      <c r="K467" s="91">
        <f>VLOOKUP($A467,'2022-23 Salary &amp; Benefits'!$A:$I,3,FALSE)</f>
        <v>1</v>
      </c>
      <c r="L467" s="91">
        <f>VLOOKUP($A467,'2022-23 Salary &amp; Benefits'!$A:$I,4,FALSE)</f>
        <v>1</v>
      </c>
      <c r="M467" s="39">
        <f t="shared" si="88"/>
        <v>0</v>
      </c>
      <c r="N467" s="24">
        <v>15</v>
      </c>
      <c r="O467" s="26">
        <f t="shared" si="91"/>
        <v>0</v>
      </c>
      <c r="P467" s="24">
        <v>1.1000000000000001</v>
      </c>
      <c r="Q467" s="24">
        <v>36</v>
      </c>
      <c r="R467" s="27">
        <f t="shared" si="92"/>
        <v>0</v>
      </c>
      <c r="S467" s="102">
        <f t="shared" si="94"/>
        <v>0</v>
      </c>
      <c r="T467" s="21">
        <f>VLOOKUP($A467,'2022-23 Salary &amp; Benefits'!$A:$I,5,FALSE)</f>
        <v>68937</v>
      </c>
      <c r="U467" s="21">
        <f>VLOOKUP($A467,'2022-23 Salary &amp; Benefits'!$A:$I,6,FALSE)</f>
        <v>72728</v>
      </c>
      <c r="V467" s="22">
        <f t="shared" si="95"/>
        <v>0</v>
      </c>
      <c r="W467" s="22">
        <f t="shared" si="96"/>
        <v>0</v>
      </c>
      <c r="X467" s="22">
        <f>'2022-23 Salary &amp; Benefits'!$G$6</f>
        <v>12558.24</v>
      </c>
      <c r="Y467" s="23">
        <f>'2022-23 Salary &amp; Benefits'!$H$6</f>
        <v>0.2298</v>
      </c>
      <c r="Z467" s="23">
        <f>'2022-23 Salary &amp; Benefits'!$I$6</f>
        <v>0.22339999999999999</v>
      </c>
      <c r="AA467" s="22">
        <f t="shared" si="97"/>
        <v>0</v>
      </c>
      <c r="AB467" s="22">
        <f t="shared" si="98"/>
        <v>0</v>
      </c>
      <c r="AC467" s="22">
        <f t="shared" si="99"/>
        <v>0</v>
      </c>
      <c r="AD467" s="22">
        <f t="shared" si="89"/>
        <v>0</v>
      </c>
      <c r="AE467" s="22">
        <f t="shared" si="90"/>
        <v>0</v>
      </c>
      <c r="AF467" s="19" t="str">
        <f>VLOOKUP(C467,'2021-22 School Level AAFTE'!C:N,12,FALSE)</f>
        <v>No</v>
      </c>
    </row>
    <row r="468" spans="1:32" s="19" customFormat="1">
      <c r="A468" s="97" t="s">
        <v>2450</v>
      </c>
      <c r="B468" s="97" t="s">
        <v>1500</v>
      </c>
      <c r="C468" s="95">
        <v>2205</v>
      </c>
      <c r="D468" s="95" t="s">
        <v>1501</v>
      </c>
      <c r="E468" s="129">
        <f>VLOOKUP($C468,'2021-22 School Level AAFTE'!$C:$Z,11,FALSE)</f>
        <v>0.42736666666666667</v>
      </c>
      <c r="F468" s="129" t="str">
        <f>VLOOKUP($C468,'2021-22 School Level AAFTE'!$C:$Z,8,FALSE)</f>
        <v>No</v>
      </c>
      <c r="G468" s="129" t="str">
        <f>VLOOKUP($C468,'2021-22 School Level AAFTE'!$C:$Z,12,FALSE)</f>
        <v>No</v>
      </c>
      <c r="H468" s="127">
        <f>VLOOKUP($C468,'2021-22 School Level AAFTE'!$C:$I,7,FALSE)</f>
        <v>385.03</v>
      </c>
      <c r="I468" s="112">
        <f>IFERROR(IF(OR(G468="yes",F468= "yes"),VLOOKUP(C468,Summary!$B:$J,6,0),0),0)</f>
        <v>0</v>
      </c>
      <c r="J468" s="111">
        <f t="shared" si="93"/>
        <v>0</v>
      </c>
      <c r="K468" s="91">
        <f>VLOOKUP($A468,'2022-23 Salary &amp; Benefits'!$A:$I,3,FALSE)</f>
        <v>1</v>
      </c>
      <c r="L468" s="91">
        <f>VLOOKUP($A468,'2022-23 Salary &amp; Benefits'!$A:$I,4,FALSE)</f>
        <v>1</v>
      </c>
      <c r="M468" s="101">
        <f t="shared" si="88"/>
        <v>0</v>
      </c>
      <c r="N468" s="24">
        <v>15</v>
      </c>
      <c r="O468" s="26">
        <f t="shared" si="91"/>
        <v>0</v>
      </c>
      <c r="P468" s="24">
        <v>1.1000000000000001</v>
      </c>
      <c r="Q468" s="24">
        <v>36</v>
      </c>
      <c r="R468" s="27">
        <f t="shared" si="92"/>
        <v>0</v>
      </c>
      <c r="S468" s="102">
        <f t="shared" si="94"/>
        <v>0</v>
      </c>
      <c r="T468" s="21">
        <f>VLOOKUP($A468,'2022-23 Salary &amp; Benefits'!$A:$I,5,FALSE)</f>
        <v>68937</v>
      </c>
      <c r="U468" s="21">
        <f>VLOOKUP($A468,'2022-23 Salary &amp; Benefits'!$A:$I,6,FALSE)</f>
        <v>72728</v>
      </c>
      <c r="V468" s="22">
        <f t="shared" si="95"/>
        <v>0</v>
      </c>
      <c r="W468" s="22">
        <f t="shared" si="96"/>
        <v>0</v>
      </c>
      <c r="X468" s="22">
        <f>'2022-23 Salary &amp; Benefits'!$G$6</f>
        <v>12558.24</v>
      </c>
      <c r="Y468" s="23">
        <f>'2022-23 Salary &amp; Benefits'!$H$6</f>
        <v>0.2298</v>
      </c>
      <c r="Z468" s="23">
        <f>'2022-23 Salary &amp; Benefits'!$I$6</f>
        <v>0.22339999999999999</v>
      </c>
      <c r="AA468" s="22">
        <f t="shared" si="97"/>
        <v>0</v>
      </c>
      <c r="AB468" s="22">
        <f t="shared" si="98"/>
        <v>0</v>
      </c>
      <c r="AC468" s="22">
        <f t="shared" si="99"/>
        <v>0</v>
      </c>
      <c r="AD468" s="22">
        <f t="shared" si="89"/>
        <v>0</v>
      </c>
      <c r="AE468" s="22">
        <f t="shared" si="90"/>
        <v>0</v>
      </c>
      <c r="AF468" s="19" t="str">
        <f>VLOOKUP(C468,'2021-22 School Level AAFTE'!C:N,12,FALSE)</f>
        <v>No</v>
      </c>
    </row>
    <row r="469" spans="1:32" s="19" customFormat="1">
      <c r="A469" s="97" t="s">
        <v>2450</v>
      </c>
      <c r="B469" s="97" t="s">
        <v>1500</v>
      </c>
      <c r="C469" s="95">
        <v>2206</v>
      </c>
      <c r="D469" s="95" t="s">
        <v>1502</v>
      </c>
      <c r="E469" s="129">
        <f>VLOOKUP($C469,'2021-22 School Level AAFTE'!$C:$Z,11,FALSE)</f>
        <v>0.34356666666666663</v>
      </c>
      <c r="F469" s="129" t="str">
        <f>VLOOKUP($C469,'2021-22 School Level AAFTE'!$C:$Z,8,FALSE)</f>
        <v>No</v>
      </c>
      <c r="G469" s="129" t="str">
        <f>VLOOKUP($C469,'2021-22 School Level AAFTE'!$C:$Z,12,FALSE)</f>
        <v>No</v>
      </c>
      <c r="H469" s="127">
        <f>VLOOKUP($C469,'2021-22 School Level AAFTE'!$C:$I,7,FALSE)</f>
        <v>564.51</v>
      </c>
      <c r="I469" s="112">
        <f>IFERROR(IF(OR(G469="yes",F469= "yes"),VLOOKUP(C469,Summary!$B:$J,6,0),0),0)</f>
        <v>0</v>
      </c>
      <c r="J469" s="111">
        <f t="shared" si="93"/>
        <v>0</v>
      </c>
      <c r="K469" s="91">
        <f>VLOOKUP($A469,'2022-23 Salary &amp; Benefits'!$A:$I,3,FALSE)</f>
        <v>1</v>
      </c>
      <c r="L469" s="91">
        <f>VLOOKUP($A469,'2022-23 Salary &amp; Benefits'!$A:$I,4,FALSE)</f>
        <v>1</v>
      </c>
      <c r="M469" s="39">
        <f t="shared" si="88"/>
        <v>0</v>
      </c>
      <c r="N469" s="24">
        <v>15</v>
      </c>
      <c r="O469" s="26">
        <f t="shared" si="91"/>
        <v>0</v>
      </c>
      <c r="P469" s="24">
        <v>1.1000000000000001</v>
      </c>
      <c r="Q469" s="24">
        <v>36</v>
      </c>
      <c r="R469" s="27">
        <f t="shared" si="92"/>
        <v>0</v>
      </c>
      <c r="S469" s="102">
        <f t="shared" si="94"/>
        <v>0</v>
      </c>
      <c r="T469" s="21">
        <f>VLOOKUP($A469,'2022-23 Salary &amp; Benefits'!$A:$I,5,FALSE)</f>
        <v>68937</v>
      </c>
      <c r="U469" s="21">
        <f>VLOOKUP($A469,'2022-23 Salary &amp; Benefits'!$A:$I,6,FALSE)</f>
        <v>72728</v>
      </c>
      <c r="V469" s="22">
        <f t="shared" si="95"/>
        <v>0</v>
      </c>
      <c r="W469" s="22">
        <f t="shared" si="96"/>
        <v>0</v>
      </c>
      <c r="X469" s="22">
        <f>'2022-23 Salary &amp; Benefits'!$G$6</f>
        <v>12558.24</v>
      </c>
      <c r="Y469" s="23">
        <f>'2022-23 Salary &amp; Benefits'!$H$6</f>
        <v>0.2298</v>
      </c>
      <c r="Z469" s="23">
        <f>'2022-23 Salary &amp; Benefits'!$I$6</f>
        <v>0.22339999999999999</v>
      </c>
      <c r="AA469" s="22">
        <f t="shared" si="97"/>
        <v>0</v>
      </c>
      <c r="AB469" s="22">
        <f t="shared" si="98"/>
        <v>0</v>
      </c>
      <c r="AC469" s="22">
        <f t="shared" si="99"/>
        <v>0</v>
      </c>
      <c r="AD469" s="22">
        <f t="shared" si="89"/>
        <v>0</v>
      </c>
      <c r="AE469" s="22">
        <f t="shared" si="90"/>
        <v>0</v>
      </c>
      <c r="AF469" s="19" t="str">
        <f>VLOOKUP(C469,'2021-22 School Level AAFTE'!C:N,12,FALSE)</f>
        <v>No</v>
      </c>
    </row>
    <row r="470" spans="1:32" s="19" customFormat="1">
      <c r="A470" s="97" t="s">
        <v>2450</v>
      </c>
      <c r="B470" s="97" t="s">
        <v>1500</v>
      </c>
      <c r="C470" s="95">
        <v>2361</v>
      </c>
      <c r="D470" s="95" t="s">
        <v>1503</v>
      </c>
      <c r="E470" s="129">
        <f>VLOOKUP($C470,'2021-22 School Level AAFTE'!$C:$Z,11,FALSE)</f>
        <v>0.34253333333333336</v>
      </c>
      <c r="F470" s="129" t="str">
        <f>VLOOKUP($C470,'2021-22 School Level AAFTE'!$C:$Z,8,FALSE)</f>
        <v>No</v>
      </c>
      <c r="G470" s="129" t="str">
        <f>VLOOKUP($C470,'2021-22 School Level AAFTE'!$C:$Z,12,FALSE)</f>
        <v>No</v>
      </c>
      <c r="H470" s="127">
        <f>VLOOKUP($C470,'2021-22 School Level AAFTE'!$C:$I,7,FALSE)</f>
        <v>350.07</v>
      </c>
      <c r="I470" s="112">
        <f>IFERROR(IF(OR(G470="yes",F470= "yes"),VLOOKUP(C470,Summary!$B:$J,6,0),0),0)</f>
        <v>0</v>
      </c>
      <c r="J470" s="111">
        <f t="shared" si="93"/>
        <v>0</v>
      </c>
      <c r="K470" s="91">
        <f>VLOOKUP($A470,'2022-23 Salary &amp; Benefits'!$A:$I,3,FALSE)</f>
        <v>1</v>
      </c>
      <c r="L470" s="91">
        <f>VLOOKUP($A470,'2022-23 Salary &amp; Benefits'!$A:$I,4,FALSE)</f>
        <v>1</v>
      </c>
      <c r="M470" s="39">
        <f t="shared" si="88"/>
        <v>0</v>
      </c>
      <c r="N470" s="24">
        <v>15</v>
      </c>
      <c r="O470" s="26">
        <f t="shared" si="91"/>
        <v>0</v>
      </c>
      <c r="P470" s="24">
        <v>1.1000000000000001</v>
      </c>
      <c r="Q470" s="24">
        <v>36</v>
      </c>
      <c r="R470" s="27">
        <f t="shared" si="92"/>
        <v>0</v>
      </c>
      <c r="S470" s="102">
        <f t="shared" si="94"/>
        <v>0</v>
      </c>
      <c r="T470" s="21">
        <f>VLOOKUP($A470,'2022-23 Salary &amp; Benefits'!$A:$I,5,FALSE)</f>
        <v>68937</v>
      </c>
      <c r="U470" s="21">
        <f>VLOOKUP($A470,'2022-23 Salary &amp; Benefits'!$A:$I,6,FALSE)</f>
        <v>72728</v>
      </c>
      <c r="V470" s="22">
        <f t="shared" si="95"/>
        <v>0</v>
      </c>
      <c r="W470" s="22">
        <f t="shared" si="96"/>
        <v>0</v>
      </c>
      <c r="X470" s="22">
        <f>'2022-23 Salary &amp; Benefits'!$G$6</f>
        <v>12558.24</v>
      </c>
      <c r="Y470" s="23">
        <f>'2022-23 Salary &amp; Benefits'!$H$6</f>
        <v>0.2298</v>
      </c>
      <c r="Z470" s="23">
        <f>'2022-23 Salary &amp; Benefits'!$I$6</f>
        <v>0.22339999999999999</v>
      </c>
      <c r="AA470" s="22">
        <f t="shared" si="97"/>
        <v>0</v>
      </c>
      <c r="AB470" s="22">
        <f t="shared" si="98"/>
        <v>0</v>
      </c>
      <c r="AC470" s="22">
        <f t="shared" si="99"/>
        <v>0</v>
      </c>
      <c r="AD470" s="22">
        <f t="shared" si="89"/>
        <v>0</v>
      </c>
      <c r="AE470" s="22">
        <f t="shared" si="90"/>
        <v>0</v>
      </c>
      <c r="AF470" s="19" t="str">
        <f>VLOOKUP(C470,'2021-22 School Level AAFTE'!C:N,12,FALSE)</f>
        <v>No</v>
      </c>
    </row>
    <row r="471" spans="1:32" s="19" customFormat="1">
      <c r="A471" s="97" t="s">
        <v>2450</v>
      </c>
      <c r="B471" s="97" t="s">
        <v>1500</v>
      </c>
      <c r="C471" s="95">
        <v>2808</v>
      </c>
      <c r="D471" s="95" t="s">
        <v>1504</v>
      </c>
      <c r="E471" s="129">
        <f>VLOOKUP($C471,'2021-22 School Level AAFTE'!$C:$Z,11,FALSE)</f>
        <v>0.5416333333333333</v>
      </c>
      <c r="F471" s="129" t="str">
        <f>VLOOKUP($C471,'2021-22 School Level AAFTE'!$C:$Z,8,FALSE)</f>
        <v>Yes</v>
      </c>
      <c r="G471" s="129" t="str">
        <f>VLOOKUP($C471,'2021-22 School Level AAFTE'!$C:$Z,12,FALSE)</f>
        <v>No</v>
      </c>
      <c r="H471" s="127">
        <f>VLOOKUP($C471,'2021-22 School Level AAFTE'!$C:$I,7,FALSE)</f>
        <v>147.71</v>
      </c>
      <c r="I471" s="112">
        <f>IFERROR(IF(OR(G471="yes",F471= "yes"),VLOOKUP(C471,Summary!$B:$J,6,0),0),0)</f>
        <v>0</v>
      </c>
      <c r="J471" s="111">
        <f t="shared" si="93"/>
        <v>147.71</v>
      </c>
      <c r="K471" s="91">
        <f>VLOOKUP($A471,'2022-23 Salary &amp; Benefits'!$A:$I,3,FALSE)</f>
        <v>1</v>
      </c>
      <c r="L471" s="91">
        <f>VLOOKUP($A471,'2022-23 Salary &amp; Benefits'!$A:$I,4,FALSE)</f>
        <v>1</v>
      </c>
      <c r="M471" s="101">
        <f t="shared" si="88"/>
        <v>147.71</v>
      </c>
      <c r="N471" s="24">
        <v>15</v>
      </c>
      <c r="O471" s="26">
        <f t="shared" si="91"/>
        <v>9.8473333333333333</v>
      </c>
      <c r="P471" s="24">
        <v>1.1000000000000001</v>
      </c>
      <c r="Q471" s="24">
        <v>36</v>
      </c>
      <c r="R471" s="27">
        <f t="shared" si="92"/>
        <v>389.95440000000002</v>
      </c>
      <c r="S471" s="102">
        <f t="shared" si="94"/>
        <v>0.433</v>
      </c>
      <c r="T471" s="21">
        <f>VLOOKUP($A471,'2022-23 Salary &amp; Benefits'!$A:$I,5,FALSE)</f>
        <v>68937</v>
      </c>
      <c r="U471" s="21">
        <f>VLOOKUP($A471,'2022-23 Salary &amp; Benefits'!$A:$I,6,FALSE)</f>
        <v>72728</v>
      </c>
      <c r="V471" s="22">
        <f t="shared" si="95"/>
        <v>29849.72</v>
      </c>
      <c r="W471" s="22">
        <f t="shared" si="96"/>
        <v>1641.5</v>
      </c>
      <c r="X471" s="22">
        <f>'2022-23 Salary &amp; Benefits'!$G$6</f>
        <v>12558.24</v>
      </c>
      <c r="Y471" s="23">
        <f>'2022-23 Salary &amp; Benefits'!$H$6</f>
        <v>0.2298</v>
      </c>
      <c r="Z471" s="23">
        <f>'2022-23 Salary &amp; Benefits'!$I$6</f>
        <v>0.22339999999999999</v>
      </c>
      <c r="AA471" s="22">
        <f t="shared" si="97"/>
        <v>12663.89</v>
      </c>
      <c r="AB471" s="22">
        <f t="shared" si="98"/>
        <v>524.85</v>
      </c>
      <c r="AC471" s="22">
        <f t="shared" si="99"/>
        <v>117.25</v>
      </c>
      <c r="AD471" s="22">
        <f t="shared" si="89"/>
        <v>642.1</v>
      </c>
      <c r="AE471" s="22">
        <f t="shared" si="90"/>
        <v>44797.21</v>
      </c>
      <c r="AF471" s="19" t="str">
        <f>VLOOKUP(C471,'2021-22 School Level AAFTE'!C:N,12,FALSE)</f>
        <v>No</v>
      </c>
    </row>
    <row r="472" spans="1:32" s="19" customFormat="1">
      <c r="A472" s="97" t="s">
        <v>2450</v>
      </c>
      <c r="B472" s="97" t="s">
        <v>1500</v>
      </c>
      <c r="C472" s="95">
        <v>4230</v>
      </c>
      <c r="D472" s="95" t="s">
        <v>1505</v>
      </c>
      <c r="E472" s="129">
        <f>VLOOKUP($C472,'2021-22 School Level AAFTE'!$C:$Z,11,FALSE)</f>
        <v>0.40333333333333332</v>
      </c>
      <c r="F472" s="129" t="str">
        <f>VLOOKUP($C472,'2021-22 School Level AAFTE'!$C:$Z,8,FALSE)</f>
        <v>No</v>
      </c>
      <c r="G472" s="129" t="str">
        <f>VLOOKUP($C472,'2021-22 School Level AAFTE'!$C:$Z,12,FALSE)</f>
        <v>No</v>
      </c>
      <c r="H472" s="127">
        <f>VLOOKUP($C472,'2021-22 School Level AAFTE'!$C:$I,7,FALSE)</f>
        <v>390.45</v>
      </c>
      <c r="I472" s="112">
        <f>IFERROR(IF(OR(G472="yes",F472= "yes"),VLOOKUP(C472,Summary!$B:$J,6,0),0),0)</f>
        <v>0</v>
      </c>
      <c r="J472" s="111">
        <f t="shared" si="93"/>
        <v>0</v>
      </c>
      <c r="K472" s="91">
        <f>VLOOKUP($A472,'2022-23 Salary &amp; Benefits'!$A:$I,3,FALSE)</f>
        <v>1</v>
      </c>
      <c r="L472" s="91">
        <f>VLOOKUP($A472,'2022-23 Salary &amp; Benefits'!$A:$I,4,FALSE)</f>
        <v>1</v>
      </c>
      <c r="M472" s="39">
        <f t="shared" si="88"/>
        <v>0</v>
      </c>
      <c r="N472" s="24">
        <v>15</v>
      </c>
      <c r="O472" s="26">
        <f t="shared" si="91"/>
        <v>0</v>
      </c>
      <c r="P472" s="24">
        <v>1.1000000000000001</v>
      </c>
      <c r="Q472" s="24">
        <v>36</v>
      </c>
      <c r="R472" s="27">
        <f t="shared" si="92"/>
        <v>0</v>
      </c>
      <c r="S472" s="102">
        <f t="shared" si="94"/>
        <v>0</v>
      </c>
      <c r="T472" s="21">
        <f>VLOOKUP($A472,'2022-23 Salary &amp; Benefits'!$A:$I,5,FALSE)</f>
        <v>68937</v>
      </c>
      <c r="U472" s="21">
        <f>VLOOKUP($A472,'2022-23 Salary &amp; Benefits'!$A:$I,6,FALSE)</f>
        <v>72728</v>
      </c>
      <c r="V472" s="22">
        <f t="shared" si="95"/>
        <v>0</v>
      </c>
      <c r="W472" s="22">
        <f t="shared" si="96"/>
        <v>0</v>
      </c>
      <c r="X472" s="22">
        <f>'2022-23 Salary &amp; Benefits'!$G$6</f>
        <v>12558.24</v>
      </c>
      <c r="Y472" s="23">
        <f>'2022-23 Salary &amp; Benefits'!$H$6</f>
        <v>0.2298</v>
      </c>
      <c r="Z472" s="23">
        <f>'2022-23 Salary &amp; Benefits'!$I$6</f>
        <v>0.22339999999999999</v>
      </c>
      <c r="AA472" s="22">
        <f t="shared" si="97"/>
        <v>0</v>
      </c>
      <c r="AB472" s="22">
        <f t="shared" si="98"/>
        <v>0</v>
      </c>
      <c r="AC472" s="22">
        <f t="shared" si="99"/>
        <v>0</v>
      </c>
      <c r="AD472" s="22">
        <f t="shared" si="89"/>
        <v>0</v>
      </c>
      <c r="AE472" s="22">
        <f t="shared" si="90"/>
        <v>0</v>
      </c>
      <c r="AF472" s="19" t="str">
        <f>VLOOKUP(C472,'2021-22 School Level AAFTE'!C:N,12,FALSE)</f>
        <v>No</v>
      </c>
    </row>
    <row r="473" spans="1:32" s="19" customFormat="1">
      <c r="A473" s="97" t="s">
        <v>2450</v>
      </c>
      <c r="B473" s="97" t="s">
        <v>1500</v>
      </c>
      <c r="C473" s="95">
        <v>5300</v>
      </c>
      <c r="D473" s="95" t="s">
        <v>1506</v>
      </c>
      <c r="E473" s="129">
        <f>VLOOKUP($C473,'2021-22 School Level AAFTE'!$C:$Z,11,FALSE)</f>
        <v>0.43853333333333328</v>
      </c>
      <c r="F473" s="129" t="str">
        <f>VLOOKUP($C473,'2021-22 School Level AAFTE'!$C:$Z,8,FALSE)</f>
        <v>No</v>
      </c>
      <c r="G473" s="129" t="str">
        <f>VLOOKUP($C473,'2021-22 School Level AAFTE'!$C:$Z,12,FALSE)</f>
        <v>No</v>
      </c>
      <c r="H473" s="127">
        <f>VLOOKUP($C473,'2021-22 School Level AAFTE'!$C:$I,7,FALSE)</f>
        <v>21.14</v>
      </c>
      <c r="I473" s="112">
        <f>IFERROR(IF(OR(G473="yes",F473= "yes"),VLOOKUP(C473,Summary!$B:$J,6,0),0),0)</f>
        <v>0</v>
      </c>
      <c r="J473" s="111">
        <f t="shared" si="93"/>
        <v>0</v>
      </c>
      <c r="K473" s="91">
        <f>VLOOKUP($A473,'2022-23 Salary &amp; Benefits'!$A:$I,3,FALSE)</f>
        <v>1</v>
      </c>
      <c r="L473" s="91">
        <f>VLOOKUP($A473,'2022-23 Salary &amp; Benefits'!$A:$I,4,FALSE)</f>
        <v>1</v>
      </c>
      <c r="M473" s="101">
        <f t="shared" si="88"/>
        <v>0</v>
      </c>
      <c r="N473" s="24">
        <v>15</v>
      </c>
      <c r="O473" s="26">
        <f t="shared" si="91"/>
        <v>0</v>
      </c>
      <c r="P473" s="24">
        <v>1.1000000000000001</v>
      </c>
      <c r="Q473" s="24">
        <v>36</v>
      </c>
      <c r="R473" s="27">
        <f t="shared" si="92"/>
        <v>0</v>
      </c>
      <c r="S473" s="102">
        <f t="shared" si="94"/>
        <v>0</v>
      </c>
      <c r="T473" s="21">
        <f>VLOOKUP($A473,'2022-23 Salary &amp; Benefits'!$A:$I,5,FALSE)</f>
        <v>68937</v>
      </c>
      <c r="U473" s="21">
        <f>VLOOKUP($A473,'2022-23 Salary &amp; Benefits'!$A:$I,6,FALSE)</f>
        <v>72728</v>
      </c>
      <c r="V473" s="22">
        <f t="shared" si="95"/>
        <v>0</v>
      </c>
      <c r="W473" s="22">
        <f t="shared" si="96"/>
        <v>0</v>
      </c>
      <c r="X473" s="22">
        <f>'2022-23 Salary &amp; Benefits'!$G$6</f>
        <v>12558.24</v>
      </c>
      <c r="Y473" s="23">
        <f>'2022-23 Salary &amp; Benefits'!$H$6</f>
        <v>0.2298</v>
      </c>
      <c r="Z473" s="23">
        <f>'2022-23 Salary &amp; Benefits'!$I$6</f>
        <v>0.22339999999999999</v>
      </c>
      <c r="AA473" s="22">
        <f t="shared" si="97"/>
        <v>0</v>
      </c>
      <c r="AB473" s="22">
        <f t="shared" si="98"/>
        <v>0</v>
      </c>
      <c r="AC473" s="22">
        <f t="shared" si="99"/>
        <v>0</v>
      </c>
      <c r="AD473" s="22">
        <f t="shared" si="89"/>
        <v>0</v>
      </c>
      <c r="AE473" s="22">
        <f t="shared" si="90"/>
        <v>0</v>
      </c>
      <c r="AF473" s="19" t="str">
        <f>VLOOKUP(C473,'2021-22 School Level AAFTE'!C:N,12,FALSE)</f>
        <v>No</v>
      </c>
    </row>
    <row r="474" spans="1:32" s="19" customFormat="1">
      <c r="A474" s="97" t="s">
        <v>2450</v>
      </c>
      <c r="B474" s="97" t="s">
        <v>1500</v>
      </c>
      <c r="C474" s="95">
        <v>5332</v>
      </c>
      <c r="D474" s="95" t="s">
        <v>1507</v>
      </c>
      <c r="E474" s="129">
        <f>VLOOKUP($C474,'2021-22 School Level AAFTE'!$C:$Z,11,FALSE)</f>
        <v>0.69503333333333328</v>
      </c>
      <c r="F474" s="129" t="str">
        <f>VLOOKUP($C474,'2021-22 School Level AAFTE'!$C:$Z,8,FALSE)</f>
        <v>Yes</v>
      </c>
      <c r="G474" s="129" t="str">
        <f>VLOOKUP($C474,'2021-22 School Level AAFTE'!$C:$Z,12,FALSE)</f>
        <v>No</v>
      </c>
      <c r="H474" s="127">
        <f>VLOOKUP($C474,'2021-22 School Level AAFTE'!$C:$I,7,FALSE)</f>
        <v>23.86</v>
      </c>
      <c r="I474" s="112">
        <f>IFERROR(IF(OR(G474="yes",F474= "yes"),VLOOKUP(C474,Summary!$B:$J,6,0),0),0)</f>
        <v>0</v>
      </c>
      <c r="J474" s="111">
        <f t="shared" si="93"/>
        <v>23.86</v>
      </c>
      <c r="K474" s="91">
        <f>VLOOKUP($A474,'2022-23 Salary &amp; Benefits'!$A:$I,3,FALSE)</f>
        <v>1</v>
      </c>
      <c r="L474" s="91">
        <f>VLOOKUP($A474,'2022-23 Salary &amp; Benefits'!$A:$I,4,FALSE)</f>
        <v>1</v>
      </c>
      <c r="M474" s="39">
        <f t="shared" si="88"/>
        <v>23.86</v>
      </c>
      <c r="N474" s="24">
        <v>15</v>
      </c>
      <c r="O474" s="26">
        <f t="shared" si="91"/>
        <v>1.5906666666666667</v>
      </c>
      <c r="P474" s="24">
        <v>1.1000000000000001</v>
      </c>
      <c r="Q474" s="24">
        <v>36</v>
      </c>
      <c r="R474" s="27">
        <f t="shared" si="92"/>
        <v>62.990400000000008</v>
      </c>
      <c r="S474" s="102">
        <f t="shared" si="94"/>
        <v>7.0000000000000007E-2</v>
      </c>
      <c r="T474" s="21">
        <f>VLOOKUP($A474,'2022-23 Salary &amp; Benefits'!$A:$I,5,FALSE)</f>
        <v>68937</v>
      </c>
      <c r="U474" s="21">
        <f>VLOOKUP($A474,'2022-23 Salary &amp; Benefits'!$A:$I,6,FALSE)</f>
        <v>72728</v>
      </c>
      <c r="V474" s="22">
        <f t="shared" si="95"/>
        <v>4825.59</v>
      </c>
      <c r="W474" s="22">
        <f t="shared" si="96"/>
        <v>265.36999999999989</v>
      </c>
      <c r="X474" s="22">
        <f>'2022-23 Salary &amp; Benefits'!$G$6</f>
        <v>12558.24</v>
      </c>
      <c r="Y474" s="23">
        <f>'2022-23 Salary &amp; Benefits'!$H$6</f>
        <v>0.2298</v>
      </c>
      <c r="Z474" s="23">
        <f>'2022-23 Salary &amp; Benefits'!$I$6</f>
        <v>0.22339999999999999</v>
      </c>
      <c r="AA474" s="22">
        <f t="shared" si="97"/>
        <v>2047.28</v>
      </c>
      <c r="AB474" s="22">
        <f t="shared" si="98"/>
        <v>84.85</v>
      </c>
      <c r="AC474" s="22">
        <f t="shared" si="99"/>
        <v>18.96</v>
      </c>
      <c r="AD474" s="22">
        <f t="shared" si="89"/>
        <v>103.81</v>
      </c>
      <c r="AE474" s="22">
        <f t="shared" si="90"/>
        <v>7242.05</v>
      </c>
      <c r="AF474" s="19" t="str">
        <f>VLOOKUP(C474,'2021-22 School Level AAFTE'!C:N,12,FALSE)</f>
        <v>No</v>
      </c>
    </row>
    <row r="475" spans="1:32" s="19" customFormat="1">
      <c r="A475" s="97" t="s">
        <v>2450</v>
      </c>
      <c r="B475" s="97" t="s">
        <v>1500</v>
      </c>
      <c r="C475" s="95">
        <v>5531</v>
      </c>
      <c r="D475" s="95" t="s">
        <v>2800</v>
      </c>
      <c r="E475" s="129">
        <f>VLOOKUP($C475,'2021-22 School Level AAFTE'!$C:$Z,11,FALSE)</f>
        <v>0.5819333333333333</v>
      </c>
      <c r="F475" s="129" t="str">
        <f>VLOOKUP($C475,'2021-22 School Level AAFTE'!$C:$Z,8,FALSE)</f>
        <v>Yes</v>
      </c>
      <c r="G475" s="129" t="str">
        <f>VLOOKUP($C475,'2021-22 School Level AAFTE'!$C:$Z,12,FALSE)</f>
        <v>No</v>
      </c>
      <c r="H475" s="127">
        <f>VLOOKUP($C475,'2021-22 School Level AAFTE'!$C:$I,7,FALSE)</f>
        <v>16.649999999999999</v>
      </c>
      <c r="I475" s="112">
        <f>IFERROR(IF(OR(G475="yes",F475= "yes"),VLOOKUP(C475,Summary!$B:$J,6,0),0),0)</f>
        <v>0</v>
      </c>
      <c r="J475" s="111">
        <f t="shared" si="93"/>
        <v>16.649999999999999</v>
      </c>
      <c r="K475" s="91">
        <f>VLOOKUP($A475,'2022-23 Salary &amp; Benefits'!$A:$I,3,FALSE)</f>
        <v>1</v>
      </c>
      <c r="L475" s="91">
        <f>VLOOKUP($A475,'2022-23 Salary &amp; Benefits'!$A:$I,4,FALSE)</f>
        <v>1</v>
      </c>
      <c r="M475" s="39">
        <f t="shared" si="88"/>
        <v>16.649999999999999</v>
      </c>
      <c r="N475" s="24">
        <v>15</v>
      </c>
      <c r="O475" s="26">
        <f t="shared" si="91"/>
        <v>1.1099999999999999</v>
      </c>
      <c r="P475" s="24">
        <v>1.1000000000000001</v>
      </c>
      <c r="Q475" s="24">
        <v>36</v>
      </c>
      <c r="R475" s="27">
        <f t="shared" si="92"/>
        <v>43.955999999999996</v>
      </c>
      <c r="S475" s="102">
        <f t="shared" si="94"/>
        <v>4.9000000000000002E-2</v>
      </c>
      <c r="T475" s="21">
        <f>VLOOKUP($A475,'2022-23 Salary &amp; Benefits'!$A:$I,5,FALSE)</f>
        <v>68937</v>
      </c>
      <c r="U475" s="21">
        <f>VLOOKUP($A475,'2022-23 Salary &amp; Benefits'!$A:$I,6,FALSE)</f>
        <v>72728</v>
      </c>
      <c r="V475" s="22">
        <f t="shared" si="95"/>
        <v>3377.91</v>
      </c>
      <c r="W475" s="22">
        <f t="shared" si="96"/>
        <v>185.76000000000022</v>
      </c>
      <c r="X475" s="22">
        <f>'2022-23 Salary &amp; Benefits'!$G$6</f>
        <v>12558.24</v>
      </c>
      <c r="Y475" s="23">
        <f>'2022-23 Salary &amp; Benefits'!$H$6</f>
        <v>0.2298</v>
      </c>
      <c r="Z475" s="23">
        <f>'2022-23 Salary &amp; Benefits'!$I$6</f>
        <v>0.22339999999999999</v>
      </c>
      <c r="AA475" s="22">
        <f t="shared" si="97"/>
        <v>1433.1</v>
      </c>
      <c r="AB475" s="22">
        <f t="shared" si="98"/>
        <v>59.39</v>
      </c>
      <c r="AC475" s="22">
        <f t="shared" si="99"/>
        <v>13.27</v>
      </c>
      <c r="AD475" s="22">
        <f t="shared" si="89"/>
        <v>72.66</v>
      </c>
      <c r="AE475" s="22">
        <f t="shared" si="90"/>
        <v>5069.43</v>
      </c>
      <c r="AF475" s="19" t="str">
        <f>VLOOKUP(C475,'2021-22 School Level AAFTE'!C:N,12,FALSE)</f>
        <v>No</v>
      </c>
    </row>
    <row r="476" spans="1:32" s="19" customFormat="1">
      <c r="A476" s="97" t="s">
        <v>2475</v>
      </c>
      <c r="B476" s="97" t="s">
        <v>1645</v>
      </c>
      <c r="C476" s="95">
        <v>1519</v>
      </c>
      <c r="D476" s="95" t="s">
        <v>1646</v>
      </c>
      <c r="E476" s="129">
        <f>VLOOKUP($C476,'2021-22 School Level AAFTE'!$C:$Z,11,FALSE)</f>
        <v>0.42843333333333328</v>
      </c>
      <c r="F476" s="129" t="str">
        <f>VLOOKUP($C476,'2021-22 School Level AAFTE'!$C:$Z,8,FALSE)</f>
        <v>No</v>
      </c>
      <c r="G476" s="129" t="str">
        <f>VLOOKUP($C476,'2021-22 School Level AAFTE'!$C:$Z,12,FALSE)</f>
        <v>No</v>
      </c>
      <c r="H476" s="127">
        <f>VLOOKUP($C476,'2021-22 School Level AAFTE'!$C:$I,7,FALSE)</f>
        <v>421</v>
      </c>
      <c r="I476" s="112">
        <f>IFERROR(IF(OR(G476="yes",F476= "yes"),VLOOKUP(C476,Summary!$B:$J,6,0),0),0)</f>
        <v>0</v>
      </c>
      <c r="J476" s="111">
        <f t="shared" si="93"/>
        <v>0</v>
      </c>
      <c r="K476" s="91">
        <f>VLOOKUP($A476,'2022-23 Salary &amp; Benefits'!$A:$I,3,FALSE)</f>
        <v>1.18</v>
      </c>
      <c r="L476" s="91">
        <f>VLOOKUP($A476,'2022-23 Salary &amp; Benefits'!$A:$I,4,FALSE)</f>
        <v>1.18</v>
      </c>
      <c r="M476" s="39">
        <f t="shared" si="88"/>
        <v>0</v>
      </c>
      <c r="N476" s="24">
        <v>15</v>
      </c>
      <c r="O476" s="26">
        <f t="shared" si="91"/>
        <v>0</v>
      </c>
      <c r="P476" s="24">
        <v>1.1000000000000001</v>
      </c>
      <c r="Q476" s="24">
        <v>36</v>
      </c>
      <c r="R476" s="27">
        <f t="shared" si="92"/>
        <v>0</v>
      </c>
      <c r="S476" s="102">
        <f t="shared" si="94"/>
        <v>0</v>
      </c>
      <c r="T476" s="21">
        <f>VLOOKUP($A476,'2022-23 Salary &amp; Benefits'!$A:$I,5,FALSE)</f>
        <v>68937</v>
      </c>
      <c r="U476" s="21">
        <f>VLOOKUP($A476,'2022-23 Salary &amp; Benefits'!$A:$I,6,FALSE)</f>
        <v>72728</v>
      </c>
      <c r="V476" s="22">
        <f t="shared" si="95"/>
        <v>0</v>
      </c>
      <c r="W476" s="22">
        <f t="shared" si="96"/>
        <v>0</v>
      </c>
      <c r="X476" s="22">
        <f>'2022-23 Salary &amp; Benefits'!$G$6</f>
        <v>12558.24</v>
      </c>
      <c r="Y476" s="23">
        <f>'2022-23 Salary &amp; Benefits'!$H$6</f>
        <v>0.2298</v>
      </c>
      <c r="Z476" s="23">
        <f>'2022-23 Salary &amp; Benefits'!$I$6</f>
        <v>0.22339999999999999</v>
      </c>
      <c r="AA476" s="22">
        <f t="shared" si="97"/>
        <v>0</v>
      </c>
      <c r="AB476" s="22">
        <f t="shared" si="98"/>
        <v>0</v>
      </c>
      <c r="AC476" s="22">
        <f t="shared" si="99"/>
        <v>0</v>
      </c>
      <c r="AD476" s="22">
        <f t="shared" si="89"/>
        <v>0</v>
      </c>
      <c r="AE476" s="22">
        <f t="shared" si="90"/>
        <v>0</v>
      </c>
      <c r="AF476" s="19" t="str">
        <f>VLOOKUP(C476,'2021-22 School Level AAFTE'!C:N,12,FALSE)</f>
        <v>No</v>
      </c>
    </row>
    <row r="477" spans="1:32" s="19" customFormat="1">
      <c r="A477" s="97" t="s">
        <v>2475</v>
      </c>
      <c r="B477" s="97" t="s">
        <v>1645</v>
      </c>
      <c r="C477" s="95">
        <v>1520</v>
      </c>
      <c r="D477" s="95" t="s">
        <v>1647</v>
      </c>
      <c r="E477" s="129">
        <f>VLOOKUP($C477,'2021-22 School Level AAFTE'!$C:$Z,11,FALSE)</f>
        <v>8.9966666666666681E-2</v>
      </c>
      <c r="F477" s="129" t="str">
        <f>VLOOKUP($C477,'2021-22 School Level AAFTE'!$C:$Z,8,FALSE)</f>
        <v>No</v>
      </c>
      <c r="G477" s="129" t="str">
        <f>VLOOKUP($C477,'2021-22 School Level AAFTE'!$C:$Z,12,FALSE)</f>
        <v>No</v>
      </c>
      <c r="H477" s="127">
        <f>VLOOKUP($C477,'2021-22 School Level AAFTE'!$C:$I,7,FALSE)</f>
        <v>350.86</v>
      </c>
      <c r="I477" s="112">
        <f>IFERROR(IF(OR(G477="yes",F477= "yes"),VLOOKUP(C477,Summary!$B:$J,6,0),0),0)</f>
        <v>0</v>
      </c>
      <c r="J477" s="111">
        <f t="shared" si="93"/>
        <v>0</v>
      </c>
      <c r="K477" s="91">
        <f>VLOOKUP($A477,'2022-23 Salary &amp; Benefits'!$A:$I,3,FALSE)</f>
        <v>1.18</v>
      </c>
      <c r="L477" s="91">
        <f>VLOOKUP($A477,'2022-23 Salary &amp; Benefits'!$A:$I,4,FALSE)</f>
        <v>1.18</v>
      </c>
      <c r="M477" s="39">
        <f t="shared" si="88"/>
        <v>0</v>
      </c>
      <c r="N477" s="24">
        <v>15</v>
      </c>
      <c r="O477" s="26">
        <f t="shared" si="91"/>
        <v>0</v>
      </c>
      <c r="P477" s="24">
        <v>1.1000000000000001</v>
      </c>
      <c r="Q477" s="24">
        <v>36</v>
      </c>
      <c r="R477" s="27">
        <f t="shared" si="92"/>
        <v>0</v>
      </c>
      <c r="S477" s="102">
        <f t="shared" si="94"/>
        <v>0</v>
      </c>
      <c r="T477" s="21">
        <f>VLOOKUP($A477,'2022-23 Salary &amp; Benefits'!$A:$I,5,FALSE)</f>
        <v>68937</v>
      </c>
      <c r="U477" s="21">
        <f>VLOOKUP($A477,'2022-23 Salary &amp; Benefits'!$A:$I,6,FALSE)</f>
        <v>72728</v>
      </c>
      <c r="V477" s="22">
        <f t="shared" si="95"/>
        <v>0</v>
      </c>
      <c r="W477" s="22">
        <f t="shared" si="96"/>
        <v>0</v>
      </c>
      <c r="X477" s="22">
        <f>'2022-23 Salary &amp; Benefits'!$G$6</f>
        <v>12558.24</v>
      </c>
      <c r="Y477" s="23">
        <f>'2022-23 Salary &amp; Benefits'!$H$6</f>
        <v>0.2298</v>
      </c>
      <c r="Z477" s="23">
        <f>'2022-23 Salary &amp; Benefits'!$I$6</f>
        <v>0.22339999999999999</v>
      </c>
      <c r="AA477" s="22">
        <f t="shared" si="97"/>
        <v>0</v>
      </c>
      <c r="AB477" s="22">
        <f t="shared" si="98"/>
        <v>0</v>
      </c>
      <c r="AC477" s="22">
        <f t="shared" si="99"/>
        <v>0</v>
      </c>
      <c r="AD477" s="22">
        <f t="shared" si="89"/>
        <v>0</v>
      </c>
      <c r="AE477" s="22">
        <f t="shared" si="90"/>
        <v>0</v>
      </c>
      <c r="AF477" s="19" t="str">
        <f>VLOOKUP(C477,'2021-22 School Level AAFTE'!C:N,12,FALSE)</f>
        <v>No</v>
      </c>
    </row>
    <row r="478" spans="1:32" s="19" customFormat="1">
      <c r="A478" s="97" t="s">
        <v>2475</v>
      </c>
      <c r="B478" s="97" t="s">
        <v>1645</v>
      </c>
      <c r="C478" s="95">
        <v>1558</v>
      </c>
      <c r="D478" s="95" t="s">
        <v>1648</v>
      </c>
      <c r="E478" s="129">
        <f>VLOOKUP($C478,'2021-22 School Level AAFTE'!$C:$Z,11,FALSE)</f>
        <v>8.8899999999999993E-2</v>
      </c>
      <c r="F478" s="129" t="str">
        <f>VLOOKUP($C478,'2021-22 School Level AAFTE'!$C:$Z,8,FALSE)</f>
        <v>No</v>
      </c>
      <c r="G478" s="129" t="str">
        <f>VLOOKUP($C478,'2021-22 School Level AAFTE'!$C:$Z,12,FALSE)</f>
        <v>No</v>
      </c>
      <c r="H478" s="127">
        <f>VLOOKUP($C478,'2021-22 School Level AAFTE'!$C:$I,7,FALSE)</f>
        <v>0.94</v>
      </c>
      <c r="I478" s="112">
        <f>IFERROR(IF(OR(G478="yes",F478= "yes"),VLOOKUP(C478,Summary!$B:$J,6,0),0),0)</f>
        <v>0</v>
      </c>
      <c r="J478" s="111">
        <f t="shared" si="93"/>
        <v>0</v>
      </c>
      <c r="K478" s="91">
        <f>VLOOKUP($A478,'2022-23 Salary &amp; Benefits'!$A:$I,3,FALSE)</f>
        <v>1.18</v>
      </c>
      <c r="L478" s="91">
        <f>VLOOKUP($A478,'2022-23 Salary &amp; Benefits'!$A:$I,4,FALSE)</f>
        <v>1.18</v>
      </c>
      <c r="M478" s="39">
        <f t="shared" si="88"/>
        <v>0</v>
      </c>
      <c r="N478" s="24">
        <v>15</v>
      </c>
      <c r="O478" s="26">
        <f t="shared" si="91"/>
        <v>0</v>
      </c>
      <c r="P478" s="24">
        <v>1.1000000000000001</v>
      </c>
      <c r="Q478" s="24">
        <v>36</v>
      </c>
      <c r="R478" s="27">
        <f t="shared" si="92"/>
        <v>0</v>
      </c>
      <c r="S478" s="102">
        <f t="shared" si="94"/>
        <v>0</v>
      </c>
      <c r="T478" s="21">
        <f>VLOOKUP($A478,'2022-23 Salary &amp; Benefits'!$A:$I,5,FALSE)</f>
        <v>68937</v>
      </c>
      <c r="U478" s="21">
        <f>VLOOKUP($A478,'2022-23 Salary &amp; Benefits'!$A:$I,6,FALSE)</f>
        <v>72728</v>
      </c>
      <c r="V478" s="22">
        <f t="shared" si="95"/>
        <v>0</v>
      </c>
      <c r="W478" s="22">
        <f t="shared" si="96"/>
        <v>0</v>
      </c>
      <c r="X478" s="22">
        <f>'2022-23 Salary &amp; Benefits'!$G$6</f>
        <v>12558.24</v>
      </c>
      <c r="Y478" s="23">
        <f>'2022-23 Salary &amp; Benefits'!$H$6</f>
        <v>0.2298</v>
      </c>
      <c r="Z478" s="23">
        <f>'2022-23 Salary &amp; Benefits'!$I$6</f>
        <v>0.22339999999999999</v>
      </c>
      <c r="AA478" s="22">
        <f t="shared" si="97"/>
        <v>0</v>
      </c>
      <c r="AB478" s="22">
        <f t="shared" si="98"/>
        <v>0</v>
      </c>
      <c r="AC478" s="22">
        <f t="shared" si="99"/>
        <v>0</v>
      </c>
      <c r="AD478" s="22">
        <f t="shared" si="89"/>
        <v>0</v>
      </c>
      <c r="AE478" s="22">
        <f t="shared" si="90"/>
        <v>0</v>
      </c>
      <c r="AF478" s="19" t="str">
        <f>VLOOKUP(C478,'2021-22 School Level AAFTE'!C:N,12,FALSE)</f>
        <v>No</v>
      </c>
    </row>
    <row r="479" spans="1:32" s="19" customFormat="1">
      <c r="A479" s="97" t="s">
        <v>2475</v>
      </c>
      <c r="B479" s="97" t="s">
        <v>1645</v>
      </c>
      <c r="C479" s="95">
        <v>1685</v>
      </c>
      <c r="D479" s="95" t="s">
        <v>1649</v>
      </c>
      <c r="E479" s="129">
        <f>VLOOKUP($C479,'2021-22 School Level AAFTE'!$C:$Z,11,FALSE)</f>
        <v>0.10726666666666666</v>
      </c>
      <c r="F479" s="129" t="str">
        <f>VLOOKUP($C479,'2021-22 School Level AAFTE'!$C:$Z,8,FALSE)</f>
        <v>No</v>
      </c>
      <c r="G479" s="129" t="str">
        <f>VLOOKUP($C479,'2021-22 School Level AAFTE'!$C:$Z,12,FALSE)</f>
        <v>No</v>
      </c>
      <c r="H479" s="127">
        <f>VLOOKUP($C479,'2021-22 School Level AAFTE'!$C:$I,7,FALSE)</f>
        <v>442.8</v>
      </c>
      <c r="I479" s="112">
        <f>IFERROR(IF(OR(G479="yes",F479= "yes"),VLOOKUP(C479,Summary!$B:$J,6,0),0),0)</f>
        <v>0</v>
      </c>
      <c r="J479" s="111">
        <f t="shared" si="93"/>
        <v>0</v>
      </c>
      <c r="K479" s="91">
        <f>VLOOKUP($A479,'2022-23 Salary &amp; Benefits'!$A:$I,3,FALSE)</f>
        <v>1.18</v>
      </c>
      <c r="L479" s="91">
        <f>VLOOKUP($A479,'2022-23 Salary &amp; Benefits'!$A:$I,4,FALSE)</f>
        <v>1.18</v>
      </c>
      <c r="M479" s="101">
        <f t="shared" si="88"/>
        <v>0</v>
      </c>
      <c r="N479" s="24">
        <v>15</v>
      </c>
      <c r="O479" s="26">
        <f t="shared" si="91"/>
        <v>0</v>
      </c>
      <c r="P479" s="24">
        <v>1.1000000000000001</v>
      </c>
      <c r="Q479" s="24">
        <v>36</v>
      </c>
      <c r="R479" s="27">
        <f t="shared" si="92"/>
        <v>0</v>
      </c>
      <c r="S479" s="102">
        <f t="shared" si="94"/>
        <v>0</v>
      </c>
      <c r="T479" s="21">
        <f>VLOOKUP($A479,'2022-23 Salary &amp; Benefits'!$A:$I,5,FALSE)</f>
        <v>68937</v>
      </c>
      <c r="U479" s="21">
        <f>VLOOKUP($A479,'2022-23 Salary &amp; Benefits'!$A:$I,6,FALSE)</f>
        <v>72728</v>
      </c>
      <c r="V479" s="22">
        <f t="shared" si="95"/>
        <v>0</v>
      </c>
      <c r="W479" s="22">
        <f t="shared" si="96"/>
        <v>0</v>
      </c>
      <c r="X479" s="22">
        <f>'2022-23 Salary &amp; Benefits'!$G$6</f>
        <v>12558.24</v>
      </c>
      <c r="Y479" s="23">
        <f>'2022-23 Salary &amp; Benefits'!$H$6</f>
        <v>0.2298</v>
      </c>
      <c r="Z479" s="23">
        <f>'2022-23 Salary &amp; Benefits'!$I$6</f>
        <v>0.22339999999999999</v>
      </c>
      <c r="AA479" s="22">
        <f t="shared" si="97"/>
        <v>0</v>
      </c>
      <c r="AB479" s="22">
        <f t="shared" si="98"/>
        <v>0</v>
      </c>
      <c r="AC479" s="22">
        <f t="shared" si="99"/>
        <v>0</v>
      </c>
      <c r="AD479" s="22">
        <f t="shared" si="89"/>
        <v>0</v>
      </c>
      <c r="AE479" s="22">
        <f t="shared" si="90"/>
        <v>0</v>
      </c>
      <c r="AF479" s="19" t="str">
        <f>VLOOKUP(C479,'2021-22 School Level AAFTE'!C:N,12,FALSE)</f>
        <v>No</v>
      </c>
    </row>
    <row r="480" spans="1:32" s="19" customFormat="1">
      <c r="A480" s="97" t="s">
        <v>2475</v>
      </c>
      <c r="B480" s="97" t="s">
        <v>1645</v>
      </c>
      <c r="C480" s="95">
        <v>1830</v>
      </c>
      <c r="D480" s="95" t="s">
        <v>1650</v>
      </c>
      <c r="E480" s="129">
        <f>VLOOKUP($C480,'2021-22 School Level AAFTE'!$C:$Z,11,FALSE)</f>
        <v>0.32856666666666667</v>
      </c>
      <c r="F480" s="129" t="str">
        <f>VLOOKUP($C480,'2021-22 School Level AAFTE'!$C:$Z,8,FALSE)</f>
        <v>No</v>
      </c>
      <c r="G480" s="129" t="str">
        <f>VLOOKUP($C480,'2021-22 School Level AAFTE'!$C:$Z,12,FALSE)</f>
        <v>No</v>
      </c>
      <c r="H480" s="127">
        <f>VLOOKUP($C480,'2021-22 School Level AAFTE'!$C:$I,7,FALSE)</f>
        <v>8.2100000000000009</v>
      </c>
      <c r="I480" s="112">
        <f>IFERROR(IF(OR(G480="yes",F480= "yes"),VLOOKUP(C480,Summary!$B:$J,6,0),0),0)</f>
        <v>0</v>
      </c>
      <c r="J480" s="111">
        <f t="shared" si="93"/>
        <v>0</v>
      </c>
      <c r="K480" s="91">
        <f>VLOOKUP($A480,'2022-23 Salary &amp; Benefits'!$A:$I,3,FALSE)</f>
        <v>1.18</v>
      </c>
      <c r="L480" s="91">
        <f>VLOOKUP($A480,'2022-23 Salary &amp; Benefits'!$A:$I,4,FALSE)</f>
        <v>1.18</v>
      </c>
      <c r="M480" s="101">
        <f t="shared" ref="M480" si="100">IF(I480&gt;0,I480,J480)</f>
        <v>0</v>
      </c>
      <c r="N480" s="24">
        <v>15</v>
      </c>
      <c r="O480" s="26">
        <f t="shared" si="91"/>
        <v>0</v>
      </c>
      <c r="P480" s="24">
        <v>1.1000000000000001</v>
      </c>
      <c r="Q480" s="24">
        <v>36</v>
      </c>
      <c r="R480" s="27">
        <f t="shared" si="92"/>
        <v>0</v>
      </c>
      <c r="S480" s="102">
        <f t="shared" si="94"/>
        <v>0</v>
      </c>
      <c r="T480" s="21">
        <f>VLOOKUP($A480,'2022-23 Salary &amp; Benefits'!$A:$I,5,FALSE)</f>
        <v>68937</v>
      </c>
      <c r="U480" s="21">
        <f>VLOOKUP($A480,'2022-23 Salary &amp; Benefits'!$A:$I,6,FALSE)</f>
        <v>72728</v>
      </c>
      <c r="V480" s="22">
        <f t="shared" si="95"/>
        <v>0</v>
      </c>
      <c r="W480" s="22">
        <f t="shared" si="96"/>
        <v>0</v>
      </c>
      <c r="X480" s="22">
        <f>'2022-23 Salary &amp; Benefits'!$G$6</f>
        <v>12558.24</v>
      </c>
      <c r="Y480" s="23">
        <f>'2022-23 Salary &amp; Benefits'!$H$6</f>
        <v>0.2298</v>
      </c>
      <c r="Z480" s="23">
        <f>'2022-23 Salary &amp; Benefits'!$I$6</f>
        <v>0.22339999999999999</v>
      </c>
      <c r="AA480" s="22">
        <f t="shared" si="97"/>
        <v>0</v>
      </c>
      <c r="AB480" s="22">
        <f t="shared" si="98"/>
        <v>0</v>
      </c>
      <c r="AC480" s="22">
        <f t="shared" si="99"/>
        <v>0</v>
      </c>
      <c r="AD480" s="22">
        <f t="shared" ref="AD480" si="101">SUM(AB480:AC480)</f>
        <v>0</v>
      </c>
      <c r="AE480" s="22">
        <f t="shared" ref="AE480" si="102">SUM(AA480,V480:W480,AD480)</f>
        <v>0</v>
      </c>
      <c r="AF480" s="19" t="str">
        <f>VLOOKUP(C480,'2021-22 School Level AAFTE'!C:N,12,FALSE)</f>
        <v>No</v>
      </c>
    </row>
    <row r="481" spans="1:284" s="19" customFormat="1">
      <c r="A481" s="97" t="s">
        <v>2475</v>
      </c>
      <c r="B481" s="97" t="s">
        <v>1645</v>
      </c>
      <c r="C481" s="95">
        <v>1966</v>
      </c>
      <c r="D481" s="95" t="s">
        <v>1651</v>
      </c>
      <c r="E481" s="129">
        <f>VLOOKUP($C481,'2021-22 School Level AAFTE'!$C:$Z,11,FALSE)</f>
        <v>0.19223333333333334</v>
      </c>
      <c r="F481" s="129" t="str">
        <f>VLOOKUP($C481,'2021-22 School Level AAFTE'!$C:$Z,8,FALSE)</f>
        <v>No</v>
      </c>
      <c r="G481" s="129" t="str">
        <f>VLOOKUP($C481,'2021-22 School Level AAFTE'!$C:$Z,12,FALSE)</f>
        <v>No</v>
      </c>
      <c r="H481" s="127">
        <f>VLOOKUP($C481,'2021-22 School Level AAFTE'!$C:$I,7,FALSE)</f>
        <v>548.28</v>
      </c>
      <c r="I481" s="112">
        <f>IFERROR(IF(OR(G481="yes",F481= "yes"),VLOOKUP(C481,Summary!$B:$J,6,0),0),0)</f>
        <v>0</v>
      </c>
      <c r="J481" s="111">
        <f t="shared" si="93"/>
        <v>0</v>
      </c>
      <c r="K481" s="91">
        <f>VLOOKUP($A481,'2022-23 Salary &amp; Benefits'!$A:$I,3,FALSE)</f>
        <v>1.18</v>
      </c>
      <c r="L481" s="91">
        <f>VLOOKUP($A481,'2022-23 Salary &amp; Benefits'!$A:$I,4,FALSE)</f>
        <v>1.18</v>
      </c>
      <c r="M481" s="101">
        <f t="shared" si="88"/>
        <v>0</v>
      </c>
      <c r="N481" s="24">
        <v>15</v>
      </c>
      <c r="O481" s="26">
        <f t="shared" si="91"/>
        <v>0</v>
      </c>
      <c r="P481" s="24">
        <v>1.1000000000000001</v>
      </c>
      <c r="Q481" s="24">
        <v>36</v>
      </c>
      <c r="R481" s="27">
        <f t="shared" si="92"/>
        <v>0</v>
      </c>
      <c r="S481" s="102">
        <f t="shared" si="94"/>
        <v>0</v>
      </c>
      <c r="T481" s="21">
        <f>VLOOKUP($A481,'2022-23 Salary &amp; Benefits'!$A:$I,5,FALSE)</f>
        <v>68937</v>
      </c>
      <c r="U481" s="21">
        <f>VLOOKUP($A481,'2022-23 Salary &amp; Benefits'!$A:$I,6,FALSE)</f>
        <v>72728</v>
      </c>
      <c r="V481" s="22">
        <f t="shared" si="95"/>
        <v>0</v>
      </c>
      <c r="W481" s="22">
        <f t="shared" si="96"/>
        <v>0</v>
      </c>
      <c r="X481" s="22">
        <f>'2022-23 Salary &amp; Benefits'!$G$6</f>
        <v>12558.24</v>
      </c>
      <c r="Y481" s="23">
        <f>'2022-23 Salary &amp; Benefits'!$H$6</f>
        <v>0.2298</v>
      </c>
      <c r="Z481" s="23">
        <f>'2022-23 Salary &amp; Benefits'!$I$6</f>
        <v>0.22339999999999999</v>
      </c>
      <c r="AA481" s="22">
        <f t="shared" si="97"/>
        <v>0</v>
      </c>
      <c r="AB481" s="22">
        <f t="shared" si="98"/>
        <v>0</v>
      </c>
      <c r="AC481" s="22">
        <f t="shared" si="99"/>
        <v>0</v>
      </c>
      <c r="AD481" s="22">
        <f t="shared" si="89"/>
        <v>0</v>
      </c>
      <c r="AE481" s="22">
        <f t="shared" si="90"/>
        <v>0</v>
      </c>
      <c r="AF481" s="19" t="str">
        <f>VLOOKUP(C481,'2021-22 School Level AAFTE'!C:N,12,FALSE)</f>
        <v>No</v>
      </c>
    </row>
    <row r="482" spans="1:284" s="19" customFormat="1">
      <c r="A482" s="97" t="s">
        <v>2475</v>
      </c>
      <c r="B482" s="97" t="s">
        <v>1645</v>
      </c>
      <c r="C482" s="95">
        <v>2887</v>
      </c>
      <c r="D482" s="95" t="s">
        <v>1652</v>
      </c>
      <c r="E482" s="129">
        <f>VLOOKUP($C482,'2021-22 School Level AAFTE'!$C:$Z,11,FALSE)</f>
        <v>0.41946666666666665</v>
      </c>
      <c r="F482" s="129" t="str">
        <f>VLOOKUP($C482,'2021-22 School Level AAFTE'!$C:$Z,8,FALSE)</f>
        <v>No</v>
      </c>
      <c r="G482" s="129" t="str">
        <f>VLOOKUP($C482,'2021-22 School Level AAFTE'!$C:$Z,12,FALSE)</f>
        <v>No</v>
      </c>
      <c r="H482" s="127">
        <f>VLOOKUP($C482,'2021-22 School Level AAFTE'!$C:$I,7,FALSE)</f>
        <v>390.88</v>
      </c>
      <c r="I482" s="112">
        <f>IFERROR(IF(OR(G482="yes",F482= "yes"),VLOOKUP(C482,Summary!$B:$J,6,0),0),0)</f>
        <v>0</v>
      </c>
      <c r="J482" s="111">
        <f t="shared" si="93"/>
        <v>0</v>
      </c>
      <c r="K482" s="91">
        <f>VLOOKUP($A482,'2022-23 Salary &amp; Benefits'!$A:$I,3,FALSE)</f>
        <v>1.18</v>
      </c>
      <c r="L482" s="91">
        <f>VLOOKUP($A482,'2022-23 Salary &amp; Benefits'!$A:$I,4,FALSE)</f>
        <v>1.18</v>
      </c>
      <c r="M482" s="39">
        <f t="shared" si="88"/>
        <v>0</v>
      </c>
      <c r="N482" s="24">
        <v>15</v>
      </c>
      <c r="O482" s="26">
        <f t="shared" si="91"/>
        <v>0</v>
      </c>
      <c r="P482" s="24">
        <v>1.1000000000000001</v>
      </c>
      <c r="Q482" s="24">
        <v>36</v>
      </c>
      <c r="R482" s="27">
        <f t="shared" si="92"/>
        <v>0</v>
      </c>
      <c r="S482" s="102">
        <f t="shared" si="94"/>
        <v>0</v>
      </c>
      <c r="T482" s="21">
        <f>VLOOKUP($A482,'2022-23 Salary &amp; Benefits'!$A:$I,5,FALSE)</f>
        <v>68937</v>
      </c>
      <c r="U482" s="21">
        <f>VLOOKUP($A482,'2022-23 Salary &amp; Benefits'!$A:$I,6,FALSE)</f>
        <v>72728</v>
      </c>
      <c r="V482" s="22">
        <f t="shared" si="95"/>
        <v>0</v>
      </c>
      <c r="W482" s="22">
        <f t="shared" si="96"/>
        <v>0</v>
      </c>
      <c r="X482" s="22">
        <f>'2022-23 Salary &amp; Benefits'!$G$6</f>
        <v>12558.24</v>
      </c>
      <c r="Y482" s="23">
        <f>'2022-23 Salary &amp; Benefits'!$H$6</f>
        <v>0.2298</v>
      </c>
      <c r="Z482" s="23">
        <f>'2022-23 Salary &amp; Benefits'!$I$6</f>
        <v>0.22339999999999999</v>
      </c>
      <c r="AA482" s="22">
        <f t="shared" si="97"/>
        <v>0</v>
      </c>
      <c r="AB482" s="22">
        <f t="shared" si="98"/>
        <v>0</v>
      </c>
      <c r="AC482" s="22">
        <f t="shared" si="99"/>
        <v>0</v>
      </c>
      <c r="AD482" s="22">
        <f t="shared" si="89"/>
        <v>0</v>
      </c>
      <c r="AE482" s="22">
        <f t="shared" si="90"/>
        <v>0</v>
      </c>
      <c r="AF482" s="19" t="str">
        <f>VLOOKUP(C482,'2021-22 School Level AAFTE'!C:N,12,FALSE)</f>
        <v>No</v>
      </c>
    </row>
    <row r="483" spans="1:284" s="19" customFormat="1">
      <c r="A483" s="97" t="s">
        <v>2475</v>
      </c>
      <c r="B483" s="97" t="s">
        <v>1645</v>
      </c>
      <c r="C483" s="95">
        <v>2888</v>
      </c>
      <c r="D483" s="95" t="s">
        <v>1653</v>
      </c>
      <c r="E483" s="129">
        <f>VLOOKUP($C483,'2021-22 School Level AAFTE'!$C:$Z,11,FALSE)</f>
        <v>0.25390000000000001</v>
      </c>
      <c r="F483" s="129" t="str">
        <f>VLOOKUP($C483,'2021-22 School Level AAFTE'!$C:$Z,8,FALSE)</f>
        <v>No</v>
      </c>
      <c r="G483" s="129" t="str">
        <f>VLOOKUP($C483,'2021-22 School Level AAFTE'!$C:$Z,12,FALSE)</f>
        <v>No</v>
      </c>
      <c r="H483" s="127">
        <f>VLOOKUP($C483,'2021-22 School Level AAFTE'!$C:$I,7,FALSE)</f>
        <v>258.86</v>
      </c>
      <c r="I483" s="112">
        <f>IFERROR(IF(OR(G483="yes",F483= "yes"),VLOOKUP(C483,Summary!$B:$J,6,0),0),0)</f>
        <v>0</v>
      </c>
      <c r="J483" s="111">
        <f t="shared" si="93"/>
        <v>0</v>
      </c>
      <c r="K483" s="91">
        <f>VLOOKUP($A483,'2022-23 Salary &amp; Benefits'!$A:$I,3,FALSE)</f>
        <v>1.18</v>
      </c>
      <c r="L483" s="91">
        <f>VLOOKUP($A483,'2022-23 Salary &amp; Benefits'!$A:$I,4,FALSE)</f>
        <v>1.18</v>
      </c>
      <c r="M483" s="101">
        <f t="shared" si="88"/>
        <v>0</v>
      </c>
      <c r="N483" s="24">
        <v>15</v>
      </c>
      <c r="O483" s="26">
        <f t="shared" si="91"/>
        <v>0</v>
      </c>
      <c r="P483" s="24">
        <v>1.1000000000000001</v>
      </c>
      <c r="Q483" s="24">
        <v>36</v>
      </c>
      <c r="R483" s="27">
        <f t="shared" si="92"/>
        <v>0</v>
      </c>
      <c r="S483" s="102">
        <f t="shared" si="94"/>
        <v>0</v>
      </c>
      <c r="T483" s="21">
        <f>VLOOKUP($A483,'2022-23 Salary &amp; Benefits'!$A:$I,5,FALSE)</f>
        <v>68937</v>
      </c>
      <c r="U483" s="21">
        <f>VLOOKUP($A483,'2022-23 Salary &amp; Benefits'!$A:$I,6,FALSE)</f>
        <v>72728</v>
      </c>
      <c r="V483" s="22">
        <f t="shared" si="95"/>
        <v>0</v>
      </c>
      <c r="W483" s="22">
        <f t="shared" si="96"/>
        <v>0</v>
      </c>
      <c r="X483" s="22">
        <f>'2022-23 Salary &amp; Benefits'!$G$6</f>
        <v>12558.24</v>
      </c>
      <c r="Y483" s="23">
        <f>'2022-23 Salary &amp; Benefits'!$H$6</f>
        <v>0.2298</v>
      </c>
      <c r="Z483" s="23">
        <f>'2022-23 Salary &amp; Benefits'!$I$6</f>
        <v>0.22339999999999999</v>
      </c>
      <c r="AA483" s="22">
        <f t="shared" si="97"/>
        <v>0</v>
      </c>
      <c r="AB483" s="22">
        <f t="shared" si="98"/>
        <v>0</v>
      </c>
      <c r="AC483" s="22">
        <f t="shared" si="99"/>
        <v>0</v>
      </c>
      <c r="AD483" s="22">
        <f t="shared" si="89"/>
        <v>0</v>
      </c>
      <c r="AE483" s="22">
        <f t="shared" si="90"/>
        <v>0</v>
      </c>
      <c r="AF483" s="19" t="str">
        <f>VLOOKUP(C483,'2021-22 School Level AAFTE'!C:N,12,FALSE)</f>
        <v>No</v>
      </c>
    </row>
    <row r="484" spans="1:284" s="19" customFormat="1">
      <c r="A484" s="97" t="s">
        <v>2475</v>
      </c>
      <c r="B484" s="97" t="s">
        <v>1645</v>
      </c>
      <c r="C484" s="95">
        <v>3122</v>
      </c>
      <c r="D484" s="95" t="s">
        <v>1654</v>
      </c>
      <c r="E484" s="129">
        <f>VLOOKUP($C484,'2021-22 School Level AAFTE'!$C:$Z,11,FALSE)</f>
        <v>0.4047</v>
      </c>
      <c r="F484" s="129" t="str">
        <f>VLOOKUP($C484,'2021-22 School Level AAFTE'!$C:$Z,8,FALSE)</f>
        <v>No</v>
      </c>
      <c r="G484" s="129" t="str">
        <f>VLOOKUP($C484,'2021-22 School Level AAFTE'!$C:$Z,12,FALSE)</f>
        <v>No</v>
      </c>
      <c r="H484" s="127">
        <f>VLOOKUP($C484,'2021-22 School Level AAFTE'!$C:$I,7,FALSE)</f>
        <v>380.86</v>
      </c>
      <c r="I484" s="112">
        <f>IFERROR(IF(OR(G484="yes",F484= "yes"),VLOOKUP(C484,Summary!$B:$J,6,0),0),0)</f>
        <v>0</v>
      </c>
      <c r="J484" s="111">
        <f t="shared" si="93"/>
        <v>0</v>
      </c>
      <c r="K484" s="91">
        <f>VLOOKUP($A484,'2022-23 Salary &amp; Benefits'!$A:$I,3,FALSE)</f>
        <v>1.18</v>
      </c>
      <c r="L484" s="91">
        <f>VLOOKUP($A484,'2022-23 Salary &amp; Benefits'!$A:$I,4,FALSE)</f>
        <v>1.18</v>
      </c>
      <c r="M484" s="101">
        <f t="shared" si="88"/>
        <v>0</v>
      </c>
      <c r="N484" s="24">
        <v>15</v>
      </c>
      <c r="O484" s="26">
        <f t="shared" si="91"/>
        <v>0</v>
      </c>
      <c r="P484" s="24">
        <v>1.1000000000000001</v>
      </c>
      <c r="Q484" s="24">
        <v>36</v>
      </c>
      <c r="R484" s="27">
        <f t="shared" si="92"/>
        <v>0</v>
      </c>
      <c r="S484" s="102">
        <f t="shared" si="94"/>
        <v>0</v>
      </c>
      <c r="T484" s="21">
        <f>VLOOKUP($A484,'2022-23 Salary &amp; Benefits'!$A:$I,5,FALSE)</f>
        <v>68937</v>
      </c>
      <c r="U484" s="21">
        <f>VLOOKUP($A484,'2022-23 Salary &amp; Benefits'!$A:$I,6,FALSE)</f>
        <v>72728</v>
      </c>
      <c r="V484" s="22">
        <f t="shared" si="95"/>
        <v>0</v>
      </c>
      <c r="W484" s="22">
        <f t="shared" si="96"/>
        <v>0</v>
      </c>
      <c r="X484" s="22">
        <f>'2022-23 Salary &amp; Benefits'!$G$6</f>
        <v>12558.24</v>
      </c>
      <c r="Y484" s="23">
        <f>'2022-23 Salary &amp; Benefits'!$H$6</f>
        <v>0.2298</v>
      </c>
      <c r="Z484" s="23">
        <f>'2022-23 Salary &amp; Benefits'!$I$6</f>
        <v>0.22339999999999999</v>
      </c>
      <c r="AA484" s="22">
        <f t="shared" si="97"/>
        <v>0</v>
      </c>
      <c r="AB484" s="22">
        <f t="shared" si="98"/>
        <v>0</v>
      </c>
      <c r="AC484" s="22">
        <f t="shared" si="99"/>
        <v>0</v>
      </c>
      <c r="AD484" s="22">
        <f t="shared" si="89"/>
        <v>0</v>
      </c>
      <c r="AE484" s="22">
        <f t="shared" si="90"/>
        <v>0</v>
      </c>
      <c r="AF484" s="19" t="str">
        <f>VLOOKUP(C484,'2021-22 School Level AAFTE'!C:N,12,FALSE)</f>
        <v>No</v>
      </c>
    </row>
    <row r="485" spans="1:284" s="19" customFormat="1">
      <c r="A485" s="97" t="s">
        <v>2475</v>
      </c>
      <c r="B485" s="97" t="s">
        <v>1645</v>
      </c>
      <c r="C485" s="95">
        <v>3123</v>
      </c>
      <c r="D485" s="95" t="s">
        <v>1655</v>
      </c>
      <c r="E485" s="129">
        <f>VLOOKUP($C485,'2021-22 School Level AAFTE'!$C:$Z,11,FALSE)</f>
        <v>0.29470000000000002</v>
      </c>
      <c r="F485" s="129" t="str">
        <f>VLOOKUP($C485,'2021-22 School Level AAFTE'!$C:$Z,8,FALSE)</f>
        <v>No</v>
      </c>
      <c r="G485" s="129" t="str">
        <f>VLOOKUP($C485,'2021-22 School Level AAFTE'!$C:$Z,12,FALSE)</f>
        <v>No</v>
      </c>
      <c r="H485" s="127">
        <f>VLOOKUP($C485,'2021-22 School Level AAFTE'!$C:$I,7,FALSE)</f>
        <v>1468.44</v>
      </c>
      <c r="I485" s="112">
        <f>IFERROR(IF(OR(G485="yes",F485= "yes"),VLOOKUP(C485,Summary!$B:$J,6,0),0),0)</f>
        <v>0</v>
      </c>
      <c r="J485" s="111">
        <f t="shared" si="93"/>
        <v>0</v>
      </c>
      <c r="K485" s="91">
        <f>VLOOKUP($A485,'2022-23 Salary &amp; Benefits'!$A:$I,3,FALSE)</f>
        <v>1.18</v>
      </c>
      <c r="L485" s="91">
        <f>VLOOKUP($A485,'2022-23 Salary &amp; Benefits'!$A:$I,4,FALSE)</f>
        <v>1.18</v>
      </c>
      <c r="M485" s="101">
        <f t="shared" si="88"/>
        <v>0</v>
      </c>
      <c r="N485" s="24">
        <v>15</v>
      </c>
      <c r="O485" s="26">
        <f t="shared" si="91"/>
        <v>0</v>
      </c>
      <c r="P485" s="24">
        <v>1.1000000000000001</v>
      </c>
      <c r="Q485" s="24">
        <v>36</v>
      </c>
      <c r="R485" s="27">
        <f t="shared" si="92"/>
        <v>0</v>
      </c>
      <c r="S485" s="102">
        <f t="shared" si="94"/>
        <v>0</v>
      </c>
      <c r="T485" s="21">
        <f>VLOOKUP($A485,'2022-23 Salary &amp; Benefits'!$A:$I,5,FALSE)</f>
        <v>68937</v>
      </c>
      <c r="U485" s="21">
        <f>VLOOKUP($A485,'2022-23 Salary &amp; Benefits'!$A:$I,6,FALSE)</f>
        <v>72728</v>
      </c>
      <c r="V485" s="22">
        <f t="shared" si="95"/>
        <v>0</v>
      </c>
      <c r="W485" s="22">
        <f t="shared" si="96"/>
        <v>0</v>
      </c>
      <c r="X485" s="22">
        <f>'2022-23 Salary &amp; Benefits'!$G$6</f>
        <v>12558.24</v>
      </c>
      <c r="Y485" s="23">
        <f>'2022-23 Salary &amp; Benefits'!$H$6</f>
        <v>0.2298</v>
      </c>
      <c r="Z485" s="23">
        <f>'2022-23 Salary &amp; Benefits'!$I$6</f>
        <v>0.22339999999999999</v>
      </c>
      <c r="AA485" s="22">
        <f t="shared" si="97"/>
        <v>0</v>
      </c>
      <c r="AB485" s="22">
        <f t="shared" si="98"/>
        <v>0</v>
      </c>
      <c r="AC485" s="22">
        <f t="shared" si="99"/>
        <v>0</v>
      </c>
      <c r="AD485" s="22">
        <f t="shared" si="89"/>
        <v>0</v>
      </c>
      <c r="AE485" s="22">
        <f t="shared" si="90"/>
        <v>0</v>
      </c>
      <c r="AF485" s="19" t="str">
        <f>VLOOKUP(C485,'2021-22 School Level AAFTE'!C:N,12,FALSE)</f>
        <v>No</v>
      </c>
    </row>
    <row r="486" spans="1:284" s="19" customFormat="1">
      <c r="A486" s="97" t="s">
        <v>2475</v>
      </c>
      <c r="B486" s="97" t="s">
        <v>1645</v>
      </c>
      <c r="C486" s="95">
        <v>3186</v>
      </c>
      <c r="D486" s="95" t="s">
        <v>1656</v>
      </c>
      <c r="E486" s="129">
        <f>VLOOKUP($C486,'2021-22 School Level AAFTE'!$C:$Z,11,FALSE)</f>
        <v>0.3007333333333333</v>
      </c>
      <c r="F486" s="129" t="str">
        <f>VLOOKUP($C486,'2021-22 School Level AAFTE'!$C:$Z,8,FALSE)</f>
        <v>No</v>
      </c>
      <c r="G486" s="129" t="str">
        <f>VLOOKUP($C486,'2021-22 School Level AAFTE'!$C:$Z,12,FALSE)</f>
        <v>No</v>
      </c>
      <c r="H486" s="127">
        <f>VLOOKUP($C486,'2021-22 School Level AAFTE'!$C:$I,7,FALSE)</f>
        <v>414.43</v>
      </c>
      <c r="I486" s="112">
        <f>IFERROR(IF(OR(G486="yes",F486= "yes"),VLOOKUP(C486,Summary!$B:$J,6,0),0),0)</f>
        <v>0</v>
      </c>
      <c r="J486" s="111">
        <f t="shared" si="93"/>
        <v>0</v>
      </c>
      <c r="K486" s="91">
        <f>VLOOKUP($A486,'2022-23 Salary &amp; Benefits'!$A:$I,3,FALSE)</f>
        <v>1.18</v>
      </c>
      <c r="L486" s="91">
        <f>VLOOKUP($A486,'2022-23 Salary &amp; Benefits'!$A:$I,4,FALSE)</f>
        <v>1.18</v>
      </c>
      <c r="M486" s="39">
        <f t="shared" si="88"/>
        <v>0</v>
      </c>
      <c r="N486" s="24">
        <v>15</v>
      </c>
      <c r="O486" s="26">
        <f t="shared" si="91"/>
        <v>0</v>
      </c>
      <c r="P486" s="24">
        <v>1.1000000000000001</v>
      </c>
      <c r="Q486" s="24">
        <v>36</v>
      </c>
      <c r="R486" s="27">
        <f t="shared" si="92"/>
        <v>0</v>
      </c>
      <c r="S486" s="102">
        <f t="shared" si="94"/>
        <v>0</v>
      </c>
      <c r="T486" s="21">
        <f>VLOOKUP($A486,'2022-23 Salary &amp; Benefits'!$A:$I,5,FALSE)</f>
        <v>68937</v>
      </c>
      <c r="U486" s="21">
        <f>VLOOKUP($A486,'2022-23 Salary &amp; Benefits'!$A:$I,6,FALSE)</f>
        <v>72728</v>
      </c>
      <c r="V486" s="22">
        <f t="shared" si="95"/>
        <v>0</v>
      </c>
      <c r="W486" s="22">
        <f t="shared" si="96"/>
        <v>0</v>
      </c>
      <c r="X486" s="22">
        <f>'2022-23 Salary &amp; Benefits'!$G$6</f>
        <v>12558.24</v>
      </c>
      <c r="Y486" s="23">
        <f>'2022-23 Salary &amp; Benefits'!$H$6</f>
        <v>0.2298</v>
      </c>
      <c r="Z486" s="23">
        <f>'2022-23 Salary &amp; Benefits'!$I$6</f>
        <v>0.22339999999999999</v>
      </c>
      <c r="AA486" s="22">
        <f t="shared" si="97"/>
        <v>0</v>
      </c>
      <c r="AB486" s="22">
        <f t="shared" si="98"/>
        <v>0</v>
      </c>
      <c r="AC486" s="22">
        <f t="shared" si="99"/>
        <v>0</v>
      </c>
      <c r="AD486" s="22">
        <f t="shared" si="89"/>
        <v>0</v>
      </c>
      <c r="AE486" s="22">
        <f t="shared" si="90"/>
        <v>0</v>
      </c>
      <c r="AF486" s="19" t="str">
        <f>VLOOKUP(C486,'2021-22 School Level AAFTE'!C:N,12,FALSE)</f>
        <v>No</v>
      </c>
    </row>
    <row r="487" spans="1:284" s="19" customFormat="1">
      <c r="A487" s="97" t="s">
        <v>2475</v>
      </c>
      <c r="B487" s="97" t="s">
        <v>1645</v>
      </c>
      <c r="C487" s="95">
        <v>3254</v>
      </c>
      <c r="D487" s="95" t="s">
        <v>1657</v>
      </c>
      <c r="E487" s="129">
        <f>VLOOKUP($C487,'2021-22 School Level AAFTE'!$C:$Z,11,FALSE)</f>
        <v>0.51023333333333332</v>
      </c>
      <c r="F487" s="129" t="str">
        <f>VLOOKUP($C487,'2021-22 School Level AAFTE'!$C:$Z,8,FALSE)</f>
        <v>Yes</v>
      </c>
      <c r="G487" s="129" t="str">
        <f>VLOOKUP($C487,'2021-22 School Level AAFTE'!$C:$Z,12,FALSE)</f>
        <v>No</v>
      </c>
      <c r="H487" s="127">
        <f>VLOOKUP($C487,'2021-22 School Level AAFTE'!$C:$I,7,FALSE)</f>
        <v>418.15</v>
      </c>
      <c r="I487" s="112">
        <f>IFERROR(IF(OR(G487="yes",F487= "yes"),VLOOKUP(C487,Summary!$B:$J,6,0),0),0)</f>
        <v>0</v>
      </c>
      <c r="J487" s="111">
        <f t="shared" si="93"/>
        <v>418.15</v>
      </c>
      <c r="K487" s="91">
        <f>VLOOKUP($A487,'2022-23 Salary &amp; Benefits'!$A:$I,3,FALSE)</f>
        <v>1.18</v>
      </c>
      <c r="L487" s="91">
        <f>VLOOKUP($A487,'2022-23 Salary &amp; Benefits'!$A:$I,4,FALSE)</f>
        <v>1.18</v>
      </c>
      <c r="M487" s="101">
        <f t="shared" si="88"/>
        <v>418.15</v>
      </c>
      <c r="N487" s="24">
        <v>15</v>
      </c>
      <c r="O487" s="26">
        <f t="shared" si="91"/>
        <v>27.876666666666665</v>
      </c>
      <c r="P487" s="24">
        <v>1.1000000000000001</v>
      </c>
      <c r="Q487" s="24">
        <v>36</v>
      </c>
      <c r="R487" s="27">
        <f t="shared" si="92"/>
        <v>1103.9160000000002</v>
      </c>
      <c r="S487" s="102">
        <f t="shared" si="94"/>
        <v>1.2270000000000001</v>
      </c>
      <c r="T487" s="21">
        <f>VLOOKUP($A487,'2022-23 Salary &amp; Benefits'!$A:$I,5,FALSE)</f>
        <v>68937</v>
      </c>
      <c r="U487" s="21">
        <f>VLOOKUP($A487,'2022-23 Salary &amp; Benefits'!$A:$I,6,FALSE)</f>
        <v>72728</v>
      </c>
      <c r="V487" s="22">
        <f t="shared" si="95"/>
        <v>99811.12</v>
      </c>
      <c r="W487" s="22">
        <f t="shared" si="96"/>
        <v>5488.8400000000111</v>
      </c>
      <c r="X487" s="22">
        <f>'2022-23 Salary &amp; Benefits'!$G$6</f>
        <v>12558.24</v>
      </c>
      <c r="Y487" s="23">
        <f>'2022-23 Salary &amp; Benefits'!$H$6</f>
        <v>0.2298</v>
      </c>
      <c r="Z487" s="23">
        <f>'2022-23 Salary &amp; Benefits'!$I$6</f>
        <v>0.22339999999999999</v>
      </c>
      <c r="AA487" s="22">
        <f t="shared" si="97"/>
        <v>39571.760000000002</v>
      </c>
      <c r="AB487" s="22">
        <f t="shared" si="98"/>
        <v>1755</v>
      </c>
      <c r="AC487" s="22">
        <f t="shared" si="99"/>
        <v>392.07</v>
      </c>
      <c r="AD487" s="22">
        <f t="shared" si="89"/>
        <v>2147.0700000000002</v>
      </c>
      <c r="AE487" s="22">
        <f t="shared" si="90"/>
        <v>147018.79000000004</v>
      </c>
      <c r="AF487" s="19" t="str">
        <f>VLOOKUP(C487,'2021-22 School Level AAFTE'!C:N,12,FALSE)</f>
        <v>No</v>
      </c>
    </row>
    <row r="488" spans="1:284" s="19" customFormat="1">
      <c r="A488" s="97" t="s">
        <v>2475</v>
      </c>
      <c r="B488" s="97" t="s">
        <v>1645</v>
      </c>
      <c r="C488" s="95">
        <v>3302</v>
      </c>
      <c r="D488" s="95" t="s">
        <v>1658</v>
      </c>
      <c r="E488" s="129">
        <f>VLOOKUP($C488,'2021-22 School Level AAFTE'!$C:$Z,11,FALSE)</f>
        <v>0.35666666666666663</v>
      </c>
      <c r="F488" s="129" t="str">
        <f>VLOOKUP($C488,'2021-22 School Level AAFTE'!$C:$Z,8,FALSE)</f>
        <v>No</v>
      </c>
      <c r="G488" s="129" t="str">
        <f>VLOOKUP($C488,'2021-22 School Level AAFTE'!$C:$Z,12,FALSE)</f>
        <v>No</v>
      </c>
      <c r="H488" s="127">
        <f>VLOOKUP($C488,'2021-22 School Level AAFTE'!$C:$I,7,FALSE)</f>
        <v>435.71</v>
      </c>
      <c r="I488" s="112">
        <f>IFERROR(IF(OR(G488="yes",F488= "yes"),VLOOKUP(C488,Summary!$B:$J,6,0),0),0)</f>
        <v>0</v>
      </c>
      <c r="J488" s="111">
        <f t="shared" si="93"/>
        <v>0</v>
      </c>
      <c r="K488" s="91">
        <f>VLOOKUP($A488,'2022-23 Salary &amp; Benefits'!$A:$I,3,FALSE)</f>
        <v>1.18</v>
      </c>
      <c r="L488" s="91">
        <f>VLOOKUP($A488,'2022-23 Salary &amp; Benefits'!$A:$I,4,FALSE)</f>
        <v>1.18</v>
      </c>
      <c r="M488" s="39">
        <f t="shared" si="88"/>
        <v>0</v>
      </c>
      <c r="N488" s="24">
        <v>15</v>
      </c>
      <c r="O488" s="26">
        <f t="shared" si="91"/>
        <v>0</v>
      </c>
      <c r="P488" s="24">
        <v>1.1000000000000001</v>
      </c>
      <c r="Q488" s="24">
        <v>36</v>
      </c>
      <c r="R488" s="27">
        <f t="shared" si="92"/>
        <v>0</v>
      </c>
      <c r="S488" s="102">
        <f t="shared" si="94"/>
        <v>0</v>
      </c>
      <c r="T488" s="21">
        <f>VLOOKUP($A488,'2022-23 Salary &amp; Benefits'!$A:$I,5,FALSE)</f>
        <v>68937</v>
      </c>
      <c r="U488" s="21">
        <f>VLOOKUP($A488,'2022-23 Salary &amp; Benefits'!$A:$I,6,FALSE)</f>
        <v>72728</v>
      </c>
      <c r="V488" s="22">
        <f t="shared" si="95"/>
        <v>0</v>
      </c>
      <c r="W488" s="22">
        <f t="shared" si="96"/>
        <v>0</v>
      </c>
      <c r="X488" s="22">
        <f>'2022-23 Salary &amp; Benefits'!$G$6</f>
        <v>12558.24</v>
      </c>
      <c r="Y488" s="23">
        <f>'2022-23 Salary &amp; Benefits'!$H$6</f>
        <v>0.2298</v>
      </c>
      <c r="Z488" s="23">
        <f>'2022-23 Salary &amp; Benefits'!$I$6</f>
        <v>0.22339999999999999</v>
      </c>
      <c r="AA488" s="22">
        <f t="shared" si="97"/>
        <v>0</v>
      </c>
      <c r="AB488" s="22">
        <f t="shared" si="98"/>
        <v>0</v>
      </c>
      <c r="AC488" s="22">
        <f t="shared" si="99"/>
        <v>0</v>
      </c>
      <c r="AD488" s="22">
        <f t="shared" si="89"/>
        <v>0</v>
      </c>
      <c r="AE488" s="22">
        <f t="shared" si="90"/>
        <v>0</v>
      </c>
      <c r="AF488" s="19" t="str">
        <f>VLOOKUP(C488,'2021-22 School Level AAFTE'!C:N,12,FALSE)</f>
        <v>No</v>
      </c>
    </row>
    <row r="489" spans="1:284" s="19" customFormat="1">
      <c r="A489" s="97" t="s">
        <v>2475</v>
      </c>
      <c r="B489" s="97" t="s">
        <v>1645</v>
      </c>
      <c r="C489" s="95">
        <v>3303</v>
      </c>
      <c r="D489" s="95" t="s">
        <v>1659</v>
      </c>
      <c r="E489" s="129">
        <f>VLOOKUP($C489,'2021-22 School Level AAFTE'!$C:$Z,11,FALSE)</f>
        <v>0.28510000000000002</v>
      </c>
      <c r="F489" s="129" t="str">
        <f>VLOOKUP($C489,'2021-22 School Level AAFTE'!$C:$Z,8,FALSE)</f>
        <v>No</v>
      </c>
      <c r="G489" s="129" t="str">
        <f>VLOOKUP($C489,'2021-22 School Level AAFTE'!$C:$Z,12,FALSE)</f>
        <v>No</v>
      </c>
      <c r="H489" s="127">
        <f>VLOOKUP($C489,'2021-22 School Level AAFTE'!$C:$I,7,FALSE)</f>
        <v>1329.8500000000001</v>
      </c>
      <c r="I489" s="112">
        <f>IFERROR(IF(OR(G489="yes",F489= "yes"),VLOOKUP(C489,Summary!$B:$J,6,0),0),0)</f>
        <v>0</v>
      </c>
      <c r="J489" s="111">
        <f t="shared" si="93"/>
        <v>0</v>
      </c>
      <c r="K489" s="91">
        <f>VLOOKUP($A489,'2022-23 Salary &amp; Benefits'!$A:$I,3,FALSE)</f>
        <v>1.18</v>
      </c>
      <c r="L489" s="91">
        <f>VLOOKUP($A489,'2022-23 Salary &amp; Benefits'!$A:$I,4,FALSE)</f>
        <v>1.18</v>
      </c>
      <c r="M489" s="39">
        <f t="shared" si="88"/>
        <v>0</v>
      </c>
      <c r="N489" s="24">
        <v>15</v>
      </c>
      <c r="O489" s="26">
        <f t="shared" si="91"/>
        <v>0</v>
      </c>
      <c r="P489" s="24">
        <v>1.1000000000000001</v>
      </c>
      <c r="Q489" s="24">
        <v>36</v>
      </c>
      <c r="R489" s="27">
        <f t="shared" si="92"/>
        <v>0</v>
      </c>
      <c r="S489" s="102">
        <f t="shared" si="94"/>
        <v>0</v>
      </c>
      <c r="T489" s="21">
        <f>VLOOKUP($A489,'2022-23 Salary &amp; Benefits'!$A:$I,5,FALSE)</f>
        <v>68937</v>
      </c>
      <c r="U489" s="21">
        <f>VLOOKUP($A489,'2022-23 Salary &amp; Benefits'!$A:$I,6,FALSE)</f>
        <v>72728</v>
      </c>
      <c r="V489" s="22">
        <f t="shared" si="95"/>
        <v>0</v>
      </c>
      <c r="W489" s="22">
        <f t="shared" si="96"/>
        <v>0</v>
      </c>
      <c r="X489" s="22">
        <f>'2022-23 Salary &amp; Benefits'!$G$6</f>
        <v>12558.24</v>
      </c>
      <c r="Y489" s="23">
        <f>'2022-23 Salary &amp; Benefits'!$H$6</f>
        <v>0.2298</v>
      </c>
      <c r="Z489" s="23">
        <f>'2022-23 Salary &amp; Benefits'!$I$6</f>
        <v>0.22339999999999999</v>
      </c>
      <c r="AA489" s="22">
        <f t="shared" si="97"/>
        <v>0</v>
      </c>
      <c r="AB489" s="22">
        <f t="shared" si="98"/>
        <v>0</v>
      </c>
      <c r="AC489" s="22">
        <f t="shared" si="99"/>
        <v>0</v>
      </c>
      <c r="AD489" s="22">
        <f t="shared" si="89"/>
        <v>0</v>
      </c>
      <c r="AE489" s="22">
        <f t="shared" si="90"/>
        <v>0</v>
      </c>
      <c r="AF489" s="19" t="str">
        <f>VLOOKUP(C489,'2021-22 School Level AAFTE'!C:N,12,FALSE)</f>
        <v>No</v>
      </c>
    </row>
    <row r="490" spans="1:284" s="19" customFormat="1">
      <c r="A490" s="97" t="s">
        <v>2475</v>
      </c>
      <c r="B490" s="97" t="s">
        <v>1645</v>
      </c>
      <c r="C490" s="95">
        <v>3304</v>
      </c>
      <c r="D490" s="95" t="s">
        <v>1660</v>
      </c>
      <c r="E490" s="129">
        <f>VLOOKUP($C490,'2021-22 School Level AAFTE'!$C:$Z,11,FALSE)</f>
        <v>0.47189999999999999</v>
      </c>
      <c r="F490" s="129" t="str">
        <f>VLOOKUP($C490,'2021-22 School Level AAFTE'!$C:$Z,8,FALSE)</f>
        <v>No</v>
      </c>
      <c r="G490" s="129" t="str">
        <f>VLOOKUP($C490,'2021-22 School Level AAFTE'!$C:$Z,12,FALSE)</f>
        <v>No</v>
      </c>
      <c r="H490" s="127">
        <f>VLOOKUP($C490,'2021-22 School Level AAFTE'!$C:$I,7,FALSE)</f>
        <v>507.07</v>
      </c>
      <c r="I490" s="112">
        <f>IFERROR(IF(OR(G490="yes",F490= "yes"),VLOOKUP(C490,Summary!$B:$J,6,0),0),0)</f>
        <v>0</v>
      </c>
      <c r="J490" s="111">
        <f t="shared" si="93"/>
        <v>0</v>
      </c>
      <c r="K490" s="91">
        <f>VLOOKUP($A490,'2022-23 Salary &amp; Benefits'!$A:$I,3,FALSE)</f>
        <v>1.18</v>
      </c>
      <c r="L490" s="91">
        <f>VLOOKUP($A490,'2022-23 Salary &amp; Benefits'!$A:$I,4,FALSE)</f>
        <v>1.18</v>
      </c>
      <c r="M490" s="39">
        <f t="shared" si="88"/>
        <v>0</v>
      </c>
      <c r="N490" s="24">
        <v>15</v>
      </c>
      <c r="O490" s="26">
        <f t="shared" si="91"/>
        <v>0</v>
      </c>
      <c r="P490" s="24">
        <v>1.1000000000000001</v>
      </c>
      <c r="Q490" s="24">
        <v>36</v>
      </c>
      <c r="R490" s="27">
        <f t="shared" si="92"/>
        <v>0</v>
      </c>
      <c r="S490" s="102">
        <f t="shared" si="94"/>
        <v>0</v>
      </c>
      <c r="T490" s="21">
        <f>VLOOKUP($A490,'2022-23 Salary &amp; Benefits'!$A:$I,5,FALSE)</f>
        <v>68937</v>
      </c>
      <c r="U490" s="21">
        <f>VLOOKUP($A490,'2022-23 Salary &amp; Benefits'!$A:$I,6,FALSE)</f>
        <v>72728</v>
      </c>
      <c r="V490" s="22">
        <f t="shared" si="95"/>
        <v>0</v>
      </c>
      <c r="W490" s="22">
        <f t="shared" si="96"/>
        <v>0</v>
      </c>
      <c r="X490" s="22">
        <f>'2022-23 Salary &amp; Benefits'!$G$6</f>
        <v>12558.24</v>
      </c>
      <c r="Y490" s="23">
        <f>'2022-23 Salary &amp; Benefits'!$H$6</f>
        <v>0.2298</v>
      </c>
      <c r="Z490" s="23">
        <f>'2022-23 Salary &amp; Benefits'!$I$6</f>
        <v>0.22339999999999999</v>
      </c>
      <c r="AA490" s="22">
        <f t="shared" si="97"/>
        <v>0</v>
      </c>
      <c r="AB490" s="22">
        <f t="shared" si="98"/>
        <v>0</v>
      </c>
      <c r="AC490" s="22">
        <f t="shared" si="99"/>
        <v>0</v>
      </c>
      <c r="AD490" s="22">
        <f t="shared" si="89"/>
        <v>0</v>
      </c>
      <c r="AE490" s="22">
        <f t="shared" si="90"/>
        <v>0</v>
      </c>
      <c r="AF490" s="19" t="str">
        <f>VLOOKUP(C490,'2021-22 School Level AAFTE'!C:N,12,FALSE)</f>
        <v>No</v>
      </c>
    </row>
    <row r="491" spans="1:284" s="19" customFormat="1">
      <c r="A491" s="97" t="s">
        <v>2475</v>
      </c>
      <c r="B491" s="97" t="s">
        <v>1645</v>
      </c>
      <c r="C491" s="95">
        <v>3353</v>
      </c>
      <c r="D491" s="95" t="s">
        <v>1661</v>
      </c>
      <c r="E491" s="129">
        <f>VLOOKUP($C491,'2021-22 School Level AAFTE'!$C:$Z,11,FALSE)</f>
        <v>0.41676666666666667</v>
      </c>
      <c r="F491" s="129" t="str">
        <f>VLOOKUP($C491,'2021-22 School Level AAFTE'!$C:$Z,8,FALSE)</f>
        <v>No</v>
      </c>
      <c r="G491" s="129" t="str">
        <f>VLOOKUP($C491,'2021-22 School Level AAFTE'!$C:$Z,12,FALSE)</f>
        <v>No</v>
      </c>
      <c r="H491" s="127">
        <f>VLOOKUP($C491,'2021-22 School Level AAFTE'!$C:$I,7,FALSE)</f>
        <v>714.34</v>
      </c>
      <c r="I491" s="112">
        <f>IFERROR(IF(OR(G491="yes",F491= "yes"),VLOOKUP(C491,Summary!$B:$J,6,0),0),0)</f>
        <v>0</v>
      </c>
      <c r="J491" s="111">
        <f t="shared" si="93"/>
        <v>0</v>
      </c>
      <c r="K491" s="91">
        <f>VLOOKUP($A491,'2022-23 Salary &amp; Benefits'!$A:$I,3,FALSE)</f>
        <v>1.18</v>
      </c>
      <c r="L491" s="91">
        <f>VLOOKUP($A491,'2022-23 Salary &amp; Benefits'!$A:$I,4,FALSE)</f>
        <v>1.18</v>
      </c>
      <c r="M491" s="39">
        <f t="shared" si="88"/>
        <v>0</v>
      </c>
      <c r="N491" s="24">
        <v>15</v>
      </c>
      <c r="O491" s="26">
        <f t="shared" si="91"/>
        <v>0</v>
      </c>
      <c r="P491" s="24">
        <v>1.1000000000000001</v>
      </c>
      <c r="Q491" s="24">
        <v>36</v>
      </c>
      <c r="R491" s="27">
        <f t="shared" si="92"/>
        <v>0</v>
      </c>
      <c r="S491" s="102">
        <f t="shared" si="94"/>
        <v>0</v>
      </c>
      <c r="T491" s="21">
        <f>VLOOKUP($A491,'2022-23 Salary &amp; Benefits'!$A:$I,5,FALSE)</f>
        <v>68937</v>
      </c>
      <c r="U491" s="21">
        <f>VLOOKUP($A491,'2022-23 Salary &amp; Benefits'!$A:$I,6,FALSE)</f>
        <v>72728</v>
      </c>
      <c r="V491" s="22">
        <f t="shared" si="95"/>
        <v>0</v>
      </c>
      <c r="W491" s="22">
        <f t="shared" si="96"/>
        <v>0</v>
      </c>
      <c r="X491" s="22">
        <f>'2022-23 Salary &amp; Benefits'!$G$6</f>
        <v>12558.24</v>
      </c>
      <c r="Y491" s="23">
        <f>'2022-23 Salary &amp; Benefits'!$H$6</f>
        <v>0.2298</v>
      </c>
      <c r="Z491" s="23">
        <f>'2022-23 Salary &amp; Benefits'!$I$6</f>
        <v>0.22339999999999999</v>
      </c>
      <c r="AA491" s="22">
        <f t="shared" si="97"/>
        <v>0</v>
      </c>
      <c r="AB491" s="22">
        <f t="shared" si="98"/>
        <v>0</v>
      </c>
      <c r="AC491" s="22">
        <f t="shared" si="99"/>
        <v>0</v>
      </c>
      <c r="AD491" s="22">
        <f t="shared" si="89"/>
        <v>0</v>
      </c>
      <c r="AE491" s="22">
        <f t="shared" si="90"/>
        <v>0</v>
      </c>
      <c r="AF491" s="19" t="str">
        <f>VLOOKUP(C491,'2021-22 School Level AAFTE'!C:N,12,FALSE)</f>
        <v>No</v>
      </c>
    </row>
    <row r="492" spans="1:284" s="19" customFormat="1">
      <c r="A492" s="97" t="s">
        <v>2475</v>
      </c>
      <c r="B492" s="97" t="s">
        <v>1645</v>
      </c>
      <c r="C492" s="95">
        <v>3409</v>
      </c>
      <c r="D492" s="95" t="s">
        <v>1662</v>
      </c>
      <c r="E492" s="129">
        <f>VLOOKUP($C492,'2021-22 School Level AAFTE'!$C:$Z,11,FALSE)</f>
        <v>0.73806666666666665</v>
      </c>
      <c r="F492" s="129" t="str">
        <f>VLOOKUP($C492,'2021-22 School Level AAFTE'!$C:$Z,8,FALSE)</f>
        <v>Yes</v>
      </c>
      <c r="G492" s="129" t="str">
        <f>VLOOKUP($C492,'2021-22 School Level AAFTE'!$C:$Z,12,FALSE)</f>
        <v>No</v>
      </c>
      <c r="H492" s="127">
        <f>VLOOKUP($C492,'2021-22 School Level AAFTE'!$C:$I,7,FALSE)</f>
        <v>364.86</v>
      </c>
      <c r="I492" s="112">
        <f>IFERROR(IF(OR(G492="yes",F492= "yes"),VLOOKUP(C492,Summary!$B:$J,6,0),0),0)</f>
        <v>0</v>
      </c>
      <c r="J492" s="111">
        <f t="shared" si="93"/>
        <v>364.86</v>
      </c>
      <c r="K492" s="91">
        <f>VLOOKUP($A492,'2022-23 Salary &amp; Benefits'!$A:$I,3,FALSE)</f>
        <v>1.18</v>
      </c>
      <c r="L492" s="91">
        <f>VLOOKUP($A492,'2022-23 Salary &amp; Benefits'!$A:$I,4,FALSE)</f>
        <v>1.18</v>
      </c>
      <c r="M492" s="101">
        <f t="shared" si="88"/>
        <v>364.86</v>
      </c>
      <c r="N492" s="24">
        <v>15</v>
      </c>
      <c r="O492" s="26">
        <f t="shared" si="91"/>
        <v>24.324000000000002</v>
      </c>
      <c r="P492" s="24">
        <v>1.1000000000000001</v>
      </c>
      <c r="Q492" s="24">
        <v>36</v>
      </c>
      <c r="R492" s="27">
        <f t="shared" si="92"/>
        <v>963.23040000000015</v>
      </c>
      <c r="S492" s="102">
        <f t="shared" si="94"/>
        <v>1.07</v>
      </c>
      <c r="T492" s="21">
        <f>VLOOKUP($A492,'2022-23 Salary &amp; Benefits'!$A:$I,5,FALSE)</f>
        <v>68937</v>
      </c>
      <c r="U492" s="21">
        <f>VLOOKUP($A492,'2022-23 Salary &amp; Benefits'!$A:$I,6,FALSE)</f>
        <v>72728</v>
      </c>
      <c r="V492" s="22">
        <f t="shared" si="95"/>
        <v>87039.86</v>
      </c>
      <c r="W492" s="22">
        <f t="shared" si="96"/>
        <v>4786.5099999999948</v>
      </c>
      <c r="X492" s="22">
        <f>'2022-23 Salary &amp; Benefits'!$G$6</f>
        <v>12558.24</v>
      </c>
      <c r="Y492" s="23">
        <f>'2022-23 Salary &amp; Benefits'!$H$6</f>
        <v>0.2298</v>
      </c>
      <c r="Z492" s="23">
        <f>'2022-23 Salary &amp; Benefits'!$I$6</f>
        <v>0.22339999999999999</v>
      </c>
      <c r="AA492" s="22">
        <f t="shared" si="97"/>
        <v>34508.379999999997</v>
      </c>
      <c r="AB492" s="22">
        <f t="shared" si="98"/>
        <v>1530.44</v>
      </c>
      <c r="AC492" s="22">
        <f t="shared" si="99"/>
        <v>341.9</v>
      </c>
      <c r="AD492" s="22">
        <f t="shared" si="89"/>
        <v>1872.3400000000001</v>
      </c>
      <c r="AE492" s="22">
        <f t="shared" si="90"/>
        <v>128207.08999999998</v>
      </c>
      <c r="AF492" s="19" t="str">
        <f>VLOOKUP(C492,'2021-22 School Level AAFTE'!C:N,12,FALSE)</f>
        <v>No</v>
      </c>
    </row>
    <row r="493" spans="1:284" s="19" customFormat="1">
      <c r="A493" s="97" t="s">
        <v>2475</v>
      </c>
      <c r="B493" s="97" t="s">
        <v>1645</v>
      </c>
      <c r="C493" s="95">
        <v>3410</v>
      </c>
      <c r="D493" s="95" t="s">
        <v>1663</v>
      </c>
      <c r="E493" s="129">
        <f>VLOOKUP($C493,'2021-22 School Level AAFTE'!$C:$Z,11,FALSE)</f>
        <v>0.47953333333333337</v>
      </c>
      <c r="F493" s="129" t="str">
        <f>VLOOKUP($C493,'2021-22 School Level AAFTE'!$C:$Z,8,FALSE)</f>
        <v>No</v>
      </c>
      <c r="G493" s="129" t="str">
        <f>VLOOKUP($C493,'2021-22 School Level AAFTE'!$C:$Z,12,FALSE)</f>
        <v>Yes</v>
      </c>
      <c r="H493" s="127">
        <f>VLOOKUP($C493,'2021-22 School Level AAFTE'!$C:$I,7,FALSE)</f>
        <v>458.29</v>
      </c>
      <c r="I493" s="112">
        <f>IFERROR(IF(OR(G493="yes",F493= "yes"),VLOOKUP(C493,Summary!$B:$J,6,0),0),0)</f>
        <v>0</v>
      </c>
      <c r="J493" s="111">
        <f t="shared" si="93"/>
        <v>458.29</v>
      </c>
      <c r="K493" s="91">
        <f>VLOOKUP($A493,'2022-23 Salary &amp; Benefits'!$A:$I,3,FALSE)</f>
        <v>1.18</v>
      </c>
      <c r="L493" s="91">
        <f>VLOOKUP($A493,'2022-23 Salary &amp; Benefits'!$A:$I,4,FALSE)</f>
        <v>1.18</v>
      </c>
      <c r="M493" s="39">
        <f t="shared" si="88"/>
        <v>458.29</v>
      </c>
      <c r="N493" s="24">
        <v>15</v>
      </c>
      <c r="O493" s="26">
        <f t="shared" si="91"/>
        <v>30.552666666666667</v>
      </c>
      <c r="P493" s="24">
        <v>1.1000000000000001</v>
      </c>
      <c r="Q493" s="24">
        <v>36</v>
      </c>
      <c r="R493" s="27">
        <f t="shared" si="92"/>
        <v>1209.8856000000001</v>
      </c>
      <c r="S493" s="102">
        <f t="shared" si="94"/>
        <v>1.3440000000000001</v>
      </c>
      <c r="T493" s="21">
        <f>VLOOKUP($A493,'2022-23 Salary &amp; Benefits'!$A:$I,5,FALSE)</f>
        <v>68937</v>
      </c>
      <c r="U493" s="21">
        <f>VLOOKUP($A493,'2022-23 Salary &amp; Benefits'!$A:$I,6,FALSE)</f>
        <v>72728</v>
      </c>
      <c r="V493" s="22">
        <f t="shared" si="95"/>
        <v>109328.57</v>
      </c>
      <c r="W493" s="22">
        <f t="shared" si="96"/>
        <v>6012.2199999999866</v>
      </c>
      <c r="X493" s="22">
        <f>'2022-23 Salary &amp; Benefits'!$G$6</f>
        <v>12558.24</v>
      </c>
      <c r="Y493" s="23">
        <f>'2022-23 Salary &amp; Benefits'!$H$6</f>
        <v>0.2298</v>
      </c>
      <c r="Z493" s="23">
        <f>'2022-23 Salary &amp; Benefits'!$I$6</f>
        <v>0.22339999999999999</v>
      </c>
      <c r="AA493" s="22">
        <f t="shared" si="97"/>
        <v>43345.11</v>
      </c>
      <c r="AB493" s="22">
        <f t="shared" si="98"/>
        <v>1922.35</v>
      </c>
      <c r="AC493" s="22">
        <f t="shared" si="99"/>
        <v>429.45</v>
      </c>
      <c r="AD493" s="22">
        <f t="shared" si="89"/>
        <v>2351.7999999999997</v>
      </c>
      <c r="AE493" s="22">
        <f t="shared" si="90"/>
        <v>161037.69999999995</v>
      </c>
      <c r="AF493" s="19" t="str">
        <f>VLOOKUP(C493,'2021-22 School Level AAFTE'!C:N,12,FALSE)</f>
        <v>Yes</v>
      </c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</row>
    <row r="494" spans="1:284" s="19" customFormat="1">
      <c r="A494" s="97" t="s">
        <v>2475</v>
      </c>
      <c r="B494" s="97" t="s">
        <v>1645</v>
      </c>
      <c r="C494" s="95">
        <v>3461</v>
      </c>
      <c r="D494" s="95" t="s">
        <v>1664</v>
      </c>
      <c r="E494" s="129">
        <f>VLOOKUP($C494,'2021-22 School Level AAFTE'!$C:$Z,11,FALSE)</f>
        <v>0.18023333333333333</v>
      </c>
      <c r="F494" s="129" t="str">
        <f>VLOOKUP($C494,'2021-22 School Level AAFTE'!$C:$Z,8,FALSE)</f>
        <v>No</v>
      </c>
      <c r="G494" s="129" t="str">
        <f>VLOOKUP($C494,'2021-22 School Level AAFTE'!$C:$Z,12,FALSE)</f>
        <v>No</v>
      </c>
      <c r="H494" s="127">
        <f>VLOOKUP($C494,'2021-22 School Level AAFTE'!$C:$I,7,FALSE)</f>
        <v>395.73</v>
      </c>
      <c r="I494" s="112">
        <f>IFERROR(IF(OR(G494="yes",F494= "yes"),VLOOKUP(C494,Summary!$B:$J,6,0),0),0)</f>
        <v>0</v>
      </c>
      <c r="J494" s="111">
        <f t="shared" si="93"/>
        <v>0</v>
      </c>
      <c r="K494" s="91">
        <f>VLOOKUP($A494,'2022-23 Salary &amp; Benefits'!$A:$I,3,FALSE)</f>
        <v>1.18</v>
      </c>
      <c r="L494" s="91">
        <f>VLOOKUP($A494,'2022-23 Salary &amp; Benefits'!$A:$I,4,FALSE)</f>
        <v>1.18</v>
      </c>
      <c r="M494" s="39">
        <f t="shared" si="88"/>
        <v>0</v>
      </c>
      <c r="N494" s="24">
        <v>15</v>
      </c>
      <c r="O494" s="26">
        <f t="shared" si="91"/>
        <v>0</v>
      </c>
      <c r="P494" s="24">
        <v>1.1000000000000001</v>
      </c>
      <c r="Q494" s="24">
        <v>36</v>
      </c>
      <c r="R494" s="27">
        <f t="shared" si="92"/>
        <v>0</v>
      </c>
      <c r="S494" s="102">
        <f t="shared" si="94"/>
        <v>0</v>
      </c>
      <c r="T494" s="21">
        <f>VLOOKUP($A494,'2022-23 Salary &amp; Benefits'!$A:$I,5,FALSE)</f>
        <v>68937</v>
      </c>
      <c r="U494" s="21">
        <f>VLOOKUP($A494,'2022-23 Salary &amp; Benefits'!$A:$I,6,FALSE)</f>
        <v>72728</v>
      </c>
      <c r="V494" s="22">
        <f t="shared" si="95"/>
        <v>0</v>
      </c>
      <c r="W494" s="22">
        <f t="shared" si="96"/>
        <v>0</v>
      </c>
      <c r="X494" s="22">
        <f>'2022-23 Salary &amp; Benefits'!$G$6</f>
        <v>12558.24</v>
      </c>
      <c r="Y494" s="23">
        <f>'2022-23 Salary &amp; Benefits'!$H$6</f>
        <v>0.2298</v>
      </c>
      <c r="Z494" s="23">
        <f>'2022-23 Salary &amp; Benefits'!$I$6</f>
        <v>0.22339999999999999</v>
      </c>
      <c r="AA494" s="22">
        <f t="shared" si="97"/>
        <v>0</v>
      </c>
      <c r="AB494" s="22">
        <f t="shared" si="98"/>
        <v>0</v>
      </c>
      <c r="AC494" s="22">
        <f t="shared" si="99"/>
        <v>0</v>
      </c>
      <c r="AD494" s="22">
        <f t="shared" si="89"/>
        <v>0</v>
      </c>
      <c r="AE494" s="22">
        <f t="shared" si="90"/>
        <v>0</v>
      </c>
      <c r="AF494" s="19" t="str">
        <f>VLOOKUP(C494,'2021-22 School Level AAFTE'!C:N,12,FALSE)</f>
        <v>No</v>
      </c>
    </row>
    <row r="495" spans="1:284" s="19" customFormat="1">
      <c r="A495" s="97" t="s">
        <v>2475</v>
      </c>
      <c r="B495" s="97" t="s">
        <v>1645</v>
      </c>
      <c r="C495" s="95">
        <v>3463</v>
      </c>
      <c r="D495" s="95" t="s">
        <v>2881</v>
      </c>
      <c r="E495" s="129">
        <f>VLOOKUP($C495,'2021-22 School Level AAFTE'!$C:$Z,11,FALSE)</f>
        <v>0.11443333333333333</v>
      </c>
      <c r="F495" s="129" t="str">
        <f>VLOOKUP($C495,'2021-22 School Level AAFTE'!$C:$Z,8,FALSE)</f>
        <v>No</v>
      </c>
      <c r="G495" s="129" t="str">
        <f>VLOOKUP($C495,'2021-22 School Level AAFTE'!$C:$Z,12,FALSE)</f>
        <v>No</v>
      </c>
      <c r="H495" s="127">
        <f>VLOOKUP($C495,'2021-22 School Level AAFTE'!$C:$I,7,FALSE)</f>
        <v>580.14</v>
      </c>
      <c r="I495" s="112">
        <f>IFERROR(IF(OR(G495="yes",F495= "yes"),VLOOKUP(C495,Summary!$B:$J,6,0),0),0)</f>
        <v>0</v>
      </c>
      <c r="J495" s="111">
        <f t="shared" si="93"/>
        <v>0</v>
      </c>
      <c r="K495" s="91">
        <f>VLOOKUP($A495,'2022-23 Salary &amp; Benefits'!$A:$I,3,FALSE)</f>
        <v>1.18</v>
      </c>
      <c r="L495" s="91">
        <f>VLOOKUP($A495,'2022-23 Salary &amp; Benefits'!$A:$I,4,FALSE)</f>
        <v>1.18</v>
      </c>
      <c r="M495" s="101">
        <f t="shared" si="88"/>
        <v>0</v>
      </c>
      <c r="N495" s="24">
        <v>15</v>
      </c>
      <c r="O495" s="26">
        <f t="shared" si="91"/>
        <v>0</v>
      </c>
      <c r="P495" s="24">
        <v>1.1000000000000001</v>
      </c>
      <c r="Q495" s="24">
        <v>36</v>
      </c>
      <c r="R495" s="27">
        <f t="shared" si="92"/>
        <v>0</v>
      </c>
      <c r="S495" s="102">
        <f t="shared" si="94"/>
        <v>0</v>
      </c>
      <c r="T495" s="21">
        <f>VLOOKUP($A495,'2022-23 Salary &amp; Benefits'!$A:$I,5,FALSE)</f>
        <v>68937</v>
      </c>
      <c r="U495" s="21">
        <f>VLOOKUP($A495,'2022-23 Salary &amp; Benefits'!$A:$I,6,FALSE)</f>
        <v>72728</v>
      </c>
      <c r="V495" s="22">
        <f t="shared" si="95"/>
        <v>0</v>
      </c>
      <c r="W495" s="22">
        <f t="shared" si="96"/>
        <v>0</v>
      </c>
      <c r="X495" s="22">
        <f>'2022-23 Salary &amp; Benefits'!$G$6</f>
        <v>12558.24</v>
      </c>
      <c r="Y495" s="23">
        <f>'2022-23 Salary &amp; Benefits'!$H$6</f>
        <v>0.2298</v>
      </c>
      <c r="Z495" s="23">
        <f>'2022-23 Salary &amp; Benefits'!$I$6</f>
        <v>0.22339999999999999</v>
      </c>
      <c r="AA495" s="22">
        <f t="shared" si="97"/>
        <v>0</v>
      </c>
      <c r="AB495" s="22">
        <f t="shared" si="98"/>
        <v>0</v>
      </c>
      <c r="AC495" s="22">
        <f t="shared" si="99"/>
        <v>0</v>
      </c>
      <c r="AD495" s="22">
        <f t="shared" si="89"/>
        <v>0</v>
      </c>
      <c r="AE495" s="22">
        <f t="shared" si="90"/>
        <v>0</v>
      </c>
      <c r="AF495" s="19" t="str">
        <f>VLOOKUP(C495,'2021-22 School Level AAFTE'!C:N,12,FALSE)</f>
        <v>No</v>
      </c>
    </row>
    <row r="496" spans="1:284" s="19" customFormat="1">
      <c r="A496" s="97" t="s">
        <v>2475</v>
      </c>
      <c r="B496" s="97" t="s">
        <v>1645</v>
      </c>
      <c r="C496" s="95">
        <v>3464</v>
      </c>
      <c r="D496" s="95" t="s">
        <v>1665</v>
      </c>
      <c r="E496" s="129">
        <f>VLOOKUP($C496,'2021-22 School Level AAFTE'!$C:$Z,11,FALSE)</f>
        <v>0.36796666666666661</v>
      </c>
      <c r="F496" s="129" t="str">
        <f>VLOOKUP($C496,'2021-22 School Level AAFTE'!$C:$Z,8,FALSE)</f>
        <v>No</v>
      </c>
      <c r="G496" s="129" t="str">
        <f>VLOOKUP($C496,'2021-22 School Level AAFTE'!$C:$Z,12,FALSE)</f>
        <v>No</v>
      </c>
      <c r="H496" s="127">
        <f>VLOOKUP($C496,'2021-22 School Level AAFTE'!$C:$I,7,FALSE)</f>
        <v>1436.21</v>
      </c>
      <c r="I496" s="112">
        <f>IFERROR(IF(OR(G496="yes",F496= "yes"),VLOOKUP(C496,Summary!$B:$J,6,0),0),0)</f>
        <v>0</v>
      </c>
      <c r="J496" s="111">
        <f t="shared" si="93"/>
        <v>0</v>
      </c>
      <c r="K496" s="91">
        <f>VLOOKUP($A496,'2022-23 Salary &amp; Benefits'!$A:$I,3,FALSE)</f>
        <v>1.18</v>
      </c>
      <c r="L496" s="91">
        <f>VLOOKUP($A496,'2022-23 Salary &amp; Benefits'!$A:$I,4,FALSE)</f>
        <v>1.18</v>
      </c>
      <c r="M496" s="101">
        <f t="shared" si="88"/>
        <v>0</v>
      </c>
      <c r="N496" s="24">
        <v>15</v>
      </c>
      <c r="O496" s="26">
        <f t="shared" si="91"/>
        <v>0</v>
      </c>
      <c r="P496" s="24">
        <v>1.1000000000000001</v>
      </c>
      <c r="Q496" s="24">
        <v>36</v>
      </c>
      <c r="R496" s="27">
        <f t="shared" si="92"/>
        <v>0</v>
      </c>
      <c r="S496" s="102">
        <f t="shared" si="94"/>
        <v>0</v>
      </c>
      <c r="T496" s="21">
        <f>VLOOKUP($A496,'2022-23 Salary &amp; Benefits'!$A:$I,5,FALSE)</f>
        <v>68937</v>
      </c>
      <c r="U496" s="21">
        <f>VLOOKUP($A496,'2022-23 Salary &amp; Benefits'!$A:$I,6,FALSE)</f>
        <v>72728</v>
      </c>
      <c r="V496" s="22">
        <f t="shared" si="95"/>
        <v>0</v>
      </c>
      <c r="W496" s="22">
        <f t="shared" si="96"/>
        <v>0</v>
      </c>
      <c r="X496" s="22">
        <f>'2022-23 Salary &amp; Benefits'!$G$6</f>
        <v>12558.24</v>
      </c>
      <c r="Y496" s="23">
        <f>'2022-23 Salary &amp; Benefits'!$H$6</f>
        <v>0.2298</v>
      </c>
      <c r="Z496" s="23">
        <f>'2022-23 Salary &amp; Benefits'!$I$6</f>
        <v>0.22339999999999999</v>
      </c>
      <c r="AA496" s="22">
        <f t="shared" si="97"/>
        <v>0</v>
      </c>
      <c r="AB496" s="22">
        <f t="shared" si="98"/>
        <v>0</v>
      </c>
      <c r="AC496" s="22">
        <f t="shared" si="99"/>
        <v>0</v>
      </c>
      <c r="AD496" s="22">
        <f t="shared" si="89"/>
        <v>0</v>
      </c>
      <c r="AE496" s="22">
        <f t="shared" si="90"/>
        <v>0</v>
      </c>
      <c r="AF496" s="19" t="str">
        <f>VLOOKUP(C496,'2021-22 School Level AAFTE'!C:N,12,FALSE)</f>
        <v>No</v>
      </c>
    </row>
    <row r="497" spans="1:32" s="19" customFormat="1">
      <c r="A497" s="97" t="s">
        <v>2475</v>
      </c>
      <c r="B497" s="97" t="s">
        <v>1645</v>
      </c>
      <c r="C497" s="95">
        <v>3503</v>
      </c>
      <c r="D497" s="95" t="s">
        <v>1666</v>
      </c>
      <c r="E497" s="129">
        <f>VLOOKUP($C497,'2021-22 School Level AAFTE'!$C:$Z,11,FALSE)</f>
        <v>0.39483333333333331</v>
      </c>
      <c r="F497" s="129" t="str">
        <f>VLOOKUP($C497,'2021-22 School Level AAFTE'!$C:$Z,8,FALSE)</f>
        <v>No</v>
      </c>
      <c r="G497" s="129" t="str">
        <f>VLOOKUP($C497,'2021-22 School Level AAFTE'!$C:$Z,12,FALSE)</f>
        <v>No</v>
      </c>
      <c r="H497" s="127">
        <f>VLOOKUP($C497,'2021-22 School Level AAFTE'!$C:$I,7,FALSE)</f>
        <v>519.72</v>
      </c>
      <c r="I497" s="112">
        <f>IFERROR(IF(OR(G497="yes",F497= "yes"),VLOOKUP(C497,Summary!$B:$J,6,0),0),0)</f>
        <v>0</v>
      </c>
      <c r="J497" s="111">
        <f t="shared" si="93"/>
        <v>0</v>
      </c>
      <c r="K497" s="91">
        <f>VLOOKUP($A497,'2022-23 Salary &amp; Benefits'!$A:$I,3,FALSE)</f>
        <v>1.18</v>
      </c>
      <c r="L497" s="91">
        <f>VLOOKUP($A497,'2022-23 Salary &amp; Benefits'!$A:$I,4,FALSE)</f>
        <v>1.18</v>
      </c>
      <c r="M497" s="101">
        <f t="shared" si="88"/>
        <v>0</v>
      </c>
      <c r="N497" s="24">
        <v>15</v>
      </c>
      <c r="O497" s="26">
        <f t="shared" si="91"/>
        <v>0</v>
      </c>
      <c r="P497" s="24">
        <v>1.1000000000000001</v>
      </c>
      <c r="Q497" s="24">
        <v>36</v>
      </c>
      <c r="R497" s="27">
        <f t="shared" si="92"/>
        <v>0</v>
      </c>
      <c r="S497" s="102">
        <f t="shared" si="94"/>
        <v>0</v>
      </c>
      <c r="T497" s="21">
        <f>VLOOKUP($A497,'2022-23 Salary &amp; Benefits'!$A:$I,5,FALSE)</f>
        <v>68937</v>
      </c>
      <c r="U497" s="21">
        <f>VLOOKUP($A497,'2022-23 Salary &amp; Benefits'!$A:$I,6,FALSE)</f>
        <v>72728</v>
      </c>
      <c r="V497" s="22">
        <f t="shared" si="95"/>
        <v>0</v>
      </c>
      <c r="W497" s="22">
        <f t="shared" si="96"/>
        <v>0</v>
      </c>
      <c r="X497" s="22">
        <f>'2022-23 Salary &amp; Benefits'!$G$6</f>
        <v>12558.24</v>
      </c>
      <c r="Y497" s="23">
        <f>'2022-23 Salary &amp; Benefits'!$H$6</f>
        <v>0.2298</v>
      </c>
      <c r="Z497" s="23">
        <f>'2022-23 Salary &amp; Benefits'!$I$6</f>
        <v>0.22339999999999999</v>
      </c>
      <c r="AA497" s="22">
        <f t="shared" si="97"/>
        <v>0</v>
      </c>
      <c r="AB497" s="22">
        <f t="shared" si="98"/>
        <v>0</v>
      </c>
      <c r="AC497" s="22">
        <f t="shared" si="99"/>
        <v>0</v>
      </c>
      <c r="AD497" s="22">
        <f t="shared" si="89"/>
        <v>0</v>
      </c>
      <c r="AE497" s="22">
        <f t="shared" si="90"/>
        <v>0</v>
      </c>
      <c r="AF497" s="19" t="str">
        <f>VLOOKUP(C497,'2021-22 School Level AAFTE'!C:N,12,FALSE)</f>
        <v>No</v>
      </c>
    </row>
    <row r="498" spans="1:32" s="19" customFormat="1">
      <c r="A498" s="97" t="s">
        <v>2475</v>
      </c>
      <c r="B498" s="97" t="s">
        <v>1645</v>
      </c>
      <c r="C498" s="95">
        <v>3504</v>
      </c>
      <c r="D498" s="95" t="s">
        <v>1667</v>
      </c>
      <c r="E498" s="129">
        <f>VLOOKUP($C498,'2021-22 School Level AAFTE'!$C:$Z,11,FALSE)</f>
        <v>0.41553333333333331</v>
      </c>
      <c r="F498" s="129" t="str">
        <f>VLOOKUP($C498,'2021-22 School Level AAFTE'!$C:$Z,8,FALSE)</f>
        <v>No</v>
      </c>
      <c r="G498" s="129" t="str">
        <f>VLOOKUP($C498,'2021-22 School Level AAFTE'!$C:$Z,12,FALSE)</f>
        <v>No</v>
      </c>
      <c r="H498" s="127">
        <f>VLOOKUP($C498,'2021-22 School Level AAFTE'!$C:$I,7,FALSE)</f>
        <v>459.14</v>
      </c>
      <c r="I498" s="112">
        <f>IFERROR(IF(OR(G498="yes",F498= "yes"),VLOOKUP(C498,Summary!$B:$J,6,0),0),0)</f>
        <v>0</v>
      </c>
      <c r="J498" s="111">
        <f t="shared" si="93"/>
        <v>0</v>
      </c>
      <c r="K498" s="91">
        <f>VLOOKUP($A498,'2022-23 Salary &amp; Benefits'!$A:$I,3,FALSE)</f>
        <v>1.18</v>
      </c>
      <c r="L498" s="91">
        <f>VLOOKUP($A498,'2022-23 Salary &amp; Benefits'!$A:$I,4,FALSE)</f>
        <v>1.18</v>
      </c>
      <c r="M498" s="101">
        <f t="shared" si="88"/>
        <v>0</v>
      </c>
      <c r="N498" s="24">
        <v>15</v>
      </c>
      <c r="O498" s="26">
        <f t="shared" si="91"/>
        <v>0</v>
      </c>
      <c r="P498" s="24">
        <v>1.1000000000000001</v>
      </c>
      <c r="Q498" s="24">
        <v>36</v>
      </c>
      <c r="R498" s="27">
        <f t="shared" si="92"/>
        <v>0</v>
      </c>
      <c r="S498" s="102">
        <f t="shared" si="94"/>
        <v>0</v>
      </c>
      <c r="T498" s="21">
        <f>VLOOKUP($A498,'2022-23 Salary &amp; Benefits'!$A:$I,5,FALSE)</f>
        <v>68937</v>
      </c>
      <c r="U498" s="21">
        <f>VLOOKUP($A498,'2022-23 Salary &amp; Benefits'!$A:$I,6,FALSE)</f>
        <v>72728</v>
      </c>
      <c r="V498" s="22">
        <f t="shared" si="95"/>
        <v>0</v>
      </c>
      <c r="W498" s="22">
        <f t="shared" si="96"/>
        <v>0</v>
      </c>
      <c r="X498" s="22">
        <f>'2022-23 Salary &amp; Benefits'!$G$6</f>
        <v>12558.24</v>
      </c>
      <c r="Y498" s="23">
        <f>'2022-23 Salary &amp; Benefits'!$H$6</f>
        <v>0.2298</v>
      </c>
      <c r="Z498" s="23">
        <f>'2022-23 Salary &amp; Benefits'!$I$6</f>
        <v>0.22339999999999999</v>
      </c>
      <c r="AA498" s="22">
        <f t="shared" si="97"/>
        <v>0</v>
      </c>
      <c r="AB498" s="22">
        <f t="shared" si="98"/>
        <v>0</v>
      </c>
      <c r="AC498" s="22">
        <f t="shared" si="99"/>
        <v>0</v>
      </c>
      <c r="AD498" s="22">
        <f t="shared" si="89"/>
        <v>0</v>
      </c>
      <c r="AE498" s="22">
        <f t="shared" si="90"/>
        <v>0</v>
      </c>
      <c r="AF498" s="19" t="str">
        <f>VLOOKUP(C498,'2021-22 School Level AAFTE'!C:N,12,FALSE)</f>
        <v>No</v>
      </c>
    </row>
    <row r="499" spans="1:32" s="19" customFormat="1">
      <c r="A499" s="97" t="s">
        <v>2475</v>
      </c>
      <c r="B499" s="97" t="s">
        <v>1645</v>
      </c>
      <c r="C499" s="95">
        <v>3534</v>
      </c>
      <c r="D499" s="95" t="s">
        <v>1668</v>
      </c>
      <c r="E499" s="129">
        <f>VLOOKUP($C499,'2021-22 School Level AAFTE'!$C:$Z,11,FALSE)</f>
        <v>0.53989999999999994</v>
      </c>
      <c r="F499" s="129" t="str">
        <f>VLOOKUP($C499,'2021-22 School Level AAFTE'!$C:$Z,8,FALSE)</f>
        <v>Yes</v>
      </c>
      <c r="G499" s="129" t="str">
        <f>VLOOKUP($C499,'2021-22 School Level AAFTE'!$C:$Z,12,FALSE)</f>
        <v>No</v>
      </c>
      <c r="H499" s="127">
        <f>VLOOKUP($C499,'2021-22 School Level AAFTE'!$C:$I,7,FALSE)</f>
        <v>350.35</v>
      </c>
      <c r="I499" s="112">
        <f>IFERROR(IF(OR(G499="yes",F499= "yes"),VLOOKUP(C499,Summary!$B:$J,6,0),0),0)</f>
        <v>0</v>
      </c>
      <c r="J499" s="111">
        <f t="shared" si="93"/>
        <v>350.35</v>
      </c>
      <c r="K499" s="91">
        <f>VLOOKUP($A499,'2022-23 Salary &amp; Benefits'!$A:$I,3,FALSE)</f>
        <v>1.18</v>
      </c>
      <c r="L499" s="91">
        <f>VLOOKUP($A499,'2022-23 Salary &amp; Benefits'!$A:$I,4,FALSE)</f>
        <v>1.18</v>
      </c>
      <c r="M499" s="39">
        <f t="shared" si="88"/>
        <v>350.35</v>
      </c>
      <c r="N499" s="24">
        <v>15</v>
      </c>
      <c r="O499" s="26">
        <f t="shared" si="91"/>
        <v>23.356666666666669</v>
      </c>
      <c r="P499" s="24">
        <v>1.1000000000000001</v>
      </c>
      <c r="Q499" s="24">
        <v>36</v>
      </c>
      <c r="R499" s="27">
        <f t="shared" si="92"/>
        <v>924.92400000000021</v>
      </c>
      <c r="S499" s="102">
        <f t="shared" si="94"/>
        <v>1.028</v>
      </c>
      <c r="T499" s="21">
        <f>VLOOKUP($A499,'2022-23 Salary &amp; Benefits'!$A:$I,5,FALSE)</f>
        <v>68937</v>
      </c>
      <c r="U499" s="21">
        <f>VLOOKUP($A499,'2022-23 Salary &amp; Benefits'!$A:$I,6,FALSE)</f>
        <v>72728</v>
      </c>
      <c r="V499" s="22">
        <f t="shared" si="95"/>
        <v>83623.34</v>
      </c>
      <c r="W499" s="22">
        <f t="shared" si="96"/>
        <v>4598.6300000000047</v>
      </c>
      <c r="X499" s="22">
        <f>'2022-23 Salary &amp; Benefits'!$G$6</f>
        <v>12558.24</v>
      </c>
      <c r="Y499" s="23">
        <f>'2022-23 Salary &amp; Benefits'!$H$6</f>
        <v>0.2298</v>
      </c>
      <c r="Z499" s="23">
        <f>'2022-23 Salary &amp; Benefits'!$I$6</f>
        <v>0.22339999999999999</v>
      </c>
      <c r="AA499" s="22">
        <f t="shared" si="97"/>
        <v>33153.85</v>
      </c>
      <c r="AB499" s="22">
        <f t="shared" si="98"/>
        <v>1470.37</v>
      </c>
      <c r="AC499" s="22">
        <f t="shared" si="99"/>
        <v>328.48</v>
      </c>
      <c r="AD499" s="22">
        <f t="shared" si="89"/>
        <v>1798.85</v>
      </c>
      <c r="AE499" s="22">
        <f t="shared" si="90"/>
        <v>123174.67000000001</v>
      </c>
      <c r="AF499" s="19" t="str">
        <f>VLOOKUP(C499,'2021-22 School Level AAFTE'!C:N,12,FALSE)</f>
        <v>No</v>
      </c>
    </row>
    <row r="500" spans="1:32" s="19" customFormat="1">
      <c r="A500" s="97" t="s">
        <v>2475</v>
      </c>
      <c r="B500" s="97" t="s">
        <v>1645</v>
      </c>
      <c r="C500" s="95">
        <v>3536</v>
      </c>
      <c r="D500" s="95" t="s">
        <v>1669</v>
      </c>
      <c r="E500" s="129">
        <f>VLOOKUP($C500,'2021-22 School Level AAFTE'!$C:$Z,11,FALSE)</f>
        <v>0.1206</v>
      </c>
      <c r="F500" s="129" t="str">
        <f>VLOOKUP($C500,'2021-22 School Level AAFTE'!$C:$Z,8,FALSE)</f>
        <v>No</v>
      </c>
      <c r="G500" s="129" t="str">
        <f>VLOOKUP($C500,'2021-22 School Level AAFTE'!$C:$Z,12,FALSE)</f>
        <v>No</v>
      </c>
      <c r="H500" s="127">
        <f>VLOOKUP($C500,'2021-22 School Level AAFTE'!$C:$I,7,FALSE)</f>
        <v>405.43</v>
      </c>
      <c r="I500" s="112">
        <f>IFERROR(IF(OR(G500="yes",F500= "yes"),VLOOKUP(C500,Summary!$B:$J,6,0),0),0)</f>
        <v>0</v>
      </c>
      <c r="J500" s="111">
        <f t="shared" si="93"/>
        <v>0</v>
      </c>
      <c r="K500" s="91">
        <f>VLOOKUP($A500,'2022-23 Salary &amp; Benefits'!$A:$I,3,FALSE)</f>
        <v>1.18</v>
      </c>
      <c r="L500" s="91">
        <f>VLOOKUP($A500,'2022-23 Salary &amp; Benefits'!$A:$I,4,FALSE)</f>
        <v>1.18</v>
      </c>
      <c r="M500" s="101">
        <f t="shared" si="88"/>
        <v>0</v>
      </c>
      <c r="N500" s="24">
        <v>15</v>
      </c>
      <c r="O500" s="26">
        <f t="shared" si="91"/>
        <v>0</v>
      </c>
      <c r="P500" s="24">
        <v>1.1000000000000001</v>
      </c>
      <c r="Q500" s="24">
        <v>36</v>
      </c>
      <c r="R500" s="27">
        <f t="shared" si="92"/>
        <v>0</v>
      </c>
      <c r="S500" s="102">
        <f t="shared" si="94"/>
        <v>0</v>
      </c>
      <c r="T500" s="21">
        <f>VLOOKUP($A500,'2022-23 Salary &amp; Benefits'!$A:$I,5,FALSE)</f>
        <v>68937</v>
      </c>
      <c r="U500" s="21">
        <f>VLOOKUP($A500,'2022-23 Salary &amp; Benefits'!$A:$I,6,FALSE)</f>
        <v>72728</v>
      </c>
      <c r="V500" s="22">
        <f t="shared" si="95"/>
        <v>0</v>
      </c>
      <c r="W500" s="22">
        <f t="shared" si="96"/>
        <v>0</v>
      </c>
      <c r="X500" s="22">
        <f>'2022-23 Salary &amp; Benefits'!$G$6</f>
        <v>12558.24</v>
      </c>
      <c r="Y500" s="23">
        <f>'2022-23 Salary &amp; Benefits'!$H$6</f>
        <v>0.2298</v>
      </c>
      <c r="Z500" s="23">
        <f>'2022-23 Salary &amp; Benefits'!$I$6</f>
        <v>0.22339999999999999</v>
      </c>
      <c r="AA500" s="22">
        <f t="shared" si="97"/>
        <v>0</v>
      </c>
      <c r="AB500" s="22">
        <f t="shared" si="98"/>
        <v>0</v>
      </c>
      <c r="AC500" s="22">
        <f t="shared" si="99"/>
        <v>0</v>
      </c>
      <c r="AD500" s="22">
        <f t="shared" si="89"/>
        <v>0</v>
      </c>
      <c r="AE500" s="22">
        <f t="shared" si="90"/>
        <v>0</v>
      </c>
      <c r="AF500" s="19" t="str">
        <f>VLOOKUP(C500,'2021-22 School Level AAFTE'!C:N,12,FALSE)</f>
        <v>No</v>
      </c>
    </row>
    <row r="501" spans="1:32" s="19" customFormat="1">
      <c r="A501" s="97" t="s">
        <v>2475</v>
      </c>
      <c r="B501" s="97" t="s">
        <v>1645</v>
      </c>
      <c r="C501" s="95">
        <v>3560</v>
      </c>
      <c r="D501" s="95" t="s">
        <v>1670</v>
      </c>
      <c r="E501" s="129">
        <f>VLOOKUP($C501,'2021-22 School Level AAFTE'!$C:$Z,11,FALSE)</f>
        <v>0.45726666666666665</v>
      </c>
      <c r="F501" s="129" t="str">
        <f>VLOOKUP($C501,'2021-22 School Level AAFTE'!$C:$Z,8,FALSE)</f>
        <v>No</v>
      </c>
      <c r="G501" s="129" t="str">
        <f>VLOOKUP($C501,'2021-22 School Level AAFTE'!$C:$Z,12,FALSE)</f>
        <v>No</v>
      </c>
      <c r="H501" s="127">
        <f>VLOOKUP($C501,'2021-22 School Level AAFTE'!$C:$I,7,FALSE)</f>
        <v>739.58</v>
      </c>
      <c r="I501" s="112">
        <f>IFERROR(IF(OR(G501="yes",F501= "yes"),VLOOKUP(C501,Summary!$B:$J,6,0),0),0)</f>
        <v>0</v>
      </c>
      <c r="J501" s="111">
        <f t="shared" si="93"/>
        <v>0</v>
      </c>
      <c r="K501" s="91">
        <f>VLOOKUP($A501,'2022-23 Salary &amp; Benefits'!$A:$I,3,FALSE)</f>
        <v>1.18</v>
      </c>
      <c r="L501" s="91">
        <f>VLOOKUP($A501,'2022-23 Salary &amp; Benefits'!$A:$I,4,FALSE)</f>
        <v>1.18</v>
      </c>
      <c r="M501" s="101">
        <f t="shared" si="88"/>
        <v>0</v>
      </c>
      <c r="N501" s="24">
        <v>15</v>
      </c>
      <c r="O501" s="26">
        <f t="shared" si="91"/>
        <v>0</v>
      </c>
      <c r="P501" s="24">
        <v>1.1000000000000001</v>
      </c>
      <c r="Q501" s="24">
        <v>36</v>
      </c>
      <c r="R501" s="27">
        <f t="shared" si="92"/>
        <v>0</v>
      </c>
      <c r="S501" s="102">
        <f t="shared" si="94"/>
        <v>0</v>
      </c>
      <c r="T501" s="21">
        <f>VLOOKUP($A501,'2022-23 Salary &amp; Benefits'!$A:$I,5,FALSE)</f>
        <v>68937</v>
      </c>
      <c r="U501" s="21">
        <f>VLOOKUP($A501,'2022-23 Salary &amp; Benefits'!$A:$I,6,FALSE)</f>
        <v>72728</v>
      </c>
      <c r="V501" s="22">
        <f t="shared" si="95"/>
        <v>0</v>
      </c>
      <c r="W501" s="22">
        <f t="shared" si="96"/>
        <v>0</v>
      </c>
      <c r="X501" s="22">
        <f>'2022-23 Salary &amp; Benefits'!$G$6</f>
        <v>12558.24</v>
      </c>
      <c r="Y501" s="23">
        <f>'2022-23 Salary &amp; Benefits'!$H$6</f>
        <v>0.2298</v>
      </c>
      <c r="Z501" s="23">
        <f>'2022-23 Salary &amp; Benefits'!$I$6</f>
        <v>0.22339999999999999</v>
      </c>
      <c r="AA501" s="22">
        <f t="shared" si="97"/>
        <v>0</v>
      </c>
      <c r="AB501" s="22">
        <f t="shared" si="98"/>
        <v>0</v>
      </c>
      <c r="AC501" s="22">
        <f t="shared" si="99"/>
        <v>0</v>
      </c>
      <c r="AD501" s="22">
        <f t="shared" si="89"/>
        <v>0</v>
      </c>
      <c r="AE501" s="22">
        <f t="shared" si="90"/>
        <v>0</v>
      </c>
      <c r="AF501" s="19" t="str">
        <f>VLOOKUP(C501,'2021-22 School Level AAFTE'!C:N,12,FALSE)</f>
        <v>No</v>
      </c>
    </row>
    <row r="502" spans="1:32" s="19" customFormat="1">
      <c r="A502" s="97" t="s">
        <v>2475</v>
      </c>
      <c r="B502" s="97" t="s">
        <v>1645</v>
      </c>
      <c r="C502" s="95">
        <v>3605</v>
      </c>
      <c r="D502" s="95" t="s">
        <v>1671</v>
      </c>
      <c r="E502" s="129">
        <f>VLOOKUP($C502,'2021-22 School Level AAFTE'!$C:$Z,11,FALSE)</f>
        <v>0.19993333333333332</v>
      </c>
      <c r="F502" s="129" t="str">
        <f>VLOOKUP($C502,'2021-22 School Level AAFTE'!$C:$Z,8,FALSE)</f>
        <v>No</v>
      </c>
      <c r="G502" s="129" t="str">
        <f>VLOOKUP($C502,'2021-22 School Level AAFTE'!$C:$Z,12,FALSE)</f>
        <v>No</v>
      </c>
      <c r="H502" s="127">
        <f>VLOOKUP($C502,'2021-22 School Level AAFTE'!$C:$I,7,FALSE)</f>
        <v>405.14</v>
      </c>
      <c r="I502" s="112">
        <f>IFERROR(IF(OR(G502="yes",F502= "yes"),VLOOKUP(C502,Summary!$B:$J,6,0),0),0)</f>
        <v>0</v>
      </c>
      <c r="J502" s="111">
        <f t="shared" si="93"/>
        <v>0</v>
      </c>
      <c r="K502" s="91">
        <f>VLOOKUP($A502,'2022-23 Salary &amp; Benefits'!$A:$I,3,FALSE)</f>
        <v>1.18</v>
      </c>
      <c r="L502" s="91">
        <f>VLOOKUP($A502,'2022-23 Salary &amp; Benefits'!$A:$I,4,FALSE)</f>
        <v>1.18</v>
      </c>
      <c r="M502" s="39">
        <f t="shared" si="88"/>
        <v>0</v>
      </c>
      <c r="N502" s="24">
        <v>15</v>
      </c>
      <c r="O502" s="26">
        <f t="shared" si="91"/>
        <v>0</v>
      </c>
      <c r="P502" s="24">
        <v>1.1000000000000001</v>
      </c>
      <c r="Q502" s="24">
        <v>36</v>
      </c>
      <c r="R502" s="27">
        <f t="shared" si="92"/>
        <v>0</v>
      </c>
      <c r="S502" s="102">
        <f t="shared" si="94"/>
        <v>0</v>
      </c>
      <c r="T502" s="21">
        <f>VLOOKUP($A502,'2022-23 Salary &amp; Benefits'!$A:$I,5,FALSE)</f>
        <v>68937</v>
      </c>
      <c r="U502" s="21">
        <f>VLOOKUP($A502,'2022-23 Salary &amp; Benefits'!$A:$I,6,FALSE)</f>
        <v>72728</v>
      </c>
      <c r="V502" s="22">
        <f t="shared" si="95"/>
        <v>0</v>
      </c>
      <c r="W502" s="22">
        <f t="shared" si="96"/>
        <v>0</v>
      </c>
      <c r="X502" s="22">
        <f>'2022-23 Salary &amp; Benefits'!$G$6</f>
        <v>12558.24</v>
      </c>
      <c r="Y502" s="23">
        <f>'2022-23 Salary &amp; Benefits'!$H$6</f>
        <v>0.2298</v>
      </c>
      <c r="Z502" s="23">
        <f>'2022-23 Salary &amp; Benefits'!$I$6</f>
        <v>0.22339999999999999</v>
      </c>
      <c r="AA502" s="22">
        <f t="shared" si="97"/>
        <v>0</v>
      </c>
      <c r="AB502" s="22">
        <f t="shared" si="98"/>
        <v>0</v>
      </c>
      <c r="AC502" s="22">
        <f t="shared" si="99"/>
        <v>0</v>
      </c>
      <c r="AD502" s="22">
        <f t="shared" si="89"/>
        <v>0</v>
      </c>
      <c r="AE502" s="22">
        <f t="shared" si="90"/>
        <v>0</v>
      </c>
      <c r="AF502" s="19" t="str">
        <f>VLOOKUP(C502,'2021-22 School Level AAFTE'!C:N,12,FALSE)</f>
        <v>No</v>
      </c>
    </row>
    <row r="503" spans="1:32" s="19" customFormat="1">
      <c r="A503" s="97" t="s">
        <v>2475</v>
      </c>
      <c r="B503" s="97" t="s">
        <v>1645</v>
      </c>
      <c r="C503" s="95">
        <v>3606</v>
      </c>
      <c r="D503" s="95" t="s">
        <v>1672</v>
      </c>
      <c r="E503" s="129">
        <f>VLOOKUP($C503,'2021-22 School Level AAFTE'!$C:$Z,11,FALSE)</f>
        <v>0.12796666666666667</v>
      </c>
      <c r="F503" s="129" t="str">
        <f>VLOOKUP($C503,'2021-22 School Level AAFTE'!$C:$Z,8,FALSE)</f>
        <v>No</v>
      </c>
      <c r="G503" s="129" t="str">
        <f>VLOOKUP($C503,'2021-22 School Level AAFTE'!$C:$Z,12,FALSE)</f>
        <v>No</v>
      </c>
      <c r="H503" s="127">
        <f>VLOOKUP($C503,'2021-22 School Level AAFTE'!$C:$I,7,FALSE)</f>
        <v>254.29</v>
      </c>
      <c r="I503" s="112">
        <f>IFERROR(IF(OR(G503="yes",F503= "yes"),VLOOKUP(C503,Summary!$B:$J,6,0),0),0)</f>
        <v>0</v>
      </c>
      <c r="J503" s="111">
        <f t="shared" si="93"/>
        <v>0</v>
      </c>
      <c r="K503" s="91">
        <f>VLOOKUP($A503,'2022-23 Salary &amp; Benefits'!$A:$I,3,FALSE)</f>
        <v>1.18</v>
      </c>
      <c r="L503" s="91">
        <f>VLOOKUP($A503,'2022-23 Salary &amp; Benefits'!$A:$I,4,FALSE)</f>
        <v>1.18</v>
      </c>
      <c r="M503" s="39">
        <f t="shared" ref="M503:M565" si="103">IF(I503&gt;0,I503,J503)</f>
        <v>0</v>
      </c>
      <c r="N503" s="24">
        <v>15</v>
      </c>
      <c r="O503" s="26">
        <f t="shared" si="91"/>
        <v>0</v>
      </c>
      <c r="P503" s="24">
        <v>1.1000000000000001</v>
      </c>
      <c r="Q503" s="24">
        <v>36</v>
      </c>
      <c r="R503" s="27">
        <f t="shared" si="92"/>
        <v>0</v>
      </c>
      <c r="S503" s="102">
        <f t="shared" si="94"/>
        <v>0</v>
      </c>
      <c r="T503" s="21">
        <f>VLOOKUP($A503,'2022-23 Salary &amp; Benefits'!$A:$I,5,FALSE)</f>
        <v>68937</v>
      </c>
      <c r="U503" s="21">
        <f>VLOOKUP($A503,'2022-23 Salary &amp; Benefits'!$A:$I,6,FALSE)</f>
        <v>72728</v>
      </c>
      <c r="V503" s="22">
        <f t="shared" si="95"/>
        <v>0</v>
      </c>
      <c r="W503" s="22">
        <f t="shared" si="96"/>
        <v>0</v>
      </c>
      <c r="X503" s="22">
        <f>'2022-23 Salary &amp; Benefits'!$G$6</f>
        <v>12558.24</v>
      </c>
      <c r="Y503" s="23">
        <f>'2022-23 Salary &amp; Benefits'!$H$6</f>
        <v>0.2298</v>
      </c>
      <c r="Z503" s="23">
        <f>'2022-23 Salary &amp; Benefits'!$I$6</f>
        <v>0.22339999999999999</v>
      </c>
      <c r="AA503" s="22">
        <f t="shared" si="97"/>
        <v>0</v>
      </c>
      <c r="AB503" s="22">
        <f t="shared" si="98"/>
        <v>0</v>
      </c>
      <c r="AC503" s="22">
        <f t="shared" si="99"/>
        <v>0</v>
      </c>
      <c r="AD503" s="22">
        <f t="shared" ref="AD503:AD565" si="104">SUM(AB503:AC503)</f>
        <v>0</v>
      </c>
      <c r="AE503" s="22">
        <f t="shared" ref="AE503:AE565" si="105">SUM(AA503,V503:W503,AD503)</f>
        <v>0</v>
      </c>
      <c r="AF503" s="19" t="str">
        <f>VLOOKUP(C503,'2021-22 School Level AAFTE'!C:N,12,FALSE)</f>
        <v>No</v>
      </c>
    </row>
    <row r="504" spans="1:32" s="19" customFormat="1">
      <c r="A504" s="97" t="s">
        <v>2475</v>
      </c>
      <c r="B504" s="97" t="s">
        <v>1645</v>
      </c>
      <c r="C504" s="95">
        <v>3607</v>
      </c>
      <c r="D504" s="95" t="s">
        <v>1673</v>
      </c>
      <c r="E504" s="129">
        <f>VLOOKUP($C504,'2021-22 School Level AAFTE'!$C:$Z,11,FALSE)</f>
        <v>0.30346666666666666</v>
      </c>
      <c r="F504" s="129" t="str">
        <f>VLOOKUP($C504,'2021-22 School Level AAFTE'!$C:$Z,8,FALSE)</f>
        <v>No</v>
      </c>
      <c r="G504" s="129" t="str">
        <f>VLOOKUP($C504,'2021-22 School Level AAFTE'!$C:$Z,12,FALSE)</f>
        <v>No</v>
      </c>
      <c r="H504" s="127">
        <f>VLOOKUP($C504,'2021-22 School Level AAFTE'!$C:$I,7,FALSE)</f>
        <v>400.57</v>
      </c>
      <c r="I504" s="112">
        <f>IFERROR(IF(OR(G504="yes",F504= "yes"),VLOOKUP(C504,Summary!$B:$J,6,0),0),0)</f>
        <v>0</v>
      </c>
      <c r="J504" s="111">
        <f t="shared" si="93"/>
        <v>0</v>
      </c>
      <c r="K504" s="91">
        <f>VLOOKUP($A504,'2022-23 Salary &amp; Benefits'!$A:$I,3,FALSE)</f>
        <v>1.18</v>
      </c>
      <c r="L504" s="91">
        <f>VLOOKUP($A504,'2022-23 Salary &amp; Benefits'!$A:$I,4,FALSE)</f>
        <v>1.18</v>
      </c>
      <c r="M504" s="101">
        <f t="shared" si="103"/>
        <v>0</v>
      </c>
      <c r="N504" s="24">
        <v>15</v>
      </c>
      <c r="O504" s="26">
        <f t="shared" si="91"/>
        <v>0</v>
      </c>
      <c r="P504" s="24">
        <v>1.1000000000000001</v>
      </c>
      <c r="Q504" s="24">
        <v>36</v>
      </c>
      <c r="R504" s="27">
        <f t="shared" si="92"/>
        <v>0</v>
      </c>
      <c r="S504" s="102">
        <f t="shared" si="94"/>
        <v>0</v>
      </c>
      <c r="T504" s="21">
        <f>VLOOKUP($A504,'2022-23 Salary &amp; Benefits'!$A:$I,5,FALSE)</f>
        <v>68937</v>
      </c>
      <c r="U504" s="21">
        <f>VLOOKUP($A504,'2022-23 Salary &amp; Benefits'!$A:$I,6,FALSE)</f>
        <v>72728</v>
      </c>
      <c r="V504" s="22">
        <f t="shared" si="95"/>
        <v>0</v>
      </c>
      <c r="W504" s="22">
        <f t="shared" si="96"/>
        <v>0</v>
      </c>
      <c r="X504" s="22">
        <f>'2022-23 Salary &amp; Benefits'!$G$6</f>
        <v>12558.24</v>
      </c>
      <c r="Y504" s="23">
        <f>'2022-23 Salary &amp; Benefits'!$H$6</f>
        <v>0.2298</v>
      </c>
      <c r="Z504" s="23">
        <f>'2022-23 Salary &amp; Benefits'!$I$6</f>
        <v>0.22339999999999999</v>
      </c>
      <c r="AA504" s="22">
        <f t="shared" si="97"/>
        <v>0</v>
      </c>
      <c r="AB504" s="22">
        <f t="shared" si="98"/>
        <v>0</v>
      </c>
      <c r="AC504" s="22">
        <f t="shared" si="99"/>
        <v>0</v>
      </c>
      <c r="AD504" s="22">
        <f t="shared" si="104"/>
        <v>0</v>
      </c>
      <c r="AE504" s="22">
        <f t="shared" si="105"/>
        <v>0</v>
      </c>
      <c r="AF504" s="19" t="str">
        <f>VLOOKUP(C504,'2021-22 School Level AAFTE'!C:N,12,FALSE)</f>
        <v>No</v>
      </c>
    </row>
    <row r="505" spans="1:32" s="19" customFormat="1">
      <c r="A505" s="97" t="s">
        <v>2475</v>
      </c>
      <c r="B505" s="97" t="s">
        <v>1645</v>
      </c>
      <c r="C505" s="95">
        <v>3608</v>
      </c>
      <c r="D505" s="95" t="s">
        <v>1674</v>
      </c>
      <c r="E505" s="129">
        <f>VLOOKUP($C505,'2021-22 School Level AAFTE'!$C:$Z,11,FALSE)</f>
        <v>0.35810000000000003</v>
      </c>
      <c r="F505" s="129" t="str">
        <f>VLOOKUP($C505,'2021-22 School Level AAFTE'!$C:$Z,8,FALSE)</f>
        <v>No</v>
      </c>
      <c r="G505" s="129" t="str">
        <f>VLOOKUP($C505,'2021-22 School Level AAFTE'!$C:$Z,12,FALSE)</f>
        <v>No</v>
      </c>
      <c r="H505" s="127">
        <f>VLOOKUP($C505,'2021-22 School Level AAFTE'!$C:$I,7,FALSE)</f>
        <v>527.16</v>
      </c>
      <c r="I505" s="112">
        <f>IFERROR(IF(OR(G505="yes",F505= "yes"),VLOOKUP(C505,Summary!$B:$J,6,0),0),0)</f>
        <v>0</v>
      </c>
      <c r="J505" s="111">
        <f t="shared" si="93"/>
        <v>0</v>
      </c>
      <c r="K505" s="91">
        <f>VLOOKUP($A505,'2022-23 Salary &amp; Benefits'!$A:$I,3,FALSE)</f>
        <v>1.18</v>
      </c>
      <c r="L505" s="91">
        <f>VLOOKUP($A505,'2022-23 Salary &amp; Benefits'!$A:$I,4,FALSE)</f>
        <v>1.18</v>
      </c>
      <c r="M505" s="101">
        <f t="shared" si="103"/>
        <v>0</v>
      </c>
      <c r="N505" s="24">
        <v>15</v>
      </c>
      <c r="O505" s="26">
        <f t="shared" si="91"/>
        <v>0</v>
      </c>
      <c r="P505" s="24">
        <v>1.1000000000000001</v>
      </c>
      <c r="Q505" s="24">
        <v>36</v>
      </c>
      <c r="R505" s="27">
        <f t="shared" si="92"/>
        <v>0</v>
      </c>
      <c r="S505" s="102">
        <f t="shared" si="94"/>
        <v>0</v>
      </c>
      <c r="T505" s="21">
        <f>VLOOKUP($A505,'2022-23 Salary &amp; Benefits'!$A:$I,5,FALSE)</f>
        <v>68937</v>
      </c>
      <c r="U505" s="21">
        <f>VLOOKUP($A505,'2022-23 Salary &amp; Benefits'!$A:$I,6,FALSE)</f>
        <v>72728</v>
      </c>
      <c r="V505" s="22">
        <f t="shared" si="95"/>
        <v>0</v>
      </c>
      <c r="W505" s="22">
        <f t="shared" si="96"/>
        <v>0</v>
      </c>
      <c r="X505" s="22">
        <f>'2022-23 Salary &amp; Benefits'!$G$6</f>
        <v>12558.24</v>
      </c>
      <c r="Y505" s="23">
        <f>'2022-23 Salary &amp; Benefits'!$H$6</f>
        <v>0.2298</v>
      </c>
      <c r="Z505" s="23">
        <f>'2022-23 Salary &amp; Benefits'!$I$6</f>
        <v>0.22339999999999999</v>
      </c>
      <c r="AA505" s="22">
        <f t="shared" si="97"/>
        <v>0</v>
      </c>
      <c r="AB505" s="22">
        <f t="shared" si="98"/>
        <v>0</v>
      </c>
      <c r="AC505" s="22">
        <f t="shared" si="99"/>
        <v>0</v>
      </c>
      <c r="AD505" s="22">
        <f t="shared" si="104"/>
        <v>0</v>
      </c>
      <c r="AE505" s="22">
        <f t="shared" si="105"/>
        <v>0</v>
      </c>
      <c r="AF505" s="19" t="str">
        <f>VLOOKUP(C505,'2021-22 School Level AAFTE'!C:N,12,FALSE)</f>
        <v>No</v>
      </c>
    </row>
    <row r="506" spans="1:32" s="19" customFormat="1">
      <c r="A506" s="97" t="s">
        <v>2475</v>
      </c>
      <c r="B506" s="97" t="s">
        <v>1645</v>
      </c>
      <c r="C506" s="95">
        <v>3650</v>
      </c>
      <c r="D506" s="95" t="s">
        <v>1675</v>
      </c>
      <c r="E506" s="129">
        <f>VLOOKUP($C506,'2021-22 School Level AAFTE'!$C:$Z,11,FALSE)</f>
        <v>0.30049999999999999</v>
      </c>
      <c r="F506" s="129" t="str">
        <f>VLOOKUP($C506,'2021-22 School Level AAFTE'!$C:$Z,8,FALSE)</f>
        <v>No</v>
      </c>
      <c r="G506" s="129" t="str">
        <f>VLOOKUP($C506,'2021-22 School Level AAFTE'!$C:$Z,12,FALSE)</f>
        <v>No</v>
      </c>
      <c r="H506" s="127">
        <f>VLOOKUP($C506,'2021-22 School Level AAFTE'!$C:$I,7,FALSE)</f>
        <v>682.71</v>
      </c>
      <c r="I506" s="112">
        <f>IFERROR(IF(OR(G506="yes",F506= "yes"),VLOOKUP(C506,Summary!$B:$J,6,0),0),0)</f>
        <v>0</v>
      </c>
      <c r="J506" s="111">
        <f t="shared" si="93"/>
        <v>0</v>
      </c>
      <c r="K506" s="91">
        <f>VLOOKUP($A506,'2022-23 Salary &amp; Benefits'!$A:$I,3,FALSE)</f>
        <v>1.18</v>
      </c>
      <c r="L506" s="91">
        <f>VLOOKUP($A506,'2022-23 Salary &amp; Benefits'!$A:$I,4,FALSE)</f>
        <v>1.18</v>
      </c>
      <c r="M506" s="39">
        <f t="shared" si="103"/>
        <v>0</v>
      </c>
      <c r="N506" s="24">
        <v>15</v>
      </c>
      <c r="O506" s="26">
        <f t="shared" si="91"/>
        <v>0</v>
      </c>
      <c r="P506" s="24">
        <v>1.1000000000000001</v>
      </c>
      <c r="Q506" s="24">
        <v>36</v>
      </c>
      <c r="R506" s="27">
        <f t="shared" si="92"/>
        <v>0</v>
      </c>
      <c r="S506" s="102">
        <f t="shared" si="94"/>
        <v>0</v>
      </c>
      <c r="T506" s="21">
        <f>VLOOKUP($A506,'2022-23 Salary &amp; Benefits'!$A:$I,5,FALSE)</f>
        <v>68937</v>
      </c>
      <c r="U506" s="21">
        <f>VLOOKUP($A506,'2022-23 Salary &amp; Benefits'!$A:$I,6,FALSE)</f>
        <v>72728</v>
      </c>
      <c r="V506" s="22">
        <f t="shared" si="95"/>
        <v>0</v>
      </c>
      <c r="W506" s="22">
        <f t="shared" si="96"/>
        <v>0</v>
      </c>
      <c r="X506" s="22">
        <f>'2022-23 Salary &amp; Benefits'!$G$6</f>
        <v>12558.24</v>
      </c>
      <c r="Y506" s="23">
        <f>'2022-23 Salary &amp; Benefits'!$H$6</f>
        <v>0.2298</v>
      </c>
      <c r="Z506" s="23">
        <f>'2022-23 Salary &amp; Benefits'!$I$6</f>
        <v>0.22339999999999999</v>
      </c>
      <c r="AA506" s="22">
        <f t="shared" si="97"/>
        <v>0</v>
      </c>
      <c r="AB506" s="22">
        <f t="shared" si="98"/>
        <v>0</v>
      </c>
      <c r="AC506" s="22">
        <f t="shared" si="99"/>
        <v>0</v>
      </c>
      <c r="AD506" s="22">
        <f t="shared" si="104"/>
        <v>0</v>
      </c>
      <c r="AE506" s="22">
        <f t="shared" si="105"/>
        <v>0</v>
      </c>
      <c r="AF506" s="19" t="str">
        <f>VLOOKUP(C506,'2021-22 School Level AAFTE'!C:N,12,FALSE)</f>
        <v>No</v>
      </c>
    </row>
    <row r="507" spans="1:32" s="19" customFormat="1">
      <c r="A507" s="97" t="s">
        <v>2475</v>
      </c>
      <c r="B507" s="97" t="s">
        <v>1645</v>
      </c>
      <c r="C507" s="95">
        <v>3689</v>
      </c>
      <c r="D507" s="95" t="s">
        <v>720</v>
      </c>
      <c r="E507" s="129">
        <f>VLOOKUP($C507,'2021-22 School Level AAFTE'!$C:$Z,11,FALSE)</f>
        <v>0.1646</v>
      </c>
      <c r="F507" s="129" t="str">
        <f>VLOOKUP($C507,'2021-22 School Level AAFTE'!$C:$Z,8,FALSE)</f>
        <v>No</v>
      </c>
      <c r="G507" s="129" t="str">
        <f>VLOOKUP($C507,'2021-22 School Level AAFTE'!$C:$Z,12,FALSE)</f>
        <v>No</v>
      </c>
      <c r="H507" s="127">
        <f>VLOOKUP($C507,'2021-22 School Level AAFTE'!$C:$I,7,FALSE)</f>
        <v>526.72</v>
      </c>
      <c r="I507" s="112">
        <f>IFERROR(IF(OR(G507="yes",F507= "yes"),VLOOKUP(C507,Summary!$B:$J,6,0),0),0)</f>
        <v>0</v>
      </c>
      <c r="J507" s="111">
        <f t="shared" si="93"/>
        <v>0</v>
      </c>
      <c r="K507" s="91">
        <f>VLOOKUP($A507,'2022-23 Salary &amp; Benefits'!$A:$I,3,FALSE)</f>
        <v>1.18</v>
      </c>
      <c r="L507" s="91">
        <f>VLOOKUP($A507,'2022-23 Salary &amp; Benefits'!$A:$I,4,FALSE)</f>
        <v>1.18</v>
      </c>
      <c r="M507" s="39">
        <f t="shared" si="103"/>
        <v>0</v>
      </c>
      <c r="N507" s="24">
        <v>15</v>
      </c>
      <c r="O507" s="26">
        <f t="shared" si="91"/>
        <v>0</v>
      </c>
      <c r="P507" s="24">
        <v>1.1000000000000001</v>
      </c>
      <c r="Q507" s="24">
        <v>36</v>
      </c>
      <c r="R507" s="27">
        <f t="shared" si="92"/>
        <v>0</v>
      </c>
      <c r="S507" s="102">
        <f t="shared" si="94"/>
        <v>0</v>
      </c>
      <c r="T507" s="21">
        <f>VLOOKUP($A507,'2022-23 Salary &amp; Benefits'!$A:$I,5,FALSE)</f>
        <v>68937</v>
      </c>
      <c r="U507" s="21">
        <f>VLOOKUP($A507,'2022-23 Salary &amp; Benefits'!$A:$I,6,FALSE)</f>
        <v>72728</v>
      </c>
      <c r="V507" s="22">
        <f t="shared" si="95"/>
        <v>0</v>
      </c>
      <c r="W507" s="22">
        <f t="shared" si="96"/>
        <v>0</v>
      </c>
      <c r="X507" s="22">
        <f>'2022-23 Salary &amp; Benefits'!$G$6</f>
        <v>12558.24</v>
      </c>
      <c r="Y507" s="23">
        <f>'2022-23 Salary &amp; Benefits'!$H$6</f>
        <v>0.2298</v>
      </c>
      <c r="Z507" s="23">
        <f>'2022-23 Salary &amp; Benefits'!$I$6</f>
        <v>0.22339999999999999</v>
      </c>
      <c r="AA507" s="22">
        <f t="shared" si="97"/>
        <v>0</v>
      </c>
      <c r="AB507" s="22">
        <f t="shared" si="98"/>
        <v>0</v>
      </c>
      <c r="AC507" s="22">
        <f t="shared" si="99"/>
        <v>0</v>
      </c>
      <c r="AD507" s="22">
        <f t="shared" si="104"/>
        <v>0</v>
      </c>
      <c r="AE507" s="22">
        <f t="shared" si="105"/>
        <v>0</v>
      </c>
      <c r="AF507" s="19" t="str">
        <f>VLOOKUP(C507,'2021-22 School Level AAFTE'!C:N,12,FALSE)</f>
        <v>No</v>
      </c>
    </row>
    <row r="508" spans="1:32" s="19" customFormat="1">
      <c r="A508" s="97" t="s">
        <v>2475</v>
      </c>
      <c r="B508" s="97" t="s">
        <v>1645</v>
      </c>
      <c r="C508" s="95">
        <v>3691</v>
      </c>
      <c r="D508" s="95" t="s">
        <v>1676</v>
      </c>
      <c r="E508" s="129">
        <f>VLOOKUP($C508,'2021-22 School Level AAFTE'!$C:$Z,11,FALSE)</f>
        <v>0.64383333333333337</v>
      </c>
      <c r="F508" s="129" t="str">
        <f>VLOOKUP($C508,'2021-22 School Level AAFTE'!$C:$Z,8,FALSE)</f>
        <v>Yes</v>
      </c>
      <c r="G508" s="129" t="str">
        <f>VLOOKUP($C508,'2021-22 School Level AAFTE'!$C:$Z,12,FALSE)</f>
        <v>No</v>
      </c>
      <c r="H508" s="127">
        <f>VLOOKUP($C508,'2021-22 School Level AAFTE'!$C:$I,7,FALSE)</f>
        <v>448.14</v>
      </c>
      <c r="I508" s="112">
        <f>IFERROR(IF(OR(G508="yes",F508= "yes"),VLOOKUP(C508,Summary!$B:$J,6,0),0),0)</f>
        <v>0</v>
      </c>
      <c r="J508" s="111">
        <f t="shared" si="93"/>
        <v>448.14</v>
      </c>
      <c r="K508" s="91">
        <f>VLOOKUP($A508,'2022-23 Salary &amp; Benefits'!$A:$I,3,FALSE)</f>
        <v>1.18</v>
      </c>
      <c r="L508" s="91">
        <f>VLOOKUP($A508,'2022-23 Salary &amp; Benefits'!$A:$I,4,FALSE)</f>
        <v>1.18</v>
      </c>
      <c r="M508" s="101">
        <f t="shared" si="103"/>
        <v>448.14</v>
      </c>
      <c r="N508" s="24">
        <v>15</v>
      </c>
      <c r="O508" s="26">
        <f t="shared" si="91"/>
        <v>29.875999999999998</v>
      </c>
      <c r="P508" s="24">
        <v>1.1000000000000001</v>
      </c>
      <c r="Q508" s="24">
        <v>36</v>
      </c>
      <c r="R508" s="27">
        <f t="shared" si="92"/>
        <v>1183.0896</v>
      </c>
      <c r="S508" s="102">
        <f t="shared" si="94"/>
        <v>1.3149999999999999</v>
      </c>
      <c r="T508" s="21">
        <f>VLOOKUP($A508,'2022-23 Salary &amp; Benefits'!$A:$I,5,FALSE)</f>
        <v>68937</v>
      </c>
      <c r="U508" s="21">
        <f>VLOOKUP($A508,'2022-23 Salary &amp; Benefits'!$A:$I,6,FALSE)</f>
        <v>72728</v>
      </c>
      <c r="V508" s="22">
        <f t="shared" si="95"/>
        <v>106969.54</v>
      </c>
      <c r="W508" s="22">
        <f t="shared" si="96"/>
        <v>5882.5</v>
      </c>
      <c r="X508" s="22">
        <f>'2022-23 Salary &amp; Benefits'!$G$6</f>
        <v>12558.24</v>
      </c>
      <c r="Y508" s="23">
        <f>'2022-23 Salary &amp; Benefits'!$H$6</f>
        <v>0.2298</v>
      </c>
      <c r="Z508" s="23">
        <f>'2022-23 Salary &amp; Benefits'!$I$6</f>
        <v>0.22339999999999999</v>
      </c>
      <c r="AA508" s="22">
        <f t="shared" si="97"/>
        <v>42409.84</v>
      </c>
      <c r="AB508" s="22">
        <f t="shared" si="98"/>
        <v>1880.87</v>
      </c>
      <c r="AC508" s="22">
        <f t="shared" si="99"/>
        <v>420.19</v>
      </c>
      <c r="AD508" s="22">
        <f t="shared" si="104"/>
        <v>2301.06</v>
      </c>
      <c r="AE508" s="22">
        <f t="shared" si="105"/>
        <v>157562.94</v>
      </c>
      <c r="AF508" s="19" t="str">
        <f>VLOOKUP(C508,'2021-22 School Level AAFTE'!C:N,12,FALSE)</f>
        <v>No</v>
      </c>
    </row>
    <row r="509" spans="1:32" s="19" customFormat="1">
      <c r="A509" s="97" t="s">
        <v>2475</v>
      </c>
      <c r="B509" s="97" t="s">
        <v>1645</v>
      </c>
      <c r="C509" s="95">
        <v>3754</v>
      </c>
      <c r="D509" s="95" t="s">
        <v>1677</v>
      </c>
      <c r="E509" s="129">
        <f>VLOOKUP($C509,'2021-22 School Level AAFTE'!$C:$Z,11,FALSE)</f>
        <v>0.45183333333333331</v>
      </c>
      <c r="F509" s="129" t="str">
        <f>VLOOKUP($C509,'2021-22 School Level AAFTE'!$C:$Z,8,FALSE)</f>
        <v>No</v>
      </c>
      <c r="G509" s="129" t="str">
        <f>VLOOKUP($C509,'2021-22 School Level AAFTE'!$C:$Z,12,FALSE)</f>
        <v>No</v>
      </c>
      <c r="H509" s="127">
        <f>VLOOKUP($C509,'2021-22 School Level AAFTE'!$C:$I,7,FALSE)</f>
        <v>453.71</v>
      </c>
      <c r="I509" s="112">
        <f>IFERROR(IF(OR(G509="yes",F509= "yes"),VLOOKUP(C509,Summary!$B:$J,6,0),0),0)</f>
        <v>0</v>
      </c>
      <c r="J509" s="111">
        <f t="shared" si="93"/>
        <v>0</v>
      </c>
      <c r="K509" s="91">
        <f>VLOOKUP($A509,'2022-23 Salary &amp; Benefits'!$A:$I,3,FALSE)</f>
        <v>1.18</v>
      </c>
      <c r="L509" s="91">
        <f>VLOOKUP($A509,'2022-23 Salary &amp; Benefits'!$A:$I,4,FALSE)</f>
        <v>1.18</v>
      </c>
      <c r="M509" s="39">
        <f t="shared" si="103"/>
        <v>0</v>
      </c>
      <c r="N509" s="24">
        <v>15</v>
      </c>
      <c r="O509" s="26">
        <f t="shared" si="91"/>
        <v>0</v>
      </c>
      <c r="P509" s="24">
        <v>1.1000000000000001</v>
      </c>
      <c r="Q509" s="24">
        <v>36</v>
      </c>
      <c r="R509" s="27">
        <f t="shared" si="92"/>
        <v>0</v>
      </c>
      <c r="S509" s="102">
        <f t="shared" si="94"/>
        <v>0</v>
      </c>
      <c r="T509" s="21">
        <f>VLOOKUP($A509,'2022-23 Salary &amp; Benefits'!$A:$I,5,FALSE)</f>
        <v>68937</v>
      </c>
      <c r="U509" s="21">
        <f>VLOOKUP($A509,'2022-23 Salary &amp; Benefits'!$A:$I,6,FALSE)</f>
        <v>72728</v>
      </c>
      <c r="V509" s="22">
        <f t="shared" si="95"/>
        <v>0</v>
      </c>
      <c r="W509" s="22">
        <f t="shared" si="96"/>
        <v>0</v>
      </c>
      <c r="X509" s="22">
        <f>'2022-23 Salary &amp; Benefits'!$G$6</f>
        <v>12558.24</v>
      </c>
      <c r="Y509" s="23">
        <f>'2022-23 Salary &amp; Benefits'!$H$6</f>
        <v>0.2298</v>
      </c>
      <c r="Z509" s="23">
        <f>'2022-23 Salary &amp; Benefits'!$I$6</f>
        <v>0.22339999999999999</v>
      </c>
      <c r="AA509" s="22">
        <f t="shared" si="97"/>
        <v>0</v>
      </c>
      <c r="AB509" s="22">
        <f t="shared" si="98"/>
        <v>0</v>
      </c>
      <c r="AC509" s="22">
        <f t="shared" si="99"/>
        <v>0</v>
      </c>
      <c r="AD509" s="22">
        <f t="shared" si="104"/>
        <v>0</v>
      </c>
      <c r="AE509" s="22">
        <f t="shared" si="105"/>
        <v>0</v>
      </c>
      <c r="AF509" s="19" t="str">
        <f>VLOOKUP(C509,'2021-22 School Level AAFTE'!C:N,12,FALSE)</f>
        <v>No</v>
      </c>
    </row>
    <row r="510" spans="1:32" s="19" customFormat="1">
      <c r="A510" s="97" t="s">
        <v>2475</v>
      </c>
      <c r="B510" s="97" t="s">
        <v>1645</v>
      </c>
      <c r="C510" s="95">
        <v>3755</v>
      </c>
      <c r="D510" s="95" t="s">
        <v>1678</v>
      </c>
      <c r="E510" s="129">
        <f>VLOOKUP($C510,'2021-22 School Level AAFTE'!$C:$Z,11,FALSE)</f>
        <v>0.43273333333333336</v>
      </c>
      <c r="F510" s="129" t="str">
        <f>VLOOKUP($C510,'2021-22 School Level AAFTE'!$C:$Z,8,FALSE)</f>
        <v>No</v>
      </c>
      <c r="G510" s="129" t="str">
        <f>VLOOKUP($C510,'2021-22 School Level AAFTE'!$C:$Z,12,FALSE)</f>
        <v>No</v>
      </c>
      <c r="H510" s="127">
        <f>VLOOKUP($C510,'2021-22 School Level AAFTE'!$C:$I,7,FALSE)</f>
        <v>1309.7900000000002</v>
      </c>
      <c r="I510" s="112">
        <f>IFERROR(IF(OR(G510="yes",F510= "yes"),VLOOKUP(C510,Summary!$B:$J,6,0),0),0)</f>
        <v>0</v>
      </c>
      <c r="J510" s="111">
        <f t="shared" si="93"/>
        <v>0</v>
      </c>
      <c r="K510" s="91">
        <f>VLOOKUP($A510,'2022-23 Salary &amp; Benefits'!$A:$I,3,FALSE)</f>
        <v>1.18</v>
      </c>
      <c r="L510" s="91">
        <f>VLOOKUP($A510,'2022-23 Salary &amp; Benefits'!$A:$I,4,FALSE)</f>
        <v>1.18</v>
      </c>
      <c r="M510" s="39">
        <f t="shared" si="103"/>
        <v>0</v>
      </c>
      <c r="N510" s="24">
        <v>15</v>
      </c>
      <c r="O510" s="26">
        <f t="shared" si="91"/>
        <v>0</v>
      </c>
      <c r="P510" s="24">
        <v>1.1000000000000001</v>
      </c>
      <c r="Q510" s="24">
        <v>36</v>
      </c>
      <c r="R510" s="27">
        <f t="shared" si="92"/>
        <v>0</v>
      </c>
      <c r="S510" s="102">
        <f t="shared" si="94"/>
        <v>0</v>
      </c>
      <c r="T510" s="21">
        <f>VLOOKUP($A510,'2022-23 Salary &amp; Benefits'!$A:$I,5,FALSE)</f>
        <v>68937</v>
      </c>
      <c r="U510" s="21">
        <f>VLOOKUP($A510,'2022-23 Salary &amp; Benefits'!$A:$I,6,FALSE)</f>
        <v>72728</v>
      </c>
      <c r="V510" s="22">
        <f t="shared" si="95"/>
        <v>0</v>
      </c>
      <c r="W510" s="22">
        <f t="shared" si="96"/>
        <v>0</v>
      </c>
      <c r="X510" s="22">
        <f>'2022-23 Salary &amp; Benefits'!$G$6</f>
        <v>12558.24</v>
      </c>
      <c r="Y510" s="23">
        <f>'2022-23 Salary &amp; Benefits'!$H$6</f>
        <v>0.2298</v>
      </c>
      <c r="Z510" s="23">
        <f>'2022-23 Salary &amp; Benefits'!$I$6</f>
        <v>0.22339999999999999</v>
      </c>
      <c r="AA510" s="22">
        <f t="shared" si="97"/>
        <v>0</v>
      </c>
      <c r="AB510" s="22">
        <f t="shared" si="98"/>
        <v>0</v>
      </c>
      <c r="AC510" s="22">
        <f t="shared" si="99"/>
        <v>0</v>
      </c>
      <c r="AD510" s="22">
        <f t="shared" si="104"/>
        <v>0</v>
      </c>
      <c r="AE510" s="22">
        <f t="shared" si="105"/>
        <v>0</v>
      </c>
      <c r="AF510" s="19" t="str">
        <f>VLOOKUP(C510,'2021-22 School Level AAFTE'!C:N,12,FALSE)</f>
        <v>No</v>
      </c>
    </row>
    <row r="511" spans="1:32" s="19" customFormat="1">
      <c r="A511" s="97" t="s">
        <v>2475</v>
      </c>
      <c r="B511" s="97" t="s">
        <v>1645</v>
      </c>
      <c r="C511" s="95">
        <v>3854</v>
      </c>
      <c r="D511" s="95" t="s">
        <v>1679</v>
      </c>
      <c r="E511" s="129">
        <f>VLOOKUP($C511,'2021-22 School Level AAFTE'!$C:$Z,11,FALSE)</f>
        <v>0.54893333333333338</v>
      </c>
      <c r="F511" s="129" t="str">
        <f>VLOOKUP($C511,'2021-22 School Level AAFTE'!$C:$Z,8,FALSE)</f>
        <v>Yes</v>
      </c>
      <c r="G511" s="129" t="str">
        <f>VLOOKUP($C511,'2021-22 School Level AAFTE'!$C:$Z,12,FALSE)</f>
        <v>No</v>
      </c>
      <c r="H511" s="127">
        <f>VLOOKUP($C511,'2021-22 School Level AAFTE'!$C:$I,7,FALSE)</f>
        <v>189.27</v>
      </c>
      <c r="I511" s="112">
        <f>IFERROR(IF(OR(G511="yes",F511= "yes"),VLOOKUP(C511,Summary!$B:$J,6,0),0),0)</f>
        <v>0</v>
      </c>
      <c r="J511" s="111">
        <f t="shared" si="93"/>
        <v>189.27</v>
      </c>
      <c r="K511" s="91">
        <f>VLOOKUP($A511,'2022-23 Salary &amp; Benefits'!$A:$I,3,FALSE)</f>
        <v>1.18</v>
      </c>
      <c r="L511" s="91">
        <f>VLOOKUP($A511,'2022-23 Salary &amp; Benefits'!$A:$I,4,FALSE)</f>
        <v>1.18</v>
      </c>
      <c r="M511" s="101">
        <f t="shared" si="103"/>
        <v>189.27</v>
      </c>
      <c r="N511" s="24">
        <v>15</v>
      </c>
      <c r="O511" s="26">
        <f t="shared" si="91"/>
        <v>12.618</v>
      </c>
      <c r="P511" s="24">
        <v>1.1000000000000001</v>
      </c>
      <c r="Q511" s="24">
        <v>36</v>
      </c>
      <c r="R511" s="27">
        <f t="shared" si="92"/>
        <v>499.67280000000005</v>
      </c>
      <c r="S511" s="102">
        <f t="shared" si="94"/>
        <v>0.55500000000000005</v>
      </c>
      <c r="T511" s="21">
        <f>VLOOKUP($A511,'2022-23 Salary &amp; Benefits'!$A:$I,5,FALSE)</f>
        <v>68937</v>
      </c>
      <c r="U511" s="21">
        <f>VLOOKUP($A511,'2022-23 Salary &amp; Benefits'!$A:$I,6,FALSE)</f>
        <v>72728</v>
      </c>
      <c r="V511" s="22">
        <f t="shared" si="95"/>
        <v>45146.84</v>
      </c>
      <c r="W511" s="22">
        <f t="shared" si="96"/>
        <v>2482.7300000000032</v>
      </c>
      <c r="X511" s="22">
        <f>'2022-23 Salary &amp; Benefits'!$G$6</f>
        <v>12558.24</v>
      </c>
      <c r="Y511" s="23">
        <f>'2022-23 Salary &amp; Benefits'!$H$6</f>
        <v>0.2298</v>
      </c>
      <c r="Z511" s="23">
        <f>'2022-23 Salary &amp; Benefits'!$I$6</f>
        <v>0.22339999999999999</v>
      </c>
      <c r="AA511" s="22">
        <f t="shared" si="97"/>
        <v>17899.21</v>
      </c>
      <c r="AB511" s="22">
        <f t="shared" si="98"/>
        <v>793.83</v>
      </c>
      <c r="AC511" s="22">
        <f t="shared" si="99"/>
        <v>177.34</v>
      </c>
      <c r="AD511" s="22">
        <f t="shared" si="104"/>
        <v>971.17000000000007</v>
      </c>
      <c r="AE511" s="22">
        <f t="shared" si="105"/>
        <v>66499.95</v>
      </c>
      <c r="AF511" s="19" t="str">
        <f>VLOOKUP(C511,'2021-22 School Level AAFTE'!C:N,12,FALSE)</f>
        <v>No</v>
      </c>
    </row>
    <row r="512" spans="1:32" s="19" customFormat="1">
      <c r="A512" s="97" t="s">
        <v>2475</v>
      </c>
      <c r="B512" s="97" t="s">
        <v>1645</v>
      </c>
      <c r="C512" s="95">
        <v>5358</v>
      </c>
      <c r="D512" s="95" t="s">
        <v>1680</v>
      </c>
      <c r="E512" s="129">
        <f>VLOOKUP($C512,'2021-22 School Level AAFTE'!$C:$Z,11,FALSE)</f>
        <v>0.38656666666666667</v>
      </c>
      <c r="F512" s="129" t="str">
        <f>VLOOKUP($C512,'2021-22 School Level AAFTE'!$C:$Z,8,FALSE)</f>
        <v>No</v>
      </c>
      <c r="G512" s="129" t="str">
        <f>VLOOKUP($C512,'2021-22 School Level AAFTE'!$C:$Z,12,FALSE)</f>
        <v>No</v>
      </c>
      <c r="H512" s="127">
        <f>VLOOKUP($C512,'2021-22 School Level AAFTE'!$C:$I,7,FALSE)</f>
        <v>117.27</v>
      </c>
      <c r="I512" s="112">
        <f>IFERROR(IF(OR(G512="yes",F512= "yes"),VLOOKUP(C512,Summary!$B:$J,6,0),0),0)</f>
        <v>0</v>
      </c>
      <c r="J512" s="111">
        <f t="shared" si="93"/>
        <v>0</v>
      </c>
      <c r="K512" s="91">
        <f>VLOOKUP($A512,'2022-23 Salary &amp; Benefits'!$A:$I,3,FALSE)</f>
        <v>1.18</v>
      </c>
      <c r="L512" s="91">
        <f>VLOOKUP($A512,'2022-23 Salary &amp; Benefits'!$A:$I,4,FALSE)</f>
        <v>1.18</v>
      </c>
      <c r="M512" s="101">
        <f t="shared" si="103"/>
        <v>0</v>
      </c>
      <c r="N512" s="24">
        <v>15</v>
      </c>
      <c r="O512" s="26">
        <f t="shared" si="91"/>
        <v>0</v>
      </c>
      <c r="P512" s="24">
        <v>1.1000000000000001</v>
      </c>
      <c r="Q512" s="24">
        <v>36</v>
      </c>
      <c r="R512" s="27">
        <f t="shared" si="92"/>
        <v>0</v>
      </c>
      <c r="S512" s="102">
        <f t="shared" si="94"/>
        <v>0</v>
      </c>
      <c r="T512" s="21">
        <f>VLOOKUP($A512,'2022-23 Salary &amp; Benefits'!$A:$I,5,FALSE)</f>
        <v>68937</v>
      </c>
      <c r="U512" s="21">
        <f>VLOOKUP($A512,'2022-23 Salary &amp; Benefits'!$A:$I,6,FALSE)</f>
        <v>72728</v>
      </c>
      <c r="V512" s="22">
        <f t="shared" si="95"/>
        <v>0</v>
      </c>
      <c r="W512" s="22">
        <f t="shared" si="96"/>
        <v>0</v>
      </c>
      <c r="X512" s="22">
        <f>'2022-23 Salary &amp; Benefits'!$G$6</f>
        <v>12558.24</v>
      </c>
      <c r="Y512" s="23">
        <f>'2022-23 Salary &amp; Benefits'!$H$6</f>
        <v>0.2298</v>
      </c>
      <c r="Z512" s="23">
        <f>'2022-23 Salary &amp; Benefits'!$I$6</f>
        <v>0.22339999999999999</v>
      </c>
      <c r="AA512" s="22">
        <f t="shared" si="97"/>
        <v>0</v>
      </c>
      <c r="AB512" s="22">
        <f t="shared" si="98"/>
        <v>0</v>
      </c>
      <c r="AC512" s="22">
        <f t="shared" si="99"/>
        <v>0</v>
      </c>
      <c r="AD512" s="22">
        <f t="shared" si="104"/>
        <v>0</v>
      </c>
      <c r="AE512" s="22">
        <f t="shared" si="105"/>
        <v>0</v>
      </c>
      <c r="AF512" s="19" t="str">
        <f>VLOOKUP(C512,'2021-22 School Level AAFTE'!C:N,12,FALSE)</f>
        <v>No</v>
      </c>
    </row>
    <row r="513" spans="1:32" s="19" customFormat="1">
      <c r="A513" s="97" t="s">
        <v>2475</v>
      </c>
      <c r="B513" s="97" t="s">
        <v>1645</v>
      </c>
      <c r="C513" s="95">
        <v>5669</v>
      </c>
      <c r="D513" s="95" t="s">
        <v>3011</v>
      </c>
      <c r="E513" s="129">
        <f>VLOOKUP($C513,'2021-22 School Level AAFTE'!$C:$Z,11,FALSE)</f>
        <v>8.5900000000000004E-2</v>
      </c>
      <c r="F513" s="129" t="str">
        <f>VLOOKUP($C513,'2021-22 School Level AAFTE'!$C:$Z,8,FALSE)</f>
        <v>No</v>
      </c>
      <c r="G513" s="129" t="str">
        <f>VLOOKUP($C513,'2021-22 School Level AAFTE'!$C:$Z,12,FALSE)</f>
        <v>No</v>
      </c>
      <c r="H513" s="127">
        <f>VLOOKUP($C513,'2021-22 School Level AAFTE'!$C:$I,7,FALSE)</f>
        <v>166.57</v>
      </c>
      <c r="I513" s="112">
        <f>IFERROR(IF(OR(G513="yes",F513= "yes"),VLOOKUP(C513,Summary!$B:$J,6,0),0),0)</f>
        <v>0</v>
      </c>
      <c r="J513" s="111">
        <f t="shared" si="93"/>
        <v>0</v>
      </c>
      <c r="K513" s="91">
        <f>VLOOKUP($A513,'2022-23 Salary &amp; Benefits'!$A:$I,3,FALSE)</f>
        <v>1.18</v>
      </c>
      <c r="L513" s="91">
        <f>VLOOKUP($A513,'2022-23 Salary &amp; Benefits'!$A:$I,4,FALSE)</f>
        <v>1.18</v>
      </c>
      <c r="M513" s="39">
        <f t="shared" si="103"/>
        <v>0</v>
      </c>
      <c r="N513" s="24">
        <v>15</v>
      </c>
      <c r="O513" s="26">
        <f t="shared" si="91"/>
        <v>0</v>
      </c>
      <c r="P513" s="24">
        <v>1.1000000000000001</v>
      </c>
      <c r="Q513" s="24">
        <v>36</v>
      </c>
      <c r="R513" s="27">
        <f t="shared" si="92"/>
        <v>0</v>
      </c>
      <c r="S513" s="102">
        <f t="shared" si="94"/>
        <v>0</v>
      </c>
      <c r="T513" s="21">
        <f>VLOOKUP($A513,'2022-23 Salary &amp; Benefits'!$A:$I,5,FALSE)</f>
        <v>68937</v>
      </c>
      <c r="U513" s="21">
        <f>VLOOKUP($A513,'2022-23 Salary &amp; Benefits'!$A:$I,6,FALSE)</f>
        <v>72728</v>
      </c>
      <c r="V513" s="22">
        <f t="shared" si="95"/>
        <v>0</v>
      </c>
      <c r="W513" s="22">
        <f t="shared" si="96"/>
        <v>0</v>
      </c>
      <c r="X513" s="22">
        <f>'2022-23 Salary &amp; Benefits'!$G$6</f>
        <v>12558.24</v>
      </c>
      <c r="Y513" s="23">
        <f>'2022-23 Salary &amp; Benefits'!$H$6</f>
        <v>0.2298</v>
      </c>
      <c r="Z513" s="23">
        <f>'2022-23 Salary &amp; Benefits'!$I$6</f>
        <v>0.22339999999999999</v>
      </c>
      <c r="AA513" s="22">
        <f t="shared" si="97"/>
        <v>0</v>
      </c>
      <c r="AB513" s="22">
        <f t="shared" si="98"/>
        <v>0</v>
      </c>
      <c r="AC513" s="22">
        <f t="shared" si="99"/>
        <v>0</v>
      </c>
      <c r="AD513" s="22">
        <f t="shared" si="104"/>
        <v>0</v>
      </c>
      <c r="AE513" s="22">
        <f t="shared" si="105"/>
        <v>0</v>
      </c>
      <c r="AF513" s="19" t="str">
        <f>VLOOKUP(C513,'2021-22 School Level AAFTE'!C:N,12,FALSE)</f>
        <v>No</v>
      </c>
    </row>
    <row r="514" spans="1:32" s="19" customFormat="1">
      <c r="A514" s="97" t="s">
        <v>2475</v>
      </c>
      <c r="B514" s="97" t="s">
        <v>1645</v>
      </c>
      <c r="C514" s="95">
        <v>5706</v>
      </c>
      <c r="D514" s="95" t="s">
        <v>3010</v>
      </c>
      <c r="E514" s="129">
        <f>VLOOKUP($C514,'2021-22 School Level AAFTE'!$C:$Z,11,FALSE)</f>
        <v>0.43390000000000001</v>
      </c>
      <c r="F514" s="129" t="str">
        <f>VLOOKUP($C514,'2021-22 School Level AAFTE'!$C:$Z,8,FALSE)</f>
        <v>No</v>
      </c>
      <c r="G514" s="129" t="str">
        <f>VLOOKUP($C514,'2021-22 School Level AAFTE'!$C:$Z,12,FALSE)</f>
        <v>No</v>
      </c>
      <c r="H514" s="127">
        <f>VLOOKUP($C514,'2021-22 School Level AAFTE'!$C:$I,7,FALSE)</f>
        <v>768.66</v>
      </c>
      <c r="I514" s="112">
        <f>IFERROR(IF(OR(G514="yes",F514= "yes"),VLOOKUP(C514,Summary!$B:$J,6,0),0),0)</f>
        <v>0</v>
      </c>
      <c r="J514" s="111">
        <f t="shared" si="93"/>
        <v>0</v>
      </c>
      <c r="K514" s="91">
        <f>VLOOKUP($A514,'2022-23 Salary &amp; Benefits'!$A:$I,3,FALSE)</f>
        <v>1.18</v>
      </c>
      <c r="L514" s="91">
        <f>VLOOKUP($A514,'2022-23 Salary &amp; Benefits'!$A:$I,4,FALSE)</f>
        <v>1.18</v>
      </c>
      <c r="M514" s="39">
        <f t="shared" si="103"/>
        <v>0</v>
      </c>
      <c r="N514" s="24">
        <v>15</v>
      </c>
      <c r="O514" s="26">
        <f t="shared" si="91"/>
        <v>0</v>
      </c>
      <c r="P514" s="24">
        <v>1.1000000000000001</v>
      </c>
      <c r="Q514" s="24">
        <v>36</v>
      </c>
      <c r="R514" s="27">
        <f t="shared" si="92"/>
        <v>0</v>
      </c>
      <c r="S514" s="102">
        <f t="shared" si="94"/>
        <v>0</v>
      </c>
      <c r="T514" s="21">
        <f>VLOOKUP($A514,'2022-23 Salary &amp; Benefits'!$A:$I,5,FALSE)</f>
        <v>68937</v>
      </c>
      <c r="U514" s="21">
        <f>VLOOKUP($A514,'2022-23 Salary &amp; Benefits'!$A:$I,6,FALSE)</f>
        <v>72728</v>
      </c>
      <c r="V514" s="22">
        <f t="shared" si="95"/>
        <v>0</v>
      </c>
      <c r="W514" s="22">
        <f t="shared" si="96"/>
        <v>0</v>
      </c>
      <c r="X514" s="22">
        <f>'2022-23 Salary &amp; Benefits'!$G$6</f>
        <v>12558.24</v>
      </c>
      <c r="Y514" s="23">
        <f>'2022-23 Salary &amp; Benefits'!$H$6</f>
        <v>0.2298</v>
      </c>
      <c r="Z514" s="23">
        <f>'2022-23 Salary &amp; Benefits'!$I$6</f>
        <v>0.22339999999999999</v>
      </c>
      <c r="AA514" s="22">
        <f t="shared" si="97"/>
        <v>0</v>
      </c>
      <c r="AB514" s="22">
        <f t="shared" si="98"/>
        <v>0</v>
      </c>
      <c r="AC514" s="22">
        <f t="shared" si="99"/>
        <v>0</v>
      </c>
      <c r="AD514" s="22">
        <f t="shared" si="104"/>
        <v>0</v>
      </c>
      <c r="AE514" s="22">
        <f t="shared" si="105"/>
        <v>0</v>
      </c>
      <c r="AF514" s="19" t="str">
        <f>VLOOKUP(C514,'2021-22 School Level AAFTE'!C:N,12,FALSE)</f>
        <v>No</v>
      </c>
    </row>
    <row r="515" spans="1:32" s="19" customFormat="1">
      <c r="A515" s="97" t="s">
        <v>2380</v>
      </c>
      <c r="B515" s="97" t="s">
        <v>1089</v>
      </c>
      <c r="C515" s="95">
        <v>2453</v>
      </c>
      <c r="D515" s="95" t="s">
        <v>1090</v>
      </c>
      <c r="E515" s="129">
        <f>VLOOKUP($C515,'2021-22 School Level AAFTE'!$C:$Z,11,FALSE)</f>
        <v>0.4356666666666667</v>
      </c>
      <c r="F515" s="129" t="str">
        <f>VLOOKUP($C515,'2021-22 School Level AAFTE'!$C:$Z,8,FALSE)</f>
        <v>No</v>
      </c>
      <c r="G515" s="129" t="str">
        <f>VLOOKUP($C515,'2021-22 School Level AAFTE'!$C:$Z,12,FALSE)</f>
        <v>No</v>
      </c>
      <c r="H515" s="127">
        <f>VLOOKUP($C515,'2021-22 School Level AAFTE'!$C:$I,7,FALSE)</f>
        <v>754.89</v>
      </c>
      <c r="I515" s="112">
        <f>IFERROR(IF(OR(G515="yes",F515= "yes"),VLOOKUP(C515,Summary!$B:$J,6,0),0),0)</f>
        <v>0</v>
      </c>
      <c r="J515" s="111">
        <f t="shared" si="93"/>
        <v>0</v>
      </c>
      <c r="K515" s="91">
        <f>VLOOKUP($A515,'2022-23 Salary &amp; Benefits'!$A:$I,3,FALSE)</f>
        <v>1</v>
      </c>
      <c r="L515" s="91">
        <f>VLOOKUP($A515,'2022-23 Salary &amp; Benefits'!$A:$I,4,FALSE)</f>
        <v>1</v>
      </c>
      <c r="M515" s="39">
        <f t="shared" si="103"/>
        <v>0</v>
      </c>
      <c r="N515" s="24">
        <v>15</v>
      </c>
      <c r="O515" s="26">
        <f t="shared" si="91"/>
        <v>0</v>
      </c>
      <c r="P515" s="24">
        <v>1.1000000000000001</v>
      </c>
      <c r="Q515" s="24">
        <v>36</v>
      </c>
      <c r="R515" s="27">
        <f t="shared" si="92"/>
        <v>0</v>
      </c>
      <c r="S515" s="102">
        <f t="shared" si="94"/>
        <v>0</v>
      </c>
      <c r="T515" s="21">
        <f>VLOOKUP($A515,'2022-23 Salary &amp; Benefits'!$A:$I,5,FALSE)</f>
        <v>68937</v>
      </c>
      <c r="U515" s="21">
        <f>VLOOKUP($A515,'2022-23 Salary &amp; Benefits'!$A:$I,6,FALSE)</f>
        <v>72728</v>
      </c>
      <c r="V515" s="22">
        <f t="shared" si="95"/>
        <v>0</v>
      </c>
      <c r="W515" s="22">
        <f t="shared" si="96"/>
        <v>0</v>
      </c>
      <c r="X515" s="22">
        <f>'2022-23 Salary &amp; Benefits'!$G$6</f>
        <v>12558.24</v>
      </c>
      <c r="Y515" s="23">
        <f>'2022-23 Salary &amp; Benefits'!$H$6</f>
        <v>0.2298</v>
      </c>
      <c r="Z515" s="23">
        <f>'2022-23 Salary &amp; Benefits'!$I$6</f>
        <v>0.22339999999999999</v>
      </c>
      <c r="AA515" s="22">
        <f t="shared" si="97"/>
        <v>0</v>
      </c>
      <c r="AB515" s="22">
        <f t="shared" si="98"/>
        <v>0</v>
      </c>
      <c r="AC515" s="22">
        <f t="shared" si="99"/>
        <v>0</v>
      </c>
      <c r="AD515" s="22">
        <f t="shared" si="104"/>
        <v>0</v>
      </c>
      <c r="AE515" s="22">
        <f t="shared" si="105"/>
        <v>0</v>
      </c>
      <c r="AF515" s="19" t="str">
        <f>VLOOKUP(C515,'2021-22 School Level AAFTE'!C:N,12,FALSE)</f>
        <v>No</v>
      </c>
    </row>
    <row r="516" spans="1:32" s="19" customFormat="1">
      <c r="A516" s="97" t="s">
        <v>2380</v>
      </c>
      <c r="B516" s="97" t="s">
        <v>1089</v>
      </c>
      <c r="C516" s="95">
        <v>2741</v>
      </c>
      <c r="D516" s="95" t="s">
        <v>477</v>
      </c>
      <c r="E516" s="129">
        <f>VLOOKUP($C516,'2021-22 School Level AAFTE'!$C:$Z,11,FALSE)</f>
        <v>0.37136666666666668</v>
      </c>
      <c r="F516" s="129" t="str">
        <f>VLOOKUP($C516,'2021-22 School Level AAFTE'!$C:$Z,8,FALSE)</f>
        <v>No</v>
      </c>
      <c r="G516" s="129" t="str">
        <f>VLOOKUP($C516,'2021-22 School Level AAFTE'!$C:$Z,12,FALSE)</f>
        <v>No</v>
      </c>
      <c r="H516" s="127">
        <f>VLOOKUP($C516,'2021-22 School Level AAFTE'!$C:$I,7,FALSE)</f>
        <v>450.84</v>
      </c>
      <c r="I516" s="112">
        <f>IFERROR(IF(OR(G516="yes",F516= "yes"),VLOOKUP(C516,Summary!$B:$J,6,0),0),0)</f>
        <v>0</v>
      </c>
      <c r="J516" s="111">
        <f t="shared" si="93"/>
        <v>0</v>
      </c>
      <c r="K516" s="91">
        <f>VLOOKUP($A516,'2022-23 Salary &amp; Benefits'!$A:$I,3,FALSE)</f>
        <v>1</v>
      </c>
      <c r="L516" s="91">
        <f>VLOOKUP($A516,'2022-23 Salary &amp; Benefits'!$A:$I,4,FALSE)</f>
        <v>1</v>
      </c>
      <c r="M516" s="39">
        <f t="shared" si="103"/>
        <v>0</v>
      </c>
      <c r="N516" s="24">
        <v>15</v>
      </c>
      <c r="O516" s="26">
        <f t="shared" si="91"/>
        <v>0</v>
      </c>
      <c r="P516" s="24">
        <v>1.1000000000000001</v>
      </c>
      <c r="Q516" s="24">
        <v>36</v>
      </c>
      <c r="R516" s="27">
        <f t="shared" si="92"/>
        <v>0</v>
      </c>
      <c r="S516" s="102">
        <f t="shared" si="94"/>
        <v>0</v>
      </c>
      <c r="T516" s="21">
        <f>VLOOKUP($A516,'2022-23 Salary &amp; Benefits'!$A:$I,5,FALSE)</f>
        <v>68937</v>
      </c>
      <c r="U516" s="21">
        <f>VLOOKUP($A516,'2022-23 Salary &amp; Benefits'!$A:$I,6,FALSE)</f>
        <v>72728</v>
      </c>
      <c r="V516" s="22">
        <f t="shared" si="95"/>
        <v>0</v>
      </c>
      <c r="W516" s="22">
        <f t="shared" si="96"/>
        <v>0</v>
      </c>
      <c r="X516" s="22">
        <f>'2022-23 Salary &amp; Benefits'!$G$6</f>
        <v>12558.24</v>
      </c>
      <c r="Y516" s="23">
        <f>'2022-23 Salary &amp; Benefits'!$H$6</f>
        <v>0.2298</v>
      </c>
      <c r="Z516" s="23">
        <f>'2022-23 Salary &amp; Benefits'!$I$6</f>
        <v>0.22339999999999999</v>
      </c>
      <c r="AA516" s="22">
        <f t="shared" si="97"/>
        <v>0</v>
      </c>
      <c r="AB516" s="22">
        <f t="shared" si="98"/>
        <v>0</v>
      </c>
      <c r="AC516" s="22">
        <f t="shared" si="99"/>
        <v>0</v>
      </c>
      <c r="AD516" s="22">
        <f t="shared" si="104"/>
        <v>0</v>
      </c>
      <c r="AE516" s="22">
        <f t="shared" si="105"/>
        <v>0</v>
      </c>
      <c r="AF516" s="19" t="str">
        <f>VLOOKUP(C516,'2021-22 School Level AAFTE'!C:N,12,FALSE)</f>
        <v>No</v>
      </c>
    </row>
    <row r="517" spans="1:32" s="19" customFormat="1">
      <c r="A517" s="97" t="s">
        <v>2380</v>
      </c>
      <c r="B517" s="97" t="s">
        <v>1089</v>
      </c>
      <c r="C517" s="95">
        <v>2996</v>
      </c>
      <c r="D517" s="95" t="s">
        <v>1091</v>
      </c>
      <c r="E517" s="129">
        <f>VLOOKUP($C517,'2021-22 School Level AAFTE'!$C:$Z,11,FALSE)</f>
        <v>0.35256666666666669</v>
      </c>
      <c r="F517" s="129" t="str">
        <f>VLOOKUP($C517,'2021-22 School Level AAFTE'!$C:$Z,8,FALSE)</f>
        <v>No</v>
      </c>
      <c r="G517" s="129" t="str">
        <f>VLOOKUP($C517,'2021-22 School Level AAFTE'!$C:$Z,12,FALSE)</f>
        <v>No</v>
      </c>
      <c r="H517" s="127">
        <f>VLOOKUP($C517,'2021-22 School Level AAFTE'!$C:$I,7,FALSE)</f>
        <v>947.52</v>
      </c>
      <c r="I517" s="112">
        <f>IFERROR(IF(OR(G517="yes",F517= "yes"),VLOOKUP(C517,Summary!$B:$J,6,0),0),0)</f>
        <v>0</v>
      </c>
      <c r="J517" s="111">
        <f t="shared" si="93"/>
        <v>0</v>
      </c>
      <c r="K517" s="91">
        <f>VLOOKUP($A517,'2022-23 Salary &amp; Benefits'!$A:$I,3,FALSE)</f>
        <v>1</v>
      </c>
      <c r="L517" s="91">
        <f>VLOOKUP($A517,'2022-23 Salary &amp; Benefits'!$A:$I,4,FALSE)</f>
        <v>1</v>
      </c>
      <c r="M517" s="39">
        <f t="shared" si="103"/>
        <v>0</v>
      </c>
      <c r="N517" s="24">
        <v>15</v>
      </c>
      <c r="O517" s="26">
        <f t="shared" si="91"/>
        <v>0</v>
      </c>
      <c r="P517" s="24">
        <v>1.1000000000000001</v>
      </c>
      <c r="Q517" s="24">
        <v>36</v>
      </c>
      <c r="R517" s="27">
        <f t="shared" si="92"/>
        <v>0</v>
      </c>
      <c r="S517" s="102">
        <f t="shared" si="94"/>
        <v>0</v>
      </c>
      <c r="T517" s="21">
        <f>VLOOKUP($A517,'2022-23 Salary &amp; Benefits'!$A:$I,5,FALSE)</f>
        <v>68937</v>
      </c>
      <c r="U517" s="21">
        <f>VLOOKUP($A517,'2022-23 Salary &amp; Benefits'!$A:$I,6,FALSE)</f>
        <v>72728</v>
      </c>
      <c r="V517" s="22">
        <f t="shared" si="95"/>
        <v>0</v>
      </c>
      <c r="W517" s="22">
        <f t="shared" si="96"/>
        <v>0</v>
      </c>
      <c r="X517" s="22">
        <f>'2022-23 Salary &amp; Benefits'!$G$6</f>
        <v>12558.24</v>
      </c>
      <c r="Y517" s="23">
        <f>'2022-23 Salary &amp; Benefits'!$H$6</f>
        <v>0.2298</v>
      </c>
      <c r="Z517" s="23">
        <f>'2022-23 Salary &amp; Benefits'!$I$6</f>
        <v>0.22339999999999999</v>
      </c>
      <c r="AA517" s="22">
        <f t="shared" si="97"/>
        <v>0</v>
      </c>
      <c r="AB517" s="22">
        <f t="shared" si="98"/>
        <v>0</v>
      </c>
      <c r="AC517" s="22">
        <f t="shared" si="99"/>
        <v>0</v>
      </c>
      <c r="AD517" s="22">
        <f t="shared" si="104"/>
        <v>0</v>
      </c>
      <c r="AE517" s="22">
        <f t="shared" si="105"/>
        <v>0</v>
      </c>
      <c r="AF517" s="19" t="str">
        <f>VLOOKUP(C517,'2021-22 School Level AAFTE'!C:N,12,FALSE)</f>
        <v>No</v>
      </c>
    </row>
    <row r="518" spans="1:32" s="19" customFormat="1">
      <c r="A518" s="97" t="s">
        <v>2380</v>
      </c>
      <c r="B518" s="97" t="s">
        <v>1089</v>
      </c>
      <c r="C518" s="95">
        <v>3596</v>
      </c>
      <c r="D518" s="95" t="s">
        <v>1092</v>
      </c>
      <c r="E518" s="129">
        <f>VLOOKUP($C518,'2021-22 School Level AAFTE'!$C:$Z,11,FALSE)</f>
        <v>0.5645</v>
      </c>
      <c r="F518" s="129" t="str">
        <f>VLOOKUP($C518,'2021-22 School Level AAFTE'!$C:$Z,8,FALSE)</f>
        <v>Yes</v>
      </c>
      <c r="G518" s="129" t="str">
        <f>VLOOKUP($C518,'2021-22 School Level AAFTE'!$C:$Z,12,FALSE)</f>
        <v>No</v>
      </c>
      <c r="H518" s="127">
        <f>VLOOKUP($C518,'2021-22 School Level AAFTE'!$C:$I,7,FALSE)</f>
        <v>458.51</v>
      </c>
      <c r="I518" s="112">
        <f>IFERROR(IF(OR(G518="yes",F518= "yes"),VLOOKUP(C518,Summary!$B:$J,6,0),0),0)</f>
        <v>0</v>
      </c>
      <c r="J518" s="111">
        <f t="shared" si="93"/>
        <v>458.51</v>
      </c>
      <c r="K518" s="91">
        <f>VLOOKUP($A518,'2022-23 Salary &amp; Benefits'!$A:$I,3,FALSE)</f>
        <v>1</v>
      </c>
      <c r="L518" s="91">
        <f>VLOOKUP($A518,'2022-23 Salary &amp; Benefits'!$A:$I,4,FALSE)</f>
        <v>1</v>
      </c>
      <c r="M518" s="39">
        <f t="shared" si="103"/>
        <v>458.51</v>
      </c>
      <c r="N518" s="24">
        <v>15</v>
      </c>
      <c r="O518" s="26">
        <f t="shared" si="91"/>
        <v>30.567333333333334</v>
      </c>
      <c r="P518" s="24">
        <v>1.1000000000000001</v>
      </c>
      <c r="Q518" s="24">
        <v>36</v>
      </c>
      <c r="R518" s="27">
        <f t="shared" si="92"/>
        <v>1210.4664000000002</v>
      </c>
      <c r="S518" s="102">
        <f t="shared" si="94"/>
        <v>1.345</v>
      </c>
      <c r="T518" s="21">
        <f>VLOOKUP($A518,'2022-23 Salary &amp; Benefits'!$A:$I,5,FALSE)</f>
        <v>68937</v>
      </c>
      <c r="U518" s="21">
        <f>VLOOKUP($A518,'2022-23 Salary &amp; Benefits'!$A:$I,6,FALSE)</f>
        <v>72728</v>
      </c>
      <c r="V518" s="22">
        <f t="shared" si="95"/>
        <v>92720.27</v>
      </c>
      <c r="W518" s="22">
        <f t="shared" si="96"/>
        <v>5098.8899999999994</v>
      </c>
      <c r="X518" s="22">
        <f>'2022-23 Salary &amp; Benefits'!$G$6</f>
        <v>12558.24</v>
      </c>
      <c r="Y518" s="23">
        <f>'2022-23 Salary &amp; Benefits'!$H$6</f>
        <v>0.2298</v>
      </c>
      <c r="Z518" s="23">
        <f>'2022-23 Salary &amp; Benefits'!$I$6</f>
        <v>0.22339999999999999</v>
      </c>
      <c r="AA518" s="22">
        <f t="shared" si="97"/>
        <v>39337.040000000001</v>
      </c>
      <c r="AB518" s="22">
        <f t="shared" si="98"/>
        <v>1630.32</v>
      </c>
      <c r="AC518" s="22">
        <f t="shared" si="99"/>
        <v>364.21</v>
      </c>
      <c r="AD518" s="22">
        <f t="shared" si="104"/>
        <v>1994.53</v>
      </c>
      <c r="AE518" s="22">
        <f t="shared" si="105"/>
        <v>139150.73000000001</v>
      </c>
      <c r="AF518" s="19" t="str">
        <f>VLOOKUP(C518,'2021-22 School Level AAFTE'!C:N,12,FALSE)</f>
        <v>No</v>
      </c>
    </row>
    <row r="519" spans="1:32" s="19" customFormat="1">
      <c r="A519" s="97" t="s">
        <v>2380</v>
      </c>
      <c r="B519" s="97" t="s">
        <v>1089</v>
      </c>
      <c r="C519" s="95">
        <v>4411</v>
      </c>
      <c r="D519" s="95" t="s">
        <v>1093</v>
      </c>
      <c r="E519" s="129">
        <f>VLOOKUP($C519,'2021-22 School Level AAFTE'!$C:$Z,11,FALSE)</f>
        <v>0.34426666666666667</v>
      </c>
      <c r="F519" s="129" t="str">
        <f>VLOOKUP($C519,'2021-22 School Level AAFTE'!$C:$Z,8,FALSE)</f>
        <v>No</v>
      </c>
      <c r="G519" s="129" t="str">
        <f>VLOOKUP($C519,'2021-22 School Level AAFTE'!$C:$Z,12,FALSE)</f>
        <v>No</v>
      </c>
      <c r="H519" s="127">
        <f>VLOOKUP($C519,'2021-22 School Level AAFTE'!$C:$I,7,FALSE)</f>
        <v>521.46</v>
      </c>
      <c r="I519" s="112">
        <f>IFERROR(IF(OR(G519="yes",F519= "yes"),VLOOKUP(C519,Summary!$B:$J,6,0),0),0)</f>
        <v>0</v>
      </c>
      <c r="J519" s="111">
        <f t="shared" si="93"/>
        <v>0</v>
      </c>
      <c r="K519" s="91">
        <f>VLOOKUP($A519,'2022-23 Salary &amp; Benefits'!$A:$I,3,FALSE)</f>
        <v>1</v>
      </c>
      <c r="L519" s="91">
        <f>VLOOKUP($A519,'2022-23 Salary &amp; Benefits'!$A:$I,4,FALSE)</f>
        <v>1</v>
      </c>
      <c r="M519" s="39">
        <f t="shared" si="103"/>
        <v>0</v>
      </c>
      <c r="N519" s="24">
        <v>15</v>
      </c>
      <c r="O519" s="26">
        <f t="shared" si="91"/>
        <v>0</v>
      </c>
      <c r="P519" s="24">
        <v>1.1000000000000001</v>
      </c>
      <c r="Q519" s="24">
        <v>36</v>
      </c>
      <c r="R519" s="27">
        <f t="shared" si="92"/>
        <v>0</v>
      </c>
      <c r="S519" s="102">
        <f t="shared" si="94"/>
        <v>0</v>
      </c>
      <c r="T519" s="21">
        <f>VLOOKUP($A519,'2022-23 Salary &amp; Benefits'!$A:$I,5,FALSE)</f>
        <v>68937</v>
      </c>
      <c r="U519" s="21">
        <f>VLOOKUP($A519,'2022-23 Salary &amp; Benefits'!$A:$I,6,FALSE)</f>
        <v>72728</v>
      </c>
      <c r="V519" s="22">
        <f t="shared" si="95"/>
        <v>0</v>
      </c>
      <c r="W519" s="22">
        <f t="shared" si="96"/>
        <v>0</v>
      </c>
      <c r="X519" s="22">
        <f>'2022-23 Salary &amp; Benefits'!$G$6</f>
        <v>12558.24</v>
      </c>
      <c r="Y519" s="23">
        <f>'2022-23 Salary &amp; Benefits'!$H$6</f>
        <v>0.2298</v>
      </c>
      <c r="Z519" s="23">
        <f>'2022-23 Salary &amp; Benefits'!$I$6</f>
        <v>0.22339999999999999</v>
      </c>
      <c r="AA519" s="22">
        <f t="shared" si="97"/>
        <v>0</v>
      </c>
      <c r="AB519" s="22">
        <f t="shared" si="98"/>
        <v>0</v>
      </c>
      <c r="AC519" s="22">
        <f t="shared" si="99"/>
        <v>0</v>
      </c>
      <c r="AD519" s="22">
        <f t="shared" si="104"/>
        <v>0</v>
      </c>
      <c r="AE519" s="22">
        <f t="shared" si="105"/>
        <v>0</v>
      </c>
      <c r="AF519" s="19" t="str">
        <f>VLOOKUP(C519,'2021-22 School Level AAFTE'!C:N,12,FALSE)</f>
        <v>No</v>
      </c>
    </row>
    <row r="520" spans="1:32" s="19" customFormat="1">
      <c r="A520" s="97" t="s">
        <v>2380</v>
      </c>
      <c r="B520" s="97" t="s">
        <v>1089</v>
      </c>
      <c r="C520" s="95">
        <v>5097</v>
      </c>
      <c r="D520" s="95" t="s">
        <v>1094</v>
      </c>
      <c r="E520" s="129">
        <f>VLOOKUP($C520,'2021-22 School Level AAFTE'!$C:$Z,11,FALSE)</f>
        <v>0.5114333333333333</v>
      </c>
      <c r="F520" s="129" t="str">
        <f>VLOOKUP($C520,'2021-22 School Level AAFTE'!$C:$Z,8,FALSE)</f>
        <v>Yes</v>
      </c>
      <c r="G520" s="129" t="str">
        <f>VLOOKUP($C520,'2021-22 School Level AAFTE'!$C:$Z,12,FALSE)</f>
        <v>No</v>
      </c>
      <c r="H520" s="127">
        <f>VLOOKUP($C520,'2021-22 School Level AAFTE'!$C:$I,7,FALSE)</f>
        <v>98.27000000000001</v>
      </c>
      <c r="I520" s="112">
        <f>IFERROR(IF(OR(G520="yes",F520= "yes"),VLOOKUP(C520,Summary!$B:$J,6,0),0),0)</f>
        <v>0</v>
      </c>
      <c r="J520" s="111">
        <f t="shared" si="93"/>
        <v>98.27000000000001</v>
      </c>
      <c r="K520" s="91">
        <f>VLOOKUP($A520,'2022-23 Salary &amp; Benefits'!$A:$I,3,FALSE)</f>
        <v>1</v>
      </c>
      <c r="L520" s="91">
        <f>VLOOKUP($A520,'2022-23 Salary &amp; Benefits'!$A:$I,4,FALSE)</f>
        <v>1</v>
      </c>
      <c r="M520" s="101">
        <f t="shared" si="103"/>
        <v>98.27000000000001</v>
      </c>
      <c r="N520" s="24">
        <v>15</v>
      </c>
      <c r="O520" s="26">
        <f t="shared" si="91"/>
        <v>6.5513333333333339</v>
      </c>
      <c r="P520" s="24">
        <v>1.1000000000000001</v>
      </c>
      <c r="Q520" s="24">
        <v>36</v>
      </c>
      <c r="R520" s="27">
        <f t="shared" si="92"/>
        <v>259.43280000000004</v>
      </c>
      <c r="S520" s="102">
        <f t="shared" si="94"/>
        <v>0.28799999999999998</v>
      </c>
      <c r="T520" s="21">
        <f>VLOOKUP($A520,'2022-23 Salary &amp; Benefits'!$A:$I,5,FALSE)</f>
        <v>68937</v>
      </c>
      <c r="U520" s="21">
        <f>VLOOKUP($A520,'2022-23 Salary &amp; Benefits'!$A:$I,6,FALSE)</f>
        <v>72728</v>
      </c>
      <c r="V520" s="22">
        <f t="shared" si="95"/>
        <v>19853.86</v>
      </c>
      <c r="W520" s="22">
        <f t="shared" si="96"/>
        <v>1091.7999999999993</v>
      </c>
      <c r="X520" s="22">
        <f>'2022-23 Salary &amp; Benefits'!$G$6</f>
        <v>12558.24</v>
      </c>
      <c r="Y520" s="23">
        <f>'2022-23 Salary &amp; Benefits'!$H$6</f>
        <v>0.2298</v>
      </c>
      <c r="Z520" s="23">
        <f>'2022-23 Salary &amp; Benefits'!$I$6</f>
        <v>0.22339999999999999</v>
      </c>
      <c r="AA520" s="22">
        <f t="shared" si="97"/>
        <v>8423.1</v>
      </c>
      <c r="AB520" s="22">
        <f t="shared" si="98"/>
        <v>349.09</v>
      </c>
      <c r="AC520" s="22">
        <f t="shared" si="99"/>
        <v>77.989999999999995</v>
      </c>
      <c r="AD520" s="22">
        <f t="shared" si="104"/>
        <v>427.08</v>
      </c>
      <c r="AE520" s="22">
        <f t="shared" si="105"/>
        <v>29795.84</v>
      </c>
      <c r="AF520" s="19" t="str">
        <f>VLOOKUP(C520,'2021-22 School Level AAFTE'!C:N,12,FALSE)</f>
        <v>No</v>
      </c>
    </row>
    <row r="521" spans="1:32" s="19" customFormat="1">
      <c r="A521" s="97" t="s">
        <v>2332</v>
      </c>
      <c r="B521" s="97" t="s">
        <v>491</v>
      </c>
      <c r="C521" s="95">
        <v>1629</v>
      </c>
      <c r="D521" s="95" t="s">
        <v>492</v>
      </c>
      <c r="E521" s="129">
        <f>VLOOKUP($C521,'2021-22 School Level AAFTE'!$C:$Z,11,FALSE)</f>
        <v>0.69539999999999991</v>
      </c>
      <c r="F521" s="129" t="str">
        <f>VLOOKUP($C521,'2021-22 School Level AAFTE'!$C:$Z,8,FALSE)</f>
        <v>Yes</v>
      </c>
      <c r="G521" s="129" t="str">
        <f>VLOOKUP($C521,'2021-22 School Level AAFTE'!$C:$Z,12,FALSE)</f>
        <v>No</v>
      </c>
      <c r="H521" s="127">
        <f>VLOOKUP($C521,'2021-22 School Level AAFTE'!$C:$I,7,FALSE)</f>
        <v>32.94</v>
      </c>
      <c r="I521" s="112">
        <f>IFERROR(IF(OR(G521="yes",F521= "yes"),VLOOKUP(C521,Summary!$B:$J,6,0),0),0)</f>
        <v>0</v>
      </c>
      <c r="J521" s="111">
        <f t="shared" si="93"/>
        <v>32.94</v>
      </c>
      <c r="K521" s="91">
        <f>VLOOKUP($A521,'2022-23 Salary &amp; Benefits'!$A:$I,3,FALSE)</f>
        <v>1</v>
      </c>
      <c r="L521" s="91">
        <f>VLOOKUP($A521,'2022-23 Salary &amp; Benefits'!$A:$I,4,FALSE)</f>
        <v>1.04</v>
      </c>
      <c r="M521" s="101">
        <f t="shared" si="103"/>
        <v>32.94</v>
      </c>
      <c r="N521" s="24">
        <v>15</v>
      </c>
      <c r="O521" s="26">
        <f t="shared" si="91"/>
        <v>2.1959999999999997</v>
      </c>
      <c r="P521" s="24">
        <v>1.1000000000000001</v>
      </c>
      <c r="Q521" s="24">
        <v>36</v>
      </c>
      <c r="R521" s="27">
        <f t="shared" si="92"/>
        <v>86.961600000000004</v>
      </c>
      <c r="S521" s="102">
        <f t="shared" si="94"/>
        <v>9.7000000000000003E-2</v>
      </c>
      <c r="T521" s="21">
        <f>VLOOKUP($A521,'2022-23 Salary &amp; Benefits'!$A:$I,5,FALSE)</f>
        <v>68937</v>
      </c>
      <c r="U521" s="21">
        <f>VLOOKUP($A521,'2022-23 Salary &amp; Benefits'!$A:$I,6,FALSE)</f>
        <v>72728</v>
      </c>
      <c r="V521" s="22">
        <f t="shared" si="95"/>
        <v>6686.89</v>
      </c>
      <c r="W521" s="22">
        <f t="shared" si="96"/>
        <v>649.90999999999985</v>
      </c>
      <c r="X521" s="22">
        <f>'2022-23 Salary &amp; Benefits'!$G$6</f>
        <v>12558.24</v>
      </c>
      <c r="Y521" s="23">
        <f>'2022-23 Salary &amp; Benefits'!$H$6</f>
        <v>0.2298</v>
      </c>
      <c r="Z521" s="23">
        <f>'2022-23 Salary &amp; Benefits'!$I$6</f>
        <v>0.22339999999999999</v>
      </c>
      <c r="AA521" s="22">
        <f t="shared" si="97"/>
        <v>2899.99</v>
      </c>
      <c r="AB521" s="22">
        <f t="shared" si="98"/>
        <v>122.28</v>
      </c>
      <c r="AC521" s="22">
        <f t="shared" si="99"/>
        <v>27.32</v>
      </c>
      <c r="AD521" s="22">
        <f t="shared" si="104"/>
        <v>149.6</v>
      </c>
      <c r="AE521" s="22">
        <f t="shared" si="105"/>
        <v>10386.390000000001</v>
      </c>
      <c r="AF521" s="19" t="str">
        <f>VLOOKUP(C521,'2021-22 School Level AAFTE'!C:N,12,FALSE)</f>
        <v>No</v>
      </c>
    </row>
    <row r="522" spans="1:32" s="19" customFormat="1">
      <c r="A522" s="97" t="s">
        <v>2332</v>
      </c>
      <c r="B522" s="97" t="s">
        <v>491</v>
      </c>
      <c r="C522" s="95">
        <v>2137</v>
      </c>
      <c r="D522" s="95" t="s">
        <v>493</v>
      </c>
      <c r="E522" s="129">
        <f>VLOOKUP($C522,'2021-22 School Level AAFTE'!$C:$Z,11,FALSE)</f>
        <v>0.72049999999999992</v>
      </c>
      <c r="F522" s="129" t="str">
        <f>VLOOKUP($C522,'2021-22 School Level AAFTE'!$C:$Z,8,FALSE)</f>
        <v>Yes</v>
      </c>
      <c r="G522" s="129" t="str">
        <f>VLOOKUP($C522,'2021-22 School Level AAFTE'!$C:$Z,12,FALSE)</f>
        <v>No</v>
      </c>
      <c r="H522" s="127">
        <f>VLOOKUP($C522,'2021-22 School Level AAFTE'!$C:$I,7,FALSE)</f>
        <v>483.12</v>
      </c>
      <c r="I522" s="112">
        <f>IFERROR(IF(OR(G522="yes",F522= "yes"),VLOOKUP(C522,Summary!$B:$J,6,0),0),0)</f>
        <v>0</v>
      </c>
      <c r="J522" s="111">
        <f t="shared" si="93"/>
        <v>483.12</v>
      </c>
      <c r="K522" s="91">
        <f>VLOOKUP($A522,'2022-23 Salary &amp; Benefits'!$A:$I,3,FALSE)</f>
        <v>1</v>
      </c>
      <c r="L522" s="91">
        <f>VLOOKUP($A522,'2022-23 Salary &amp; Benefits'!$A:$I,4,FALSE)</f>
        <v>1.04</v>
      </c>
      <c r="M522" s="39">
        <f t="shared" si="103"/>
        <v>483.12</v>
      </c>
      <c r="N522" s="24">
        <v>15</v>
      </c>
      <c r="O522" s="26">
        <f t="shared" ref="O522:O585" si="106">IF(M522="no",0,M522/N522)</f>
        <v>32.207999999999998</v>
      </c>
      <c r="P522" s="24">
        <v>1.1000000000000001</v>
      </c>
      <c r="Q522" s="24">
        <v>36</v>
      </c>
      <c r="R522" s="27">
        <f t="shared" ref="R522:R585" si="107">IF(M522="no",0,O522*P522*Q522)</f>
        <v>1275.4368000000002</v>
      </c>
      <c r="S522" s="102">
        <f t="shared" si="94"/>
        <v>1.417</v>
      </c>
      <c r="T522" s="21">
        <f>VLOOKUP($A522,'2022-23 Salary &amp; Benefits'!$A:$I,5,FALSE)</f>
        <v>68937</v>
      </c>
      <c r="U522" s="21">
        <f>VLOOKUP($A522,'2022-23 Salary &amp; Benefits'!$A:$I,6,FALSE)</f>
        <v>72728</v>
      </c>
      <c r="V522" s="22">
        <f t="shared" si="95"/>
        <v>97683.73</v>
      </c>
      <c r="W522" s="22">
        <f t="shared" si="96"/>
        <v>9494.070000000007</v>
      </c>
      <c r="X522" s="22">
        <f>'2022-23 Salary &amp; Benefits'!$G$6</f>
        <v>12558.24</v>
      </c>
      <c r="Y522" s="23">
        <f>'2022-23 Salary &amp; Benefits'!$H$6</f>
        <v>0.2298</v>
      </c>
      <c r="Z522" s="23">
        <f>'2022-23 Salary &amp; Benefits'!$I$6</f>
        <v>0.22339999999999999</v>
      </c>
      <c r="AA522" s="22">
        <f t="shared" si="97"/>
        <v>42363.72</v>
      </c>
      <c r="AB522" s="22">
        <f t="shared" si="98"/>
        <v>1786.3</v>
      </c>
      <c r="AC522" s="22">
        <f t="shared" si="99"/>
        <v>399.06</v>
      </c>
      <c r="AD522" s="22">
        <f t="shared" si="104"/>
        <v>2185.36</v>
      </c>
      <c r="AE522" s="22">
        <f t="shared" si="105"/>
        <v>151726.88</v>
      </c>
      <c r="AF522" s="19" t="str">
        <f>VLOOKUP(C522,'2021-22 School Level AAFTE'!C:N,12,FALSE)</f>
        <v>No</v>
      </c>
    </row>
    <row r="523" spans="1:32" s="19" customFormat="1">
      <c r="A523" s="97" t="s">
        <v>2332</v>
      </c>
      <c r="B523" s="97" t="s">
        <v>491</v>
      </c>
      <c r="C523" s="95">
        <v>3217</v>
      </c>
      <c r="D523" s="95" t="s">
        <v>494</v>
      </c>
      <c r="E523" s="129">
        <f>VLOOKUP($C523,'2021-22 School Level AAFTE'!$C:$Z,11,FALSE)</f>
        <v>0.71860000000000002</v>
      </c>
      <c r="F523" s="129" t="str">
        <f>VLOOKUP($C523,'2021-22 School Level AAFTE'!$C:$Z,8,FALSE)</f>
        <v>Yes</v>
      </c>
      <c r="G523" s="129" t="str">
        <f>VLOOKUP($C523,'2021-22 School Level AAFTE'!$C:$Z,12,FALSE)</f>
        <v>No</v>
      </c>
      <c r="H523" s="127">
        <f>VLOOKUP($C523,'2021-22 School Level AAFTE'!$C:$I,7,FALSE)</f>
        <v>640.08000000000004</v>
      </c>
      <c r="I523" s="112">
        <f>IFERROR(IF(OR(G523="yes",F523= "yes"),VLOOKUP(C523,Summary!$B:$J,6,0),0),0)</f>
        <v>0</v>
      </c>
      <c r="J523" s="111">
        <f t="shared" ref="J523:J586" si="108">IF(OR(G523="yes",F523= "yes"), H523,0)</f>
        <v>640.08000000000004</v>
      </c>
      <c r="K523" s="91">
        <f>VLOOKUP($A523,'2022-23 Salary &amp; Benefits'!$A:$I,3,FALSE)</f>
        <v>1</v>
      </c>
      <c r="L523" s="91">
        <f>VLOOKUP($A523,'2022-23 Salary &amp; Benefits'!$A:$I,4,FALSE)</f>
        <v>1.04</v>
      </c>
      <c r="M523" s="39">
        <f t="shared" si="103"/>
        <v>640.08000000000004</v>
      </c>
      <c r="N523" s="24">
        <v>15</v>
      </c>
      <c r="O523" s="26">
        <f t="shared" si="106"/>
        <v>42.672000000000004</v>
      </c>
      <c r="P523" s="24">
        <v>1.1000000000000001</v>
      </c>
      <c r="Q523" s="24">
        <v>36</v>
      </c>
      <c r="R523" s="27">
        <f t="shared" si="107"/>
        <v>1689.8112000000003</v>
      </c>
      <c r="S523" s="102">
        <f t="shared" ref="S523:S586" si="109">ROUND(IF(M523="no",0,R523/900),3)</f>
        <v>1.8779999999999999</v>
      </c>
      <c r="T523" s="21">
        <f>VLOOKUP($A523,'2022-23 Salary &amp; Benefits'!$A:$I,5,FALSE)</f>
        <v>68937</v>
      </c>
      <c r="U523" s="21">
        <f>VLOOKUP($A523,'2022-23 Salary &amp; Benefits'!$A:$I,6,FALSE)</f>
        <v>72728</v>
      </c>
      <c r="V523" s="22">
        <f t="shared" ref="V523:V586" si="110">ROUND($K523*$T523*$S523,2)</f>
        <v>129463.69</v>
      </c>
      <c r="W523" s="22">
        <f t="shared" ref="W523:W586" si="111">ROUND($L523*$U523*$S523,2)-V523</f>
        <v>12582.820000000007</v>
      </c>
      <c r="X523" s="22">
        <f>'2022-23 Salary &amp; Benefits'!$G$6</f>
        <v>12558.24</v>
      </c>
      <c r="Y523" s="23">
        <f>'2022-23 Salary &amp; Benefits'!$H$6</f>
        <v>0.2298</v>
      </c>
      <c r="Z523" s="23">
        <f>'2022-23 Salary &amp; Benefits'!$I$6</f>
        <v>0.22339999999999999</v>
      </c>
      <c r="AA523" s="22">
        <f t="shared" ref="AA523:AA586" si="112">ROUND(V523*Y523+W523*Z523+S523*X523,2)</f>
        <v>56146.13</v>
      </c>
      <c r="AB523" s="22">
        <f t="shared" ref="AB523:AB586" si="113">ROUND(($U523*$L523*$S523/180*3),2)</f>
        <v>2367.44</v>
      </c>
      <c r="AC523" s="22">
        <f t="shared" ref="AC523:AC586" si="114">ROUND(AB523*Z523,2)</f>
        <v>528.89</v>
      </c>
      <c r="AD523" s="22">
        <f t="shared" si="104"/>
        <v>2896.33</v>
      </c>
      <c r="AE523" s="22">
        <f t="shared" si="105"/>
        <v>201088.97</v>
      </c>
      <c r="AF523" s="19" t="str">
        <f>VLOOKUP(C523,'2021-22 School Level AAFTE'!C:N,12,FALSE)</f>
        <v>No</v>
      </c>
    </row>
    <row r="524" spans="1:32" s="19" customFormat="1">
      <c r="A524" s="97" t="s">
        <v>2332</v>
      </c>
      <c r="B524" s="97" t="s">
        <v>491</v>
      </c>
      <c r="C524" s="95">
        <v>4245</v>
      </c>
      <c r="D524" s="95" t="s">
        <v>495</v>
      </c>
      <c r="E524" s="129">
        <f>VLOOKUP($C524,'2021-22 School Level AAFTE'!$C:$Z,11,FALSE)</f>
        <v>0.75426666666666664</v>
      </c>
      <c r="F524" s="129" t="str">
        <f>VLOOKUP($C524,'2021-22 School Level AAFTE'!$C:$Z,8,FALSE)</f>
        <v>Yes</v>
      </c>
      <c r="G524" s="129" t="str">
        <f>VLOOKUP($C524,'2021-22 School Level AAFTE'!$C:$Z,12,FALSE)</f>
        <v>No</v>
      </c>
      <c r="H524" s="127">
        <f>VLOOKUP($C524,'2021-22 School Level AAFTE'!$C:$I,7,FALSE)</f>
        <v>370.06</v>
      </c>
      <c r="I524" s="112">
        <f>IFERROR(IF(OR(G524="yes",F524= "yes"),VLOOKUP(C524,Summary!$B:$J,6,0),0),0)</f>
        <v>0</v>
      </c>
      <c r="J524" s="111">
        <f t="shared" si="108"/>
        <v>370.06</v>
      </c>
      <c r="K524" s="91">
        <f>VLOOKUP($A524,'2022-23 Salary &amp; Benefits'!$A:$I,3,FALSE)</f>
        <v>1</v>
      </c>
      <c r="L524" s="91">
        <f>VLOOKUP($A524,'2022-23 Salary &amp; Benefits'!$A:$I,4,FALSE)</f>
        <v>1.04</v>
      </c>
      <c r="M524" s="101">
        <f t="shared" si="103"/>
        <v>370.06</v>
      </c>
      <c r="N524" s="24">
        <v>15</v>
      </c>
      <c r="O524" s="26">
        <f t="shared" si="106"/>
        <v>24.670666666666666</v>
      </c>
      <c r="P524" s="24">
        <v>1.1000000000000001</v>
      </c>
      <c r="Q524" s="24">
        <v>36</v>
      </c>
      <c r="R524" s="27">
        <f t="shared" si="107"/>
        <v>976.95839999999998</v>
      </c>
      <c r="S524" s="102">
        <f t="shared" si="109"/>
        <v>1.0860000000000001</v>
      </c>
      <c r="T524" s="21">
        <f>VLOOKUP($A524,'2022-23 Salary &amp; Benefits'!$A:$I,5,FALSE)</f>
        <v>68937</v>
      </c>
      <c r="U524" s="21">
        <f>VLOOKUP($A524,'2022-23 Salary &amp; Benefits'!$A:$I,6,FALSE)</f>
        <v>72728</v>
      </c>
      <c r="V524" s="22">
        <f t="shared" si="110"/>
        <v>74865.58</v>
      </c>
      <c r="W524" s="22">
        <f t="shared" si="111"/>
        <v>7276.3300000000017</v>
      </c>
      <c r="X524" s="22">
        <f>'2022-23 Salary &amp; Benefits'!$G$6</f>
        <v>12558.24</v>
      </c>
      <c r="Y524" s="23">
        <f>'2022-23 Salary &amp; Benefits'!$H$6</f>
        <v>0.2298</v>
      </c>
      <c r="Z524" s="23">
        <f>'2022-23 Salary &amp; Benefits'!$I$6</f>
        <v>0.22339999999999999</v>
      </c>
      <c r="AA524" s="22">
        <f t="shared" si="112"/>
        <v>32467.89</v>
      </c>
      <c r="AB524" s="22">
        <f t="shared" si="113"/>
        <v>1369.03</v>
      </c>
      <c r="AC524" s="22">
        <f t="shared" si="114"/>
        <v>305.83999999999997</v>
      </c>
      <c r="AD524" s="22">
        <f t="shared" si="104"/>
        <v>1674.87</v>
      </c>
      <c r="AE524" s="22">
        <f t="shared" si="105"/>
        <v>116284.67</v>
      </c>
      <c r="AF524" s="19" t="str">
        <f>VLOOKUP(C524,'2021-22 School Level AAFTE'!C:N,12,FALSE)</f>
        <v>No</v>
      </c>
    </row>
    <row r="525" spans="1:32" s="19" customFormat="1">
      <c r="A525" s="97" t="s">
        <v>2332</v>
      </c>
      <c r="B525" s="97" t="s">
        <v>491</v>
      </c>
      <c r="C525" s="95">
        <v>5416</v>
      </c>
      <c r="D525" s="95" t="s">
        <v>496</v>
      </c>
      <c r="E525" s="129">
        <f>VLOOKUP($C525,'2021-22 School Level AAFTE'!$C:$Z,11,FALSE)</f>
        <v>0.83406666666666673</v>
      </c>
      <c r="F525" s="129" t="str">
        <f>VLOOKUP($C525,'2021-22 School Level AAFTE'!$C:$Z,8,FALSE)</f>
        <v>Yes</v>
      </c>
      <c r="G525" s="129" t="str">
        <f>VLOOKUP($C525,'2021-22 School Level AAFTE'!$C:$Z,12,FALSE)</f>
        <v>No</v>
      </c>
      <c r="H525" s="127">
        <f>VLOOKUP($C525,'2021-22 School Level AAFTE'!$C:$I,7,FALSE)</f>
        <v>38.86</v>
      </c>
      <c r="I525" s="112">
        <f>IFERROR(IF(OR(G525="yes",F525= "yes"),VLOOKUP(C525,Summary!$B:$J,6,0),0),0)</f>
        <v>0</v>
      </c>
      <c r="J525" s="111">
        <f t="shared" si="108"/>
        <v>38.86</v>
      </c>
      <c r="K525" s="91">
        <f>VLOOKUP($A525,'2022-23 Salary &amp; Benefits'!$A:$I,3,FALSE)</f>
        <v>1</v>
      </c>
      <c r="L525" s="91">
        <f>VLOOKUP($A525,'2022-23 Salary &amp; Benefits'!$A:$I,4,FALSE)</f>
        <v>1.04</v>
      </c>
      <c r="M525" s="101">
        <f t="shared" si="103"/>
        <v>38.86</v>
      </c>
      <c r="N525" s="24">
        <v>15</v>
      </c>
      <c r="O525" s="26">
        <f t="shared" si="106"/>
        <v>2.5906666666666665</v>
      </c>
      <c r="P525" s="24">
        <v>1.1000000000000001</v>
      </c>
      <c r="Q525" s="24">
        <v>36</v>
      </c>
      <c r="R525" s="27">
        <f t="shared" si="107"/>
        <v>102.5904</v>
      </c>
      <c r="S525" s="102">
        <f t="shared" si="109"/>
        <v>0.114</v>
      </c>
      <c r="T525" s="21">
        <f>VLOOKUP($A525,'2022-23 Salary &amp; Benefits'!$A:$I,5,FALSE)</f>
        <v>68937</v>
      </c>
      <c r="U525" s="21">
        <f>VLOOKUP($A525,'2022-23 Salary &amp; Benefits'!$A:$I,6,FALSE)</f>
        <v>72728</v>
      </c>
      <c r="V525" s="22">
        <f t="shared" si="110"/>
        <v>7858.82</v>
      </c>
      <c r="W525" s="22">
        <f t="shared" si="111"/>
        <v>763.80999999999949</v>
      </c>
      <c r="X525" s="22">
        <f>'2022-23 Salary &amp; Benefits'!$G$6</f>
        <v>12558.24</v>
      </c>
      <c r="Y525" s="23">
        <f>'2022-23 Salary &amp; Benefits'!$H$6</f>
        <v>0.2298</v>
      </c>
      <c r="Z525" s="23">
        <f>'2022-23 Salary &amp; Benefits'!$I$6</f>
        <v>0.22339999999999999</v>
      </c>
      <c r="AA525" s="22">
        <f t="shared" si="112"/>
        <v>3408.23</v>
      </c>
      <c r="AB525" s="22">
        <f t="shared" si="113"/>
        <v>143.71</v>
      </c>
      <c r="AC525" s="22">
        <f t="shared" si="114"/>
        <v>32.1</v>
      </c>
      <c r="AD525" s="22">
        <f t="shared" si="104"/>
        <v>175.81</v>
      </c>
      <c r="AE525" s="22">
        <f t="shared" si="105"/>
        <v>12206.669999999998</v>
      </c>
      <c r="AF525" s="19" t="str">
        <f>VLOOKUP(C525,'2021-22 School Level AAFTE'!C:N,12,FALSE)</f>
        <v>No</v>
      </c>
    </row>
    <row r="526" spans="1:32" s="19" customFormat="1">
      <c r="A526" s="97" t="s">
        <v>2549</v>
      </c>
      <c r="B526" s="97" t="s">
        <v>2154</v>
      </c>
      <c r="C526" s="95">
        <v>2207</v>
      </c>
      <c r="D526" s="95" t="s">
        <v>2155</v>
      </c>
      <c r="E526" s="129">
        <f>VLOOKUP($C526,'2021-22 School Level AAFTE'!$C:$Z,11,FALSE)</f>
        <v>0.57223333333333326</v>
      </c>
      <c r="F526" s="129" t="str">
        <f>VLOOKUP($C526,'2021-22 School Level AAFTE'!$C:$Z,8,FALSE)</f>
        <v>Yes</v>
      </c>
      <c r="G526" s="129" t="str">
        <f>VLOOKUP($C526,'2021-22 School Level AAFTE'!$C:$Z,12,FALSE)</f>
        <v>No</v>
      </c>
      <c r="H526" s="127">
        <f>VLOOKUP($C526,'2021-22 School Level AAFTE'!$C:$I,7,FALSE)</f>
        <v>74.790000000000006</v>
      </c>
      <c r="I526" s="112">
        <f>IFERROR(IF(OR(G526="yes",F526= "yes"),VLOOKUP(C526,Summary!$B:$J,6,0),0),0)</f>
        <v>0</v>
      </c>
      <c r="J526" s="111">
        <f t="shared" si="108"/>
        <v>74.790000000000006</v>
      </c>
      <c r="K526" s="91">
        <f>VLOOKUP($A526,'2022-23 Salary &amp; Benefits'!$A:$I,3,FALSE)</f>
        <v>1</v>
      </c>
      <c r="L526" s="91">
        <f>VLOOKUP($A526,'2022-23 Salary &amp; Benefits'!$A:$I,4,FALSE)</f>
        <v>1</v>
      </c>
      <c r="M526" s="39">
        <f t="shared" si="103"/>
        <v>74.790000000000006</v>
      </c>
      <c r="N526" s="24">
        <v>15</v>
      </c>
      <c r="O526" s="26">
        <f t="shared" si="106"/>
        <v>4.9860000000000007</v>
      </c>
      <c r="P526" s="24">
        <v>1.1000000000000001</v>
      </c>
      <c r="Q526" s="24">
        <v>36</v>
      </c>
      <c r="R526" s="27">
        <f t="shared" si="107"/>
        <v>197.44560000000004</v>
      </c>
      <c r="S526" s="102">
        <f t="shared" si="109"/>
        <v>0.219</v>
      </c>
      <c r="T526" s="21">
        <f>VLOOKUP($A526,'2022-23 Salary &amp; Benefits'!$A:$I,5,FALSE)</f>
        <v>68937</v>
      </c>
      <c r="U526" s="21">
        <f>VLOOKUP($A526,'2022-23 Salary &amp; Benefits'!$A:$I,6,FALSE)</f>
        <v>72728</v>
      </c>
      <c r="V526" s="22">
        <f t="shared" si="110"/>
        <v>15097.2</v>
      </c>
      <c r="W526" s="22">
        <f t="shared" si="111"/>
        <v>830.22999999999956</v>
      </c>
      <c r="X526" s="22">
        <f>'2022-23 Salary &amp; Benefits'!$G$6</f>
        <v>12558.24</v>
      </c>
      <c r="Y526" s="23">
        <f>'2022-23 Salary &amp; Benefits'!$H$6</f>
        <v>0.2298</v>
      </c>
      <c r="Z526" s="23">
        <f>'2022-23 Salary &amp; Benefits'!$I$6</f>
        <v>0.22339999999999999</v>
      </c>
      <c r="AA526" s="22">
        <f t="shared" si="112"/>
        <v>6405.06</v>
      </c>
      <c r="AB526" s="22">
        <f t="shared" si="113"/>
        <v>265.45999999999998</v>
      </c>
      <c r="AC526" s="22">
        <f t="shared" si="114"/>
        <v>59.3</v>
      </c>
      <c r="AD526" s="22">
        <f t="shared" si="104"/>
        <v>324.76</v>
      </c>
      <c r="AE526" s="22">
        <f t="shared" si="105"/>
        <v>22657.25</v>
      </c>
      <c r="AF526" s="19" t="str">
        <f>VLOOKUP(C526,'2021-22 School Level AAFTE'!C:N,12,FALSE)</f>
        <v>No</v>
      </c>
    </row>
    <row r="527" spans="1:32" s="19" customFormat="1">
      <c r="A527" s="97" t="s">
        <v>2272</v>
      </c>
      <c r="B527" s="97" t="s">
        <v>102</v>
      </c>
      <c r="C527" s="95">
        <v>2688</v>
      </c>
      <c r="D527" s="95" t="s">
        <v>103</v>
      </c>
      <c r="E527" s="129">
        <f>VLOOKUP($C527,'2021-22 School Level AAFTE'!$C:$Z,11,FALSE)</f>
        <v>0.65960000000000008</v>
      </c>
      <c r="F527" s="129" t="str">
        <f>VLOOKUP($C527,'2021-22 School Level AAFTE'!$C:$Z,8,FALSE)</f>
        <v>Yes</v>
      </c>
      <c r="G527" s="129" t="str">
        <f>VLOOKUP($C527,'2021-22 School Level AAFTE'!$C:$Z,12,FALSE)</f>
        <v>No</v>
      </c>
      <c r="H527" s="127">
        <f>VLOOKUP($C527,'2021-22 School Level AAFTE'!$C:$I,7,FALSE)</f>
        <v>155.72999999999999</v>
      </c>
      <c r="I527" s="112">
        <f>IFERROR(IF(OR(G527="yes",F527= "yes"),VLOOKUP(C527,Summary!$B:$J,6,0),0),0)</f>
        <v>0</v>
      </c>
      <c r="J527" s="111">
        <f t="shared" si="108"/>
        <v>155.72999999999999</v>
      </c>
      <c r="K527" s="91">
        <f>VLOOKUP($A527,'2022-23 Salary &amp; Benefits'!$A:$I,3,FALSE)</f>
        <v>1</v>
      </c>
      <c r="L527" s="91">
        <f>VLOOKUP($A527,'2022-23 Salary &amp; Benefits'!$A:$I,4,FALSE)</f>
        <v>1.04</v>
      </c>
      <c r="M527" s="39">
        <f t="shared" si="103"/>
        <v>155.72999999999999</v>
      </c>
      <c r="N527" s="24">
        <v>15</v>
      </c>
      <c r="O527" s="26">
        <f t="shared" si="106"/>
        <v>10.382</v>
      </c>
      <c r="P527" s="24">
        <v>1.1000000000000001</v>
      </c>
      <c r="Q527" s="24">
        <v>36</v>
      </c>
      <c r="R527" s="27">
        <f t="shared" si="107"/>
        <v>411.12720000000002</v>
      </c>
      <c r="S527" s="102">
        <f t="shared" si="109"/>
        <v>0.45700000000000002</v>
      </c>
      <c r="T527" s="21">
        <f>VLOOKUP($A527,'2022-23 Salary &amp; Benefits'!$A:$I,5,FALSE)</f>
        <v>68937</v>
      </c>
      <c r="U527" s="21">
        <f>VLOOKUP($A527,'2022-23 Salary &amp; Benefits'!$A:$I,6,FALSE)</f>
        <v>72728</v>
      </c>
      <c r="V527" s="22">
        <f t="shared" si="110"/>
        <v>31504.21</v>
      </c>
      <c r="W527" s="22">
        <f t="shared" si="111"/>
        <v>3061.9500000000044</v>
      </c>
      <c r="X527" s="22">
        <f>'2022-23 Salary &amp; Benefits'!$G$6</f>
        <v>12558.24</v>
      </c>
      <c r="Y527" s="23">
        <f>'2022-23 Salary &amp; Benefits'!$H$6</f>
        <v>0.2298</v>
      </c>
      <c r="Z527" s="23">
        <f>'2022-23 Salary &amp; Benefits'!$I$6</f>
        <v>0.22339999999999999</v>
      </c>
      <c r="AA527" s="22">
        <f t="shared" si="112"/>
        <v>13662.82</v>
      </c>
      <c r="AB527" s="22">
        <f t="shared" si="113"/>
        <v>576.1</v>
      </c>
      <c r="AC527" s="22">
        <f t="shared" si="114"/>
        <v>128.69999999999999</v>
      </c>
      <c r="AD527" s="22">
        <f t="shared" si="104"/>
        <v>704.8</v>
      </c>
      <c r="AE527" s="22">
        <f t="shared" si="105"/>
        <v>48933.780000000006</v>
      </c>
      <c r="AF527" s="19" t="str">
        <f>VLOOKUP(C527,'2021-22 School Level AAFTE'!C:N,12,FALSE)</f>
        <v>No</v>
      </c>
    </row>
    <row r="528" spans="1:32" s="19" customFormat="1">
      <c r="A528" s="97" t="s">
        <v>2272</v>
      </c>
      <c r="B528" s="97" t="s">
        <v>102</v>
      </c>
      <c r="C528" s="95">
        <v>3317</v>
      </c>
      <c r="D528" s="95" t="s">
        <v>104</v>
      </c>
      <c r="E528" s="129">
        <f>VLOOKUP($C528,'2021-22 School Level AAFTE'!$C:$Z,11,FALSE)</f>
        <v>0.59620000000000006</v>
      </c>
      <c r="F528" s="129" t="str">
        <f>VLOOKUP($C528,'2021-22 School Level AAFTE'!$C:$Z,8,FALSE)</f>
        <v>Yes</v>
      </c>
      <c r="G528" s="129" t="str">
        <f>VLOOKUP($C528,'2021-22 School Level AAFTE'!$C:$Z,12,FALSE)</f>
        <v>No</v>
      </c>
      <c r="H528" s="127">
        <f>VLOOKUP($C528,'2021-22 School Level AAFTE'!$C:$I,7,FALSE)</f>
        <v>155.98999999999998</v>
      </c>
      <c r="I528" s="112">
        <f>IFERROR(IF(OR(G528="yes",F528= "yes"),VLOOKUP(C528,Summary!$B:$J,6,0),0),0)</f>
        <v>0</v>
      </c>
      <c r="J528" s="111">
        <f t="shared" si="108"/>
        <v>155.98999999999998</v>
      </c>
      <c r="K528" s="91">
        <f>VLOOKUP($A528,'2022-23 Salary &amp; Benefits'!$A:$I,3,FALSE)</f>
        <v>1</v>
      </c>
      <c r="L528" s="91">
        <f>VLOOKUP($A528,'2022-23 Salary &amp; Benefits'!$A:$I,4,FALSE)</f>
        <v>1.04</v>
      </c>
      <c r="M528" s="101">
        <f t="shared" si="103"/>
        <v>155.98999999999998</v>
      </c>
      <c r="N528" s="24">
        <v>15</v>
      </c>
      <c r="O528" s="26">
        <f t="shared" si="106"/>
        <v>10.399333333333333</v>
      </c>
      <c r="P528" s="24">
        <v>1.1000000000000001</v>
      </c>
      <c r="Q528" s="24">
        <v>36</v>
      </c>
      <c r="R528" s="27">
        <f t="shared" si="107"/>
        <v>411.81360000000001</v>
      </c>
      <c r="S528" s="102">
        <f t="shared" si="109"/>
        <v>0.45800000000000002</v>
      </c>
      <c r="T528" s="21">
        <f>VLOOKUP($A528,'2022-23 Salary &amp; Benefits'!$A:$I,5,FALSE)</f>
        <v>68937</v>
      </c>
      <c r="U528" s="21">
        <f>VLOOKUP($A528,'2022-23 Salary &amp; Benefits'!$A:$I,6,FALSE)</f>
        <v>72728</v>
      </c>
      <c r="V528" s="22">
        <f t="shared" si="110"/>
        <v>31573.15</v>
      </c>
      <c r="W528" s="22">
        <f t="shared" si="111"/>
        <v>3068.6500000000015</v>
      </c>
      <c r="X528" s="22">
        <f>'2022-23 Salary &amp; Benefits'!$G$6</f>
        <v>12558.24</v>
      </c>
      <c r="Y528" s="23">
        <f>'2022-23 Salary &amp; Benefits'!$H$6</f>
        <v>0.2298</v>
      </c>
      <c r="Z528" s="23">
        <f>'2022-23 Salary &amp; Benefits'!$I$6</f>
        <v>0.22339999999999999</v>
      </c>
      <c r="AA528" s="22">
        <f t="shared" si="112"/>
        <v>13692.72</v>
      </c>
      <c r="AB528" s="22">
        <f t="shared" si="113"/>
        <v>577.36</v>
      </c>
      <c r="AC528" s="22">
        <f t="shared" si="114"/>
        <v>128.97999999999999</v>
      </c>
      <c r="AD528" s="22">
        <f t="shared" si="104"/>
        <v>706.34</v>
      </c>
      <c r="AE528" s="22">
        <f t="shared" si="105"/>
        <v>49040.86</v>
      </c>
      <c r="AF528" s="19" t="str">
        <f>VLOOKUP(C528,'2021-22 School Level AAFTE'!C:N,12,FALSE)</f>
        <v>No</v>
      </c>
    </row>
    <row r="529" spans="1:32" s="19" customFormat="1">
      <c r="A529" s="97" t="s">
        <v>2350</v>
      </c>
      <c r="B529" s="97" t="s">
        <v>685</v>
      </c>
      <c r="C529" s="95">
        <v>1523</v>
      </c>
      <c r="D529" s="95" t="s">
        <v>686</v>
      </c>
      <c r="E529" s="129">
        <f>VLOOKUP($C529,'2021-22 School Level AAFTE'!$C:$Z,11,FALSE)</f>
        <v>0.61310000000000009</v>
      </c>
      <c r="F529" s="129" t="str">
        <f>VLOOKUP($C529,'2021-22 School Level AAFTE'!$C:$Z,8,FALSE)</f>
        <v>Yes</v>
      </c>
      <c r="G529" s="129" t="str">
        <f>VLOOKUP($C529,'2021-22 School Level AAFTE'!$C:$Z,12,FALSE)</f>
        <v>No</v>
      </c>
      <c r="H529" s="127">
        <f>VLOOKUP($C529,'2021-22 School Level AAFTE'!$C:$I,7,FALSE)</f>
        <v>9.6</v>
      </c>
      <c r="I529" s="112">
        <f>IFERROR(IF(OR(G529="yes",F529= "yes"),VLOOKUP(C529,Summary!$B:$J,6,0),0),0)</f>
        <v>0</v>
      </c>
      <c r="J529" s="111">
        <f t="shared" si="108"/>
        <v>9.6</v>
      </c>
      <c r="K529" s="91">
        <f>VLOOKUP($A529,'2022-23 Salary &amp; Benefits'!$A:$I,3,FALSE)</f>
        <v>1.1200000000000001</v>
      </c>
      <c r="L529" s="91">
        <f>VLOOKUP($A529,'2022-23 Salary &amp; Benefits'!$A:$I,4,FALSE)</f>
        <v>1.1600000000000001</v>
      </c>
      <c r="M529" s="39">
        <f t="shared" si="103"/>
        <v>9.6</v>
      </c>
      <c r="N529" s="24">
        <v>15</v>
      </c>
      <c r="O529" s="26">
        <f t="shared" si="106"/>
        <v>0.64</v>
      </c>
      <c r="P529" s="24">
        <v>1.1000000000000001</v>
      </c>
      <c r="Q529" s="24">
        <v>36</v>
      </c>
      <c r="R529" s="27">
        <f t="shared" si="107"/>
        <v>25.344000000000001</v>
      </c>
      <c r="S529" s="102">
        <f t="shared" si="109"/>
        <v>2.8000000000000001E-2</v>
      </c>
      <c r="T529" s="21">
        <f>VLOOKUP($A529,'2022-23 Salary &amp; Benefits'!$A:$I,5,FALSE)</f>
        <v>68937</v>
      </c>
      <c r="U529" s="21">
        <f>VLOOKUP($A529,'2022-23 Salary &amp; Benefits'!$A:$I,6,FALSE)</f>
        <v>72728</v>
      </c>
      <c r="V529" s="22">
        <f t="shared" si="110"/>
        <v>2161.86</v>
      </c>
      <c r="W529" s="22">
        <f t="shared" si="111"/>
        <v>200.34999999999991</v>
      </c>
      <c r="X529" s="22">
        <f>'2022-23 Salary &amp; Benefits'!$G$6</f>
        <v>12558.24</v>
      </c>
      <c r="Y529" s="23">
        <f>'2022-23 Salary &amp; Benefits'!$H$6</f>
        <v>0.2298</v>
      </c>
      <c r="Z529" s="23">
        <f>'2022-23 Salary &amp; Benefits'!$I$6</f>
        <v>0.22339999999999999</v>
      </c>
      <c r="AA529" s="22">
        <f t="shared" si="112"/>
        <v>893.18</v>
      </c>
      <c r="AB529" s="22">
        <f t="shared" si="113"/>
        <v>39.369999999999997</v>
      </c>
      <c r="AC529" s="22">
        <f t="shared" si="114"/>
        <v>8.8000000000000007</v>
      </c>
      <c r="AD529" s="22">
        <f t="shared" si="104"/>
        <v>48.17</v>
      </c>
      <c r="AE529" s="22">
        <f t="shared" si="105"/>
        <v>3303.56</v>
      </c>
      <c r="AF529" s="19" t="str">
        <f>VLOOKUP(C529,'2021-22 School Level AAFTE'!C:N,12,FALSE)</f>
        <v>No</v>
      </c>
    </row>
    <row r="530" spans="1:32" s="19" customFormat="1">
      <c r="A530" s="97" t="s">
        <v>2350</v>
      </c>
      <c r="B530" s="97" t="s">
        <v>685</v>
      </c>
      <c r="C530" s="95">
        <v>2980</v>
      </c>
      <c r="D530" s="95" t="s">
        <v>687</v>
      </c>
      <c r="E530" s="129">
        <f>VLOOKUP($C530,'2021-22 School Level AAFTE'!$C:$Z,11,FALSE)</f>
        <v>0.38873333333333332</v>
      </c>
      <c r="F530" s="129" t="str">
        <f>VLOOKUP($C530,'2021-22 School Level AAFTE'!$C:$Z,8,FALSE)</f>
        <v>No</v>
      </c>
      <c r="G530" s="129" t="str">
        <f>VLOOKUP($C530,'2021-22 School Level AAFTE'!$C:$Z,12,FALSE)</f>
        <v>No</v>
      </c>
      <c r="H530" s="127">
        <f>VLOOKUP($C530,'2021-22 School Level AAFTE'!$C:$I,7,FALSE)</f>
        <v>419.14</v>
      </c>
      <c r="I530" s="112">
        <f>IFERROR(IF(OR(G530="yes",F530= "yes"),VLOOKUP(C530,Summary!$B:$J,6,0),0),0)</f>
        <v>0</v>
      </c>
      <c r="J530" s="111">
        <f t="shared" si="108"/>
        <v>0</v>
      </c>
      <c r="K530" s="91">
        <f>VLOOKUP($A530,'2022-23 Salary &amp; Benefits'!$A:$I,3,FALSE)</f>
        <v>1.1200000000000001</v>
      </c>
      <c r="L530" s="91">
        <f>VLOOKUP($A530,'2022-23 Salary &amp; Benefits'!$A:$I,4,FALSE)</f>
        <v>1.1600000000000001</v>
      </c>
      <c r="M530" s="39">
        <f t="shared" si="103"/>
        <v>0</v>
      </c>
      <c r="N530" s="24">
        <v>15</v>
      </c>
      <c r="O530" s="26">
        <f t="shared" si="106"/>
        <v>0</v>
      </c>
      <c r="P530" s="24">
        <v>1.1000000000000001</v>
      </c>
      <c r="Q530" s="24">
        <v>36</v>
      </c>
      <c r="R530" s="27">
        <f t="shared" si="107"/>
        <v>0</v>
      </c>
      <c r="S530" s="102">
        <f t="shared" si="109"/>
        <v>0</v>
      </c>
      <c r="T530" s="21">
        <f>VLOOKUP($A530,'2022-23 Salary &amp; Benefits'!$A:$I,5,FALSE)</f>
        <v>68937</v>
      </c>
      <c r="U530" s="21">
        <f>VLOOKUP($A530,'2022-23 Salary &amp; Benefits'!$A:$I,6,FALSE)</f>
        <v>72728</v>
      </c>
      <c r="V530" s="22">
        <f t="shared" si="110"/>
        <v>0</v>
      </c>
      <c r="W530" s="22">
        <f t="shared" si="111"/>
        <v>0</v>
      </c>
      <c r="X530" s="22">
        <f>'2022-23 Salary &amp; Benefits'!$G$6</f>
        <v>12558.24</v>
      </c>
      <c r="Y530" s="23">
        <f>'2022-23 Salary &amp; Benefits'!$H$6</f>
        <v>0.2298</v>
      </c>
      <c r="Z530" s="23">
        <f>'2022-23 Salary &amp; Benefits'!$I$6</f>
        <v>0.22339999999999999</v>
      </c>
      <c r="AA530" s="22">
        <f t="shared" si="112"/>
        <v>0</v>
      </c>
      <c r="AB530" s="22">
        <f t="shared" si="113"/>
        <v>0</v>
      </c>
      <c r="AC530" s="22">
        <f t="shared" si="114"/>
        <v>0</v>
      </c>
      <c r="AD530" s="22">
        <f t="shared" si="104"/>
        <v>0</v>
      </c>
      <c r="AE530" s="22">
        <f t="shared" si="105"/>
        <v>0</v>
      </c>
      <c r="AF530" s="19" t="str">
        <f>VLOOKUP(C530,'2021-22 School Level AAFTE'!C:N,12,FALSE)</f>
        <v>No</v>
      </c>
    </row>
    <row r="531" spans="1:32" s="19" customFormat="1">
      <c r="A531" s="97" t="s">
        <v>2350</v>
      </c>
      <c r="B531" s="97" t="s">
        <v>685</v>
      </c>
      <c r="C531" s="95">
        <v>3330</v>
      </c>
      <c r="D531" s="95" t="s">
        <v>688</v>
      </c>
      <c r="E531" s="129">
        <f>VLOOKUP($C531,'2021-22 School Level AAFTE'!$C:$Z,11,FALSE)</f>
        <v>0.27133333333333332</v>
      </c>
      <c r="F531" s="129" t="str">
        <f>VLOOKUP($C531,'2021-22 School Level AAFTE'!$C:$Z,8,FALSE)</f>
        <v>No</v>
      </c>
      <c r="G531" s="129" t="str">
        <f>VLOOKUP($C531,'2021-22 School Level AAFTE'!$C:$Z,12,FALSE)</f>
        <v>No</v>
      </c>
      <c r="H531" s="127">
        <f>VLOOKUP($C531,'2021-22 School Level AAFTE'!$C:$I,7,FALSE)</f>
        <v>1286.9100000000001</v>
      </c>
      <c r="I531" s="112">
        <f>IFERROR(IF(OR(G531="yes",F531= "yes"),VLOOKUP(C531,Summary!$B:$J,6,0),0),0)</f>
        <v>0</v>
      </c>
      <c r="J531" s="111">
        <f t="shared" si="108"/>
        <v>0</v>
      </c>
      <c r="K531" s="91">
        <f>VLOOKUP($A531,'2022-23 Salary &amp; Benefits'!$A:$I,3,FALSE)</f>
        <v>1.1200000000000001</v>
      </c>
      <c r="L531" s="91">
        <f>VLOOKUP($A531,'2022-23 Salary &amp; Benefits'!$A:$I,4,FALSE)</f>
        <v>1.1600000000000001</v>
      </c>
      <c r="M531" s="101">
        <f t="shared" si="103"/>
        <v>0</v>
      </c>
      <c r="N531" s="24">
        <v>15</v>
      </c>
      <c r="O531" s="26">
        <f t="shared" si="106"/>
        <v>0</v>
      </c>
      <c r="P531" s="24">
        <v>1.1000000000000001</v>
      </c>
      <c r="Q531" s="24">
        <v>36</v>
      </c>
      <c r="R531" s="27">
        <f t="shared" si="107"/>
        <v>0</v>
      </c>
      <c r="S531" s="102">
        <f t="shared" si="109"/>
        <v>0</v>
      </c>
      <c r="T531" s="21">
        <f>VLOOKUP($A531,'2022-23 Salary &amp; Benefits'!$A:$I,5,FALSE)</f>
        <v>68937</v>
      </c>
      <c r="U531" s="21">
        <f>VLOOKUP($A531,'2022-23 Salary &amp; Benefits'!$A:$I,6,FALSE)</f>
        <v>72728</v>
      </c>
      <c r="V531" s="22">
        <f t="shared" si="110"/>
        <v>0</v>
      </c>
      <c r="W531" s="22">
        <f t="shared" si="111"/>
        <v>0</v>
      </c>
      <c r="X531" s="22">
        <f>'2022-23 Salary &amp; Benefits'!$G$6</f>
        <v>12558.24</v>
      </c>
      <c r="Y531" s="23">
        <f>'2022-23 Salary &amp; Benefits'!$H$6</f>
        <v>0.2298</v>
      </c>
      <c r="Z531" s="23">
        <f>'2022-23 Salary &amp; Benefits'!$I$6</f>
        <v>0.22339999999999999</v>
      </c>
      <c r="AA531" s="22">
        <f t="shared" si="112"/>
        <v>0</v>
      </c>
      <c r="AB531" s="22">
        <f t="shared" si="113"/>
        <v>0</v>
      </c>
      <c r="AC531" s="22">
        <f t="shared" si="114"/>
        <v>0</v>
      </c>
      <c r="AD531" s="22">
        <f t="shared" si="104"/>
        <v>0</v>
      </c>
      <c r="AE531" s="22">
        <f t="shared" si="105"/>
        <v>0</v>
      </c>
      <c r="AF531" s="19" t="str">
        <f>VLOOKUP(C531,'2021-22 School Level AAFTE'!C:N,12,FALSE)</f>
        <v>No</v>
      </c>
    </row>
    <row r="532" spans="1:32" s="19" customFormat="1">
      <c r="A532" s="97" t="s">
        <v>2350</v>
      </c>
      <c r="B532" s="97" t="s">
        <v>685</v>
      </c>
      <c r="C532" s="95">
        <v>3430</v>
      </c>
      <c r="D532" s="95" t="s">
        <v>689</v>
      </c>
      <c r="E532" s="129">
        <f>VLOOKUP($C532,'2021-22 School Level AAFTE'!$C:$Z,11,FALSE)</f>
        <v>0.22676666666666667</v>
      </c>
      <c r="F532" s="129" t="str">
        <f>VLOOKUP($C532,'2021-22 School Level AAFTE'!$C:$Z,8,FALSE)</f>
        <v>No</v>
      </c>
      <c r="G532" s="129" t="str">
        <f>VLOOKUP($C532,'2021-22 School Level AAFTE'!$C:$Z,12,FALSE)</f>
        <v>No</v>
      </c>
      <c r="H532" s="127">
        <f>VLOOKUP($C532,'2021-22 School Level AAFTE'!$C:$I,7,FALSE)</f>
        <v>395.77</v>
      </c>
      <c r="I532" s="112">
        <f>IFERROR(IF(OR(G532="yes",F532= "yes"),VLOOKUP(C532,Summary!$B:$J,6,0),0),0)</f>
        <v>0</v>
      </c>
      <c r="J532" s="111">
        <f t="shared" si="108"/>
        <v>0</v>
      </c>
      <c r="K532" s="91">
        <f>VLOOKUP($A532,'2022-23 Salary &amp; Benefits'!$A:$I,3,FALSE)</f>
        <v>1.1200000000000001</v>
      </c>
      <c r="L532" s="91">
        <f>VLOOKUP($A532,'2022-23 Salary &amp; Benefits'!$A:$I,4,FALSE)</f>
        <v>1.1600000000000001</v>
      </c>
      <c r="M532" s="39">
        <f t="shared" si="103"/>
        <v>0</v>
      </c>
      <c r="N532" s="24">
        <v>15</v>
      </c>
      <c r="O532" s="26">
        <f t="shared" si="106"/>
        <v>0</v>
      </c>
      <c r="P532" s="24">
        <v>1.1000000000000001</v>
      </c>
      <c r="Q532" s="24">
        <v>36</v>
      </c>
      <c r="R532" s="27">
        <f t="shared" si="107"/>
        <v>0</v>
      </c>
      <c r="S532" s="102">
        <f t="shared" si="109"/>
        <v>0</v>
      </c>
      <c r="T532" s="21">
        <f>VLOOKUP($A532,'2022-23 Salary &amp; Benefits'!$A:$I,5,FALSE)</f>
        <v>68937</v>
      </c>
      <c r="U532" s="21">
        <f>VLOOKUP($A532,'2022-23 Salary &amp; Benefits'!$A:$I,6,FALSE)</f>
        <v>72728</v>
      </c>
      <c r="V532" s="22">
        <f t="shared" si="110"/>
        <v>0</v>
      </c>
      <c r="W532" s="22">
        <f t="shared" si="111"/>
        <v>0</v>
      </c>
      <c r="X532" s="22">
        <f>'2022-23 Salary &amp; Benefits'!$G$6</f>
        <v>12558.24</v>
      </c>
      <c r="Y532" s="23">
        <f>'2022-23 Salary &amp; Benefits'!$H$6</f>
        <v>0.2298</v>
      </c>
      <c r="Z532" s="23">
        <f>'2022-23 Salary &amp; Benefits'!$I$6</f>
        <v>0.22339999999999999</v>
      </c>
      <c r="AA532" s="22">
        <f t="shared" si="112"/>
        <v>0</v>
      </c>
      <c r="AB532" s="22">
        <f t="shared" si="113"/>
        <v>0</v>
      </c>
      <c r="AC532" s="22">
        <f t="shared" si="114"/>
        <v>0</v>
      </c>
      <c r="AD532" s="22">
        <f t="shared" si="104"/>
        <v>0</v>
      </c>
      <c r="AE532" s="22">
        <f t="shared" si="105"/>
        <v>0</v>
      </c>
      <c r="AF532" s="19" t="str">
        <f>VLOOKUP(C532,'2021-22 School Level AAFTE'!C:N,12,FALSE)</f>
        <v>No</v>
      </c>
    </row>
    <row r="533" spans="1:32" s="19" customFormat="1">
      <c r="A533" s="97" t="s">
        <v>2350</v>
      </c>
      <c r="B533" s="97" t="s">
        <v>685</v>
      </c>
      <c r="C533" s="95">
        <v>3585</v>
      </c>
      <c r="D533" s="95" t="s">
        <v>690</v>
      </c>
      <c r="E533" s="129">
        <f>VLOOKUP($C533,'2021-22 School Level AAFTE'!$C:$Z,11,FALSE)</f>
        <v>0.24433333333333332</v>
      </c>
      <c r="F533" s="129" t="str">
        <f>VLOOKUP($C533,'2021-22 School Level AAFTE'!$C:$Z,8,FALSE)</f>
        <v>No</v>
      </c>
      <c r="G533" s="129" t="str">
        <f>VLOOKUP($C533,'2021-22 School Level AAFTE'!$C:$Z,12,FALSE)</f>
        <v>No</v>
      </c>
      <c r="H533" s="127">
        <f>VLOOKUP($C533,'2021-22 School Level AAFTE'!$C:$I,7,FALSE)</f>
        <v>287.17</v>
      </c>
      <c r="I533" s="112">
        <f>IFERROR(IF(OR(G533="yes",F533= "yes"),VLOOKUP(C533,Summary!$B:$J,6,0),0),0)</f>
        <v>0</v>
      </c>
      <c r="J533" s="111">
        <f t="shared" si="108"/>
        <v>0</v>
      </c>
      <c r="K533" s="91">
        <f>VLOOKUP($A533,'2022-23 Salary &amp; Benefits'!$A:$I,3,FALSE)</f>
        <v>1.1200000000000001</v>
      </c>
      <c r="L533" s="91">
        <f>VLOOKUP($A533,'2022-23 Salary &amp; Benefits'!$A:$I,4,FALSE)</f>
        <v>1.1600000000000001</v>
      </c>
      <c r="M533" s="39">
        <f t="shared" si="103"/>
        <v>0</v>
      </c>
      <c r="N533" s="24">
        <v>15</v>
      </c>
      <c r="O533" s="26">
        <f t="shared" si="106"/>
        <v>0</v>
      </c>
      <c r="P533" s="24">
        <v>1.1000000000000001</v>
      </c>
      <c r="Q533" s="24">
        <v>36</v>
      </c>
      <c r="R533" s="27">
        <f t="shared" si="107"/>
        <v>0</v>
      </c>
      <c r="S533" s="102">
        <f t="shared" si="109"/>
        <v>0</v>
      </c>
      <c r="T533" s="21">
        <f>VLOOKUP($A533,'2022-23 Salary &amp; Benefits'!$A:$I,5,FALSE)</f>
        <v>68937</v>
      </c>
      <c r="U533" s="21">
        <f>VLOOKUP($A533,'2022-23 Salary &amp; Benefits'!$A:$I,6,FALSE)</f>
        <v>72728</v>
      </c>
      <c r="V533" s="22">
        <f t="shared" si="110"/>
        <v>0</v>
      </c>
      <c r="W533" s="22">
        <f t="shared" si="111"/>
        <v>0</v>
      </c>
      <c r="X533" s="22">
        <f>'2022-23 Salary &amp; Benefits'!$G$6</f>
        <v>12558.24</v>
      </c>
      <c r="Y533" s="23">
        <f>'2022-23 Salary &amp; Benefits'!$H$6</f>
        <v>0.2298</v>
      </c>
      <c r="Z533" s="23">
        <f>'2022-23 Salary &amp; Benefits'!$I$6</f>
        <v>0.22339999999999999</v>
      </c>
      <c r="AA533" s="22">
        <f t="shared" si="112"/>
        <v>0</v>
      </c>
      <c r="AB533" s="22">
        <f t="shared" si="113"/>
        <v>0</v>
      </c>
      <c r="AC533" s="22">
        <f t="shared" si="114"/>
        <v>0</v>
      </c>
      <c r="AD533" s="22">
        <f t="shared" si="104"/>
        <v>0</v>
      </c>
      <c r="AE533" s="22">
        <f t="shared" si="105"/>
        <v>0</v>
      </c>
      <c r="AF533" s="19" t="str">
        <f>VLOOKUP(C533,'2021-22 School Level AAFTE'!C:N,12,FALSE)</f>
        <v>No</v>
      </c>
    </row>
    <row r="534" spans="1:32" s="19" customFormat="1">
      <c r="A534" s="97" t="s">
        <v>2350</v>
      </c>
      <c r="B534" s="97" t="s">
        <v>685</v>
      </c>
      <c r="C534" s="95">
        <v>3739</v>
      </c>
      <c r="D534" s="95" t="s">
        <v>691</v>
      </c>
      <c r="E534" s="129">
        <f>VLOOKUP($C534,'2021-22 School Level AAFTE'!$C:$Z,11,FALSE)</f>
        <v>0.33823333333333333</v>
      </c>
      <c r="F534" s="129" t="str">
        <f>VLOOKUP($C534,'2021-22 School Level AAFTE'!$C:$Z,8,FALSE)</f>
        <v>No</v>
      </c>
      <c r="G534" s="129" t="str">
        <f>VLOOKUP($C534,'2021-22 School Level AAFTE'!$C:$Z,12,FALSE)</f>
        <v>No</v>
      </c>
      <c r="H534" s="127">
        <f>VLOOKUP($C534,'2021-22 School Level AAFTE'!$C:$I,7,FALSE)</f>
        <v>302.74</v>
      </c>
      <c r="I534" s="112">
        <f>IFERROR(IF(OR(G534="yes",F534= "yes"),VLOOKUP(C534,Summary!$B:$J,6,0),0),0)</f>
        <v>0</v>
      </c>
      <c r="J534" s="111">
        <f t="shared" si="108"/>
        <v>0</v>
      </c>
      <c r="K534" s="91">
        <f>VLOOKUP($A534,'2022-23 Salary &amp; Benefits'!$A:$I,3,FALSE)</f>
        <v>1.1200000000000001</v>
      </c>
      <c r="L534" s="91">
        <f>VLOOKUP($A534,'2022-23 Salary &amp; Benefits'!$A:$I,4,FALSE)</f>
        <v>1.1600000000000001</v>
      </c>
      <c r="M534" s="39">
        <f t="shared" si="103"/>
        <v>0</v>
      </c>
      <c r="N534" s="24">
        <v>15</v>
      </c>
      <c r="O534" s="26">
        <f t="shared" si="106"/>
        <v>0</v>
      </c>
      <c r="P534" s="24">
        <v>1.1000000000000001</v>
      </c>
      <c r="Q534" s="24">
        <v>36</v>
      </c>
      <c r="R534" s="27">
        <f t="shared" si="107"/>
        <v>0</v>
      </c>
      <c r="S534" s="102">
        <f t="shared" si="109"/>
        <v>0</v>
      </c>
      <c r="T534" s="21">
        <f>VLOOKUP($A534,'2022-23 Salary &amp; Benefits'!$A:$I,5,FALSE)</f>
        <v>68937</v>
      </c>
      <c r="U534" s="21">
        <f>VLOOKUP($A534,'2022-23 Salary &amp; Benefits'!$A:$I,6,FALSE)</f>
        <v>72728</v>
      </c>
      <c r="V534" s="22">
        <f t="shared" si="110"/>
        <v>0</v>
      </c>
      <c r="W534" s="22">
        <f t="shared" si="111"/>
        <v>0</v>
      </c>
      <c r="X534" s="22">
        <f>'2022-23 Salary &amp; Benefits'!$G$6</f>
        <v>12558.24</v>
      </c>
      <c r="Y534" s="23">
        <f>'2022-23 Salary &amp; Benefits'!$H$6</f>
        <v>0.2298</v>
      </c>
      <c r="Z534" s="23">
        <f>'2022-23 Salary &amp; Benefits'!$I$6</f>
        <v>0.22339999999999999</v>
      </c>
      <c r="AA534" s="22">
        <f t="shared" si="112"/>
        <v>0</v>
      </c>
      <c r="AB534" s="22">
        <f t="shared" si="113"/>
        <v>0</v>
      </c>
      <c r="AC534" s="22">
        <f t="shared" si="114"/>
        <v>0</v>
      </c>
      <c r="AD534" s="22">
        <f t="shared" si="104"/>
        <v>0</v>
      </c>
      <c r="AE534" s="22">
        <f t="shared" si="105"/>
        <v>0</v>
      </c>
      <c r="AF534" s="19" t="str">
        <f>VLOOKUP(C534,'2021-22 School Level AAFTE'!C:N,12,FALSE)</f>
        <v>No</v>
      </c>
    </row>
    <row r="535" spans="1:32" s="19" customFormat="1">
      <c r="A535" s="97" t="s">
        <v>2350</v>
      </c>
      <c r="B535" s="97" t="s">
        <v>685</v>
      </c>
      <c r="C535" s="95">
        <v>4210</v>
      </c>
      <c r="D535" s="95" t="s">
        <v>692</v>
      </c>
      <c r="E535" s="129">
        <f>VLOOKUP($C535,'2021-22 School Level AAFTE'!$C:$Z,11,FALSE)</f>
        <v>0.33223333333333332</v>
      </c>
      <c r="F535" s="129" t="str">
        <f>VLOOKUP($C535,'2021-22 School Level AAFTE'!$C:$Z,8,FALSE)</f>
        <v>No</v>
      </c>
      <c r="G535" s="129" t="str">
        <f>VLOOKUP($C535,'2021-22 School Level AAFTE'!$C:$Z,12,FALSE)</f>
        <v>No</v>
      </c>
      <c r="H535" s="127">
        <f>VLOOKUP($C535,'2021-22 School Level AAFTE'!$C:$I,7,FALSE)</f>
        <v>486.84</v>
      </c>
      <c r="I535" s="112">
        <f>IFERROR(IF(OR(G535="yes",F535= "yes"),VLOOKUP(C535,Summary!$B:$J,6,0),0),0)</f>
        <v>0</v>
      </c>
      <c r="J535" s="111">
        <f t="shared" si="108"/>
        <v>0</v>
      </c>
      <c r="K535" s="91">
        <f>VLOOKUP($A535,'2022-23 Salary &amp; Benefits'!$A:$I,3,FALSE)</f>
        <v>1.1200000000000001</v>
      </c>
      <c r="L535" s="91">
        <f>VLOOKUP($A535,'2022-23 Salary &amp; Benefits'!$A:$I,4,FALSE)</f>
        <v>1.1600000000000001</v>
      </c>
      <c r="M535" s="39">
        <f t="shared" si="103"/>
        <v>0</v>
      </c>
      <c r="N535" s="24">
        <v>15</v>
      </c>
      <c r="O535" s="26">
        <f t="shared" si="106"/>
        <v>0</v>
      </c>
      <c r="P535" s="24">
        <v>1.1000000000000001</v>
      </c>
      <c r="Q535" s="24">
        <v>36</v>
      </c>
      <c r="R535" s="27">
        <f t="shared" si="107"/>
        <v>0</v>
      </c>
      <c r="S535" s="102">
        <f t="shared" si="109"/>
        <v>0</v>
      </c>
      <c r="T535" s="21">
        <f>VLOOKUP($A535,'2022-23 Salary &amp; Benefits'!$A:$I,5,FALSE)</f>
        <v>68937</v>
      </c>
      <c r="U535" s="21">
        <f>VLOOKUP($A535,'2022-23 Salary &amp; Benefits'!$A:$I,6,FALSE)</f>
        <v>72728</v>
      </c>
      <c r="V535" s="22">
        <f t="shared" si="110"/>
        <v>0</v>
      </c>
      <c r="W535" s="22">
        <f t="shared" si="111"/>
        <v>0</v>
      </c>
      <c r="X535" s="22">
        <f>'2022-23 Salary &amp; Benefits'!$G$6</f>
        <v>12558.24</v>
      </c>
      <c r="Y535" s="23">
        <f>'2022-23 Salary &amp; Benefits'!$H$6</f>
        <v>0.2298</v>
      </c>
      <c r="Z535" s="23">
        <f>'2022-23 Salary &amp; Benefits'!$I$6</f>
        <v>0.22339999999999999</v>
      </c>
      <c r="AA535" s="22">
        <f t="shared" si="112"/>
        <v>0</v>
      </c>
      <c r="AB535" s="22">
        <f t="shared" si="113"/>
        <v>0</v>
      </c>
      <c r="AC535" s="22">
        <f t="shared" si="114"/>
        <v>0</v>
      </c>
      <c r="AD535" s="22">
        <f t="shared" si="104"/>
        <v>0</v>
      </c>
      <c r="AE535" s="22">
        <f t="shared" si="105"/>
        <v>0</v>
      </c>
      <c r="AF535" s="19" t="str">
        <f>VLOOKUP(C535,'2021-22 School Level AAFTE'!C:N,12,FALSE)</f>
        <v>No</v>
      </c>
    </row>
    <row r="536" spans="1:32" s="19" customFormat="1">
      <c r="A536" s="97" t="s">
        <v>2350</v>
      </c>
      <c r="B536" s="97" t="s">
        <v>685</v>
      </c>
      <c r="C536" s="95">
        <v>4289</v>
      </c>
      <c r="D536" s="95" t="s">
        <v>693</v>
      </c>
      <c r="E536" s="129">
        <f>VLOOKUP($C536,'2021-22 School Level AAFTE'!$C:$Z,11,FALSE)</f>
        <v>0.30383333333333334</v>
      </c>
      <c r="F536" s="129" t="str">
        <f>VLOOKUP($C536,'2021-22 School Level AAFTE'!$C:$Z,8,FALSE)</f>
        <v>No</v>
      </c>
      <c r="G536" s="129" t="str">
        <f>VLOOKUP($C536,'2021-22 School Level AAFTE'!$C:$Z,12,FALSE)</f>
        <v>No</v>
      </c>
      <c r="H536" s="127">
        <f>VLOOKUP($C536,'2021-22 School Level AAFTE'!$C:$I,7,FALSE)</f>
        <v>393.59</v>
      </c>
      <c r="I536" s="112">
        <f>IFERROR(IF(OR(G536="yes",F536= "yes"),VLOOKUP(C536,Summary!$B:$J,6,0),0),0)</f>
        <v>0</v>
      </c>
      <c r="J536" s="111">
        <f t="shared" si="108"/>
        <v>0</v>
      </c>
      <c r="K536" s="91">
        <f>VLOOKUP($A536,'2022-23 Salary &amp; Benefits'!$A:$I,3,FALSE)</f>
        <v>1.1200000000000001</v>
      </c>
      <c r="L536" s="91">
        <f>VLOOKUP($A536,'2022-23 Salary &amp; Benefits'!$A:$I,4,FALSE)</f>
        <v>1.1600000000000001</v>
      </c>
      <c r="M536" s="101">
        <f t="shared" si="103"/>
        <v>0</v>
      </c>
      <c r="N536" s="24">
        <v>15</v>
      </c>
      <c r="O536" s="26">
        <f t="shared" si="106"/>
        <v>0</v>
      </c>
      <c r="P536" s="24">
        <v>1.1000000000000001</v>
      </c>
      <c r="Q536" s="24">
        <v>36</v>
      </c>
      <c r="R536" s="27">
        <f t="shared" si="107"/>
        <v>0</v>
      </c>
      <c r="S536" s="102">
        <f t="shared" si="109"/>
        <v>0</v>
      </c>
      <c r="T536" s="21">
        <f>VLOOKUP($A536,'2022-23 Salary &amp; Benefits'!$A:$I,5,FALSE)</f>
        <v>68937</v>
      </c>
      <c r="U536" s="21">
        <f>VLOOKUP($A536,'2022-23 Salary &amp; Benefits'!$A:$I,6,FALSE)</f>
        <v>72728</v>
      </c>
      <c r="V536" s="22">
        <f t="shared" si="110"/>
        <v>0</v>
      </c>
      <c r="W536" s="22">
        <f t="shared" si="111"/>
        <v>0</v>
      </c>
      <c r="X536" s="22">
        <f>'2022-23 Salary &amp; Benefits'!$G$6</f>
        <v>12558.24</v>
      </c>
      <c r="Y536" s="23">
        <f>'2022-23 Salary &amp; Benefits'!$H$6</f>
        <v>0.2298</v>
      </c>
      <c r="Z536" s="23">
        <f>'2022-23 Salary &amp; Benefits'!$I$6</f>
        <v>0.22339999999999999</v>
      </c>
      <c r="AA536" s="22">
        <f t="shared" si="112"/>
        <v>0</v>
      </c>
      <c r="AB536" s="22">
        <f t="shared" si="113"/>
        <v>0</v>
      </c>
      <c r="AC536" s="22">
        <f t="shared" si="114"/>
        <v>0</v>
      </c>
      <c r="AD536" s="22">
        <f t="shared" si="104"/>
        <v>0</v>
      </c>
      <c r="AE536" s="22">
        <f t="shared" si="105"/>
        <v>0</v>
      </c>
      <c r="AF536" s="19" t="str">
        <f>VLOOKUP(C536,'2021-22 School Level AAFTE'!C:N,12,FALSE)</f>
        <v>No</v>
      </c>
    </row>
    <row r="537" spans="1:32" s="19" customFormat="1">
      <c r="A537" s="97" t="s">
        <v>2350</v>
      </c>
      <c r="B537" s="97" t="s">
        <v>685</v>
      </c>
      <c r="C537" s="95">
        <v>4550</v>
      </c>
      <c r="D537" s="95" t="s">
        <v>694</v>
      </c>
      <c r="E537" s="129">
        <f>VLOOKUP($C537,'2021-22 School Level AAFTE'!$C:$Z,11,FALSE)</f>
        <v>0.26763333333333333</v>
      </c>
      <c r="F537" s="129" t="str">
        <f>VLOOKUP($C537,'2021-22 School Level AAFTE'!$C:$Z,8,FALSE)</f>
        <v>No</v>
      </c>
      <c r="G537" s="129" t="str">
        <f>VLOOKUP($C537,'2021-22 School Level AAFTE'!$C:$Z,12,FALSE)</f>
        <v>No</v>
      </c>
      <c r="H537" s="127">
        <f>VLOOKUP($C537,'2021-22 School Level AAFTE'!$C:$I,7,FALSE)</f>
        <v>485.22</v>
      </c>
      <c r="I537" s="112">
        <f>IFERROR(IF(OR(G537="yes",F537= "yes"),VLOOKUP(C537,Summary!$B:$J,6,0),0),0)</f>
        <v>0</v>
      </c>
      <c r="J537" s="111">
        <f t="shared" si="108"/>
        <v>0</v>
      </c>
      <c r="K537" s="91">
        <f>VLOOKUP($A537,'2022-23 Salary &amp; Benefits'!$A:$I,3,FALSE)</f>
        <v>1.1200000000000001</v>
      </c>
      <c r="L537" s="91">
        <f>VLOOKUP($A537,'2022-23 Salary &amp; Benefits'!$A:$I,4,FALSE)</f>
        <v>1.1600000000000001</v>
      </c>
      <c r="M537" s="39">
        <f t="shared" si="103"/>
        <v>0</v>
      </c>
      <c r="N537" s="24">
        <v>15</v>
      </c>
      <c r="O537" s="26">
        <f t="shared" si="106"/>
        <v>0</v>
      </c>
      <c r="P537" s="24">
        <v>1.1000000000000001</v>
      </c>
      <c r="Q537" s="24">
        <v>36</v>
      </c>
      <c r="R537" s="27">
        <f t="shared" si="107"/>
        <v>0</v>
      </c>
      <c r="S537" s="102">
        <f t="shared" si="109"/>
        <v>0</v>
      </c>
      <c r="T537" s="21">
        <f>VLOOKUP($A537,'2022-23 Salary &amp; Benefits'!$A:$I,5,FALSE)</f>
        <v>68937</v>
      </c>
      <c r="U537" s="21">
        <f>VLOOKUP($A537,'2022-23 Salary &amp; Benefits'!$A:$I,6,FALSE)</f>
        <v>72728</v>
      </c>
      <c r="V537" s="22">
        <f t="shared" si="110"/>
        <v>0</v>
      </c>
      <c r="W537" s="22">
        <f t="shared" si="111"/>
        <v>0</v>
      </c>
      <c r="X537" s="22">
        <f>'2022-23 Salary &amp; Benefits'!$G$6</f>
        <v>12558.24</v>
      </c>
      <c r="Y537" s="23">
        <f>'2022-23 Salary &amp; Benefits'!$H$6</f>
        <v>0.2298</v>
      </c>
      <c r="Z537" s="23">
        <f>'2022-23 Salary &amp; Benefits'!$I$6</f>
        <v>0.22339999999999999</v>
      </c>
      <c r="AA537" s="22">
        <f t="shared" si="112"/>
        <v>0</v>
      </c>
      <c r="AB537" s="22">
        <f t="shared" si="113"/>
        <v>0</v>
      </c>
      <c r="AC537" s="22">
        <f t="shared" si="114"/>
        <v>0</v>
      </c>
      <c r="AD537" s="22">
        <f t="shared" si="104"/>
        <v>0</v>
      </c>
      <c r="AE537" s="22">
        <f t="shared" si="105"/>
        <v>0</v>
      </c>
      <c r="AF537" s="19" t="str">
        <f>VLOOKUP(C537,'2021-22 School Level AAFTE'!C:N,12,FALSE)</f>
        <v>No</v>
      </c>
    </row>
    <row r="538" spans="1:32" s="19" customFormat="1">
      <c r="A538" s="97" t="s">
        <v>2350</v>
      </c>
      <c r="B538" s="97" t="s">
        <v>685</v>
      </c>
      <c r="C538" s="95">
        <v>5491</v>
      </c>
      <c r="D538" s="95" t="s">
        <v>3012</v>
      </c>
      <c r="E538" s="129">
        <f>VLOOKUP($C538,'2021-22 School Level AAFTE'!$C:$Z,11,FALSE)</f>
        <v>0.05</v>
      </c>
      <c r="F538" s="129" t="str">
        <f>VLOOKUP($C538,'2021-22 School Level AAFTE'!$C:$Z,8,FALSE)</f>
        <v>No</v>
      </c>
      <c r="G538" s="129" t="str">
        <f>VLOOKUP($C538,'2021-22 School Level AAFTE'!$C:$Z,12,FALSE)</f>
        <v>No</v>
      </c>
      <c r="H538" s="127">
        <f>VLOOKUP($C538,'2021-22 School Level AAFTE'!$C:$I,7,FALSE)</f>
        <v>19.71</v>
      </c>
      <c r="I538" s="112">
        <f>IFERROR(IF(OR(G538="yes",F538= "yes"),VLOOKUP(C538,Summary!$B:$J,6,0),0),0)</f>
        <v>0</v>
      </c>
      <c r="J538" s="111">
        <f t="shared" si="108"/>
        <v>0</v>
      </c>
      <c r="K538" s="91">
        <f>VLOOKUP($A538,'2022-23 Salary &amp; Benefits'!$A:$I,3,FALSE)</f>
        <v>1.1200000000000001</v>
      </c>
      <c r="L538" s="91">
        <f>VLOOKUP($A538,'2022-23 Salary &amp; Benefits'!$A:$I,4,FALSE)</f>
        <v>1.1600000000000001</v>
      </c>
      <c r="M538" s="101">
        <f t="shared" si="103"/>
        <v>0</v>
      </c>
      <c r="N538" s="24">
        <v>15</v>
      </c>
      <c r="O538" s="26">
        <f t="shared" si="106"/>
        <v>0</v>
      </c>
      <c r="P538" s="24">
        <v>1.1000000000000001</v>
      </c>
      <c r="Q538" s="24">
        <v>36</v>
      </c>
      <c r="R538" s="27">
        <f t="shared" si="107"/>
        <v>0</v>
      </c>
      <c r="S538" s="102">
        <f t="shared" si="109"/>
        <v>0</v>
      </c>
      <c r="T538" s="21">
        <f>VLOOKUP($A538,'2022-23 Salary &amp; Benefits'!$A:$I,5,FALSE)</f>
        <v>68937</v>
      </c>
      <c r="U538" s="21">
        <f>VLOOKUP($A538,'2022-23 Salary &amp; Benefits'!$A:$I,6,FALSE)</f>
        <v>72728</v>
      </c>
      <c r="V538" s="22">
        <f t="shared" si="110"/>
        <v>0</v>
      </c>
      <c r="W538" s="22">
        <f t="shared" si="111"/>
        <v>0</v>
      </c>
      <c r="X538" s="22">
        <f>'2022-23 Salary &amp; Benefits'!$G$6</f>
        <v>12558.24</v>
      </c>
      <c r="Y538" s="23">
        <f>'2022-23 Salary &amp; Benefits'!$H$6</f>
        <v>0.2298</v>
      </c>
      <c r="Z538" s="23">
        <f>'2022-23 Salary &amp; Benefits'!$I$6</f>
        <v>0.22339999999999999</v>
      </c>
      <c r="AA538" s="22">
        <f t="shared" si="112"/>
        <v>0</v>
      </c>
      <c r="AB538" s="22">
        <f t="shared" si="113"/>
        <v>0</v>
      </c>
      <c r="AC538" s="22">
        <f t="shared" si="114"/>
        <v>0</v>
      </c>
      <c r="AD538" s="22">
        <f t="shared" si="104"/>
        <v>0</v>
      </c>
      <c r="AE538" s="22">
        <f t="shared" si="105"/>
        <v>0</v>
      </c>
      <c r="AF538" s="19" t="str">
        <f>VLOOKUP(C538,'2021-22 School Level AAFTE'!C:N,12,FALSE)</f>
        <v>No</v>
      </c>
    </row>
    <row r="539" spans="1:32" s="19" customFormat="1">
      <c r="A539" s="97" t="s">
        <v>2324</v>
      </c>
      <c r="B539" s="97" t="s">
        <v>452</v>
      </c>
      <c r="C539" s="95">
        <v>2695</v>
      </c>
      <c r="D539" s="95" t="s">
        <v>453</v>
      </c>
      <c r="E539" s="129">
        <f>VLOOKUP($C539,'2021-22 School Level AAFTE'!$C:$Z,11,FALSE)</f>
        <v>0.59006666666666663</v>
      </c>
      <c r="F539" s="129" t="str">
        <f>VLOOKUP($C539,'2021-22 School Level AAFTE'!$C:$Z,8,FALSE)</f>
        <v>Yes</v>
      </c>
      <c r="G539" s="129" t="str">
        <f>VLOOKUP($C539,'2021-22 School Level AAFTE'!$C:$Z,12,FALSE)</f>
        <v>No</v>
      </c>
      <c r="H539" s="127">
        <f>VLOOKUP($C539,'2021-22 School Level AAFTE'!$C:$I,7,FALSE)</f>
        <v>386.14</v>
      </c>
      <c r="I539" s="112">
        <f>IFERROR(IF(OR(G539="yes",F539= "yes"),VLOOKUP(C539,Summary!$B:$J,6,0),0),0)</f>
        <v>0</v>
      </c>
      <c r="J539" s="111">
        <f t="shared" si="108"/>
        <v>386.14</v>
      </c>
      <c r="K539" s="91">
        <f>VLOOKUP($A539,'2022-23 Salary &amp; Benefits'!$A:$I,3,FALSE)</f>
        <v>1</v>
      </c>
      <c r="L539" s="91">
        <f>VLOOKUP($A539,'2022-23 Salary &amp; Benefits'!$A:$I,4,FALSE)</f>
        <v>1.04</v>
      </c>
      <c r="M539" s="101">
        <f t="shared" si="103"/>
        <v>386.14</v>
      </c>
      <c r="N539" s="24">
        <v>15</v>
      </c>
      <c r="O539" s="26">
        <f t="shared" si="106"/>
        <v>25.742666666666665</v>
      </c>
      <c r="P539" s="24">
        <v>1.1000000000000001</v>
      </c>
      <c r="Q539" s="24">
        <v>36</v>
      </c>
      <c r="R539" s="27">
        <f t="shared" si="107"/>
        <v>1019.4096000000001</v>
      </c>
      <c r="S539" s="102">
        <f t="shared" si="109"/>
        <v>1.133</v>
      </c>
      <c r="T539" s="21">
        <f>VLOOKUP($A539,'2022-23 Salary &amp; Benefits'!$A:$I,5,FALSE)</f>
        <v>68937</v>
      </c>
      <c r="U539" s="21">
        <f>VLOOKUP($A539,'2022-23 Salary &amp; Benefits'!$A:$I,6,FALSE)</f>
        <v>72728</v>
      </c>
      <c r="V539" s="22">
        <f t="shared" si="110"/>
        <v>78105.62</v>
      </c>
      <c r="W539" s="22">
        <f t="shared" si="111"/>
        <v>7591.2400000000052</v>
      </c>
      <c r="X539" s="22">
        <f>'2022-23 Salary &amp; Benefits'!$G$6</f>
        <v>12558.24</v>
      </c>
      <c r="Y539" s="23">
        <f>'2022-23 Salary &amp; Benefits'!$H$6</f>
        <v>0.2298</v>
      </c>
      <c r="Z539" s="23">
        <f>'2022-23 Salary &amp; Benefits'!$I$6</f>
        <v>0.22339999999999999</v>
      </c>
      <c r="AA539" s="22">
        <f t="shared" si="112"/>
        <v>33873.040000000001</v>
      </c>
      <c r="AB539" s="22">
        <f t="shared" si="113"/>
        <v>1428.28</v>
      </c>
      <c r="AC539" s="22">
        <f t="shared" si="114"/>
        <v>319.08</v>
      </c>
      <c r="AD539" s="22">
        <f t="shared" si="104"/>
        <v>1747.36</v>
      </c>
      <c r="AE539" s="22">
        <f t="shared" si="105"/>
        <v>121317.26000000001</v>
      </c>
      <c r="AF539" s="19" t="str">
        <f>VLOOKUP(C539,'2021-22 School Level AAFTE'!C:N,12,FALSE)</f>
        <v>No</v>
      </c>
    </row>
    <row r="540" spans="1:32" s="19" customFormat="1">
      <c r="A540" s="97" t="s">
        <v>2324</v>
      </c>
      <c r="B540" s="97" t="s">
        <v>452</v>
      </c>
      <c r="C540" s="95">
        <v>2793</v>
      </c>
      <c r="D540" s="95" t="s">
        <v>454</v>
      </c>
      <c r="E540" s="129">
        <f>VLOOKUP($C540,'2021-22 School Level AAFTE'!$C:$Z,11,FALSE)</f>
        <v>0.57666666666666666</v>
      </c>
      <c r="F540" s="129" t="str">
        <f>VLOOKUP($C540,'2021-22 School Level AAFTE'!$C:$Z,8,FALSE)</f>
        <v>Yes</v>
      </c>
      <c r="G540" s="129" t="str">
        <f>VLOOKUP($C540,'2021-22 School Level AAFTE'!$C:$Z,12,FALSE)</f>
        <v>No</v>
      </c>
      <c r="H540" s="127">
        <f>VLOOKUP($C540,'2021-22 School Level AAFTE'!$C:$I,7,FALSE)</f>
        <v>460.57</v>
      </c>
      <c r="I540" s="112">
        <f>IFERROR(IF(OR(G540="yes",F540= "yes"),VLOOKUP(C540,Summary!$B:$J,6,0),0),0)</f>
        <v>0</v>
      </c>
      <c r="J540" s="111">
        <f t="shared" si="108"/>
        <v>460.57</v>
      </c>
      <c r="K540" s="91">
        <f>VLOOKUP($A540,'2022-23 Salary &amp; Benefits'!$A:$I,3,FALSE)</f>
        <v>1</v>
      </c>
      <c r="L540" s="91">
        <f>VLOOKUP($A540,'2022-23 Salary &amp; Benefits'!$A:$I,4,FALSE)</f>
        <v>1.04</v>
      </c>
      <c r="M540" s="101">
        <f t="shared" si="103"/>
        <v>460.57</v>
      </c>
      <c r="N540" s="24">
        <v>15</v>
      </c>
      <c r="O540" s="26">
        <f t="shared" si="106"/>
        <v>30.704666666666665</v>
      </c>
      <c r="P540" s="24">
        <v>1.1000000000000001</v>
      </c>
      <c r="Q540" s="24">
        <v>36</v>
      </c>
      <c r="R540" s="27">
        <f t="shared" si="107"/>
        <v>1215.9048</v>
      </c>
      <c r="S540" s="102">
        <f t="shared" si="109"/>
        <v>1.351</v>
      </c>
      <c r="T540" s="21">
        <f>VLOOKUP($A540,'2022-23 Salary &amp; Benefits'!$A:$I,5,FALSE)</f>
        <v>68937</v>
      </c>
      <c r="U540" s="21">
        <f>VLOOKUP($A540,'2022-23 Salary &amp; Benefits'!$A:$I,6,FALSE)</f>
        <v>72728</v>
      </c>
      <c r="V540" s="22">
        <f t="shared" si="110"/>
        <v>93133.89</v>
      </c>
      <c r="W540" s="22">
        <f t="shared" si="111"/>
        <v>9051.86</v>
      </c>
      <c r="X540" s="22">
        <f>'2022-23 Salary &amp; Benefits'!$G$6</f>
        <v>12558.24</v>
      </c>
      <c r="Y540" s="23">
        <f>'2022-23 Salary &amp; Benefits'!$H$6</f>
        <v>0.2298</v>
      </c>
      <c r="Z540" s="23">
        <f>'2022-23 Salary &amp; Benefits'!$I$6</f>
        <v>0.22339999999999999</v>
      </c>
      <c r="AA540" s="22">
        <f t="shared" si="112"/>
        <v>40390.54</v>
      </c>
      <c r="AB540" s="22">
        <f t="shared" si="113"/>
        <v>1703.1</v>
      </c>
      <c r="AC540" s="22">
        <f t="shared" si="114"/>
        <v>380.47</v>
      </c>
      <c r="AD540" s="22">
        <f t="shared" si="104"/>
        <v>2083.5699999999997</v>
      </c>
      <c r="AE540" s="22">
        <f t="shared" si="105"/>
        <v>144659.85999999999</v>
      </c>
      <c r="AF540" s="19" t="str">
        <f>VLOOKUP(C540,'2021-22 School Level AAFTE'!C:N,12,FALSE)</f>
        <v>No</v>
      </c>
    </row>
    <row r="541" spans="1:32" s="19" customFormat="1">
      <c r="A541" s="97" t="s">
        <v>2324</v>
      </c>
      <c r="B541" s="97" t="s">
        <v>452</v>
      </c>
      <c r="C541" s="95">
        <v>2920</v>
      </c>
      <c r="D541" s="95" t="s">
        <v>455</v>
      </c>
      <c r="E541" s="129">
        <f>VLOOKUP($C541,'2021-22 School Level AAFTE'!$C:$Z,11,FALSE)</f>
        <v>0.49363333333333337</v>
      </c>
      <c r="F541" s="129" t="str">
        <f>VLOOKUP($C541,'2021-22 School Level AAFTE'!$C:$Z,8,FALSE)</f>
        <v>No</v>
      </c>
      <c r="G541" s="129" t="str">
        <f>VLOOKUP($C541,'2021-22 School Level AAFTE'!$C:$Z,12,FALSE)</f>
        <v>No</v>
      </c>
      <c r="H541" s="127">
        <f>VLOOKUP($C541,'2021-22 School Level AAFTE'!$C:$I,7,FALSE)</f>
        <v>832.72</v>
      </c>
      <c r="I541" s="112">
        <f>IFERROR(IF(OR(G541="yes",F541= "yes"),VLOOKUP(C541,Summary!$B:$J,6,0),0),0)</f>
        <v>0</v>
      </c>
      <c r="J541" s="111">
        <f t="shared" si="108"/>
        <v>0</v>
      </c>
      <c r="K541" s="91">
        <f>VLOOKUP($A541,'2022-23 Salary &amp; Benefits'!$A:$I,3,FALSE)</f>
        <v>1</v>
      </c>
      <c r="L541" s="91">
        <f>VLOOKUP($A541,'2022-23 Salary &amp; Benefits'!$A:$I,4,FALSE)</f>
        <v>1.04</v>
      </c>
      <c r="M541" s="101">
        <f t="shared" si="103"/>
        <v>0</v>
      </c>
      <c r="N541" s="24">
        <v>15</v>
      </c>
      <c r="O541" s="26">
        <f t="shared" si="106"/>
        <v>0</v>
      </c>
      <c r="P541" s="24">
        <v>1.1000000000000001</v>
      </c>
      <c r="Q541" s="24">
        <v>36</v>
      </c>
      <c r="R541" s="27">
        <f t="shared" si="107"/>
        <v>0</v>
      </c>
      <c r="S541" s="102">
        <f t="shared" si="109"/>
        <v>0</v>
      </c>
      <c r="T541" s="21">
        <f>VLOOKUP($A541,'2022-23 Salary &amp; Benefits'!$A:$I,5,FALSE)</f>
        <v>68937</v>
      </c>
      <c r="U541" s="21">
        <f>VLOOKUP($A541,'2022-23 Salary &amp; Benefits'!$A:$I,6,FALSE)</f>
        <v>72728</v>
      </c>
      <c r="V541" s="22">
        <f t="shared" si="110"/>
        <v>0</v>
      </c>
      <c r="W541" s="22">
        <f t="shared" si="111"/>
        <v>0</v>
      </c>
      <c r="X541" s="22">
        <f>'2022-23 Salary &amp; Benefits'!$G$6</f>
        <v>12558.24</v>
      </c>
      <c r="Y541" s="23">
        <f>'2022-23 Salary &amp; Benefits'!$H$6</f>
        <v>0.2298</v>
      </c>
      <c r="Z541" s="23">
        <f>'2022-23 Salary &amp; Benefits'!$I$6</f>
        <v>0.22339999999999999</v>
      </c>
      <c r="AA541" s="22">
        <f t="shared" si="112"/>
        <v>0</v>
      </c>
      <c r="AB541" s="22">
        <f t="shared" si="113"/>
        <v>0</v>
      </c>
      <c r="AC541" s="22">
        <f t="shared" si="114"/>
        <v>0</v>
      </c>
      <c r="AD541" s="22">
        <f t="shared" si="104"/>
        <v>0</v>
      </c>
      <c r="AE541" s="22">
        <f t="shared" si="105"/>
        <v>0</v>
      </c>
      <c r="AF541" s="19" t="str">
        <f>VLOOKUP(C541,'2021-22 School Level AAFTE'!C:N,12,FALSE)</f>
        <v>No</v>
      </c>
    </row>
    <row r="542" spans="1:32" s="19" customFormat="1">
      <c r="A542" s="97" t="s">
        <v>2324</v>
      </c>
      <c r="B542" s="97" t="s">
        <v>452</v>
      </c>
      <c r="C542" s="95">
        <v>3092</v>
      </c>
      <c r="D542" s="95" t="s">
        <v>456</v>
      </c>
      <c r="E542" s="129">
        <f>VLOOKUP($C542,'2021-22 School Level AAFTE'!$C:$Z,11,FALSE)</f>
        <v>0.60133333333333339</v>
      </c>
      <c r="F542" s="129" t="str">
        <f>VLOOKUP($C542,'2021-22 School Level AAFTE'!$C:$Z,8,FALSE)</f>
        <v>Yes</v>
      </c>
      <c r="G542" s="129" t="str">
        <f>VLOOKUP($C542,'2021-22 School Level AAFTE'!$C:$Z,12,FALSE)</f>
        <v>No</v>
      </c>
      <c r="H542" s="127">
        <f>VLOOKUP($C542,'2021-22 School Level AAFTE'!$C:$I,7,FALSE)</f>
        <v>444.71</v>
      </c>
      <c r="I542" s="112">
        <f>IFERROR(IF(OR(G542="yes",F542= "yes"),VLOOKUP(C542,Summary!$B:$J,6,0),0),0)</f>
        <v>0</v>
      </c>
      <c r="J542" s="111">
        <f t="shared" si="108"/>
        <v>444.71</v>
      </c>
      <c r="K542" s="91">
        <f>VLOOKUP($A542,'2022-23 Salary &amp; Benefits'!$A:$I,3,FALSE)</f>
        <v>1</v>
      </c>
      <c r="L542" s="91">
        <f>VLOOKUP($A542,'2022-23 Salary &amp; Benefits'!$A:$I,4,FALSE)</f>
        <v>1.04</v>
      </c>
      <c r="M542" s="39">
        <f t="shared" si="103"/>
        <v>444.71</v>
      </c>
      <c r="N542" s="24">
        <v>15</v>
      </c>
      <c r="O542" s="26">
        <f t="shared" si="106"/>
        <v>29.647333333333332</v>
      </c>
      <c r="P542" s="24">
        <v>1.1000000000000001</v>
      </c>
      <c r="Q542" s="24">
        <v>36</v>
      </c>
      <c r="R542" s="27">
        <f t="shared" si="107"/>
        <v>1174.0344000000002</v>
      </c>
      <c r="S542" s="102">
        <f t="shared" si="109"/>
        <v>1.304</v>
      </c>
      <c r="T542" s="21">
        <f>VLOOKUP($A542,'2022-23 Salary &amp; Benefits'!$A:$I,5,FALSE)</f>
        <v>68937</v>
      </c>
      <c r="U542" s="21">
        <f>VLOOKUP($A542,'2022-23 Salary &amp; Benefits'!$A:$I,6,FALSE)</f>
        <v>72728</v>
      </c>
      <c r="V542" s="22">
        <f t="shared" si="110"/>
        <v>89893.85</v>
      </c>
      <c r="W542" s="22">
        <f t="shared" si="111"/>
        <v>8736.9499999999971</v>
      </c>
      <c r="X542" s="22">
        <f>'2022-23 Salary &amp; Benefits'!$G$6</f>
        <v>12558.24</v>
      </c>
      <c r="Y542" s="23">
        <f>'2022-23 Salary &amp; Benefits'!$H$6</f>
        <v>0.2298</v>
      </c>
      <c r="Z542" s="23">
        <f>'2022-23 Salary &amp; Benefits'!$I$6</f>
        <v>0.22339999999999999</v>
      </c>
      <c r="AA542" s="22">
        <f t="shared" si="112"/>
        <v>38985.39</v>
      </c>
      <c r="AB542" s="22">
        <f t="shared" si="113"/>
        <v>1643.85</v>
      </c>
      <c r="AC542" s="22">
        <f t="shared" si="114"/>
        <v>367.24</v>
      </c>
      <c r="AD542" s="22">
        <f t="shared" si="104"/>
        <v>2011.09</v>
      </c>
      <c r="AE542" s="22">
        <f t="shared" si="105"/>
        <v>139627.28</v>
      </c>
      <c r="AF542" s="19" t="str">
        <f>VLOOKUP(C542,'2021-22 School Level AAFTE'!C:N,12,FALSE)</f>
        <v>No</v>
      </c>
    </row>
    <row r="543" spans="1:32" s="19" customFormat="1">
      <c r="A543" s="97" t="s">
        <v>2324</v>
      </c>
      <c r="B543" s="97" t="s">
        <v>452</v>
      </c>
      <c r="C543" s="95">
        <v>3373</v>
      </c>
      <c r="D543" s="95" t="s">
        <v>457</v>
      </c>
      <c r="E543" s="129">
        <f>VLOOKUP($C543,'2021-22 School Level AAFTE'!$C:$Z,11,FALSE)</f>
        <v>0.5658333333333333</v>
      </c>
      <c r="F543" s="129" t="str">
        <f>VLOOKUP($C543,'2021-22 School Level AAFTE'!$C:$Z,8,FALSE)</f>
        <v>Yes</v>
      </c>
      <c r="G543" s="129" t="str">
        <f>VLOOKUP($C543,'2021-22 School Level AAFTE'!$C:$Z,12,FALSE)</f>
        <v>No</v>
      </c>
      <c r="H543" s="127">
        <f>VLOOKUP($C543,'2021-22 School Level AAFTE'!$C:$I,7,FALSE)</f>
        <v>442.62</v>
      </c>
      <c r="I543" s="112">
        <f>IFERROR(IF(OR(G543="yes",F543= "yes"),VLOOKUP(C543,Summary!$B:$J,6,0),0),0)</f>
        <v>0</v>
      </c>
      <c r="J543" s="111">
        <f t="shared" si="108"/>
        <v>442.62</v>
      </c>
      <c r="K543" s="91">
        <f>VLOOKUP($A543,'2022-23 Salary &amp; Benefits'!$A:$I,3,FALSE)</f>
        <v>1</v>
      </c>
      <c r="L543" s="91">
        <f>VLOOKUP($A543,'2022-23 Salary &amp; Benefits'!$A:$I,4,FALSE)</f>
        <v>1.04</v>
      </c>
      <c r="M543" s="39">
        <f t="shared" si="103"/>
        <v>442.62</v>
      </c>
      <c r="N543" s="24">
        <v>15</v>
      </c>
      <c r="O543" s="26">
        <f t="shared" si="106"/>
        <v>29.507999999999999</v>
      </c>
      <c r="P543" s="24">
        <v>1.1000000000000001</v>
      </c>
      <c r="Q543" s="24">
        <v>36</v>
      </c>
      <c r="R543" s="27">
        <f t="shared" si="107"/>
        <v>1168.5168000000001</v>
      </c>
      <c r="S543" s="102">
        <f t="shared" si="109"/>
        <v>1.298</v>
      </c>
      <c r="T543" s="21">
        <f>VLOOKUP($A543,'2022-23 Salary &amp; Benefits'!$A:$I,5,FALSE)</f>
        <v>68937</v>
      </c>
      <c r="U543" s="21">
        <f>VLOOKUP($A543,'2022-23 Salary &amp; Benefits'!$A:$I,6,FALSE)</f>
        <v>72728</v>
      </c>
      <c r="V543" s="22">
        <f t="shared" si="110"/>
        <v>89480.23</v>
      </c>
      <c r="W543" s="22">
        <f t="shared" si="111"/>
        <v>8696.75</v>
      </c>
      <c r="X543" s="22">
        <f>'2022-23 Salary &amp; Benefits'!$G$6</f>
        <v>12558.24</v>
      </c>
      <c r="Y543" s="23">
        <f>'2022-23 Salary &amp; Benefits'!$H$6</f>
        <v>0.2298</v>
      </c>
      <c r="Z543" s="23">
        <f>'2022-23 Salary &amp; Benefits'!$I$6</f>
        <v>0.22339999999999999</v>
      </c>
      <c r="AA543" s="22">
        <f t="shared" si="112"/>
        <v>38806.01</v>
      </c>
      <c r="AB543" s="22">
        <f t="shared" si="113"/>
        <v>1636.28</v>
      </c>
      <c r="AC543" s="22">
        <f t="shared" si="114"/>
        <v>365.54</v>
      </c>
      <c r="AD543" s="22">
        <f t="shared" si="104"/>
        <v>2001.82</v>
      </c>
      <c r="AE543" s="22">
        <f t="shared" si="105"/>
        <v>138984.81</v>
      </c>
      <c r="AF543" s="19" t="str">
        <f>VLOOKUP(C543,'2021-22 School Level AAFTE'!C:N,12,FALSE)</f>
        <v>No</v>
      </c>
    </row>
    <row r="544" spans="1:32" s="19" customFormat="1">
      <c r="A544" s="97" t="s">
        <v>2324</v>
      </c>
      <c r="B544" s="97" t="s">
        <v>452</v>
      </c>
      <c r="C544" s="95">
        <v>5497</v>
      </c>
      <c r="D544" s="95" t="s">
        <v>2778</v>
      </c>
      <c r="E544" s="129">
        <f>VLOOKUP($C544,'2021-22 School Level AAFTE'!$C:$Z,11,FALSE)</f>
        <v>0.77253333333333341</v>
      </c>
      <c r="F544" s="129" t="str">
        <f>VLOOKUP($C544,'2021-22 School Level AAFTE'!$C:$Z,8,FALSE)</f>
        <v>Yes</v>
      </c>
      <c r="G544" s="129" t="str">
        <f>VLOOKUP($C544,'2021-22 School Level AAFTE'!$C:$Z,12,FALSE)</f>
        <v>No</v>
      </c>
      <c r="H544" s="127">
        <f>VLOOKUP($C544,'2021-22 School Level AAFTE'!$C:$I,7,FALSE)</f>
        <v>11.86</v>
      </c>
      <c r="I544" s="112">
        <f>IFERROR(IF(OR(G544="yes",F544= "yes"),VLOOKUP(C544,Summary!$B:$J,6,0),0),0)</f>
        <v>0</v>
      </c>
      <c r="J544" s="111">
        <f t="shared" si="108"/>
        <v>11.86</v>
      </c>
      <c r="K544" s="91">
        <f>VLOOKUP($A544,'2022-23 Salary &amp; Benefits'!$A:$I,3,FALSE)</f>
        <v>1</v>
      </c>
      <c r="L544" s="91">
        <f>VLOOKUP($A544,'2022-23 Salary &amp; Benefits'!$A:$I,4,FALSE)</f>
        <v>1.04</v>
      </c>
      <c r="M544" s="39">
        <f t="shared" si="103"/>
        <v>11.86</v>
      </c>
      <c r="N544" s="24">
        <v>15</v>
      </c>
      <c r="O544" s="26">
        <f t="shared" si="106"/>
        <v>0.79066666666666663</v>
      </c>
      <c r="P544" s="24">
        <v>1.1000000000000001</v>
      </c>
      <c r="Q544" s="24">
        <v>36</v>
      </c>
      <c r="R544" s="27">
        <f t="shared" si="107"/>
        <v>31.310400000000001</v>
      </c>
      <c r="S544" s="102">
        <f t="shared" si="109"/>
        <v>3.5000000000000003E-2</v>
      </c>
      <c r="T544" s="21">
        <f>VLOOKUP($A544,'2022-23 Salary &amp; Benefits'!$A:$I,5,FALSE)</f>
        <v>68937</v>
      </c>
      <c r="U544" s="21">
        <f>VLOOKUP($A544,'2022-23 Salary &amp; Benefits'!$A:$I,6,FALSE)</f>
        <v>72728</v>
      </c>
      <c r="V544" s="22">
        <f t="shared" si="110"/>
        <v>2412.8000000000002</v>
      </c>
      <c r="W544" s="22">
        <f t="shared" si="111"/>
        <v>234.5</v>
      </c>
      <c r="X544" s="22">
        <f>'2022-23 Salary &amp; Benefits'!$G$6</f>
        <v>12558.24</v>
      </c>
      <c r="Y544" s="23">
        <f>'2022-23 Salary &amp; Benefits'!$H$6</f>
        <v>0.2298</v>
      </c>
      <c r="Z544" s="23">
        <f>'2022-23 Salary &amp; Benefits'!$I$6</f>
        <v>0.22339999999999999</v>
      </c>
      <c r="AA544" s="22">
        <f t="shared" si="112"/>
        <v>1046.3900000000001</v>
      </c>
      <c r="AB544" s="22">
        <f t="shared" si="113"/>
        <v>44.12</v>
      </c>
      <c r="AC544" s="22">
        <f t="shared" si="114"/>
        <v>9.86</v>
      </c>
      <c r="AD544" s="22">
        <f t="shared" si="104"/>
        <v>53.98</v>
      </c>
      <c r="AE544" s="22">
        <f t="shared" si="105"/>
        <v>3747.6700000000005</v>
      </c>
      <c r="AF544" s="19" t="str">
        <f>VLOOKUP(C544,'2021-22 School Level AAFTE'!C:N,12,FALSE)</f>
        <v>No</v>
      </c>
    </row>
    <row r="545" spans="1:32" s="19" customFormat="1">
      <c r="A545" s="97" t="s">
        <v>2394</v>
      </c>
      <c r="B545" s="97" t="s">
        <v>1136</v>
      </c>
      <c r="C545" s="95">
        <v>2355</v>
      </c>
      <c r="D545" s="95" t="s">
        <v>1137</v>
      </c>
      <c r="E545" s="129">
        <f>VLOOKUP($C545,'2021-22 School Level AAFTE'!$C:$Z,11,FALSE)</f>
        <v>0.63856666666666662</v>
      </c>
      <c r="F545" s="129" t="str">
        <f>VLOOKUP($C545,'2021-22 School Level AAFTE'!$C:$Z,8,FALSE)</f>
        <v>Yes</v>
      </c>
      <c r="G545" s="129" t="str">
        <f>VLOOKUP($C545,'2021-22 School Level AAFTE'!$C:$Z,12,FALSE)</f>
        <v>No</v>
      </c>
      <c r="H545" s="127">
        <f>VLOOKUP($C545,'2021-22 School Level AAFTE'!$C:$I,7,FALSE)</f>
        <v>45.43</v>
      </c>
      <c r="I545" s="112">
        <f>IFERROR(IF(OR(G545="yes",F545= "yes"),VLOOKUP(C545,Summary!$B:$J,6,0),0),0)</f>
        <v>0</v>
      </c>
      <c r="J545" s="111">
        <f t="shared" si="108"/>
        <v>45.43</v>
      </c>
      <c r="K545" s="91">
        <f>VLOOKUP($A545,'2022-23 Salary &amp; Benefits'!$A:$I,3,FALSE)</f>
        <v>1</v>
      </c>
      <c r="L545" s="91">
        <f>VLOOKUP($A545,'2022-23 Salary &amp; Benefits'!$A:$I,4,FALSE)</f>
        <v>1</v>
      </c>
      <c r="M545" s="39">
        <f t="shared" si="103"/>
        <v>45.43</v>
      </c>
      <c r="N545" s="24">
        <v>15</v>
      </c>
      <c r="O545" s="26">
        <f t="shared" si="106"/>
        <v>3.0286666666666666</v>
      </c>
      <c r="P545" s="24">
        <v>1.1000000000000001</v>
      </c>
      <c r="Q545" s="24">
        <v>36</v>
      </c>
      <c r="R545" s="27">
        <f t="shared" si="107"/>
        <v>119.93520000000001</v>
      </c>
      <c r="S545" s="102">
        <f t="shared" si="109"/>
        <v>0.13300000000000001</v>
      </c>
      <c r="T545" s="21">
        <f>VLOOKUP($A545,'2022-23 Salary &amp; Benefits'!$A:$I,5,FALSE)</f>
        <v>68937</v>
      </c>
      <c r="U545" s="21">
        <f>VLOOKUP($A545,'2022-23 Salary &amp; Benefits'!$A:$I,6,FALSE)</f>
        <v>72728</v>
      </c>
      <c r="V545" s="22">
        <f t="shared" si="110"/>
        <v>9168.6200000000008</v>
      </c>
      <c r="W545" s="22">
        <f t="shared" si="111"/>
        <v>504.19999999999891</v>
      </c>
      <c r="X545" s="22">
        <f>'2022-23 Salary &amp; Benefits'!$G$6</f>
        <v>12558.24</v>
      </c>
      <c r="Y545" s="23">
        <f>'2022-23 Salary &amp; Benefits'!$H$6</f>
        <v>0.2298</v>
      </c>
      <c r="Z545" s="23">
        <f>'2022-23 Salary &amp; Benefits'!$I$6</f>
        <v>0.22339999999999999</v>
      </c>
      <c r="AA545" s="22">
        <f t="shared" si="112"/>
        <v>3889.83</v>
      </c>
      <c r="AB545" s="22">
        <f t="shared" si="113"/>
        <v>161.21</v>
      </c>
      <c r="AC545" s="22">
        <f t="shared" si="114"/>
        <v>36.01</v>
      </c>
      <c r="AD545" s="22">
        <f t="shared" si="104"/>
        <v>197.22</v>
      </c>
      <c r="AE545" s="22">
        <f t="shared" si="105"/>
        <v>13759.869999999999</v>
      </c>
      <c r="AF545" s="19" t="str">
        <f>VLOOKUP(C545,'2021-22 School Level AAFTE'!C:N,12,FALSE)</f>
        <v>No</v>
      </c>
    </row>
    <row r="546" spans="1:32" s="19" customFormat="1">
      <c r="A546" s="97" t="s">
        <v>2472</v>
      </c>
      <c r="B546" s="97" t="s">
        <v>1594</v>
      </c>
      <c r="C546" s="95">
        <v>1663</v>
      </c>
      <c r="D546" s="95" t="s">
        <v>1595</v>
      </c>
      <c r="E546" s="129">
        <f>VLOOKUP($C546,'2021-22 School Level AAFTE'!$C:$Z,11,FALSE)</f>
        <v>0.27776666666666666</v>
      </c>
      <c r="F546" s="129" t="str">
        <f>VLOOKUP($C546,'2021-22 School Level AAFTE'!$C:$Z,8,FALSE)</f>
        <v>No</v>
      </c>
      <c r="G546" s="129" t="str">
        <f>VLOOKUP($C546,'2021-22 School Level AAFTE'!$C:$Z,12,FALSE)</f>
        <v>No</v>
      </c>
      <c r="H546" s="127">
        <f>VLOOKUP($C546,'2021-22 School Level AAFTE'!$C:$I,7,FALSE)</f>
        <v>0.56999999999999995</v>
      </c>
      <c r="I546" s="112">
        <f>IFERROR(IF(OR(G546="yes",F546= "yes"),VLOOKUP(C546,Summary!$B:$J,6,0),0),0)</f>
        <v>0</v>
      </c>
      <c r="J546" s="111">
        <f t="shared" si="108"/>
        <v>0</v>
      </c>
      <c r="K546" s="91">
        <f>VLOOKUP($A546,'2022-23 Salary &amp; Benefits'!$A:$I,3,FALSE)</f>
        <v>1.18</v>
      </c>
      <c r="L546" s="91">
        <f>VLOOKUP($A546,'2022-23 Salary &amp; Benefits'!$A:$I,4,FALSE)</f>
        <v>1.18</v>
      </c>
      <c r="M546" s="39">
        <f t="shared" si="103"/>
        <v>0</v>
      </c>
      <c r="N546" s="24">
        <v>15</v>
      </c>
      <c r="O546" s="26">
        <f t="shared" si="106"/>
        <v>0</v>
      </c>
      <c r="P546" s="24">
        <v>1.1000000000000001</v>
      </c>
      <c r="Q546" s="24">
        <v>36</v>
      </c>
      <c r="R546" s="27">
        <f t="shared" si="107"/>
        <v>0</v>
      </c>
      <c r="S546" s="102">
        <f t="shared" si="109"/>
        <v>0</v>
      </c>
      <c r="T546" s="21">
        <f>VLOOKUP($A546,'2022-23 Salary &amp; Benefits'!$A:$I,5,FALSE)</f>
        <v>68937</v>
      </c>
      <c r="U546" s="21">
        <f>VLOOKUP($A546,'2022-23 Salary &amp; Benefits'!$A:$I,6,FALSE)</f>
        <v>72728</v>
      </c>
      <c r="V546" s="22">
        <f t="shared" si="110"/>
        <v>0</v>
      </c>
      <c r="W546" s="22">
        <f t="shared" si="111"/>
        <v>0</v>
      </c>
      <c r="X546" s="22">
        <f>'2022-23 Salary &amp; Benefits'!$G$6</f>
        <v>12558.24</v>
      </c>
      <c r="Y546" s="23">
        <f>'2022-23 Salary &amp; Benefits'!$H$6</f>
        <v>0.2298</v>
      </c>
      <c r="Z546" s="23">
        <f>'2022-23 Salary &amp; Benefits'!$I$6</f>
        <v>0.22339999999999999</v>
      </c>
      <c r="AA546" s="22">
        <f t="shared" si="112"/>
        <v>0</v>
      </c>
      <c r="AB546" s="22">
        <f t="shared" si="113"/>
        <v>0</v>
      </c>
      <c r="AC546" s="22">
        <f t="shared" si="114"/>
        <v>0</v>
      </c>
      <c r="AD546" s="22">
        <f t="shared" si="104"/>
        <v>0</v>
      </c>
      <c r="AE546" s="22">
        <f t="shared" si="105"/>
        <v>0</v>
      </c>
      <c r="AF546" s="19" t="str">
        <f>VLOOKUP(C546,'2021-22 School Level AAFTE'!C:N,12,FALSE)</f>
        <v>No</v>
      </c>
    </row>
    <row r="547" spans="1:32" s="19" customFormat="1">
      <c r="A547" s="97" t="s">
        <v>2472</v>
      </c>
      <c r="B547" s="97" t="s">
        <v>1594</v>
      </c>
      <c r="C547" s="95">
        <v>1907</v>
      </c>
      <c r="D547" s="95" t="s">
        <v>1596</v>
      </c>
      <c r="E547" s="129">
        <f>VLOOKUP($C547,'2021-22 School Level AAFTE'!$C:$Z,11,FALSE)</f>
        <v>0.19003333333333336</v>
      </c>
      <c r="F547" s="129" t="str">
        <f>VLOOKUP($C547,'2021-22 School Level AAFTE'!$C:$Z,8,FALSE)</f>
        <v>No</v>
      </c>
      <c r="G547" s="129" t="str">
        <f>VLOOKUP($C547,'2021-22 School Level AAFTE'!$C:$Z,12,FALSE)</f>
        <v>No</v>
      </c>
      <c r="H547" s="127">
        <f>VLOOKUP($C547,'2021-22 School Level AAFTE'!$C:$I,7,FALSE)</f>
        <v>105.89</v>
      </c>
      <c r="I547" s="112">
        <f>IFERROR(IF(OR(G547="yes",F547= "yes"),VLOOKUP(C547,Summary!$B:$J,6,0),0),0)</f>
        <v>0</v>
      </c>
      <c r="J547" s="111">
        <f t="shared" si="108"/>
        <v>0</v>
      </c>
      <c r="K547" s="91">
        <f>VLOOKUP($A547,'2022-23 Salary &amp; Benefits'!$A:$I,3,FALSE)</f>
        <v>1.18</v>
      </c>
      <c r="L547" s="91">
        <f>VLOOKUP($A547,'2022-23 Salary &amp; Benefits'!$A:$I,4,FALSE)</f>
        <v>1.18</v>
      </c>
      <c r="M547" s="101">
        <f t="shared" si="103"/>
        <v>0</v>
      </c>
      <c r="N547" s="24">
        <v>15</v>
      </c>
      <c r="O547" s="26">
        <f t="shared" si="106"/>
        <v>0</v>
      </c>
      <c r="P547" s="24">
        <v>1.1000000000000001</v>
      </c>
      <c r="Q547" s="24">
        <v>36</v>
      </c>
      <c r="R547" s="27">
        <f t="shared" si="107"/>
        <v>0</v>
      </c>
      <c r="S547" s="102">
        <f t="shared" si="109"/>
        <v>0</v>
      </c>
      <c r="T547" s="21">
        <f>VLOOKUP($A547,'2022-23 Salary &amp; Benefits'!$A:$I,5,FALSE)</f>
        <v>68937</v>
      </c>
      <c r="U547" s="21">
        <f>VLOOKUP($A547,'2022-23 Salary &amp; Benefits'!$A:$I,6,FALSE)</f>
        <v>72728</v>
      </c>
      <c r="V547" s="22">
        <f t="shared" si="110"/>
        <v>0</v>
      </c>
      <c r="W547" s="22">
        <f t="shared" si="111"/>
        <v>0</v>
      </c>
      <c r="X547" s="22">
        <f>'2022-23 Salary &amp; Benefits'!$G$6</f>
        <v>12558.24</v>
      </c>
      <c r="Y547" s="23">
        <f>'2022-23 Salary &amp; Benefits'!$H$6</f>
        <v>0.2298</v>
      </c>
      <c r="Z547" s="23">
        <f>'2022-23 Salary &amp; Benefits'!$I$6</f>
        <v>0.22339999999999999</v>
      </c>
      <c r="AA547" s="22">
        <f t="shared" si="112"/>
        <v>0</v>
      </c>
      <c r="AB547" s="22">
        <f t="shared" si="113"/>
        <v>0</v>
      </c>
      <c r="AC547" s="22">
        <f t="shared" si="114"/>
        <v>0</v>
      </c>
      <c r="AD547" s="22">
        <f t="shared" si="104"/>
        <v>0</v>
      </c>
      <c r="AE547" s="22">
        <f t="shared" si="105"/>
        <v>0</v>
      </c>
      <c r="AF547" s="19" t="str">
        <f>VLOOKUP(C547,'2021-22 School Level AAFTE'!C:N,12,FALSE)</f>
        <v>No</v>
      </c>
    </row>
    <row r="548" spans="1:32" s="19" customFormat="1">
      <c r="A548" s="97" t="s">
        <v>2472</v>
      </c>
      <c r="B548" s="97" t="s">
        <v>1594</v>
      </c>
      <c r="C548" s="95">
        <v>2065</v>
      </c>
      <c r="D548" s="95" t="s">
        <v>1597</v>
      </c>
      <c r="E548" s="129">
        <f>VLOOKUP($C548,'2021-22 School Level AAFTE'!$C:$Z,11,FALSE)</f>
        <v>0.61946666666666672</v>
      </c>
      <c r="F548" s="129" t="str">
        <f>VLOOKUP($C548,'2021-22 School Level AAFTE'!$C:$Z,8,FALSE)</f>
        <v>Yes</v>
      </c>
      <c r="G548" s="129" t="str">
        <f>VLOOKUP($C548,'2021-22 School Level AAFTE'!$C:$Z,12,FALSE)</f>
        <v>No</v>
      </c>
      <c r="H548" s="127">
        <f>VLOOKUP($C548,'2021-22 School Level AAFTE'!$C:$I,7,FALSE)</f>
        <v>386.71</v>
      </c>
      <c r="I548" s="112">
        <f>IFERROR(IF(OR(G548="yes",F548= "yes"),VLOOKUP(C548,Summary!$B:$J,6,0),0),0)</f>
        <v>0</v>
      </c>
      <c r="J548" s="111">
        <f t="shared" si="108"/>
        <v>386.71</v>
      </c>
      <c r="K548" s="91">
        <f>VLOOKUP($A548,'2022-23 Salary &amp; Benefits'!$A:$I,3,FALSE)</f>
        <v>1.18</v>
      </c>
      <c r="L548" s="91">
        <f>VLOOKUP($A548,'2022-23 Salary &amp; Benefits'!$A:$I,4,FALSE)</f>
        <v>1.18</v>
      </c>
      <c r="M548" s="39">
        <f t="shared" si="103"/>
        <v>386.71</v>
      </c>
      <c r="N548" s="24">
        <v>15</v>
      </c>
      <c r="O548" s="26">
        <f t="shared" si="106"/>
        <v>25.780666666666665</v>
      </c>
      <c r="P548" s="24">
        <v>1.1000000000000001</v>
      </c>
      <c r="Q548" s="24">
        <v>36</v>
      </c>
      <c r="R548" s="27">
        <f t="shared" si="107"/>
        <v>1020.9144</v>
      </c>
      <c r="S548" s="102">
        <f t="shared" si="109"/>
        <v>1.1339999999999999</v>
      </c>
      <c r="T548" s="21">
        <f>VLOOKUP($A548,'2022-23 Salary &amp; Benefits'!$A:$I,5,FALSE)</f>
        <v>68937</v>
      </c>
      <c r="U548" s="21">
        <f>VLOOKUP($A548,'2022-23 Salary &amp; Benefits'!$A:$I,6,FALSE)</f>
        <v>72728</v>
      </c>
      <c r="V548" s="22">
        <f t="shared" si="110"/>
        <v>92245.98</v>
      </c>
      <c r="W548" s="22">
        <f t="shared" si="111"/>
        <v>5072.8099999999977</v>
      </c>
      <c r="X548" s="22">
        <f>'2022-23 Salary &amp; Benefits'!$G$6</f>
        <v>12558.24</v>
      </c>
      <c r="Y548" s="23">
        <f>'2022-23 Salary &amp; Benefits'!$H$6</f>
        <v>0.2298</v>
      </c>
      <c r="Z548" s="23">
        <f>'2022-23 Salary &amp; Benefits'!$I$6</f>
        <v>0.22339999999999999</v>
      </c>
      <c r="AA548" s="22">
        <f t="shared" si="112"/>
        <v>36572.44</v>
      </c>
      <c r="AB548" s="22">
        <f t="shared" si="113"/>
        <v>1621.98</v>
      </c>
      <c r="AC548" s="22">
        <f t="shared" si="114"/>
        <v>362.35</v>
      </c>
      <c r="AD548" s="22">
        <f t="shared" si="104"/>
        <v>1984.33</v>
      </c>
      <c r="AE548" s="22">
        <f t="shared" si="105"/>
        <v>135875.55999999997</v>
      </c>
      <c r="AF548" s="19" t="str">
        <f>VLOOKUP(C548,'2021-22 School Level AAFTE'!C:N,12,FALSE)</f>
        <v>No</v>
      </c>
    </row>
    <row r="549" spans="1:32" s="19" customFormat="1">
      <c r="A549" s="97" t="s">
        <v>2472</v>
      </c>
      <c r="B549" s="97" t="s">
        <v>1594</v>
      </c>
      <c r="C549" s="95">
        <v>2126</v>
      </c>
      <c r="D549" s="95" t="s">
        <v>1598</v>
      </c>
      <c r="E549" s="129">
        <f>VLOOKUP($C549,'2021-22 School Level AAFTE'!$C:$Z,11,FALSE)</f>
        <v>0.53123333333333334</v>
      </c>
      <c r="F549" s="129" t="str">
        <f>VLOOKUP($C549,'2021-22 School Level AAFTE'!$C:$Z,8,FALSE)</f>
        <v>Yes</v>
      </c>
      <c r="G549" s="129" t="str">
        <f>VLOOKUP($C549,'2021-22 School Level AAFTE'!$C:$Z,12,FALSE)</f>
        <v>No</v>
      </c>
      <c r="H549" s="127">
        <f>VLOOKUP($C549,'2021-22 School Level AAFTE'!$C:$I,7,FALSE)</f>
        <v>1539.1299999999999</v>
      </c>
      <c r="I549" s="112">
        <f>IFERROR(IF(OR(G549="yes",F549= "yes"),VLOOKUP(C549,Summary!$B:$J,6,0),0),0)</f>
        <v>0</v>
      </c>
      <c r="J549" s="111">
        <f t="shared" si="108"/>
        <v>1539.1299999999999</v>
      </c>
      <c r="K549" s="91">
        <f>VLOOKUP($A549,'2022-23 Salary &amp; Benefits'!$A:$I,3,FALSE)</f>
        <v>1.18</v>
      </c>
      <c r="L549" s="91">
        <f>VLOOKUP($A549,'2022-23 Salary &amp; Benefits'!$A:$I,4,FALSE)</f>
        <v>1.18</v>
      </c>
      <c r="M549" s="39">
        <f t="shared" si="103"/>
        <v>1539.1299999999999</v>
      </c>
      <c r="N549" s="24">
        <v>15</v>
      </c>
      <c r="O549" s="26">
        <f t="shared" si="106"/>
        <v>102.60866666666666</v>
      </c>
      <c r="P549" s="24">
        <v>1.1000000000000001</v>
      </c>
      <c r="Q549" s="24">
        <v>36</v>
      </c>
      <c r="R549" s="27">
        <f t="shared" si="107"/>
        <v>4063.3032000000003</v>
      </c>
      <c r="S549" s="102">
        <f t="shared" si="109"/>
        <v>4.5149999999999997</v>
      </c>
      <c r="T549" s="21">
        <f>VLOOKUP($A549,'2022-23 Salary &amp; Benefits'!$A:$I,5,FALSE)</f>
        <v>68937</v>
      </c>
      <c r="U549" s="21">
        <f>VLOOKUP($A549,'2022-23 Salary &amp; Benefits'!$A:$I,6,FALSE)</f>
        <v>72728</v>
      </c>
      <c r="V549" s="22">
        <f t="shared" si="110"/>
        <v>367275.65</v>
      </c>
      <c r="W549" s="22">
        <f t="shared" si="111"/>
        <v>20197.319999999949</v>
      </c>
      <c r="X549" s="22">
        <f>'2022-23 Salary &amp; Benefits'!$G$6</f>
        <v>12558.24</v>
      </c>
      <c r="Y549" s="23">
        <f>'2022-23 Salary &amp; Benefits'!$H$6</f>
        <v>0.2298</v>
      </c>
      <c r="Z549" s="23">
        <f>'2022-23 Salary &amp; Benefits'!$I$6</f>
        <v>0.22339999999999999</v>
      </c>
      <c r="AA549" s="22">
        <f t="shared" si="112"/>
        <v>145612.48000000001</v>
      </c>
      <c r="AB549" s="22">
        <f t="shared" si="113"/>
        <v>6457.88</v>
      </c>
      <c r="AC549" s="22">
        <f t="shared" si="114"/>
        <v>1442.69</v>
      </c>
      <c r="AD549" s="22">
        <f t="shared" si="104"/>
        <v>7900.57</v>
      </c>
      <c r="AE549" s="22">
        <f t="shared" si="105"/>
        <v>540986.0199999999</v>
      </c>
      <c r="AF549" s="19" t="str">
        <f>VLOOKUP(C549,'2021-22 School Level AAFTE'!C:N,12,FALSE)</f>
        <v>No</v>
      </c>
    </row>
    <row r="550" spans="1:32" s="19" customFormat="1">
      <c r="A550" s="97" t="s">
        <v>2472</v>
      </c>
      <c r="B550" s="97" t="s">
        <v>1594</v>
      </c>
      <c r="C550" s="95">
        <v>2364</v>
      </c>
      <c r="D550" s="95" t="s">
        <v>1599</v>
      </c>
      <c r="E550" s="129">
        <f>VLOOKUP($C550,'2021-22 School Level AAFTE'!$C:$Z,11,FALSE)</f>
        <v>0.63656666666666661</v>
      </c>
      <c r="F550" s="129" t="str">
        <f>VLOOKUP($C550,'2021-22 School Level AAFTE'!$C:$Z,8,FALSE)</f>
        <v>Yes</v>
      </c>
      <c r="G550" s="129" t="str">
        <f>VLOOKUP($C550,'2021-22 School Level AAFTE'!$C:$Z,12,FALSE)</f>
        <v>No</v>
      </c>
      <c r="H550" s="127">
        <f>VLOOKUP($C550,'2021-22 School Level AAFTE'!$C:$I,7,FALSE)</f>
        <v>691.51</v>
      </c>
      <c r="I550" s="112">
        <f>IFERROR(IF(OR(G550="yes",F550= "yes"),VLOOKUP(C550,Summary!$B:$J,6,0),0),0)</f>
        <v>0</v>
      </c>
      <c r="J550" s="111">
        <f t="shared" si="108"/>
        <v>691.51</v>
      </c>
      <c r="K550" s="91">
        <f>VLOOKUP($A550,'2022-23 Salary &amp; Benefits'!$A:$I,3,FALSE)</f>
        <v>1.18</v>
      </c>
      <c r="L550" s="91">
        <f>VLOOKUP($A550,'2022-23 Salary &amp; Benefits'!$A:$I,4,FALSE)</f>
        <v>1.18</v>
      </c>
      <c r="M550" s="39">
        <f t="shared" si="103"/>
        <v>691.51</v>
      </c>
      <c r="N550" s="24">
        <v>15</v>
      </c>
      <c r="O550" s="26">
        <f t="shared" si="106"/>
        <v>46.100666666666669</v>
      </c>
      <c r="P550" s="24">
        <v>1.1000000000000001</v>
      </c>
      <c r="Q550" s="24">
        <v>36</v>
      </c>
      <c r="R550" s="27">
        <f t="shared" si="107"/>
        <v>1825.5864000000001</v>
      </c>
      <c r="S550" s="102">
        <f t="shared" si="109"/>
        <v>2.028</v>
      </c>
      <c r="T550" s="21">
        <f>VLOOKUP($A550,'2022-23 Salary &amp; Benefits'!$A:$I,5,FALSE)</f>
        <v>68937</v>
      </c>
      <c r="U550" s="21">
        <f>VLOOKUP($A550,'2022-23 Salary &amp; Benefits'!$A:$I,6,FALSE)</f>
        <v>72728</v>
      </c>
      <c r="V550" s="22">
        <f t="shared" si="110"/>
        <v>164969</v>
      </c>
      <c r="W550" s="22">
        <f t="shared" si="111"/>
        <v>9072.0100000000093</v>
      </c>
      <c r="X550" s="22">
        <f>'2022-23 Salary &amp; Benefits'!$G$6</f>
        <v>12558.24</v>
      </c>
      <c r="Y550" s="23">
        <f>'2022-23 Salary &amp; Benefits'!$H$6</f>
        <v>0.2298</v>
      </c>
      <c r="Z550" s="23">
        <f>'2022-23 Salary &amp; Benefits'!$I$6</f>
        <v>0.22339999999999999</v>
      </c>
      <c r="AA550" s="22">
        <f t="shared" si="112"/>
        <v>65404.67</v>
      </c>
      <c r="AB550" s="22">
        <f t="shared" si="113"/>
        <v>2900.68</v>
      </c>
      <c r="AC550" s="22">
        <f t="shared" si="114"/>
        <v>648.01</v>
      </c>
      <c r="AD550" s="22">
        <f t="shared" si="104"/>
        <v>3548.6899999999996</v>
      </c>
      <c r="AE550" s="22">
        <f t="shared" si="105"/>
        <v>242994.37</v>
      </c>
      <c r="AF550" s="19" t="str">
        <f>VLOOKUP(C550,'2021-22 School Level AAFTE'!C:N,12,FALSE)</f>
        <v>No</v>
      </c>
    </row>
    <row r="551" spans="1:32" s="19" customFormat="1">
      <c r="A551" s="97" t="s">
        <v>2472</v>
      </c>
      <c r="B551" s="97" t="s">
        <v>1594</v>
      </c>
      <c r="C551" s="95">
        <v>2545</v>
      </c>
      <c r="D551" s="95" t="s">
        <v>1600</v>
      </c>
      <c r="E551" s="129">
        <f>VLOOKUP($C551,'2021-22 School Level AAFTE'!$C:$Z,11,FALSE)</f>
        <v>0.49503333333333338</v>
      </c>
      <c r="F551" s="129" t="str">
        <f>VLOOKUP($C551,'2021-22 School Level AAFTE'!$C:$Z,8,FALSE)</f>
        <v>No</v>
      </c>
      <c r="G551" s="129" t="str">
        <f>VLOOKUP($C551,'2021-22 School Level AAFTE'!$C:$Z,12,FALSE)</f>
        <v>No</v>
      </c>
      <c r="H551" s="127">
        <f>VLOOKUP($C551,'2021-22 School Level AAFTE'!$C:$I,7,FALSE)</f>
        <v>518.58000000000004</v>
      </c>
      <c r="I551" s="112">
        <f>IFERROR(IF(OR(G551="yes",F551= "yes"),VLOOKUP(C551,Summary!$B:$J,6,0),0),0)</f>
        <v>0</v>
      </c>
      <c r="J551" s="111">
        <f t="shared" si="108"/>
        <v>0</v>
      </c>
      <c r="K551" s="91">
        <f>VLOOKUP($A551,'2022-23 Salary &amp; Benefits'!$A:$I,3,FALSE)</f>
        <v>1.18</v>
      </c>
      <c r="L551" s="91">
        <f>VLOOKUP($A551,'2022-23 Salary &amp; Benefits'!$A:$I,4,FALSE)</f>
        <v>1.18</v>
      </c>
      <c r="M551" s="39">
        <f t="shared" si="103"/>
        <v>0</v>
      </c>
      <c r="N551" s="24">
        <v>15</v>
      </c>
      <c r="O551" s="26">
        <f t="shared" si="106"/>
        <v>0</v>
      </c>
      <c r="P551" s="24">
        <v>1.1000000000000001</v>
      </c>
      <c r="Q551" s="24">
        <v>36</v>
      </c>
      <c r="R551" s="27">
        <f t="shared" si="107"/>
        <v>0</v>
      </c>
      <c r="S551" s="102">
        <f t="shared" si="109"/>
        <v>0</v>
      </c>
      <c r="T551" s="21">
        <f>VLOOKUP($A551,'2022-23 Salary &amp; Benefits'!$A:$I,5,FALSE)</f>
        <v>68937</v>
      </c>
      <c r="U551" s="21">
        <f>VLOOKUP($A551,'2022-23 Salary &amp; Benefits'!$A:$I,6,FALSE)</f>
        <v>72728</v>
      </c>
      <c r="V551" s="22">
        <f t="shared" si="110"/>
        <v>0</v>
      </c>
      <c r="W551" s="22">
        <f t="shared" si="111"/>
        <v>0</v>
      </c>
      <c r="X551" s="22">
        <f>'2022-23 Salary &amp; Benefits'!$G$6</f>
        <v>12558.24</v>
      </c>
      <c r="Y551" s="23">
        <f>'2022-23 Salary &amp; Benefits'!$H$6</f>
        <v>0.2298</v>
      </c>
      <c r="Z551" s="23">
        <f>'2022-23 Salary &amp; Benefits'!$I$6</f>
        <v>0.22339999999999999</v>
      </c>
      <c r="AA551" s="22">
        <f t="shared" si="112"/>
        <v>0</v>
      </c>
      <c r="AB551" s="22">
        <f t="shared" si="113"/>
        <v>0</v>
      </c>
      <c r="AC551" s="22">
        <f t="shared" si="114"/>
        <v>0</v>
      </c>
      <c r="AD551" s="22">
        <f t="shared" si="104"/>
        <v>0</v>
      </c>
      <c r="AE551" s="22">
        <f t="shared" si="105"/>
        <v>0</v>
      </c>
      <c r="AF551" s="19" t="str">
        <f>VLOOKUP(C551,'2021-22 School Level AAFTE'!C:N,12,FALSE)</f>
        <v>No</v>
      </c>
    </row>
    <row r="552" spans="1:32" s="19" customFormat="1">
      <c r="A552" s="97" t="s">
        <v>2472</v>
      </c>
      <c r="B552" s="97" t="s">
        <v>1594</v>
      </c>
      <c r="C552" s="95">
        <v>2669</v>
      </c>
      <c r="D552" s="95" t="s">
        <v>1577</v>
      </c>
      <c r="E552" s="129">
        <f>VLOOKUP($C552,'2021-22 School Level AAFTE'!$C:$Z,11,FALSE)</f>
        <v>0.65196666666666669</v>
      </c>
      <c r="F552" s="129" t="str">
        <f>VLOOKUP($C552,'2021-22 School Level AAFTE'!$C:$Z,8,FALSE)</f>
        <v>Yes</v>
      </c>
      <c r="G552" s="129" t="str">
        <f>VLOOKUP($C552,'2021-22 School Level AAFTE'!$C:$Z,12,FALSE)</f>
        <v>No</v>
      </c>
      <c r="H552" s="127">
        <f>VLOOKUP($C552,'2021-22 School Level AAFTE'!$C:$I,7,FALSE)</f>
        <v>375.57</v>
      </c>
      <c r="I552" s="112">
        <f>IFERROR(IF(OR(G552="yes",F552= "yes"),VLOOKUP(C552,Summary!$B:$J,6,0),0),0)</f>
        <v>0</v>
      </c>
      <c r="J552" s="111">
        <f t="shared" si="108"/>
        <v>375.57</v>
      </c>
      <c r="K552" s="91">
        <f>VLOOKUP($A552,'2022-23 Salary &amp; Benefits'!$A:$I,3,FALSE)</f>
        <v>1.18</v>
      </c>
      <c r="L552" s="91">
        <f>VLOOKUP($A552,'2022-23 Salary &amp; Benefits'!$A:$I,4,FALSE)</f>
        <v>1.18</v>
      </c>
      <c r="M552" s="39">
        <f t="shared" si="103"/>
        <v>375.57</v>
      </c>
      <c r="N552" s="24">
        <v>15</v>
      </c>
      <c r="O552" s="26">
        <f t="shared" si="106"/>
        <v>25.038</v>
      </c>
      <c r="P552" s="24">
        <v>1.1000000000000001</v>
      </c>
      <c r="Q552" s="24">
        <v>36</v>
      </c>
      <c r="R552" s="27">
        <f t="shared" si="107"/>
        <v>991.50480000000005</v>
      </c>
      <c r="S552" s="102">
        <f t="shared" si="109"/>
        <v>1.1020000000000001</v>
      </c>
      <c r="T552" s="21">
        <f>VLOOKUP($A552,'2022-23 Salary &amp; Benefits'!$A:$I,5,FALSE)</f>
        <v>68937</v>
      </c>
      <c r="U552" s="21">
        <f>VLOOKUP($A552,'2022-23 Salary &amp; Benefits'!$A:$I,6,FALSE)</f>
        <v>72728</v>
      </c>
      <c r="V552" s="22">
        <f t="shared" si="110"/>
        <v>89642.92</v>
      </c>
      <c r="W552" s="22">
        <f t="shared" si="111"/>
        <v>4929.6600000000035</v>
      </c>
      <c r="X552" s="22">
        <f>'2022-23 Salary &amp; Benefits'!$G$6</f>
        <v>12558.24</v>
      </c>
      <c r="Y552" s="23">
        <f>'2022-23 Salary &amp; Benefits'!$H$6</f>
        <v>0.2298</v>
      </c>
      <c r="Z552" s="23">
        <f>'2022-23 Salary &amp; Benefits'!$I$6</f>
        <v>0.22339999999999999</v>
      </c>
      <c r="AA552" s="22">
        <f t="shared" si="112"/>
        <v>35540.410000000003</v>
      </c>
      <c r="AB552" s="22">
        <f t="shared" si="113"/>
        <v>1576.21</v>
      </c>
      <c r="AC552" s="22">
        <f t="shared" si="114"/>
        <v>352.13</v>
      </c>
      <c r="AD552" s="22">
        <f t="shared" si="104"/>
        <v>1928.3400000000001</v>
      </c>
      <c r="AE552" s="22">
        <f t="shared" si="105"/>
        <v>132041.33000000002</v>
      </c>
      <c r="AF552" s="19" t="str">
        <f>VLOOKUP(C552,'2021-22 School Level AAFTE'!C:N,12,FALSE)</f>
        <v>No</v>
      </c>
    </row>
    <row r="553" spans="1:32" s="19" customFormat="1">
      <c r="A553" s="97" t="s">
        <v>2472</v>
      </c>
      <c r="B553" s="97" t="s">
        <v>1594</v>
      </c>
      <c r="C553" s="95">
        <v>2751</v>
      </c>
      <c r="D553" s="95" t="s">
        <v>1601</v>
      </c>
      <c r="E553" s="129">
        <f>VLOOKUP($C553,'2021-22 School Level AAFTE'!$C:$Z,11,FALSE)</f>
        <v>0.59116666666666662</v>
      </c>
      <c r="F553" s="129" t="str">
        <f>VLOOKUP($C553,'2021-22 School Level AAFTE'!$C:$Z,8,FALSE)</f>
        <v>Yes</v>
      </c>
      <c r="G553" s="129" t="str">
        <f>VLOOKUP($C553,'2021-22 School Level AAFTE'!$C:$Z,12,FALSE)</f>
        <v>No</v>
      </c>
      <c r="H553" s="127">
        <f>VLOOKUP($C553,'2021-22 School Level AAFTE'!$C:$I,7,FALSE)</f>
        <v>290</v>
      </c>
      <c r="I553" s="112">
        <f>IFERROR(IF(OR(G553="yes",F553= "yes"),VLOOKUP(C553,Summary!$B:$J,6,0),0),0)</f>
        <v>0</v>
      </c>
      <c r="J553" s="111">
        <f t="shared" si="108"/>
        <v>290</v>
      </c>
      <c r="K553" s="91">
        <f>VLOOKUP($A553,'2022-23 Salary &amp; Benefits'!$A:$I,3,FALSE)</f>
        <v>1.18</v>
      </c>
      <c r="L553" s="91">
        <f>VLOOKUP($A553,'2022-23 Salary &amp; Benefits'!$A:$I,4,FALSE)</f>
        <v>1.18</v>
      </c>
      <c r="M553" s="39">
        <f t="shared" si="103"/>
        <v>290</v>
      </c>
      <c r="N553" s="24">
        <v>15</v>
      </c>
      <c r="O553" s="26">
        <f t="shared" si="106"/>
        <v>19.333333333333332</v>
      </c>
      <c r="P553" s="24">
        <v>1.1000000000000001</v>
      </c>
      <c r="Q553" s="24">
        <v>36</v>
      </c>
      <c r="R553" s="27">
        <f t="shared" si="107"/>
        <v>765.59999999999991</v>
      </c>
      <c r="S553" s="102">
        <f t="shared" si="109"/>
        <v>0.85099999999999998</v>
      </c>
      <c r="T553" s="21">
        <f>VLOOKUP($A553,'2022-23 Salary &amp; Benefits'!$A:$I,5,FALSE)</f>
        <v>68937</v>
      </c>
      <c r="U553" s="21">
        <f>VLOOKUP($A553,'2022-23 Salary &amp; Benefits'!$A:$I,6,FALSE)</f>
        <v>72728</v>
      </c>
      <c r="V553" s="22">
        <f t="shared" si="110"/>
        <v>69225.16</v>
      </c>
      <c r="W553" s="22">
        <f t="shared" si="111"/>
        <v>3806.8399999999965</v>
      </c>
      <c r="X553" s="22">
        <f>'2022-23 Salary &amp; Benefits'!$G$6</f>
        <v>12558.24</v>
      </c>
      <c r="Y553" s="23">
        <f>'2022-23 Salary &amp; Benefits'!$H$6</f>
        <v>0.2298</v>
      </c>
      <c r="Z553" s="23">
        <f>'2022-23 Salary &amp; Benefits'!$I$6</f>
        <v>0.22339999999999999</v>
      </c>
      <c r="AA553" s="22">
        <f t="shared" si="112"/>
        <v>27445.45</v>
      </c>
      <c r="AB553" s="22">
        <f t="shared" si="113"/>
        <v>1217.2</v>
      </c>
      <c r="AC553" s="22">
        <f t="shared" si="114"/>
        <v>271.92</v>
      </c>
      <c r="AD553" s="22">
        <f t="shared" si="104"/>
        <v>1489.1200000000001</v>
      </c>
      <c r="AE553" s="22">
        <f t="shared" si="105"/>
        <v>101966.56999999999</v>
      </c>
      <c r="AF553" s="19" t="str">
        <f>VLOOKUP(C553,'2021-22 School Level AAFTE'!C:N,12,FALSE)</f>
        <v>No</v>
      </c>
    </row>
    <row r="554" spans="1:32" s="19" customFormat="1">
      <c r="A554" s="97" t="s">
        <v>2472</v>
      </c>
      <c r="B554" s="97" t="s">
        <v>1594</v>
      </c>
      <c r="C554" s="95">
        <v>2752</v>
      </c>
      <c r="D554" s="95" t="s">
        <v>382</v>
      </c>
      <c r="E554" s="129">
        <f>VLOOKUP($C554,'2021-22 School Level AAFTE'!$C:$Z,11,FALSE)</f>
        <v>0.3528</v>
      </c>
      <c r="F554" s="129" t="str">
        <f>VLOOKUP($C554,'2021-22 School Level AAFTE'!$C:$Z,8,FALSE)</f>
        <v>No</v>
      </c>
      <c r="G554" s="129" t="str">
        <f>VLOOKUP($C554,'2021-22 School Level AAFTE'!$C:$Z,12,FALSE)</f>
        <v>No</v>
      </c>
      <c r="H554" s="127">
        <f>VLOOKUP($C554,'2021-22 School Level AAFTE'!$C:$I,7,FALSE)</f>
        <v>381.5</v>
      </c>
      <c r="I554" s="112">
        <f>IFERROR(IF(OR(G554="yes",F554= "yes"),VLOOKUP(C554,Summary!$B:$J,6,0),0),0)</f>
        <v>0</v>
      </c>
      <c r="J554" s="111">
        <f t="shared" si="108"/>
        <v>0</v>
      </c>
      <c r="K554" s="91">
        <f>VLOOKUP($A554,'2022-23 Salary &amp; Benefits'!$A:$I,3,FALSE)</f>
        <v>1.18</v>
      </c>
      <c r="L554" s="91">
        <f>VLOOKUP($A554,'2022-23 Salary &amp; Benefits'!$A:$I,4,FALSE)</f>
        <v>1.18</v>
      </c>
      <c r="M554" s="39">
        <f t="shared" si="103"/>
        <v>0</v>
      </c>
      <c r="N554" s="24">
        <v>15</v>
      </c>
      <c r="O554" s="26">
        <f t="shared" si="106"/>
        <v>0</v>
      </c>
      <c r="P554" s="24">
        <v>1.1000000000000001</v>
      </c>
      <c r="Q554" s="24">
        <v>36</v>
      </c>
      <c r="R554" s="27">
        <f t="shared" si="107"/>
        <v>0</v>
      </c>
      <c r="S554" s="102">
        <f t="shared" si="109"/>
        <v>0</v>
      </c>
      <c r="T554" s="21">
        <f>VLOOKUP($A554,'2022-23 Salary &amp; Benefits'!$A:$I,5,FALSE)</f>
        <v>68937</v>
      </c>
      <c r="U554" s="21">
        <f>VLOOKUP($A554,'2022-23 Salary &amp; Benefits'!$A:$I,6,FALSE)</f>
        <v>72728</v>
      </c>
      <c r="V554" s="22">
        <f t="shared" si="110"/>
        <v>0</v>
      </c>
      <c r="W554" s="22">
        <f t="shared" si="111"/>
        <v>0</v>
      </c>
      <c r="X554" s="22">
        <f>'2022-23 Salary &amp; Benefits'!$G$6</f>
        <v>12558.24</v>
      </c>
      <c r="Y554" s="23">
        <f>'2022-23 Salary &amp; Benefits'!$H$6</f>
        <v>0.2298</v>
      </c>
      <c r="Z554" s="23">
        <f>'2022-23 Salary &amp; Benefits'!$I$6</f>
        <v>0.22339999999999999</v>
      </c>
      <c r="AA554" s="22">
        <f t="shared" si="112"/>
        <v>0</v>
      </c>
      <c r="AB554" s="22">
        <f t="shared" si="113"/>
        <v>0</v>
      </c>
      <c r="AC554" s="22">
        <f t="shared" si="114"/>
        <v>0</v>
      </c>
      <c r="AD554" s="22">
        <f t="shared" si="104"/>
        <v>0</v>
      </c>
      <c r="AE554" s="22">
        <f t="shared" si="105"/>
        <v>0</v>
      </c>
      <c r="AF554" s="19" t="str">
        <f>VLOOKUP(C554,'2021-22 School Level AAFTE'!C:N,12,FALSE)</f>
        <v>No</v>
      </c>
    </row>
    <row r="555" spans="1:32" s="19" customFormat="1">
      <c r="A555" s="97" t="s">
        <v>2472</v>
      </c>
      <c r="B555" s="97" t="s">
        <v>1594</v>
      </c>
      <c r="C555" s="95">
        <v>2811</v>
      </c>
      <c r="D555" s="95" t="s">
        <v>1602</v>
      </c>
      <c r="E555" s="129">
        <f>VLOOKUP($C555,'2021-22 School Level AAFTE'!$C:$Z,11,FALSE)</f>
        <v>0.58006666666666662</v>
      </c>
      <c r="F555" s="129" t="str">
        <f>VLOOKUP($C555,'2021-22 School Level AAFTE'!$C:$Z,8,FALSE)</f>
        <v>Yes</v>
      </c>
      <c r="G555" s="129" t="str">
        <f>VLOOKUP($C555,'2021-22 School Level AAFTE'!$C:$Z,12,FALSE)</f>
        <v>No</v>
      </c>
      <c r="H555" s="127">
        <f>VLOOKUP($C555,'2021-22 School Level AAFTE'!$C:$I,7,FALSE)</f>
        <v>455.86</v>
      </c>
      <c r="I555" s="112">
        <f>IFERROR(IF(OR(G555="yes",F555= "yes"),VLOOKUP(C555,Summary!$B:$J,6,0),0),0)</f>
        <v>0</v>
      </c>
      <c r="J555" s="111">
        <f t="shared" si="108"/>
        <v>455.86</v>
      </c>
      <c r="K555" s="91">
        <f>VLOOKUP($A555,'2022-23 Salary &amp; Benefits'!$A:$I,3,FALSE)</f>
        <v>1.18</v>
      </c>
      <c r="L555" s="91">
        <f>VLOOKUP($A555,'2022-23 Salary &amp; Benefits'!$A:$I,4,FALSE)</f>
        <v>1.18</v>
      </c>
      <c r="M555" s="39">
        <f t="shared" si="103"/>
        <v>455.86</v>
      </c>
      <c r="N555" s="24">
        <v>15</v>
      </c>
      <c r="O555" s="26">
        <f t="shared" si="106"/>
        <v>30.390666666666668</v>
      </c>
      <c r="P555" s="24">
        <v>1.1000000000000001</v>
      </c>
      <c r="Q555" s="24">
        <v>36</v>
      </c>
      <c r="R555" s="27">
        <f t="shared" si="107"/>
        <v>1203.4704000000002</v>
      </c>
      <c r="S555" s="102">
        <f t="shared" si="109"/>
        <v>1.337</v>
      </c>
      <c r="T555" s="21">
        <f>VLOOKUP($A555,'2022-23 Salary &amp; Benefits'!$A:$I,5,FALSE)</f>
        <v>68937</v>
      </c>
      <c r="U555" s="21">
        <f>VLOOKUP($A555,'2022-23 Salary &amp; Benefits'!$A:$I,6,FALSE)</f>
        <v>72728</v>
      </c>
      <c r="V555" s="22">
        <f t="shared" si="110"/>
        <v>108759.15</v>
      </c>
      <c r="W555" s="22">
        <f t="shared" si="111"/>
        <v>5980.9100000000035</v>
      </c>
      <c r="X555" s="22">
        <f>'2022-23 Salary &amp; Benefits'!$G$6</f>
        <v>12558.24</v>
      </c>
      <c r="Y555" s="23">
        <f>'2022-23 Salary &amp; Benefits'!$H$6</f>
        <v>0.2298</v>
      </c>
      <c r="Z555" s="23">
        <f>'2022-23 Salary &amp; Benefits'!$I$6</f>
        <v>0.22339999999999999</v>
      </c>
      <c r="AA555" s="22">
        <f t="shared" si="112"/>
        <v>43119.35</v>
      </c>
      <c r="AB555" s="22">
        <f t="shared" si="113"/>
        <v>1912.33</v>
      </c>
      <c r="AC555" s="22">
        <f t="shared" si="114"/>
        <v>427.21</v>
      </c>
      <c r="AD555" s="22">
        <f t="shared" si="104"/>
        <v>2339.54</v>
      </c>
      <c r="AE555" s="22">
        <f t="shared" si="105"/>
        <v>160198.95000000001</v>
      </c>
      <c r="AF555" s="19" t="str">
        <f>VLOOKUP(C555,'2021-22 School Level AAFTE'!C:N,12,FALSE)</f>
        <v>No</v>
      </c>
    </row>
    <row r="556" spans="1:32" s="19" customFormat="1">
      <c r="A556" s="97" t="s">
        <v>2472</v>
      </c>
      <c r="B556" s="97" t="s">
        <v>1594</v>
      </c>
      <c r="C556" s="95">
        <v>2883</v>
      </c>
      <c r="D556" s="95" t="s">
        <v>1603</v>
      </c>
      <c r="E556" s="129">
        <f>VLOOKUP($C556,'2021-22 School Level AAFTE'!$C:$Z,11,FALSE)</f>
        <v>0.8167333333333332</v>
      </c>
      <c r="F556" s="129" t="str">
        <f>VLOOKUP($C556,'2021-22 School Level AAFTE'!$C:$Z,8,FALSE)</f>
        <v>Yes</v>
      </c>
      <c r="G556" s="129" t="str">
        <f>VLOOKUP($C556,'2021-22 School Level AAFTE'!$C:$Z,12,FALSE)</f>
        <v>No</v>
      </c>
      <c r="H556" s="127">
        <f>VLOOKUP($C556,'2021-22 School Level AAFTE'!$C:$I,7,FALSE)</f>
        <v>377.43</v>
      </c>
      <c r="I556" s="112">
        <f>IFERROR(IF(OR(G556="yes",F556= "yes"),VLOOKUP(C556,Summary!$B:$J,6,0),0),0)</f>
        <v>0</v>
      </c>
      <c r="J556" s="111">
        <f t="shared" si="108"/>
        <v>377.43</v>
      </c>
      <c r="K556" s="91">
        <f>VLOOKUP($A556,'2022-23 Salary &amp; Benefits'!$A:$I,3,FALSE)</f>
        <v>1.18</v>
      </c>
      <c r="L556" s="91">
        <f>VLOOKUP($A556,'2022-23 Salary &amp; Benefits'!$A:$I,4,FALSE)</f>
        <v>1.18</v>
      </c>
      <c r="M556" s="39">
        <f t="shared" si="103"/>
        <v>377.43</v>
      </c>
      <c r="N556" s="24">
        <v>15</v>
      </c>
      <c r="O556" s="26">
        <f t="shared" si="106"/>
        <v>25.161999999999999</v>
      </c>
      <c r="P556" s="24">
        <v>1.1000000000000001</v>
      </c>
      <c r="Q556" s="24">
        <v>36</v>
      </c>
      <c r="R556" s="27">
        <f t="shared" si="107"/>
        <v>996.41520000000003</v>
      </c>
      <c r="S556" s="102">
        <f t="shared" si="109"/>
        <v>1.107</v>
      </c>
      <c r="T556" s="21">
        <f>VLOOKUP($A556,'2022-23 Salary &amp; Benefits'!$A:$I,5,FALSE)</f>
        <v>68937</v>
      </c>
      <c r="U556" s="21">
        <f>VLOOKUP($A556,'2022-23 Salary &amp; Benefits'!$A:$I,6,FALSE)</f>
        <v>72728</v>
      </c>
      <c r="V556" s="22">
        <f t="shared" si="110"/>
        <v>90049.65</v>
      </c>
      <c r="W556" s="22">
        <f t="shared" si="111"/>
        <v>4952.0299999999988</v>
      </c>
      <c r="X556" s="22">
        <f>'2022-23 Salary &amp; Benefits'!$G$6</f>
        <v>12558.24</v>
      </c>
      <c r="Y556" s="23">
        <f>'2022-23 Salary &amp; Benefits'!$H$6</f>
        <v>0.2298</v>
      </c>
      <c r="Z556" s="23">
        <f>'2022-23 Salary &amp; Benefits'!$I$6</f>
        <v>0.22339999999999999</v>
      </c>
      <c r="AA556" s="22">
        <f t="shared" si="112"/>
        <v>35701.660000000003</v>
      </c>
      <c r="AB556" s="22">
        <f t="shared" si="113"/>
        <v>1583.36</v>
      </c>
      <c r="AC556" s="22">
        <f t="shared" si="114"/>
        <v>353.72</v>
      </c>
      <c r="AD556" s="22">
        <f t="shared" si="104"/>
        <v>1937.08</v>
      </c>
      <c r="AE556" s="22">
        <f t="shared" si="105"/>
        <v>132640.41999999998</v>
      </c>
      <c r="AF556" s="19" t="str">
        <f>VLOOKUP(C556,'2021-22 School Level AAFTE'!C:N,12,FALSE)</f>
        <v>No</v>
      </c>
    </row>
    <row r="557" spans="1:32" s="19" customFormat="1">
      <c r="A557" s="97" t="s">
        <v>2472</v>
      </c>
      <c r="B557" s="97" t="s">
        <v>1594</v>
      </c>
      <c r="C557" s="95">
        <v>3002</v>
      </c>
      <c r="D557" s="95" t="s">
        <v>1604</v>
      </c>
      <c r="E557" s="129">
        <f>VLOOKUP($C557,'2021-22 School Level AAFTE'!$C:$Z,11,FALSE)</f>
        <v>0.39016666666666672</v>
      </c>
      <c r="F557" s="129" t="str">
        <f>VLOOKUP($C557,'2021-22 School Level AAFTE'!$C:$Z,8,FALSE)</f>
        <v>No</v>
      </c>
      <c r="G557" s="129" t="str">
        <f>VLOOKUP($C557,'2021-22 School Level AAFTE'!$C:$Z,12,FALSE)</f>
        <v>No</v>
      </c>
      <c r="H557" s="127">
        <f>VLOOKUP($C557,'2021-22 School Level AAFTE'!$C:$I,7,FALSE)</f>
        <v>461</v>
      </c>
      <c r="I557" s="112">
        <f>IFERROR(IF(OR(G557="yes",F557= "yes"),VLOOKUP(C557,Summary!$B:$J,6,0),0),0)</f>
        <v>0</v>
      </c>
      <c r="J557" s="111">
        <f t="shared" si="108"/>
        <v>0</v>
      </c>
      <c r="K557" s="91">
        <f>VLOOKUP($A557,'2022-23 Salary &amp; Benefits'!$A:$I,3,FALSE)</f>
        <v>1.18</v>
      </c>
      <c r="L557" s="91">
        <f>VLOOKUP($A557,'2022-23 Salary &amp; Benefits'!$A:$I,4,FALSE)</f>
        <v>1.18</v>
      </c>
      <c r="M557" s="39">
        <f t="shared" si="103"/>
        <v>0</v>
      </c>
      <c r="N557" s="24">
        <v>15</v>
      </c>
      <c r="O557" s="26">
        <f t="shared" si="106"/>
        <v>0</v>
      </c>
      <c r="P557" s="24">
        <v>1.1000000000000001</v>
      </c>
      <c r="Q557" s="24">
        <v>36</v>
      </c>
      <c r="R557" s="27">
        <f t="shared" si="107"/>
        <v>0</v>
      </c>
      <c r="S557" s="102">
        <f t="shared" si="109"/>
        <v>0</v>
      </c>
      <c r="T557" s="21">
        <f>VLOOKUP($A557,'2022-23 Salary &amp; Benefits'!$A:$I,5,FALSE)</f>
        <v>68937</v>
      </c>
      <c r="U557" s="21">
        <f>VLOOKUP($A557,'2022-23 Salary &amp; Benefits'!$A:$I,6,FALSE)</f>
        <v>72728</v>
      </c>
      <c r="V557" s="22">
        <f t="shared" si="110"/>
        <v>0</v>
      </c>
      <c r="W557" s="22">
        <f t="shared" si="111"/>
        <v>0</v>
      </c>
      <c r="X557" s="22">
        <f>'2022-23 Salary &amp; Benefits'!$G$6</f>
        <v>12558.24</v>
      </c>
      <c r="Y557" s="23">
        <f>'2022-23 Salary &amp; Benefits'!$H$6</f>
        <v>0.2298</v>
      </c>
      <c r="Z557" s="23">
        <f>'2022-23 Salary &amp; Benefits'!$I$6</f>
        <v>0.22339999999999999</v>
      </c>
      <c r="AA557" s="22">
        <f t="shared" si="112"/>
        <v>0</v>
      </c>
      <c r="AB557" s="22">
        <f t="shared" si="113"/>
        <v>0</v>
      </c>
      <c r="AC557" s="22">
        <f t="shared" si="114"/>
        <v>0</v>
      </c>
      <c r="AD557" s="22">
        <f t="shared" si="104"/>
        <v>0</v>
      </c>
      <c r="AE557" s="22">
        <f t="shared" si="105"/>
        <v>0</v>
      </c>
      <c r="AF557" s="19" t="str">
        <f>VLOOKUP(C557,'2021-22 School Level AAFTE'!C:N,12,FALSE)</f>
        <v>No</v>
      </c>
    </row>
    <row r="558" spans="1:32" s="19" customFormat="1">
      <c r="A558" s="97" t="s">
        <v>2472</v>
      </c>
      <c r="B558" s="97" t="s">
        <v>1594</v>
      </c>
      <c r="C558" s="95">
        <v>3184</v>
      </c>
      <c r="D558" s="95" t="s">
        <v>564</v>
      </c>
      <c r="E558" s="129">
        <f>VLOOKUP($C558,'2021-22 School Level AAFTE'!$C:$Z,11,FALSE)</f>
        <v>0.63206666666666667</v>
      </c>
      <c r="F558" s="129" t="str">
        <f>VLOOKUP($C558,'2021-22 School Level AAFTE'!$C:$Z,8,FALSE)</f>
        <v>Yes</v>
      </c>
      <c r="G558" s="129" t="str">
        <f>VLOOKUP($C558,'2021-22 School Level AAFTE'!$C:$Z,12,FALSE)</f>
        <v>No</v>
      </c>
      <c r="H558" s="127">
        <f>VLOOKUP($C558,'2021-22 School Level AAFTE'!$C:$I,7,FALSE)</f>
        <v>555.29</v>
      </c>
      <c r="I558" s="112">
        <f>IFERROR(IF(OR(G558="yes",F558= "yes"),VLOOKUP(C558,Summary!$B:$J,6,0),0),0)</f>
        <v>0</v>
      </c>
      <c r="J558" s="111">
        <f t="shared" si="108"/>
        <v>555.29</v>
      </c>
      <c r="K558" s="91">
        <f>VLOOKUP($A558,'2022-23 Salary &amp; Benefits'!$A:$I,3,FALSE)</f>
        <v>1.18</v>
      </c>
      <c r="L558" s="91">
        <f>VLOOKUP($A558,'2022-23 Salary &amp; Benefits'!$A:$I,4,FALSE)</f>
        <v>1.18</v>
      </c>
      <c r="M558" s="39">
        <f t="shared" si="103"/>
        <v>555.29</v>
      </c>
      <c r="N558" s="24">
        <v>15</v>
      </c>
      <c r="O558" s="26">
        <f t="shared" si="106"/>
        <v>37.019333333333329</v>
      </c>
      <c r="P558" s="24">
        <v>1.1000000000000001</v>
      </c>
      <c r="Q558" s="24">
        <v>36</v>
      </c>
      <c r="R558" s="27">
        <f t="shared" si="107"/>
        <v>1465.9656</v>
      </c>
      <c r="S558" s="102">
        <f t="shared" si="109"/>
        <v>1.629</v>
      </c>
      <c r="T558" s="21">
        <f>VLOOKUP($A558,'2022-23 Salary &amp; Benefits'!$A:$I,5,FALSE)</f>
        <v>68937</v>
      </c>
      <c r="U558" s="21">
        <f>VLOOKUP($A558,'2022-23 Salary &amp; Benefits'!$A:$I,6,FALSE)</f>
        <v>72728</v>
      </c>
      <c r="V558" s="22">
        <f t="shared" si="110"/>
        <v>132512.07999999999</v>
      </c>
      <c r="W558" s="22">
        <f t="shared" si="111"/>
        <v>7287.140000000014</v>
      </c>
      <c r="X558" s="22">
        <f>'2022-23 Salary &amp; Benefits'!$G$6</f>
        <v>12558.24</v>
      </c>
      <c r="Y558" s="23">
        <f>'2022-23 Salary &amp; Benefits'!$H$6</f>
        <v>0.2298</v>
      </c>
      <c r="Z558" s="23">
        <f>'2022-23 Salary &amp; Benefits'!$I$6</f>
        <v>0.22339999999999999</v>
      </c>
      <c r="AA558" s="22">
        <f t="shared" si="112"/>
        <v>52536.6</v>
      </c>
      <c r="AB558" s="22">
        <f t="shared" si="113"/>
        <v>2329.9899999999998</v>
      </c>
      <c r="AC558" s="22">
        <f t="shared" si="114"/>
        <v>520.52</v>
      </c>
      <c r="AD558" s="22">
        <f t="shared" si="104"/>
        <v>2850.5099999999998</v>
      </c>
      <c r="AE558" s="22">
        <f t="shared" si="105"/>
        <v>195186.33000000002</v>
      </c>
      <c r="AF558" s="19" t="str">
        <f>VLOOKUP(C558,'2021-22 School Level AAFTE'!C:N,12,FALSE)</f>
        <v>No</v>
      </c>
    </row>
    <row r="559" spans="1:32" s="19" customFormat="1">
      <c r="A559" s="97" t="s">
        <v>2472</v>
      </c>
      <c r="B559" s="97" t="s">
        <v>1594</v>
      </c>
      <c r="C559" s="95">
        <v>3253</v>
      </c>
      <c r="D559" s="95" t="s">
        <v>925</v>
      </c>
      <c r="E559" s="129">
        <f>VLOOKUP($C559,'2021-22 School Level AAFTE'!$C:$Z,11,FALSE)</f>
        <v>0.60106666666666675</v>
      </c>
      <c r="F559" s="129" t="str">
        <f>VLOOKUP($C559,'2021-22 School Level AAFTE'!$C:$Z,8,FALSE)</f>
        <v>Yes</v>
      </c>
      <c r="G559" s="129" t="str">
        <f>VLOOKUP($C559,'2021-22 School Level AAFTE'!$C:$Z,12,FALSE)</f>
        <v>No</v>
      </c>
      <c r="H559" s="127">
        <f>VLOOKUP($C559,'2021-22 School Level AAFTE'!$C:$I,7,FALSE)</f>
        <v>959.64</v>
      </c>
      <c r="I559" s="112">
        <f>IFERROR(IF(OR(G559="yes",F559= "yes"),VLOOKUP(C559,Summary!$B:$J,6,0),0),0)</f>
        <v>0</v>
      </c>
      <c r="J559" s="111">
        <f t="shared" si="108"/>
        <v>959.64</v>
      </c>
      <c r="K559" s="91">
        <f>VLOOKUP($A559,'2022-23 Salary &amp; Benefits'!$A:$I,3,FALSE)</f>
        <v>1.18</v>
      </c>
      <c r="L559" s="91">
        <f>VLOOKUP($A559,'2022-23 Salary &amp; Benefits'!$A:$I,4,FALSE)</f>
        <v>1.18</v>
      </c>
      <c r="M559" s="101">
        <f t="shared" si="103"/>
        <v>959.64</v>
      </c>
      <c r="N559" s="24">
        <v>15</v>
      </c>
      <c r="O559" s="26">
        <f t="shared" si="106"/>
        <v>63.975999999999999</v>
      </c>
      <c r="P559" s="24">
        <v>1.1000000000000001</v>
      </c>
      <c r="Q559" s="24">
        <v>36</v>
      </c>
      <c r="R559" s="27">
        <f t="shared" si="107"/>
        <v>2533.4496000000004</v>
      </c>
      <c r="S559" s="102">
        <f t="shared" si="109"/>
        <v>2.8149999999999999</v>
      </c>
      <c r="T559" s="21">
        <f>VLOOKUP($A559,'2022-23 Salary &amp; Benefits'!$A:$I,5,FALSE)</f>
        <v>68937</v>
      </c>
      <c r="U559" s="21">
        <f>VLOOKUP($A559,'2022-23 Salary &amp; Benefits'!$A:$I,6,FALSE)</f>
        <v>72728</v>
      </c>
      <c r="V559" s="22">
        <f t="shared" si="110"/>
        <v>228988.03</v>
      </c>
      <c r="W559" s="22">
        <f t="shared" si="111"/>
        <v>12592.570000000007</v>
      </c>
      <c r="X559" s="22">
        <f>'2022-23 Salary &amp; Benefits'!$G$6</f>
        <v>12558.24</v>
      </c>
      <c r="Y559" s="23">
        <f>'2022-23 Salary &amp; Benefits'!$H$6</f>
        <v>0.2298</v>
      </c>
      <c r="Z559" s="23">
        <f>'2022-23 Salary &amp; Benefits'!$I$6</f>
        <v>0.22339999999999999</v>
      </c>
      <c r="AA559" s="22">
        <f t="shared" si="112"/>
        <v>90786.08</v>
      </c>
      <c r="AB559" s="22">
        <f t="shared" si="113"/>
        <v>4026.34</v>
      </c>
      <c r="AC559" s="22">
        <f t="shared" si="114"/>
        <v>899.48</v>
      </c>
      <c r="AD559" s="22">
        <f t="shared" si="104"/>
        <v>4925.82</v>
      </c>
      <c r="AE559" s="22">
        <f t="shared" si="105"/>
        <v>337292.5</v>
      </c>
      <c r="AF559" s="19" t="str">
        <f>VLOOKUP(C559,'2021-22 School Level AAFTE'!C:N,12,FALSE)</f>
        <v>No</v>
      </c>
    </row>
    <row r="560" spans="1:32" s="19" customFormat="1">
      <c r="A560" s="97" t="s">
        <v>2472</v>
      </c>
      <c r="B560" s="97" t="s">
        <v>1594</v>
      </c>
      <c r="C560" s="95">
        <v>3407</v>
      </c>
      <c r="D560" s="95" t="s">
        <v>117</v>
      </c>
      <c r="E560" s="129">
        <f>VLOOKUP($C560,'2021-22 School Level AAFTE'!$C:$Z,11,FALSE)</f>
        <v>0.50986666666666669</v>
      </c>
      <c r="F560" s="129" t="str">
        <f>VLOOKUP($C560,'2021-22 School Level AAFTE'!$C:$Z,8,FALSE)</f>
        <v>Yes</v>
      </c>
      <c r="G560" s="129" t="str">
        <f>VLOOKUP($C560,'2021-22 School Level AAFTE'!$C:$Z,12,FALSE)</f>
        <v>No</v>
      </c>
      <c r="H560" s="127">
        <f>VLOOKUP($C560,'2021-22 School Level AAFTE'!$C:$I,7,FALSE)</f>
        <v>1729.59</v>
      </c>
      <c r="I560" s="112">
        <f>IFERROR(IF(OR(G560="yes",F560= "yes"),VLOOKUP(C560,Summary!$B:$J,6,0),0),0)</f>
        <v>0</v>
      </c>
      <c r="J560" s="111">
        <f t="shared" si="108"/>
        <v>1729.59</v>
      </c>
      <c r="K560" s="91">
        <f>VLOOKUP($A560,'2022-23 Salary &amp; Benefits'!$A:$I,3,FALSE)</f>
        <v>1.18</v>
      </c>
      <c r="L560" s="91">
        <f>VLOOKUP($A560,'2022-23 Salary &amp; Benefits'!$A:$I,4,FALSE)</f>
        <v>1.18</v>
      </c>
      <c r="M560" s="101">
        <f t="shared" si="103"/>
        <v>1729.59</v>
      </c>
      <c r="N560" s="24">
        <v>15</v>
      </c>
      <c r="O560" s="26">
        <f t="shared" si="106"/>
        <v>115.306</v>
      </c>
      <c r="P560" s="24">
        <v>1.1000000000000001</v>
      </c>
      <c r="Q560" s="24">
        <v>36</v>
      </c>
      <c r="R560" s="27">
        <f t="shared" si="107"/>
        <v>4566.1176000000005</v>
      </c>
      <c r="S560" s="102">
        <f t="shared" si="109"/>
        <v>5.0730000000000004</v>
      </c>
      <c r="T560" s="21">
        <f>VLOOKUP($A560,'2022-23 Salary &amp; Benefits'!$A:$I,5,FALSE)</f>
        <v>68937</v>
      </c>
      <c r="U560" s="21">
        <f>VLOOKUP($A560,'2022-23 Salary &amp; Benefits'!$A:$I,6,FALSE)</f>
        <v>72728</v>
      </c>
      <c r="V560" s="22">
        <f t="shared" si="110"/>
        <v>412666.53</v>
      </c>
      <c r="W560" s="22">
        <f t="shared" si="111"/>
        <v>22693.459999999963</v>
      </c>
      <c r="X560" s="22">
        <f>'2022-23 Salary &amp; Benefits'!$G$6</f>
        <v>12558.24</v>
      </c>
      <c r="Y560" s="23">
        <f>'2022-23 Salary &amp; Benefits'!$H$6</f>
        <v>0.2298</v>
      </c>
      <c r="Z560" s="23">
        <f>'2022-23 Salary &amp; Benefits'!$I$6</f>
        <v>0.22339999999999999</v>
      </c>
      <c r="AA560" s="22">
        <f t="shared" si="112"/>
        <v>163608.44</v>
      </c>
      <c r="AB560" s="22">
        <f t="shared" si="113"/>
        <v>7256</v>
      </c>
      <c r="AC560" s="22">
        <f t="shared" si="114"/>
        <v>1620.99</v>
      </c>
      <c r="AD560" s="22">
        <f t="shared" si="104"/>
        <v>8876.99</v>
      </c>
      <c r="AE560" s="22">
        <f t="shared" si="105"/>
        <v>607845.41999999993</v>
      </c>
      <c r="AF560" s="19" t="str">
        <f>VLOOKUP(C560,'2021-22 School Level AAFTE'!C:N,12,FALSE)</f>
        <v>No</v>
      </c>
    </row>
    <row r="561" spans="1:32" s="19" customFormat="1">
      <c r="A561" s="97" t="s">
        <v>2472</v>
      </c>
      <c r="B561" s="97" t="s">
        <v>1594</v>
      </c>
      <c r="C561" s="95">
        <v>3533</v>
      </c>
      <c r="D561" s="95" t="s">
        <v>79</v>
      </c>
      <c r="E561" s="129">
        <f>VLOOKUP($C561,'2021-22 School Level AAFTE'!$C:$Z,11,FALSE)</f>
        <v>0.35516666666666663</v>
      </c>
      <c r="F561" s="129" t="str">
        <f>VLOOKUP($C561,'2021-22 School Level AAFTE'!$C:$Z,8,FALSE)</f>
        <v>No</v>
      </c>
      <c r="G561" s="129" t="str">
        <f>VLOOKUP($C561,'2021-22 School Level AAFTE'!$C:$Z,12,FALSE)</f>
        <v>No</v>
      </c>
      <c r="H561" s="127">
        <f>VLOOKUP($C561,'2021-22 School Level AAFTE'!$C:$I,7,FALSE)</f>
        <v>475.21</v>
      </c>
      <c r="I561" s="112">
        <f>IFERROR(IF(OR(G561="yes",F561= "yes"),VLOOKUP(C561,Summary!$B:$J,6,0),0),0)</f>
        <v>0</v>
      </c>
      <c r="J561" s="111">
        <f t="shared" si="108"/>
        <v>0</v>
      </c>
      <c r="K561" s="91">
        <f>VLOOKUP($A561,'2022-23 Salary &amp; Benefits'!$A:$I,3,FALSE)</f>
        <v>1.18</v>
      </c>
      <c r="L561" s="91">
        <f>VLOOKUP($A561,'2022-23 Salary &amp; Benefits'!$A:$I,4,FALSE)</f>
        <v>1.18</v>
      </c>
      <c r="M561" s="39">
        <f t="shared" si="103"/>
        <v>0</v>
      </c>
      <c r="N561" s="24">
        <v>15</v>
      </c>
      <c r="O561" s="26">
        <f t="shared" si="106"/>
        <v>0</v>
      </c>
      <c r="P561" s="24">
        <v>1.1000000000000001</v>
      </c>
      <c r="Q561" s="24">
        <v>36</v>
      </c>
      <c r="R561" s="27">
        <f t="shared" si="107"/>
        <v>0</v>
      </c>
      <c r="S561" s="102">
        <f t="shared" si="109"/>
        <v>0</v>
      </c>
      <c r="T561" s="21">
        <f>VLOOKUP($A561,'2022-23 Salary &amp; Benefits'!$A:$I,5,FALSE)</f>
        <v>68937</v>
      </c>
      <c r="U561" s="21">
        <f>VLOOKUP($A561,'2022-23 Salary &amp; Benefits'!$A:$I,6,FALSE)</f>
        <v>72728</v>
      </c>
      <c r="V561" s="22">
        <f t="shared" si="110"/>
        <v>0</v>
      </c>
      <c r="W561" s="22">
        <f t="shared" si="111"/>
        <v>0</v>
      </c>
      <c r="X561" s="22">
        <f>'2022-23 Salary &amp; Benefits'!$G$6</f>
        <v>12558.24</v>
      </c>
      <c r="Y561" s="23">
        <f>'2022-23 Salary &amp; Benefits'!$H$6</f>
        <v>0.2298</v>
      </c>
      <c r="Z561" s="23">
        <f>'2022-23 Salary &amp; Benefits'!$I$6</f>
        <v>0.22339999999999999</v>
      </c>
      <c r="AA561" s="22">
        <f t="shared" si="112"/>
        <v>0</v>
      </c>
      <c r="AB561" s="22">
        <f t="shared" si="113"/>
        <v>0</v>
      </c>
      <c r="AC561" s="22">
        <f t="shared" si="114"/>
        <v>0</v>
      </c>
      <c r="AD561" s="22">
        <f t="shared" si="104"/>
        <v>0</v>
      </c>
      <c r="AE561" s="22">
        <f t="shared" si="105"/>
        <v>0</v>
      </c>
      <c r="AF561" s="19" t="str">
        <f>VLOOKUP(C561,'2021-22 School Level AAFTE'!C:N,12,FALSE)</f>
        <v>No</v>
      </c>
    </row>
    <row r="562" spans="1:32" s="19" customFormat="1">
      <c r="A562" s="97" t="s">
        <v>2472</v>
      </c>
      <c r="B562" s="97" t="s">
        <v>1594</v>
      </c>
      <c r="C562" s="95">
        <v>3686</v>
      </c>
      <c r="D562" s="95" t="s">
        <v>1605</v>
      </c>
      <c r="E562" s="129">
        <f>VLOOKUP($C562,'2021-22 School Level AAFTE'!$C:$Z,11,FALSE)</f>
        <v>0.42050000000000004</v>
      </c>
      <c r="F562" s="129" t="str">
        <f>VLOOKUP($C562,'2021-22 School Level AAFTE'!$C:$Z,8,FALSE)</f>
        <v>No</v>
      </c>
      <c r="G562" s="129" t="str">
        <f>VLOOKUP($C562,'2021-22 School Level AAFTE'!$C:$Z,12,FALSE)</f>
        <v>No</v>
      </c>
      <c r="H562" s="127">
        <f>VLOOKUP($C562,'2021-22 School Level AAFTE'!$C:$I,7,FALSE)</f>
        <v>483.2</v>
      </c>
      <c r="I562" s="112">
        <f>IFERROR(IF(OR(G562="yes",F562= "yes"),VLOOKUP(C562,Summary!$B:$J,6,0),0),0)</f>
        <v>0</v>
      </c>
      <c r="J562" s="111">
        <f t="shared" si="108"/>
        <v>0</v>
      </c>
      <c r="K562" s="91">
        <f>VLOOKUP($A562,'2022-23 Salary &amp; Benefits'!$A:$I,3,FALSE)</f>
        <v>1.18</v>
      </c>
      <c r="L562" s="91">
        <f>VLOOKUP($A562,'2022-23 Salary &amp; Benefits'!$A:$I,4,FALSE)</f>
        <v>1.18</v>
      </c>
      <c r="M562" s="39">
        <f t="shared" si="103"/>
        <v>0</v>
      </c>
      <c r="N562" s="24">
        <v>15</v>
      </c>
      <c r="O562" s="26">
        <f t="shared" si="106"/>
        <v>0</v>
      </c>
      <c r="P562" s="24">
        <v>1.1000000000000001</v>
      </c>
      <c r="Q562" s="24">
        <v>36</v>
      </c>
      <c r="R562" s="27">
        <f t="shared" si="107"/>
        <v>0</v>
      </c>
      <c r="S562" s="102">
        <f t="shared" si="109"/>
        <v>0</v>
      </c>
      <c r="T562" s="21">
        <f>VLOOKUP($A562,'2022-23 Salary &amp; Benefits'!$A:$I,5,FALSE)</f>
        <v>68937</v>
      </c>
      <c r="U562" s="21">
        <f>VLOOKUP($A562,'2022-23 Salary &amp; Benefits'!$A:$I,6,FALSE)</f>
        <v>72728</v>
      </c>
      <c r="V562" s="22">
        <f t="shared" si="110"/>
        <v>0</v>
      </c>
      <c r="W562" s="22">
        <f t="shared" si="111"/>
        <v>0</v>
      </c>
      <c r="X562" s="22">
        <f>'2022-23 Salary &amp; Benefits'!$G$6</f>
        <v>12558.24</v>
      </c>
      <c r="Y562" s="23">
        <f>'2022-23 Salary &amp; Benefits'!$H$6</f>
        <v>0.2298</v>
      </c>
      <c r="Z562" s="23">
        <f>'2022-23 Salary &amp; Benefits'!$I$6</f>
        <v>0.22339999999999999</v>
      </c>
      <c r="AA562" s="22">
        <f t="shared" si="112"/>
        <v>0</v>
      </c>
      <c r="AB562" s="22">
        <f t="shared" si="113"/>
        <v>0</v>
      </c>
      <c r="AC562" s="22">
        <f t="shared" si="114"/>
        <v>0</v>
      </c>
      <c r="AD562" s="22">
        <f t="shared" si="104"/>
        <v>0</v>
      </c>
      <c r="AE562" s="22">
        <f t="shared" si="105"/>
        <v>0</v>
      </c>
      <c r="AF562" s="19" t="str">
        <f>VLOOKUP(C562,'2021-22 School Level AAFTE'!C:N,12,FALSE)</f>
        <v>No</v>
      </c>
    </row>
    <row r="563" spans="1:32" s="19" customFormat="1">
      <c r="A563" s="97" t="s">
        <v>2472</v>
      </c>
      <c r="B563" s="97" t="s">
        <v>1594</v>
      </c>
      <c r="C563" s="95">
        <v>3752</v>
      </c>
      <c r="D563" s="95" t="s">
        <v>1606</v>
      </c>
      <c r="E563" s="129">
        <f>VLOOKUP($C563,'2021-22 School Level AAFTE'!$C:$Z,11,FALSE)</f>
        <v>0.44883333333333336</v>
      </c>
      <c r="F563" s="129" t="str">
        <f>VLOOKUP($C563,'2021-22 School Level AAFTE'!$C:$Z,8,FALSE)</f>
        <v>No</v>
      </c>
      <c r="G563" s="129" t="str">
        <f>VLOOKUP($C563,'2021-22 School Level AAFTE'!$C:$Z,12,FALSE)</f>
        <v>No</v>
      </c>
      <c r="H563" s="127">
        <f>VLOOKUP($C563,'2021-22 School Level AAFTE'!$C:$I,7,FALSE)</f>
        <v>892.11</v>
      </c>
      <c r="I563" s="112">
        <f>IFERROR(IF(OR(G563="yes",F563= "yes"),VLOOKUP(C563,Summary!$B:$J,6,0),0),0)</f>
        <v>0</v>
      </c>
      <c r="J563" s="111">
        <f t="shared" si="108"/>
        <v>0</v>
      </c>
      <c r="K563" s="91">
        <f>VLOOKUP($A563,'2022-23 Salary &amp; Benefits'!$A:$I,3,FALSE)</f>
        <v>1.18</v>
      </c>
      <c r="L563" s="91">
        <f>VLOOKUP($A563,'2022-23 Salary &amp; Benefits'!$A:$I,4,FALSE)</f>
        <v>1.18</v>
      </c>
      <c r="M563" s="39">
        <f t="shared" si="103"/>
        <v>0</v>
      </c>
      <c r="N563" s="24">
        <v>15</v>
      </c>
      <c r="O563" s="26">
        <f t="shared" si="106"/>
        <v>0</v>
      </c>
      <c r="P563" s="24">
        <v>1.1000000000000001</v>
      </c>
      <c r="Q563" s="24">
        <v>36</v>
      </c>
      <c r="R563" s="27">
        <f t="shared" si="107"/>
        <v>0</v>
      </c>
      <c r="S563" s="102">
        <f t="shared" si="109"/>
        <v>0</v>
      </c>
      <c r="T563" s="21">
        <f>VLOOKUP($A563,'2022-23 Salary &amp; Benefits'!$A:$I,5,FALSE)</f>
        <v>68937</v>
      </c>
      <c r="U563" s="21">
        <f>VLOOKUP($A563,'2022-23 Salary &amp; Benefits'!$A:$I,6,FALSE)</f>
        <v>72728</v>
      </c>
      <c r="V563" s="22">
        <f t="shared" si="110"/>
        <v>0</v>
      </c>
      <c r="W563" s="22">
        <f t="shared" si="111"/>
        <v>0</v>
      </c>
      <c r="X563" s="22">
        <f>'2022-23 Salary &amp; Benefits'!$G$6</f>
        <v>12558.24</v>
      </c>
      <c r="Y563" s="23">
        <f>'2022-23 Salary &amp; Benefits'!$H$6</f>
        <v>0.2298</v>
      </c>
      <c r="Z563" s="23">
        <f>'2022-23 Salary &amp; Benefits'!$I$6</f>
        <v>0.22339999999999999</v>
      </c>
      <c r="AA563" s="22">
        <f t="shared" si="112"/>
        <v>0</v>
      </c>
      <c r="AB563" s="22">
        <f t="shared" si="113"/>
        <v>0</v>
      </c>
      <c r="AC563" s="22">
        <f t="shared" si="114"/>
        <v>0</v>
      </c>
      <c r="AD563" s="22">
        <f t="shared" si="104"/>
        <v>0</v>
      </c>
      <c r="AE563" s="22">
        <f t="shared" si="105"/>
        <v>0</v>
      </c>
      <c r="AF563" s="19" t="str">
        <f>VLOOKUP(C563,'2021-22 School Level AAFTE'!C:N,12,FALSE)</f>
        <v>No</v>
      </c>
    </row>
    <row r="564" spans="1:32" s="19" customFormat="1">
      <c r="A564" s="97" t="s">
        <v>2472</v>
      </c>
      <c r="B564" s="97" t="s">
        <v>1594</v>
      </c>
      <c r="C564" s="95">
        <v>3903</v>
      </c>
      <c r="D564" s="95" t="s">
        <v>27</v>
      </c>
      <c r="E564" s="129">
        <f>VLOOKUP($C564,'2021-22 School Level AAFTE'!$C:$Z,11,FALSE)</f>
        <v>0.33616666666666667</v>
      </c>
      <c r="F564" s="129" t="str">
        <f>VLOOKUP($C564,'2021-22 School Level AAFTE'!$C:$Z,8,FALSE)</f>
        <v>No</v>
      </c>
      <c r="G564" s="129" t="str">
        <f>VLOOKUP($C564,'2021-22 School Level AAFTE'!$C:$Z,12,FALSE)</f>
        <v>No</v>
      </c>
      <c r="H564" s="127">
        <f>VLOOKUP($C564,'2021-22 School Level AAFTE'!$C:$I,7,FALSE)</f>
        <v>8</v>
      </c>
      <c r="I564" s="112">
        <f>IFERROR(IF(OR(G564="yes",F564= "yes"),VLOOKUP(C564,Summary!$B:$J,6,0),0),0)</f>
        <v>0</v>
      </c>
      <c r="J564" s="111">
        <f t="shared" si="108"/>
        <v>0</v>
      </c>
      <c r="K564" s="91">
        <f>VLOOKUP($A564,'2022-23 Salary &amp; Benefits'!$A:$I,3,FALSE)</f>
        <v>1.18</v>
      </c>
      <c r="L564" s="91">
        <f>VLOOKUP($A564,'2022-23 Salary &amp; Benefits'!$A:$I,4,FALSE)</f>
        <v>1.18</v>
      </c>
      <c r="M564" s="39">
        <f t="shared" si="103"/>
        <v>0</v>
      </c>
      <c r="N564" s="24">
        <v>15</v>
      </c>
      <c r="O564" s="26">
        <f t="shared" si="106"/>
        <v>0</v>
      </c>
      <c r="P564" s="24">
        <v>1.1000000000000001</v>
      </c>
      <c r="Q564" s="24">
        <v>36</v>
      </c>
      <c r="R564" s="27">
        <f t="shared" si="107"/>
        <v>0</v>
      </c>
      <c r="S564" s="102">
        <f t="shared" si="109"/>
        <v>0</v>
      </c>
      <c r="T564" s="21">
        <f>VLOOKUP($A564,'2022-23 Salary &amp; Benefits'!$A:$I,5,FALSE)</f>
        <v>68937</v>
      </c>
      <c r="U564" s="21">
        <f>VLOOKUP($A564,'2022-23 Salary &amp; Benefits'!$A:$I,6,FALSE)</f>
        <v>72728</v>
      </c>
      <c r="V564" s="22">
        <f t="shared" si="110"/>
        <v>0</v>
      </c>
      <c r="W564" s="22">
        <f t="shared" si="111"/>
        <v>0</v>
      </c>
      <c r="X564" s="22">
        <f>'2022-23 Salary &amp; Benefits'!$G$6</f>
        <v>12558.24</v>
      </c>
      <c r="Y564" s="23">
        <f>'2022-23 Salary &amp; Benefits'!$H$6</f>
        <v>0.2298</v>
      </c>
      <c r="Z564" s="23">
        <f>'2022-23 Salary &amp; Benefits'!$I$6</f>
        <v>0.22339999999999999</v>
      </c>
      <c r="AA564" s="22">
        <f t="shared" si="112"/>
        <v>0</v>
      </c>
      <c r="AB564" s="22">
        <f t="shared" si="113"/>
        <v>0</v>
      </c>
      <c r="AC564" s="22">
        <f t="shared" si="114"/>
        <v>0</v>
      </c>
      <c r="AD564" s="22">
        <f t="shared" si="104"/>
        <v>0</v>
      </c>
      <c r="AE564" s="22">
        <f t="shared" si="105"/>
        <v>0</v>
      </c>
      <c r="AF564" s="19" t="str">
        <f>VLOOKUP(C564,'2021-22 School Level AAFTE'!C:N,12,FALSE)</f>
        <v>No</v>
      </c>
    </row>
    <row r="565" spans="1:32" s="19" customFormat="1">
      <c r="A565" s="97" t="s">
        <v>2472</v>
      </c>
      <c r="B565" s="97" t="s">
        <v>1594</v>
      </c>
      <c r="C565" s="95">
        <v>4125</v>
      </c>
      <c r="D565" s="95" t="s">
        <v>1607</v>
      </c>
      <c r="E565" s="129">
        <f>VLOOKUP($C565,'2021-22 School Level AAFTE'!$C:$Z,11,FALSE)</f>
        <v>0.3372</v>
      </c>
      <c r="F565" s="129" t="str">
        <f>VLOOKUP($C565,'2021-22 School Level AAFTE'!$C:$Z,8,FALSE)</f>
        <v>No</v>
      </c>
      <c r="G565" s="129" t="str">
        <f>VLOOKUP($C565,'2021-22 School Level AAFTE'!$C:$Z,12,FALSE)</f>
        <v>No</v>
      </c>
      <c r="H565" s="127">
        <f>VLOOKUP($C565,'2021-22 School Level AAFTE'!$C:$I,7,FALSE)</f>
        <v>542.42999999999995</v>
      </c>
      <c r="I565" s="112">
        <f>IFERROR(IF(OR(G565="yes",F565= "yes"),VLOOKUP(C565,Summary!$B:$J,6,0),0),0)</f>
        <v>0</v>
      </c>
      <c r="J565" s="111">
        <f t="shared" si="108"/>
        <v>0</v>
      </c>
      <c r="K565" s="91">
        <f>VLOOKUP($A565,'2022-23 Salary &amp; Benefits'!$A:$I,3,FALSE)</f>
        <v>1.18</v>
      </c>
      <c r="L565" s="91">
        <f>VLOOKUP($A565,'2022-23 Salary &amp; Benefits'!$A:$I,4,FALSE)</f>
        <v>1.18</v>
      </c>
      <c r="M565" s="39">
        <f t="shared" si="103"/>
        <v>0</v>
      </c>
      <c r="N565" s="24">
        <v>15</v>
      </c>
      <c r="O565" s="26">
        <f t="shared" si="106"/>
        <v>0</v>
      </c>
      <c r="P565" s="24">
        <v>1.1000000000000001</v>
      </c>
      <c r="Q565" s="24">
        <v>36</v>
      </c>
      <c r="R565" s="27">
        <f t="shared" si="107"/>
        <v>0</v>
      </c>
      <c r="S565" s="102">
        <f t="shared" si="109"/>
        <v>0</v>
      </c>
      <c r="T565" s="21">
        <f>VLOOKUP($A565,'2022-23 Salary &amp; Benefits'!$A:$I,5,FALSE)</f>
        <v>68937</v>
      </c>
      <c r="U565" s="21">
        <f>VLOOKUP($A565,'2022-23 Salary &amp; Benefits'!$A:$I,6,FALSE)</f>
        <v>72728</v>
      </c>
      <c r="V565" s="22">
        <f t="shared" si="110"/>
        <v>0</v>
      </c>
      <c r="W565" s="22">
        <f t="shared" si="111"/>
        <v>0</v>
      </c>
      <c r="X565" s="22">
        <f>'2022-23 Salary &amp; Benefits'!$G$6</f>
        <v>12558.24</v>
      </c>
      <c r="Y565" s="23">
        <f>'2022-23 Salary &amp; Benefits'!$H$6</f>
        <v>0.2298</v>
      </c>
      <c r="Z565" s="23">
        <f>'2022-23 Salary &amp; Benefits'!$I$6</f>
        <v>0.22339999999999999</v>
      </c>
      <c r="AA565" s="22">
        <f t="shared" si="112"/>
        <v>0</v>
      </c>
      <c r="AB565" s="22">
        <f t="shared" si="113"/>
        <v>0</v>
      </c>
      <c r="AC565" s="22">
        <f t="shared" si="114"/>
        <v>0</v>
      </c>
      <c r="AD565" s="22">
        <f t="shared" si="104"/>
        <v>0</v>
      </c>
      <c r="AE565" s="22">
        <f t="shared" si="105"/>
        <v>0</v>
      </c>
      <c r="AF565" s="19" t="str">
        <f>VLOOKUP(C565,'2021-22 School Level AAFTE'!C:N,12,FALSE)</f>
        <v>No</v>
      </c>
    </row>
    <row r="566" spans="1:32" s="19" customFormat="1">
      <c r="A566" s="97" t="s">
        <v>2472</v>
      </c>
      <c r="B566" s="97" t="s">
        <v>1594</v>
      </c>
      <c r="C566" s="95">
        <v>4137</v>
      </c>
      <c r="D566" s="95" t="s">
        <v>1608</v>
      </c>
      <c r="E566" s="129">
        <f>VLOOKUP($C566,'2021-22 School Level AAFTE'!$C:$Z,11,FALSE)</f>
        <v>0.63076666666666659</v>
      </c>
      <c r="F566" s="129" t="str">
        <f>VLOOKUP($C566,'2021-22 School Level AAFTE'!$C:$Z,8,FALSE)</f>
        <v>Yes</v>
      </c>
      <c r="G566" s="129" t="str">
        <f>VLOOKUP($C566,'2021-22 School Level AAFTE'!$C:$Z,12,FALSE)</f>
        <v>No</v>
      </c>
      <c r="H566" s="127">
        <f>VLOOKUP($C566,'2021-22 School Level AAFTE'!$C:$I,7,FALSE)</f>
        <v>130.58000000000001</v>
      </c>
      <c r="I566" s="112">
        <f>IFERROR(IF(OR(G566="yes",F566= "yes"),VLOOKUP(C566,Summary!$B:$J,6,0),0),0)</f>
        <v>0</v>
      </c>
      <c r="J566" s="111">
        <f t="shared" si="108"/>
        <v>130.58000000000001</v>
      </c>
      <c r="K566" s="91">
        <f>VLOOKUP($A566,'2022-23 Salary &amp; Benefits'!$A:$I,3,FALSE)</f>
        <v>1.18</v>
      </c>
      <c r="L566" s="91">
        <f>VLOOKUP($A566,'2022-23 Salary &amp; Benefits'!$A:$I,4,FALSE)</f>
        <v>1.18</v>
      </c>
      <c r="M566" s="39">
        <f t="shared" ref="M566:M626" si="115">IF(I566&gt;0,I566,J566)</f>
        <v>130.58000000000001</v>
      </c>
      <c r="N566" s="24">
        <v>15</v>
      </c>
      <c r="O566" s="26">
        <f t="shared" si="106"/>
        <v>8.7053333333333338</v>
      </c>
      <c r="P566" s="24">
        <v>1.1000000000000001</v>
      </c>
      <c r="Q566" s="24">
        <v>36</v>
      </c>
      <c r="R566" s="27">
        <f t="shared" si="107"/>
        <v>344.73120000000006</v>
      </c>
      <c r="S566" s="102">
        <f t="shared" si="109"/>
        <v>0.38300000000000001</v>
      </c>
      <c r="T566" s="21">
        <f>VLOOKUP($A566,'2022-23 Salary &amp; Benefits'!$A:$I,5,FALSE)</f>
        <v>68937</v>
      </c>
      <c r="U566" s="21">
        <f>VLOOKUP($A566,'2022-23 Salary &amp; Benefits'!$A:$I,6,FALSE)</f>
        <v>72728</v>
      </c>
      <c r="V566" s="22">
        <f t="shared" si="110"/>
        <v>31155.39</v>
      </c>
      <c r="W566" s="22">
        <f t="shared" si="111"/>
        <v>1713.3000000000029</v>
      </c>
      <c r="X566" s="22">
        <f>'2022-23 Salary &amp; Benefits'!$G$6</f>
        <v>12558.24</v>
      </c>
      <c r="Y566" s="23">
        <f>'2022-23 Salary &amp; Benefits'!$H$6</f>
        <v>0.2298</v>
      </c>
      <c r="Z566" s="23">
        <f>'2022-23 Salary &amp; Benefits'!$I$6</f>
        <v>0.22339999999999999</v>
      </c>
      <c r="AA566" s="22">
        <f t="shared" si="112"/>
        <v>12352.07</v>
      </c>
      <c r="AB566" s="22">
        <f t="shared" si="113"/>
        <v>547.80999999999995</v>
      </c>
      <c r="AC566" s="22">
        <f t="shared" si="114"/>
        <v>122.38</v>
      </c>
      <c r="AD566" s="22">
        <f t="shared" ref="AD566:AD626" si="116">SUM(AB566:AC566)</f>
        <v>670.18999999999994</v>
      </c>
      <c r="AE566" s="22">
        <f t="shared" ref="AE566:AE626" si="117">SUM(AA566,V566:W566,AD566)</f>
        <v>45890.950000000004</v>
      </c>
      <c r="AF566" s="19" t="str">
        <f>VLOOKUP(C566,'2021-22 School Level AAFTE'!C:N,12,FALSE)</f>
        <v>No</v>
      </c>
    </row>
    <row r="567" spans="1:32" s="19" customFormat="1">
      <c r="A567" s="97" t="s">
        <v>2472</v>
      </c>
      <c r="B567" s="97" t="s">
        <v>1594</v>
      </c>
      <c r="C567" s="95">
        <v>4298</v>
      </c>
      <c r="D567" s="95" t="s">
        <v>1609</v>
      </c>
      <c r="E567" s="129">
        <f>VLOOKUP($C567,'2021-22 School Level AAFTE'!$C:$Z,11,FALSE)</f>
        <v>0.14263333333333336</v>
      </c>
      <c r="F567" s="129" t="str">
        <f>VLOOKUP($C567,'2021-22 School Level AAFTE'!$C:$Z,8,FALSE)</f>
        <v>No</v>
      </c>
      <c r="G567" s="129" t="str">
        <f>VLOOKUP($C567,'2021-22 School Level AAFTE'!$C:$Z,12,FALSE)</f>
        <v>No</v>
      </c>
      <c r="H567" s="127">
        <f>VLOOKUP($C567,'2021-22 School Level AAFTE'!$C:$I,7,FALSE)</f>
        <v>482.14</v>
      </c>
      <c r="I567" s="112">
        <f>IFERROR(IF(OR(G567="yes",F567= "yes"),VLOOKUP(C567,Summary!$B:$J,6,0),0),0)</f>
        <v>0</v>
      </c>
      <c r="J567" s="111">
        <f t="shared" si="108"/>
        <v>0</v>
      </c>
      <c r="K567" s="91">
        <f>VLOOKUP($A567,'2022-23 Salary &amp; Benefits'!$A:$I,3,FALSE)</f>
        <v>1.18</v>
      </c>
      <c r="L567" s="91">
        <f>VLOOKUP($A567,'2022-23 Salary &amp; Benefits'!$A:$I,4,FALSE)</f>
        <v>1.18</v>
      </c>
      <c r="M567" s="39">
        <f t="shared" si="115"/>
        <v>0</v>
      </c>
      <c r="N567" s="24">
        <v>15</v>
      </c>
      <c r="O567" s="26">
        <f t="shared" si="106"/>
        <v>0</v>
      </c>
      <c r="P567" s="24">
        <v>1.1000000000000001</v>
      </c>
      <c r="Q567" s="24">
        <v>36</v>
      </c>
      <c r="R567" s="27">
        <f t="shared" si="107"/>
        <v>0</v>
      </c>
      <c r="S567" s="102">
        <f t="shared" si="109"/>
        <v>0</v>
      </c>
      <c r="T567" s="21">
        <f>VLOOKUP($A567,'2022-23 Salary &amp; Benefits'!$A:$I,5,FALSE)</f>
        <v>68937</v>
      </c>
      <c r="U567" s="21">
        <f>VLOOKUP($A567,'2022-23 Salary &amp; Benefits'!$A:$I,6,FALSE)</f>
        <v>72728</v>
      </c>
      <c r="V567" s="22">
        <f t="shared" si="110"/>
        <v>0</v>
      </c>
      <c r="W567" s="22">
        <f t="shared" si="111"/>
        <v>0</v>
      </c>
      <c r="X567" s="22">
        <f>'2022-23 Salary &amp; Benefits'!$G$6</f>
        <v>12558.24</v>
      </c>
      <c r="Y567" s="23">
        <f>'2022-23 Salary &amp; Benefits'!$H$6</f>
        <v>0.2298</v>
      </c>
      <c r="Z567" s="23">
        <f>'2022-23 Salary &amp; Benefits'!$I$6</f>
        <v>0.22339999999999999</v>
      </c>
      <c r="AA567" s="22">
        <f t="shared" si="112"/>
        <v>0</v>
      </c>
      <c r="AB567" s="22">
        <f t="shared" si="113"/>
        <v>0</v>
      </c>
      <c r="AC567" s="22">
        <f t="shared" si="114"/>
        <v>0</v>
      </c>
      <c r="AD567" s="22">
        <f t="shared" si="116"/>
        <v>0</v>
      </c>
      <c r="AE567" s="22">
        <f t="shared" si="117"/>
        <v>0</v>
      </c>
      <c r="AF567" s="19" t="str">
        <f>VLOOKUP(C567,'2021-22 School Level AAFTE'!C:N,12,FALSE)</f>
        <v>No</v>
      </c>
    </row>
    <row r="568" spans="1:32" s="19" customFormat="1">
      <c r="A568" s="97" t="s">
        <v>2472</v>
      </c>
      <c r="B568" s="97" t="s">
        <v>1594</v>
      </c>
      <c r="C568" s="95">
        <v>4316</v>
      </c>
      <c r="D568" s="95" t="s">
        <v>1610</v>
      </c>
      <c r="E568" s="129">
        <f>VLOOKUP($C568,'2021-22 School Level AAFTE'!$C:$Z,11,FALSE)</f>
        <v>0.21419999999999997</v>
      </c>
      <c r="F568" s="129" t="str">
        <f>VLOOKUP($C568,'2021-22 School Level AAFTE'!$C:$Z,8,FALSE)</f>
        <v>No</v>
      </c>
      <c r="G568" s="129" t="str">
        <f>VLOOKUP($C568,'2021-22 School Level AAFTE'!$C:$Z,12,FALSE)</f>
        <v>No</v>
      </c>
      <c r="H568" s="127">
        <f>VLOOKUP($C568,'2021-22 School Level AAFTE'!$C:$I,7,FALSE)</f>
        <v>639.57000000000005</v>
      </c>
      <c r="I568" s="112">
        <f>IFERROR(IF(OR(G568="yes",F568= "yes"),VLOOKUP(C568,Summary!$B:$J,6,0),0),0)</f>
        <v>0</v>
      </c>
      <c r="J568" s="111">
        <f t="shared" si="108"/>
        <v>0</v>
      </c>
      <c r="K568" s="91">
        <f>VLOOKUP($A568,'2022-23 Salary &amp; Benefits'!$A:$I,3,FALSE)</f>
        <v>1.18</v>
      </c>
      <c r="L568" s="91">
        <f>VLOOKUP($A568,'2022-23 Salary &amp; Benefits'!$A:$I,4,FALSE)</f>
        <v>1.18</v>
      </c>
      <c r="M568" s="39">
        <f t="shared" si="115"/>
        <v>0</v>
      </c>
      <c r="N568" s="24">
        <v>15</v>
      </c>
      <c r="O568" s="26">
        <f t="shared" si="106"/>
        <v>0</v>
      </c>
      <c r="P568" s="24">
        <v>1.1000000000000001</v>
      </c>
      <c r="Q568" s="24">
        <v>36</v>
      </c>
      <c r="R568" s="27">
        <f t="shared" si="107"/>
        <v>0</v>
      </c>
      <c r="S568" s="102">
        <f t="shared" si="109"/>
        <v>0</v>
      </c>
      <c r="T568" s="21">
        <f>VLOOKUP($A568,'2022-23 Salary &amp; Benefits'!$A:$I,5,FALSE)</f>
        <v>68937</v>
      </c>
      <c r="U568" s="21">
        <f>VLOOKUP($A568,'2022-23 Salary &amp; Benefits'!$A:$I,6,FALSE)</f>
        <v>72728</v>
      </c>
      <c r="V568" s="22">
        <f t="shared" si="110"/>
        <v>0</v>
      </c>
      <c r="W568" s="22">
        <f t="shared" si="111"/>
        <v>0</v>
      </c>
      <c r="X568" s="22">
        <f>'2022-23 Salary &amp; Benefits'!$G$6</f>
        <v>12558.24</v>
      </c>
      <c r="Y568" s="23">
        <f>'2022-23 Salary &amp; Benefits'!$H$6</f>
        <v>0.2298</v>
      </c>
      <c r="Z568" s="23">
        <f>'2022-23 Salary &amp; Benefits'!$I$6</f>
        <v>0.22339999999999999</v>
      </c>
      <c r="AA568" s="22">
        <f t="shared" si="112"/>
        <v>0</v>
      </c>
      <c r="AB568" s="22">
        <f t="shared" si="113"/>
        <v>0</v>
      </c>
      <c r="AC568" s="22">
        <f t="shared" si="114"/>
        <v>0</v>
      </c>
      <c r="AD568" s="22">
        <f t="shared" si="116"/>
        <v>0</v>
      </c>
      <c r="AE568" s="22">
        <f t="shared" si="117"/>
        <v>0</v>
      </c>
      <c r="AF568" s="19" t="str">
        <f>VLOOKUP(C568,'2021-22 School Level AAFTE'!C:N,12,FALSE)</f>
        <v>No</v>
      </c>
    </row>
    <row r="569" spans="1:32" s="19" customFormat="1">
      <c r="A569" s="97" t="s">
        <v>2472</v>
      </c>
      <c r="B569" s="97" t="s">
        <v>1594</v>
      </c>
      <c r="C569" s="95">
        <v>4334</v>
      </c>
      <c r="D569" s="95" t="s">
        <v>1611</v>
      </c>
      <c r="E569" s="129">
        <f>VLOOKUP($C569,'2021-22 School Level AAFTE'!$C:$Z,11,FALSE)</f>
        <v>0.28113333333333329</v>
      </c>
      <c r="F569" s="129" t="str">
        <f>VLOOKUP($C569,'2021-22 School Level AAFTE'!$C:$Z,8,FALSE)</f>
        <v>No</v>
      </c>
      <c r="G569" s="129" t="str">
        <f>VLOOKUP($C569,'2021-22 School Level AAFTE'!$C:$Z,12,FALSE)</f>
        <v>No</v>
      </c>
      <c r="H569" s="127">
        <f>VLOOKUP($C569,'2021-22 School Level AAFTE'!$C:$I,7,FALSE)</f>
        <v>967.45</v>
      </c>
      <c r="I569" s="112">
        <f>IFERROR(IF(OR(G569="yes",F569= "yes"),VLOOKUP(C569,Summary!$B:$J,6,0),0),0)</f>
        <v>0</v>
      </c>
      <c r="J569" s="111">
        <f t="shared" si="108"/>
        <v>0</v>
      </c>
      <c r="K569" s="91">
        <f>VLOOKUP($A569,'2022-23 Salary &amp; Benefits'!$A:$I,3,FALSE)</f>
        <v>1.18</v>
      </c>
      <c r="L569" s="91">
        <f>VLOOKUP($A569,'2022-23 Salary &amp; Benefits'!$A:$I,4,FALSE)</f>
        <v>1.18</v>
      </c>
      <c r="M569" s="39">
        <f t="shared" si="115"/>
        <v>0</v>
      </c>
      <c r="N569" s="24">
        <v>15</v>
      </c>
      <c r="O569" s="26">
        <f t="shared" si="106"/>
        <v>0</v>
      </c>
      <c r="P569" s="24">
        <v>1.1000000000000001</v>
      </c>
      <c r="Q569" s="24">
        <v>36</v>
      </c>
      <c r="R569" s="27">
        <f t="shared" si="107"/>
        <v>0</v>
      </c>
      <c r="S569" s="102">
        <f t="shared" si="109"/>
        <v>0</v>
      </c>
      <c r="T569" s="21">
        <f>VLOOKUP($A569,'2022-23 Salary &amp; Benefits'!$A:$I,5,FALSE)</f>
        <v>68937</v>
      </c>
      <c r="U569" s="21">
        <f>VLOOKUP($A569,'2022-23 Salary &amp; Benefits'!$A:$I,6,FALSE)</f>
        <v>72728</v>
      </c>
      <c r="V569" s="22">
        <f t="shared" si="110"/>
        <v>0</v>
      </c>
      <c r="W569" s="22">
        <f t="shared" si="111"/>
        <v>0</v>
      </c>
      <c r="X569" s="22">
        <f>'2022-23 Salary &amp; Benefits'!$G$6</f>
        <v>12558.24</v>
      </c>
      <c r="Y569" s="23">
        <f>'2022-23 Salary &amp; Benefits'!$H$6</f>
        <v>0.2298</v>
      </c>
      <c r="Z569" s="23">
        <f>'2022-23 Salary &amp; Benefits'!$I$6</f>
        <v>0.22339999999999999</v>
      </c>
      <c r="AA569" s="22">
        <f t="shared" si="112"/>
        <v>0</v>
      </c>
      <c r="AB569" s="22">
        <f t="shared" si="113"/>
        <v>0</v>
      </c>
      <c r="AC569" s="22">
        <f t="shared" si="114"/>
        <v>0</v>
      </c>
      <c r="AD569" s="22">
        <f t="shared" si="116"/>
        <v>0</v>
      </c>
      <c r="AE569" s="22">
        <f t="shared" si="117"/>
        <v>0</v>
      </c>
      <c r="AF569" s="19" t="str">
        <f>VLOOKUP(C569,'2021-22 School Level AAFTE'!C:N,12,FALSE)</f>
        <v>No</v>
      </c>
    </row>
    <row r="570" spans="1:32" s="19" customFormat="1">
      <c r="A570" s="97" t="s">
        <v>2472</v>
      </c>
      <c r="B570" s="97" t="s">
        <v>1594</v>
      </c>
      <c r="C570" s="95">
        <v>4382</v>
      </c>
      <c r="D570" s="95" t="s">
        <v>1612</v>
      </c>
      <c r="E570" s="129">
        <f>VLOOKUP($C570,'2021-22 School Level AAFTE'!$C:$Z,11,FALSE)</f>
        <v>0.14419999999999999</v>
      </c>
      <c r="F570" s="129" t="str">
        <f>VLOOKUP($C570,'2021-22 School Level AAFTE'!$C:$Z,8,FALSE)</f>
        <v>No</v>
      </c>
      <c r="G570" s="129" t="str">
        <f>VLOOKUP($C570,'2021-22 School Level AAFTE'!$C:$Z,12,FALSE)</f>
        <v>No</v>
      </c>
      <c r="H570" s="127">
        <f>VLOOKUP($C570,'2021-22 School Level AAFTE'!$C:$I,7,FALSE)</f>
        <v>645</v>
      </c>
      <c r="I570" s="112">
        <f>IFERROR(IF(OR(G570="yes",F570= "yes"),VLOOKUP(C570,Summary!$B:$J,6,0),0),0)</f>
        <v>0</v>
      </c>
      <c r="J570" s="111">
        <f t="shared" si="108"/>
        <v>0</v>
      </c>
      <c r="K570" s="91">
        <f>VLOOKUP($A570,'2022-23 Salary &amp; Benefits'!$A:$I,3,FALSE)</f>
        <v>1.18</v>
      </c>
      <c r="L570" s="91">
        <f>VLOOKUP($A570,'2022-23 Salary &amp; Benefits'!$A:$I,4,FALSE)</f>
        <v>1.18</v>
      </c>
      <c r="M570" s="101">
        <f t="shared" si="115"/>
        <v>0</v>
      </c>
      <c r="N570" s="24">
        <v>15</v>
      </c>
      <c r="O570" s="26">
        <f t="shared" si="106"/>
        <v>0</v>
      </c>
      <c r="P570" s="24">
        <v>1.1000000000000001</v>
      </c>
      <c r="Q570" s="24">
        <v>36</v>
      </c>
      <c r="R570" s="27">
        <f t="shared" si="107"/>
        <v>0</v>
      </c>
      <c r="S570" s="102">
        <f t="shared" si="109"/>
        <v>0</v>
      </c>
      <c r="T570" s="21">
        <f>VLOOKUP($A570,'2022-23 Salary &amp; Benefits'!$A:$I,5,FALSE)</f>
        <v>68937</v>
      </c>
      <c r="U570" s="21">
        <f>VLOOKUP($A570,'2022-23 Salary &amp; Benefits'!$A:$I,6,FALSE)</f>
        <v>72728</v>
      </c>
      <c r="V570" s="22">
        <f t="shared" si="110"/>
        <v>0</v>
      </c>
      <c r="W570" s="22">
        <f t="shared" si="111"/>
        <v>0</v>
      </c>
      <c r="X570" s="22">
        <f>'2022-23 Salary &amp; Benefits'!$G$6</f>
        <v>12558.24</v>
      </c>
      <c r="Y570" s="23">
        <f>'2022-23 Salary &amp; Benefits'!$H$6</f>
        <v>0.2298</v>
      </c>
      <c r="Z570" s="23">
        <f>'2022-23 Salary &amp; Benefits'!$I$6</f>
        <v>0.22339999999999999</v>
      </c>
      <c r="AA570" s="22">
        <f t="shared" si="112"/>
        <v>0</v>
      </c>
      <c r="AB570" s="22">
        <f t="shared" si="113"/>
        <v>0</v>
      </c>
      <c r="AC570" s="22">
        <f t="shared" si="114"/>
        <v>0</v>
      </c>
      <c r="AD570" s="22">
        <f t="shared" si="116"/>
        <v>0</v>
      </c>
      <c r="AE570" s="22">
        <f t="shared" si="117"/>
        <v>0</v>
      </c>
      <c r="AF570" s="19" t="str">
        <f>VLOOKUP(C570,'2021-22 School Level AAFTE'!C:N,12,FALSE)</f>
        <v>No</v>
      </c>
    </row>
    <row r="571" spans="1:32" s="19" customFormat="1">
      <c r="A571" s="97" t="s">
        <v>2472</v>
      </c>
      <c r="B571" s="97" t="s">
        <v>1594</v>
      </c>
      <c r="C571" s="95">
        <v>4437</v>
      </c>
      <c r="D571" s="95" t="s">
        <v>1613</v>
      </c>
      <c r="E571" s="129">
        <f>VLOOKUP($C571,'2021-22 School Level AAFTE'!$C:$Z,11,FALSE)</f>
        <v>0.12856666666666669</v>
      </c>
      <c r="F571" s="129" t="str">
        <f>VLOOKUP($C571,'2021-22 School Level AAFTE'!$C:$Z,8,FALSE)</f>
        <v>No</v>
      </c>
      <c r="G571" s="129" t="str">
        <f>VLOOKUP($C571,'2021-22 School Level AAFTE'!$C:$Z,12,FALSE)</f>
        <v>No</v>
      </c>
      <c r="H571" s="127">
        <f>VLOOKUP($C571,'2021-22 School Level AAFTE'!$C:$I,7,FALSE)</f>
        <v>919.21</v>
      </c>
      <c r="I571" s="112">
        <f>IFERROR(IF(OR(G571="yes",F571= "yes"),VLOOKUP(C571,Summary!$B:$J,6,0),0),0)</f>
        <v>0</v>
      </c>
      <c r="J571" s="111">
        <f t="shared" si="108"/>
        <v>0</v>
      </c>
      <c r="K571" s="91">
        <f>VLOOKUP($A571,'2022-23 Salary &amp; Benefits'!$A:$I,3,FALSE)</f>
        <v>1.18</v>
      </c>
      <c r="L571" s="91">
        <f>VLOOKUP($A571,'2022-23 Salary &amp; Benefits'!$A:$I,4,FALSE)</f>
        <v>1.18</v>
      </c>
      <c r="M571" s="39">
        <f t="shared" si="115"/>
        <v>0</v>
      </c>
      <c r="N571" s="24">
        <v>15</v>
      </c>
      <c r="O571" s="26">
        <f t="shared" si="106"/>
        <v>0</v>
      </c>
      <c r="P571" s="24">
        <v>1.1000000000000001</v>
      </c>
      <c r="Q571" s="24">
        <v>36</v>
      </c>
      <c r="R571" s="27">
        <f t="shared" si="107"/>
        <v>0</v>
      </c>
      <c r="S571" s="102">
        <f t="shared" si="109"/>
        <v>0</v>
      </c>
      <c r="T571" s="21">
        <f>VLOOKUP($A571,'2022-23 Salary &amp; Benefits'!$A:$I,5,FALSE)</f>
        <v>68937</v>
      </c>
      <c r="U571" s="21">
        <f>VLOOKUP($A571,'2022-23 Salary &amp; Benefits'!$A:$I,6,FALSE)</f>
        <v>72728</v>
      </c>
      <c r="V571" s="22">
        <f t="shared" si="110"/>
        <v>0</v>
      </c>
      <c r="W571" s="22">
        <f t="shared" si="111"/>
        <v>0</v>
      </c>
      <c r="X571" s="22">
        <f>'2022-23 Salary &amp; Benefits'!$G$6</f>
        <v>12558.24</v>
      </c>
      <c r="Y571" s="23">
        <f>'2022-23 Salary &amp; Benefits'!$H$6</f>
        <v>0.2298</v>
      </c>
      <c r="Z571" s="23">
        <f>'2022-23 Salary &amp; Benefits'!$I$6</f>
        <v>0.22339999999999999</v>
      </c>
      <c r="AA571" s="22">
        <f t="shared" si="112"/>
        <v>0</v>
      </c>
      <c r="AB571" s="22">
        <f t="shared" si="113"/>
        <v>0</v>
      </c>
      <c r="AC571" s="22">
        <f t="shared" si="114"/>
        <v>0</v>
      </c>
      <c r="AD571" s="22">
        <f t="shared" si="116"/>
        <v>0</v>
      </c>
      <c r="AE571" s="22">
        <f t="shared" si="117"/>
        <v>0</v>
      </c>
      <c r="AF571" s="19" t="str">
        <f>VLOOKUP(C571,'2021-22 School Level AAFTE'!C:N,12,FALSE)</f>
        <v>No</v>
      </c>
    </row>
    <row r="572" spans="1:32" s="19" customFormat="1">
      <c r="A572" s="97" t="s">
        <v>2472</v>
      </c>
      <c r="B572" s="97" t="s">
        <v>1594</v>
      </c>
      <c r="C572" s="95">
        <v>4438</v>
      </c>
      <c r="D572" s="95" t="s">
        <v>1614</v>
      </c>
      <c r="E572" s="129">
        <f>VLOOKUP($C572,'2021-22 School Level AAFTE'!$C:$Z,11,FALSE)</f>
        <v>0.20303333333333332</v>
      </c>
      <c r="F572" s="129" t="str">
        <f>VLOOKUP($C572,'2021-22 School Level AAFTE'!$C:$Z,8,FALSE)</f>
        <v>No</v>
      </c>
      <c r="G572" s="129" t="str">
        <f>VLOOKUP($C572,'2021-22 School Level AAFTE'!$C:$Z,12,FALSE)</f>
        <v>No</v>
      </c>
      <c r="H572" s="127">
        <f>VLOOKUP($C572,'2021-22 School Level AAFTE'!$C:$I,7,FALSE)</f>
        <v>2123.31</v>
      </c>
      <c r="I572" s="112">
        <f>IFERROR(IF(OR(G572="yes",F572= "yes"),VLOOKUP(C572,Summary!$B:$J,6,0),0),0)</f>
        <v>0</v>
      </c>
      <c r="J572" s="111">
        <f t="shared" si="108"/>
        <v>0</v>
      </c>
      <c r="K572" s="91">
        <f>VLOOKUP($A572,'2022-23 Salary &amp; Benefits'!$A:$I,3,FALSE)</f>
        <v>1.18</v>
      </c>
      <c r="L572" s="91">
        <f>VLOOKUP($A572,'2022-23 Salary &amp; Benefits'!$A:$I,4,FALSE)</f>
        <v>1.18</v>
      </c>
      <c r="M572" s="101">
        <f t="shared" si="115"/>
        <v>0</v>
      </c>
      <c r="N572" s="24">
        <v>15</v>
      </c>
      <c r="O572" s="26">
        <f t="shared" si="106"/>
        <v>0</v>
      </c>
      <c r="P572" s="24">
        <v>1.1000000000000001</v>
      </c>
      <c r="Q572" s="24">
        <v>36</v>
      </c>
      <c r="R572" s="27">
        <f t="shared" si="107"/>
        <v>0</v>
      </c>
      <c r="S572" s="102">
        <f t="shared" si="109"/>
        <v>0</v>
      </c>
      <c r="T572" s="21">
        <f>VLOOKUP($A572,'2022-23 Salary &amp; Benefits'!$A:$I,5,FALSE)</f>
        <v>68937</v>
      </c>
      <c r="U572" s="21">
        <f>VLOOKUP($A572,'2022-23 Salary &amp; Benefits'!$A:$I,6,FALSE)</f>
        <v>72728</v>
      </c>
      <c r="V572" s="22">
        <f t="shared" si="110"/>
        <v>0</v>
      </c>
      <c r="W572" s="22">
        <f t="shared" si="111"/>
        <v>0</v>
      </c>
      <c r="X572" s="22">
        <f>'2022-23 Salary &amp; Benefits'!$G$6</f>
        <v>12558.24</v>
      </c>
      <c r="Y572" s="23">
        <f>'2022-23 Salary &amp; Benefits'!$H$6</f>
        <v>0.2298</v>
      </c>
      <c r="Z572" s="23">
        <f>'2022-23 Salary &amp; Benefits'!$I$6</f>
        <v>0.22339999999999999</v>
      </c>
      <c r="AA572" s="22">
        <f t="shared" si="112"/>
        <v>0</v>
      </c>
      <c r="AB572" s="22">
        <f t="shared" si="113"/>
        <v>0</v>
      </c>
      <c r="AC572" s="22">
        <f t="shared" si="114"/>
        <v>0</v>
      </c>
      <c r="AD572" s="22">
        <f t="shared" si="116"/>
        <v>0</v>
      </c>
      <c r="AE572" s="22">
        <f t="shared" si="117"/>
        <v>0</v>
      </c>
      <c r="AF572" s="19" t="str">
        <f>VLOOKUP(C572,'2021-22 School Level AAFTE'!C:N,12,FALSE)</f>
        <v>No</v>
      </c>
    </row>
    <row r="573" spans="1:32" s="19" customFormat="1">
      <c r="A573" s="97" t="s">
        <v>2472</v>
      </c>
      <c r="B573" s="97" t="s">
        <v>1594</v>
      </c>
      <c r="C573" s="95">
        <v>4530</v>
      </c>
      <c r="D573" s="95" t="s">
        <v>1615</v>
      </c>
      <c r="E573" s="129">
        <f>VLOOKUP($C573,'2021-22 School Level AAFTE'!$C:$Z,11,FALSE)</f>
        <v>0.22786666666666666</v>
      </c>
      <c r="F573" s="129" t="str">
        <f>VLOOKUP($C573,'2021-22 School Level AAFTE'!$C:$Z,8,FALSE)</f>
        <v>No</v>
      </c>
      <c r="G573" s="129" t="str">
        <f>VLOOKUP($C573,'2021-22 School Level AAFTE'!$C:$Z,12,FALSE)</f>
        <v>No</v>
      </c>
      <c r="H573" s="127">
        <f>VLOOKUP($C573,'2021-22 School Level AAFTE'!$C:$I,7,FALSE)</f>
        <v>660.14</v>
      </c>
      <c r="I573" s="112">
        <f>IFERROR(IF(OR(G573="yes",F573= "yes"),VLOOKUP(C573,Summary!$B:$J,6,0),0),0)</f>
        <v>0</v>
      </c>
      <c r="J573" s="111">
        <f t="shared" si="108"/>
        <v>0</v>
      </c>
      <c r="K573" s="91">
        <f>VLOOKUP($A573,'2022-23 Salary &amp; Benefits'!$A:$I,3,FALSE)</f>
        <v>1.18</v>
      </c>
      <c r="L573" s="91">
        <f>VLOOKUP($A573,'2022-23 Salary &amp; Benefits'!$A:$I,4,FALSE)</f>
        <v>1.18</v>
      </c>
      <c r="M573" s="39">
        <f t="shared" si="115"/>
        <v>0</v>
      </c>
      <c r="N573" s="24">
        <v>15</v>
      </c>
      <c r="O573" s="26">
        <f t="shared" si="106"/>
        <v>0</v>
      </c>
      <c r="P573" s="24">
        <v>1.1000000000000001</v>
      </c>
      <c r="Q573" s="24">
        <v>36</v>
      </c>
      <c r="R573" s="27">
        <f t="shared" si="107"/>
        <v>0</v>
      </c>
      <c r="S573" s="102">
        <f t="shared" si="109"/>
        <v>0</v>
      </c>
      <c r="T573" s="21">
        <f>VLOOKUP($A573,'2022-23 Salary &amp; Benefits'!$A:$I,5,FALSE)</f>
        <v>68937</v>
      </c>
      <c r="U573" s="21">
        <f>VLOOKUP($A573,'2022-23 Salary &amp; Benefits'!$A:$I,6,FALSE)</f>
        <v>72728</v>
      </c>
      <c r="V573" s="22">
        <f t="shared" si="110"/>
        <v>0</v>
      </c>
      <c r="W573" s="22">
        <f t="shared" si="111"/>
        <v>0</v>
      </c>
      <c r="X573" s="22">
        <f>'2022-23 Salary &amp; Benefits'!$G$6</f>
        <v>12558.24</v>
      </c>
      <c r="Y573" s="23">
        <f>'2022-23 Salary &amp; Benefits'!$H$6</f>
        <v>0.2298</v>
      </c>
      <c r="Z573" s="23">
        <f>'2022-23 Salary &amp; Benefits'!$I$6</f>
        <v>0.22339999999999999</v>
      </c>
      <c r="AA573" s="22">
        <f t="shared" si="112"/>
        <v>0</v>
      </c>
      <c r="AB573" s="22">
        <f t="shared" si="113"/>
        <v>0</v>
      </c>
      <c r="AC573" s="22">
        <f t="shared" si="114"/>
        <v>0</v>
      </c>
      <c r="AD573" s="22">
        <f t="shared" si="116"/>
        <v>0</v>
      </c>
      <c r="AE573" s="22">
        <f t="shared" si="117"/>
        <v>0</v>
      </c>
      <c r="AF573" s="19" t="str">
        <f>VLOOKUP(C573,'2021-22 School Level AAFTE'!C:N,12,FALSE)</f>
        <v>No</v>
      </c>
    </row>
    <row r="574" spans="1:32" s="19" customFormat="1">
      <c r="A574" s="97" t="s">
        <v>2472</v>
      </c>
      <c r="B574" s="97" t="s">
        <v>1594</v>
      </c>
      <c r="C574" s="95">
        <v>5091</v>
      </c>
      <c r="D574" s="95" t="s">
        <v>1616</v>
      </c>
      <c r="E574" s="129">
        <f>VLOOKUP($C574,'2021-22 School Level AAFTE'!$C:$Z,11,FALSE)</f>
        <v>0.1313</v>
      </c>
      <c r="F574" s="129" t="str">
        <f>VLOOKUP($C574,'2021-22 School Level AAFTE'!$C:$Z,8,FALSE)</f>
        <v>No</v>
      </c>
      <c r="G574" s="129" t="str">
        <f>VLOOKUP($C574,'2021-22 School Level AAFTE'!$C:$Z,12,FALSE)</f>
        <v>No</v>
      </c>
      <c r="H574" s="127">
        <f>VLOOKUP($C574,'2021-22 School Level AAFTE'!$C:$I,7,FALSE)</f>
        <v>590.57000000000005</v>
      </c>
      <c r="I574" s="112">
        <f>IFERROR(IF(OR(G574="yes",F574= "yes"),VLOOKUP(C574,Summary!$B:$J,6,0),0),0)</f>
        <v>0</v>
      </c>
      <c r="J574" s="111">
        <f t="shared" si="108"/>
        <v>0</v>
      </c>
      <c r="K574" s="91">
        <f>VLOOKUP($A574,'2022-23 Salary &amp; Benefits'!$A:$I,3,FALSE)</f>
        <v>1.18</v>
      </c>
      <c r="L574" s="91">
        <f>VLOOKUP($A574,'2022-23 Salary &amp; Benefits'!$A:$I,4,FALSE)</f>
        <v>1.18</v>
      </c>
      <c r="M574" s="39">
        <f t="shared" si="115"/>
        <v>0</v>
      </c>
      <c r="N574" s="24">
        <v>15</v>
      </c>
      <c r="O574" s="26">
        <f t="shared" si="106"/>
        <v>0</v>
      </c>
      <c r="P574" s="24">
        <v>1.1000000000000001</v>
      </c>
      <c r="Q574" s="24">
        <v>36</v>
      </c>
      <c r="R574" s="27">
        <f t="shared" si="107"/>
        <v>0</v>
      </c>
      <c r="S574" s="102">
        <f t="shared" si="109"/>
        <v>0</v>
      </c>
      <c r="T574" s="21">
        <f>VLOOKUP($A574,'2022-23 Salary &amp; Benefits'!$A:$I,5,FALSE)</f>
        <v>68937</v>
      </c>
      <c r="U574" s="21">
        <f>VLOOKUP($A574,'2022-23 Salary &amp; Benefits'!$A:$I,6,FALSE)</f>
        <v>72728</v>
      </c>
      <c r="V574" s="22">
        <f t="shared" si="110"/>
        <v>0</v>
      </c>
      <c r="W574" s="22">
        <f t="shared" si="111"/>
        <v>0</v>
      </c>
      <c r="X574" s="22">
        <f>'2022-23 Salary &amp; Benefits'!$G$6</f>
        <v>12558.24</v>
      </c>
      <c r="Y574" s="23">
        <f>'2022-23 Salary &amp; Benefits'!$H$6</f>
        <v>0.2298</v>
      </c>
      <c r="Z574" s="23">
        <f>'2022-23 Salary &amp; Benefits'!$I$6</f>
        <v>0.22339999999999999</v>
      </c>
      <c r="AA574" s="22">
        <f t="shared" si="112"/>
        <v>0</v>
      </c>
      <c r="AB574" s="22">
        <f t="shared" si="113"/>
        <v>0</v>
      </c>
      <c r="AC574" s="22">
        <f t="shared" si="114"/>
        <v>0</v>
      </c>
      <c r="AD574" s="22">
        <f t="shared" si="116"/>
        <v>0</v>
      </c>
      <c r="AE574" s="22">
        <f t="shared" si="117"/>
        <v>0</v>
      </c>
      <c r="AF574" s="19" t="str">
        <f>VLOOKUP(C574,'2021-22 School Level AAFTE'!C:N,12,FALSE)</f>
        <v>No</v>
      </c>
    </row>
    <row r="575" spans="1:32" s="19" customFormat="1">
      <c r="A575" s="97" t="s">
        <v>2472</v>
      </c>
      <c r="B575" s="97" t="s">
        <v>1594</v>
      </c>
      <c r="C575" s="95">
        <v>5330</v>
      </c>
      <c r="D575" s="95" t="s">
        <v>1617</v>
      </c>
      <c r="E575" s="129">
        <f>VLOOKUP($C575,'2021-22 School Level AAFTE'!$C:$Z,11,FALSE)</f>
        <v>0.67536666666666667</v>
      </c>
      <c r="F575" s="129" t="str">
        <f>VLOOKUP($C575,'2021-22 School Level AAFTE'!$C:$Z,8,FALSE)</f>
        <v>Yes</v>
      </c>
      <c r="G575" s="129" t="str">
        <f>VLOOKUP($C575,'2021-22 School Level AAFTE'!$C:$Z,12,FALSE)</f>
        <v>No</v>
      </c>
      <c r="H575" s="127">
        <f>VLOOKUP($C575,'2021-22 School Level AAFTE'!$C:$I,7,FALSE)</f>
        <v>119.57</v>
      </c>
      <c r="I575" s="112">
        <f>IFERROR(IF(OR(G575="yes",F575= "yes"),VLOOKUP(C575,Summary!$B:$J,6,0),0),0)</f>
        <v>0</v>
      </c>
      <c r="J575" s="111">
        <f t="shared" si="108"/>
        <v>119.57</v>
      </c>
      <c r="K575" s="91">
        <f>VLOOKUP($A575,'2022-23 Salary &amp; Benefits'!$A:$I,3,FALSE)</f>
        <v>1.18</v>
      </c>
      <c r="L575" s="91">
        <f>VLOOKUP($A575,'2022-23 Salary &amp; Benefits'!$A:$I,4,FALSE)</f>
        <v>1.18</v>
      </c>
      <c r="M575" s="39">
        <f t="shared" si="115"/>
        <v>119.57</v>
      </c>
      <c r="N575" s="24">
        <v>15</v>
      </c>
      <c r="O575" s="26">
        <f t="shared" si="106"/>
        <v>7.9713333333333329</v>
      </c>
      <c r="P575" s="24">
        <v>1.1000000000000001</v>
      </c>
      <c r="Q575" s="24">
        <v>36</v>
      </c>
      <c r="R575" s="27">
        <f t="shared" si="107"/>
        <v>315.66480000000001</v>
      </c>
      <c r="S575" s="102">
        <f t="shared" si="109"/>
        <v>0.35099999999999998</v>
      </c>
      <c r="T575" s="21">
        <f>VLOOKUP($A575,'2022-23 Salary &amp; Benefits'!$A:$I,5,FALSE)</f>
        <v>68937</v>
      </c>
      <c r="U575" s="21">
        <f>VLOOKUP($A575,'2022-23 Salary &amp; Benefits'!$A:$I,6,FALSE)</f>
        <v>72728</v>
      </c>
      <c r="V575" s="22">
        <f t="shared" si="110"/>
        <v>28552.33</v>
      </c>
      <c r="W575" s="22">
        <f t="shared" si="111"/>
        <v>1570.1499999999978</v>
      </c>
      <c r="X575" s="22">
        <f>'2022-23 Salary &amp; Benefits'!$G$6</f>
        <v>12558.24</v>
      </c>
      <c r="Y575" s="23">
        <f>'2022-23 Salary &amp; Benefits'!$H$6</f>
        <v>0.2298</v>
      </c>
      <c r="Z575" s="23">
        <f>'2022-23 Salary &amp; Benefits'!$I$6</f>
        <v>0.22339999999999999</v>
      </c>
      <c r="AA575" s="22">
        <f t="shared" si="112"/>
        <v>11320.04</v>
      </c>
      <c r="AB575" s="22">
        <f t="shared" si="113"/>
        <v>502.04</v>
      </c>
      <c r="AC575" s="22">
        <f t="shared" si="114"/>
        <v>112.16</v>
      </c>
      <c r="AD575" s="22">
        <f t="shared" si="116"/>
        <v>614.20000000000005</v>
      </c>
      <c r="AE575" s="22">
        <f t="shared" si="117"/>
        <v>42056.72</v>
      </c>
      <c r="AF575" s="19" t="str">
        <f>VLOOKUP(C575,'2021-22 School Level AAFTE'!C:N,12,FALSE)</f>
        <v>No</v>
      </c>
    </row>
    <row r="576" spans="1:32" s="19" customFormat="1">
      <c r="A576" s="137" t="s">
        <v>2472</v>
      </c>
      <c r="B576" s="97" t="s">
        <v>1594</v>
      </c>
      <c r="C576" s="138">
        <v>5570</v>
      </c>
      <c r="D576" s="56" t="s">
        <v>2837</v>
      </c>
      <c r="E576" s="129">
        <f>VLOOKUP($C576,'2021-22 School Level AAFTE'!$C:$Z,11,FALSE)</f>
        <v>5.8066666666666676E-2</v>
      </c>
      <c r="F576" s="129" t="str">
        <f>VLOOKUP($C576,'2021-22 School Level AAFTE'!$C:$Z,8,FALSE)</f>
        <v>No</v>
      </c>
      <c r="G576" s="129" t="str">
        <f>VLOOKUP($C576,'2021-22 School Level AAFTE'!$C:$Z,12,FALSE)</f>
        <v>No</v>
      </c>
      <c r="H576" s="127">
        <f>VLOOKUP($C576,'2021-22 School Level AAFTE'!$C:$I,7,FALSE)</f>
        <v>625.27</v>
      </c>
      <c r="I576" s="112">
        <f>IFERROR(IF(OR(G576="yes",F576= "yes"),VLOOKUP(C576,Summary!$B:$J,6,0),0),0)</f>
        <v>0</v>
      </c>
      <c r="J576" s="111">
        <f t="shared" si="108"/>
        <v>0</v>
      </c>
      <c r="K576" s="91">
        <f>VLOOKUP($A576,'2022-23 Salary &amp; Benefits'!$A:$I,3,FALSE)</f>
        <v>1.18</v>
      </c>
      <c r="L576" s="91">
        <f>VLOOKUP($A576,'2022-23 Salary &amp; Benefits'!$A:$I,4,FALSE)</f>
        <v>1.18</v>
      </c>
      <c r="M576" s="39">
        <f t="shared" si="115"/>
        <v>0</v>
      </c>
      <c r="N576" s="24">
        <v>15</v>
      </c>
      <c r="O576" s="26">
        <f t="shared" si="106"/>
        <v>0</v>
      </c>
      <c r="P576" s="24">
        <v>1.1000000000000001</v>
      </c>
      <c r="Q576" s="24">
        <v>36</v>
      </c>
      <c r="R576" s="27">
        <f t="shared" si="107"/>
        <v>0</v>
      </c>
      <c r="S576" s="102">
        <f t="shared" si="109"/>
        <v>0</v>
      </c>
      <c r="T576" s="21">
        <f>VLOOKUP($A576,'2022-23 Salary &amp; Benefits'!$A:$I,5,FALSE)</f>
        <v>68937</v>
      </c>
      <c r="U576" s="21">
        <f>VLOOKUP($A576,'2022-23 Salary &amp; Benefits'!$A:$I,6,FALSE)</f>
        <v>72728</v>
      </c>
      <c r="V576" s="22">
        <f t="shared" si="110"/>
        <v>0</v>
      </c>
      <c r="W576" s="22">
        <f t="shared" si="111"/>
        <v>0</v>
      </c>
      <c r="X576" s="22">
        <f>'2022-23 Salary &amp; Benefits'!$G$6</f>
        <v>12558.24</v>
      </c>
      <c r="Y576" s="23">
        <f>'2022-23 Salary &amp; Benefits'!$H$6</f>
        <v>0.2298</v>
      </c>
      <c r="Z576" s="23">
        <f>'2022-23 Salary &amp; Benefits'!$I$6</f>
        <v>0.22339999999999999</v>
      </c>
      <c r="AA576" s="22">
        <f t="shared" si="112"/>
        <v>0</v>
      </c>
      <c r="AB576" s="22">
        <f t="shared" si="113"/>
        <v>0</v>
      </c>
      <c r="AC576" s="22">
        <f t="shared" si="114"/>
        <v>0</v>
      </c>
      <c r="AD576" s="22">
        <f t="shared" si="116"/>
        <v>0</v>
      </c>
      <c r="AE576" s="22">
        <f t="shared" si="117"/>
        <v>0</v>
      </c>
      <c r="AF576" s="19" t="str">
        <f>VLOOKUP(C576,'2021-22 School Level AAFTE'!C:N,12,FALSE)</f>
        <v>No</v>
      </c>
    </row>
    <row r="577" spans="1:32" s="19" customFormat="1">
      <c r="A577" s="97" t="s">
        <v>2472</v>
      </c>
      <c r="B577" s="97" t="s">
        <v>1594</v>
      </c>
      <c r="C577" s="95">
        <v>5670</v>
      </c>
      <c r="D577" s="95" t="s">
        <v>3013</v>
      </c>
      <c r="E577" s="129">
        <f>VLOOKUP($C577,'2021-22 School Level AAFTE'!$C:$Z,11,FALSE)</f>
        <v>0.32629999999999998</v>
      </c>
      <c r="F577" s="129" t="str">
        <f>VLOOKUP($C577,'2021-22 School Level AAFTE'!$C:$Z,8,FALSE)</f>
        <v>No</v>
      </c>
      <c r="G577" s="129" t="str">
        <f>VLOOKUP($C577,'2021-22 School Level AAFTE'!$C:$Z,12,FALSE)</f>
        <v>No</v>
      </c>
      <c r="H577" s="127">
        <f>VLOOKUP($C577,'2021-22 School Level AAFTE'!$C:$I,7,FALSE)</f>
        <v>629.04999999999995</v>
      </c>
      <c r="I577" s="112">
        <f>IFERROR(IF(OR(G577="yes",F577= "yes"),VLOOKUP(C577,Summary!$B:$J,6,0),0),0)</f>
        <v>0</v>
      </c>
      <c r="J577" s="111">
        <f t="shared" si="108"/>
        <v>0</v>
      </c>
      <c r="K577" s="91">
        <f>VLOOKUP($A577,'2022-23 Salary &amp; Benefits'!$A:$I,3,FALSE)</f>
        <v>1.18</v>
      </c>
      <c r="L577" s="91">
        <f>VLOOKUP($A577,'2022-23 Salary &amp; Benefits'!$A:$I,4,FALSE)</f>
        <v>1.18</v>
      </c>
      <c r="M577" s="39">
        <f t="shared" si="115"/>
        <v>0</v>
      </c>
      <c r="N577" s="24">
        <v>15</v>
      </c>
      <c r="O577" s="26">
        <f t="shared" si="106"/>
        <v>0</v>
      </c>
      <c r="P577" s="24">
        <v>1.1000000000000001</v>
      </c>
      <c r="Q577" s="24">
        <v>36</v>
      </c>
      <c r="R577" s="27">
        <f t="shared" si="107"/>
        <v>0</v>
      </c>
      <c r="S577" s="102">
        <f t="shared" si="109"/>
        <v>0</v>
      </c>
      <c r="T577" s="21">
        <f>VLOOKUP($A577,'2022-23 Salary &amp; Benefits'!$A:$I,5,FALSE)</f>
        <v>68937</v>
      </c>
      <c r="U577" s="21">
        <f>VLOOKUP($A577,'2022-23 Salary &amp; Benefits'!$A:$I,6,FALSE)</f>
        <v>72728</v>
      </c>
      <c r="V577" s="22">
        <f t="shared" si="110"/>
        <v>0</v>
      </c>
      <c r="W577" s="22">
        <f t="shared" si="111"/>
        <v>0</v>
      </c>
      <c r="X577" s="22">
        <f>'2022-23 Salary &amp; Benefits'!$G$6</f>
        <v>12558.24</v>
      </c>
      <c r="Y577" s="23">
        <f>'2022-23 Salary &amp; Benefits'!$H$6</f>
        <v>0.2298</v>
      </c>
      <c r="Z577" s="23">
        <f>'2022-23 Salary &amp; Benefits'!$I$6</f>
        <v>0.22339999999999999</v>
      </c>
      <c r="AA577" s="22">
        <f t="shared" si="112"/>
        <v>0</v>
      </c>
      <c r="AB577" s="22">
        <f t="shared" si="113"/>
        <v>0</v>
      </c>
      <c r="AC577" s="22">
        <f t="shared" si="114"/>
        <v>0</v>
      </c>
      <c r="AD577" s="22">
        <f t="shared" si="116"/>
        <v>0</v>
      </c>
      <c r="AE577" s="22">
        <f t="shared" si="117"/>
        <v>0</v>
      </c>
      <c r="AF577" s="19" t="str">
        <f>VLOOKUP(C577,'2021-22 School Level AAFTE'!C:N,12,FALSE)</f>
        <v>No</v>
      </c>
    </row>
    <row r="578" spans="1:32" s="19" customFormat="1">
      <c r="A578" s="97" t="s">
        <v>2288</v>
      </c>
      <c r="B578" s="97" t="s">
        <v>220</v>
      </c>
      <c r="C578" s="95">
        <v>1646</v>
      </c>
      <c r="D578" s="95" t="s">
        <v>221</v>
      </c>
      <c r="E578" s="129">
        <f>VLOOKUP($C578,'2021-22 School Level AAFTE'!$C:$Z,11,FALSE)</f>
        <v>0.67566666666666675</v>
      </c>
      <c r="F578" s="129" t="str">
        <f>VLOOKUP($C578,'2021-22 School Level AAFTE'!$C:$Z,8,FALSE)</f>
        <v>Yes</v>
      </c>
      <c r="G578" s="129" t="str">
        <f>VLOOKUP($C578,'2021-22 School Level AAFTE'!$C:$Z,12,FALSE)</f>
        <v>No</v>
      </c>
      <c r="H578" s="127">
        <f>VLOOKUP($C578,'2021-22 School Level AAFTE'!$C:$I,7,FALSE)</f>
        <v>95.99</v>
      </c>
      <c r="I578" s="112">
        <f>IFERROR(IF(OR(G578="yes",F578= "yes"),VLOOKUP(C578,Summary!$B:$J,6,0),0),0)</f>
        <v>0</v>
      </c>
      <c r="J578" s="111">
        <f t="shared" si="108"/>
        <v>95.99</v>
      </c>
      <c r="K578" s="91">
        <f>VLOOKUP($A578,'2022-23 Salary &amp; Benefits'!$A:$I,3,FALSE)</f>
        <v>1.06</v>
      </c>
      <c r="L578" s="91">
        <f>VLOOKUP($A578,'2022-23 Salary &amp; Benefits'!$A:$I,4,FALSE)</f>
        <v>1.06</v>
      </c>
      <c r="M578" s="39">
        <f t="shared" si="115"/>
        <v>95.99</v>
      </c>
      <c r="N578" s="24">
        <v>15</v>
      </c>
      <c r="O578" s="26">
        <f t="shared" si="106"/>
        <v>6.3993333333333329</v>
      </c>
      <c r="P578" s="24">
        <v>1.1000000000000001</v>
      </c>
      <c r="Q578" s="24">
        <v>36</v>
      </c>
      <c r="R578" s="27">
        <f t="shared" si="107"/>
        <v>253.41359999999997</v>
      </c>
      <c r="S578" s="102">
        <f t="shared" si="109"/>
        <v>0.28199999999999997</v>
      </c>
      <c r="T578" s="21">
        <f>VLOOKUP($A578,'2022-23 Salary &amp; Benefits'!$A:$I,5,FALSE)</f>
        <v>68937</v>
      </c>
      <c r="U578" s="21">
        <f>VLOOKUP($A578,'2022-23 Salary &amp; Benefits'!$A:$I,6,FALSE)</f>
        <v>72728</v>
      </c>
      <c r="V578" s="22">
        <f t="shared" si="110"/>
        <v>20606.650000000001</v>
      </c>
      <c r="W578" s="22">
        <f t="shared" si="111"/>
        <v>1133.1999999999971</v>
      </c>
      <c r="X578" s="22">
        <f>'2022-23 Salary &amp; Benefits'!$G$6</f>
        <v>12558.24</v>
      </c>
      <c r="Y578" s="23">
        <f>'2022-23 Salary &amp; Benefits'!$H$6</f>
        <v>0.2298</v>
      </c>
      <c r="Z578" s="23">
        <f>'2022-23 Salary &amp; Benefits'!$I$6</f>
        <v>0.22339999999999999</v>
      </c>
      <c r="AA578" s="22">
        <f t="shared" si="112"/>
        <v>8529.99</v>
      </c>
      <c r="AB578" s="22">
        <f t="shared" si="113"/>
        <v>362.33</v>
      </c>
      <c r="AC578" s="22">
        <f t="shared" si="114"/>
        <v>80.94</v>
      </c>
      <c r="AD578" s="22">
        <f t="shared" si="116"/>
        <v>443.27</v>
      </c>
      <c r="AE578" s="22">
        <f t="shared" si="117"/>
        <v>30713.109999999997</v>
      </c>
      <c r="AF578" s="19" t="str">
        <f>VLOOKUP(C578,'2021-22 School Level AAFTE'!C:N,12,FALSE)</f>
        <v>No</v>
      </c>
    </row>
    <row r="579" spans="1:32" s="19" customFormat="1">
      <c r="A579" s="97" t="s">
        <v>2288</v>
      </c>
      <c r="B579" s="97" t="s">
        <v>220</v>
      </c>
      <c r="C579" s="95">
        <v>1926</v>
      </c>
      <c r="D579" s="95" t="s">
        <v>222</v>
      </c>
      <c r="E579" s="129">
        <f>VLOOKUP($C579,'2021-22 School Level AAFTE'!$C:$Z,11,FALSE)</f>
        <v>0.45073333333333326</v>
      </c>
      <c r="F579" s="129" t="str">
        <f>VLOOKUP($C579,'2021-22 School Level AAFTE'!$C:$Z,8,FALSE)</f>
        <v>No</v>
      </c>
      <c r="G579" s="129" t="str">
        <f>VLOOKUP($C579,'2021-22 School Level AAFTE'!$C:$Z,12,FALSE)</f>
        <v>No</v>
      </c>
      <c r="H579" s="127">
        <f>VLOOKUP($C579,'2021-22 School Level AAFTE'!$C:$I,7,FALSE)</f>
        <v>414.06</v>
      </c>
      <c r="I579" s="112">
        <f>IFERROR(IF(OR(G579="yes",F579= "yes"),VLOOKUP(C579,Summary!$B:$J,6,0),0),0)</f>
        <v>0</v>
      </c>
      <c r="J579" s="111">
        <f t="shared" si="108"/>
        <v>0</v>
      </c>
      <c r="K579" s="91">
        <f>VLOOKUP($A579,'2022-23 Salary &amp; Benefits'!$A:$I,3,FALSE)</f>
        <v>1.06</v>
      </c>
      <c r="L579" s="91">
        <f>VLOOKUP($A579,'2022-23 Salary &amp; Benefits'!$A:$I,4,FALSE)</f>
        <v>1.06</v>
      </c>
      <c r="M579" s="39">
        <f t="shared" si="115"/>
        <v>0</v>
      </c>
      <c r="N579" s="24">
        <v>15</v>
      </c>
      <c r="O579" s="26">
        <f t="shared" si="106"/>
        <v>0</v>
      </c>
      <c r="P579" s="24">
        <v>1.1000000000000001</v>
      </c>
      <c r="Q579" s="24">
        <v>36</v>
      </c>
      <c r="R579" s="27">
        <f t="shared" si="107"/>
        <v>0</v>
      </c>
      <c r="S579" s="102">
        <f t="shared" si="109"/>
        <v>0</v>
      </c>
      <c r="T579" s="21">
        <f>VLOOKUP($A579,'2022-23 Salary &amp; Benefits'!$A:$I,5,FALSE)</f>
        <v>68937</v>
      </c>
      <c r="U579" s="21">
        <f>VLOOKUP($A579,'2022-23 Salary &amp; Benefits'!$A:$I,6,FALSE)</f>
        <v>72728</v>
      </c>
      <c r="V579" s="22">
        <f t="shared" si="110"/>
        <v>0</v>
      </c>
      <c r="W579" s="22">
        <f t="shared" si="111"/>
        <v>0</v>
      </c>
      <c r="X579" s="22">
        <f>'2022-23 Salary &amp; Benefits'!$G$6</f>
        <v>12558.24</v>
      </c>
      <c r="Y579" s="23">
        <f>'2022-23 Salary &amp; Benefits'!$H$6</f>
        <v>0.2298</v>
      </c>
      <c r="Z579" s="23">
        <f>'2022-23 Salary &amp; Benefits'!$I$6</f>
        <v>0.22339999999999999</v>
      </c>
      <c r="AA579" s="22">
        <f t="shared" si="112"/>
        <v>0</v>
      </c>
      <c r="AB579" s="22">
        <f t="shared" si="113"/>
        <v>0</v>
      </c>
      <c r="AC579" s="22">
        <f t="shared" si="114"/>
        <v>0</v>
      </c>
      <c r="AD579" s="22">
        <f t="shared" si="116"/>
        <v>0</v>
      </c>
      <c r="AE579" s="22">
        <f t="shared" si="117"/>
        <v>0</v>
      </c>
      <c r="AF579" s="19" t="str">
        <f>VLOOKUP(C579,'2021-22 School Level AAFTE'!C:N,12,FALSE)</f>
        <v>No</v>
      </c>
    </row>
    <row r="580" spans="1:32" s="19" customFormat="1">
      <c r="A580" s="97" t="s">
        <v>2288</v>
      </c>
      <c r="B580" s="97" t="s">
        <v>220</v>
      </c>
      <c r="C580" s="95">
        <v>2724</v>
      </c>
      <c r="D580" s="95" t="s">
        <v>223</v>
      </c>
      <c r="E580" s="129">
        <f>VLOOKUP($C580,'2021-22 School Level AAFTE'!$C:$Z,11,FALSE)</f>
        <v>0.57943333333333324</v>
      </c>
      <c r="F580" s="129" t="str">
        <f>VLOOKUP($C580,'2021-22 School Level AAFTE'!$C:$Z,8,FALSE)</f>
        <v>Yes</v>
      </c>
      <c r="G580" s="129" t="str">
        <f>VLOOKUP($C580,'2021-22 School Level AAFTE'!$C:$Z,12,FALSE)</f>
        <v>No</v>
      </c>
      <c r="H580" s="127">
        <f>VLOOKUP($C580,'2021-22 School Level AAFTE'!$C:$I,7,FALSE)</f>
        <v>1448.43</v>
      </c>
      <c r="I580" s="112">
        <f>IFERROR(IF(OR(G580="yes",F580= "yes"),VLOOKUP(C580,Summary!$B:$J,6,0),0),0)</f>
        <v>0</v>
      </c>
      <c r="J580" s="111">
        <f t="shared" si="108"/>
        <v>1448.43</v>
      </c>
      <c r="K580" s="91">
        <f>VLOOKUP($A580,'2022-23 Salary &amp; Benefits'!$A:$I,3,FALSE)</f>
        <v>1.06</v>
      </c>
      <c r="L580" s="91">
        <f>VLOOKUP($A580,'2022-23 Salary &amp; Benefits'!$A:$I,4,FALSE)</f>
        <v>1.06</v>
      </c>
      <c r="M580" s="39">
        <f t="shared" si="115"/>
        <v>1448.43</v>
      </c>
      <c r="N580" s="24">
        <v>15</v>
      </c>
      <c r="O580" s="26">
        <f t="shared" si="106"/>
        <v>96.561999999999998</v>
      </c>
      <c r="P580" s="24">
        <v>1.1000000000000001</v>
      </c>
      <c r="Q580" s="24">
        <v>36</v>
      </c>
      <c r="R580" s="27">
        <f t="shared" si="107"/>
        <v>3823.8552000000004</v>
      </c>
      <c r="S580" s="102">
        <f t="shared" si="109"/>
        <v>4.2489999999999997</v>
      </c>
      <c r="T580" s="21">
        <f>VLOOKUP($A580,'2022-23 Salary &amp; Benefits'!$A:$I,5,FALSE)</f>
        <v>68937</v>
      </c>
      <c r="U580" s="21">
        <f>VLOOKUP($A580,'2022-23 Salary &amp; Benefits'!$A:$I,6,FALSE)</f>
        <v>72728</v>
      </c>
      <c r="V580" s="22">
        <f t="shared" si="110"/>
        <v>310488.11</v>
      </c>
      <c r="W580" s="22">
        <f t="shared" si="111"/>
        <v>17074.440000000002</v>
      </c>
      <c r="X580" s="22">
        <f>'2022-23 Salary &amp; Benefits'!$G$6</f>
        <v>12558.24</v>
      </c>
      <c r="Y580" s="23">
        <f>'2022-23 Salary &amp; Benefits'!$H$6</f>
        <v>0.2298</v>
      </c>
      <c r="Z580" s="23">
        <f>'2022-23 Salary &amp; Benefits'!$I$6</f>
        <v>0.22339999999999999</v>
      </c>
      <c r="AA580" s="22">
        <f t="shared" si="112"/>
        <v>128524.56</v>
      </c>
      <c r="AB580" s="22">
        <f t="shared" si="113"/>
        <v>5459.38</v>
      </c>
      <c r="AC580" s="22">
        <f t="shared" si="114"/>
        <v>1219.6300000000001</v>
      </c>
      <c r="AD580" s="22">
        <f t="shared" si="116"/>
        <v>6679.01</v>
      </c>
      <c r="AE580" s="22">
        <f t="shared" si="117"/>
        <v>462766.12</v>
      </c>
      <c r="AF580" s="19" t="str">
        <f>VLOOKUP(C580,'2021-22 School Level AAFTE'!C:N,12,FALSE)</f>
        <v>No</v>
      </c>
    </row>
    <row r="581" spans="1:32" s="19" customFormat="1">
      <c r="A581" s="97" t="s">
        <v>2288</v>
      </c>
      <c r="B581" s="97" t="s">
        <v>220</v>
      </c>
      <c r="C581" s="95">
        <v>2829</v>
      </c>
      <c r="D581" s="95" t="s">
        <v>224</v>
      </c>
      <c r="E581" s="129">
        <f>VLOOKUP($C581,'2021-22 School Level AAFTE'!$C:$Z,11,FALSE)</f>
        <v>0.6169</v>
      </c>
      <c r="F581" s="129" t="str">
        <f>VLOOKUP($C581,'2021-22 School Level AAFTE'!$C:$Z,8,FALSE)</f>
        <v>Yes</v>
      </c>
      <c r="G581" s="129" t="str">
        <f>VLOOKUP($C581,'2021-22 School Level AAFTE'!$C:$Z,12,FALSE)</f>
        <v>No</v>
      </c>
      <c r="H581" s="127">
        <f>VLOOKUP($C581,'2021-22 School Level AAFTE'!$C:$I,7,FALSE)</f>
        <v>307.33999999999997</v>
      </c>
      <c r="I581" s="112">
        <f>IFERROR(IF(OR(G581="yes",F581= "yes"),VLOOKUP(C581,Summary!$B:$J,6,0),0),0)</f>
        <v>0</v>
      </c>
      <c r="J581" s="111">
        <f t="shared" si="108"/>
        <v>307.33999999999997</v>
      </c>
      <c r="K581" s="91">
        <f>VLOOKUP($A581,'2022-23 Salary &amp; Benefits'!$A:$I,3,FALSE)</f>
        <v>1.06</v>
      </c>
      <c r="L581" s="91">
        <f>VLOOKUP($A581,'2022-23 Salary &amp; Benefits'!$A:$I,4,FALSE)</f>
        <v>1.06</v>
      </c>
      <c r="M581" s="39">
        <f t="shared" si="115"/>
        <v>307.33999999999997</v>
      </c>
      <c r="N581" s="24">
        <v>15</v>
      </c>
      <c r="O581" s="26">
        <f t="shared" si="106"/>
        <v>20.489333333333331</v>
      </c>
      <c r="P581" s="24">
        <v>1.1000000000000001</v>
      </c>
      <c r="Q581" s="24">
        <v>36</v>
      </c>
      <c r="R581" s="27">
        <f t="shared" si="107"/>
        <v>811.37759999999992</v>
      </c>
      <c r="S581" s="102">
        <f t="shared" si="109"/>
        <v>0.90200000000000002</v>
      </c>
      <c r="T581" s="21">
        <f>VLOOKUP($A581,'2022-23 Salary &amp; Benefits'!$A:$I,5,FALSE)</f>
        <v>68937</v>
      </c>
      <c r="U581" s="21">
        <f>VLOOKUP($A581,'2022-23 Salary &amp; Benefits'!$A:$I,6,FALSE)</f>
        <v>72728</v>
      </c>
      <c r="V581" s="22">
        <f t="shared" si="110"/>
        <v>65912.039999999994</v>
      </c>
      <c r="W581" s="22">
        <f t="shared" si="111"/>
        <v>3624.6600000000035</v>
      </c>
      <c r="X581" s="22">
        <f>'2022-23 Salary &amp; Benefits'!$G$6</f>
        <v>12558.24</v>
      </c>
      <c r="Y581" s="23">
        <f>'2022-23 Salary &amp; Benefits'!$H$6</f>
        <v>0.2298</v>
      </c>
      <c r="Z581" s="23">
        <f>'2022-23 Salary &amp; Benefits'!$I$6</f>
        <v>0.22339999999999999</v>
      </c>
      <c r="AA581" s="22">
        <f t="shared" si="112"/>
        <v>27283.87</v>
      </c>
      <c r="AB581" s="22">
        <f t="shared" si="113"/>
        <v>1158.94</v>
      </c>
      <c r="AC581" s="22">
        <f t="shared" si="114"/>
        <v>258.91000000000003</v>
      </c>
      <c r="AD581" s="22">
        <f t="shared" si="116"/>
        <v>1417.8500000000001</v>
      </c>
      <c r="AE581" s="22">
        <f t="shared" si="117"/>
        <v>98238.42</v>
      </c>
      <c r="AF581" s="19" t="str">
        <f>VLOOKUP(C581,'2021-22 School Level AAFTE'!C:N,12,FALSE)</f>
        <v>No</v>
      </c>
    </row>
    <row r="582" spans="1:32" s="19" customFormat="1">
      <c r="A582" s="97" t="s">
        <v>2288</v>
      </c>
      <c r="B582" s="97" t="s">
        <v>220</v>
      </c>
      <c r="C582" s="95">
        <v>2912</v>
      </c>
      <c r="D582" s="95" t="s">
        <v>225</v>
      </c>
      <c r="E582" s="129">
        <f>VLOOKUP($C582,'2021-22 School Level AAFTE'!$C:$Z,11,FALSE)</f>
        <v>0.72020000000000006</v>
      </c>
      <c r="F582" s="129" t="str">
        <f>VLOOKUP($C582,'2021-22 School Level AAFTE'!$C:$Z,8,FALSE)</f>
        <v>Yes</v>
      </c>
      <c r="G582" s="129" t="str">
        <f>VLOOKUP($C582,'2021-22 School Level AAFTE'!$C:$Z,12,FALSE)</f>
        <v>No</v>
      </c>
      <c r="H582" s="127">
        <f>VLOOKUP($C582,'2021-22 School Level AAFTE'!$C:$I,7,FALSE)</f>
        <v>427.9</v>
      </c>
      <c r="I582" s="112">
        <f>IFERROR(IF(OR(G582="yes",F582= "yes"),VLOOKUP(C582,Summary!$B:$J,6,0),0),0)</f>
        <v>0</v>
      </c>
      <c r="J582" s="111">
        <f t="shared" si="108"/>
        <v>427.9</v>
      </c>
      <c r="K582" s="91">
        <f>VLOOKUP($A582,'2022-23 Salary &amp; Benefits'!$A:$I,3,FALSE)</f>
        <v>1.06</v>
      </c>
      <c r="L582" s="91">
        <f>VLOOKUP($A582,'2022-23 Salary &amp; Benefits'!$A:$I,4,FALSE)</f>
        <v>1.06</v>
      </c>
      <c r="M582" s="39">
        <f t="shared" si="115"/>
        <v>427.9</v>
      </c>
      <c r="N582" s="24">
        <v>15</v>
      </c>
      <c r="O582" s="26">
        <f t="shared" si="106"/>
        <v>28.526666666666664</v>
      </c>
      <c r="P582" s="24">
        <v>1.1000000000000001</v>
      </c>
      <c r="Q582" s="24">
        <v>36</v>
      </c>
      <c r="R582" s="27">
        <f t="shared" si="107"/>
        <v>1129.6559999999999</v>
      </c>
      <c r="S582" s="102">
        <f t="shared" si="109"/>
        <v>1.2549999999999999</v>
      </c>
      <c r="T582" s="21">
        <f>VLOOKUP($A582,'2022-23 Salary &amp; Benefits'!$A:$I,5,FALSE)</f>
        <v>68937</v>
      </c>
      <c r="U582" s="21">
        <f>VLOOKUP($A582,'2022-23 Salary &amp; Benefits'!$A:$I,6,FALSE)</f>
        <v>72728</v>
      </c>
      <c r="V582" s="22">
        <f t="shared" si="110"/>
        <v>91706.89</v>
      </c>
      <c r="W582" s="22">
        <f t="shared" si="111"/>
        <v>5043.1699999999983</v>
      </c>
      <c r="X582" s="22">
        <f>'2022-23 Salary &amp; Benefits'!$G$6</f>
        <v>12558.24</v>
      </c>
      <c r="Y582" s="23">
        <f>'2022-23 Salary &amp; Benefits'!$H$6</f>
        <v>0.2298</v>
      </c>
      <c r="Z582" s="23">
        <f>'2022-23 Salary &amp; Benefits'!$I$6</f>
        <v>0.22339999999999999</v>
      </c>
      <c r="AA582" s="22">
        <f t="shared" si="112"/>
        <v>37961.480000000003</v>
      </c>
      <c r="AB582" s="22">
        <f t="shared" si="113"/>
        <v>1612.5</v>
      </c>
      <c r="AC582" s="22">
        <f t="shared" si="114"/>
        <v>360.23</v>
      </c>
      <c r="AD582" s="22">
        <f t="shared" si="116"/>
        <v>1972.73</v>
      </c>
      <c r="AE582" s="22">
        <f t="shared" si="117"/>
        <v>136684.26999999999</v>
      </c>
      <c r="AF582" s="19" t="str">
        <f>VLOOKUP(C582,'2021-22 School Level AAFTE'!C:N,12,FALSE)</f>
        <v>No</v>
      </c>
    </row>
    <row r="583" spans="1:32" s="19" customFormat="1">
      <c r="A583" s="97" t="s">
        <v>2288</v>
      </c>
      <c r="B583" s="97" t="s">
        <v>220</v>
      </c>
      <c r="C583" s="95">
        <v>3148</v>
      </c>
      <c r="D583" s="95" t="s">
        <v>226</v>
      </c>
      <c r="E583" s="129">
        <f>VLOOKUP($C583,'2021-22 School Level AAFTE'!$C:$Z,11,FALSE)</f>
        <v>0.61456666666666671</v>
      </c>
      <c r="F583" s="129" t="str">
        <f>VLOOKUP($C583,'2021-22 School Level AAFTE'!$C:$Z,8,FALSE)</f>
        <v>Yes</v>
      </c>
      <c r="G583" s="129" t="str">
        <f>VLOOKUP($C583,'2021-22 School Level AAFTE'!$C:$Z,12,FALSE)</f>
        <v>No</v>
      </c>
      <c r="H583" s="127">
        <f>VLOOKUP($C583,'2021-22 School Level AAFTE'!$C:$I,7,FALSE)</f>
        <v>383.88</v>
      </c>
      <c r="I583" s="112">
        <f>IFERROR(IF(OR(G583="yes",F583= "yes"),VLOOKUP(C583,Summary!$B:$J,6,0),0),0)</f>
        <v>0</v>
      </c>
      <c r="J583" s="111">
        <f t="shared" si="108"/>
        <v>383.88</v>
      </c>
      <c r="K583" s="91">
        <f>VLOOKUP($A583,'2022-23 Salary &amp; Benefits'!$A:$I,3,FALSE)</f>
        <v>1.06</v>
      </c>
      <c r="L583" s="91">
        <f>VLOOKUP($A583,'2022-23 Salary &amp; Benefits'!$A:$I,4,FALSE)</f>
        <v>1.06</v>
      </c>
      <c r="M583" s="39">
        <f t="shared" si="115"/>
        <v>383.88</v>
      </c>
      <c r="N583" s="24">
        <v>15</v>
      </c>
      <c r="O583" s="26">
        <f t="shared" si="106"/>
        <v>25.591999999999999</v>
      </c>
      <c r="P583" s="24">
        <v>1.1000000000000001</v>
      </c>
      <c r="Q583" s="24">
        <v>36</v>
      </c>
      <c r="R583" s="27">
        <f t="shared" si="107"/>
        <v>1013.4431999999999</v>
      </c>
      <c r="S583" s="102">
        <f t="shared" si="109"/>
        <v>1.1259999999999999</v>
      </c>
      <c r="T583" s="21">
        <f>VLOOKUP($A583,'2022-23 Salary &amp; Benefits'!$A:$I,5,FALSE)</f>
        <v>68937</v>
      </c>
      <c r="U583" s="21">
        <f>VLOOKUP($A583,'2022-23 Salary &amp; Benefits'!$A:$I,6,FALSE)</f>
        <v>72728</v>
      </c>
      <c r="V583" s="22">
        <f t="shared" si="110"/>
        <v>82280.45</v>
      </c>
      <c r="W583" s="22">
        <f t="shared" si="111"/>
        <v>4524.7799999999988</v>
      </c>
      <c r="X583" s="22">
        <f>'2022-23 Salary &amp; Benefits'!$G$6</f>
        <v>12558.24</v>
      </c>
      <c r="Y583" s="23">
        <f>'2022-23 Salary &amp; Benefits'!$H$6</f>
        <v>0.2298</v>
      </c>
      <c r="Z583" s="23">
        <f>'2022-23 Salary &amp; Benefits'!$I$6</f>
        <v>0.22339999999999999</v>
      </c>
      <c r="AA583" s="22">
        <f t="shared" si="112"/>
        <v>34059.46</v>
      </c>
      <c r="AB583" s="22">
        <f t="shared" si="113"/>
        <v>1446.75</v>
      </c>
      <c r="AC583" s="22">
        <f t="shared" si="114"/>
        <v>323.2</v>
      </c>
      <c r="AD583" s="22">
        <f t="shared" si="116"/>
        <v>1769.95</v>
      </c>
      <c r="AE583" s="22">
        <f t="shared" si="117"/>
        <v>122634.64</v>
      </c>
      <c r="AF583" s="19" t="str">
        <f>VLOOKUP(C583,'2021-22 School Level AAFTE'!C:N,12,FALSE)</f>
        <v>No</v>
      </c>
    </row>
    <row r="584" spans="1:32" s="19" customFormat="1">
      <c r="A584" s="97" t="s">
        <v>2288</v>
      </c>
      <c r="B584" s="97" t="s">
        <v>220</v>
      </c>
      <c r="C584" s="95">
        <v>3149</v>
      </c>
      <c r="D584" s="95" t="s">
        <v>227</v>
      </c>
      <c r="E584" s="129">
        <f>VLOOKUP($C584,'2021-22 School Level AAFTE'!$C:$Z,11,FALSE)</f>
        <v>0.57143333333333335</v>
      </c>
      <c r="F584" s="129" t="str">
        <f>VLOOKUP($C584,'2021-22 School Level AAFTE'!$C:$Z,8,FALSE)</f>
        <v>Yes</v>
      </c>
      <c r="G584" s="129" t="str">
        <f>VLOOKUP($C584,'2021-22 School Level AAFTE'!$C:$Z,12,FALSE)</f>
        <v>No</v>
      </c>
      <c r="H584" s="127">
        <f>VLOOKUP($C584,'2021-22 School Level AAFTE'!$C:$I,7,FALSE)</f>
        <v>447.5</v>
      </c>
      <c r="I584" s="112">
        <f>IFERROR(IF(OR(G584="yes",F584= "yes"),VLOOKUP(C584,Summary!$B:$J,6,0),0),0)</f>
        <v>0</v>
      </c>
      <c r="J584" s="111">
        <f t="shared" si="108"/>
        <v>447.5</v>
      </c>
      <c r="K584" s="91">
        <f>VLOOKUP($A584,'2022-23 Salary &amp; Benefits'!$A:$I,3,FALSE)</f>
        <v>1.06</v>
      </c>
      <c r="L584" s="91">
        <f>VLOOKUP($A584,'2022-23 Salary &amp; Benefits'!$A:$I,4,FALSE)</f>
        <v>1.06</v>
      </c>
      <c r="M584" s="101">
        <f t="shared" si="115"/>
        <v>447.5</v>
      </c>
      <c r="N584" s="24">
        <v>15</v>
      </c>
      <c r="O584" s="26">
        <f t="shared" si="106"/>
        <v>29.833333333333332</v>
      </c>
      <c r="P584" s="24">
        <v>1.1000000000000001</v>
      </c>
      <c r="Q584" s="24">
        <v>36</v>
      </c>
      <c r="R584" s="27">
        <f t="shared" si="107"/>
        <v>1181.4000000000001</v>
      </c>
      <c r="S584" s="102">
        <f t="shared" si="109"/>
        <v>1.3129999999999999</v>
      </c>
      <c r="T584" s="21">
        <f>VLOOKUP($A584,'2022-23 Salary &amp; Benefits'!$A:$I,5,FALSE)</f>
        <v>68937</v>
      </c>
      <c r="U584" s="21">
        <f>VLOOKUP($A584,'2022-23 Salary &amp; Benefits'!$A:$I,6,FALSE)</f>
        <v>72728</v>
      </c>
      <c r="V584" s="22">
        <f t="shared" si="110"/>
        <v>95945.14</v>
      </c>
      <c r="W584" s="22">
        <f t="shared" si="111"/>
        <v>5276.2400000000052</v>
      </c>
      <c r="X584" s="22">
        <f>'2022-23 Salary &amp; Benefits'!$G$6</f>
        <v>12558.24</v>
      </c>
      <c r="Y584" s="23">
        <f>'2022-23 Salary &amp; Benefits'!$H$6</f>
        <v>0.2298</v>
      </c>
      <c r="Z584" s="23">
        <f>'2022-23 Salary &amp; Benefits'!$I$6</f>
        <v>0.22339999999999999</v>
      </c>
      <c r="AA584" s="22">
        <f t="shared" si="112"/>
        <v>39715.870000000003</v>
      </c>
      <c r="AB584" s="22">
        <f t="shared" si="113"/>
        <v>1687.02</v>
      </c>
      <c r="AC584" s="22">
        <f t="shared" si="114"/>
        <v>376.88</v>
      </c>
      <c r="AD584" s="22">
        <f t="shared" si="116"/>
        <v>2063.9</v>
      </c>
      <c r="AE584" s="22">
        <f t="shared" si="117"/>
        <v>143001.15</v>
      </c>
      <c r="AF584" s="19" t="str">
        <f>VLOOKUP(C584,'2021-22 School Level AAFTE'!C:N,12,FALSE)</f>
        <v>No</v>
      </c>
    </row>
    <row r="585" spans="1:32" s="19" customFormat="1">
      <c r="A585" s="97" t="s">
        <v>2288</v>
      </c>
      <c r="B585" s="97" t="s">
        <v>220</v>
      </c>
      <c r="C585" s="95">
        <v>3320</v>
      </c>
      <c r="D585" s="95" t="s">
        <v>228</v>
      </c>
      <c r="E585" s="129">
        <f>VLOOKUP($C585,'2021-22 School Level AAFTE'!$C:$Z,11,FALSE)</f>
        <v>0.67770000000000008</v>
      </c>
      <c r="F585" s="129" t="str">
        <f>VLOOKUP($C585,'2021-22 School Level AAFTE'!$C:$Z,8,FALSE)</f>
        <v>Yes</v>
      </c>
      <c r="G585" s="129" t="str">
        <f>VLOOKUP($C585,'2021-22 School Level AAFTE'!$C:$Z,12,FALSE)</f>
        <v>No</v>
      </c>
      <c r="H585" s="127">
        <f>VLOOKUP($C585,'2021-22 School Level AAFTE'!$C:$I,7,FALSE)</f>
        <v>910.15</v>
      </c>
      <c r="I585" s="112">
        <f>IFERROR(IF(OR(G585="yes",F585= "yes"),VLOOKUP(C585,Summary!$B:$J,6,0),0),0)</f>
        <v>0</v>
      </c>
      <c r="J585" s="111">
        <f t="shared" si="108"/>
        <v>910.15</v>
      </c>
      <c r="K585" s="91">
        <f>VLOOKUP($A585,'2022-23 Salary &amp; Benefits'!$A:$I,3,FALSE)</f>
        <v>1.06</v>
      </c>
      <c r="L585" s="91">
        <f>VLOOKUP($A585,'2022-23 Salary &amp; Benefits'!$A:$I,4,FALSE)</f>
        <v>1.06</v>
      </c>
      <c r="M585" s="39">
        <f t="shared" si="115"/>
        <v>910.15</v>
      </c>
      <c r="N585" s="24">
        <v>15</v>
      </c>
      <c r="O585" s="26">
        <f t="shared" si="106"/>
        <v>60.676666666666662</v>
      </c>
      <c r="P585" s="24">
        <v>1.1000000000000001</v>
      </c>
      <c r="Q585" s="24">
        <v>36</v>
      </c>
      <c r="R585" s="27">
        <f t="shared" si="107"/>
        <v>2402.7959999999998</v>
      </c>
      <c r="S585" s="102">
        <f t="shared" si="109"/>
        <v>2.67</v>
      </c>
      <c r="T585" s="21">
        <f>VLOOKUP($A585,'2022-23 Salary &amp; Benefits'!$A:$I,5,FALSE)</f>
        <v>68937</v>
      </c>
      <c r="U585" s="21">
        <f>VLOOKUP($A585,'2022-23 Salary &amp; Benefits'!$A:$I,6,FALSE)</f>
        <v>72728</v>
      </c>
      <c r="V585" s="22">
        <f t="shared" si="110"/>
        <v>195105.5</v>
      </c>
      <c r="W585" s="22">
        <f t="shared" si="111"/>
        <v>10729.290000000008</v>
      </c>
      <c r="X585" s="22">
        <f>'2022-23 Salary &amp; Benefits'!$G$6</f>
        <v>12558.24</v>
      </c>
      <c r="Y585" s="23">
        <f>'2022-23 Salary &amp; Benefits'!$H$6</f>
        <v>0.2298</v>
      </c>
      <c r="Z585" s="23">
        <f>'2022-23 Salary &amp; Benefits'!$I$6</f>
        <v>0.22339999999999999</v>
      </c>
      <c r="AA585" s="22">
        <f t="shared" si="112"/>
        <v>80762.67</v>
      </c>
      <c r="AB585" s="22">
        <f t="shared" si="113"/>
        <v>3430.58</v>
      </c>
      <c r="AC585" s="22">
        <f t="shared" si="114"/>
        <v>766.39</v>
      </c>
      <c r="AD585" s="22">
        <f t="shared" si="116"/>
        <v>4196.97</v>
      </c>
      <c r="AE585" s="22">
        <f t="shared" si="117"/>
        <v>290794.42999999993</v>
      </c>
      <c r="AF585" s="19" t="str">
        <f>VLOOKUP(C585,'2021-22 School Level AAFTE'!C:N,12,FALSE)</f>
        <v>No</v>
      </c>
    </row>
    <row r="586" spans="1:32" s="19" customFormat="1">
      <c r="A586" s="97" t="s">
        <v>2288</v>
      </c>
      <c r="B586" s="97" t="s">
        <v>220</v>
      </c>
      <c r="C586" s="95">
        <v>3618</v>
      </c>
      <c r="D586" s="95" t="s">
        <v>229</v>
      </c>
      <c r="E586" s="129">
        <f>VLOOKUP($C586,'2021-22 School Level AAFTE'!$C:$Z,11,FALSE)</f>
        <v>0.64933333333333332</v>
      </c>
      <c r="F586" s="129" t="str">
        <f>VLOOKUP($C586,'2021-22 School Level AAFTE'!$C:$Z,8,FALSE)</f>
        <v>Yes</v>
      </c>
      <c r="G586" s="129" t="str">
        <f>VLOOKUP($C586,'2021-22 School Level AAFTE'!$C:$Z,12,FALSE)</f>
        <v>No</v>
      </c>
      <c r="H586" s="127">
        <f>VLOOKUP($C586,'2021-22 School Level AAFTE'!$C:$I,7,FALSE)</f>
        <v>482.66</v>
      </c>
      <c r="I586" s="112">
        <f>IFERROR(IF(OR(G586="yes",F586= "yes"),VLOOKUP(C586,Summary!$B:$J,6,0),0),0)</f>
        <v>0</v>
      </c>
      <c r="J586" s="111">
        <f t="shared" si="108"/>
        <v>482.66</v>
      </c>
      <c r="K586" s="91">
        <f>VLOOKUP($A586,'2022-23 Salary &amp; Benefits'!$A:$I,3,FALSE)</f>
        <v>1.06</v>
      </c>
      <c r="L586" s="91">
        <f>VLOOKUP($A586,'2022-23 Salary &amp; Benefits'!$A:$I,4,FALSE)</f>
        <v>1.06</v>
      </c>
      <c r="M586" s="39">
        <f t="shared" si="115"/>
        <v>482.66</v>
      </c>
      <c r="N586" s="24">
        <v>15</v>
      </c>
      <c r="O586" s="26">
        <f t="shared" ref="O586:O649" si="118">IF(M586="no",0,M586/N586)</f>
        <v>32.177333333333337</v>
      </c>
      <c r="P586" s="24">
        <v>1.1000000000000001</v>
      </c>
      <c r="Q586" s="24">
        <v>36</v>
      </c>
      <c r="R586" s="27">
        <f t="shared" ref="R586:R649" si="119">IF(M586="no",0,O586*P586*Q586)</f>
        <v>1274.2224000000001</v>
      </c>
      <c r="S586" s="102">
        <f t="shared" si="109"/>
        <v>1.4159999999999999</v>
      </c>
      <c r="T586" s="21">
        <f>VLOOKUP($A586,'2022-23 Salary &amp; Benefits'!$A:$I,5,FALSE)</f>
        <v>68937</v>
      </c>
      <c r="U586" s="21">
        <f>VLOOKUP($A586,'2022-23 Salary &amp; Benefits'!$A:$I,6,FALSE)</f>
        <v>72728</v>
      </c>
      <c r="V586" s="22">
        <f t="shared" si="110"/>
        <v>103471.67999999999</v>
      </c>
      <c r="W586" s="22">
        <f t="shared" si="111"/>
        <v>5690.140000000014</v>
      </c>
      <c r="X586" s="22">
        <f>'2022-23 Salary &amp; Benefits'!$G$6</f>
        <v>12558.24</v>
      </c>
      <c r="Y586" s="23">
        <f>'2022-23 Salary &amp; Benefits'!$H$6</f>
        <v>0.2298</v>
      </c>
      <c r="Z586" s="23">
        <f>'2022-23 Salary &amp; Benefits'!$I$6</f>
        <v>0.22339999999999999</v>
      </c>
      <c r="AA586" s="22">
        <f t="shared" si="112"/>
        <v>42831.44</v>
      </c>
      <c r="AB586" s="22">
        <f t="shared" si="113"/>
        <v>1819.36</v>
      </c>
      <c r="AC586" s="22">
        <f t="shared" si="114"/>
        <v>406.45</v>
      </c>
      <c r="AD586" s="22">
        <f t="shared" si="116"/>
        <v>2225.81</v>
      </c>
      <c r="AE586" s="22">
        <f t="shared" si="117"/>
        <v>154219.07</v>
      </c>
      <c r="AF586" s="19" t="str">
        <f>VLOOKUP(C586,'2021-22 School Level AAFTE'!C:N,12,FALSE)</f>
        <v>No</v>
      </c>
    </row>
    <row r="587" spans="1:32" s="19" customFormat="1">
      <c r="A587" s="97" t="s">
        <v>2288</v>
      </c>
      <c r="B587" s="97" t="s">
        <v>220</v>
      </c>
      <c r="C587" s="95">
        <v>3736</v>
      </c>
      <c r="D587" s="95" t="s">
        <v>230</v>
      </c>
      <c r="E587" s="129">
        <f>VLOOKUP($C587,'2021-22 School Level AAFTE'!$C:$Z,11,FALSE)</f>
        <v>0.67493333333333327</v>
      </c>
      <c r="F587" s="129" t="str">
        <f>VLOOKUP($C587,'2021-22 School Level AAFTE'!$C:$Z,8,FALSE)</f>
        <v>Yes</v>
      </c>
      <c r="G587" s="129" t="str">
        <f>VLOOKUP($C587,'2021-22 School Level AAFTE'!$C:$Z,12,FALSE)</f>
        <v>No</v>
      </c>
      <c r="H587" s="127">
        <f>VLOOKUP($C587,'2021-22 School Level AAFTE'!$C:$I,7,FALSE)</f>
        <v>332</v>
      </c>
      <c r="I587" s="112">
        <f>IFERROR(IF(OR(G587="yes",F587= "yes"),VLOOKUP(C587,Summary!$B:$J,6,0),0),0)</f>
        <v>0</v>
      </c>
      <c r="J587" s="111">
        <f t="shared" ref="J587:J650" si="120">IF(OR(G587="yes",F587= "yes"), H587,0)</f>
        <v>332</v>
      </c>
      <c r="K587" s="91">
        <f>VLOOKUP($A587,'2022-23 Salary &amp; Benefits'!$A:$I,3,FALSE)</f>
        <v>1.06</v>
      </c>
      <c r="L587" s="91">
        <f>VLOOKUP($A587,'2022-23 Salary &amp; Benefits'!$A:$I,4,FALSE)</f>
        <v>1.06</v>
      </c>
      <c r="M587" s="39">
        <f t="shared" si="115"/>
        <v>332</v>
      </c>
      <c r="N587" s="24">
        <v>15</v>
      </c>
      <c r="O587" s="26">
        <f t="shared" si="118"/>
        <v>22.133333333333333</v>
      </c>
      <c r="P587" s="24">
        <v>1.1000000000000001</v>
      </c>
      <c r="Q587" s="24">
        <v>36</v>
      </c>
      <c r="R587" s="27">
        <f t="shared" si="119"/>
        <v>876.48</v>
      </c>
      <c r="S587" s="102">
        <f t="shared" ref="S587:S650" si="121">ROUND(IF(M587="no",0,R587/900),3)</f>
        <v>0.97399999999999998</v>
      </c>
      <c r="T587" s="21">
        <f>VLOOKUP($A587,'2022-23 Salary &amp; Benefits'!$A:$I,5,FALSE)</f>
        <v>68937</v>
      </c>
      <c r="U587" s="21">
        <f>VLOOKUP($A587,'2022-23 Salary &amp; Benefits'!$A:$I,6,FALSE)</f>
        <v>72728</v>
      </c>
      <c r="V587" s="22">
        <f t="shared" ref="V587:V650" si="122">ROUND($K587*$T587*$S587,2)</f>
        <v>71173.320000000007</v>
      </c>
      <c r="W587" s="22">
        <f t="shared" ref="W587:W650" si="123">ROUND($L587*$U587*$S587,2)-V587</f>
        <v>3913.9799999999959</v>
      </c>
      <c r="X587" s="22">
        <f>'2022-23 Salary &amp; Benefits'!$G$6</f>
        <v>12558.24</v>
      </c>
      <c r="Y587" s="23">
        <f>'2022-23 Salary &amp; Benefits'!$H$6</f>
        <v>0.2298</v>
      </c>
      <c r="Z587" s="23">
        <f>'2022-23 Salary &amp; Benefits'!$I$6</f>
        <v>0.22339999999999999</v>
      </c>
      <c r="AA587" s="22">
        <f t="shared" ref="AA587:AA650" si="124">ROUND(V587*Y587+W587*Z587+S587*X587,2)</f>
        <v>29461.74</v>
      </c>
      <c r="AB587" s="22">
        <f t="shared" ref="AB587:AB650" si="125">ROUND(($U587*$L587*$S587/180*3),2)</f>
        <v>1251.45</v>
      </c>
      <c r="AC587" s="22">
        <f t="shared" ref="AC587:AC650" si="126">ROUND(AB587*Z587,2)</f>
        <v>279.57</v>
      </c>
      <c r="AD587" s="22">
        <f t="shared" si="116"/>
        <v>1531.02</v>
      </c>
      <c r="AE587" s="22">
        <f t="shared" si="117"/>
        <v>106080.06000000001</v>
      </c>
      <c r="AF587" s="19" t="str">
        <f>VLOOKUP(C587,'2021-22 School Level AAFTE'!C:N,12,FALSE)</f>
        <v>No</v>
      </c>
    </row>
    <row r="588" spans="1:32" s="19" customFormat="1">
      <c r="A588" s="97" t="s">
        <v>2288</v>
      </c>
      <c r="B588" s="97" t="s">
        <v>220</v>
      </c>
      <c r="C588" s="95">
        <v>3785</v>
      </c>
      <c r="D588" s="95" t="s">
        <v>231</v>
      </c>
      <c r="E588" s="129">
        <f>VLOOKUP($C588,'2021-22 School Level AAFTE'!$C:$Z,11,FALSE)</f>
        <v>0.63930000000000009</v>
      </c>
      <c r="F588" s="129" t="str">
        <f>VLOOKUP($C588,'2021-22 School Level AAFTE'!$C:$Z,8,FALSE)</f>
        <v>Yes</v>
      </c>
      <c r="G588" s="129" t="str">
        <f>VLOOKUP($C588,'2021-22 School Level AAFTE'!$C:$Z,12,FALSE)</f>
        <v>No</v>
      </c>
      <c r="H588" s="127">
        <f>VLOOKUP($C588,'2021-22 School Level AAFTE'!$C:$I,7,FALSE)</f>
        <v>864.23</v>
      </c>
      <c r="I588" s="112">
        <f>IFERROR(IF(OR(G588="yes",F588= "yes"),VLOOKUP(C588,Summary!$B:$J,6,0),0),0)</f>
        <v>0</v>
      </c>
      <c r="J588" s="111">
        <f t="shared" si="120"/>
        <v>864.23</v>
      </c>
      <c r="K588" s="91">
        <f>VLOOKUP($A588,'2022-23 Salary &amp; Benefits'!$A:$I,3,FALSE)</f>
        <v>1.06</v>
      </c>
      <c r="L588" s="91">
        <f>VLOOKUP($A588,'2022-23 Salary &amp; Benefits'!$A:$I,4,FALSE)</f>
        <v>1.06</v>
      </c>
      <c r="M588" s="101">
        <f t="shared" si="115"/>
        <v>864.23</v>
      </c>
      <c r="N588" s="24">
        <v>15</v>
      </c>
      <c r="O588" s="26">
        <f t="shared" si="118"/>
        <v>57.615333333333332</v>
      </c>
      <c r="P588" s="24">
        <v>1.1000000000000001</v>
      </c>
      <c r="Q588" s="24">
        <v>36</v>
      </c>
      <c r="R588" s="27">
        <f t="shared" si="119"/>
        <v>2281.5672000000004</v>
      </c>
      <c r="S588" s="102">
        <f t="shared" si="121"/>
        <v>2.5350000000000001</v>
      </c>
      <c r="T588" s="21">
        <f>VLOOKUP($A588,'2022-23 Salary &amp; Benefits'!$A:$I,5,FALSE)</f>
        <v>68937</v>
      </c>
      <c r="U588" s="21">
        <f>VLOOKUP($A588,'2022-23 Salary &amp; Benefits'!$A:$I,6,FALSE)</f>
        <v>72728</v>
      </c>
      <c r="V588" s="22">
        <f t="shared" si="122"/>
        <v>185240.61</v>
      </c>
      <c r="W588" s="22">
        <f t="shared" si="123"/>
        <v>10186.800000000017</v>
      </c>
      <c r="X588" s="22">
        <f>'2022-23 Salary &amp; Benefits'!$G$6</f>
        <v>12558.24</v>
      </c>
      <c r="Y588" s="23">
        <f>'2022-23 Salary &amp; Benefits'!$H$6</f>
        <v>0.2298</v>
      </c>
      <c r="Z588" s="23">
        <f>'2022-23 Salary &amp; Benefits'!$I$6</f>
        <v>0.22339999999999999</v>
      </c>
      <c r="AA588" s="22">
        <f t="shared" si="124"/>
        <v>76679.16</v>
      </c>
      <c r="AB588" s="22">
        <f t="shared" si="125"/>
        <v>3257.12</v>
      </c>
      <c r="AC588" s="22">
        <f t="shared" si="126"/>
        <v>727.64</v>
      </c>
      <c r="AD588" s="22">
        <f t="shared" si="116"/>
        <v>3984.7599999999998</v>
      </c>
      <c r="AE588" s="22">
        <f t="shared" si="117"/>
        <v>276091.33</v>
      </c>
      <c r="AF588" s="19" t="str">
        <f>VLOOKUP(C588,'2021-22 School Level AAFTE'!C:N,12,FALSE)</f>
        <v>No</v>
      </c>
    </row>
    <row r="589" spans="1:32" s="19" customFormat="1">
      <c r="A589" s="97" t="s">
        <v>2288</v>
      </c>
      <c r="B589" s="97" t="s">
        <v>220</v>
      </c>
      <c r="C589" s="95">
        <v>3822</v>
      </c>
      <c r="D589" s="95" t="s">
        <v>232</v>
      </c>
      <c r="E589" s="129">
        <f>VLOOKUP($C589,'2021-22 School Level AAFTE'!$C:$Z,11,FALSE)</f>
        <v>0.67499999999999993</v>
      </c>
      <c r="F589" s="129" t="str">
        <f>VLOOKUP($C589,'2021-22 School Level AAFTE'!$C:$Z,8,FALSE)</f>
        <v>Yes</v>
      </c>
      <c r="G589" s="129" t="str">
        <f>VLOOKUP($C589,'2021-22 School Level AAFTE'!$C:$Z,12,FALSE)</f>
        <v>No</v>
      </c>
      <c r="H589" s="127">
        <f>VLOOKUP($C589,'2021-22 School Level AAFTE'!$C:$I,7,FALSE)</f>
        <v>453.38</v>
      </c>
      <c r="I589" s="112">
        <f>IFERROR(IF(OR(G589="yes",F589= "yes"),VLOOKUP(C589,Summary!$B:$J,6,0),0),0)</f>
        <v>0</v>
      </c>
      <c r="J589" s="111">
        <f t="shared" si="120"/>
        <v>453.38</v>
      </c>
      <c r="K589" s="91">
        <f>VLOOKUP($A589,'2022-23 Salary &amp; Benefits'!$A:$I,3,FALSE)</f>
        <v>1.06</v>
      </c>
      <c r="L589" s="91">
        <f>VLOOKUP($A589,'2022-23 Salary &amp; Benefits'!$A:$I,4,FALSE)</f>
        <v>1.06</v>
      </c>
      <c r="M589" s="101">
        <f t="shared" si="115"/>
        <v>453.38</v>
      </c>
      <c r="N589" s="24">
        <v>15</v>
      </c>
      <c r="O589" s="26">
        <f t="shared" si="118"/>
        <v>30.225333333333332</v>
      </c>
      <c r="P589" s="24">
        <v>1.1000000000000001</v>
      </c>
      <c r="Q589" s="24">
        <v>36</v>
      </c>
      <c r="R589" s="27">
        <f t="shared" si="119"/>
        <v>1196.9232</v>
      </c>
      <c r="S589" s="102">
        <f t="shared" si="121"/>
        <v>1.33</v>
      </c>
      <c r="T589" s="21">
        <f>VLOOKUP($A589,'2022-23 Salary &amp; Benefits'!$A:$I,5,FALSE)</f>
        <v>68937</v>
      </c>
      <c r="U589" s="21">
        <f>VLOOKUP($A589,'2022-23 Salary &amp; Benefits'!$A:$I,6,FALSE)</f>
        <v>72728</v>
      </c>
      <c r="V589" s="22">
        <f t="shared" si="122"/>
        <v>97187.38</v>
      </c>
      <c r="W589" s="22">
        <f t="shared" si="123"/>
        <v>5344.5499999999884</v>
      </c>
      <c r="X589" s="22">
        <f>'2022-23 Salary &amp; Benefits'!$G$6</f>
        <v>12558.24</v>
      </c>
      <c r="Y589" s="23">
        <f>'2022-23 Salary &amp; Benefits'!$H$6</f>
        <v>0.2298</v>
      </c>
      <c r="Z589" s="23">
        <f>'2022-23 Salary &amp; Benefits'!$I$6</f>
        <v>0.22339999999999999</v>
      </c>
      <c r="AA589" s="22">
        <f t="shared" si="124"/>
        <v>40230.089999999997</v>
      </c>
      <c r="AB589" s="22">
        <f t="shared" si="125"/>
        <v>1708.87</v>
      </c>
      <c r="AC589" s="22">
        <f t="shared" si="126"/>
        <v>381.76</v>
      </c>
      <c r="AD589" s="22">
        <f t="shared" si="116"/>
        <v>2090.63</v>
      </c>
      <c r="AE589" s="22">
        <f t="shared" si="117"/>
        <v>144852.65</v>
      </c>
      <c r="AF589" s="19" t="str">
        <f>VLOOKUP(C589,'2021-22 School Level AAFTE'!C:N,12,FALSE)</f>
        <v>No</v>
      </c>
    </row>
    <row r="590" spans="1:32" s="19" customFormat="1">
      <c r="A590" s="97" t="s">
        <v>2288</v>
      </c>
      <c r="B590" s="97" t="s">
        <v>220</v>
      </c>
      <c r="C590" s="95">
        <v>3823</v>
      </c>
      <c r="D590" s="95" t="s">
        <v>233</v>
      </c>
      <c r="E590" s="129">
        <f>VLOOKUP($C590,'2021-22 School Level AAFTE'!$C:$Z,11,FALSE)</f>
        <v>0.58203333333333329</v>
      </c>
      <c r="F590" s="129" t="str">
        <f>VLOOKUP($C590,'2021-22 School Level AAFTE'!$C:$Z,8,FALSE)</f>
        <v>Yes</v>
      </c>
      <c r="G590" s="129" t="str">
        <f>VLOOKUP($C590,'2021-22 School Level AAFTE'!$C:$Z,12,FALSE)</f>
        <v>No</v>
      </c>
      <c r="H590" s="127">
        <f>VLOOKUP($C590,'2021-22 School Level AAFTE'!$C:$I,7,FALSE)</f>
        <v>394.46</v>
      </c>
      <c r="I590" s="112">
        <f>IFERROR(IF(OR(G590="yes",F590= "yes"),VLOOKUP(C590,Summary!$B:$J,6,0),0),0)</f>
        <v>0</v>
      </c>
      <c r="J590" s="111">
        <f t="shared" si="120"/>
        <v>394.46</v>
      </c>
      <c r="K590" s="91">
        <f>VLOOKUP($A590,'2022-23 Salary &amp; Benefits'!$A:$I,3,FALSE)</f>
        <v>1.06</v>
      </c>
      <c r="L590" s="91">
        <f>VLOOKUP($A590,'2022-23 Salary &amp; Benefits'!$A:$I,4,FALSE)</f>
        <v>1.06</v>
      </c>
      <c r="M590" s="101">
        <f t="shared" si="115"/>
        <v>394.46</v>
      </c>
      <c r="N590" s="24">
        <v>15</v>
      </c>
      <c r="O590" s="26">
        <f t="shared" si="118"/>
        <v>26.297333333333331</v>
      </c>
      <c r="P590" s="24">
        <v>1.1000000000000001</v>
      </c>
      <c r="Q590" s="24">
        <v>36</v>
      </c>
      <c r="R590" s="27">
        <f t="shared" si="119"/>
        <v>1041.3743999999999</v>
      </c>
      <c r="S590" s="102">
        <f t="shared" si="121"/>
        <v>1.157</v>
      </c>
      <c r="T590" s="21">
        <f>VLOOKUP($A590,'2022-23 Salary &amp; Benefits'!$A:$I,5,FALSE)</f>
        <v>68937</v>
      </c>
      <c r="U590" s="21">
        <f>VLOOKUP($A590,'2022-23 Salary &amp; Benefits'!$A:$I,6,FALSE)</f>
        <v>72728</v>
      </c>
      <c r="V590" s="22">
        <f t="shared" si="122"/>
        <v>84545.72</v>
      </c>
      <c r="W590" s="22">
        <f t="shared" si="123"/>
        <v>4649.3500000000058</v>
      </c>
      <c r="X590" s="22">
        <f>'2022-23 Salary &amp; Benefits'!$G$6</f>
        <v>12558.24</v>
      </c>
      <c r="Y590" s="23">
        <f>'2022-23 Salary &amp; Benefits'!$H$6</f>
        <v>0.2298</v>
      </c>
      <c r="Z590" s="23">
        <f>'2022-23 Salary &amp; Benefits'!$I$6</f>
        <v>0.22339999999999999</v>
      </c>
      <c r="AA590" s="22">
        <f t="shared" si="124"/>
        <v>34997.15</v>
      </c>
      <c r="AB590" s="22">
        <f t="shared" si="125"/>
        <v>1486.58</v>
      </c>
      <c r="AC590" s="22">
        <f t="shared" si="126"/>
        <v>332.1</v>
      </c>
      <c r="AD590" s="22">
        <f t="shared" si="116"/>
        <v>1818.6799999999998</v>
      </c>
      <c r="AE590" s="22">
        <f t="shared" si="117"/>
        <v>126010.9</v>
      </c>
      <c r="AF590" s="19" t="str">
        <f>VLOOKUP(C590,'2021-22 School Level AAFTE'!C:N,12,FALSE)</f>
        <v>No</v>
      </c>
    </row>
    <row r="591" spans="1:32" s="19" customFormat="1">
      <c r="A591" s="97" t="s">
        <v>2288</v>
      </c>
      <c r="B591" s="97" t="s">
        <v>220</v>
      </c>
      <c r="C591" s="95">
        <v>3970</v>
      </c>
      <c r="D591" s="95" t="s">
        <v>234</v>
      </c>
      <c r="E591" s="129">
        <f>VLOOKUP($C591,'2021-22 School Level AAFTE'!$C:$Z,11,FALSE)</f>
        <v>0.55433333333333323</v>
      </c>
      <c r="F591" s="129" t="str">
        <f>VLOOKUP($C591,'2021-22 School Level AAFTE'!$C:$Z,8,FALSE)</f>
        <v>Yes</v>
      </c>
      <c r="G591" s="129" t="str">
        <f>VLOOKUP($C591,'2021-22 School Level AAFTE'!$C:$Z,12,FALSE)</f>
        <v>No</v>
      </c>
      <c r="H591" s="127">
        <f>VLOOKUP($C591,'2021-22 School Level AAFTE'!$C:$I,7,FALSE)</f>
        <v>421.95</v>
      </c>
      <c r="I591" s="112">
        <f>IFERROR(IF(OR(G591="yes",F591= "yes"),VLOOKUP(C591,Summary!$B:$J,6,0),0),0)</f>
        <v>0</v>
      </c>
      <c r="J591" s="111">
        <f t="shared" si="120"/>
        <v>421.95</v>
      </c>
      <c r="K591" s="91">
        <f>VLOOKUP($A591,'2022-23 Salary &amp; Benefits'!$A:$I,3,FALSE)</f>
        <v>1.06</v>
      </c>
      <c r="L591" s="91">
        <f>VLOOKUP($A591,'2022-23 Salary &amp; Benefits'!$A:$I,4,FALSE)</f>
        <v>1.06</v>
      </c>
      <c r="M591" s="101">
        <f t="shared" si="115"/>
        <v>421.95</v>
      </c>
      <c r="N591" s="24">
        <v>15</v>
      </c>
      <c r="O591" s="26">
        <f t="shared" si="118"/>
        <v>28.13</v>
      </c>
      <c r="P591" s="24">
        <v>1.1000000000000001</v>
      </c>
      <c r="Q591" s="24">
        <v>36</v>
      </c>
      <c r="R591" s="27">
        <f t="shared" si="119"/>
        <v>1113.9480000000001</v>
      </c>
      <c r="S591" s="102">
        <f t="shared" si="121"/>
        <v>1.238</v>
      </c>
      <c r="T591" s="21">
        <f>VLOOKUP($A591,'2022-23 Salary &amp; Benefits'!$A:$I,5,FALSE)</f>
        <v>68937</v>
      </c>
      <c r="U591" s="21">
        <f>VLOOKUP($A591,'2022-23 Salary &amp; Benefits'!$A:$I,6,FALSE)</f>
        <v>72728</v>
      </c>
      <c r="V591" s="22">
        <f t="shared" si="122"/>
        <v>90464.65</v>
      </c>
      <c r="W591" s="22">
        <f t="shared" si="123"/>
        <v>4974.8500000000058</v>
      </c>
      <c r="X591" s="22">
        <f>'2022-23 Salary &amp; Benefits'!$G$6</f>
        <v>12558.24</v>
      </c>
      <c r="Y591" s="23">
        <f>'2022-23 Salary &amp; Benefits'!$H$6</f>
        <v>0.2298</v>
      </c>
      <c r="Z591" s="23">
        <f>'2022-23 Salary &amp; Benefits'!$I$6</f>
        <v>0.22339999999999999</v>
      </c>
      <c r="AA591" s="22">
        <f t="shared" si="124"/>
        <v>37447.26</v>
      </c>
      <c r="AB591" s="22">
        <f t="shared" si="125"/>
        <v>1590.66</v>
      </c>
      <c r="AC591" s="22">
        <f t="shared" si="126"/>
        <v>355.35</v>
      </c>
      <c r="AD591" s="22">
        <f t="shared" si="116"/>
        <v>1946.0100000000002</v>
      </c>
      <c r="AE591" s="22">
        <f t="shared" si="117"/>
        <v>134832.77000000002</v>
      </c>
      <c r="AF591" s="19" t="str">
        <f>VLOOKUP(C591,'2021-22 School Level AAFTE'!C:N,12,FALSE)</f>
        <v>No</v>
      </c>
    </row>
    <row r="592" spans="1:32" s="19" customFormat="1">
      <c r="A592" s="97" t="s">
        <v>2288</v>
      </c>
      <c r="B592" s="97" t="s">
        <v>220</v>
      </c>
      <c r="C592" s="95">
        <v>3971</v>
      </c>
      <c r="D592" s="95" t="s">
        <v>235</v>
      </c>
      <c r="E592" s="129">
        <f>VLOOKUP($C592,'2021-22 School Level AAFTE'!$C:$Z,11,FALSE)</f>
        <v>0.63659999999999994</v>
      </c>
      <c r="F592" s="129" t="str">
        <f>VLOOKUP($C592,'2021-22 School Level AAFTE'!$C:$Z,8,FALSE)</f>
        <v>Yes</v>
      </c>
      <c r="G592" s="129" t="str">
        <f>VLOOKUP($C592,'2021-22 School Level AAFTE'!$C:$Z,12,FALSE)</f>
        <v>No</v>
      </c>
      <c r="H592" s="127">
        <f>VLOOKUP($C592,'2021-22 School Level AAFTE'!$C:$I,7,FALSE)</f>
        <v>298.45</v>
      </c>
      <c r="I592" s="112">
        <f>IFERROR(IF(OR(G592="yes",F592= "yes"),VLOOKUP(C592,Summary!$B:$J,6,0),0),0)</f>
        <v>0</v>
      </c>
      <c r="J592" s="111">
        <f t="shared" si="120"/>
        <v>298.45</v>
      </c>
      <c r="K592" s="91">
        <f>VLOOKUP($A592,'2022-23 Salary &amp; Benefits'!$A:$I,3,FALSE)</f>
        <v>1.06</v>
      </c>
      <c r="L592" s="91">
        <f>VLOOKUP($A592,'2022-23 Salary &amp; Benefits'!$A:$I,4,FALSE)</f>
        <v>1.06</v>
      </c>
      <c r="M592" s="101">
        <f t="shared" si="115"/>
        <v>298.45</v>
      </c>
      <c r="N592" s="24">
        <v>15</v>
      </c>
      <c r="O592" s="26">
        <f t="shared" si="118"/>
        <v>19.896666666666665</v>
      </c>
      <c r="P592" s="24">
        <v>1.1000000000000001</v>
      </c>
      <c r="Q592" s="24">
        <v>36</v>
      </c>
      <c r="R592" s="27">
        <f t="shared" si="119"/>
        <v>787.90800000000002</v>
      </c>
      <c r="S592" s="102">
        <f t="shared" si="121"/>
        <v>0.875</v>
      </c>
      <c r="T592" s="21">
        <f>VLOOKUP($A592,'2022-23 Salary &amp; Benefits'!$A:$I,5,FALSE)</f>
        <v>68937</v>
      </c>
      <c r="U592" s="21">
        <f>VLOOKUP($A592,'2022-23 Salary &amp; Benefits'!$A:$I,6,FALSE)</f>
        <v>72728</v>
      </c>
      <c r="V592" s="22">
        <f t="shared" si="122"/>
        <v>63939.07</v>
      </c>
      <c r="W592" s="22">
        <f t="shared" si="123"/>
        <v>3516.1500000000015</v>
      </c>
      <c r="X592" s="22">
        <f>'2022-23 Salary &amp; Benefits'!$G$6</f>
        <v>12558.24</v>
      </c>
      <c r="Y592" s="23">
        <f>'2022-23 Salary &amp; Benefits'!$H$6</f>
        <v>0.2298</v>
      </c>
      <c r="Z592" s="23">
        <f>'2022-23 Salary &amp; Benefits'!$I$6</f>
        <v>0.22339999999999999</v>
      </c>
      <c r="AA592" s="22">
        <f t="shared" si="124"/>
        <v>26467.17</v>
      </c>
      <c r="AB592" s="22">
        <f t="shared" si="125"/>
        <v>1124.25</v>
      </c>
      <c r="AC592" s="22">
        <f t="shared" si="126"/>
        <v>251.16</v>
      </c>
      <c r="AD592" s="22">
        <f t="shared" si="116"/>
        <v>1375.41</v>
      </c>
      <c r="AE592" s="22">
        <f t="shared" si="117"/>
        <v>95297.799999999988</v>
      </c>
      <c r="AF592" s="19" t="str">
        <f>VLOOKUP(C592,'2021-22 School Level AAFTE'!C:N,12,FALSE)</f>
        <v>No</v>
      </c>
    </row>
    <row r="593" spans="1:284" s="19" customFormat="1">
      <c r="A593" s="97" t="s">
        <v>2288</v>
      </c>
      <c r="B593" s="97" t="s">
        <v>220</v>
      </c>
      <c r="C593" s="95">
        <v>3994</v>
      </c>
      <c r="D593" s="95" t="s">
        <v>236</v>
      </c>
      <c r="E593" s="129">
        <f>VLOOKUP($C593,'2021-22 School Level AAFTE'!$C:$Z,11,FALSE)</f>
        <v>0.5950333333333333</v>
      </c>
      <c r="F593" s="129" t="str">
        <f>VLOOKUP($C593,'2021-22 School Level AAFTE'!$C:$Z,8,FALSE)</f>
        <v>Yes</v>
      </c>
      <c r="G593" s="129" t="str">
        <f>VLOOKUP($C593,'2021-22 School Level AAFTE'!$C:$Z,12,FALSE)</f>
        <v>No</v>
      </c>
      <c r="H593" s="127">
        <f>VLOOKUP($C593,'2021-22 School Level AAFTE'!$C:$I,7,FALSE)</f>
        <v>445.43</v>
      </c>
      <c r="I593" s="112">
        <f>IFERROR(IF(OR(G593="yes",F593= "yes"),VLOOKUP(C593,Summary!$B:$J,6,0),0),0)</f>
        <v>0</v>
      </c>
      <c r="J593" s="111">
        <f t="shared" si="120"/>
        <v>445.43</v>
      </c>
      <c r="K593" s="91">
        <f>VLOOKUP($A593,'2022-23 Salary &amp; Benefits'!$A:$I,3,FALSE)</f>
        <v>1.06</v>
      </c>
      <c r="L593" s="91">
        <f>VLOOKUP($A593,'2022-23 Salary &amp; Benefits'!$A:$I,4,FALSE)</f>
        <v>1.06</v>
      </c>
      <c r="M593" s="101">
        <f t="shared" si="115"/>
        <v>445.43</v>
      </c>
      <c r="N593" s="24">
        <v>15</v>
      </c>
      <c r="O593" s="26">
        <f t="shared" si="118"/>
        <v>29.695333333333334</v>
      </c>
      <c r="P593" s="24">
        <v>1.1000000000000001</v>
      </c>
      <c r="Q593" s="24">
        <v>36</v>
      </c>
      <c r="R593" s="27">
        <f t="shared" si="119"/>
        <v>1175.9352000000001</v>
      </c>
      <c r="S593" s="102">
        <f t="shared" si="121"/>
        <v>1.3069999999999999</v>
      </c>
      <c r="T593" s="21">
        <f>VLOOKUP($A593,'2022-23 Salary &amp; Benefits'!$A:$I,5,FALSE)</f>
        <v>68937</v>
      </c>
      <c r="U593" s="21">
        <f>VLOOKUP($A593,'2022-23 Salary &amp; Benefits'!$A:$I,6,FALSE)</f>
        <v>72728</v>
      </c>
      <c r="V593" s="22">
        <f t="shared" si="122"/>
        <v>95506.7</v>
      </c>
      <c r="W593" s="22">
        <f t="shared" si="123"/>
        <v>5252.1300000000047</v>
      </c>
      <c r="X593" s="22">
        <f>'2022-23 Salary &amp; Benefits'!$G$6</f>
        <v>12558.24</v>
      </c>
      <c r="Y593" s="23">
        <f>'2022-23 Salary &amp; Benefits'!$H$6</f>
        <v>0.2298</v>
      </c>
      <c r="Z593" s="23">
        <f>'2022-23 Salary &amp; Benefits'!$I$6</f>
        <v>0.22339999999999999</v>
      </c>
      <c r="AA593" s="22">
        <f t="shared" si="124"/>
        <v>39534.39</v>
      </c>
      <c r="AB593" s="22">
        <f t="shared" si="125"/>
        <v>1679.31</v>
      </c>
      <c r="AC593" s="22">
        <f t="shared" si="126"/>
        <v>375.16</v>
      </c>
      <c r="AD593" s="22">
        <f t="shared" si="116"/>
        <v>2054.4699999999998</v>
      </c>
      <c r="AE593" s="22">
        <f t="shared" si="117"/>
        <v>142347.69</v>
      </c>
      <c r="AF593" s="19" t="str">
        <f>VLOOKUP(C593,'2021-22 School Level AAFTE'!C:N,12,FALSE)</f>
        <v>No</v>
      </c>
    </row>
    <row r="594" spans="1:284" s="19" customFormat="1">
      <c r="A594" s="97" t="s">
        <v>2288</v>
      </c>
      <c r="B594" s="97" t="s">
        <v>220</v>
      </c>
      <c r="C594" s="95">
        <v>3995</v>
      </c>
      <c r="D594" s="95" t="s">
        <v>237</v>
      </c>
      <c r="E594" s="129">
        <f>VLOOKUP($C594,'2021-22 School Level AAFTE'!$C:$Z,11,FALSE)</f>
        <v>0.45990000000000003</v>
      </c>
      <c r="F594" s="129" t="str">
        <f>VLOOKUP($C594,'2021-22 School Level AAFTE'!$C:$Z,8,FALSE)</f>
        <v>No</v>
      </c>
      <c r="G594" s="129" t="str">
        <f>VLOOKUP($C594,'2021-22 School Level AAFTE'!$C:$Z,12,FALSE)</f>
        <v>No</v>
      </c>
      <c r="H594" s="127">
        <f>VLOOKUP($C594,'2021-22 School Level AAFTE'!$C:$I,7,FALSE)</f>
        <v>345.29</v>
      </c>
      <c r="I594" s="112">
        <f>IFERROR(IF(OR(G594="yes",F594= "yes"),VLOOKUP(C594,Summary!$B:$J,6,0),0),0)</f>
        <v>0</v>
      </c>
      <c r="J594" s="111">
        <f t="shared" si="120"/>
        <v>0</v>
      </c>
      <c r="K594" s="91">
        <f>VLOOKUP($A594,'2022-23 Salary &amp; Benefits'!$A:$I,3,FALSE)</f>
        <v>1.06</v>
      </c>
      <c r="L594" s="91">
        <f>VLOOKUP($A594,'2022-23 Salary &amp; Benefits'!$A:$I,4,FALSE)</f>
        <v>1.06</v>
      </c>
      <c r="M594" s="101">
        <f t="shared" si="115"/>
        <v>0</v>
      </c>
      <c r="N594" s="24">
        <v>15</v>
      </c>
      <c r="O594" s="26">
        <f t="shared" si="118"/>
        <v>0</v>
      </c>
      <c r="P594" s="24">
        <v>1.1000000000000001</v>
      </c>
      <c r="Q594" s="24">
        <v>36</v>
      </c>
      <c r="R594" s="27">
        <f t="shared" si="119"/>
        <v>0</v>
      </c>
      <c r="S594" s="102">
        <f t="shared" si="121"/>
        <v>0</v>
      </c>
      <c r="T594" s="21">
        <f>VLOOKUP($A594,'2022-23 Salary &amp; Benefits'!$A:$I,5,FALSE)</f>
        <v>68937</v>
      </c>
      <c r="U594" s="21">
        <f>VLOOKUP($A594,'2022-23 Salary &amp; Benefits'!$A:$I,6,FALSE)</f>
        <v>72728</v>
      </c>
      <c r="V594" s="22">
        <f t="shared" si="122"/>
        <v>0</v>
      </c>
      <c r="W594" s="22">
        <f t="shared" si="123"/>
        <v>0</v>
      </c>
      <c r="X594" s="22">
        <f>'2022-23 Salary &amp; Benefits'!$G$6</f>
        <v>12558.24</v>
      </c>
      <c r="Y594" s="23">
        <f>'2022-23 Salary &amp; Benefits'!$H$6</f>
        <v>0.2298</v>
      </c>
      <c r="Z594" s="23">
        <f>'2022-23 Salary &amp; Benefits'!$I$6</f>
        <v>0.22339999999999999</v>
      </c>
      <c r="AA594" s="22">
        <f t="shared" si="124"/>
        <v>0</v>
      </c>
      <c r="AB594" s="22">
        <f t="shared" si="125"/>
        <v>0</v>
      </c>
      <c r="AC594" s="22">
        <f t="shared" si="126"/>
        <v>0</v>
      </c>
      <c r="AD594" s="22">
        <f t="shared" si="116"/>
        <v>0</v>
      </c>
      <c r="AE594" s="22">
        <f t="shared" si="117"/>
        <v>0</v>
      </c>
      <c r="AF594" s="19" t="str">
        <f>VLOOKUP(C594,'2021-22 School Level AAFTE'!C:N,12,FALSE)</f>
        <v>No</v>
      </c>
    </row>
    <row r="595" spans="1:284" s="19" customFormat="1">
      <c r="A595" s="97" t="s">
        <v>2288</v>
      </c>
      <c r="B595" s="97" t="s">
        <v>220</v>
      </c>
      <c r="C595" s="95">
        <v>4042</v>
      </c>
      <c r="D595" s="95" t="s">
        <v>34</v>
      </c>
      <c r="E595" s="129">
        <f>VLOOKUP($C595,'2021-22 School Level AAFTE'!$C:$Z,11,FALSE)</f>
        <v>0.58346666666666669</v>
      </c>
      <c r="F595" s="129" t="str">
        <f>VLOOKUP($C595,'2021-22 School Level AAFTE'!$C:$Z,8,FALSE)</f>
        <v>Yes</v>
      </c>
      <c r="G595" s="129" t="str">
        <f>VLOOKUP($C595,'2021-22 School Level AAFTE'!$C:$Z,12,FALSE)</f>
        <v>No</v>
      </c>
      <c r="H595" s="127">
        <f>VLOOKUP($C595,'2021-22 School Level AAFTE'!$C:$I,7,FALSE)</f>
        <v>356.24</v>
      </c>
      <c r="I595" s="112">
        <f>IFERROR(IF(OR(G595="yes",F595= "yes"),VLOOKUP(C595,Summary!$B:$J,6,0),0),0)</f>
        <v>0</v>
      </c>
      <c r="J595" s="111">
        <f t="shared" si="120"/>
        <v>356.24</v>
      </c>
      <c r="K595" s="91">
        <f>VLOOKUP($A595,'2022-23 Salary &amp; Benefits'!$A:$I,3,FALSE)</f>
        <v>1.06</v>
      </c>
      <c r="L595" s="91">
        <f>VLOOKUP($A595,'2022-23 Salary &amp; Benefits'!$A:$I,4,FALSE)</f>
        <v>1.06</v>
      </c>
      <c r="M595" s="39">
        <f t="shared" si="115"/>
        <v>356.24</v>
      </c>
      <c r="N595" s="24">
        <v>15</v>
      </c>
      <c r="O595" s="26">
        <f t="shared" si="118"/>
        <v>23.749333333333333</v>
      </c>
      <c r="P595" s="24">
        <v>1.1000000000000001</v>
      </c>
      <c r="Q595" s="24">
        <v>36</v>
      </c>
      <c r="R595" s="27">
        <f t="shared" si="119"/>
        <v>940.47360000000003</v>
      </c>
      <c r="S595" s="102">
        <f t="shared" si="121"/>
        <v>1.0449999999999999</v>
      </c>
      <c r="T595" s="21">
        <f>VLOOKUP($A595,'2022-23 Salary &amp; Benefits'!$A:$I,5,FALSE)</f>
        <v>68937</v>
      </c>
      <c r="U595" s="21">
        <f>VLOOKUP($A595,'2022-23 Salary &amp; Benefits'!$A:$I,6,FALSE)</f>
        <v>72728</v>
      </c>
      <c r="V595" s="22">
        <f t="shared" si="122"/>
        <v>76361.509999999995</v>
      </c>
      <c r="W595" s="22">
        <f t="shared" si="123"/>
        <v>4199.3000000000029</v>
      </c>
      <c r="X595" s="22">
        <f>'2022-23 Salary &amp; Benefits'!$G$6</f>
        <v>12558.24</v>
      </c>
      <c r="Y595" s="23">
        <f>'2022-23 Salary &amp; Benefits'!$H$6</f>
        <v>0.2298</v>
      </c>
      <c r="Z595" s="23">
        <f>'2022-23 Salary &amp; Benefits'!$I$6</f>
        <v>0.22339999999999999</v>
      </c>
      <c r="AA595" s="22">
        <f t="shared" si="124"/>
        <v>31609.360000000001</v>
      </c>
      <c r="AB595" s="22">
        <f t="shared" si="125"/>
        <v>1342.68</v>
      </c>
      <c r="AC595" s="22">
        <f t="shared" si="126"/>
        <v>299.95</v>
      </c>
      <c r="AD595" s="22">
        <f t="shared" si="116"/>
        <v>1642.63</v>
      </c>
      <c r="AE595" s="22">
        <f t="shared" si="117"/>
        <v>113812.8</v>
      </c>
      <c r="AF595" s="19" t="str">
        <f>VLOOKUP(C595,'2021-22 School Level AAFTE'!C:N,12,FALSE)</f>
        <v>No</v>
      </c>
    </row>
    <row r="596" spans="1:284" s="19" customFormat="1">
      <c r="A596" s="97" t="s">
        <v>2288</v>
      </c>
      <c r="B596" s="97" t="s">
        <v>220</v>
      </c>
      <c r="C596" s="95">
        <v>4051</v>
      </c>
      <c r="D596" s="95" t="s">
        <v>238</v>
      </c>
      <c r="E596" s="129">
        <f>VLOOKUP($C596,'2021-22 School Level AAFTE'!$C:$Z,11,FALSE)</f>
        <v>0.623</v>
      </c>
      <c r="F596" s="129" t="str">
        <f>VLOOKUP($C596,'2021-22 School Level AAFTE'!$C:$Z,8,FALSE)</f>
        <v>Yes</v>
      </c>
      <c r="G596" s="129" t="str">
        <f>VLOOKUP($C596,'2021-22 School Level AAFTE'!$C:$Z,12,FALSE)</f>
        <v>No</v>
      </c>
      <c r="H596" s="127">
        <f>VLOOKUP($C596,'2021-22 School Level AAFTE'!$C:$I,7,FALSE)</f>
        <v>784.74</v>
      </c>
      <c r="I596" s="112">
        <f>IFERROR(IF(OR(G596="yes",F596= "yes"),VLOOKUP(C596,Summary!$B:$J,6,0),0),0)</f>
        <v>0</v>
      </c>
      <c r="J596" s="111">
        <f t="shared" si="120"/>
        <v>784.74</v>
      </c>
      <c r="K596" s="91">
        <f>VLOOKUP($A596,'2022-23 Salary &amp; Benefits'!$A:$I,3,FALSE)</f>
        <v>1.06</v>
      </c>
      <c r="L596" s="91">
        <f>VLOOKUP($A596,'2022-23 Salary &amp; Benefits'!$A:$I,4,FALSE)</f>
        <v>1.06</v>
      </c>
      <c r="M596" s="101">
        <f t="shared" si="115"/>
        <v>784.74</v>
      </c>
      <c r="N596" s="24">
        <v>15</v>
      </c>
      <c r="O596" s="26">
        <f t="shared" si="118"/>
        <v>52.316000000000003</v>
      </c>
      <c r="P596" s="24">
        <v>1.1000000000000001</v>
      </c>
      <c r="Q596" s="24">
        <v>36</v>
      </c>
      <c r="R596" s="27">
        <f t="shared" si="119"/>
        <v>2071.7136000000005</v>
      </c>
      <c r="S596" s="102">
        <f t="shared" si="121"/>
        <v>2.302</v>
      </c>
      <c r="T596" s="21">
        <f>VLOOKUP($A596,'2022-23 Salary &amp; Benefits'!$A:$I,5,FALSE)</f>
        <v>68937</v>
      </c>
      <c r="U596" s="21">
        <f>VLOOKUP($A596,'2022-23 Salary &amp; Benefits'!$A:$I,6,FALSE)</f>
        <v>72728</v>
      </c>
      <c r="V596" s="22">
        <f t="shared" si="122"/>
        <v>168214.55</v>
      </c>
      <c r="W596" s="22">
        <f t="shared" si="123"/>
        <v>9250.5</v>
      </c>
      <c r="X596" s="22">
        <f>'2022-23 Salary &amp; Benefits'!$G$6</f>
        <v>12558.24</v>
      </c>
      <c r="Y596" s="23">
        <f>'2022-23 Salary &amp; Benefits'!$H$6</f>
        <v>0.2298</v>
      </c>
      <c r="Z596" s="23">
        <f>'2022-23 Salary &amp; Benefits'!$I$6</f>
        <v>0.22339999999999999</v>
      </c>
      <c r="AA596" s="22">
        <f t="shared" si="124"/>
        <v>69631.33</v>
      </c>
      <c r="AB596" s="22">
        <f t="shared" si="125"/>
        <v>2957.75</v>
      </c>
      <c r="AC596" s="22">
        <f t="shared" si="126"/>
        <v>660.76</v>
      </c>
      <c r="AD596" s="22">
        <f t="shared" si="116"/>
        <v>3618.51</v>
      </c>
      <c r="AE596" s="22">
        <f t="shared" si="117"/>
        <v>250714.89</v>
      </c>
      <c r="AF596" s="19" t="str">
        <f>VLOOKUP(C596,'2021-22 School Level AAFTE'!C:N,12,FALSE)</f>
        <v>No</v>
      </c>
    </row>
    <row r="597" spans="1:284" s="19" customFormat="1">
      <c r="A597" s="97" t="s">
        <v>2288</v>
      </c>
      <c r="B597" s="97" t="s">
        <v>220</v>
      </c>
      <c r="C597" s="95">
        <v>4162</v>
      </c>
      <c r="D597" s="95" t="s">
        <v>239</v>
      </c>
      <c r="E597" s="129">
        <f>VLOOKUP($C597,'2021-22 School Level AAFTE'!$C:$Z,11,FALSE)</f>
        <v>0.46010000000000001</v>
      </c>
      <c r="F597" s="129" t="str">
        <f>VLOOKUP($C597,'2021-22 School Level AAFTE'!$C:$Z,8,FALSE)</f>
        <v>No</v>
      </c>
      <c r="G597" s="129" t="str">
        <f>VLOOKUP($C597,'2021-22 School Level AAFTE'!$C:$Z,12,FALSE)</f>
        <v>No</v>
      </c>
      <c r="H597" s="127">
        <f>VLOOKUP($C597,'2021-22 School Level AAFTE'!$C:$I,7,FALSE)</f>
        <v>1553.14</v>
      </c>
      <c r="I597" s="112">
        <f>IFERROR(IF(OR(G597="yes",F597= "yes"),VLOOKUP(C597,Summary!$B:$J,6,0),0),0)</f>
        <v>0</v>
      </c>
      <c r="J597" s="111">
        <f t="shared" si="120"/>
        <v>0</v>
      </c>
      <c r="K597" s="91">
        <f>VLOOKUP($A597,'2022-23 Salary &amp; Benefits'!$A:$I,3,FALSE)</f>
        <v>1.06</v>
      </c>
      <c r="L597" s="91">
        <f>VLOOKUP($A597,'2022-23 Salary &amp; Benefits'!$A:$I,4,FALSE)</f>
        <v>1.06</v>
      </c>
      <c r="M597" s="101">
        <f t="shared" si="115"/>
        <v>0</v>
      </c>
      <c r="N597" s="24">
        <v>15</v>
      </c>
      <c r="O597" s="26">
        <f t="shared" si="118"/>
        <v>0</v>
      </c>
      <c r="P597" s="24">
        <v>1.1000000000000001</v>
      </c>
      <c r="Q597" s="24">
        <v>36</v>
      </c>
      <c r="R597" s="27">
        <f t="shared" si="119"/>
        <v>0</v>
      </c>
      <c r="S597" s="102">
        <f t="shared" si="121"/>
        <v>0</v>
      </c>
      <c r="T597" s="21">
        <f>VLOOKUP($A597,'2022-23 Salary &amp; Benefits'!$A:$I,5,FALSE)</f>
        <v>68937</v>
      </c>
      <c r="U597" s="21">
        <f>VLOOKUP($A597,'2022-23 Salary &amp; Benefits'!$A:$I,6,FALSE)</f>
        <v>72728</v>
      </c>
      <c r="V597" s="22">
        <f t="shared" si="122"/>
        <v>0</v>
      </c>
      <c r="W597" s="22">
        <f t="shared" si="123"/>
        <v>0</v>
      </c>
      <c r="X597" s="22">
        <f>'2022-23 Salary &amp; Benefits'!$G$6</f>
        <v>12558.24</v>
      </c>
      <c r="Y597" s="23">
        <f>'2022-23 Salary &amp; Benefits'!$H$6</f>
        <v>0.2298</v>
      </c>
      <c r="Z597" s="23">
        <f>'2022-23 Salary &amp; Benefits'!$I$6</f>
        <v>0.22339999999999999</v>
      </c>
      <c r="AA597" s="22">
        <f t="shared" si="124"/>
        <v>0</v>
      </c>
      <c r="AB597" s="22">
        <f t="shared" si="125"/>
        <v>0</v>
      </c>
      <c r="AC597" s="22">
        <f t="shared" si="126"/>
        <v>0</v>
      </c>
      <c r="AD597" s="22">
        <f t="shared" si="116"/>
        <v>0</v>
      </c>
      <c r="AE597" s="22">
        <f t="shared" si="117"/>
        <v>0</v>
      </c>
      <c r="AF597" s="19" t="str">
        <f>VLOOKUP(C597,'2021-22 School Level AAFTE'!C:N,12,FALSE)</f>
        <v>No</v>
      </c>
    </row>
    <row r="598" spans="1:284" s="19" customFormat="1">
      <c r="A598" s="97" t="s">
        <v>2288</v>
      </c>
      <c r="B598" s="97" t="s">
        <v>220</v>
      </c>
      <c r="C598" s="95">
        <v>4163</v>
      </c>
      <c r="D598" s="95" t="s">
        <v>240</v>
      </c>
      <c r="E598" s="129">
        <f>VLOOKUP($C598,'2021-22 School Level AAFTE'!$C:$Z,11,FALSE)</f>
        <v>0.60973333333333335</v>
      </c>
      <c r="F598" s="129" t="str">
        <f>VLOOKUP($C598,'2021-22 School Level AAFTE'!$C:$Z,8,FALSE)</f>
        <v>Yes</v>
      </c>
      <c r="G598" s="129" t="str">
        <f>VLOOKUP($C598,'2021-22 School Level AAFTE'!$C:$Z,12,FALSE)</f>
        <v>No</v>
      </c>
      <c r="H598" s="127">
        <f>VLOOKUP($C598,'2021-22 School Level AAFTE'!$C:$I,7,FALSE)</f>
        <v>310.95999999999998</v>
      </c>
      <c r="I598" s="112">
        <f>IFERROR(IF(OR(G598="yes",F598= "yes"),VLOOKUP(C598,Summary!$B:$J,6,0),0),0)</f>
        <v>0</v>
      </c>
      <c r="J598" s="111">
        <f t="shared" si="120"/>
        <v>310.95999999999998</v>
      </c>
      <c r="K598" s="91">
        <f>VLOOKUP($A598,'2022-23 Salary &amp; Benefits'!$A:$I,3,FALSE)</f>
        <v>1.06</v>
      </c>
      <c r="L598" s="91">
        <f>VLOOKUP($A598,'2022-23 Salary &amp; Benefits'!$A:$I,4,FALSE)</f>
        <v>1.06</v>
      </c>
      <c r="M598" s="39">
        <f t="shared" si="115"/>
        <v>310.95999999999998</v>
      </c>
      <c r="N598" s="24">
        <v>15</v>
      </c>
      <c r="O598" s="26">
        <f t="shared" si="118"/>
        <v>20.730666666666664</v>
      </c>
      <c r="P598" s="24">
        <v>1.1000000000000001</v>
      </c>
      <c r="Q598" s="24">
        <v>36</v>
      </c>
      <c r="R598" s="27">
        <f t="shared" si="119"/>
        <v>820.93439999999998</v>
      </c>
      <c r="S598" s="102">
        <f t="shared" si="121"/>
        <v>0.91200000000000003</v>
      </c>
      <c r="T598" s="21">
        <f>VLOOKUP($A598,'2022-23 Salary &amp; Benefits'!$A:$I,5,FALSE)</f>
        <v>68937</v>
      </c>
      <c r="U598" s="21">
        <f>VLOOKUP($A598,'2022-23 Salary &amp; Benefits'!$A:$I,6,FALSE)</f>
        <v>72728</v>
      </c>
      <c r="V598" s="22">
        <f t="shared" si="122"/>
        <v>66642.78</v>
      </c>
      <c r="W598" s="22">
        <f t="shared" si="123"/>
        <v>3664.8300000000017</v>
      </c>
      <c r="X598" s="22">
        <f>'2022-23 Salary &amp; Benefits'!$G$6</f>
        <v>12558.24</v>
      </c>
      <c r="Y598" s="23">
        <f>'2022-23 Salary &amp; Benefits'!$H$6</f>
        <v>0.2298</v>
      </c>
      <c r="Z598" s="23">
        <f>'2022-23 Salary &amp; Benefits'!$I$6</f>
        <v>0.22339999999999999</v>
      </c>
      <c r="AA598" s="22">
        <f t="shared" si="124"/>
        <v>27586.35</v>
      </c>
      <c r="AB598" s="22">
        <f t="shared" si="125"/>
        <v>1171.79</v>
      </c>
      <c r="AC598" s="22">
        <f t="shared" si="126"/>
        <v>261.77999999999997</v>
      </c>
      <c r="AD598" s="22">
        <f t="shared" si="116"/>
        <v>1433.57</v>
      </c>
      <c r="AE598" s="22">
        <f t="shared" si="117"/>
        <v>99327.530000000013</v>
      </c>
      <c r="AF598" s="19" t="str">
        <f>VLOOKUP(C598,'2021-22 School Level AAFTE'!C:N,12,FALSE)</f>
        <v>No</v>
      </c>
    </row>
    <row r="599" spans="1:284" s="19" customFormat="1">
      <c r="A599" s="97" t="s">
        <v>2288</v>
      </c>
      <c r="B599" s="97" t="s">
        <v>220</v>
      </c>
      <c r="C599" s="95">
        <v>4203</v>
      </c>
      <c r="D599" s="95" t="s">
        <v>2779</v>
      </c>
      <c r="E599" s="129">
        <f>VLOOKUP($C599,'2021-22 School Level AAFTE'!$C:$Z,11,FALSE)</f>
        <v>0</v>
      </c>
      <c r="F599" s="129" t="str">
        <f>VLOOKUP($C599,'2021-22 School Level AAFTE'!$C:$Z,8,FALSE)</f>
        <v>No</v>
      </c>
      <c r="G599" s="129" t="str">
        <f>VLOOKUP($C599,'2021-22 School Level AAFTE'!$C:$Z,12,FALSE)</f>
        <v>No</v>
      </c>
      <c r="H599" s="127">
        <f>VLOOKUP($C599,'2021-22 School Level AAFTE'!$C:$I,7,FALSE)</f>
        <v>550.69000000000005</v>
      </c>
      <c r="I599" s="112">
        <f>IFERROR(IF(OR(G599="yes",F599= "yes"),VLOOKUP(C599,Summary!$B:$J,6,0),0),0)</f>
        <v>0</v>
      </c>
      <c r="J599" s="111">
        <f t="shared" si="120"/>
        <v>0</v>
      </c>
      <c r="K599" s="91">
        <f>VLOOKUP($A599,'2022-23 Salary &amp; Benefits'!$A:$I,3,FALSE)</f>
        <v>1.06</v>
      </c>
      <c r="L599" s="91">
        <f>VLOOKUP($A599,'2022-23 Salary &amp; Benefits'!$A:$I,4,FALSE)</f>
        <v>1.06</v>
      </c>
      <c r="M599" s="101">
        <f t="shared" si="115"/>
        <v>0</v>
      </c>
      <c r="N599" s="24">
        <v>15</v>
      </c>
      <c r="O599" s="26">
        <f t="shared" si="118"/>
        <v>0</v>
      </c>
      <c r="P599" s="24">
        <v>1.1000000000000001</v>
      </c>
      <c r="Q599" s="24">
        <v>36</v>
      </c>
      <c r="R599" s="27">
        <f t="shared" si="119"/>
        <v>0</v>
      </c>
      <c r="S599" s="102">
        <f t="shared" si="121"/>
        <v>0</v>
      </c>
      <c r="T599" s="21">
        <f>VLOOKUP($A599,'2022-23 Salary &amp; Benefits'!$A:$I,5,FALSE)</f>
        <v>68937</v>
      </c>
      <c r="U599" s="21">
        <f>VLOOKUP($A599,'2022-23 Salary &amp; Benefits'!$A:$I,6,FALSE)</f>
        <v>72728</v>
      </c>
      <c r="V599" s="22">
        <f t="shared" si="122"/>
        <v>0</v>
      </c>
      <c r="W599" s="22">
        <f t="shared" si="123"/>
        <v>0</v>
      </c>
      <c r="X599" s="22">
        <f>'2022-23 Salary &amp; Benefits'!$G$6</f>
        <v>12558.24</v>
      </c>
      <c r="Y599" s="23">
        <f>'2022-23 Salary &amp; Benefits'!$H$6</f>
        <v>0.2298</v>
      </c>
      <c r="Z599" s="23">
        <f>'2022-23 Salary &amp; Benefits'!$I$6</f>
        <v>0.22339999999999999</v>
      </c>
      <c r="AA599" s="22">
        <f t="shared" si="124"/>
        <v>0</v>
      </c>
      <c r="AB599" s="22">
        <f t="shared" si="125"/>
        <v>0</v>
      </c>
      <c r="AC599" s="22">
        <f t="shared" si="126"/>
        <v>0</v>
      </c>
      <c r="AD599" s="22">
        <f t="shared" si="116"/>
        <v>0</v>
      </c>
      <c r="AE599" s="22">
        <f t="shared" si="117"/>
        <v>0</v>
      </c>
      <c r="AF599" s="19" t="str">
        <f>VLOOKUP(C599,'2021-22 School Level AAFTE'!C:N,12,FALSE)</f>
        <v>No</v>
      </c>
    </row>
    <row r="600" spans="1:284" s="19" customFormat="1">
      <c r="A600" s="97" t="s">
        <v>2288</v>
      </c>
      <c r="B600" s="97" t="s">
        <v>220</v>
      </c>
      <c r="C600" s="95">
        <v>4209</v>
      </c>
      <c r="D600" s="95" t="s">
        <v>241</v>
      </c>
      <c r="E600" s="129">
        <f>VLOOKUP($C600,'2021-22 School Level AAFTE'!$C:$Z,11,FALSE)</f>
        <v>0.41539999999999999</v>
      </c>
      <c r="F600" s="129" t="str">
        <f>VLOOKUP($C600,'2021-22 School Level AAFTE'!$C:$Z,8,FALSE)</f>
        <v>No</v>
      </c>
      <c r="G600" s="129" t="str">
        <f>VLOOKUP($C600,'2021-22 School Level AAFTE'!$C:$Z,12,FALSE)</f>
        <v>No</v>
      </c>
      <c r="H600" s="127">
        <f>VLOOKUP($C600,'2021-22 School Level AAFTE'!$C:$I,7,FALSE)</f>
        <v>910.33</v>
      </c>
      <c r="I600" s="112">
        <f>IFERROR(IF(OR(G600="yes",F600= "yes"),VLOOKUP(C600,Summary!$B:$J,6,0),0),0)</f>
        <v>0</v>
      </c>
      <c r="J600" s="111">
        <f t="shared" si="120"/>
        <v>0</v>
      </c>
      <c r="K600" s="91">
        <f>VLOOKUP($A600,'2022-23 Salary &amp; Benefits'!$A:$I,3,FALSE)</f>
        <v>1.06</v>
      </c>
      <c r="L600" s="91">
        <f>VLOOKUP($A600,'2022-23 Salary &amp; Benefits'!$A:$I,4,FALSE)</f>
        <v>1.06</v>
      </c>
      <c r="M600" s="101">
        <f t="shared" si="115"/>
        <v>0</v>
      </c>
      <c r="N600" s="24">
        <v>15</v>
      </c>
      <c r="O600" s="26">
        <f t="shared" si="118"/>
        <v>0</v>
      </c>
      <c r="P600" s="24">
        <v>1.1000000000000001</v>
      </c>
      <c r="Q600" s="24">
        <v>36</v>
      </c>
      <c r="R600" s="27">
        <f t="shared" si="119"/>
        <v>0</v>
      </c>
      <c r="S600" s="102">
        <f t="shared" si="121"/>
        <v>0</v>
      </c>
      <c r="T600" s="21">
        <f>VLOOKUP($A600,'2022-23 Salary &amp; Benefits'!$A:$I,5,FALSE)</f>
        <v>68937</v>
      </c>
      <c r="U600" s="21">
        <f>VLOOKUP($A600,'2022-23 Salary &amp; Benefits'!$A:$I,6,FALSE)</f>
        <v>72728</v>
      </c>
      <c r="V600" s="22">
        <f t="shared" si="122"/>
        <v>0</v>
      </c>
      <c r="W600" s="22">
        <f t="shared" si="123"/>
        <v>0</v>
      </c>
      <c r="X600" s="22">
        <f>'2022-23 Salary &amp; Benefits'!$G$6</f>
        <v>12558.24</v>
      </c>
      <c r="Y600" s="23">
        <f>'2022-23 Salary &amp; Benefits'!$H$6</f>
        <v>0.2298</v>
      </c>
      <c r="Z600" s="23">
        <f>'2022-23 Salary &amp; Benefits'!$I$6</f>
        <v>0.22339999999999999</v>
      </c>
      <c r="AA600" s="22">
        <f t="shared" si="124"/>
        <v>0</v>
      </c>
      <c r="AB600" s="22">
        <f t="shared" si="125"/>
        <v>0</v>
      </c>
      <c r="AC600" s="22">
        <f t="shared" si="126"/>
        <v>0</v>
      </c>
      <c r="AD600" s="22">
        <f t="shared" si="116"/>
        <v>0</v>
      </c>
      <c r="AE600" s="22">
        <f t="shared" si="117"/>
        <v>0</v>
      </c>
      <c r="AF600" s="19" t="str">
        <f>VLOOKUP(C600,'2021-22 School Level AAFTE'!C:N,12,FALSE)</f>
        <v>No</v>
      </c>
    </row>
    <row r="601" spans="1:284" s="19" customFormat="1">
      <c r="A601" s="97" t="s">
        <v>2288</v>
      </c>
      <c r="B601" s="97" t="s">
        <v>220</v>
      </c>
      <c r="C601" s="95">
        <v>4299</v>
      </c>
      <c r="D601" s="95" t="s">
        <v>242</v>
      </c>
      <c r="E601" s="129">
        <f>VLOOKUP($C601,'2021-22 School Level AAFTE'!$C:$Z,11,FALSE)</f>
        <v>0.52473333333333338</v>
      </c>
      <c r="F601" s="129" t="str">
        <f>VLOOKUP($C601,'2021-22 School Level AAFTE'!$C:$Z,8,FALSE)</f>
        <v>Yes</v>
      </c>
      <c r="G601" s="129" t="str">
        <f>VLOOKUP($C601,'2021-22 School Level AAFTE'!$C:$Z,12,FALSE)</f>
        <v>No</v>
      </c>
      <c r="H601" s="127">
        <f>VLOOKUP($C601,'2021-22 School Level AAFTE'!$C:$I,7,FALSE)</f>
        <v>371.43</v>
      </c>
      <c r="I601" s="112">
        <f>IFERROR(IF(OR(G601="yes",F601= "yes"),VLOOKUP(C601,Summary!$B:$J,6,0),0),0)</f>
        <v>0</v>
      </c>
      <c r="J601" s="111">
        <f t="shared" si="120"/>
        <v>371.43</v>
      </c>
      <c r="K601" s="91">
        <f>VLOOKUP($A601,'2022-23 Salary &amp; Benefits'!$A:$I,3,FALSE)</f>
        <v>1.06</v>
      </c>
      <c r="L601" s="91">
        <f>VLOOKUP($A601,'2022-23 Salary &amp; Benefits'!$A:$I,4,FALSE)</f>
        <v>1.06</v>
      </c>
      <c r="M601" s="101">
        <f t="shared" si="115"/>
        <v>371.43</v>
      </c>
      <c r="N601" s="24">
        <v>15</v>
      </c>
      <c r="O601" s="26">
        <f t="shared" si="118"/>
        <v>24.762</v>
      </c>
      <c r="P601" s="24">
        <v>1.1000000000000001</v>
      </c>
      <c r="Q601" s="24">
        <v>36</v>
      </c>
      <c r="R601" s="27">
        <f t="shared" si="119"/>
        <v>980.57520000000011</v>
      </c>
      <c r="S601" s="102">
        <f t="shared" si="121"/>
        <v>1.0900000000000001</v>
      </c>
      <c r="T601" s="21">
        <f>VLOOKUP($A601,'2022-23 Salary &amp; Benefits'!$A:$I,5,FALSE)</f>
        <v>68937</v>
      </c>
      <c r="U601" s="21">
        <f>VLOOKUP($A601,'2022-23 Salary &amp; Benefits'!$A:$I,6,FALSE)</f>
        <v>72728</v>
      </c>
      <c r="V601" s="22">
        <f t="shared" si="122"/>
        <v>79649.81</v>
      </c>
      <c r="W601" s="22">
        <f t="shared" si="123"/>
        <v>4380.1199999999953</v>
      </c>
      <c r="X601" s="22">
        <f>'2022-23 Salary &amp; Benefits'!$G$6</f>
        <v>12558.24</v>
      </c>
      <c r="Y601" s="23">
        <f>'2022-23 Salary &amp; Benefits'!$H$6</f>
        <v>0.2298</v>
      </c>
      <c r="Z601" s="23">
        <f>'2022-23 Salary &amp; Benefits'!$I$6</f>
        <v>0.22339999999999999</v>
      </c>
      <c r="AA601" s="22">
        <f t="shared" si="124"/>
        <v>32970.53</v>
      </c>
      <c r="AB601" s="22">
        <f t="shared" si="125"/>
        <v>1400.5</v>
      </c>
      <c r="AC601" s="22">
        <f t="shared" si="126"/>
        <v>312.87</v>
      </c>
      <c r="AD601" s="22">
        <f t="shared" si="116"/>
        <v>1713.37</v>
      </c>
      <c r="AE601" s="22">
        <f t="shared" si="117"/>
        <v>118713.82999999999</v>
      </c>
      <c r="AF601" s="19" t="str">
        <f>VLOOKUP(C601,'2021-22 School Level AAFTE'!C:N,12,FALSE)</f>
        <v>No</v>
      </c>
    </row>
    <row r="602" spans="1:284" s="19" customFormat="1">
      <c r="A602" s="97" t="s">
        <v>2288</v>
      </c>
      <c r="B602" s="97" t="s">
        <v>220</v>
      </c>
      <c r="C602" s="95">
        <v>4380</v>
      </c>
      <c r="D602" s="95" t="s">
        <v>243</v>
      </c>
      <c r="E602" s="129">
        <f>VLOOKUP($C602,'2021-22 School Level AAFTE'!$C:$Z,11,FALSE)</f>
        <v>0.3550666666666667</v>
      </c>
      <c r="F602" s="129" t="str">
        <f>VLOOKUP($C602,'2021-22 School Level AAFTE'!$C:$Z,8,FALSE)</f>
        <v>No</v>
      </c>
      <c r="G602" s="129" t="str">
        <f>VLOOKUP($C602,'2021-22 School Level AAFTE'!$C:$Z,12,FALSE)</f>
        <v>No</v>
      </c>
      <c r="H602" s="127">
        <f>VLOOKUP($C602,'2021-22 School Level AAFTE'!$C:$I,7,FALSE)</f>
        <v>486.5</v>
      </c>
      <c r="I602" s="112">
        <f>IFERROR(IF(OR(G602="yes",F602= "yes"),VLOOKUP(C602,Summary!$B:$J,6,0),0),0)</f>
        <v>0</v>
      </c>
      <c r="J602" s="111">
        <f t="shared" si="120"/>
        <v>0</v>
      </c>
      <c r="K602" s="91">
        <f>VLOOKUP($A602,'2022-23 Salary &amp; Benefits'!$A:$I,3,FALSE)</f>
        <v>1.06</v>
      </c>
      <c r="L602" s="91">
        <f>VLOOKUP($A602,'2022-23 Salary &amp; Benefits'!$A:$I,4,FALSE)</f>
        <v>1.06</v>
      </c>
      <c r="M602" s="101">
        <f t="shared" si="115"/>
        <v>0</v>
      </c>
      <c r="N602" s="24">
        <v>15</v>
      </c>
      <c r="O602" s="26">
        <f t="shared" si="118"/>
        <v>0</v>
      </c>
      <c r="P602" s="24">
        <v>1.1000000000000001</v>
      </c>
      <c r="Q602" s="24">
        <v>36</v>
      </c>
      <c r="R602" s="27">
        <f t="shared" si="119"/>
        <v>0</v>
      </c>
      <c r="S602" s="102">
        <f t="shared" si="121"/>
        <v>0</v>
      </c>
      <c r="T602" s="21">
        <f>VLOOKUP($A602,'2022-23 Salary &amp; Benefits'!$A:$I,5,FALSE)</f>
        <v>68937</v>
      </c>
      <c r="U602" s="21">
        <f>VLOOKUP($A602,'2022-23 Salary &amp; Benefits'!$A:$I,6,FALSE)</f>
        <v>72728</v>
      </c>
      <c r="V602" s="22">
        <f t="shared" si="122"/>
        <v>0</v>
      </c>
      <c r="W602" s="22">
        <f t="shared" si="123"/>
        <v>0</v>
      </c>
      <c r="X602" s="22">
        <f>'2022-23 Salary &amp; Benefits'!$G$6</f>
        <v>12558.24</v>
      </c>
      <c r="Y602" s="23">
        <f>'2022-23 Salary &amp; Benefits'!$H$6</f>
        <v>0.2298</v>
      </c>
      <c r="Z602" s="23">
        <f>'2022-23 Salary &amp; Benefits'!$I$6</f>
        <v>0.22339999999999999</v>
      </c>
      <c r="AA602" s="22">
        <f t="shared" si="124"/>
        <v>0</v>
      </c>
      <c r="AB602" s="22">
        <f t="shared" si="125"/>
        <v>0</v>
      </c>
      <c r="AC602" s="22">
        <f t="shared" si="126"/>
        <v>0</v>
      </c>
      <c r="AD602" s="22">
        <f t="shared" si="116"/>
        <v>0</v>
      </c>
      <c r="AE602" s="22">
        <f t="shared" si="117"/>
        <v>0</v>
      </c>
      <c r="AF602" s="19" t="str">
        <f>VLOOKUP(C602,'2021-22 School Level AAFTE'!C:N,12,FALSE)</f>
        <v>No</v>
      </c>
    </row>
    <row r="603" spans="1:284" s="19" customFormat="1">
      <c r="A603" s="97" t="s">
        <v>2288</v>
      </c>
      <c r="B603" s="97" t="s">
        <v>220</v>
      </c>
      <c r="C603" s="95">
        <v>4445</v>
      </c>
      <c r="D603" s="95" t="s">
        <v>244</v>
      </c>
      <c r="E603" s="129">
        <f>VLOOKUP($C603,'2021-22 School Level AAFTE'!$C:$Z,11,FALSE)</f>
        <v>0.49859999999999999</v>
      </c>
      <c r="F603" s="129" t="str">
        <f>VLOOKUP($C603,'2021-22 School Level AAFTE'!$C:$Z,8,FALSE)</f>
        <v>No</v>
      </c>
      <c r="G603" s="129" t="str">
        <f>VLOOKUP($C603,'2021-22 School Level AAFTE'!$C:$Z,12,FALSE)</f>
        <v>Yes</v>
      </c>
      <c r="H603" s="127">
        <f>VLOOKUP($C603,'2021-22 School Level AAFTE'!$C:$I,7,FALSE)</f>
        <v>548.17999999999995</v>
      </c>
      <c r="I603" s="112">
        <f>IFERROR(IF(OR(G603="yes",F603= "yes"),VLOOKUP(C603,Summary!$B:$J,6,0),0),0)</f>
        <v>0</v>
      </c>
      <c r="J603" s="111">
        <f t="shared" si="120"/>
        <v>548.17999999999995</v>
      </c>
      <c r="K603" s="91">
        <f>VLOOKUP($A603,'2022-23 Salary &amp; Benefits'!$A:$I,3,FALSE)</f>
        <v>1.06</v>
      </c>
      <c r="L603" s="91">
        <f>VLOOKUP($A603,'2022-23 Salary &amp; Benefits'!$A:$I,4,FALSE)</f>
        <v>1.06</v>
      </c>
      <c r="M603" s="39">
        <f t="shared" si="115"/>
        <v>548.17999999999995</v>
      </c>
      <c r="N603" s="24">
        <v>15</v>
      </c>
      <c r="O603" s="26">
        <f t="shared" si="118"/>
        <v>36.545333333333332</v>
      </c>
      <c r="P603" s="24">
        <v>1.1000000000000001</v>
      </c>
      <c r="Q603" s="24">
        <v>36</v>
      </c>
      <c r="R603" s="27">
        <f t="shared" si="119"/>
        <v>1447.1951999999999</v>
      </c>
      <c r="S603" s="102">
        <f t="shared" si="121"/>
        <v>1.6080000000000001</v>
      </c>
      <c r="T603" s="21">
        <f>VLOOKUP($A603,'2022-23 Salary &amp; Benefits'!$A:$I,5,FALSE)</f>
        <v>68937</v>
      </c>
      <c r="U603" s="21">
        <f>VLOOKUP($A603,'2022-23 Salary &amp; Benefits'!$A:$I,6,FALSE)</f>
        <v>72728</v>
      </c>
      <c r="V603" s="22">
        <f t="shared" si="122"/>
        <v>117501.74</v>
      </c>
      <c r="W603" s="22">
        <f t="shared" si="123"/>
        <v>6461.679999999993</v>
      </c>
      <c r="X603" s="22">
        <f>'2022-23 Salary &amp; Benefits'!$G$6</f>
        <v>12558.24</v>
      </c>
      <c r="Y603" s="23">
        <f>'2022-23 Salary &amp; Benefits'!$H$6</f>
        <v>0.2298</v>
      </c>
      <c r="Z603" s="23">
        <f>'2022-23 Salary &amp; Benefits'!$I$6</f>
        <v>0.22339999999999999</v>
      </c>
      <c r="AA603" s="22">
        <f t="shared" si="124"/>
        <v>48639.09</v>
      </c>
      <c r="AB603" s="22">
        <f t="shared" si="125"/>
        <v>2066.06</v>
      </c>
      <c r="AC603" s="22">
        <f t="shared" si="126"/>
        <v>461.56</v>
      </c>
      <c r="AD603" s="22">
        <f t="shared" si="116"/>
        <v>2527.62</v>
      </c>
      <c r="AE603" s="22">
        <f t="shared" si="117"/>
        <v>175130.13</v>
      </c>
      <c r="AF603" s="19" t="str">
        <f>VLOOKUP(C603,'2021-22 School Level AAFTE'!C:N,12,FALSE)</f>
        <v>Yes</v>
      </c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</row>
    <row r="604" spans="1:284" s="19" customFormat="1">
      <c r="A604" s="97" t="s">
        <v>2288</v>
      </c>
      <c r="B604" s="97" t="s">
        <v>220</v>
      </c>
      <c r="C604" s="95">
        <v>4498</v>
      </c>
      <c r="D604" s="95" t="s">
        <v>245</v>
      </c>
      <c r="E604" s="129">
        <f>VLOOKUP($C604,'2021-22 School Level AAFTE'!$C:$Z,11,FALSE)</f>
        <v>0.51146666666666663</v>
      </c>
      <c r="F604" s="129" t="str">
        <f>VLOOKUP($C604,'2021-22 School Level AAFTE'!$C:$Z,8,FALSE)</f>
        <v>Yes</v>
      </c>
      <c r="G604" s="129" t="str">
        <f>VLOOKUP($C604,'2021-22 School Level AAFTE'!$C:$Z,12,FALSE)</f>
        <v>No</v>
      </c>
      <c r="H604" s="127">
        <f>VLOOKUP($C604,'2021-22 School Level AAFTE'!$C:$I,7,FALSE)</f>
        <v>769.75</v>
      </c>
      <c r="I604" s="112">
        <f>IFERROR(IF(OR(G604="yes",F604= "yes"),VLOOKUP(C604,Summary!$B:$J,6,0),0),0)</f>
        <v>0</v>
      </c>
      <c r="J604" s="111">
        <f t="shared" si="120"/>
        <v>769.75</v>
      </c>
      <c r="K604" s="91">
        <f>VLOOKUP($A604,'2022-23 Salary &amp; Benefits'!$A:$I,3,FALSE)</f>
        <v>1.06</v>
      </c>
      <c r="L604" s="91">
        <f>VLOOKUP($A604,'2022-23 Salary &amp; Benefits'!$A:$I,4,FALSE)</f>
        <v>1.06</v>
      </c>
      <c r="M604" s="101">
        <f t="shared" si="115"/>
        <v>769.75</v>
      </c>
      <c r="N604" s="24">
        <v>15</v>
      </c>
      <c r="O604" s="26">
        <f t="shared" si="118"/>
        <v>51.31666666666667</v>
      </c>
      <c r="P604" s="24">
        <v>1.1000000000000001</v>
      </c>
      <c r="Q604" s="24">
        <v>36</v>
      </c>
      <c r="R604" s="27">
        <f t="shared" si="119"/>
        <v>2032.1400000000003</v>
      </c>
      <c r="S604" s="102">
        <f t="shared" si="121"/>
        <v>2.258</v>
      </c>
      <c r="T604" s="21">
        <f>VLOOKUP($A604,'2022-23 Salary &amp; Benefits'!$A:$I,5,FALSE)</f>
        <v>68937</v>
      </c>
      <c r="U604" s="21">
        <f>VLOOKUP($A604,'2022-23 Salary &amp; Benefits'!$A:$I,6,FALSE)</f>
        <v>72728</v>
      </c>
      <c r="V604" s="22">
        <f t="shared" si="122"/>
        <v>164999.32999999999</v>
      </c>
      <c r="W604" s="22">
        <f t="shared" si="123"/>
        <v>9073.6800000000221</v>
      </c>
      <c r="X604" s="22">
        <f>'2022-23 Salary &amp; Benefits'!$G$6</f>
        <v>12558.24</v>
      </c>
      <c r="Y604" s="23">
        <f>'2022-23 Salary &amp; Benefits'!$H$6</f>
        <v>0.2298</v>
      </c>
      <c r="Z604" s="23">
        <f>'2022-23 Salary &amp; Benefits'!$I$6</f>
        <v>0.22339999999999999</v>
      </c>
      <c r="AA604" s="22">
        <f t="shared" si="124"/>
        <v>68300.41</v>
      </c>
      <c r="AB604" s="22">
        <f t="shared" si="125"/>
        <v>2901.22</v>
      </c>
      <c r="AC604" s="22">
        <f t="shared" si="126"/>
        <v>648.13</v>
      </c>
      <c r="AD604" s="22">
        <f t="shared" si="116"/>
        <v>3549.35</v>
      </c>
      <c r="AE604" s="22">
        <f t="shared" si="117"/>
        <v>245922.77000000002</v>
      </c>
      <c r="AF604" s="19" t="str">
        <f>VLOOKUP(C604,'2021-22 School Level AAFTE'!C:N,12,FALSE)</f>
        <v>No</v>
      </c>
    </row>
    <row r="605" spans="1:284" s="19" customFormat="1">
      <c r="A605" s="97" t="s">
        <v>2288</v>
      </c>
      <c r="B605" s="97" t="s">
        <v>220</v>
      </c>
      <c r="C605" s="95">
        <v>4499</v>
      </c>
      <c r="D605" s="95" t="s">
        <v>246</v>
      </c>
      <c r="E605" s="129">
        <f>VLOOKUP($C605,'2021-22 School Level AAFTE'!$C:$Z,11,FALSE)</f>
        <v>0.19456666666666667</v>
      </c>
      <c r="F605" s="129" t="str">
        <f>VLOOKUP($C605,'2021-22 School Level AAFTE'!$C:$Z,8,FALSE)</f>
        <v>No</v>
      </c>
      <c r="G605" s="129" t="str">
        <f>VLOOKUP($C605,'2021-22 School Level AAFTE'!$C:$Z,12,FALSE)</f>
        <v>No</v>
      </c>
      <c r="H605" s="127">
        <f>VLOOKUP($C605,'2021-22 School Level AAFTE'!$C:$I,7,FALSE)</f>
        <v>472.65</v>
      </c>
      <c r="I605" s="112">
        <f>IFERROR(IF(OR(G605="yes",F605= "yes"),VLOOKUP(C605,Summary!$B:$J,6,0),0),0)</f>
        <v>0</v>
      </c>
      <c r="J605" s="111">
        <f t="shared" si="120"/>
        <v>0</v>
      </c>
      <c r="K605" s="91">
        <f>VLOOKUP($A605,'2022-23 Salary &amp; Benefits'!$A:$I,3,FALSE)</f>
        <v>1.06</v>
      </c>
      <c r="L605" s="91">
        <f>VLOOKUP($A605,'2022-23 Salary &amp; Benefits'!$A:$I,4,FALSE)</f>
        <v>1.06</v>
      </c>
      <c r="M605" s="101">
        <f t="shared" si="115"/>
        <v>0</v>
      </c>
      <c r="N605" s="24">
        <v>15</v>
      </c>
      <c r="O605" s="26">
        <f t="shared" si="118"/>
        <v>0</v>
      </c>
      <c r="P605" s="24">
        <v>1.1000000000000001</v>
      </c>
      <c r="Q605" s="24">
        <v>36</v>
      </c>
      <c r="R605" s="27">
        <f t="shared" si="119"/>
        <v>0</v>
      </c>
      <c r="S605" s="102">
        <f t="shared" si="121"/>
        <v>0</v>
      </c>
      <c r="T605" s="21">
        <f>VLOOKUP($A605,'2022-23 Salary &amp; Benefits'!$A:$I,5,FALSE)</f>
        <v>68937</v>
      </c>
      <c r="U605" s="21">
        <f>VLOOKUP($A605,'2022-23 Salary &amp; Benefits'!$A:$I,6,FALSE)</f>
        <v>72728</v>
      </c>
      <c r="V605" s="22">
        <f t="shared" si="122"/>
        <v>0</v>
      </c>
      <c r="W605" s="22">
        <f t="shared" si="123"/>
        <v>0</v>
      </c>
      <c r="X605" s="22">
        <f>'2022-23 Salary &amp; Benefits'!$G$6</f>
        <v>12558.24</v>
      </c>
      <c r="Y605" s="23">
        <f>'2022-23 Salary &amp; Benefits'!$H$6</f>
        <v>0.2298</v>
      </c>
      <c r="Z605" s="23">
        <f>'2022-23 Salary &amp; Benefits'!$I$6</f>
        <v>0.22339999999999999</v>
      </c>
      <c r="AA605" s="22">
        <f t="shared" si="124"/>
        <v>0</v>
      </c>
      <c r="AB605" s="22">
        <f t="shared" si="125"/>
        <v>0</v>
      </c>
      <c r="AC605" s="22">
        <f t="shared" si="126"/>
        <v>0</v>
      </c>
      <c r="AD605" s="22">
        <f t="shared" si="116"/>
        <v>0</v>
      </c>
      <c r="AE605" s="22">
        <f t="shared" si="117"/>
        <v>0</v>
      </c>
      <c r="AF605" s="19" t="str">
        <f>VLOOKUP(C605,'2021-22 School Level AAFTE'!C:N,12,FALSE)</f>
        <v>No</v>
      </c>
    </row>
    <row r="606" spans="1:284" s="19" customFormat="1">
      <c r="A606" s="97" t="s">
        <v>2288</v>
      </c>
      <c r="B606" s="97" t="s">
        <v>220</v>
      </c>
      <c r="C606" s="95">
        <v>4523</v>
      </c>
      <c r="D606" s="95" t="s">
        <v>247</v>
      </c>
      <c r="E606" s="129">
        <f>VLOOKUP($C606,'2021-22 School Level AAFTE'!$C:$Z,11,FALSE)</f>
        <v>0.58796666666666664</v>
      </c>
      <c r="F606" s="129" t="str">
        <f>VLOOKUP($C606,'2021-22 School Level AAFTE'!$C:$Z,8,FALSE)</f>
        <v>Yes</v>
      </c>
      <c r="G606" s="129" t="str">
        <f>VLOOKUP($C606,'2021-22 School Level AAFTE'!$C:$Z,12,FALSE)</f>
        <v>No</v>
      </c>
      <c r="H606" s="127">
        <f>VLOOKUP($C606,'2021-22 School Level AAFTE'!$C:$I,7,FALSE)</f>
        <v>1642.07</v>
      </c>
      <c r="I606" s="112">
        <f>IFERROR(IF(OR(G606="yes",F606= "yes"),VLOOKUP(C606,Summary!$B:$J,6,0),0),0)</f>
        <v>0</v>
      </c>
      <c r="J606" s="111">
        <f t="shared" si="120"/>
        <v>1642.07</v>
      </c>
      <c r="K606" s="91">
        <f>VLOOKUP($A606,'2022-23 Salary &amp; Benefits'!$A:$I,3,FALSE)</f>
        <v>1.06</v>
      </c>
      <c r="L606" s="91">
        <f>VLOOKUP($A606,'2022-23 Salary &amp; Benefits'!$A:$I,4,FALSE)</f>
        <v>1.06</v>
      </c>
      <c r="M606" s="39">
        <f t="shared" si="115"/>
        <v>1642.07</v>
      </c>
      <c r="N606" s="24">
        <v>15</v>
      </c>
      <c r="O606" s="26">
        <f t="shared" si="118"/>
        <v>109.47133333333333</v>
      </c>
      <c r="P606" s="24">
        <v>1.1000000000000001</v>
      </c>
      <c r="Q606" s="24">
        <v>36</v>
      </c>
      <c r="R606" s="27">
        <f t="shared" si="119"/>
        <v>4335.0648000000001</v>
      </c>
      <c r="S606" s="102">
        <f t="shared" si="121"/>
        <v>4.8170000000000002</v>
      </c>
      <c r="T606" s="21">
        <f>VLOOKUP($A606,'2022-23 Salary &amp; Benefits'!$A:$I,5,FALSE)</f>
        <v>68937</v>
      </c>
      <c r="U606" s="21">
        <f>VLOOKUP($A606,'2022-23 Salary &amp; Benefits'!$A:$I,6,FALSE)</f>
        <v>72728</v>
      </c>
      <c r="V606" s="22">
        <f t="shared" si="122"/>
        <v>351993.7</v>
      </c>
      <c r="W606" s="22">
        <f t="shared" si="123"/>
        <v>19356.919999999984</v>
      </c>
      <c r="X606" s="22">
        <f>'2022-23 Salary &amp; Benefits'!$G$6</f>
        <v>12558.24</v>
      </c>
      <c r="Y606" s="23">
        <f>'2022-23 Salary &amp; Benefits'!$H$6</f>
        <v>0.2298</v>
      </c>
      <c r="Z606" s="23">
        <f>'2022-23 Salary &amp; Benefits'!$I$6</f>
        <v>0.22339999999999999</v>
      </c>
      <c r="AA606" s="22">
        <f t="shared" si="124"/>
        <v>145705.53</v>
      </c>
      <c r="AB606" s="22">
        <f t="shared" si="125"/>
        <v>6189.18</v>
      </c>
      <c r="AC606" s="22">
        <f t="shared" si="126"/>
        <v>1382.66</v>
      </c>
      <c r="AD606" s="22">
        <f t="shared" si="116"/>
        <v>7571.84</v>
      </c>
      <c r="AE606" s="22">
        <f t="shared" si="117"/>
        <v>524627.99</v>
      </c>
      <c r="AF606" s="19" t="str">
        <f>VLOOKUP(C606,'2021-22 School Level AAFTE'!C:N,12,FALSE)</f>
        <v>No</v>
      </c>
    </row>
    <row r="607" spans="1:284" s="19" customFormat="1">
      <c r="A607" s="97" t="s">
        <v>2288</v>
      </c>
      <c r="B607" s="97" t="s">
        <v>220</v>
      </c>
      <c r="C607" s="95">
        <v>4560</v>
      </c>
      <c r="D607" s="95" t="s">
        <v>248</v>
      </c>
      <c r="E607" s="129">
        <f>VLOOKUP($C607,'2021-22 School Level AAFTE'!$C:$Z,11,FALSE)</f>
        <v>0.23479999999999998</v>
      </c>
      <c r="F607" s="129" t="str">
        <f>VLOOKUP($C607,'2021-22 School Level AAFTE'!$C:$Z,8,FALSE)</f>
        <v>No</v>
      </c>
      <c r="G607" s="129" t="str">
        <f>VLOOKUP($C607,'2021-22 School Level AAFTE'!$C:$Z,12,FALSE)</f>
        <v>No</v>
      </c>
      <c r="H607" s="127">
        <f>VLOOKUP($C607,'2021-22 School Level AAFTE'!$C:$I,7,FALSE)</f>
        <v>418</v>
      </c>
      <c r="I607" s="112">
        <f>IFERROR(IF(OR(G607="yes",F607= "yes"),VLOOKUP(C607,Summary!$B:$J,6,0),0),0)</f>
        <v>0</v>
      </c>
      <c r="J607" s="111">
        <f t="shared" si="120"/>
        <v>0</v>
      </c>
      <c r="K607" s="91">
        <f>VLOOKUP($A607,'2022-23 Salary &amp; Benefits'!$A:$I,3,FALSE)</f>
        <v>1.06</v>
      </c>
      <c r="L607" s="91">
        <f>VLOOKUP($A607,'2022-23 Salary &amp; Benefits'!$A:$I,4,FALSE)</f>
        <v>1.06</v>
      </c>
      <c r="M607" s="101">
        <f t="shared" si="115"/>
        <v>0</v>
      </c>
      <c r="N607" s="24">
        <v>15</v>
      </c>
      <c r="O607" s="26">
        <f t="shared" si="118"/>
        <v>0</v>
      </c>
      <c r="P607" s="24">
        <v>1.1000000000000001</v>
      </c>
      <c r="Q607" s="24">
        <v>36</v>
      </c>
      <c r="R607" s="27">
        <f t="shared" si="119"/>
        <v>0</v>
      </c>
      <c r="S607" s="102">
        <f t="shared" si="121"/>
        <v>0</v>
      </c>
      <c r="T607" s="21">
        <f>VLOOKUP($A607,'2022-23 Salary &amp; Benefits'!$A:$I,5,FALSE)</f>
        <v>68937</v>
      </c>
      <c r="U607" s="21">
        <f>VLOOKUP($A607,'2022-23 Salary &amp; Benefits'!$A:$I,6,FALSE)</f>
        <v>72728</v>
      </c>
      <c r="V607" s="22">
        <f t="shared" si="122"/>
        <v>0</v>
      </c>
      <c r="W607" s="22">
        <f t="shared" si="123"/>
        <v>0</v>
      </c>
      <c r="X607" s="22">
        <f>'2022-23 Salary &amp; Benefits'!$G$6</f>
        <v>12558.24</v>
      </c>
      <c r="Y607" s="23">
        <f>'2022-23 Salary &amp; Benefits'!$H$6</f>
        <v>0.2298</v>
      </c>
      <c r="Z607" s="23">
        <f>'2022-23 Salary &amp; Benefits'!$I$6</f>
        <v>0.22339999999999999</v>
      </c>
      <c r="AA607" s="22">
        <f t="shared" si="124"/>
        <v>0</v>
      </c>
      <c r="AB607" s="22">
        <f t="shared" si="125"/>
        <v>0</v>
      </c>
      <c r="AC607" s="22">
        <f t="shared" si="126"/>
        <v>0</v>
      </c>
      <c r="AD607" s="22">
        <f t="shared" si="116"/>
        <v>0</v>
      </c>
      <c r="AE607" s="22">
        <f t="shared" si="117"/>
        <v>0</v>
      </c>
      <c r="AF607" s="19" t="str">
        <f>VLOOKUP(C607,'2021-22 School Level AAFTE'!C:N,12,FALSE)</f>
        <v>No</v>
      </c>
    </row>
    <row r="608" spans="1:284" s="19" customFormat="1">
      <c r="A608" s="97" t="s">
        <v>2288</v>
      </c>
      <c r="B608" s="97" t="s">
        <v>220</v>
      </c>
      <c r="C608" s="95">
        <v>4561</v>
      </c>
      <c r="D608" s="95" t="s">
        <v>249</v>
      </c>
      <c r="E608" s="129">
        <f>VLOOKUP($C608,'2021-22 School Level AAFTE'!$C:$Z,11,FALSE)</f>
        <v>0.34036666666666671</v>
      </c>
      <c r="F608" s="129" t="str">
        <f>VLOOKUP($C608,'2021-22 School Level AAFTE'!$C:$Z,8,FALSE)</f>
        <v>No</v>
      </c>
      <c r="G608" s="129" t="str">
        <f>VLOOKUP($C608,'2021-22 School Level AAFTE'!$C:$Z,12,FALSE)</f>
        <v>No</v>
      </c>
      <c r="H608" s="127">
        <f>VLOOKUP($C608,'2021-22 School Level AAFTE'!$C:$I,7,FALSE)</f>
        <v>898.26</v>
      </c>
      <c r="I608" s="112">
        <f>IFERROR(IF(OR(G608="yes",F608= "yes"),VLOOKUP(C608,Summary!$B:$J,6,0),0),0)</f>
        <v>0</v>
      </c>
      <c r="J608" s="111">
        <f t="shared" si="120"/>
        <v>0</v>
      </c>
      <c r="K608" s="91">
        <f>VLOOKUP($A608,'2022-23 Salary &amp; Benefits'!$A:$I,3,FALSE)</f>
        <v>1.06</v>
      </c>
      <c r="L608" s="91">
        <f>VLOOKUP($A608,'2022-23 Salary &amp; Benefits'!$A:$I,4,FALSE)</f>
        <v>1.06</v>
      </c>
      <c r="M608" s="101">
        <f t="shared" si="115"/>
        <v>0</v>
      </c>
      <c r="N608" s="24">
        <v>15</v>
      </c>
      <c r="O608" s="26">
        <f t="shared" si="118"/>
        <v>0</v>
      </c>
      <c r="P608" s="24">
        <v>1.1000000000000001</v>
      </c>
      <c r="Q608" s="24">
        <v>36</v>
      </c>
      <c r="R608" s="27">
        <f t="shared" si="119"/>
        <v>0</v>
      </c>
      <c r="S608" s="102">
        <f t="shared" si="121"/>
        <v>0</v>
      </c>
      <c r="T608" s="21">
        <f>VLOOKUP($A608,'2022-23 Salary &amp; Benefits'!$A:$I,5,FALSE)</f>
        <v>68937</v>
      </c>
      <c r="U608" s="21">
        <f>VLOOKUP($A608,'2022-23 Salary &amp; Benefits'!$A:$I,6,FALSE)</f>
        <v>72728</v>
      </c>
      <c r="V608" s="22">
        <f t="shared" si="122"/>
        <v>0</v>
      </c>
      <c r="W608" s="22">
        <f t="shared" si="123"/>
        <v>0</v>
      </c>
      <c r="X608" s="22">
        <f>'2022-23 Salary &amp; Benefits'!$G$6</f>
        <v>12558.24</v>
      </c>
      <c r="Y608" s="23">
        <f>'2022-23 Salary &amp; Benefits'!$H$6</f>
        <v>0.2298</v>
      </c>
      <c r="Z608" s="23">
        <f>'2022-23 Salary &amp; Benefits'!$I$6</f>
        <v>0.22339999999999999</v>
      </c>
      <c r="AA608" s="22">
        <f t="shared" si="124"/>
        <v>0</v>
      </c>
      <c r="AB608" s="22">
        <f t="shared" si="125"/>
        <v>0</v>
      </c>
      <c r="AC608" s="22">
        <f t="shared" si="126"/>
        <v>0</v>
      </c>
      <c r="AD608" s="22">
        <f t="shared" si="116"/>
        <v>0</v>
      </c>
      <c r="AE608" s="22">
        <f t="shared" si="117"/>
        <v>0</v>
      </c>
      <c r="AF608" s="19" t="str">
        <f>VLOOKUP(C608,'2021-22 School Level AAFTE'!C:N,12,FALSE)</f>
        <v>No</v>
      </c>
    </row>
    <row r="609" spans="1:32" s="19" customFormat="1">
      <c r="A609" s="97" t="s">
        <v>2288</v>
      </c>
      <c r="B609" s="97" t="s">
        <v>220</v>
      </c>
      <c r="C609" s="95">
        <v>4579</v>
      </c>
      <c r="D609" s="95" t="s">
        <v>250</v>
      </c>
      <c r="E609" s="129">
        <f>VLOOKUP($C609,'2021-22 School Level AAFTE'!$C:$Z,11,FALSE)</f>
        <v>0.44113333333333332</v>
      </c>
      <c r="F609" s="129" t="str">
        <f>VLOOKUP($C609,'2021-22 School Level AAFTE'!$C:$Z,8,FALSE)</f>
        <v>No</v>
      </c>
      <c r="G609" s="129" t="str">
        <f>VLOOKUP($C609,'2021-22 School Level AAFTE'!$C:$Z,12,FALSE)</f>
        <v>No</v>
      </c>
      <c r="H609" s="127">
        <f>VLOOKUP($C609,'2021-22 School Level AAFTE'!$C:$I,7,FALSE)</f>
        <v>378.57</v>
      </c>
      <c r="I609" s="112">
        <f>IFERROR(IF(OR(G609="yes",F609= "yes"),VLOOKUP(C609,Summary!$B:$J,6,0),0),0)</f>
        <v>0</v>
      </c>
      <c r="J609" s="111">
        <f t="shared" si="120"/>
        <v>0</v>
      </c>
      <c r="K609" s="91">
        <f>VLOOKUP($A609,'2022-23 Salary &amp; Benefits'!$A:$I,3,FALSE)</f>
        <v>1.06</v>
      </c>
      <c r="L609" s="91">
        <f>VLOOKUP($A609,'2022-23 Salary &amp; Benefits'!$A:$I,4,FALSE)</f>
        <v>1.06</v>
      </c>
      <c r="M609" s="101">
        <f t="shared" si="115"/>
        <v>0</v>
      </c>
      <c r="N609" s="24">
        <v>15</v>
      </c>
      <c r="O609" s="26">
        <f t="shared" si="118"/>
        <v>0</v>
      </c>
      <c r="P609" s="24">
        <v>1.1000000000000001</v>
      </c>
      <c r="Q609" s="24">
        <v>36</v>
      </c>
      <c r="R609" s="27">
        <f t="shared" si="119"/>
        <v>0</v>
      </c>
      <c r="S609" s="102">
        <f t="shared" si="121"/>
        <v>0</v>
      </c>
      <c r="T609" s="21">
        <f>VLOOKUP($A609,'2022-23 Salary &amp; Benefits'!$A:$I,5,FALSE)</f>
        <v>68937</v>
      </c>
      <c r="U609" s="21">
        <f>VLOOKUP($A609,'2022-23 Salary &amp; Benefits'!$A:$I,6,FALSE)</f>
        <v>72728</v>
      </c>
      <c r="V609" s="22">
        <f t="shared" si="122"/>
        <v>0</v>
      </c>
      <c r="W609" s="22">
        <f t="shared" si="123"/>
        <v>0</v>
      </c>
      <c r="X609" s="22">
        <f>'2022-23 Salary &amp; Benefits'!$G$6</f>
        <v>12558.24</v>
      </c>
      <c r="Y609" s="23">
        <f>'2022-23 Salary &amp; Benefits'!$H$6</f>
        <v>0.2298</v>
      </c>
      <c r="Z609" s="23">
        <f>'2022-23 Salary &amp; Benefits'!$I$6</f>
        <v>0.22339999999999999</v>
      </c>
      <c r="AA609" s="22">
        <f t="shared" si="124"/>
        <v>0</v>
      </c>
      <c r="AB609" s="22">
        <f t="shared" si="125"/>
        <v>0</v>
      </c>
      <c r="AC609" s="22">
        <f t="shared" si="126"/>
        <v>0</v>
      </c>
      <c r="AD609" s="22">
        <f t="shared" si="116"/>
        <v>0</v>
      </c>
      <c r="AE609" s="22">
        <f t="shared" si="117"/>
        <v>0</v>
      </c>
      <c r="AF609" s="19" t="str">
        <f>VLOOKUP(C609,'2021-22 School Level AAFTE'!C:N,12,FALSE)</f>
        <v>No</v>
      </c>
    </row>
    <row r="610" spans="1:32" s="19" customFormat="1">
      <c r="A610" s="97" t="s">
        <v>2288</v>
      </c>
      <c r="B610" s="97" t="s">
        <v>220</v>
      </c>
      <c r="C610" s="95">
        <v>4587</v>
      </c>
      <c r="D610" s="95" t="s">
        <v>251</v>
      </c>
      <c r="E610" s="129">
        <f>VLOOKUP($C610,'2021-22 School Level AAFTE'!$C:$Z,11,FALSE)</f>
        <v>0.45676666666666671</v>
      </c>
      <c r="F610" s="129" t="str">
        <f>VLOOKUP($C610,'2021-22 School Level AAFTE'!$C:$Z,8,FALSE)</f>
        <v>No</v>
      </c>
      <c r="G610" s="129" t="str">
        <f>VLOOKUP($C610,'2021-22 School Level AAFTE'!$C:$Z,12,FALSE)</f>
        <v>No</v>
      </c>
      <c r="H610" s="127">
        <f>VLOOKUP($C610,'2021-22 School Level AAFTE'!$C:$I,7,FALSE)</f>
        <v>392.94</v>
      </c>
      <c r="I610" s="112">
        <f>IFERROR(IF(OR(G610="yes",F610= "yes"),VLOOKUP(C610,Summary!$B:$J,6,0),0),0)</f>
        <v>0</v>
      </c>
      <c r="J610" s="111">
        <f t="shared" si="120"/>
        <v>0</v>
      </c>
      <c r="K610" s="91">
        <f>VLOOKUP($A610,'2022-23 Salary &amp; Benefits'!$A:$I,3,FALSE)</f>
        <v>1.06</v>
      </c>
      <c r="L610" s="91">
        <f>VLOOKUP($A610,'2022-23 Salary &amp; Benefits'!$A:$I,4,FALSE)</f>
        <v>1.06</v>
      </c>
      <c r="M610" s="101">
        <f t="shared" si="115"/>
        <v>0</v>
      </c>
      <c r="N610" s="24">
        <v>15</v>
      </c>
      <c r="O610" s="26">
        <f t="shared" si="118"/>
        <v>0</v>
      </c>
      <c r="P610" s="24">
        <v>1.1000000000000001</v>
      </c>
      <c r="Q610" s="24">
        <v>36</v>
      </c>
      <c r="R610" s="27">
        <f t="shared" si="119"/>
        <v>0</v>
      </c>
      <c r="S610" s="102">
        <f t="shared" si="121"/>
        <v>0</v>
      </c>
      <c r="T610" s="21">
        <f>VLOOKUP($A610,'2022-23 Salary &amp; Benefits'!$A:$I,5,FALSE)</f>
        <v>68937</v>
      </c>
      <c r="U610" s="21">
        <f>VLOOKUP($A610,'2022-23 Salary &amp; Benefits'!$A:$I,6,FALSE)</f>
        <v>72728</v>
      </c>
      <c r="V610" s="22">
        <f t="shared" si="122"/>
        <v>0</v>
      </c>
      <c r="W610" s="22">
        <f t="shared" si="123"/>
        <v>0</v>
      </c>
      <c r="X610" s="22">
        <f>'2022-23 Salary &amp; Benefits'!$G$6</f>
        <v>12558.24</v>
      </c>
      <c r="Y610" s="23">
        <f>'2022-23 Salary &amp; Benefits'!$H$6</f>
        <v>0.2298</v>
      </c>
      <c r="Z610" s="23">
        <f>'2022-23 Salary &amp; Benefits'!$I$6</f>
        <v>0.22339999999999999</v>
      </c>
      <c r="AA610" s="22">
        <f t="shared" si="124"/>
        <v>0</v>
      </c>
      <c r="AB610" s="22">
        <f t="shared" si="125"/>
        <v>0</v>
      </c>
      <c r="AC610" s="22">
        <f t="shared" si="126"/>
        <v>0</v>
      </c>
      <c r="AD610" s="22">
        <f t="shared" si="116"/>
        <v>0</v>
      </c>
      <c r="AE610" s="22">
        <f t="shared" si="117"/>
        <v>0</v>
      </c>
      <c r="AF610" s="19" t="str">
        <f>VLOOKUP(C610,'2021-22 School Level AAFTE'!C:N,12,FALSE)</f>
        <v>No</v>
      </c>
    </row>
    <row r="611" spans="1:32" s="19" customFormat="1">
      <c r="A611" s="97" t="s">
        <v>2288</v>
      </c>
      <c r="B611" s="97" t="s">
        <v>220</v>
      </c>
      <c r="C611" s="95">
        <v>5111</v>
      </c>
      <c r="D611" s="95" t="s">
        <v>252</v>
      </c>
      <c r="E611" s="129">
        <f>VLOOKUP($C611,'2021-22 School Level AAFTE'!$C:$Z,11,FALSE)</f>
        <v>0.30743333333333339</v>
      </c>
      <c r="F611" s="129" t="str">
        <f>VLOOKUP($C611,'2021-22 School Level AAFTE'!$C:$Z,8,FALSE)</f>
        <v>No</v>
      </c>
      <c r="G611" s="129" t="str">
        <f>VLOOKUP($C611,'2021-22 School Level AAFTE'!$C:$Z,12,FALSE)</f>
        <v>No</v>
      </c>
      <c r="H611" s="127">
        <f>VLOOKUP($C611,'2021-22 School Level AAFTE'!$C:$I,7,FALSE)</f>
        <v>1973.6</v>
      </c>
      <c r="I611" s="112">
        <f>IFERROR(IF(OR(G611="yes",F611= "yes"),VLOOKUP(C611,Summary!$B:$J,6,0),0),0)</f>
        <v>0</v>
      </c>
      <c r="J611" s="111">
        <f t="shared" si="120"/>
        <v>0</v>
      </c>
      <c r="K611" s="91">
        <f>VLOOKUP($A611,'2022-23 Salary &amp; Benefits'!$A:$I,3,FALSE)</f>
        <v>1.06</v>
      </c>
      <c r="L611" s="91">
        <f>VLOOKUP($A611,'2022-23 Salary &amp; Benefits'!$A:$I,4,FALSE)</f>
        <v>1.06</v>
      </c>
      <c r="M611" s="101">
        <f t="shared" si="115"/>
        <v>0</v>
      </c>
      <c r="N611" s="24">
        <v>15</v>
      </c>
      <c r="O611" s="26">
        <f t="shared" si="118"/>
        <v>0</v>
      </c>
      <c r="P611" s="24">
        <v>1.1000000000000001</v>
      </c>
      <c r="Q611" s="24">
        <v>36</v>
      </c>
      <c r="R611" s="27">
        <f t="shared" si="119"/>
        <v>0</v>
      </c>
      <c r="S611" s="102">
        <f t="shared" si="121"/>
        <v>0</v>
      </c>
      <c r="T611" s="21">
        <f>VLOOKUP($A611,'2022-23 Salary &amp; Benefits'!$A:$I,5,FALSE)</f>
        <v>68937</v>
      </c>
      <c r="U611" s="21">
        <f>VLOOKUP($A611,'2022-23 Salary &amp; Benefits'!$A:$I,6,FALSE)</f>
        <v>72728</v>
      </c>
      <c r="V611" s="22">
        <f t="shared" si="122"/>
        <v>0</v>
      </c>
      <c r="W611" s="22">
        <f t="shared" si="123"/>
        <v>0</v>
      </c>
      <c r="X611" s="22">
        <f>'2022-23 Salary &amp; Benefits'!$G$6</f>
        <v>12558.24</v>
      </c>
      <c r="Y611" s="23">
        <f>'2022-23 Salary &amp; Benefits'!$H$6</f>
        <v>0.2298</v>
      </c>
      <c r="Z611" s="23">
        <f>'2022-23 Salary &amp; Benefits'!$I$6</f>
        <v>0.22339999999999999</v>
      </c>
      <c r="AA611" s="22">
        <f t="shared" si="124"/>
        <v>0</v>
      </c>
      <c r="AB611" s="22">
        <f t="shared" si="125"/>
        <v>0</v>
      </c>
      <c r="AC611" s="22">
        <f t="shared" si="126"/>
        <v>0</v>
      </c>
      <c r="AD611" s="22">
        <f t="shared" si="116"/>
        <v>0</v>
      </c>
      <c r="AE611" s="22">
        <f t="shared" si="117"/>
        <v>0</v>
      </c>
      <c r="AF611" s="19" t="str">
        <f>VLOOKUP(C611,'2021-22 School Level AAFTE'!C:N,12,FALSE)</f>
        <v>No</v>
      </c>
    </row>
    <row r="612" spans="1:32" s="19" customFormat="1">
      <c r="A612" s="97" t="s">
        <v>2288</v>
      </c>
      <c r="B612" s="97" t="s">
        <v>220</v>
      </c>
      <c r="C612" s="95">
        <v>5136</v>
      </c>
      <c r="D612" s="95" t="s">
        <v>253</v>
      </c>
      <c r="E612" s="129">
        <f>VLOOKUP($C612,'2021-22 School Level AAFTE'!$C:$Z,11,FALSE)</f>
        <v>0.62423333333333331</v>
      </c>
      <c r="F612" s="129" t="str">
        <f>VLOOKUP($C612,'2021-22 School Level AAFTE'!$C:$Z,8,FALSE)</f>
        <v>Yes</v>
      </c>
      <c r="G612" s="129" t="str">
        <f>VLOOKUP($C612,'2021-22 School Level AAFTE'!$C:$Z,12,FALSE)</f>
        <v>No</v>
      </c>
      <c r="H612" s="127">
        <f>VLOOKUP($C612,'2021-22 School Level AAFTE'!$C:$I,7,FALSE)</f>
        <v>609.42999999999995</v>
      </c>
      <c r="I612" s="112">
        <f>IFERROR(IF(OR(G612="yes",F612= "yes"),VLOOKUP(C612,Summary!$B:$J,6,0),0),0)</f>
        <v>0</v>
      </c>
      <c r="J612" s="111">
        <f t="shared" si="120"/>
        <v>609.42999999999995</v>
      </c>
      <c r="K612" s="91">
        <f>VLOOKUP($A612,'2022-23 Salary &amp; Benefits'!$A:$I,3,FALSE)</f>
        <v>1.06</v>
      </c>
      <c r="L612" s="91">
        <f>VLOOKUP($A612,'2022-23 Salary &amp; Benefits'!$A:$I,4,FALSE)</f>
        <v>1.06</v>
      </c>
      <c r="M612" s="101">
        <f t="shared" si="115"/>
        <v>609.42999999999995</v>
      </c>
      <c r="N612" s="24">
        <v>15</v>
      </c>
      <c r="O612" s="26">
        <f t="shared" si="118"/>
        <v>40.62866666666666</v>
      </c>
      <c r="P612" s="24">
        <v>1.1000000000000001</v>
      </c>
      <c r="Q612" s="24">
        <v>36</v>
      </c>
      <c r="R612" s="27">
        <f t="shared" si="119"/>
        <v>1608.8951999999999</v>
      </c>
      <c r="S612" s="102">
        <f t="shared" si="121"/>
        <v>1.788</v>
      </c>
      <c r="T612" s="21">
        <f>VLOOKUP($A612,'2022-23 Salary &amp; Benefits'!$A:$I,5,FALSE)</f>
        <v>68937</v>
      </c>
      <c r="U612" s="21">
        <f>VLOOKUP($A612,'2022-23 Salary &amp; Benefits'!$A:$I,6,FALSE)</f>
        <v>72728</v>
      </c>
      <c r="V612" s="22">
        <f t="shared" si="122"/>
        <v>130654.92</v>
      </c>
      <c r="W612" s="22">
        <f t="shared" si="123"/>
        <v>7185.0000000000146</v>
      </c>
      <c r="X612" s="22">
        <f>'2022-23 Salary &amp; Benefits'!$G$6</f>
        <v>12558.24</v>
      </c>
      <c r="Y612" s="23">
        <f>'2022-23 Salary &amp; Benefits'!$H$6</f>
        <v>0.2298</v>
      </c>
      <c r="Z612" s="23">
        <f>'2022-23 Salary &amp; Benefits'!$I$6</f>
        <v>0.22339999999999999</v>
      </c>
      <c r="AA612" s="22">
        <f t="shared" si="124"/>
        <v>54083.76</v>
      </c>
      <c r="AB612" s="22">
        <f t="shared" si="125"/>
        <v>2297.33</v>
      </c>
      <c r="AC612" s="22">
        <f t="shared" si="126"/>
        <v>513.22</v>
      </c>
      <c r="AD612" s="22">
        <f t="shared" si="116"/>
        <v>2810.55</v>
      </c>
      <c r="AE612" s="22">
        <f t="shared" si="117"/>
        <v>194734.22999999998</v>
      </c>
      <c r="AF612" s="19" t="str">
        <f>VLOOKUP(C612,'2021-22 School Level AAFTE'!C:N,12,FALSE)</f>
        <v>No</v>
      </c>
    </row>
    <row r="613" spans="1:32" s="19" customFormat="1">
      <c r="A613" s="97" t="s">
        <v>2288</v>
      </c>
      <c r="B613" s="97" t="s">
        <v>220</v>
      </c>
      <c r="C613" s="95">
        <v>5310</v>
      </c>
      <c r="D613" s="95" t="s">
        <v>2883</v>
      </c>
      <c r="E613" s="129">
        <f>VLOOKUP($C613,'2021-22 School Level AAFTE'!$C:$Z,11,FALSE)</f>
        <v>0.4491</v>
      </c>
      <c r="F613" s="129" t="str">
        <f>VLOOKUP($C613,'2021-22 School Level AAFTE'!$C:$Z,8,FALSE)</f>
        <v>No</v>
      </c>
      <c r="G613" s="129" t="str">
        <f>VLOOKUP($C613,'2021-22 School Level AAFTE'!$C:$Z,12,FALSE)</f>
        <v>No</v>
      </c>
      <c r="H613" s="127">
        <f>VLOOKUP($C613,'2021-22 School Level AAFTE'!$C:$I,7,FALSE)</f>
        <v>541.86</v>
      </c>
      <c r="I613" s="112">
        <f>IFERROR(IF(OR(G613="yes",F613= "yes"),VLOOKUP(C613,Summary!$B:$J,6,0),0),0)</f>
        <v>0</v>
      </c>
      <c r="J613" s="111">
        <f t="shared" si="120"/>
        <v>0</v>
      </c>
      <c r="K613" s="91">
        <f>VLOOKUP($A613,'2022-23 Salary &amp; Benefits'!$A:$I,3,FALSE)</f>
        <v>1.06</v>
      </c>
      <c r="L613" s="91">
        <f>VLOOKUP($A613,'2022-23 Salary &amp; Benefits'!$A:$I,4,FALSE)</f>
        <v>1.06</v>
      </c>
      <c r="M613" s="101">
        <f t="shared" si="115"/>
        <v>0</v>
      </c>
      <c r="N613" s="24">
        <v>15</v>
      </c>
      <c r="O613" s="26">
        <f t="shared" si="118"/>
        <v>0</v>
      </c>
      <c r="P613" s="24">
        <v>1.1000000000000001</v>
      </c>
      <c r="Q613" s="24">
        <v>36</v>
      </c>
      <c r="R613" s="27">
        <f t="shared" si="119"/>
        <v>0</v>
      </c>
      <c r="S613" s="102">
        <f t="shared" si="121"/>
        <v>0</v>
      </c>
      <c r="T613" s="21">
        <f>VLOOKUP($A613,'2022-23 Salary &amp; Benefits'!$A:$I,5,FALSE)</f>
        <v>68937</v>
      </c>
      <c r="U613" s="21">
        <f>VLOOKUP($A613,'2022-23 Salary &amp; Benefits'!$A:$I,6,FALSE)</f>
        <v>72728</v>
      </c>
      <c r="V613" s="22">
        <f t="shared" si="122"/>
        <v>0</v>
      </c>
      <c r="W613" s="22">
        <f t="shared" si="123"/>
        <v>0</v>
      </c>
      <c r="X613" s="22">
        <f>'2022-23 Salary &amp; Benefits'!$G$6</f>
        <v>12558.24</v>
      </c>
      <c r="Y613" s="23">
        <f>'2022-23 Salary &amp; Benefits'!$H$6</f>
        <v>0.2298</v>
      </c>
      <c r="Z613" s="23">
        <f>'2022-23 Salary &amp; Benefits'!$I$6</f>
        <v>0.22339999999999999</v>
      </c>
      <c r="AA613" s="22">
        <f t="shared" si="124"/>
        <v>0</v>
      </c>
      <c r="AB613" s="22">
        <f t="shared" si="125"/>
        <v>0</v>
      </c>
      <c r="AC613" s="22">
        <f t="shared" si="126"/>
        <v>0</v>
      </c>
      <c r="AD613" s="22">
        <f t="shared" si="116"/>
        <v>0</v>
      </c>
      <c r="AE613" s="22">
        <f t="shared" si="117"/>
        <v>0</v>
      </c>
      <c r="AF613" s="19" t="str">
        <f>VLOOKUP(C613,'2021-22 School Level AAFTE'!C:N,12,FALSE)</f>
        <v>No</v>
      </c>
    </row>
    <row r="614" spans="1:32" s="19" customFormat="1">
      <c r="A614" s="97" t="s">
        <v>2288</v>
      </c>
      <c r="B614" s="97" t="s">
        <v>220</v>
      </c>
      <c r="C614" s="95">
        <v>5435</v>
      </c>
      <c r="D614" s="95" t="s">
        <v>254</v>
      </c>
      <c r="E614" s="129">
        <f>VLOOKUP($C614,'2021-22 School Level AAFTE'!$C:$Z,11,FALSE)</f>
        <v>0.56856666666666678</v>
      </c>
      <c r="F614" s="129" t="str">
        <f>VLOOKUP($C614,'2021-22 School Level AAFTE'!$C:$Z,8,FALSE)</f>
        <v>Yes</v>
      </c>
      <c r="G614" s="129" t="str">
        <f>VLOOKUP($C614,'2021-22 School Level AAFTE'!$C:$Z,12,FALSE)</f>
        <v>No</v>
      </c>
      <c r="H614" s="127">
        <f>VLOOKUP($C614,'2021-22 School Level AAFTE'!$C:$I,7,FALSE)</f>
        <v>74.709999999999994</v>
      </c>
      <c r="I614" s="112">
        <f>IFERROR(IF(OR(G614="yes",F614= "yes"),VLOOKUP(C614,Summary!$B:$J,6,0),0),0)</f>
        <v>0</v>
      </c>
      <c r="J614" s="111">
        <f t="shared" si="120"/>
        <v>74.709999999999994</v>
      </c>
      <c r="K614" s="91">
        <f>VLOOKUP($A614,'2022-23 Salary &amp; Benefits'!$A:$I,3,FALSE)</f>
        <v>1.06</v>
      </c>
      <c r="L614" s="91">
        <f>VLOOKUP($A614,'2022-23 Salary &amp; Benefits'!$A:$I,4,FALSE)</f>
        <v>1.06</v>
      </c>
      <c r="M614" s="101">
        <f t="shared" si="115"/>
        <v>74.709999999999994</v>
      </c>
      <c r="N614" s="24">
        <v>15</v>
      </c>
      <c r="O614" s="26">
        <f t="shared" si="118"/>
        <v>4.9806666666666661</v>
      </c>
      <c r="P614" s="24">
        <v>1.1000000000000001</v>
      </c>
      <c r="Q614" s="24">
        <v>36</v>
      </c>
      <c r="R614" s="27">
        <f t="shared" si="119"/>
        <v>197.23439999999999</v>
      </c>
      <c r="S614" s="102">
        <f t="shared" si="121"/>
        <v>0.219</v>
      </c>
      <c r="T614" s="21">
        <f>VLOOKUP($A614,'2022-23 Salary &amp; Benefits'!$A:$I,5,FALSE)</f>
        <v>68937</v>
      </c>
      <c r="U614" s="21">
        <f>VLOOKUP($A614,'2022-23 Salary &amp; Benefits'!$A:$I,6,FALSE)</f>
        <v>72728</v>
      </c>
      <c r="V614" s="22">
        <f t="shared" si="122"/>
        <v>16003.04</v>
      </c>
      <c r="W614" s="22">
        <f t="shared" si="123"/>
        <v>880.04000000000087</v>
      </c>
      <c r="X614" s="22">
        <f>'2022-23 Salary &amp; Benefits'!$G$6</f>
        <v>12558.24</v>
      </c>
      <c r="Y614" s="23">
        <f>'2022-23 Salary &amp; Benefits'!$H$6</f>
        <v>0.2298</v>
      </c>
      <c r="Z614" s="23">
        <f>'2022-23 Salary &amp; Benefits'!$I$6</f>
        <v>0.22339999999999999</v>
      </c>
      <c r="AA614" s="22">
        <f t="shared" si="124"/>
        <v>6624.35</v>
      </c>
      <c r="AB614" s="22">
        <f t="shared" si="125"/>
        <v>281.38</v>
      </c>
      <c r="AC614" s="22">
        <f t="shared" si="126"/>
        <v>62.86</v>
      </c>
      <c r="AD614" s="22">
        <f t="shared" si="116"/>
        <v>344.24</v>
      </c>
      <c r="AE614" s="22">
        <f t="shared" si="117"/>
        <v>23851.670000000002</v>
      </c>
      <c r="AF614" s="19" t="str">
        <f>VLOOKUP(C614,'2021-22 School Level AAFTE'!C:N,12,FALSE)</f>
        <v>No</v>
      </c>
    </row>
    <row r="615" spans="1:32" s="19" customFormat="1">
      <c r="A615" s="97" t="s">
        <v>2288</v>
      </c>
      <c r="B615" s="97" t="s">
        <v>220</v>
      </c>
      <c r="C615" s="95">
        <v>5612</v>
      </c>
      <c r="D615" s="95" t="s">
        <v>2882</v>
      </c>
      <c r="E615" s="129">
        <f>VLOOKUP($C615,'2021-22 School Level AAFTE'!$C:$Z,11,FALSE)</f>
        <v>0.40590000000000004</v>
      </c>
      <c r="F615" s="129" t="str">
        <f>VLOOKUP($C615,'2021-22 School Level AAFTE'!$C:$Z,8,FALSE)</f>
        <v>No</v>
      </c>
      <c r="G615" s="129" t="str">
        <f>VLOOKUP($C615,'2021-22 School Level AAFTE'!$C:$Z,12,FALSE)</f>
        <v>No</v>
      </c>
      <c r="H615" s="127">
        <f>VLOOKUP($C615,'2021-22 School Level AAFTE'!$C:$I,7,FALSE)</f>
        <v>443.33</v>
      </c>
      <c r="I615" s="112">
        <f>IFERROR(IF(OR(G615="yes",F615= "yes"),VLOOKUP(C615,Summary!$B:$J,6,0),0),0)</f>
        <v>0</v>
      </c>
      <c r="J615" s="111">
        <f t="shared" si="120"/>
        <v>0</v>
      </c>
      <c r="K615" s="91">
        <f>VLOOKUP($A615,'2022-23 Salary &amp; Benefits'!$A:$I,3,FALSE)</f>
        <v>1.06</v>
      </c>
      <c r="L615" s="91">
        <f>VLOOKUP($A615,'2022-23 Salary &amp; Benefits'!$A:$I,4,FALSE)</f>
        <v>1.06</v>
      </c>
      <c r="M615" s="39">
        <f t="shared" si="115"/>
        <v>0</v>
      </c>
      <c r="N615" s="24">
        <v>15</v>
      </c>
      <c r="O615" s="26">
        <f t="shared" si="118"/>
        <v>0</v>
      </c>
      <c r="P615" s="24">
        <v>1.1000000000000001</v>
      </c>
      <c r="Q615" s="24">
        <v>36</v>
      </c>
      <c r="R615" s="27">
        <f t="shared" si="119"/>
        <v>0</v>
      </c>
      <c r="S615" s="102">
        <f t="shared" si="121"/>
        <v>0</v>
      </c>
      <c r="T615" s="21">
        <f>VLOOKUP($A615,'2022-23 Salary &amp; Benefits'!$A:$I,5,FALSE)</f>
        <v>68937</v>
      </c>
      <c r="U615" s="21">
        <f>VLOOKUP($A615,'2022-23 Salary &amp; Benefits'!$A:$I,6,FALSE)</f>
        <v>72728</v>
      </c>
      <c r="V615" s="22">
        <f t="shared" si="122"/>
        <v>0</v>
      </c>
      <c r="W615" s="22">
        <f t="shared" si="123"/>
        <v>0</v>
      </c>
      <c r="X615" s="22">
        <f>'2022-23 Salary &amp; Benefits'!$G$6</f>
        <v>12558.24</v>
      </c>
      <c r="Y615" s="23">
        <f>'2022-23 Salary &amp; Benefits'!$H$6</f>
        <v>0.2298</v>
      </c>
      <c r="Z615" s="23">
        <f>'2022-23 Salary &amp; Benefits'!$I$6</f>
        <v>0.22339999999999999</v>
      </c>
      <c r="AA615" s="22">
        <f t="shared" si="124"/>
        <v>0</v>
      </c>
      <c r="AB615" s="22">
        <f t="shared" si="125"/>
        <v>0</v>
      </c>
      <c r="AC615" s="22">
        <f t="shared" si="126"/>
        <v>0</v>
      </c>
      <c r="AD615" s="22">
        <f t="shared" si="116"/>
        <v>0</v>
      </c>
      <c r="AE615" s="22">
        <f t="shared" si="117"/>
        <v>0</v>
      </c>
      <c r="AF615" s="19" t="str">
        <f>VLOOKUP(C615,'2021-22 School Level AAFTE'!C:N,12,FALSE)</f>
        <v>No</v>
      </c>
    </row>
    <row r="616" spans="1:32" s="19" customFormat="1">
      <c r="A616" s="97" t="s">
        <v>2510</v>
      </c>
      <c r="B616" s="97" t="s">
        <v>1947</v>
      </c>
      <c r="C616" s="95">
        <v>3197</v>
      </c>
      <c r="D616" s="95" t="s">
        <v>1948</v>
      </c>
      <c r="E616" s="129">
        <f>VLOOKUP($C616,'2021-22 School Level AAFTE'!$C:$Z,11,FALSE)</f>
        <v>0.76736666666666675</v>
      </c>
      <c r="F616" s="129" t="str">
        <f>VLOOKUP($C616,'2021-22 School Level AAFTE'!$C:$Z,8,FALSE)</f>
        <v>Yes</v>
      </c>
      <c r="G616" s="129" t="str">
        <f>VLOOKUP($C616,'2021-22 School Level AAFTE'!$C:$Z,12,FALSE)</f>
        <v>No</v>
      </c>
      <c r="H616" s="127">
        <f>VLOOKUP($C616,'2021-22 School Level AAFTE'!$C:$I,7,FALSE)</f>
        <v>26.43</v>
      </c>
      <c r="I616" s="112">
        <f>IFERROR(IF(OR(G616="yes",F616= "yes"),VLOOKUP(C616,Summary!$B:$J,6,0),0),0)</f>
        <v>0</v>
      </c>
      <c r="J616" s="111">
        <f t="shared" si="120"/>
        <v>26.43</v>
      </c>
      <c r="K616" s="91">
        <f>VLOOKUP($A616,'2022-23 Salary &amp; Benefits'!$A:$I,3,FALSE)</f>
        <v>1</v>
      </c>
      <c r="L616" s="91">
        <f>VLOOKUP($A616,'2022-23 Salary &amp; Benefits'!$A:$I,4,FALSE)</f>
        <v>1</v>
      </c>
      <c r="M616" s="101">
        <f t="shared" si="115"/>
        <v>26.43</v>
      </c>
      <c r="N616" s="24">
        <v>15</v>
      </c>
      <c r="O616" s="26">
        <f t="shared" si="118"/>
        <v>1.762</v>
      </c>
      <c r="P616" s="24">
        <v>1.1000000000000001</v>
      </c>
      <c r="Q616" s="24">
        <v>36</v>
      </c>
      <c r="R616" s="27">
        <f t="shared" si="119"/>
        <v>69.775200000000012</v>
      </c>
      <c r="S616" s="102">
        <f t="shared" si="121"/>
        <v>7.8E-2</v>
      </c>
      <c r="T616" s="21">
        <f>VLOOKUP($A616,'2022-23 Salary &amp; Benefits'!$A:$I,5,FALSE)</f>
        <v>68937</v>
      </c>
      <c r="U616" s="21">
        <f>VLOOKUP($A616,'2022-23 Salary &amp; Benefits'!$A:$I,6,FALSE)</f>
        <v>72728</v>
      </c>
      <c r="V616" s="22">
        <f t="shared" si="122"/>
        <v>5377.09</v>
      </c>
      <c r="W616" s="22">
        <f t="shared" si="123"/>
        <v>295.6899999999996</v>
      </c>
      <c r="X616" s="22">
        <f>'2022-23 Salary &amp; Benefits'!$G$6</f>
        <v>12558.24</v>
      </c>
      <c r="Y616" s="23">
        <f>'2022-23 Salary &amp; Benefits'!$H$6</f>
        <v>0.2298</v>
      </c>
      <c r="Z616" s="23">
        <f>'2022-23 Salary &amp; Benefits'!$I$6</f>
        <v>0.22339999999999999</v>
      </c>
      <c r="AA616" s="22">
        <f t="shared" si="124"/>
        <v>2281.2600000000002</v>
      </c>
      <c r="AB616" s="22">
        <f t="shared" si="125"/>
        <v>94.55</v>
      </c>
      <c r="AC616" s="22">
        <f t="shared" si="126"/>
        <v>21.12</v>
      </c>
      <c r="AD616" s="22">
        <f t="shared" si="116"/>
        <v>115.67</v>
      </c>
      <c r="AE616" s="22">
        <f t="shared" si="117"/>
        <v>8069.71</v>
      </c>
      <c r="AF616" s="19" t="str">
        <f>VLOOKUP(C616,'2021-22 School Level AAFTE'!C:N,12,FALSE)</f>
        <v>No</v>
      </c>
    </row>
    <row r="617" spans="1:32" s="19" customFormat="1">
      <c r="A617" s="97" t="s">
        <v>2349</v>
      </c>
      <c r="B617" s="97" t="s">
        <v>645</v>
      </c>
      <c r="C617" s="95">
        <v>1759</v>
      </c>
      <c r="D617" s="95" t="s">
        <v>646</v>
      </c>
      <c r="E617" s="129">
        <f>VLOOKUP($C617,'2021-22 School Level AAFTE'!$C:$Z,11,FALSE)</f>
        <v>0.36613333333333337</v>
      </c>
      <c r="F617" s="129" t="str">
        <f>VLOOKUP($C617,'2021-22 School Level AAFTE'!$C:$Z,8,FALSE)</f>
        <v>No</v>
      </c>
      <c r="G617" s="129" t="str">
        <f>VLOOKUP($C617,'2021-22 School Level AAFTE'!$C:$Z,12,FALSE)</f>
        <v>No</v>
      </c>
      <c r="H617" s="127">
        <f>VLOOKUP($C617,'2021-22 School Level AAFTE'!$C:$I,7,FALSE)</f>
        <v>844.05000000000007</v>
      </c>
      <c r="I617" s="112">
        <f>IFERROR(IF(OR(G617="yes",F617= "yes"),VLOOKUP(C617,Summary!$B:$J,6,0),0),0)</f>
        <v>0</v>
      </c>
      <c r="J617" s="111">
        <f t="shared" si="120"/>
        <v>0</v>
      </c>
      <c r="K617" s="91">
        <f>VLOOKUP($A617,'2022-23 Salary &amp; Benefits'!$A:$I,3,FALSE)</f>
        <v>1.1200000000000001</v>
      </c>
      <c r="L617" s="91">
        <f>VLOOKUP($A617,'2022-23 Salary &amp; Benefits'!$A:$I,4,FALSE)</f>
        <v>1.1200000000000001</v>
      </c>
      <c r="M617" s="101">
        <f t="shared" si="115"/>
        <v>0</v>
      </c>
      <c r="N617" s="24">
        <v>15</v>
      </c>
      <c r="O617" s="26">
        <f t="shared" si="118"/>
        <v>0</v>
      </c>
      <c r="P617" s="24">
        <v>1.1000000000000001</v>
      </c>
      <c r="Q617" s="24">
        <v>36</v>
      </c>
      <c r="R617" s="27">
        <f t="shared" si="119"/>
        <v>0</v>
      </c>
      <c r="S617" s="102">
        <f t="shared" si="121"/>
        <v>0</v>
      </c>
      <c r="T617" s="21">
        <f>VLOOKUP($A617,'2022-23 Salary &amp; Benefits'!$A:$I,5,FALSE)</f>
        <v>68937</v>
      </c>
      <c r="U617" s="21">
        <f>VLOOKUP($A617,'2022-23 Salary &amp; Benefits'!$A:$I,6,FALSE)</f>
        <v>72728</v>
      </c>
      <c r="V617" s="22">
        <f t="shared" si="122"/>
        <v>0</v>
      </c>
      <c r="W617" s="22">
        <f t="shared" si="123"/>
        <v>0</v>
      </c>
      <c r="X617" s="22">
        <f>'2022-23 Salary &amp; Benefits'!$G$6</f>
        <v>12558.24</v>
      </c>
      <c r="Y617" s="23">
        <f>'2022-23 Salary &amp; Benefits'!$H$6</f>
        <v>0.2298</v>
      </c>
      <c r="Z617" s="23">
        <f>'2022-23 Salary &amp; Benefits'!$I$6</f>
        <v>0.22339999999999999</v>
      </c>
      <c r="AA617" s="22">
        <f t="shared" si="124"/>
        <v>0</v>
      </c>
      <c r="AB617" s="22">
        <f t="shared" si="125"/>
        <v>0</v>
      </c>
      <c r="AC617" s="22">
        <f t="shared" si="126"/>
        <v>0</v>
      </c>
      <c r="AD617" s="22">
        <f t="shared" si="116"/>
        <v>0</v>
      </c>
      <c r="AE617" s="22">
        <f t="shared" si="117"/>
        <v>0</v>
      </c>
      <c r="AF617" s="19" t="str">
        <f>VLOOKUP(C617,'2021-22 School Level AAFTE'!C:N,12,FALSE)</f>
        <v>No</v>
      </c>
    </row>
    <row r="618" spans="1:32" s="19" customFormat="1">
      <c r="A618" s="97" t="s">
        <v>2349</v>
      </c>
      <c r="B618" s="97" t="s">
        <v>645</v>
      </c>
      <c r="C618" s="95">
        <v>1789</v>
      </c>
      <c r="D618" s="95" t="s">
        <v>647</v>
      </c>
      <c r="E618" s="129">
        <f>VLOOKUP($C618,'2021-22 School Level AAFTE'!$C:$Z,11,FALSE)</f>
        <v>0.36936666666666668</v>
      </c>
      <c r="F618" s="129" t="str">
        <f>VLOOKUP($C618,'2021-22 School Level AAFTE'!$C:$Z,8,FALSE)</f>
        <v>No</v>
      </c>
      <c r="G618" s="129" t="str">
        <f>VLOOKUP($C618,'2021-22 School Level AAFTE'!$C:$Z,12,FALSE)</f>
        <v>No</v>
      </c>
      <c r="H618" s="127">
        <f>VLOOKUP($C618,'2021-22 School Level AAFTE'!$C:$I,7,FALSE)</f>
        <v>305.43</v>
      </c>
      <c r="I618" s="112">
        <f>IFERROR(IF(OR(G618="yes",F618= "yes"),VLOOKUP(C618,Summary!$B:$J,6,0),0),0)</f>
        <v>0</v>
      </c>
      <c r="J618" s="111">
        <f t="shared" si="120"/>
        <v>0</v>
      </c>
      <c r="K618" s="91">
        <f>VLOOKUP($A618,'2022-23 Salary &amp; Benefits'!$A:$I,3,FALSE)</f>
        <v>1.1200000000000001</v>
      </c>
      <c r="L618" s="91">
        <f>VLOOKUP($A618,'2022-23 Salary &amp; Benefits'!$A:$I,4,FALSE)</f>
        <v>1.1200000000000001</v>
      </c>
      <c r="M618" s="101">
        <f t="shared" si="115"/>
        <v>0</v>
      </c>
      <c r="N618" s="24">
        <v>15</v>
      </c>
      <c r="O618" s="26">
        <f t="shared" si="118"/>
        <v>0</v>
      </c>
      <c r="P618" s="24">
        <v>1.1000000000000001</v>
      </c>
      <c r="Q618" s="24">
        <v>36</v>
      </c>
      <c r="R618" s="27">
        <f t="shared" si="119"/>
        <v>0</v>
      </c>
      <c r="S618" s="102">
        <f t="shared" si="121"/>
        <v>0</v>
      </c>
      <c r="T618" s="21">
        <f>VLOOKUP($A618,'2022-23 Salary &amp; Benefits'!$A:$I,5,FALSE)</f>
        <v>68937</v>
      </c>
      <c r="U618" s="21">
        <f>VLOOKUP($A618,'2022-23 Salary &amp; Benefits'!$A:$I,6,FALSE)</f>
        <v>72728</v>
      </c>
      <c r="V618" s="22">
        <f t="shared" si="122"/>
        <v>0</v>
      </c>
      <c r="W618" s="22">
        <f t="shared" si="123"/>
        <v>0</v>
      </c>
      <c r="X618" s="22">
        <f>'2022-23 Salary &amp; Benefits'!$G$6</f>
        <v>12558.24</v>
      </c>
      <c r="Y618" s="23">
        <f>'2022-23 Salary &amp; Benefits'!$H$6</f>
        <v>0.2298</v>
      </c>
      <c r="Z618" s="23">
        <f>'2022-23 Salary &amp; Benefits'!$I$6</f>
        <v>0.22339999999999999</v>
      </c>
      <c r="AA618" s="22">
        <f t="shared" si="124"/>
        <v>0</v>
      </c>
      <c r="AB618" s="22">
        <f t="shared" si="125"/>
        <v>0</v>
      </c>
      <c r="AC618" s="22">
        <f t="shared" si="126"/>
        <v>0</v>
      </c>
      <c r="AD618" s="22">
        <f t="shared" si="116"/>
        <v>0</v>
      </c>
      <c r="AE618" s="22">
        <f t="shared" si="117"/>
        <v>0</v>
      </c>
      <c r="AF618" s="19" t="str">
        <f>VLOOKUP(C618,'2021-22 School Level AAFTE'!C:N,12,FALSE)</f>
        <v>No</v>
      </c>
    </row>
    <row r="619" spans="1:32" s="19" customFormat="1">
      <c r="A619" s="97" t="s">
        <v>2349</v>
      </c>
      <c r="B619" s="97" t="s">
        <v>645</v>
      </c>
      <c r="C619" s="95">
        <v>1950</v>
      </c>
      <c r="D619" s="95" t="s">
        <v>648</v>
      </c>
      <c r="E619" s="129">
        <f>VLOOKUP($C619,'2021-22 School Level AAFTE'!$C:$Z,11,FALSE)</f>
        <v>0.69243333333333335</v>
      </c>
      <c r="F619" s="129" t="str">
        <f>VLOOKUP($C619,'2021-22 School Level AAFTE'!$C:$Z,8,FALSE)</f>
        <v>Yes</v>
      </c>
      <c r="G619" s="129" t="str">
        <f>VLOOKUP($C619,'2021-22 School Level AAFTE'!$C:$Z,12,FALSE)</f>
        <v>No</v>
      </c>
      <c r="H619" s="127">
        <f>VLOOKUP($C619,'2021-22 School Level AAFTE'!$C:$I,7,FALSE)</f>
        <v>49.86</v>
      </c>
      <c r="I619" s="112">
        <f>IFERROR(IF(OR(G619="yes",F619= "yes"),VLOOKUP(C619,Summary!$B:$J,6,0),0),0)</f>
        <v>0</v>
      </c>
      <c r="J619" s="111">
        <f t="shared" si="120"/>
        <v>49.86</v>
      </c>
      <c r="K619" s="91">
        <f>VLOOKUP($A619,'2022-23 Salary &amp; Benefits'!$A:$I,3,FALSE)</f>
        <v>1.1200000000000001</v>
      </c>
      <c r="L619" s="91">
        <f>VLOOKUP($A619,'2022-23 Salary &amp; Benefits'!$A:$I,4,FALSE)</f>
        <v>1.1200000000000001</v>
      </c>
      <c r="M619" s="39">
        <f t="shared" si="115"/>
        <v>49.86</v>
      </c>
      <c r="N619" s="24">
        <v>15</v>
      </c>
      <c r="O619" s="26">
        <f t="shared" si="118"/>
        <v>3.3239999999999998</v>
      </c>
      <c r="P619" s="24">
        <v>1.1000000000000001</v>
      </c>
      <c r="Q619" s="24">
        <v>36</v>
      </c>
      <c r="R619" s="27">
        <f t="shared" si="119"/>
        <v>131.63040000000001</v>
      </c>
      <c r="S619" s="102">
        <f t="shared" si="121"/>
        <v>0.14599999999999999</v>
      </c>
      <c r="T619" s="21">
        <f>VLOOKUP($A619,'2022-23 Salary &amp; Benefits'!$A:$I,5,FALSE)</f>
        <v>68937</v>
      </c>
      <c r="U619" s="21">
        <f>VLOOKUP($A619,'2022-23 Salary &amp; Benefits'!$A:$I,6,FALSE)</f>
        <v>72728</v>
      </c>
      <c r="V619" s="22">
        <f t="shared" si="122"/>
        <v>11272.58</v>
      </c>
      <c r="W619" s="22">
        <f t="shared" si="123"/>
        <v>619.89999999999964</v>
      </c>
      <c r="X619" s="22">
        <f>'2022-23 Salary &amp; Benefits'!$G$6</f>
        <v>12558.24</v>
      </c>
      <c r="Y619" s="23">
        <f>'2022-23 Salary &amp; Benefits'!$H$6</f>
        <v>0.2298</v>
      </c>
      <c r="Z619" s="23">
        <f>'2022-23 Salary &amp; Benefits'!$I$6</f>
        <v>0.22339999999999999</v>
      </c>
      <c r="AA619" s="22">
        <f t="shared" si="124"/>
        <v>4562.43</v>
      </c>
      <c r="AB619" s="22">
        <f t="shared" si="125"/>
        <v>198.21</v>
      </c>
      <c r="AC619" s="22">
        <f t="shared" si="126"/>
        <v>44.28</v>
      </c>
      <c r="AD619" s="22">
        <f t="shared" si="116"/>
        <v>242.49</v>
      </c>
      <c r="AE619" s="22">
        <f t="shared" si="117"/>
        <v>16697.400000000001</v>
      </c>
      <c r="AF619" s="19" t="str">
        <f>VLOOKUP(C619,'2021-22 School Level AAFTE'!C:N,12,FALSE)</f>
        <v>No</v>
      </c>
    </row>
    <row r="620" spans="1:32" s="19" customFormat="1">
      <c r="A620" s="97" t="s">
        <v>2349</v>
      </c>
      <c r="B620" s="97" t="s">
        <v>645</v>
      </c>
      <c r="C620" s="95">
        <v>1951</v>
      </c>
      <c r="D620" s="95" t="s">
        <v>649</v>
      </c>
      <c r="E620" s="129">
        <f>VLOOKUP($C620,'2021-22 School Level AAFTE'!$C:$Z,11,FALSE)</f>
        <v>0.35849999999999999</v>
      </c>
      <c r="F620" s="129" t="str">
        <f>VLOOKUP($C620,'2021-22 School Level AAFTE'!$C:$Z,8,FALSE)</f>
        <v>No</v>
      </c>
      <c r="G620" s="129" t="str">
        <f>VLOOKUP($C620,'2021-22 School Level AAFTE'!$C:$Z,12,FALSE)</f>
        <v>No</v>
      </c>
      <c r="H620" s="127">
        <f>VLOOKUP($C620,'2021-22 School Level AAFTE'!$C:$I,7,FALSE)</f>
        <v>17.43</v>
      </c>
      <c r="I620" s="112">
        <f>IFERROR(IF(OR(G620="yes",F620= "yes"),VLOOKUP(C620,Summary!$B:$J,6,0),0),0)</f>
        <v>0</v>
      </c>
      <c r="J620" s="111">
        <f t="shared" si="120"/>
        <v>0</v>
      </c>
      <c r="K620" s="91">
        <f>VLOOKUP($A620,'2022-23 Salary &amp; Benefits'!$A:$I,3,FALSE)</f>
        <v>1.1200000000000001</v>
      </c>
      <c r="L620" s="91">
        <f>VLOOKUP($A620,'2022-23 Salary &amp; Benefits'!$A:$I,4,FALSE)</f>
        <v>1.1200000000000001</v>
      </c>
      <c r="M620" s="101">
        <f t="shared" si="115"/>
        <v>0</v>
      </c>
      <c r="N620" s="24">
        <v>15</v>
      </c>
      <c r="O620" s="26">
        <f t="shared" si="118"/>
        <v>0</v>
      </c>
      <c r="P620" s="24">
        <v>1.1000000000000001</v>
      </c>
      <c r="Q620" s="24">
        <v>36</v>
      </c>
      <c r="R620" s="27">
        <f t="shared" si="119"/>
        <v>0</v>
      </c>
      <c r="S620" s="102">
        <f t="shared" si="121"/>
        <v>0</v>
      </c>
      <c r="T620" s="21">
        <f>VLOOKUP($A620,'2022-23 Salary &amp; Benefits'!$A:$I,5,FALSE)</f>
        <v>68937</v>
      </c>
      <c r="U620" s="21">
        <f>VLOOKUP($A620,'2022-23 Salary &amp; Benefits'!$A:$I,6,FALSE)</f>
        <v>72728</v>
      </c>
      <c r="V620" s="22">
        <f t="shared" si="122"/>
        <v>0</v>
      </c>
      <c r="W620" s="22">
        <f t="shared" si="123"/>
        <v>0</v>
      </c>
      <c r="X620" s="22">
        <f>'2022-23 Salary &amp; Benefits'!$G$6</f>
        <v>12558.24</v>
      </c>
      <c r="Y620" s="23">
        <f>'2022-23 Salary &amp; Benefits'!$H$6</f>
        <v>0.2298</v>
      </c>
      <c r="Z620" s="23">
        <f>'2022-23 Salary &amp; Benefits'!$I$6</f>
        <v>0.22339999999999999</v>
      </c>
      <c r="AA620" s="22">
        <f t="shared" si="124"/>
        <v>0</v>
      </c>
      <c r="AB620" s="22">
        <f t="shared" si="125"/>
        <v>0</v>
      </c>
      <c r="AC620" s="22">
        <f t="shared" si="126"/>
        <v>0</v>
      </c>
      <c r="AD620" s="22">
        <f t="shared" si="116"/>
        <v>0</v>
      </c>
      <c r="AE620" s="22">
        <f t="shared" si="117"/>
        <v>0</v>
      </c>
      <c r="AF620" s="19" t="str">
        <f>VLOOKUP(C620,'2021-22 School Level AAFTE'!C:N,12,FALSE)</f>
        <v>No</v>
      </c>
    </row>
    <row r="621" spans="1:32" s="19" customFormat="1">
      <c r="A621" s="97" t="s">
        <v>2349</v>
      </c>
      <c r="B621" s="97" t="s">
        <v>645</v>
      </c>
      <c r="C621" s="95">
        <v>2417</v>
      </c>
      <c r="D621" s="95" t="s">
        <v>650</v>
      </c>
      <c r="E621" s="129">
        <f>VLOOKUP($C621,'2021-22 School Level AAFTE'!$C:$Z,11,FALSE)</f>
        <v>0.66883333333333328</v>
      </c>
      <c r="F621" s="129" t="str">
        <f>VLOOKUP($C621,'2021-22 School Level AAFTE'!$C:$Z,8,FALSE)</f>
        <v>Yes</v>
      </c>
      <c r="G621" s="129" t="str">
        <f>VLOOKUP($C621,'2021-22 School Level AAFTE'!$C:$Z,12,FALSE)</f>
        <v>No</v>
      </c>
      <c r="H621" s="127">
        <f>VLOOKUP($C621,'2021-22 School Level AAFTE'!$C:$I,7,FALSE)</f>
        <v>1578.74</v>
      </c>
      <c r="I621" s="112">
        <f>IFERROR(IF(OR(G621="yes",F621= "yes"),VLOOKUP(C621,Summary!$B:$J,6,0),0),0)</f>
        <v>0</v>
      </c>
      <c r="J621" s="111">
        <f t="shared" si="120"/>
        <v>1578.74</v>
      </c>
      <c r="K621" s="91">
        <f>VLOOKUP($A621,'2022-23 Salary &amp; Benefits'!$A:$I,3,FALSE)</f>
        <v>1.1200000000000001</v>
      </c>
      <c r="L621" s="91">
        <f>VLOOKUP($A621,'2022-23 Salary &amp; Benefits'!$A:$I,4,FALSE)</f>
        <v>1.1200000000000001</v>
      </c>
      <c r="M621" s="101">
        <f t="shared" si="115"/>
        <v>1578.74</v>
      </c>
      <c r="N621" s="24">
        <v>15</v>
      </c>
      <c r="O621" s="26">
        <f t="shared" si="118"/>
        <v>105.24933333333334</v>
      </c>
      <c r="P621" s="24">
        <v>1.1000000000000001</v>
      </c>
      <c r="Q621" s="24">
        <v>36</v>
      </c>
      <c r="R621" s="27">
        <f t="shared" si="119"/>
        <v>4167.8736000000008</v>
      </c>
      <c r="S621" s="102">
        <f t="shared" si="121"/>
        <v>4.6310000000000002</v>
      </c>
      <c r="T621" s="21">
        <f>VLOOKUP($A621,'2022-23 Salary &amp; Benefits'!$A:$I,5,FALSE)</f>
        <v>68937</v>
      </c>
      <c r="U621" s="21">
        <f>VLOOKUP($A621,'2022-23 Salary &amp; Benefits'!$A:$I,6,FALSE)</f>
        <v>72728</v>
      </c>
      <c r="V621" s="22">
        <f t="shared" si="122"/>
        <v>357556.92</v>
      </c>
      <c r="W621" s="22">
        <f t="shared" si="123"/>
        <v>19662.850000000035</v>
      </c>
      <c r="X621" s="22">
        <f>'2022-23 Salary &amp; Benefits'!$G$6</f>
        <v>12558.24</v>
      </c>
      <c r="Y621" s="23">
        <f>'2022-23 Salary &amp; Benefits'!$H$6</f>
        <v>0.2298</v>
      </c>
      <c r="Z621" s="23">
        <f>'2022-23 Salary &amp; Benefits'!$I$6</f>
        <v>0.22339999999999999</v>
      </c>
      <c r="AA621" s="22">
        <f t="shared" si="124"/>
        <v>144716.47</v>
      </c>
      <c r="AB621" s="22">
        <f t="shared" si="125"/>
        <v>6287</v>
      </c>
      <c r="AC621" s="22">
        <f t="shared" si="126"/>
        <v>1404.52</v>
      </c>
      <c r="AD621" s="22">
        <f t="shared" si="116"/>
        <v>7691.52</v>
      </c>
      <c r="AE621" s="22">
        <f t="shared" si="117"/>
        <v>529627.76</v>
      </c>
      <c r="AF621" s="19" t="str">
        <f>VLOOKUP(C621,'2021-22 School Level AAFTE'!C:N,12,FALSE)</f>
        <v>No</v>
      </c>
    </row>
    <row r="622" spans="1:32" s="19" customFormat="1">
      <c r="A622" s="97" t="s">
        <v>2349</v>
      </c>
      <c r="B622" s="97" t="s">
        <v>645</v>
      </c>
      <c r="C622" s="95">
        <v>2841</v>
      </c>
      <c r="D622" s="95" t="s">
        <v>651</v>
      </c>
      <c r="E622" s="129">
        <f>VLOOKUP($C622,'2021-22 School Level AAFTE'!$C:$Z,11,FALSE)</f>
        <v>0.53973333333333329</v>
      </c>
      <c r="F622" s="129" t="str">
        <f>VLOOKUP($C622,'2021-22 School Level AAFTE'!$C:$Z,8,FALSE)</f>
        <v>Yes</v>
      </c>
      <c r="G622" s="129" t="str">
        <f>VLOOKUP($C622,'2021-22 School Level AAFTE'!$C:$Z,12,FALSE)</f>
        <v>No</v>
      </c>
      <c r="H622" s="127">
        <f>VLOOKUP($C622,'2021-22 School Level AAFTE'!$C:$I,7,FALSE)</f>
        <v>391.62</v>
      </c>
      <c r="I622" s="112">
        <f>IFERROR(IF(OR(G622="yes",F622= "yes"),VLOOKUP(C622,Summary!$B:$J,6,0),0),0)</f>
        <v>0</v>
      </c>
      <c r="J622" s="111">
        <f t="shared" si="120"/>
        <v>391.62</v>
      </c>
      <c r="K622" s="91">
        <f>VLOOKUP($A622,'2022-23 Salary &amp; Benefits'!$A:$I,3,FALSE)</f>
        <v>1.1200000000000001</v>
      </c>
      <c r="L622" s="91">
        <f>VLOOKUP($A622,'2022-23 Salary &amp; Benefits'!$A:$I,4,FALSE)</f>
        <v>1.1200000000000001</v>
      </c>
      <c r="M622" s="39">
        <f t="shared" si="115"/>
        <v>391.62</v>
      </c>
      <c r="N622" s="24">
        <v>15</v>
      </c>
      <c r="O622" s="26">
        <f t="shared" si="118"/>
        <v>26.108000000000001</v>
      </c>
      <c r="P622" s="24">
        <v>1.1000000000000001</v>
      </c>
      <c r="Q622" s="24">
        <v>36</v>
      </c>
      <c r="R622" s="27">
        <f t="shared" si="119"/>
        <v>1033.8768</v>
      </c>
      <c r="S622" s="102">
        <f t="shared" si="121"/>
        <v>1.149</v>
      </c>
      <c r="T622" s="21">
        <f>VLOOKUP($A622,'2022-23 Salary &amp; Benefits'!$A:$I,5,FALSE)</f>
        <v>68937</v>
      </c>
      <c r="U622" s="21">
        <f>VLOOKUP($A622,'2022-23 Salary &amp; Benefits'!$A:$I,6,FALSE)</f>
        <v>72728</v>
      </c>
      <c r="V622" s="22">
        <f t="shared" si="122"/>
        <v>88713.65</v>
      </c>
      <c r="W622" s="22">
        <f t="shared" si="123"/>
        <v>4878.5600000000122</v>
      </c>
      <c r="X622" s="22">
        <f>'2022-23 Salary &amp; Benefits'!$G$6</f>
        <v>12558.24</v>
      </c>
      <c r="Y622" s="23">
        <f>'2022-23 Salary &amp; Benefits'!$H$6</f>
        <v>0.2298</v>
      </c>
      <c r="Z622" s="23">
        <f>'2022-23 Salary &amp; Benefits'!$I$6</f>
        <v>0.22339999999999999</v>
      </c>
      <c r="AA622" s="22">
        <f t="shared" si="124"/>
        <v>35905.68</v>
      </c>
      <c r="AB622" s="22">
        <f t="shared" si="125"/>
        <v>1559.87</v>
      </c>
      <c r="AC622" s="22">
        <f t="shared" si="126"/>
        <v>348.47</v>
      </c>
      <c r="AD622" s="22">
        <f t="shared" si="116"/>
        <v>1908.34</v>
      </c>
      <c r="AE622" s="22">
        <f t="shared" si="117"/>
        <v>131406.23000000001</v>
      </c>
      <c r="AF622" s="19" t="str">
        <f>VLOOKUP(C622,'2021-22 School Level AAFTE'!C:N,12,FALSE)</f>
        <v>No</v>
      </c>
    </row>
    <row r="623" spans="1:32" s="19" customFormat="1">
      <c r="A623" s="97" t="s">
        <v>2349</v>
      </c>
      <c r="B623" s="97" t="s">
        <v>645</v>
      </c>
      <c r="C623" s="95">
        <v>3159</v>
      </c>
      <c r="D623" s="95" t="s">
        <v>652</v>
      </c>
      <c r="E623" s="129">
        <f>VLOOKUP($C623,'2021-22 School Level AAFTE'!$C:$Z,11,FALSE)</f>
        <v>0.84519999999999984</v>
      </c>
      <c r="F623" s="129" t="str">
        <f>VLOOKUP($C623,'2021-22 School Level AAFTE'!$C:$Z,8,FALSE)</f>
        <v>Yes</v>
      </c>
      <c r="G623" s="129" t="str">
        <f>VLOOKUP($C623,'2021-22 School Level AAFTE'!$C:$Z,12,FALSE)</f>
        <v>No</v>
      </c>
      <c r="H623" s="127">
        <f>VLOOKUP($C623,'2021-22 School Level AAFTE'!$C:$I,7,FALSE)</f>
        <v>428.29</v>
      </c>
      <c r="I623" s="112">
        <f>IFERROR(IF(OR(G623="yes",F623= "yes"),VLOOKUP(C623,Summary!$B:$J,6,0),0),0)</f>
        <v>0</v>
      </c>
      <c r="J623" s="111">
        <f t="shared" si="120"/>
        <v>428.29</v>
      </c>
      <c r="K623" s="91">
        <f>VLOOKUP($A623,'2022-23 Salary &amp; Benefits'!$A:$I,3,FALSE)</f>
        <v>1.1200000000000001</v>
      </c>
      <c r="L623" s="91">
        <f>VLOOKUP($A623,'2022-23 Salary &amp; Benefits'!$A:$I,4,FALSE)</f>
        <v>1.1200000000000001</v>
      </c>
      <c r="M623" s="101">
        <f t="shared" si="115"/>
        <v>428.29</v>
      </c>
      <c r="N623" s="24">
        <v>15</v>
      </c>
      <c r="O623" s="26">
        <f t="shared" si="118"/>
        <v>28.552666666666667</v>
      </c>
      <c r="P623" s="24">
        <v>1.1000000000000001</v>
      </c>
      <c r="Q623" s="24">
        <v>36</v>
      </c>
      <c r="R623" s="27">
        <f t="shared" si="119"/>
        <v>1130.6856</v>
      </c>
      <c r="S623" s="102">
        <f t="shared" si="121"/>
        <v>1.256</v>
      </c>
      <c r="T623" s="21">
        <f>VLOOKUP($A623,'2022-23 Salary &amp; Benefits'!$A:$I,5,FALSE)</f>
        <v>68937</v>
      </c>
      <c r="U623" s="21">
        <f>VLOOKUP($A623,'2022-23 Salary &amp; Benefits'!$A:$I,6,FALSE)</f>
        <v>72728</v>
      </c>
      <c r="V623" s="22">
        <f t="shared" si="122"/>
        <v>96975.06</v>
      </c>
      <c r="W623" s="22">
        <f t="shared" si="123"/>
        <v>5332.8699999999953</v>
      </c>
      <c r="X623" s="22">
        <f>'2022-23 Salary &amp; Benefits'!$G$6</f>
        <v>12558.24</v>
      </c>
      <c r="Y623" s="23">
        <f>'2022-23 Salary &amp; Benefits'!$H$6</f>
        <v>0.2298</v>
      </c>
      <c r="Z623" s="23">
        <f>'2022-23 Salary &amp; Benefits'!$I$6</f>
        <v>0.22339999999999999</v>
      </c>
      <c r="AA623" s="22">
        <f t="shared" si="124"/>
        <v>39249.379999999997</v>
      </c>
      <c r="AB623" s="22">
        <f t="shared" si="125"/>
        <v>1705.13</v>
      </c>
      <c r="AC623" s="22">
        <f t="shared" si="126"/>
        <v>380.93</v>
      </c>
      <c r="AD623" s="22">
        <f t="shared" si="116"/>
        <v>2086.06</v>
      </c>
      <c r="AE623" s="22">
        <f t="shared" si="117"/>
        <v>143643.37</v>
      </c>
      <c r="AF623" s="19" t="str">
        <f>VLOOKUP(C623,'2021-22 School Level AAFTE'!C:N,12,FALSE)</f>
        <v>No</v>
      </c>
    </row>
    <row r="624" spans="1:32" s="19" customFormat="1">
      <c r="A624" s="97" t="s">
        <v>2349</v>
      </c>
      <c r="B624" s="97" t="s">
        <v>645</v>
      </c>
      <c r="C624" s="95">
        <v>3160</v>
      </c>
      <c r="D624" s="95" t="s">
        <v>653</v>
      </c>
      <c r="E624" s="129">
        <f>VLOOKUP($C624,'2021-22 School Level AAFTE'!$C:$Z,11,FALSE)</f>
        <v>0.63109999999999999</v>
      </c>
      <c r="F624" s="129" t="str">
        <f>VLOOKUP($C624,'2021-22 School Level AAFTE'!$C:$Z,8,FALSE)</f>
        <v>Yes</v>
      </c>
      <c r="G624" s="129" t="str">
        <f>VLOOKUP($C624,'2021-22 School Level AAFTE'!$C:$Z,12,FALSE)</f>
        <v>No</v>
      </c>
      <c r="H624" s="127">
        <f>VLOOKUP($C624,'2021-22 School Level AAFTE'!$C:$I,7,FALSE)</f>
        <v>310.48</v>
      </c>
      <c r="I624" s="112">
        <f>IFERROR(IF(OR(G624="yes",F624= "yes"),VLOOKUP(C624,Summary!$B:$J,6,0),0),0)</f>
        <v>0</v>
      </c>
      <c r="J624" s="111">
        <f t="shared" si="120"/>
        <v>310.48</v>
      </c>
      <c r="K624" s="91">
        <f>VLOOKUP($A624,'2022-23 Salary &amp; Benefits'!$A:$I,3,FALSE)</f>
        <v>1.1200000000000001</v>
      </c>
      <c r="L624" s="91">
        <f>VLOOKUP($A624,'2022-23 Salary &amp; Benefits'!$A:$I,4,FALSE)</f>
        <v>1.1200000000000001</v>
      </c>
      <c r="M624" s="101">
        <f t="shared" si="115"/>
        <v>310.48</v>
      </c>
      <c r="N624" s="24">
        <v>15</v>
      </c>
      <c r="O624" s="26">
        <f t="shared" si="118"/>
        <v>20.698666666666668</v>
      </c>
      <c r="P624" s="24">
        <v>1.1000000000000001</v>
      </c>
      <c r="Q624" s="24">
        <v>36</v>
      </c>
      <c r="R624" s="27">
        <f t="shared" si="119"/>
        <v>819.66720000000009</v>
      </c>
      <c r="S624" s="102">
        <f t="shared" si="121"/>
        <v>0.91100000000000003</v>
      </c>
      <c r="T624" s="21">
        <f>VLOOKUP($A624,'2022-23 Salary &amp; Benefits'!$A:$I,5,FALSE)</f>
        <v>68937</v>
      </c>
      <c r="U624" s="21">
        <f>VLOOKUP($A624,'2022-23 Salary &amp; Benefits'!$A:$I,6,FALSE)</f>
        <v>72728</v>
      </c>
      <c r="V624" s="22">
        <f t="shared" si="122"/>
        <v>70337.8</v>
      </c>
      <c r="W624" s="22">
        <f t="shared" si="123"/>
        <v>3868.0299999999988</v>
      </c>
      <c r="X624" s="22">
        <f>'2022-23 Salary &amp; Benefits'!$G$6</f>
        <v>12558.24</v>
      </c>
      <c r="Y624" s="23">
        <f>'2022-23 Salary &amp; Benefits'!$H$6</f>
        <v>0.2298</v>
      </c>
      <c r="Z624" s="23">
        <f>'2022-23 Salary &amp; Benefits'!$I$6</f>
        <v>0.22339999999999999</v>
      </c>
      <c r="AA624" s="22">
        <f t="shared" si="124"/>
        <v>28468.3</v>
      </c>
      <c r="AB624" s="22">
        <f t="shared" si="125"/>
        <v>1236.76</v>
      </c>
      <c r="AC624" s="22">
        <f t="shared" si="126"/>
        <v>276.29000000000002</v>
      </c>
      <c r="AD624" s="22">
        <f t="shared" si="116"/>
        <v>1513.05</v>
      </c>
      <c r="AE624" s="22">
        <f t="shared" si="117"/>
        <v>104187.18000000001</v>
      </c>
      <c r="AF624" s="19" t="str">
        <f>VLOOKUP(C624,'2021-22 School Level AAFTE'!C:N,12,FALSE)</f>
        <v>No</v>
      </c>
    </row>
    <row r="625" spans="1:32" s="19" customFormat="1">
      <c r="A625" s="97" t="s">
        <v>2349</v>
      </c>
      <c r="B625" s="97" t="s">
        <v>645</v>
      </c>
      <c r="C625" s="95">
        <v>3328</v>
      </c>
      <c r="D625" s="95" t="s">
        <v>654</v>
      </c>
      <c r="E625" s="129">
        <f>VLOOKUP($C625,'2021-22 School Level AAFTE'!$C:$Z,11,FALSE)</f>
        <v>0.56956666666666667</v>
      </c>
      <c r="F625" s="129" t="str">
        <f>VLOOKUP($C625,'2021-22 School Level AAFTE'!$C:$Z,8,FALSE)</f>
        <v>Yes</v>
      </c>
      <c r="G625" s="129" t="str">
        <f>VLOOKUP($C625,'2021-22 School Level AAFTE'!$C:$Z,12,FALSE)</f>
        <v>No</v>
      </c>
      <c r="H625" s="127">
        <f>VLOOKUP($C625,'2021-22 School Level AAFTE'!$C:$I,7,FALSE)</f>
        <v>426.22</v>
      </c>
      <c r="I625" s="112">
        <f>IFERROR(IF(OR(G625="yes",F625= "yes"),VLOOKUP(C625,Summary!$B:$J,6,0),0),0)</f>
        <v>0</v>
      </c>
      <c r="J625" s="111">
        <f t="shared" si="120"/>
        <v>426.22</v>
      </c>
      <c r="K625" s="91">
        <f>VLOOKUP($A625,'2022-23 Salary &amp; Benefits'!$A:$I,3,FALSE)</f>
        <v>1.1200000000000001</v>
      </c>
      <c r="L625" s="91">
        <f>VLOOKUP($A625,'2022-23 Salary &amp; Benefits'!$A:$I,4,FALSE)</f>
        <v>1.1200000000000001</v>
      </c>
      <c r="M625" s="101">
        <f t="shared" si="115"/>
        <v>426.22</v>
      </c>
      <c r="N625" s="24">
        <v>15</v>
      </c>
      <c r="O625" s="26">
        <f t="shared" si="118"/>
        <v>28.414666666666669</v>
      </c>
      <c r="P625" s="24">
        <v>1.1000000000000001</v>
      </c>
      <c r="Q625" s="24">
        <v>36</v>
      </c>
      <c r="R625" s="27">
        <f t="shared" si="119"/>
        <v>1125.2208000000001</v>
      </c>
      <c r="S625" s="102">
        <f t="shared" si="121"/>
        <v>1.25</v>
      </c>
      <c r="T625" s="21">
        <f>VLOOKUP($A625,'2022-23 Salary &amp; Benefits'!$A:$I,5,FALSE)</f>
        <v>68937</v>
      </c>
      <c r="U625" s="21">
        <f>VLOOKUP($A625,'2022-23 Salary &amp; Benefits'!$A:$I,6,FALSE)</f>
        <v>72728</v>
      </c>
      <c r="V625" s="22">
        <f t="shared" si="122"/>
        <v>96511.8</v>
      </c>
      <c r="W625" s="22">
        <f t="shared" si="123"/>
        <v>5307.3999999999942</v>
      </c>
      <c r="X625" s="22">
        <f>'2022-23 Salary &amp; Benefits'!$G$6</f>
        <v>12558.24</v>
      </c>
      <c r="Y625" s="23">
        <f>'2022-23 Salary &amp; Benefits'!$H$6</f>
        <v>0.2298</v>
      </c>
      <c r="Z625" s="23">
        <f>'2022-23 Salary &amp; Benefits'!$I$6</f>
        <v>0.22339999999999999</v>
      </c>
      <c r="AA625" s="22">
        <f t="shared" si="124"/>
        <v>39061.879999999997</v>
      </c>
      <c r="AB625" s="22">
        <f t="shared" si="125"/>
        <v>1696.99</v>
      </c>
      <c r="AC625" s="22">
        <f t="shared" si="126"/>
        <v>379.11</v>
      </c>
      <c r="AD625" s="22">
        <f t="shared" si="116"/>
        <v>2076.1</v>
      </c>
      <c r="AE625" s="22">
        <f t="shared" si="117"/>
        <v>142957.18</v>
      </c>
      <c r="AF625" s="19" t="str">
        <f>VLOOKUP(C625,'2021-22 School Level AAFTE'!C:N,12,FALSE)</f>
        <v>No</v>
      </c>
    </row>
    <row r="626" spans="1:32" s="19" customFormat="1">
      <c r="A626" s="97" t="s">
        <v>2349</v>
      </c>
      <c r="B626" s="97" t="s">
        <v>645</v>
      </c>
      <c r="C626" s="95">
        <v>3329</v>
      </c>
      <c r="D626" s="95" t="s">
        <v>655</v>
      </c>
      <c r="E626" s="129">
        <f>VLOOKUP($C626,'2021-22 School Level AAFTE'!$C:$Z,11,FALSE)</f>
        <v>0.74693333333333334</v>
      </c>
      <c r="F626" s="129" t="str">
        <f>VLOOKUP($C626,'2021-22 School Level AAFTE'!$C:$Z,8,FALSE)</f>
        <v>Yes</v>
      </c>
      <c r="G626" s="129" t="str">
        <f>VLOOKUP($C626,'2021-22 School Level AAFTE'!$C:$Z,12,FALSE)</f>
        <v>No</v>
      </c>
      <c r="H626" s="127">
        <f>VLOOKUP($C626,'2021-22 School Level AAFTE'!$C:$I,7,FALSE)</f>
        <v>381.06</v>
      </c>
      <c r="I626" s="112">
        <f>IFERROR(IF(OR(G626="yes",F626= "yes"),VLOOKUP(C626,Summary!$B:$J,6,0),0),0)</f>
        <v>0</v>
      </c>
      <c r="J626" s="111">
        <f t="shared" si="120"/>
        <v>381.06</v>
      </c>
      <c r="K626" s="91">
        <f>VLOOKUP($A626,'2022-23 Salary &amp; Benefits'!$A:$I,3,FALSE)</f>
        <v>1.1200000000000001</v>
      </c>
      <c r="L626" s="91">
        <f>VLOOKUP($A626,'2022-23 Salary &amp; Benefits'!$A:$I,4,FALSE)</f>
        <v>1.1200000000000001</v>
      </c>
      <c r="M626" s="101">
        <f t="shared" si="115"/>
        <v>381.06</v>
      </c>
      <c r="N626" s="24">
        <v>15</v>
      </c>
      <c r="O626" s="26">
        <f t="shared" si="118"/>
        <v>25.404</v>
      </c>
      <c r="P626" s="24">
        <v>1.1000000000000001</v>
      </c>
      <c r="Q626" s="24">
        <v>36</v>
      </c>
      <c r="R626" s="27">
        <f t="shared" si="119"/>
        <v>1005.9984000000001</v>
      </c>
      <c r="S626" s="102">
        <f t="shared" si="121"/>
        <v>1.1180000000000001</v>
      </c>
      <c r="T626" s="21">
        <f>VLOOKUP($A626,'2022-23 Salary &amp; Benefits'!$A:$I,5,FALSE)</f>
        <v>68937</v>
      </c>
      <c r="U626" s="21">
        <f>VLOOKUP($A626,'2022-23 Salary &amp; Benefits'!$A:$I,6,FALSE)</f>
        <v>72728</v>
      </c>
      <c r="V626" s="22">
        <f t="shared" si="122"/>
        <v>86320.15</v>
      </c>
      <c r="W626" s="22">
        <f t="shared" si="123"/>
        <v>4746.9400000000023</v>
      </c>
      <c r="X626" s="22">
        <f>'2022-23 Salary &amp; Benefits'!$G$6</f>
        <v>12558.24</v>
      </c>
      <c r="Y626" s="23">
        <f>'2022-23 Salary &amp; Benefits'!$H$6</f>
        <v>0.2298</v>
      </c>
      <c r="Z626" s="23">
        <f>'2022-23 Salary &amp; Benefits'!$I$6</f>
        <v>0.22339999999999999</v>
      </c>
      <c r="AA626" s="22">
        <f t="shared" si="124"/>
        <v>34936.949999999997</v>
      </c>
      <c r="AB626" s="22">
        <f t="shared" si="125"/>
        <v>1517.78</v>
      </c>
      <c r="AC626" s="22">
        <f t="shared" si="126"/>
        <v>339.07</v>
      </c>
      <c r="AD626" s="22">
        <f t="shared" si="116"/>
        <v>1856.85</v>
      </c>
      <c r="AE626" s="22">
        <f t="shared" si="117"/>
        <v>127860.89</v>
      </c>
      <c r="AF626" s="19" t="str">
        <f>VLOOKUP(C626,'2021-22 School Level AAFTE'!C:N,12,FALSE)</f>
        <v>No</v>
      </c>
    </row>
    <row r="627" spans="1:32" s="19" customFormat="1">
      <c r="A627" s="97" t="s">
        <v>2349</v>
      </c>
      <c r="B627" s="97" t="s">
        <v>645</v>
      </c>
      <c r="C627" s="95">
        <v>3381</v>
      </c>
      <c r="D627" s="95" t="s">
        <v>656</v>
      </c>
      <c r="E627" s="129">
        <f>VLOOKUP($C627,'2021-22 School Level AAFTE'!$C:$Z,11,FALSE)</f>
        <v>0.61380000000000001</v>
      </c>
      <c r="F627" s="129" t="str">
        <f>VLOOKUP($C627,'2021-22 School Level AAFTE'!$C:$Z,8,FALSE)</f>
        <v>Yes</v>
      </c>
      <c r="G627" s="129" t="str">
        <f>VLOOKUP($C627,'2021-22 School Level AAFTE'!$C:$Z,12,FALSE)</f>
        <v>No</v>
      </c>
      <c r="H627" s="127">
        <f>VLOOKUP($C627,'2021-22 School Level AAFTE'!$C:$I,7,FALSE)</f>
        <v>647.57000000000005</v>
      </c>
      <c r="I627" s="112">
        <f>IFERROR(IF(OR(G627="yes",F627= "yes"),VLOOKUP(C627,Summary!$B:$J,6,0),0),0)</f>
        <v>0</v>
      </c>
      <c r="J627" s="111">
        <f t="shared" si="120"/>
        <v>647.57000000000005</v>
      </c>
      <c r="K627" s="91">
        <f>VLOOKUP($A627,'2022-23 Salary &amp; Benefits'!$A:$I,3,FALSE)</f>
        <v>1.1200000000000001</v>
      </c>
      <c r="L627" s="91">
        <f>VLOOKUP($A627,'2022-23 Salary &amp; Benefits'!$A:$I,4,FALSE)</f>
        <v>1.1200000000000001</v>
      </c>
      <c r="M627" s="39">
        <f t="shared" ref="M627:M690" si="127">IF(I627&gt;0,I627,J627)</f>
        <v>647.57000000000005</v>
      </c>
      <c r="N627" s="24">
        <v>15</v>
      </c>
      <c r="O627" s="26">
        <f t="shared" si="118"/>
        <v>43.171333333333337</v>
      </c>
      <c r="P627" s="24">
        <v>1.1000000000000001</v>
      </c>
      <c r="Q627" s="24">
        <v>36</v>
      </c>
      <c r="R627" s="27">
        <f t="shared" si="119"/>
        <v>1709.5848000000003</v>
      </c>
      <c r="S627" s="102">
        <f t="shared" si="121"/>
        <v>1.9</v>
      </c>
      <c r="T627" s="21">
        <f>VLOOKUP($A627,'2022-23 Salary &amp; Benefits'!$A:$I,5,FALSE)</f>
        <v>68937</v>
      </c>
      <c r="U627" s="21">
        <f>VLOOKUP($A627,'2022-23 Salary &amp; Benefits'!$A:$I,6,FALSE)</f>
        <v>72728</v>
      </c>
      <c r="V627" s="22">
        <f t="shared" si="122"/>
        <v>146697.94</v>
      </c>
      <c r="W627" s="22">
        <f t="shared" si="123"/>
        <v>8067.2399999999907</v>
      </c>
      <c r="X627" s="22">
        <f>'2022-23 Salary &amp; Benefits'!$G$6</f>
        <v>12558.24</v>
      </c>
      <c r="Y627" s="23">
        <f>'2022-23 Salary &amp; Benefits'!$H$6</f>
        <v>0.2298</v>
      </c>
      <c r="Z627" s="23">
        <f>'2022-23 Salary &amp; Benefits'!$I$6</f>
        <v>0.22339999999999999</v>
      </c>
      <c r="AA627" s="22">
        <f t="shared" si="124"/>
        <v>59374.06</v>
      </c>
      <c r="AB627" s="22">
        <f t="shared" si="125"/>
        <v>2579.42</v>
      </c>
      <c r="AC627" s="22">
        <f t="shared" si="126"/>
        <v>576.24</v>
      </c>
      <c r="AD627" s="22">
        <f t="shared" ref="AD627:AD690" si="128">SUM(AB627:AC627)</f>
        <v>3155.66</v>
      </c>
      <c r="AE627" s="22">
        <f t="shared" ref="AE627:AE690" si="129">SUM(AA627,V627:W627,AD627)</f>
        <v>217294.9</v>
      </c>
      <c r="AF627" s="19" t="str">
        <f>VLOOKUP(C627,'2021-22 School Level AAFTE'!C:N,12,FALSE)</f>
        <v>No</v>
      </c>
    </row>
    <row r="628" spans="1:32" s="19" customFormat="1">
      <c r="A628" s="97" t="s">
        <v>2349</v>
      </c>
      <c r="B628" s="97" t="s">
        <v>645</v>
      </c>
      <c r="C628" s="95">
        <v>3431</v>
      </c>
      <c r="D628" s="95" t="s">
        <v>657</v>
      </c>
      <c r="E628" s="129">
        <f>VLOOKUP($C628,'2021-22 School Level AAFTE'!$C:$Z,11,FALSE)</f>
        <v>0.75896666666666668</v>
      </c>
      <c r="F628" s="129" t="str">
        <f>VLOOKUP($C628,'2021-22 School Level AAFTE'!$C:$Z,8,FALSE)</f>
        <v>Yes</v>
      </c>
      <c r="G628" s="129" t="str">
        <f>VLOOKUP($C628,'2021-22 School Level AAFTE'!$C:$Z,12,FALSE)</f>
        <v>No</v>
      </c>
      <c r="H628" s="127">
        <f>VLOOKUP($C628,'2021-22 School Level AAFTE'!$C:$I,7,FALSE)</f>
        <v>684.32</v>
      </c>
      <c r="I628" s="112">
        <f>IFERROR(IF(OR(G628="yes",F628= "yes"),VLOOKUP(C628,Summary!$B:$J,6,0),0),0)</f>
        <v>0</v>
      </c>
      <c r="J628" s="111">
        <f t="shared" si="120"/>
        <v>684.32</v>
      </c>
      <c r="K628" s="91">
        <f>VLOOKUP($A628,'2022-23 Salary &amp; Benefits'!$A:$I,3,FALSE)</f>
        <v>1.1200000000000001</v>
      </c>
      <c r="L628" s="91">
        <f>VLOOKUP($A628,'2022-23 Salary &amp; Benefits'!$A:$I,4,FALSE)</f>
        <v>1.1200000000000001</v>
      </c>
      <c r="M628" s="39">
        <f t="shared" si="127"/>
        <v>684.32</v>
      </c>
      <c r="N628" s="24">
        <v>15</v>
      </c>
      <c r="O628" s="26">
        <f t="shared" si="118"/>
        <v>45.62133333333334</v>
      </c>
      <c r="P628" s="24">
        <v>1.1000000000000001</v>
      </c>
      <c r="Q628" s="24">
        <v>36</v>
      </c>
      <c r="R628" s="27">
        <f t="shared" si="119"/>
        <v>1806.6048000000003</v>
      </c>
      <c r="S628" s="102">
        <f t="shared" si="121"/>
        <v>2.0070000000000001</v>
      </c>
      <c r="T628" s="21">
        <f>VLOOKUP($A628,'2022-23 Salary &amp; Benefits'!$A:$I,5,FALSE)</f>
        <v>68937</v>
      </c>
      <c r="U628" s="21">
        <f>VLOOKUP($A628,'2022-23 Salary &amp; Benefits'!$A:$I,6,FALSE)</f>
        <v>72728</v>
      </c>
      <c r="V628" s="22">
        <f t="shared" si="122"/>
        <v>154959.35</v>
      </c>
      <c r="W628" s="22">
        <f t="shared" si="123"/>
        <v>8521.5599999999977</v>
      </c>
      <c r="X628" s="22">
        <f>'2022-23 Salary &amp; Benefits'!$G$6</f>
        <v>12558.24</v>
      </c>
      <c r="Y628" s="23">
        <f>'2022-23 Salary &amp; Benefits'!$H$6</f>
        <v>0.2298</v>
      </c>
      <c r="Z628" s="23">
        <f>'2022-23 Salary &amp; Benefits'!$I$6</f>
        <v>0.22339999999999999</v>
      </c>
      <c r="AA628" s="22">
        <f t="shared" si="124"/>
        <v>62717.760000000002</v>
      </c>
      <c r="AB628" s="22">
        <f t="shared" si="125"/>
        <v>2724.68</v>
      </c>
      <c r="AC628" s="22">
        <f t="shared" si="126"/>
        <v>608.69000000000005</v>
      </c>
      <c r="AD628" s="22">
        <f t="shared" si="128"/>
        <v>3333.37</v>
      </c>
      <c r="AE628" s="22">
        <f t="shared" si="129"/>
        <v>229532.04</v>
      </c>
      <c r="AF628" s="19" t="str">
        <f>VLOOKUP(C628,'2021-22 School Level AAFTE'!C:N,12,FALSE)</f>
        <v>No</v>
      </c>
    </row>
    <row r="629" spans="1:32" s="19" customFormat="1">
      <c r="A629" s="97" t="s">
        <v>2349</v>
      </c>
      <c r="B629" s="97" t="s">
        <v>645</v>
      </c>
      <c r="C629" s="95">
        <v>3432</v>
      </c>
      <c r="D629" s="95" t="s">
        <v>580</v>
      </c>
      <c r="E629" s="129">
        <f>VLOOKUP($C629,'2021-22 School Level AAFTE'!$C:$Z,11,FALSE)</f>
        <v>0.81533333333333324</v>
      </c>
      <c r="F629" s="129" t="str">
        <f>VLOOKUP($C629,'2021-22 School Level AAFTE'!$C:$Z,8,FALSE)</f>
        <v>Yes</v>
      </c>
      <c r="G629" s="129" t="str">
        <f>VLOOKUP($C629,'2021-22 School Level AAFTE'!$C:$Z,12,FALSE)</f>
        <v>No</v>
      </c>
      <c r="H629" s="127">
        <f>VLOOKUP($C629,'2021-22 School Level AAFTE'!$C:$I,7,FALSE)</f>
        <v>405.71</v>
      </c>
      <c r="I629" s="112">
        <f>IFERROR(IF(OR(G629="yes",F629= "yes"),VLOOKUP(C629,Summary!$B:$J,6,0),0),0)</f>
        <v>0</v>
      </c>
      <c r="J629" s="111">
        <f t="shared" si="120"/>
        <v>405.71</v>
      </c>
      <c r="K629" s="91">
        <f>VLOOKUP($A629,'2022-23 Salary &amp; Benefits'!$A:$I,3,FALSE)</f>
        <v>1.1200000000000001</v>
      </c>
      <c r="L629" s="91">
        <f>VLOOKUP($A629,'2022-23 Salary &amp; Benefits'!$A:$I,4,FALSE)</f>
        <v>1.1200000000000001</v>
      </c>
      <c r="M629" s="39">
        <f t="shared" si="127"/>
        <v>405.71</v>
      </c>
      <c r="N629" s="24">
        <v>15</v>
      </c>
      <c r="O629" s="26">
        <f t="shared" si="118"/>
        <v>27.047333333333331</v>
      </c>
      <c r="P629" s="24">
        <v>1.1000000000000001</v>
      </c>
      <c r="Q629" s="24">
        <v>36</v>
      </c>
      <c r="R629" s="27">
        <f t="shared" si="119"/>
        <v>1071.0744</v>
      </c>
      <c r="S629" s="102">
        <f t="shared" si="121"/>
        <v>1.19</v>
      </c>
      <c r="T629" s="21">
        <f>VLOOKUP($A629,'2022-23 Salary &amp; Benefits'!$A:$I,5,FALSE)</f>
        <v>68937</v>
      </c>
      <c r="U629" s="21">
        <f>VLOOKUP($A629,'2022-23 Salary &amp; Benefits'!$A:$I,6,FALSE)</f>
        <v>72728</v>
      </c>
      <c r="V629" s="22">
        <f t="shared" si="122"/>
        <v>91879.23</v>
      </c>
      <c r="W629" s="22">
        <f t="shared" si="123"/>
        <v>5052.6500000000087</v>
      </c>
      <c r="X629" s="22">
        <f>'2022-23 Salary &amp; Benefits'!$G$6</f>
        <v>12558.24</v>
      </c>
      <c r="Y629" s="23">
        <f>'2022-23 Salary &amp; Benefits'!$H$6</f>
        <v>0.2298</v>
      </c>
      <c r="Z629" s="23">
        <f>'2022-23 Salary &amp; Benefits'!$I$6</f>
        <v>0.22339999999999999</v>
      </c>
      <c r="AA629" s="22">
        <f t="shared" si="124"/>
        <v>37186.910000000003</v>
      </c>
      <c r="AB629" s="22">
        <f t="shared" si="125"/>
        <v>1615.53</v>
      </c>
      <c r="AC629" s="22">
        <f t="shared" si="126"/>
        <v>360.91</v>
      </c>
      <c r="AD629" s="22">
        <f t="shared" si="128"/>
        <v>1976.44</v>
      </c>
      <c r="AE629" s="22">
        <f t="shared" si="129"/>
        <v>136095.23000000001</v>
      </c>
      <c r="AF629" s="19" t="str">
        <f>VLOOKUP(C629,'2021-22 School Level AAFTE'!C:N,12,FALSE)</f>
        <v>No</v>
      </c>
    </row>
    <row r="630" spans="1:32" s="19" customFormat="1">
      <c r="A630" s="97" t="s">
        <v>2349</v>
      </c>
      <c r="B630" s="97" t="s">
        <v>645</v>
      </c>
      <c r="C630" s="95">
        <v>3519</v>
      </c>
      <c r="D630" s="95" t="s">
        <v>658</v>
      </c>
      <c r="E630" s="129">
        <f>VLOOKUP($C630,'2021-22 School Level AAFTE'!$C:$Z,11,FALSE)</f>
        <v>0.66476666666666662</v>
      </c>
      <c r="F630" s="129" t="str">
        <f>VLOOKUP($C630,'2021-22 School Level AAFTE'!$C:$Z,8,FALSE)</f>
        <v>Yes</v>
      </c>
      <c r="G630" s="129" t="str">
        <f>VLOOKUP($C630,'2021-22 School Level AAFTE'!$C:$Z,12,FALSE)</f>
        <v>No</v>
      </c>
      <c r="H630" s="127">
        <f>VLOOKUP($C630,'2021-22 School Level AAFTE'!$C:$I,7,FALSE)</f>
        <v>266.43</v>
      </c>
      <c r="I630" s="112">
        <f>IFERROR(IF(OR(G630="yes",F630= "yes"),VLOOKUP(C630,Summary!$B:$J,6,0),0),0)</f>
        <v>0</v>
      </c>
      <c r="J630" s="111">
        <f t="shared" si="120"/>
        <v>266.43</v>
      </c>
      <c r="K630" s="91">
        <f>VLOOKUP($A630,'2022-23 Salary &amp; Benefits'!$A:$I,3,FALSE)</f>
        <v>1.1200000000000001</v>
      </c>
      <c r="L630" s="91">
        <f>VLOOKUP($A630,'2022-23 Salary &amp; Benefits'!$A:$I,4,FALSE)</f>
        <v>1.1200000000000001</v>
      </c>
      <c r="M630" s="39">
        <f t="shared" si="127"/>
        <v>266.43</v>
      </c>
      <c r="N630" s="24">
        <v>15</v>
      </c>
      <c r="O630" s="26">
        <f t="shared" si="118"/>
        <v>17.762</v>
      </c>
      <c r="P630" s="24">
        <v>1.1000000000000001</v>
      </c>
      <c r="Q630" s="24">
        <v>36</v>
      </c>
      <c r="R630" s="27">
        <f t="shared" si="119"/>
        <v>703.37520000000018</v>
      </c>
      <c r="S630" s="102">
        <f t="shared" si="121"/>
        <v>0.78200000000000003</v>
      </c>
      <c r="T630" s="21">
        <f>VLOOKUP($A630,'2022-23 Salary &amp; Benefits'!$A:$I,5,FALSE)</f>
        <v>68937</v>
      </c>
      <c r="U630" s="21">
        <f>VLOOKUP($A630,'2022-23 Salary &amp; Benefits'!$A:$I,6,FALSE)</f>
        <v>72728</v>
      </c>
      <c r="V630" s="22">
        <f t="shared" si="122"/>
        <v>60377.78</v>
      </c>
      <c r="W630" s="22">
        <f t="shared" si="123"/>
        <v>3320.3099999999977</v>
      </c>
      <c r="X630" s="22">
        <f>'2022-23 Salary &amp; Benefits'!$G$6</f>
        <v>12558.24</v>
      </c>
      <c r="Y630" s="23">
        <f>'2022-23 Salary &amp; Benefits'!$H$6</f>
        <v>0.2298</v>
      </c>
      <c r="Z630" s="23">
        <f>'2022-23 Salary &amp; Benefits'!$I$6</f>
        <v>0.22339999999999999</v>
      </c>
      <c r="AA630" s="22">
        <f t="shared" si="124"/>
        <v>24437.11</v>
      </c>
      <c r="AB630" s="22">
        <f t="shared" si="125"/>
        <v>1061.6300000000001</v>
      </c>
      <c r="AC630" s="22">
        <f t="shared" si="126"/>
        <v>237.17</v>
      </c>
      <c r="AD630" s="22">
        <f t="shared" si="128"/>
        <v>1298.8000000000002</v>
      </c>
      <c r="AE630" s="22">
        <f t="shared" si="129"/>
        <v>89434</v>
      </c>
      <c r="AF630" s="19" t="str">
        <f>VLOOKUP(C630,'2021-22 School Level AAFTE'!C:N,12,FALSE)</f>
        <v>No</v>
      </c>
    </row>
    <row r="631" spans="1:32" s="19" customFormat="1">
      <c r="A631" s="97" t="s">
        <v>2349</v>
      </c>
      <c r="B631" s="97" t="s">
        <v>645</v>
      </c>
      <c r="C631" s="95">
        <v>3547</v>
      </c>
      <c r="D631" s="95" t="s">
        <v>659</v>
      </c>
      <c r="E631" s="129">
        <f>VLOOKUP($C631,'2021-22 School Level AAFTE'!$C:$Z,11,FALSE)</f>
        <v>0.53639999999999999</v>
      </c>
      <c r="F631" s="129" t="str">
        <f>VLOOKUP($C631,'2021-22 School Level AAFTE'!$C:$Z,8,FALSE)</f>
        <v>Yes</v>
      </c>
      <c r="G631" s="129" t="str">
        <f>VLOOKUP($C631,'2021-22 School Level AAFTE'!$C:$Z,12,FALSE)</f>
        <v>No</v>
      </c>
      <c r="H631" s="127">
        <f>VLOOKUP($C631,'2021-22 School Level AAFTE'!$C:$I,7,FALSE)</f>
        <v>254.35</v>
      </c>
      <c r="I631" s="112">
        <f>IFERROR(IF(OR(G631="yes",F631= "yes"),VLOOKUP(C631,Summary!$B:$J,6,0),0),0)</f>
        <v>0</v>
      </c>
      <c r="J631" s="111">
        <f t="shared" si="120"/>
        <v>254.35</v>
      </c>
      <c r="K631" s="91">
        <f>VLOOKUP($A631,'2022-23 Salary &amp; Benefits'!$A:$I,3,FALSE)</f>
        <v>1.1200000000000001</v>
      </c>
      <c r="L631" s="91">
        <f>VLOOKUP($A631,'2022-23 Salary &amp; Benefits'!$A:$I,4,FALSE)</f>
        <v>1.1200000000000001</v>
      </c>
      <c r="M631" s="101">
        <f t="shared" si="127"/>
        <v>254.35</v>
      </c>
      <c r="N631" s="24">
        <v>15</v>
      </c>
      <c r="O631" s="26">
        <f t="shared" si="118"/>
        <v>16.956666666666667</v>
      </c>
      <c r="P631" s="24">
        <v>1.1000000000000001</v>
      </c>
      <c r="Q631" s="24">
        <v>36</v>
      </c>
      <c r="R631" s="27">
        <f t="shared" si="119"/>
        <v>671.48400000000004</v>
      </c>
      <c r="S631" s="102">
        <f t="shared" si="121"/>
        <v>0.746</v>
      </c>
      <c r="T631" s="21">
        <f>VLOOKUP($A631,'2022-23 Salary &amp; Benefits'!$A:$I,5,FALSE)</f>
        <v>68937</v>
      </c>
      <c r="U631" s="21">
        <f>VLOOKUP($A631,'2022-23 Salary &amp; Benefits'!$A:$I,6,FALSE)</f>
        <v>72728</v>
      </c>
      <c r="V631" s="22">
        <f t="shared" si="122"/>
        <v>57598.239999999998</v>
      </c>
      <c r="W631" s="22">
        <f t="shared" si="123"/>
        <v>3167.4599999999991</v>
      </c>
      <c r="X631" s="22">
        <f>'2022-23 Salary &amp; Benefits'!$G$6</f>
        <v>12558.24</v>
      </c>
      <c r="Y631" s="23">
        <f>'2022-23 Salary &amp; Benefits'!$H$6</f>
        <v>0.2298</v>
      </c>
      <c r="Z631" s="23">
        <f>'2022-23 Salary &amp; Benefits'!$I$6</f>
        <v>0.22339999999999999</v>
      </c>
      <c r="AA631" s="22">
        <f t="shared" si="124"/>
        <v>23312.13</v>
      </c>
      <c r="AB631" s="22">
        <f t="shared" si="125"/>
        <v>1012.76</v>
      </c>
      <c r="AC631" s="22">
        <f t="shared" si="126"/>
        <v>226.25</v>
      </c>
      <c r="AD631" s="22">
        <f t="shared" si="128"/>
        <v>1239.01</v>
      </c>
      <c r="AE631" s="22">
        <f t="shared" si="129"/>
        <v>85316.839999999982</v>
      </c>
      <c r="AF631" s="19" t="str">
        <f>VLOOKUP(C631,'2021-22 School Level AAFTE'!C:N,12,FALSE)</f>
        <v>No</v>
      </c>
    </row>
    <row r="632" spans="1:32" s="19" customFormat="1">
      <c r="A632" s="97" t="s">
        <v>2349</v>
      </c>
      <c r="B632" s="97" t="s">
        <v>645</v>
      </c>
      <c r="C632" s="95">
        <v>3567</v>
      </c>
      <c r="D632" s="95" t="s">
        <v>660</v>
      </c>
      <c r="E632" s="129">
        <f>VLOOKUP($C632,'2021-22 School Level AAFTE'!$C:$Z,11,FALSE)</f>
        <v>0.81366666666666676</v>
      </c>
      <c r="F632" s="129" t="str">
        <f>VLOOKUP($C632,'2021-22 School Level AAFTE'!$C:$Z,8,FALSE)</f>
        <v>Yes</v>
      </c>
      <c r="G632" s="129" t="str">
        <f>VLOOKUP($C632,'2021-22 School Level AAFTE'!$C:$Z,12,FALSE)</f>
        <v>No</v>
      </c>
      <c r="H632" s="127">
        <f>VLOOKUP($C632,'2021-22 School Level AAFTE'!$C:$I,7,FALSE)</f>
        <v>508.71</v>
      </c>
      <c r="I632" s="112">
        <f>IFERROR(IF(OR(G632="yes",F632= "yes"),VLOOKUP(C632,Summary!$B:$J,6,0),0),0)</f>
        <v>0</v>
      </c>
      <c r="J632" s="111">
        <f t="shared" si="120"/>
        <v>508.71</v>
      </c>
      <c r="K632" s="91">
        <f>VLOOKUP($A632,'2022-23 Salary &amp; Benefits'!$A:$I,3,FALSE)</f>
        <v>1.1200000000000001</v>
      </c>
      <c r="L632" s="91">
        <f>VLOOKUP($A632,'2022-23 Salary &amp; Benefits'!$A:$I,4,FALSE)</f>
        <v>1.1200000000000001</v>
      </c>
      <c r="M632" s="39">
        <f t="shared" si="127"/>
        <v>508.71</v>
      </c>
      <c r="N632" s="24">
        <v>15</v>
      </c>
      <c r="O632" s="26">
        <f t="shared" si="118"/>
        <v>33.914000000000001</v>
      </c>
      <c r="P632" s="24">
        <v>1.1000000000000001</v>
      </c>
      <c r="Q632" s="24">
        <v>36</v>
      </c>
      <c r="R632" s="27">
        <f t="shared" si="119"/>
        <v>1342.9944000000003</v>
      </c>
      <c r="S632" s="102">
        <f t="shared" si="121"/>
        <v>1.492</v>
      </c>
      <c r="T632" s="21">
        <f>VLOOKUP($A632,'2022-23 Salary &amp; Benefits'!$A:$I,5,FALSE)</f>
        <v>68937</v>
      </c>
      <c r="U632" s="21">
        <f>VLOOKUP($A632,'2022-23 Salary &amp; Benefits'!$A:$I,6,FALSE)</f>
        <v>72728</v>
      </c>
      <c r="V632" s="22">
        <f t="shared" si="122"/>
        <v>115196.48</v>
      </c>
      <c r="W632" s="22">
        <f t="shared" si="123"/>
        <v>6334.9199999999983</v>
      </c>
      <c r="X632" s="22">
        <f>'2022-23 Salary &amp; Benefits'!$G$6</f>
        <v>12558.24</v>
      </c>
      <c r="Y632" s="23">
        <f>'2022-23 Salary &amp; Benefits'!$H$6</f>
        <v>0.2298</v>
      </c>
      <c r="Z632" s="23">
        <f>'2022-23 Salary &amp; Benefits'!$I$6</f>
        <v>0.22339999999999999</v>
      </c>
      <c r="AA632" s="22">
        <f t="shared" si="124"/>
        <v>46624.27</v>
      </c>
      <c r="AB632" s="22">
        <f t="shared" si="125"/>
        <v>2025.52</v>
      </c>
      <c r="AC632" s="22">
        <f t="shared" si="126"/>
        <v>452.5</v>
      </c>
      <c r="AD632" s="22">
        <f t="shared" si="128"/>
        <v>2478.02</v>
      </c>
      <c r="AE632" s="22">
        <f t="shared" si="129"/>
        <v>170633.68999999997</v>
      </c>
      <c r="AF632" s="19" t="str">
        <f>VLOOKUP(C632,'2021-22 School Level AAFTE'!C:N,12,FALSE)</f>
        <v>No</v>
      </c>
    </row>
    <row r="633" spans="1:32" s="19" customFormat="1">
      <c r="A633" s="97" t="s">
        <v>2349</v>
      </c>
      <c r="B633" s="97" t="s">
        <v>645</v>
      </c>
      <c r="C633" s="95">
        <v>3568</v>
      </c>
      <c r="D633" s="95" t="s">
        <v>661</v>
      </c>
      <c r="E633" s="129">
        <f>VLOOKUP($C633,'2021-22 School Level AAFTE'!$C:$Z,11,FALSE)</f>
        <v>0.68203333333333338</v>
      </c>
      <c r="F633" s="129" t="str">
        <f>VLOOKUP($C633,'2021-22 School Level AAFTE'!$C:$Z,8,FALSE)</f>
        <v>Yes</v>
      </c>
      <c r="G633" s="129" t="str">
        <f>VLOOKUP($C633,'2021-22 School Level AAFTE'!$C:$Z,12,FALSE)</f>
        <v>No</v>
      </c>
      <c r="H633" s="127">
        <f>VLOOKUP($C633,'2021-22 School Level AAFTE'!$C:$I,7,FALSE)</f>
        <v>346.71</v>
      </c>
      <c r="I633" s="112">
        <f>IFERROR(IF(OR(G633="yes",F633= "yes"),VLOOKUP(C633,Summary!$B:$J,6,0),0),0)</f>
        <v>0</v>
      </c>
      <c r="J633" s="111">
        <f t="shared" si="120"/>
        <v>346.71</v>
      </c>
      <c r="K633" s="91">
        <f>VLOOKUP($A633,'2022-23 Salary &amp; Benefits'!$A:$I,3,FALSE)</f>
        <v>1.1200000000000001</v>
      </c>
      <c r="L633" s="91">
        <f>VLOOKUP($A633,'2022-23 Salary &amp; Benefits'!$A:$I,4,FALSE)</f>
        <v>1.1200000000000001</v>
      </c>
      <c r="M633" s="39">
        <f t="shared" si="127"/>
        <v>346.71</v>
      </c>
      <c r="N633" s="24">
        <v>15</v>
      </c>
      <c r="O633" s="26">
        <f t="shared" si="118"/>
        <v>23.113999999999997</v>
      </c>
      <c r="P633" s="24">
        <v>1.1000000000000001</v>
      </c>
      <c r="Q633" s="24">
        <v>36</v>
      </c>
      <c r="R633" s="27">
        <f t="shared" si="119"/>
        <v>915.31439999999998</v>
      </c>
      <c r="S633" s="102">
        <f t="shared" si="121"/>
        <v>1.0169999999999999</v>
      </c>
      <c r="T633" s="21">
        <f>VLOOKUP($A633,'2022-23 Salary &amp; Benefits'!$A:$I,5,FALSE)</f>
        <v>68937</v>
      </c>
      <c r="U633" s="21">
        <f>VLOOKUP($A633,'2022-23 Salary &amp; Benefits'!$A:$I,6,FALSE)</f>
        <v>72728</v>
      </c>
      <c r="V633" s="22">
        <f t="shared" si="122"/>
        <v>78522</v>
      </c>
      <c r="W633" s="22">
        <f t="shared" si="123"/>
        <v>4318.1000000000058</v>
      </c>
      <c r="X633" s="22">
        <f>'2022-23 Salary &amp; Benefits'!$G$6</f>
        <v>12558.24</v>
      </c>
      <c r="Y633" s="23">
        <f>'2022-23 Salary &amp; Benefits'!$H$6</f>
        <v>0.2298</v>
      </c>
      <c r="Z633" s="23">
        <f>'2022-23 Salary &amp; Benefits'!$I$6</f>
        <v>0.22339999999999999</v>
      </c>
      <c r="AA633" s="22">
        <f t="shared" si="124"/>
        <v>31780.75</v>
      </c>
      <c r="AB633" s="22">
        <f t="shared" si="125"/>
        <v>1380.67</v>
      </c>
      <c r="AC633" s="22">
        <f t="shared" si="126"/>
        <v>308.44</v>
      </c>
      <c r="AD633" s="22">
        <f t="shared" si="128"/>
        <v>1689.1100000000001</v>
      </c>
      <c r="AE633" s="22">
        <f t="shared" si="129"/>
        <v>116309.96</v>
      </c>
      <c r="AF633" s="19" t="str">
        <f>VLOOKUP(C633,'2021-22 School Level AAFTE'!C:N,12,FALSE)</f>
        <v>No</v>
      </c>
    </row>
    <row r="634" spans="1:32" s="19" customFormat="1">
      <c r="A634" s="97" t="s">
        <v>2349</v>
      </c>
      <c r="B634" s="97" t="s">
        <v>645</v>
      </c>
      <c r="C634" s="95">
        <v>3582</v>
      </c>
      <c r="D634" s="95" t="s">
        <v>662</v>
      </c>
      <c r="E634" s="129">
        <f>VLOOKUP($C634,'2021-22 School Level AAFTE'!$C:$Z,11,FALSE)</f>
        <v>0.72656666666666669</v>
      </c>
      <c r="F634" s="129" t="str">
        <f>VLOOKUP($C634,'2021-22 School Level AAFTE'!$C:$Z,8,FALSE)</f>
        <v>Yes</v>
      </c>
      <c r="G634" s="129" t="str">
        <f>VLOOKUP($C634,'2021-22 School Level AAFTE'!$C:$Z,12,FALSE)</f>
        <v>No</v>
      </c>
      <c r="H634" s="127">
        <f>VLOOKUP($C634,'2021-22 School Level AAFTE'!$C:$I,7,FALSE)</f>
        <v>508.57</v>
      </c>
      <c r="I634" s="112">
        <f>IFERROR(IF(OR(G634="yes",F634= "yes"),VLOOKUP(C634,Summary!$B:$J,6,0),0),0)</f>
        <v>0</v>
      </c>
      <c r="J634" s="111">
        <f t="shared" si="120"/>
        <v>508.57</v>
      </c>
      <c r="K634" s="91">
        <f>VLOOKUP($A634,'2022-23 Salary &amp; Benefits'!$A:$I,3,FALSE)</f>
        <v>1.1200000000000001</v>
      </c>
      <c r="L634" s="91">
        <f>VLOOKUP($A634,'2022-23 Salary &amp; Benefits'!$A:$I,4,FALSE)</f>
        <v>1.1200000000000001</v>
      </c>
      <c r="M634" s="39">
        <f t="shared" si="127"/>
        <v>508.57</v>
      </c>
      <c r="N634" s="24">
        <v>15</v>
      </c>
      <c r="O634" s="26">
        <f t="shared" si="118"/>
        <v>33.904666666666664</v>
      </c>
      <c r="P634" s="24">
        <v>1.1000000000000001</v>
      </c>
      <c r="Q634" s="24">
        <v>36</v>
      </c>
      <c r="R634" s="27">
        <f t="shared" si="119"/>
        <v>1342.6248000000001</v>
      </c>
      <c r="S634" s="102">
        <f t="shared" si="121"/>
        <v>1.492</v>
      </c>
      <c r="T634" s="21">
        <f>VLOOKUP($A634,'2022-23 Salary &amp; Benefits'!$A:$I,5,FALSE)</f>
        <v>68937</v>
      </c>
      <c r="U634" s="21">
        <f>VLOOKUP($A634,'2022-23 Salary &amp; Benefits'!$A:$I,6,FALSE)</f>
        <v>72728</v>
      </c>
      <c r="V634" s="22">
        <f t="shared" si="122"/>
        <v>115196.48</v>
      </c>
      <c r="W634" s="22">
        <f t="shared" si="123"/>
        <v>6334.9199999999983</v>
      </c>
      <c r="X634" s="22">
        <f>'2022-23 Salary &amp; Benefits'!$G$6</f>
        <v>12558.24</v>
      </c>
      <c r="Y634" s="23">
        <f>'2022-23 Salary &amp; Benefits'!$H$6</f>
        <v>0.2298</v>
      </c>
      <c r="Z634" s="23">
        <f>'2022-23 Salary &amp; Benefits'!$I$6</f>
        <v>0.22339999999999999</v>
      </c>
      <c r="AA634" s="22">
        <f t="shared" si="124"/>
        <v>46624.27</v>
      </c>
      <c r="AB634" s="22">
        <f t="shared" si="125"/>
        <v>2025.52</v>
      </c>
      <c r="AC634" s="22">
        <f t="shared" si="126"/>
        <v>452.5</v>
      </c>
      <c r="AD634" s="22">
        <f t="shared" si="128"/>
        <v>2478.02</v>
      </c>
      <c r="AE634" s="22">
        <f t="shared" si="129"/>
        <v>170633.68999999997</v>
      </c>
      <c r="AF634" s="19" t="str">
        <f>VLOOKUP(C634,'2021-22 School Level AAFTE'!C:N,12,FALSE)</f>
        <v>No</v>
      </c>
    </row>
    <row r="635" spans="1:32" s="19" customFormat="1">
      <c r="A635" s="97" t="s">
        <v>2349</v>
      </c>
      <c r="B635" s="97" t="s">
        <v>645</v>
      </c>
      <c r="C635" s="95">
        <v>3583</v>
      </c>
      <c r="D635" s="95" t="s">
        <v>663</v>
      </c>
      <c r="E635" s="129">
        <f>VLOOKUP($C635,'2021-22 School Level AAFTE'!$C:$Z,11,FALSE)</f>
        <v>0.77363333333333328</v>
      </c>
      <c r="F635" s="129" t="str">
        <f>VLOOKUP($C635,'2021-22 School Level AAFTE'!$C:$Z,8,FALSE)</f>
        <v>Yes</v>
      </c>
      <c r="G635" s="129" t="str">
        <f>VLOOKUP($C635,'2021-22 School Level AAFTE'!$C:$Z,12,FALSE)</f>
        <v>No</v>
      </c>
      <c r="H635" s="127">
        <f>VLOOKUP($C635,'2021-22 School Level AAFTE'!$C:$I,7,FALSE)</f>
        <v>446.57</v>
      </c>
      <c r="I635" s="112">
        <f>IFERROR(IF(OR(G635="yes",F635= "yes"),VLOOKUP(C635,Summary!$B:$J,6,0),0),0)</f>
        <v>0</v>
      </c>
      <c r="J635" s="111">
        <f t="shared" si="120"/>
        <v>446.57</v>
      </c>
      <c r="K635" s="91">
        <f>VLOOKUP($A635,'2022-23 Salary &amp; Benefits'!$A:$I,3,FALSE)</f>
        <v>1.1200000000000001</v>
      </c>
      <c r="L635" s="91">
        <f>VLOOKUP($A635,'2022-23 Salary &amp; Benefits'!$A:$I,4,FALSE)</f>
        <v>1.1200000000000001</v>
      </c>
      <c r="M635" s="39">
        <f t="shared" si="127"/>
        <v>446.57</v>
      </c>
      <c r="N635" s="24">
        <v>15</v>
      </c>
      <c r="O635" s="26">
        <f t="shared" si="118"/>
        <v>29.771333333333335</v>
      </c>
      <c r="P635" s="24">
        <v>1.1000000000000001</v>
      </c>
      <c r="Q635" s="24">
        <v>36</v>
      </c>
      <c r="R635" s="27">
        <f t="shared" si="119"/>
        <v>1178.9448000000002</v>
      </c>
      <c r="S635" s="102">
        <f t="shared" si="121"/>
        <v>1.31</v>
      </c>
      <c r="T635" s="21">
        <f>VLOOKUP($A635,'2022-23 Salary &amp; Benefits'!$A:$I,5,FALSE)</f>
        <v>68937</v>
      </c>
      <c r="U635" s="21">
        <f>VLOOKUP($A635,'2022-23 Salary &amp; Benefits'!$A:$I,6,FALSE)</f>
        <v>72728</v>
      </c>
      <c r="V635" s="22">
        <f t="shared" si="122"/>
        <v>101144.37</v>
      </c>
      <c r="W635" s="22">
        <f t="shared" si="123"/>
        <v>5562.1500000000087</v>
      </c>
      <c r="X635" s="22">
        <f>'2022-23 Salary &amp; Benefits'!$G$6</f>
        <v>12558.24</v>
      </c>
      <c r="Y635" s="23">
        <f>'2022-23 Salary &amp; Benefits'!$H$6</f>
        <v>0.2298</v>
      </c>
      <c r="Z635" s="23">
        <f>'2022-23 Salary &amp; Benefits'!$I$6</f>
        <v>0.22339999999999999</v>
      </c>
      <c r="AA635" s="22">
        <f t="shared" si="124"/>
        <v>40936.85</v>
      </c>
      <c r="AB635" s="22">
        <f t="shared" si="125"/>
        <v>1778.44</v>
      </c>
      <c r="AC635" s="22">
        <f t="shared" si="126"/>
        <v>397.3</v>
      </c>
      <c r="AD635" s="22">
        <f t="shared" si="128"/>
        <v>2175.7400000000002</v>
      </c>
      <c r="AE635" s="22">
        <f t="shared" si="129"/>
        <v>149819.10999999999</v>
      </c>
      <c r="AF635" s="19" t="str">
        <f>VLOOKUP(C635,'2021-22 School Level AAFTE'!C:N,12,FALSE)</f>
        <v>No</v>
      </c>
    </row>
    <row r="636" spans="1:32" s="19" customFormat="1">
      <c r="A636" s="97" t="s">
        <v>2349</v>
      </c>
      <c r="B636" s="97" t="s">
        <v>645</v>
      </c>
      <c r="C636" s="95">
        <v>3584</v>
      </c>
      <c r="D636" s="95" t="s">
        <v>664</v>
      </c>
      <c r="E636" s="129">
        <f>VLOOKUP($C636,'2021-22 School Level AAFTE'!$C:$Z,11,FALSE)</f>
        <v>0.58453333333333324</v>
      </c>
      <c r="F636" s="129" t="str">
        <f>VLOOKUP($C636,'2021-22 School Level AAFTE'!$C:$Z,8,FALSE)</f>
        <v>Yes</v>
      </c>
      <c r="G636" s="129" t="str">
        <f>VLOOKUP($C636,'2021-22 School Level AAFTE'!$C:$Z,12,FALSE)</f>
        <v>No</v>
      </c>
      <c r="H636" s="127">
        <f>VLOOKUP($C636,'2021-22 School Level AAFTE'!$C:$I,7,FALSE)</f>
        <v>1643.79</v>
      </c>
      <c r="I636" s="112">
        <f>IFERROR(IF(OR(G636="yes",F636= "yes"),VLOOKUP(C636,Summary!$B:$J,6,0),0),0)</f>
        <v>0</v>
      </c>
      <c r="J636" s="111">
        <f t="shared" si="120"/>
        <v>1643.79</v>
      </c>
      <c r="K636" s="91">
        <f>VLOOKUP($A636,'2022-23 Salary &amp; Benefits'!$A:$I,3,FALSE)</f>
        <v>1.1200000000000001</v>
      </c>
      <c r="L636" s="91">
        <f>VLOOKUP($A636,'2022-23 Salary &amp; Benefits'!$A:$I,4,FALSE)</f>
        <v>1.1200000000000001</v>
      </c>
      <c r="M636" s="39">
        <f t="shared" si="127"/>
        <v>1643.79</v>
      </c>
      <c r="N636" s="24">
        <v>15</v>
      </c>
      <c r="O636" s="26">
        <f t="shared" si="118"/>
        <v>109.586</v>
      </c>
      <c r="P636" s="24">
        <v>1.1000000000000001</v>
      </c>
      <c r="Q636" s="24">
        <v>36</v>
      </c>
      <c r="R636" s="27">
        <f t="shared" si="119"/>
        <v>4339.6055999999999</v>
      </c>
      <c r="S636" s="102">
        <f t="shared" si="121"/>
        <v>4.8220000000000001</v>
      </c>
      <c r="T636" s="21">
        <f>VLOOKUP($A636,'2022-23 Salary &amp; Benefits'!$A:$I,5,FALSE)</f>
        <v>68937</v>
      </c>
      <c r="U636" s="21">
        <f>VLOOKUP($A636,'2022-23 Salary &amp; Benefits'!$A:$I,6,FALSE)</f>
        <v>72728</v>
      </c>
      <c r="V636" s="22">
        <f t="shared" si="122"/>
        <v>372303.92</v>
      </c>
      <c r="W636" s="22">
        <f t="shared" si="123"/>
        <v>20473.830000000016</v>
      </c>
      <c r="X636" s="22">
        <f>'2022-23 Salary &amp; Benefits'!$G$6</f>
        <v>12558.24</v>
      </c>
      <c r="Y636" s="23">
        <f>'2022-23 Salary &amp; Benefits'!$H$6</f>
        <v>0.2298</v>
      </c>
      <c r="Z636" s="23">
        <f>'2022-23 Salary &amp; Benefits'!$I$6</f>
        <v>0.22339999999999999</v>
      </c>
      <c r="AA636" s="22">
        <f t="shared" si="124"/>
        <v>150685.13</v>
      </c>
      <c r="AB636" s="22">
        <f t="shared" si="125"/>
        <v>6546.3</v>
      </c>
      <c r="AC636" s="22">
        <f t="shared" si="126"/>
        <v>1462.44</v>
      </c>
      <c r="AD636" s="22">
        <f t="shared" si="128"/>
        <v>8008.74</v>
      </c>
      <c r="AE636" s="22">
        <f t="shared" si="129"/>
        <v>551471.62</v>
      </c>
      <c r="AF636" s="19" t="str">
        <f>VLOOKUP(C636,'2021-22 School Level AAFTE'!C:N,12,FALSE)</f>
        <v>No</v>
      </c>
    </row>
    <row r="637" spans="1:32" s="19" customFormat="1">
      <c r="A637" s="97" t="s">
        <v>2349</v>
      </c>
      <c r="B637" s="97" t="s">
        <v>645</v>
      </c>
      <c r="C637" s="95">
        <v>3625</v>
      </c>
      <c r="D637" s="95" t="s">
        <v>665</v>
      </c>
      <c r="E637" s="129">
        <f>VLOOKUP($C637,'2021-22 School Level AAFTE'!$C:$Z,11,FALSE)</f>
        <v>0.58856666666666668</v>
      </c>
      <c r="F637" s="129" t="str">
        <f>VLOOKUP($C637,'2021-22 School Level AAFTE'!$C:$Z,8,FALSE)</f>
        <v>Yes</v>
      </c>
      <c r="G637" s="129" t="str">
        <f>VLOOKUP($C637,'2021-22 School Level AAFTE'!$C:$Z,12,FALSE)</f>
        <v>No</v>
      </c>
      <c r="H637" s="127">
        <f>VLOOKUP($C637,'2021-22 School Level AAFTE'!$C:$I,7,FALSE)</f>
        <v>469.57</v>
      </c>
      <c r="I637" s="112">
        <f>IFERROR(IF(OR(G637="yes",F637= "yes"),VLOOKUP(C637,Summary!$B:$J,6,0),0),0)</f>
        <v>0</v>
      </c>
      <c r="J637" s="111">
        <f t="shared" si="120"/>
        <v>469.57</v>
      </c>
      <c r="K637" s="91">
        <f>VLOOKUP($A637,'2022-23 Salary &amp; Benefits'!$A:$I,3,FALSE)</f>
        <v>1.1200000000000001</v>
      </c>
      <c r="L637" s="91">
        <f>VLOOKUP($A637,'2022-23 Salary &amp; Benefits'!$A:$I,4,FALSE)</f>
        <v>1.1200000000000001</v>
      </c>
      <c r="M637" s="39">
        <f t="shared" si="127"/>
        <v>469.57</v>
      </c>
      <c r="N637" s="24">
        <v>15</v>
      </c>
      <c r="O637" s="26">
        <f t="shared" si="118"/>
        <v>31.304666666666666</v>
      </c>
      <c r="P637" s="24">
        <v>1.1000000000000001</v>
      </c>
      <c r="Q637" s="24">
        <v>36</v>
      </c>
      <c r="R637" s="27">
        <f t="shared" si="119"/>
        <v>1239.6648</v>
      </c>
      <c r="S637" s="102">
        <f t="shared" si="121"/>
        <v>1.377</v>
      </c>
      <c r="T637" s="21">
        <f>VLOOKUP($A637,'2022-23 Salary &amp; Benefits'!$A:$I,5,FALSE)</f>
        <v>68937</v>
      </c>
      <c r="U637" s="21">
        <f>VLOOKUP($A637,'2022-23 Salary &amp; Benefits'!$A:$I,6,FALSE)</f>
        <v>72728</v>
      </c>
      <c r="V637" s="22">
        <f t="shared" si="122"/>
        <v>106317.4</v>
      </c>
      <c r="W637" s="22">
        <f t="shared" si="123"/>
        <v>5846.6300000000047</v>
      </c>
      <c r="X637" s="22">
        <f>'2022-23 Salary &amp; Benefits'!$G$6</f>
        <v>12558.24</v>
      </c>
      <c r="Y637" s="23">
        <f>'2022-23 Salary &amp; Benefits'!$H$6</f>
        <v>0.2298</v>
      </c>
      <c r="Z637" s="23">
        <f>'2022-23 Salary &amp; Benefits'!$I$6</f>
        <v>0.22339999999999999</v>
      </c>
      <c r="AA637" s="22">
        <f t="shared" si="124"/>
        <v>43030.57</v>
      </c>
      <c r="AB637" s="22">
        <f t="shared" si="125"/>
        <v>1869.4</v>
      </c>
      <c r="AC637" s="22">
        <f t="shared" si="126"/>
        <v>417.62</v>
      </c>
      <c r="AD637" s="22">
        <f t="shared" si="128"/>
        <v>2287.02</v>
      </c>
      <c r="AE637" s="22">
        <f t="shared" si="129"/>
        <v>157481.62</v>
      </c>
      <c r="AF637" s="19" t="str">
        <f>VLOOKUP(C637,'2021-22 School Level AAFTE'!C:N,12,FALSE)</f>
        <v>No</v>
      </c>
    </row>
    <row r="638" spans="1:32" s="19" customFormat="1">
      <c r="A638" s="97" t="s">
        <v>2349</v>
      </c>
      <c r="B638" s="97" t="s">
        <v>645</v>
      </c>
      <c r="C638" s="95">
        <v>3626</v>
      </c>
      <c r="D638" s="95" t="s">
        <v>666</v>
      </c>
      <c r="E638" s="129">
        <f>VLOOKUP($C638,'2021-22 School Level AAFTE'!$C:$Z,11,FALSE)</f>
        <v>0.7301333333333333</v>
      </c>
      <c r="F638" s="129" t="str">
        <f>VLOOKUP($C638,'2021-22 School Level AAFTE'!$C:$Z,8,FALSE)</f>
        <v>Yes</v>
      </c>
      <c r="G638" s="129" t="str">
        <f>VLOOKUP($C638,'2021-22 School Level AAFTE'!$C:$Z,12,FALSE)</f>
        <v>No</v>
      </c>
      <c r="H638" s="127">
        <f>VLOOKUP($C638,'2021-22 School Level AAFTE'!$C:$I,7,FALSE)</f>
        <v>679.87</v>
      </c>
      <c r="I638" s="112">
        <f>IFERROR(IF(OR(G638="yes",F638= "yes"),VLOOKUP(C638,Summary!$B:$J,6,0),0),0)</f>
        <v>0</v>
      </c>
      <c r="J638" s="111">
        <f t="shared" si="120"/>
        <v>679.87</v>
      </c>
      <c r="K638" s="91">
        <f>VLOOKUP($A638,'2022-23 Salary &amp; Benefits'!$A:$I,3,FALSE)</f>
        <v>1.1200000000000001</v>
      </c>
      <c r="L638" s="91">
        <f>VLOOKUP($A638,'2022-23 Salary &amp; Benefits'!$A:$I,4,FALSE)</f>
        <v>1.1200000000000001</v>
      </c>
      <c r="M638" s="39">
        <f t="shared" si="127"/>
        <v>679.87</v>
      </c>
      <c r="N638" s="24">
        <v>15</v>
      </c>
      <c r="O638" s="26">
        <f t="shared" si="118"/>
        <v>45.324666666666666</v>
      </c>
      <c r="P638" s="24">
        <v>1.1000000000000001</v>
      </c>
      <c r="Q638" s="24">
        <v>36</v>
      </c>
      <c r="R638" s="27">
        <f t="shared" si="119"/>
        <v>1794.8568</v>
      </c>
      <c r="S638" s="102">
        <f t="shared" si="121"/>
        <v>1.994</v>
      </c>
      <c r="T638" s="21">
        <f>VLOOKUP($A638,'2022-23 Salary &amp; Benefits'!$A:$I,5,FALSE)</f>
        <v>68937</v>
      </c>
      <c r="U638" s="21">
        <f>VLOOKUP($A638,'2022-23 Salary &amp; Benefits'!$A:$I,6,FALSE)</f>
        <v>72728</v>
      </c>
      <c r="V638" s="22">
        <f t="shared" si="122"/>
        <v>153955.62</v>
      </c>
      <c r="W638" s="22">
        <f t="shared" si="123"/>
        <v>8466.3699999999953</v>
      </c>
      <c r="X638" s="22">
        <f>'2022-23 Salary &amp; Benefits'!$G$6</f>
        <v>12558.24</v>
      </c>
      <c r="Y638" s="23">
        <f>'2022-23 Salary &amp; Benefits'!$H$6</f>
        <v>0.2298</v>
      </c>
      <c r="Z638" s="23">
        <f>'2022-23 Salary &amp; Benefits'!$I$6</f>
        <v>0.22339999999999999</v>
      </c>
      <c r="AA638" s="22">
        <f t="shared" si="124"/>
        <v>62311.519999999997</v>
      </c>
      <c r="AB638" s="22">
        <f t="shared" si="125"/>
        <v>2707.03</v>
      </c>
      <c r="AC638" s="22">
        <f t="shared" si="126"/>
        <v>604.75</v>
      </c>
      <c r="AD638" s="22">
        <f t="shared" si="128"/>
        <v>3311.78</v>
      </c>
      <c r="AE638" s="22">
        <f t="shared" si="129"/>
        <v>228045.28999999998</v>
      </c>
      <c r="AF638" s="19" t="str">
        <f>VLOOKUP(C638,'2021-22 School Level AAFTE'!C:N,12,FALSE)</f>
        <v>No</v>
      </c>
    </row>
    <row r="639" spans="1:32" s="19" customFormat="1">
      <c r="A639" s="97" t="s">
        <v>2349</v>
      </c>
      <c r="B639" s="97" t="s">
        <v>645</v>
      </c>
      <c r="C639" s="95">
        <v>3627</v>
      </c>
      <c r="D639" s="95" t="s">
        <v>667</v>
      </c>
      <c r="E639" s="129">
        <f>VLOOKUP($C639,'2021-22 School Level AAFTE'!$C:$Z,11,FALSE)</f>
        <v>0.93076666666666663</v>
      </c>
      <c r="F639" s="129" t="str">
        <f>VLOOKUP($C639,'2021-22 School Level AAFTE'!$C:$Z,8,FALSE)</f>
        <v>Yes</v>
      </c>
      <c r="G639" s="129" t="str">
        <f>VLOOKUP($C639,'2021-22 School Level AAFTE'!$C:$Z,12,FALSE)</f>
        <v>No</v>
      </c>
      <c r="H639" s="127">
        <f>VLOOKUP($C639,'2021-22 School Level AAFTE'!$C:$I,7,FALSE)</f>
        <v>470.39</v>
      </c>
      <c r="I639" s="112">
        <f>IFERROR(IF(OR(G639="yes",F639= "yes"),VLOOKUP(C639,Summary!$B:$J,6,0),0),0)</f>
        <v>0</v>
      </c>
      <c r="J639" s="111">
        <f t="shared" si="120"/>
        <v>470.39</v>
      </c>
      <c r="K639" s="91">
        <f>VLOOKUP($A639,'2022-23 Salary &amp; Benefits'!$A:$I,3,FALSE)</f>
        <v>1.1200000000000001</v>
      </c>
      <c r="L639" s="91">
        <f>VLOOKUP($A639,'2022-23 Salary &amp; Benefits'!$A:$I,4,FALSE)</f>
        <v>1.1200000000000001</v>
      </c>
      <c r="M639" s="39">
        <f t="shared" si="127"/>
        <v>470.39</v>
      </c>
      <c r="N639" s="24">
        <v>15</v>
      </c>
      <c r="O639" s="26">
        <f t="shared" si="118"/>
        <v>31.359333333333332</v>
      </c>
      <c r="P639" s="24">
        <v>1.1000000000000001</v>
      </c>
      <c r="Q639" s="24">
        <v>36</v>
      </c>
      <c r="R639" s="27">
        <f t="shared" si="119"/>
        <v>1241.8296</v>
      </c>
      <c r="S639" s="102">
        <f t="shared" si="121"/>
        <v>1.38</v>
      </c>
      <c r="T639" s="21">
        <f>VLOOKUP($A639,'2022-23 Salary &amp; Benefits'!$A:$I,5,FALSE)</f>
        <v>68937</v>
      </c>
      <c r="U639" s="21">
        <f>VLOOKUP($A639,'2022-23 Salary &amp; Benefits'!$A:$I,6,FALSE)</f>
        <v>72728</v>
      </c>
      <c r="V639" s="22">
        <f t="shared" si="122"/>
        <v>106549.03</v>
      </c>
      <c r="W639" s="22">
        <f t="shared" si="123"/>
        <v>5859.3699999999953</v>
      </c>
      <c r="X639" s="22">
        <f>'2022-23 Salary &amp; Benefits'!$G$6</f>
        <v>12558.24</v>
      </c>
      <c r="Y639" s="23">
        <f>'2022-23 Salary &amp; Benefits'!$H$6</f>
        <v>0.2298</v>
      </c>
      <c r="Z639" s="23">
        <f>'2022-23 Salary &amp; Benefits'!$I$6</f>
        <v>0.22339999999999999</v>
      </c>
      <c r="AA639" s="22">
        <f t="shared" si="124"/>
        <v>43124.32</v>
      </c>
      <c r="AB639" s="22">
        <f t="shared" si="125"/>
        <v>1873.47</v>
      </c>
      <c r="AC639" s="22">
        <f t="shared" si="126"/>
        <v>418.53</v>
      </c>
      <c r="AD639" s="22">
        <f t="shared" si="128"/>
        <v>2292</v>
      </c>
      <c r="AE639" s="22">
        <f t="shared" si="129"/>
        <v>157824.72</v>
      </c>
      <c r="AF639" s="19" t="str">
        <f>VLOOKUP(C639,'2021-22 School Level AAFTE'!C:N,12,FALSE)</f>
        <v>No</v>
      </c>
    </row>
    <row r="640" spans="1:32" s="19" customFormat="1">
      <c r="A640" s="97" t="s">
        <v>2349</v>
      </c>
      <c r="B640" s="97" t="s">
        <v>645</v>
      </c>
      <c r="C640" s="95">
        <v>3628</v>
      </c>
      <c r="D640" s="95" t="s">
        <v>668</v>
      </c>
      <c r="E640" s="129">
        <f>VLOOKUP($C640,'2021-22 School Level AAFTE'!$C:$Z,11,FALSE)</f>
        <v>0.59870000000000001</v>
      </c>
      <c r="F640" s="129" t="str">
        <f>VLOOKUP($C640,'2021-22 School Level AAFTE'!$C:$Z,8,FALSE)</f>
        <v>Yes</v>
      </c>
      <c r="G640" s="129" t="str">
        <f>VLOOKUP($C640,'2021-22 School Level AAFTE'!$C:$Z,12,FALSE)</f>
        <v>No</v>
      </c>
      <c r="H640" s="127">
        <f>VLOOKUP($C640,'2021-22 School Level AAFTE'!$C:$I,7,FALSE)</f>
        <v>293.14</v>
      </c>
      <c r="I640" s="112">
        <f>IFERROR(IF(OR(G640="yes",F640= "yes"),VLOOKUP(C640,Summary!$B:$J,6,0),0),0)</f>
        <v>0</v>
      </c>
      <c r="J640" s="111">
        <f t="shared" si="120"/>
        <v>293.14</v>
      </c>
      <c r="K640" s="91">
        <f>VLOOKUP($A640,'2022-23 Salary &amp; Benefits'!$A:$I,3,FALSE)</f>
        <v>1.1200000000000001</v>
      </c>
      <c r="L640" s="91">
        <f>VLOOKUP($A640,'2022-23 Salary &amp; Benefits'!$A:$I,4,FALSE)</f>
        <v>1.1200000000000001</v>
      </c>
      <c r="M640" s="101">
        <f t="shared" si="127"/>
        <v>293.14</v>
      </c>
      <c r="N640" s="24">
        <v>15</v>
      </c>
      <c r="O640" s="26">
        <f t="shared" si="118"/>
        <v>19.542666666666666</v>
      </c>
      <c r="P640" s="24">
        <v>1.1000000000000001</v>
      </c>
      <c r="Q640" s="24">
        <v>36</v>
      </c>
      <c r="R640" s="27">
        <f t="shared" si="119"/>
        <v>773.88960000000009</v>
      </c>
      <c r="S640" s="102">
        <f t="shared" si="121"/>
        <v>0.86</v>
      </c>
      <c r="T640" s="21">
        <f>VLOOKUP($A640,'2022-23 Salary &amp; Benefits'!$A:$I,5,FALSE)</f>
        <v>68937</v>
      </c>
      <c r="U640" s="21">
        <f>VLOOKUP($A640,'2022-23 Salary &amp; Benefits'!$A:$I,6,FALSE)</f>
        <v>72728</v>
      </c>
      <c r="V640" s="22">
        <f t="shared" si="122"/>
        <v>66400.12</v>
      </c>
      <c r="W640" s="22">
        <f t="shared" si="123"/>
        <v>3651.4900000000052</v>
      </c>
      <c r="X640" s="22">
        <f>'2022-23 Salary &amp; Benefits'!$G$6</f>
        <v>12558.24</v>
      </c>
      <c r="Y640" s="23">
        <f>'2022-23 Salary &amp; Benefits'!$H$6</f>
        <v>0.2298</v>
      </c>
      <c r="Z640" s="23">
        <f>'2022-23 Salary &amp; Benefits'!$I$6</f>
        <v>0.22339999999999999</v>
      </c>
      <c r="AA640" s="22">
        <f t="shared" si="124"/>
        <v>26874.58</v>
      </c>
      <c r="AB640" s="22">
        <f t="shared" si="125"/>
        <v>1167.53</v>
      </c>
      <c r="AC640" s="22">
        <f t="shared" si="126"/>
        <v>260.83</v>
      </c>
      <c r="AD640" s="22">
        <f t="shared" si="128"/>
        <v>1428.36</v>
      </c>
      <c r="AE640" s="22">
        <f t="shared" si="129"/>
        <v>98354.55</v>
      </c>
      <c r="AF640" s="19" t="str">
        <f>VLOOKUP(C640,'2021-22 School Level AAFTE'!C:N,12,FALSE)</f>
        <v>No</v>
      </c>
    </row>
    <row r="641" spans="1:32" s="19" customFormat="1">
      <c r="A641" s="97" t="s">
        <v>2349</v>
      </c>
      <c r="B641" s="97" t="s">
        <v>645</v>
      </c>
      <c r="C641" s="95">
        <v>3700</v>
      </c>
      <c r="D641" s="95" t="s">
        <v>669</v>
      </c>
      <c r="E641" s="129">
        <f>VLOOKUP($C641,'2021-22 School Level AAFTE'!$C:$Z,11,FALSE)</f>
        <v>0.61253333333333337</v>
      </c>
      <c r="F641" s="129" t="str">
        <f>VLOOKUP($C641,'2021-22 School Level AAFTE'!$C:$Z,8,FALSE)</f>
        <v>Yes</v>
      </c>
      <c r="G641" s="129" t="str">
        <f>VLOOKUP($C641,'2021-22 School Level AAFTE'!$C:$Z,12,FALSE)</f>
        <v>No</v>
      </c>
      <c r="H641" s="127">
        <f>VLOOKUP($C641,'2021-22 School Level AAFTE'!$C:$I,7,FALSE)</f>
        <v>281.70999999999998</v>
      </c>
      <c r="I641" s="112">
        <f>IFERROR(IF(OR(G641="yes",F641= "yes"),VLOOKUP(C641,Summary!$B:$J,6,0),0),0)</f>
        <v>0</v>
      </c>
      <c r="J641" s="111">
        <f t="shared" si="120"/>
        <v>281.70999999999998</v>
      </c>
      <c r="K641" s="91">
        <f>VLOOKUP($A641,'2022-23 Salary &amp; Benefits'!$A:$I,3,FALSE)</f>
        <v>1.1200000000000001</v>
      </c>
      <c r="L641" s="91">
        <f>VLOOKUP($A641,'2022-23 Salary &amp; Benefits'!$A:$I,4,FALSE)</f>
        <v>1.1200000000000001</v>
      </c>
      <c r="M641" s="39">
        <f t="shared" si="127"/>
        <v>281.70999999999998</v>
      </c>
      <c r="N641" s="24">
        <v>15</v>
      </c>
      <c r="O641" s="26">
        <f t="shared" si="118"/>
        <v>18.780666666666665</v>
      </c>
      <c r="P641" s="24">
        <v>1.1000000000000001</v>
      </c>
      <c r="Q641" s="24">
        <v>36</v>
      </c>
      <c r="R641" s="27">
        <f t="shared" si="119"/>
        <v>743.71440000000007</v>
      </c>
      <c r="S641" s="102">
        <f t="shared" si="121"/>
        <v>0.82599999999999996</v>
      </c>
      <c r="T641" s="21">
        <f>VLOOKUP($A641,'2022-23 Salary &amp; Benefits'!$A:$I,5,FALSE)</f>
        <v>68937</v>
      </c>
      <c r="U641" s="21">
        <f>VLOOKUP($A641,'2022-23 Salary &amp; Benefits'!$A:$I,6,FALSE)</f>
        <v>72728</v>
      </c>
      <c r="V641" s="22">
        <f t="shared" si="122"/>
        <v>63775</v>
      </c>
      <c r="W641" s="22">
        <f t="shared" si="123"/>
        <v>3507.1300000000047</v>
      </c>
      <c r="X641" s="22">
        <f>'2022-23 Salary &amp; Benefits'!$G$6</f>
        <v>12558.24</v>
      </c>
      <c r="Y641" s="23">
        <f>'2022-23 Salary &amp; Benefits'!$H$6</f>
        <v>0.2298</v>
      </c>
      <c r="Z641" s="23">
        <f>'2022-23 Salary &amp; Benefits'!$I$6</f>
        <v>0.22339999999999999</v>
      </c>
      <c r="AA641" s="22">
        <f t="shared" si="124"/>
        <v>25812.09</v>
      </c>
      <c r="AB641" s="22">
        <f t="shared" si="125"/>
        <v>1121.3699999999999</v>
      </c>
      <c r="AC641" s="22">
        <f t="shared" si="126"/>
        <v>250.51</v>
      </c>
      <c r="AD641" s="22">
        <f t="shared" si="128"/>
        <v>1371.8799999999999</v>
      </c>
      <c r="AE641" s="22">
        <f t="shared" si="129"/>
        <v>94466.1</v>
      </c>
      <c r="AF641" s="19" t="str">
        <f>VLOOKUP(C641,'2021-22 School Level AAFTE'!C:N,12,FALSE)</f>
        <v>No</v>
      </c>
    </row>
    <row r="642" spans="1:32" s="19" customFormat="1">
      <c r="A642" s="97" t="s">
        <v>2349</v>
      </c>
      <c r="B642" s="97" t="s">
        <v>645</v>
      </c>
      <c r="C642" s="95">
        <v>3701</v>
      </c>
      <c r="D642" s="95" t="s">
        <v>670</v>
      </c>
      <c r="E642" s="129">
        <f>VLOOKUP($C642,'2021-22 School Level AAFTE'!$C:$Z,11,FALSE)</f>
        <v>0.65749999999999997</v>
      </c>
      <c r="F642" s="129" t="str">
        <f>VLOOKUP($C642,'2021-22 School Level AAFTE'!$C:$Z,8,FALSE)</f>
        <v>Yes</v>
      </c>
      <c r="G642" s="129" t="str">
        <f>VLOOKUP($C642,'2021-22 School Level AAFTE'!$C:$Z,12,FALSE)</f>
        <v>No</v>
      </c>
      <c r="H642" s="127">
        <f>VLOOKUP($C642,'2021-22 School Level AAFTE'!$C:$I,7,FALSE)</f>
        <v>590.1</v>
      </c>
      <c r="I642" s="112">
        <f>IFERROR(IF(OR(G642="yes",F642= "yes"),VLOOKUP(C642,Summary!$B:$J,6,0),0),0)</f>
        <v>0</v>
      </c>
      <c r="J642" s="111">
        <f t="shared" si="120"/>
        <v>590.1</v>
      </c>
      <c r="K642" s="91">
        <f>VLOOKUP($A642,'2022-23 Salary &amp; Benefits'!$A:$I,3,FALSE)</f>
        <v>1.1200000000000001</v>
      </c>
      <c r="L642" s="91">
        <f>VLOOKUP($A642,'2022-23 Salary &amp; Benefits'!$A:$I,4,FALSE)</f>
        <v>1.1200000000000001</v>
      </c>
      <c r="M642" s="39">
        <f t="shared" si="127"/>
        <v>590.1</v>
      </c>
      <c r="N642" s="24">
        <v>15</v>
      </c>
      <c r="O642" s="26">
        <f t="shared" si="118"/>
        <v>39.340000000000003</v>
      </c>
      <c r="P642" s="24">
        <v>1.1000000000000001</v>
      </c>
      <c r="Q642" s="24">
        <v>36</v>
      </c>
      <c r="R642" s="27">
        <f t="shared" si="119"/>
        <v>1557.8640000000003</v>
      </c>
      <c r="S642" s="102">
        <f t="shared" si="121"/>
        <v>1.7310000000000001</v>
      </c>
      <c r="T642" s="21">
        <f>VLOOKUP($A642,'2022-23 Salary &amp; Benefits'!$A:$I,5,FALSE)</f>
        <v>68937</v>
      </c>
      <c r="U642" s="21">
        <f>VLOOKUP($A642,'2022-23 Salary &amp; Benefits'!$A:$I,6,FALSE)</f>
        <v>72728</v>
      </c>
      <c r="V642" s="22">
        <f t="shared" si="122"/>
        <v>133649.54</v>
      </c>
      <c r="W642" s="22">
        <f t="shared" si="123"/>
        <v>7349.6900000000023</v>
      </c>
      <c r="X642" s="22">
        <f>'2022-23 Salary &amp; Benefits'!$G$6</f>
        <v>12558.24</v>
      </c>
      <c r="Y642" s="23">
        <f>'2022-23 Salary &amp; Benefits'!$H$6</f>
        <v>0.2298</v>
      </c>
      <c r="Z642" s="23">
        <f>'2022-23 Salary &amp; Benefits'!$I$6</f>
        <v>0.22339999999999999</v>
      </c>
      <c r="AA642" s="22">
        <f t="shared" si="124"/>
        <v>54092.9</v>
      </c>
      <c r="AB642" s="22">
        <f t="shared" si="125"/>
        <v>2349.9899999999998</v>
      </c>
      <c r="AC642" s="22">
        <f t="shared" si="126"/>
        <v>524.99</v>
      </c>
      <c r="AD642" s="22">
        <f t="shared" si="128"/>
        <v>2874.9799999999996</v>
      </c>
      <c r="AE642" s="22">
        <f t="shared" si="129"/>
        <v>197967.11000000002</v>
      </c>
      <c r="AF642" s="19" t="str">
        <f>VLOOKUP(C642,'2021-22 School Level AAFTE'!C:N,12,FALSE)</f>
        <v>No</v>
      </c>
    </row>
    <row r="643" spans="1:32" s="19" customFormat="1">
      <c r="A643" s="97" t="s">
        <v>2349</v>
      </c>
      <c r="B643" s="97" t="s">
        <v>645</v>
      </c>
      <c r="C643" s="95">
        <v>3738</v>
      </c>
      <c r="D643" s="95" t="s">
        <v>671</v>
      </c>
      <c r="E643" s="129">
        <f>VLOOKUP($C643,'2021-22 School Level AAFTE'!$C:$Z,11,FALSE)</f>
        <v>0.72440000000000004</v>
      </c>
      <c r="F643" s="129" t="str">
        <f>VLOOKUP($C643,'2021-22 School Level AAFTE'!$C:$Z,8,FALSE)</f>
        <v>Yes</v>
      </c>
      <c r="G643" s="129" t="str">
        <f>VLOOKUP($C643,'2021-22 School Level AAFTE'!$C:$Z,12,FALSE)</f>
        <v>No</v>
      </c>
      <c r="H643" s="127">
        <f>VLOOKUP($C643,'2021-22 School Level AAFTE'!$C:$I,7,FALSE)</f>
        <v>413</v>
      </c>
      <c r="I643" s="112">
        <f>IFERROR(IF(OR(G643="yes",F643= "yes"),VLOOKUP(C643,Summary!$B:$J,6,0),0),0)</f>
        <v>0</v>
      </c>
      <c r="J643" s="111">
        <f t="shared" si="120"/>
        <v>413</v>
      </c>
      <c r="K643" s="91">
        <f>VLOOKUP($A643,'2022-23 Salary &amp; Benefits'!$A:$I,3,FALSE)</f>
        <v>1.1200000000000001</v>
      </c>
      <c r="L643" s="91">
        <f>VLOOKUP($A643,'2022-23 Salary &amp; Benefits'!$A:$I,4,FALSE)</f>
        <v>1.1200000000000001</v>
      </c>
      <c r="M643" s="101">
        <f t="shared" si="127"/>
        <v>413</v>
      </c>
      <c r="N643" s="24">
        <v>15</v>
      </c>
      <c r="O643" s="26">
        <f t="shared" si="118"/>
        <v>27.533333333333335</v>
      </c>
      <c r="P643" s="24">
        <v>1.1000000000000001</v>
      </c>
      <c r="Q643" s="24">
        <v>36</v>
      </c>
      <c r="R643" s="27">
        <f t="shared" si="119"/>
        <v>1090.3200000000002</v>
      </c>
      <c r="S643" s="102">
        <f t="shared" si="121"/>
        <v>1.2110000000000001</v>
      </c>
      <c r="T643" s="21">
        <f>VLOOKUP($A643,'2022-23 Salary &amp; Benefits'!$A:$I,5,FALSE)</f>
        <v>68937</v>
      </c>
      <c r="U643" s="21">
        <f>VLOOKUP($A643,'2022-23 Salary &amp; Benefits'!$A:$I,6,FALSE)</f>
        <v>72728</v>
      </c>
      <c r="V643" s="22">
        <f t="shared" si="122"/>
        <v>93500.63</v>
      </c>
      <c r="W643" s="22">
        <f t="shared" si="123"/>
        <v>5141.8099999999977</v>
      </c>
      <c r="X643" s="22">
        <f>'2022-23 Salary &amp; Benefits'!$G$6</f>
        <v>12558.24</v>
      </c>
      <c r="Y643" s="23">
        <f>'2022-23 Salary &amp; Benefits'!$H$6</f>
        <v>0.2298</v>
      </c>
      <c r="Z643" s="23">
        <f>'2022-23 Salary &amp; Benefits'!$I$6</f>
        <v>0.22339999999999999</v>
      </c>
      <c r="AA643" s="22">
        <f t="shared" si="124"/>
        <v>37843.15</v>
      </c>
      <c r="AB643" s="22">
        <f t="shared" si="125"/>
        <v>1644.04</v>
      </c>
      <c r="AC643" s="22">
        <f t="shared" si="126"/>
        <v>367.28</v>
      </c>
      <c r="AD643" s="22">
        <f t="shared" si="128"/>
        <v>2011.32</v>
      </c>
      <c r="AE643" s="22">
        <f t="shared" si="129"/>
        <v>138496.91</v>
      </c>
      <c r="AF643" s="19" t="str">
        <f>VLOOKUP(C643,'2021-22 School Level AAFTE'!C:N,12,FALSE)</f>
        <v>No</v>
      </c>
    </row>
    <row r="644" spans="1:32" s="19" customFormat="1">
      <c r="A644" s="97" t="s">
        <v>2349</v>
      </c>
      <c r="B644" s="97" t="s">
        <v>645</v>
      </c>
      <c r="C644" s="95">
        <v>3766</v>
      </c>
      <c r="D644" s="95" t="s">
        <v>672</v>
      </c>
      <c r="E644" s="129">
        <f>VLOOKUP($C644,'2021-22 School Level AAFTE'!$C:$Z,11,FALSE)</f>
        <v>0.52866666666666662</v>
      </c>
      <c r="F644" s="129" t="str">
        <f>VLOOKUP($C644,'2021-22 School Level AAFTE'!$C:$Z,8,FALSE)</f>
        <v>Yes</v>
      </c>
      <c r="G644" s="129" t="str">
        <f>VLOOKUP($C644,'2021-22 School Level AAFTE'!$C:$Z,12,FALSE)</f>
        <v>No</v>
      </c>
      <c r="H644" s="127">
        <f>VLOOKUP($C644,'2021-22 School Level AAFTE'!$C:$I,7,FALSE)</f>
        <v>1256</v>
      </c>
      <c r="I644" s="112">
        <f>IFERROR(IF(OR(G644="yes",F644= "yes"),VLOOKUP(C644,Summary!$B:$J,6,0),0),0)</f>
        <v>0</v>
      </c>
      <c r="J644" s="111">
        <f t="shared" si="120"/>
        <v>1256</v>
      </c>
      <c r="K644" s="91">
        <f>VLOOKUP($A644,'2022-23 Salary &amp; Benefits'!$A:$I,3,FALSE)</f>
        <v>1.1200000000000001</v>
      </c>
      <c r="L644" s="91">
        <f>VLOOKUP($A644,'2022-23 Salary &amp; Benefits'!$A:$I,4,FALSE)</f>
        <v>1.1200000000000001</v>
      </c>
      <c r="M644" s="39">
        <f t="shared" si="127"/>
        <v>1256</v>
      </c>
      <c r="N644" s="24">
        <v>15</v>
      </c>
      <c r="O644" s="26">
        <f t="shared" si="118"/>
        <v>83.733333333333334</v>
      </c>
      <c r="P644" s="24">
        <v>1.1000000000000001</v>
      </c>
      <c r="Q644" s="24">
        <v>36</v>
      </c>
      <c r="R644" s="27">
        <f t="shared" si="119"/>
        <v>3315.84</v>
      </c>
      <c r="S644" s="102">
        <f t="shared" si="121"/>
        <v>3.6840000000000002</v>
      </c>
      <c r="T644" s="21">
        <f>VLOOKUP($A644,'2022-23 Salary &amp; Benefits'!$A:$I,5,FALSE)</f>
        <v>68937</v>
      </c>
      <c r="U644" s="21">
        <f>VLOOKUP($A644,'2022-23 Salary &amp; Benefits'!$A:$I,6,FALSE)</f>
        <v>72728</v>
      </c>
      <c r="V644" s="22">
        <f t="shared" si="122"/>
        <v>284439.58</v>
      </c>
      <c r="W644" s="22">
        <f t="shared" si="123"/>
        <v>15641.969999999972</v>
      </c>
      <c r="X644" s="22">
        <f>'2022-23 Salary &amp; Benefits'!$G$6</f>
        <v>12558.24</v>
      </c>
      <c r="Y644" s="23">
        <f>'2022-23 Salary &amp; Benefits'!$H$6</f>
        <v>0.2298</v>
      </c>
      <c r="Z644" s="23">
        <f>'2022-23 Salary &amp; Benefits'!$I$6</f>
        <v>0.22339999999999999</v>
      </c>
      <c r="AA644" s="22">
        <f t="shared" si="124"/>
        <v>115123.19</v>
      </c>
      <c r="AB644" s="22">
        <f t="shared" si="125"/>
        <v>5001.3599999999997</v>
      </c>
      <c r="AC644" s="22">
        <f t="shared" si="126"/>
        <v>1117.3</v>
      </c>
      <c r="AD644" s="22">
        <f t="shared" si="128"/>
        <v>6118.66</v>
      </c>
      <c r="AE644" s="22">
        <f t="shared" si="129"/>
        <v>421323.39999999997</v>
      </c>
      <c r="AF644" s="19" t="str">
        <f>VLOOKUP(C644,'2021-22 School Level AAFTE'!C:N,12,FALSE)</f>
        <v>No</v>
      </c>
    </row>
    <row r="645" spans="1:32" s="19" customFormat="1">
      <c r="A645" s="97" t="s">
        <v>2349</v>
      </c>
      <c r="B645" s="97" t="s">
        <v>645</v>
      </c>
      <c r="C645" s="95">
        <v>3898</v>
      </c>
      <c r="D645" s="95" t="s">
        <v>673</v>
      </c>
      <c r="E645" s="129">
        <f>VLOOKUP($C645,'2021-22 School Level AAFTE'!$C:$Z,11,FALSE)</f>
        <v>0.64710000000000001</v>
      </c>
      <c r="F645" s="129" t="str">
        <f>VLOOKUP($C645,'2021-22 School Level AAFTE'!$C:$Z,8,FALSE)</f>
        <v>Yes</v>
      </c>
      <c r="G645" s="129" t="str">
        <f>VLOOKUP($C645,'2021-22 School Level AAFTE'!$C:$Z,12,FALSE)</f>
        <v>No</v>
      </c>
      <c r="H645" s="127">
        <f>VLOOKUP($C645,'2021-22 School Level AAFTE'!$C:$I,7,FALSE)</f>
        <v>700.06</v>
      </c>
      <c r="I645" s="112">
        <f>IFERROR(IF(OR(G645="yes",F645= "yes"),VLOOKUP(C645,Summary!$B:$J,6,0),0),0)</f>
        <v>0</v>
      </c>
      <c r="J645" s="111">
        <f t="shared" si="120"/>
        <v>700.06</v>
      </c>
      <c r="K645" s="91">
        <f>VLOOKUP($A645,'2022-23 Salary &amp; Benefits'!$A:$I,3,FALSE)</f>
        <v>1.1200000000000001</v>
      </c>
      <c r="L645" s="91">
        <f>VLOOKUP($A645,'2022-23 Salary &amp; Benefits'!$A:$I,4,FALSE)</f>
        <v>1.1200000000000001</v>
      </c>
      <c r="M645" s="39">
        <f t="shared" si="127"/>
        <v>700.06</v>
      </c>
      <c r="N645" s="24">
        <v>15</v>
      </c>
      <c r="O645" s="26">
        <f t="shared" si="118"/>
        <v>46.670666666666662</v>
      </c>
      <c r="P645" s="24">
        <v>1.1000000000000001</v>
      </c>
      <c r="Q645" s="24">
        <v>36</v>
      </c>
      <c r="R645" s="27">
        <f t="shared" si="119"/>
        <v>1848.1584</v>
      </c>
      <c r="S645" s="102">
        <f t="shared" si="121"/>
        <v>2.0539999999999998</v>
      </c>
      <c r="T645" s="21">
        <f>VLOOKUP($A645,'2022-23 Salary &amp; Benefits'!$A:$I,5,FALSE)</f>
        <v>68937</v>
      </c>
      <c r="U645" s="21">
        <f>VLOOKUP($A645,'2022-23 Salary &amp; Benefits'!$A:$I,6,FALSE)</f>
        <v>72728</v>
      </c>
      <c r="V645" s="22">
        <f t="shared" si="122"/>
        <v>158588.19</v>
      </c>
      <c r="W645" s="22">
        <f t="shared" si="123"/>
        <v>8721.1199999999953</v>
      </c>
      <c r="X645" s="22">
        <f>'2022-23 Salary &amp; Benefits'!$G$6</f>
        <v>12558.24</v>
      </c>
      <c r="Y645" s="23">
        <f>'2022-23 Salary &amp; Benefits'!$H$6</f>
        <v>0.2298</v>
      </c>
      <c r="Z645" s="23">
        <f>'2022-23 Salary &amp; Benefits'!$I$6</f>
        <v>0.22339999999999999</v>
      </c>
      <c r="AA645" s="22">
        <f t="shared" si="124"/>
        <v>64186.49</v>
      </c>
      <c r="AB645" s="22">
        <f t="shared" si="125"/>
        <v>2788.49</v>
      </c>
      <c r="AC645" s="22">
        <f t="shared" si="126"/>
        <v>622.95000000000005</v>
      </c>
      <c r="AD645" s="22">
        <f t="shared" si="128"/>
        <v>3411.4399999999996</v>
      </c>
      <c r="AE645" s="22">
        <f t="shared" si="129"/>
        <v>234907.24</v>
      </c>
      <c r="AF645" s="19" t="str">
        <f>VLOOKUP(C645,'2021-22 School Level AAFTE'!C:N,12,FALSE)</f>
        <v>No</v>
      </c>
    </row>
    <row r="646" spans="1:32" s="19" customFormat="1">
      <c r="A646" s="97" t="s">
        <v>2349</v>
      </c>
      <c r="B646" s="97" t="s">
        <v>645</v>
      </c>
      <c r="C646" s="95">
        <v>4343</v>
      </c>
      <c r="D646" s="95" t="s">
        <v>674</v>
      </c>
      <c r="E646" s="129">
        <f>VLOOKUP($C646,'2021-22 School Level AAFTE'!$C:$Z,11,FALSE)</f>
        <v>0.7319</v>
      </c>
      <c r="F646" s="129" t="str">
        <f>VLOOKUP($C646,'2021-22 School Level AAFTE'!$C:$Z,8,FALSE)</f>
        <v>Yes</v>
      </c>
      <c r="G646" s="129" t="str">
        <f>VLOOKUP($C646,'2021-22 School Level AAFTE'!$C:$Z,12,FALSE)</f>
        <v>No</v>
      </c>
      <c r="H646" s="127">
        <f>VLOOKUP($C646,'2021-22 School Level AAFTE'!$C:$I,7,FALSE)</f>
        <v>343.29</v>
      </c>
      <c r="I646" s="112">
        <f>IFERROR(IF(OR(G646="yes",F646= "yes"),VLOOKUP(C646,Summary!$B:$J,6,0),0),0)</f>
        <v>0</v>
      </c>
      <c r="J646" s="111">
        <f t="shared" si="120"/>
        <v>343.29</v>
      </c>
      <c r="K646" s="91">
        <f>VLOOKUP($A646,'2022-23 Salary &amp; Benefits'!$A:$I,3,FALSE)</f>
        <v>1.1200000000000001</v>
      </c>
      <c r="L646" s="91">
        <f>VLOOKUP($A646,'2022-23 Salary &amp; Benefits'!$A:$I,4,FALSE)</f>
        <v>1.1200000000000001</v>
      </c>
      <c r="M646" s="39">
        <f t="shared" si="127"/>
        <v>343.29</v>
      </c>
      <c r="N646" s="24">
        <v>15</v>
      </c>
      <c r="O646" s="26">
        <f t="shared" si="118"/>
        <v>22.886000000000003</v>
      </c>
      <c r="P646" s="24">
        <v>1.1000000000000001</v>
      </c>
      <c r="Q646" s="24">
        <v>36</v>
      </c>
      <c r="R646" s="27">
        <f t="shared" si="119"/>
        <v>906.28560000000016</v>
      </c>
      <c r="S646" s="102">
        <f t="shared" si="121"/>
        <v>1.0069999999999999</v>
      </c>
      <c r="T646" s="21">
        <f>VLOOKUP($A646,'2022-23 Salary &amp; Benefits'!$A:$I,5,FALSE)</f>
        <v>68937</v>
      </c>
      <c r="U646" s="21">
        <f>VLOOKUP($A646,'2022-23 Salary &amp; Benefits'!$A:$I,6,FALSE)</f>
        <v>72728</v>
      </c>
      <c r="V646" s="22">
        <f t="shared" si="122"/>
        <v>77749.91</v>
      </c>
      <c r="W646" s="22">
        <f t="shared" si="123"/>
        <v>4275.6399999999994</v>
      </c>
      <c r="X646" s="22">
        <f>'2022-23 Salary &amp; Benefits'!$G$6</f>
        <v>12558.24</v>
      </c>
      <c r="Y646" s="23">
        <f>'2022-23 Salary &amp; Benefits'!$H$6</f>
        <v>0.2298</v>
      </c>
      <c r="Z646" s="23">
        <f>'2022-23 Salary &amp; Benefits'!$I$6</f>
        <v>0.22339999999999999</v>
      </c>
      <c r="AA646" s="22">
        <f t="shared" si="124"/>
        <v>31468.25</v>
      </c>
      <c r="AB646" s="22">
        <f t="shared" si="125"/>
        <v>1367.09</v>
      </c>
      <c r="AC646" s="22">
        <f t="shared" si="126"/>
        <v>305.41000000000003</v>
      </c>
      <c r="AD646" s="22">
        <f t="shared" si="128"/>
        <v>1672.5</v>
      </c>
      <c r="AE646" s="22">
        <f t="shared" si="129"/>
        <v>115166.3</v>
      </c>
      <c r="AF646" s="19" t="str">
        <f>VLOOKUP(C646,'2021-22 School Level AAFTE'!C:N,12,FALSE)</f>
        <v>No</v>
      </c>
    </row>
    <row r="647" spans="1:32" s="19" customFormat="1">
      <c r="A647" s="97" t="s">
        <v>2349</v>
      </c>
      <c r="B647" s="97" t="s">
        <v>645</v>
      </c>
      <c r="C647" s="95">
        <v>4374</v>
      </c>
      <c r="D647" s="95" t="s">
        <v>675</v>
      </c>
      <c r="E647" s="129">
        <f>VLOOKUP($C647,'2021-22 School Level AAFTE'!$C:$Z,11,FALSE)</f>
        <v>0.51630000000000009</v>
      </c>
      <c r="F647" s="129" t="str">
        <f>VLOOKUP($C647,'2021-22 School Level AAFTE'!$C:$Z,8,FALSE)</f>
        <v>Yes</v>
      </c>
      <c r="G647" s="129" t="str">
        <f>VLOOKUP($C647,'2021-22 School Level AAFTE'!$C:$Z,12,FALSE)</f>
        <v>No</v>
      </c>
      <c r="H647" s="127">
        <f>VLOOKUP($C647,'2021-22 School Level AAFTE'!$C:$I,7,FALSE)</f>
        <v>366.03</v>
      </c>
      <c r="I647" s="112">
        <f>IFERROR(IF(OR(G647="yes",F647= "yes"),VLOOKUP(C647,Summary!$B:$J,6,0),0),0)</f>
        <v>0</v>
      </c>
      <c r="J647" s="111">
        <f t="shared" si="120"/>
        <v>366.03</v>
      </c>
      <c r="K647" s="91">
        <f>VLOOKUP($A647,'2022-23 Salary &amp; Benefits'!$A:$I,3,FALSE)</f>
        <v>1.1200000000000001</v>
      </c>
      <c r="L647" s="91">
        <f>VLOOKUP($A647,'2022-23 Salary &amp; Benefits'!$A:$I,4,FALSE)</f>
        <v>1.1200000000000001</v>
      </c>
      <c r="M647" s="101">
        <f t="shared" si="127"/>
        <v>366.03</v>
      </c>
      <c r="N647" s="24">
        <v>15</v>
      </c>
      <c r="O647" s="26">
        <f t="shared" si="118"/>
        <v>24.401999999999997</v>
      </c>
      <c r="P647" s="24">
        <v>1.1000000000000001</v>
      </c>
      <c r="Q647" s="24">
        <v>36</v>
      </c>
      <c r="R647" s="27">
        <f t="shared" si="119"/>
        <v>966.31919999999991</v>
      </c>
      <c r="S647" s="102">
        <f t="shared" si="121"/>
        <v>1.0740000000000001</v>
      </c>
      <c r="T647" s="21">
        <f>VLOOKUP($A647,'2022-23 Salary &amp; Benefits'!$A:$I,5,FALSE)</f>
        <v>68937</v>
      </c>
      <c r="U647" s="21">
        <f>VLOOKUP($A647,'2022-23 Salary &amp; Benefits'!$A:$I,6,FALSE)</f>
        <v>72728</v>
      </c>
      <c r="V647" s="22">
        <f t="shared" si="122"/>
        <v>82922.94</v>
      </c>
      <c r="W647" s="22">
        <f t="shared" si="123"/>
        <v>4560.1199999999953</v>
      </c>
      <c r="X647" s="22">
        <f>'2022-23 Salary &amp; Benefits'!$G$6</f>
        <v>12558.24</v>
      </c>
      <c r="Y647" s="23">
        <f>'2022-23 Salary &amp; Benefits'!$H$6</f>
        <v>0.2298</v>
      </c>
      <c r="Z647" s="23">
        <f>'2022-23 Salary &amp; Benefits'!$I$6</f>
        <v>0.22339999999999999</v>
      </c>
      <c r="AA647" s="22">
        <f t="shared" si="124"/>
        <v>33561.97</v>
      </c>
      <c r="AB647" s="22">
        <f t="shared" si="125"/>
        <v>1458.05</v>
      </c>
      <c r="AC647" s="22">
        <f t="shared" si="126"/>
        <v>325.73</v>
      </c>
      <c r="AD647" s="22">
        <f t="shared" si="128"/>
        <v>1783.78</v>
      </c>
      <c r="AE647" s="22">
        <f t="shared" si="129"/>
        <v>122828.81</v>
      </c>
      <c r="AF647" s="19" t="str">
        <f>VLOOKUP(C647,'2021-22 School Level AAFTE'!C:N,12,FALSE)</f>
        <v>No</v>
      </c>
    </row>
    <row r="648" spans="1:32" s="19" customFormat="1">
      <c r="A648" s="97" t="s">
        <v>2349</v>
      </c>
      <c r="B648" s="97" t="s">
        <v>645</v>
      </c>
      <c r="C648" s="95">
        <v>4422</v>
      </c>
      <c r="D648" s="95" t="s">
        <v>615</v>
      </c>
      <c r="E648" s="129">
        <f>VLOOKUP($C648,'2021-22 School Level AAFTE'!$C:$Z,11,FALSE)</f>
        <v>0.71309999999999996</v>
      </c>
      <c r="F648" s="129" t="str">
        <f>VLOOKUP($C648,'2021-22 School Level AAFTE'!$C:$Z,8,FALSE)</f>
        <v>Yes</v>
      </c>
      <c r="G648" s="129" t="str">
        <f>VLOOKUP($C648,'2021-22 School Level AAFTE'!$C:$Z,12,FALSE)</f>
        <v>No</v>
      </c>
      <c r="H648" s="127">
        <f>VLOOKUP($C648,'2021-22 School Level AAFTE'!$C:$I,7,FALSE)</f>
        <v>407.57</v>
      </c>
      <c r="I648" s="112">
        <f>IFERROR(IF(OR(G648="yes",F648= "yes"),VLOOKUP(C648,Summary!$B:$J,6,0),0),0)</f>
        <v>0</v>
      </c>
      <c r="J648" s="111">
        <f t="shared" si="120"/>
        <v>407.57</v>
      </c>
      <c r="K648" s="91">
        <f>VLOOKUP($A648,'2022-23 Salary &amp; Benefits'!$A:$I,3,FALSE)</f>
        <v>1.1200000000000001</v>
      </c>
      <c r="L648" s="91">
        <f>VLOOKUP($A648,'2022-23 Salary &amp; Benefits'!$A:$I,4,FALSE)</f>
        <v>1.1200000000000001</v>
      </c>
      <c r="M648" s="101">
        <f t="shared" si="127"/>
        <v>407.57</v>
      </c>
      <c r="N648" s="24">
        <v>15</v>
      </c>
      <c r="O648" s="26">
        <f t="shared" si="118"/>
        <v>27.171333333333333</v>
      </c>
      <c r="P648" s="24">
        <v>1.1000000000000001</v>
      </c>
      <c r="Q648" s="24">
        <v>36</v>
      </c>
      <c r="R648" s="27">
        <f t="shared" si="119"/>
        <v>1075.9848000000002</v>
      </c>
      <c r="S648" s="102">
        <f t="shared" si="121"/>
        <v>1.196</v>
      </c>
      <c r="T648" s="21">
        <f>VLOOKUP($A648,'2022-23 Salary &amp; Benefits'!$A:$I,5,FALSE)</f>
        <v>68937</v>
      </c>
      <c r="U648" s="21">
        <f>VLOOKUP($A648,'2022-23 Salary &amp; Benefits'!$A:$I,6,FALSE)</f>
        <v>72728</v>
      </c>
      <c r="V648" s="22">
        <f t="shared" si="122"/>
        <v>92342.49</v>
      </c>
      <c r="W648" s="22">
        <f t="shared" si="123"/>
        <v>5078.1199999999953</v>
      </c>
      <c r="X648" s="22">
        <f>'2022-23 Salary &amp; Benefits'!$G$6</f>
        <v>12558.24</v>
      </c>
      <c r="Y648" s="23">
        <f>'2022-23 Salary &amp; Benefits'!$H$6</f>
        <v>0.2298</v>
      </c>
      <c r="Z648" s="23">
        <f>'2022-23 Salary &amp; Benefits'!$I$6</f>
        <v>0.22339999999999999</v>
      </c>
      <c r="AA648" s="22">
        <f t="shared" si="124"/>
        <v>37374.410000000003</v>
      </c>
      <c r="AB648" s="22">
        <f t="shared" si="125"/>
        <v>1623.68</v>
      </c>
      <c r="AC648" s="22">
        <f t="shared" si="126"/>
        <v>362.73</v>
      </c>
      <c r="AD648" s="22">
        <f t="shared" si="128"/>
        <v>1986.41</v>
      </c>
      <c r="AE648" s="22">
        <f t="shared" si="129"/>
        <v>136781.43000000002</v>
      </c>
      <c r="AF648" s="19" t="str">
        <f>VLOOKUP(C648,'2021-22 School Level AAFTE'!C:N,12,FALSE)</f>
        <v>No</v>
      </c>
    </row>
    <row r="649" spans="1:32" s="19" customFormat="1">
      <c r="A649" s="97" t="s">
        <v>2349</v>
      </c>
      <c r="B649" s="97" t="s">
        <v>645</v>
      </c>
      <c r="C649" s="95">
        <v>4426</v>
      </c>
      <c r="D649" s="95" t="s">
        <v>676</v>
      </c>
      <c r="E649" s="129">
        <f>VLOOKUP($C649,'2021-22 School Level AAFTE'!$C:$Z,11,FALSE)</f>
        <v>0.47513333333333335</v>
      </c>
      <c r="F649" s="129" t="str">
        <f>VLOOKUP($C649,'2021-22 School Level AAFTE'!$C:$Z,8,FALSE)</f>
        <v>No</v>
      </c>
      <c r="G649" s="129" t="str">
        <f>VLOOKUP($C649,'2021-22 School Level AAFTE'!$C:$Z,12,FALSE)</f>
        <v>No</v>
      </c>
      <c r="H649" s="127">
        <f>VLOOKUP($C649,'2021-22 School Level AAFTE'!$C:$I,7,FALSE)</f>
        <v>327.86</v>
      </c>
      <c r="I649" s="112">
        <f>IFERROR(IF(OR(G649="yes",F649= "yes"),VLOOKUP(C649,Summary!$B:$J,6,0),0),0)</f>
        <v>0</v>
      </c>
      <c r="J649" s="111">
        <f t="shared" si="120"/>
        <v>0</v>
      </c>
      <c r="K649" s="91">
        <f>VLOOKUP($A649,'2022-23 Salary &amp; Benefits'!$A:$I,3,FALSE)</f>
        <v>1.1200000000000001</v>
      </c>
      <c r="L649" s="91">
        <f>VLOOKUP($A649,'2022-23 Salary &amp; Benefits'!$A:$I,4,FALSE)</f>
        <v>1.1200000000000001</v>
      </c>
      <c r="M649" s="101">
        <f t="shared" si="127"/>
        <v>0</v>
      </c>
      <c r="N649" s="24">
        <v>15</v>
      </c>
      <c r="O649" s="26">
        <f t="shared" si="118"/>
        <v>0</v>
      </c>
      <c r="P649" s="24">
        <v>1.1000000000000001</v>
      </c>
      <c r="Q649" s="24">
        <v>36</v>
      </c>
      <c r="R649" s="27">
        <f t="shared" si="119"/>
        <v>0</v>
      </c>
      <c r="S649" s="102">
        <f t="shared" si="121"/>
        <v>0</v>
      </c>
      <c r="T649" s="21">
        <f>VLOOKUP($A649,'2022-23 Salary &amp; Benefits'!$A:$I,5,FALSE)</f>
        <v>68937</v>
      </c>
      <c r="U649" s="21">
        <f>VLOOKUP($A649,'2022-23 Salary &amp; Benefits'!$A:$I,6,FALSE)</f>
        <v>72728</v>
      </c>
      <c r="V649" s="22">
        <f t="shared" si="122"/>
        <v>0</v>
      </c>
      <c r="W649" s="22">
        <f t="shared" si="123"/>
        <v>0</v>
      </c>
      <c r="X649" s="22">
        <f>'2022-23 Salary &amp; Benefits'!$G$6</f>
        <v>12558.24</v>
      </c>
      <c r="Y649" s="23">
        <f>'2022-23 Salary &amp; Benefits'!$H$6</f>
        <v>0.2298</v>
      </c>
      <c r="Z649" s="23">
        <f>'2022-23 Salary &amp; Benefits'!$I$6</f>
        <v>0.22339999999999999</v>
      </c>
      <c r="AA649" s="22">
        <f t="shared" si="124"/>
        <v>0</v>
      </c>
      <c r="AB649" s="22">
        <f t="shared" si="125"/>
        <v>0</v>
      </c>
      <c r="AC649" s="22">
        <f t="shared" si="126"/>
        <v>0</v>
      </c>
      <c r="AD649" s="22">
        <f t="shared" si="128"/>
        <v>0</v>
      </c>
      <c r="AE649" s="22">
        <f t="shared" si="129"/>
        <v>0</v>
      </c>
      <c r="AF649" s="19" t="str">
        <f>VLOOKUP(C649,'2021-22 School Level AAFTE'!C:N,12,FALSE)</f>
        <v>No</v>
      </c>
    </row>
    <row r="650" spans="1:32" s="19" customFormat="1">
      <c r="A650" s="97" t="s">
        <v>2349</v>
      </c>
      <c r="B650" s="97" t="s">
        <v>645</v>
      </c>
      <c r="C650" s="95">
        <v>4470</v>
      </c>
      <c r="D650" s="95" t="s">
        <v>677</v>
      </c>
      <c r="E650" s="129">
        <f>VLOOKUP($C650,'2021-22 School Level AAFTE'!$C:$Z,11,FALSE)</f>
        <v>0.55700000000000005</v>
      </c>
      <c r="F650" s="129" t="str">
        <f>VLOOKUP($C650,'2021-22 School Level AAFTE'!$C:$Z,8,FALSE)</f>
        <v>Yes</v>
      </c>
      <c r="G650" s="129" t="str">
        <f>VLOOKUP($C650,'2021-22 School Level AAFTE'!$C:$Z,12,FALSE)</f>
        <v>No</v>
      </c>
      <c r="H650" s="127">
        <f>VLOOKUP($C650,'2021-22 School Level AAFTE'!$C:$I,7,FALSE)</f>
        <v>425.57</v>
      </c>
      <c r="I650" s="112">
        <f>IFERROR(IF(OR(G650="yes",F650= "yes"),VLOOKUP(C650,Summary!$B:$J,6,0),0),0)</f>
        <v>0</v>
      </c>
      <c r="J650" s="111">
        <f t="shared" si="120"/>
        <v>425.57</v>
      </c>
      <c r="K650" s="91">
        <f>VLOOKUP($A650,'2022-23 Salary &amp; Benefits'!$A:$I,3,FALSE)</f>
        <v>1.1200000000000001</v>
      </c>
      <c r="L650" s="91">
        <f>VLOOKUP($A650,'2022-23 Salary &amp; Benefits'!$A:$I,4,FALSE)</f>
        <v>1.1200000000000001</v>
      </c>
      <c r="M650" s="101">
        <f t="shared" si="127"/>
        <v>425.57</v>
      </c>
      <c r="N650" s="24">
        <v>15</v>
      </c>
      <c r="O650" s="26">
        <f t="shared" ref="O650:O713" si="130">IF(M650="no",0,M650/N650)</f>
        <v>28.371333333333332</v>
      </c>
      <c r="P650" s="24">
        <v>1.1000000000000001</v>
      </c>
      <c r="Q650" s="24">
        <v>36</v>
      </c>
      <c r="R650" s="27">
        <f t="shared" ref="R650:R713" si="131">IF(M650="no",0,O650*P650*Q650)</f>
        <v>1123.5048000000002</v>
      </c>
      <c r="S650" s="102">
        <f t="shared" si="121"/>
        <v>1.248</v>
      </c>
      <c r="T650" s="21">
        <f>VLOOKUP($A650,'2022-23 Salary &amp; Benefits'!$A:$I,5,FALSE)</f>
        <v>68937</v>
      </c>
      <c r="U650" s="21">
        <f>VLOOKUP($A650,'2022-23 Salary &amp; Benefits'!$A:$I,6,FALSE)</f>
        <v>72728</v>
      </c>
      <c r="V650" s="22">
        <f t="shared" si="122"/>
        <v>96357.38</v>
      </c>
      <c r="W650" s="22">
        <f t="shared" si="123"/>
        <v>5298.9099999999889</v>
      </c>
      <c r="X650" s="22">
        <f>'2022-23 Salary &amp; Benefits'!$G$6</f>
        <v>12558.24</v>
      </c>
      <c r="Y650" s="23">
        <f>'2022-23 Salary &amp; Benefits'!$H$6</f>
        <v>0.2298</v>
      </c>
      <c r="Z650" s="23">
        <f>'2022-23 Salary &amp; Benefits'!$I$6</f>
        <v>0.22339999999999999</v>
      </c>
      <c r="AA650" s="22">
        <f t="shared" si="124"/>
        <v>38999.39</v>
      </c>
      <c r="AB650" s="22">
        <f t="shared" si="125"/>
        <v>1694.27</v>
      </c>
      <c r="AC650" s="22">
        <f t="shared" si="126"/>
        <v>378.5</v>
      </c>
      <c r="AD650" s="22">
        <f t="shared" si="128"/>
        <v>2072.77</v>
      </c>
      <c r="AE650" s="22">
        <f t="shared" si="129"/>
        <v>142728.44999999998</v>
      </c>
      <c r="AF650" s="19" t="str">
        <f>VLOOKUP(C650,'2021-22 School Level AAFTE'!C:N,12,FALSE)</f>
        <v>No</v>
      </c>
    </row>
    <row r="651" spans="1:32" s="19" customFormat="1">
      <c r="A651" s="97" t="s">
        <v>2349</v>
      </c>
      <c r="B651" s="97" t="s">
        <v>645</v>
      </c>
      <c r="C651" s="95">
        <v>4480</v>
      </c>
      <c r="D651" s="95" t="s">
        <v>678</v>
      </c>
      <c r="E651" s="129">
        <f>VLOOKUP($C651,'2021-22 School Level AAFTE'!$C:$Z,11,FALSE)</f>
        <v>0.4632</v>
      </c>
      <c r="F651" s="129" t="str">
        <f>VLOOKUP($C651,'2021-22 School Level AAFTE'!$C:$Z,8,FALSE)</f>
        <v>No</v>
      </c>
      <c r="G651" s="129" t="str">
        <f>VLOOKUP($C651,'2021-22 School Level AAFTE'!$C:$Z,12,FALSE)</f>
        <v>No</v>
      </c>
      <c r="H651" s="127">
        <f>VLOOKUP($C651,'2021-22 School Level AAFTE'!$C:$I,7,FALSE)</f>
        <v>385.09</v>
      </c>
      <c r="I651" s="112">
        <f>IFERROR(IF(OR(G651="yes",F651= "yes"),VLOOKUP(C651,Summary!$B:$J,6,0),0),0)</f>
        <v>0</v>
      </c>
      <c r="J651" s="111">
        <f t="shared" ref="J651:J714" si="132">IF(OR(G651="yes",F651= "yes"), H651,0)</f>
        <v>0</v>
      </c>
      <c r="K651" s="91">
        <f>VLOOKUP($A651,'2022-23 Salary &amp; Benefits'!$A:$I,3,FALSE)</f>
        <v>1.1200000000000001</v>
      </c>
      <c r="L651" s="91">
        <f>VLOOKUP($A651,'2022-23 Salary &amp; Benefits'!$A:$I,4,FALSE)</f>
        <v>1.1200000000000001</v>
      </c>
      <c r="M651" s="101">
        <f t="shared" si="127"/>
        <v>0</v>
      </c>
      <c r="N651" s="24">
        <v>15</v>
      </c>
      <c r="O651" s="26">
        <f t="shared" si="130"/>
        <v>0</v>
      </c>
      <c r="P651" s="24">
        <v>1.1000000000000001</v>
      </c>
      <c r="Q651" s="24">
        <v>36</v>
      </c>
      <c r="R651" s="27">
        <f t="shared" si="131"/>
        <v>0</v>
      </c>
      <c r="S651" s="102">
        <f t="shared" ref="S651:S714" si="133">ROUND(IF(M651="no",0,R651/900),3)</f>
        <v>0</v>
      </c>
      <c r="T651" s="21">
        <f>VLOOKUP($A651,'2022-23 Salary &amp; Benefits'!$A:$I,5,FALSE)</f>
        <v>68937</v>
      </c>
      <c r="U651" s="21">
        <f>VLOOKUP($A651,'2022-23 Salary &amp; Benefits'!$A:$I,6,FALSE)</f>
        <v>72728</v>
      </c>
      <c r="V651" s="22">
        <f t="shared" ref="V651:V714" si="134">ROUND($K651*$T651*$S651,2)</f>
        <v>0</v>
      </c>
      <c r="W651" s="22">
        <f t="shared" ref="W651:W714" si="135">ROUND($L651*$U651*$S651,2)-V651</f>
        <v>0</v>
      </c>
      <c r="X651" s="22">
        <f>'2022-23 Salary &amp; Benefits'!$G$6</f>
        <v>12558.24</v>
      </c>
      <c r="Y651" s="23">
        <f>'2022-23 Salary &amp; Benefits'!$H$6</f>
        <v>0.2298</v>
      </c>
      <c r="Z651" s="23">
        <f>'2022-23 Salary &amp; Benefits'!$I$6</f>
        <v>0.22339999999999999</v>
      </c>
      <c r="AA651" s="22">
        <f t="shared" ref="AA651:AA714" si="136">ROUND(V651*Y651+W651*Z651+S651*X651,2)</f>
        <v>0</v>
      </c>
      <c r="AB651" s="22">
        <f t="shared" ref="AB651:AB714" si="137">ROUND(($U651*$L651*$S651/180*3),2)</f>
        <v>0</v>
      </c>
      <c r="AC651" s="22">
        <f t="shared" ref="AC651:AC714" si="138">ROUND(AB651*Z651,2)</f>
        <v>0</v>
      </c>
      <c r="AD651" s="22">
        <f t="shared" si="128"/>
        <v>0</v>
      </c>
      <c r="AE651" s="22">
        <f t="shared" si="129"/>
        <v>0</v>
      </c>
      <c r="AF651" s="19" t="str">
        <f>VLOOKUP(C651,'2021-22 School Level AAFTE'!C:N,12,FALSE)</f>
        <v>No</v>
      </c>
    </row>
    <row r="652" spans="1:32" s="19" customFormat="1">
      <c r="A652" s="56" t="s">
        <v>2349</v>
      </c>
      <c r="B652" s="97" t="s">
        <v>645</v>
      </c>
      <c r="C652" s="95">
        <v>4570</v>
      </c>
      <c r="D652" s="56" t="s">
        <v>679</v>
      </c>
      <c r="E652" s="129">
        <f>VLOOKUP($C652,'2021-22 School Level AAFTE'!$C:$Z,11,FALSE)</f>
        <v>0.62360000000000004</v>
      </c>
      <c r="F652" s="129" t="str">
        <f>VLOOKUP($C652,'2021-22 School Level AAFTE'!$C:$Z,8,FALSE)</f>
        <v>Yes</v>
      </c>
      <c r="G652" s="129" t="str">
        <f>VLOOKUP($C652,'2021-22 School Level AAFTE'!$C:$Z,12,FALSE)</f>
        <v>No</v>
      </c>
      <c r="H652" s="127">
        <f>VLOOKUP($C652,'2021-22 School Level AAFTE'!$C:$I,7,FALSE)</f>
        <v>1304.56</v>
      </c>
      <c r="I652" s="112">
        <f>IFERROR(IF(OR(G652="yes",F652= "yes"),VLOOKUP(C652,Summary!$B:$J,6,0),0),0)</f>
        <v>0</v>
      </c>
      <c r="J652" s="111">
        <f t="shared" si="132"/>
        <v>1304.56</v>
      </c>
      <c r="K652" s="91">
        <f>VLOOKUP($A652,'2022-23 Salary &amp; Benefits'!$A:$I,3,FALSE)</f>
        <v>1.1200000000000001</v>
      </c>
      <c r="L652" s="91">
        <f>VLOOKUP($A652,'2022-23 Salary &amp; Benefits'!$A:$I,4,FALSE)</f>
        <v>1.1200000000000001</v>
      </c>
      <c r="M652" s="39">
        <f t="shared" si="127"/>
        <v>1304.56</v>
      </c>
      <c r="N652" s="24">
        <v>15</v>
      </c>
      <c r="O652" s="26">
        <f t="shared" si="130"/>
        <v>86.970666666666659</v>
      </c>
      <c r="P652" s="24">
        <v>1.1000000000000001</v>
      </c>
      <c r="Q652" s="24">
        <v>36</v>
      </c>
      <c r="R652" s="27">
        <f t="shared" si="131"/>
        <v>3444.0383999999999</v>
      </c>
      <c r="S652" s="102">
        <f t="shared" si="133"/>
        <v>3.827</v>
      </c>
      <c r="T652" s="21">
        <f>VLOOKUP($A652,'2022-23 Salary &amp; Benefits'!$A:$I,5,FALSE)</f>
        <v>68937</v>
      </c>
      <c r="U652" s="21">
        <f>VLOOKUP($A652,'2022-23 Salary &amp; Benefits'!$A:$I,6,FALSE)</f>
        <v>72728</v>
      </c>
      <c r="V652" s="22">
        <f t="shared" si="134"/>
        <v>295480.53000000003</v>
      </c>
      <c r="W652" s="22">
        <f t="shared" si="135"/>
        <v>16249.129999999946</v>
      </c>
      <c r="X652" s="22">
        <f>'2022-23 Salary &amp; Benefits'!$G$6</f>
        <v>12558.24</v>
      </c>
      <c r="Y652" s="23">
        <f>'2022-23 Salary &amp; Benefits'!$H$6</f>
        <v>0.2298</v>
      </c>
      <c r="Z652" s="23">
        <f>'2022-23 Salary &amp; Benefits'!$I$6</f>
        <v>0.22339999999999999</v>
      </c>
      <c r="AA652" s="22">
        <f t="shared" si="136"/>
        <v>119591.87</v>
      </c>
      <c r="AB652" s="22">
        <f t="shared" si="137"/>
        <v>5195.49</v>
      </c>
      <c r="AC652" s="22">
        <f t="shared" si="138"/>
        <v>1160.67</v>
      </c>
      <c r="AD652" s="22">
        <f t="shared" si="128"/>
        <v>6356.16</v>
      </c>
      <c r="AE652" s="22">
        <f t="shared" si="129"/>
        <v>437677.68999999994</v>
      </c>
      <c r="AF652" s="19" t="str">
        <f>VLOOKUP(C652,'2021-22 School Level AAFTE'!C:N,12,FALSE)</f>
        <v>No</v>
      </c>
    </row>
    <row r="653" spans="1:32" s="19" customFormat="1">
      <c r="A653" s="97" t="s">
        <v>2349</v>
      </c>
      <c r="B653" s="97" t="s">
        <v>645</v>
      </c>
      <c r="C653" s="95">
        <v>5029</v>
      </c>
      <c r="D653" s="95" t="s">
        <v>680</v>
      </c>
      <c r="E653" s="129">
        <f>VLOOKUP($C653,'2021-22 School Level AAFTE'!$C:$Z,11,FALSE)</f>
        <v>0.71786666666666665</v>
      </c>
      <c r="F653" s="129" t="str">
        <f>VLOOKUP($C653,'2021-22 School Level AAFTE'!$C:$Z,8,FALSE)</f>
        <v>Yes</v>
      </c>
      <c r="G653" s="129" t="str">
        <f>VLOOKUP($C653,'2021-22 School Level AAFTE'!$C:$Z,12,FALSE)</f>
        <v>No</v>
      </c>
      <c r="H653" s="127">
        <f>VLOOKUP($C653,'2021-22 School Level AAFTE'!$C:$I,7,FALSE)</f>
        <v>536.34</v>
      </c>
      <c r="I653" s="112">
        <f>IFERROR(IF(OR(G653="yes",F653= "yes"),VLOOKUP(C653,Summary!$B:$J,6,0),0),0)</f>
        <v>0</v>
      </c>
      <c r="J653" s="111">
        <f t="shared" si="132"/>
        <v>536.34</v>
      </c>
      <c r="K653" s="91">
        <f>VLOOKUP($A653,'2022-23 Salary &amp; Benefits'!$A:$I,3,FALSE)</f>
        <v>1.1200000000000001</v>
      </c>
      <c r="L653" s="91">
        <f>VLOOKUP($A653,'2022-23 Salary &amp; Benefits'!$A:$I,4,FALSE)</f>
        <v>1.1200000000000001</v>
      </c>
      <c r="M653" s="101">
        <f t="shared" si="127"/>
        <v>536.34</v>
      </c>
      <c r="N653" s="24">
        <v>15</v>
      </c>
      <c r="O653" s="26">
        <f t="shared" si="130"/>
        <v>35.756</v>
      </c>
      <c r="P653" s="24">
        <v>1.1000000000000001</v>
      </c>
      <c r="Q653" s="24">
        <v>36</v>
      </c>
      <c r="R653" s="27">
        <f t="shared" si="131"/>
        <v>1415.9376</v>
      </c>
      <c r="S653" s="102">
        <f t="shared" si="133"/>
        <v>1.573</v>
      </c>
      <c r="T653" s="21">
        <f>VLOOKUP($A653,'2022-23 Salary &amp; Benefits'!$A:$I,5,FALSE)</f>
        <v>68937</v>
      </c>
      <c r="U653" s="21">
        <f>VLOOKUP($A653,'2022-23 Salary &amp; Benefits'!$A:$I,6,FALSE)</f>
        <v>72728</v>
      </c>
      <c r="V653" s="22">
        <f t="shared" si="134"/>
        <v>121450.45</v>
      </c>
      <c r="W653" s="22">
        <f t="shared" si="135"/>
        <v>6678.8300000000017</v>
      </c>
      <c r="X653" s="22">
        <f>'2022-23 Salary &amp; Benefits'!$G$6</f>
        <v>12558.24</v>
      </c>
      <c r="Y653" s="23">
        <f>'2022-23 Salary &amp; Benefits'!$H$6</f>
        <v>0.2298</v>
      </c>
      <c r="Z653" s="23">
        <f>'2022-23 Salary &amp; Benefits'!$I$6</f>
        <v>0.22339999999999999</v>
      </c>
      <c r="AA653" s="22">
        <f t="shared" si="136"/>
        <v>49155.48</v>
      </c>
      <c r="AB653" s="22">
        <f t="shared" si="137"/>
        <v>2135.4899999999998</v>
      </c>
      <c r="AC653" s="22">
        <f t="shared" si="138"/>
        <v>477.07</v>
      </c>
      <c r="AD653" s="22">
        <f t="shared" si="128"/>
        <v>2612.56</v>
      </c>
      <c r="AE653" s="22">
        <f t="shared" si="129"/>
        <v>179897.32</v>
      </c>
      <c r="AF653" s="19" t="str">
        <f>VLOOKUP(C653,'2021-22 School Level AAFTE'!C:N,12,FALSE)</f>
        <v>No</v>
      </c>
    </row>
    <row r="654" spans="1:32" s="19" customFormat="1">
      <c r="A654" s="97" t="s">
        <v>2349</v>
      </c>
      <c r="B654" s="97" t="s">
        <v>645</v>
      </c>
      <c r="C654" s="95">
        <v>5107</v>
      </c>
      <c r="D654" s="95" t="s">
        <v>681</v>
      </c>
      <c r="E654" s="129">
        <f>VLOOKUP($C654,'2021-22 School Level AAFTE'!$C:$Z,11,FALSE)</f>
        <v>0</v>
      </c>
      <c r="F654" s="129" t="str">
        <f>VLOOKUP($C654,'2021-22 School Level AAFTE'!$C:$Z,8,FALSE)</f>
        <v>No</v>
      </c>
      <c r="G654" s="129" t="str">
        <f>VLOOKUP($C654,'2021-22 School Level AAFTE'!$C:$Z,12,FALSE)</f>
        <v>No</v>
      </c>
      <c r="H654" s="127">
        <f>VLOOKUP($C654,'2021-22 School Level AAFTE'!$C:$I,7,FALSE)</f>
        <v>18.53</v>
      </c>
      <c r="I654" s="112">
        <f>IFERROR(IF(OR(G654="yes",F654= "yes"),VLOOKUP(C654,Summary!$B:$J,6,0),0),0)</f>
        <v>0</v>
      </c>
      <c r="J654" s="111">
        <f t="shared" si="132"/>
        <v>0</v>
      </c>
      <c r="K654" s="91">
        <f>VLOOKUP($A654,'2022-23 Salary &amp; Benefits'!$A:$I,3,FALSE)</f>
        <v>1.1200000000000001</v>
      </c>
      <c r="L654" s="91">
        <f>VLOOKUP($A654,'2022-23 Salary &amp; Benefits'!$A:$I,4,FALSE)</f>
        <v>1.1200000000000001</v>
      </c>
      <c r="M654" s="39">
        <f t="shared" si="127"/>
        <v>0</v>
      </c>
      <c r="N654" s="24">
        <v>15</v>
      </c>
      <c r="O654" s="26">
        <f t="shared" si="130"/>
        <v>0</v>
      </c>
      <c r="P654" s="24">
        <v>1.1000000000000001</v>
      </c>
      <c r="Q654" s="24">
        <v>36</v>
      </c>
      <c r="R654" s="27">
        <f t="shared" si="131"/>
        <v>0</v>
      </c>
      <c r="S654" s="102">
        <f t="shared" si="133"/>
        <v>0</v>
      </c>
      <c r="T654" s="21">
        <f>VLOOKUP($A654,'2022-23 Salary &amp; Benefits'!$A:$I,5,FALSE)</f>
        <v>68937</v>
      </c>
      <c r="U654" s="21">
        <f>VLOOKUP($A654,'2022-23 Salary &amp; Benefits'!$A:$I,6,FALSE)</f>
        <v>72728</v>
      </c>
      <c r="V654" s="22">
        <f t="shared" si="134"/>
        <v>0</v>
      </c>
      <c r="W654" s="22">
        <f t="shared" si="135"/>
        <v>0</v>
      </c>
      <c r="X654" s="22">
        <f>'2022-23 Salary &amp; Benefits'!$G$6</f>
        <v>12558.24</v>
      </c>
      <c r="Y654" s="23">
        <f>'2022-23 Salary &amp; Benefits'!$H$6</f>
        <v>0.2298</v>
      </c>
      <c r="Z654" s="23">
        <f>'2022-23 Salary &amp; Benefits'!$I$6</f>
        <v>0.22339999999999999</v>
      </c>
      <c r="AA654" s="22">
        <f t="shared" si="136"/>
        <v>0</v>
      </c>
      <c r="AB654" s="22">
        <f t="shared" si="137"/>
        <v>0</v>
      </c>
      <c r="AC654" s="22">
        <f t="shared" si="138"/>
        <v>0</v>
      </c>
      <c r="AD654" s="22">
        <f t="shared" si="128"/>
        <v>0</v>
      </c>
      <c r="AE654" s="22">
        <f t="shared" si="129"/>
        <v>0</v>
      </c>
      <c r="AF654" s="19" t="str">
        <f>VLOOKUP(C654,'2021-22 School Level AAFTE'!C:N,12,FALSE)</f>
        <v>No</v>
      </c>
    </row>
    <row r="655" spans="1:32" s="19" customFormat="1">
      <c r="A655" s="97" t="s">
        <v>2349</v>
      </c>
      <c r="B655" s="97" t="s">
        <v>645</v>
      </c>
      <c r="C655" s="95">
        <v>5163</v>
      </c>
      <c r="D655" s="95" t="s">
        <v>682</v>
      </c>
      <c r="E655" s="129">
        <f>VLOOKUP($C655,'2021-22 School Level AAFTE'!$C:$Z,11,FALSE)</f>
        <v>0.75913333333333333</v>
      </c>
      <c r="F655" s="129" t="str">
        <f>VLOOKUP($C655,'2021-22 School Level AAFTE'!$C:$Z,8,FALSE)</f>
        <v>Yes</v>
      </c>
      <c r="G655" s="129" t="str">
        <f>VLOOKUP($C655,'2021-22 School Level AAFTE'!$C:$Z,12,FALSE)</f>
        <v>No</v>
      </c>
      <c r="H655" s="127">
        <f>VLOOKUP($C655,'2021-22 School Level AAFTE'!$C:$I,7,FALSE)</f>
        <v>69.87</v>
      </c>
      <c r="I655" s="112">
        <f>IFERROR(IF(OR(G655="yes",F655= "yes"),VLOOKUP(C655,Summary!$B:$J,6,0),0),0)</f>
        <v>0</v>
      </c>
      <c r="J655" s="111">
        <f t="shared" si="132"/>
        <v>69.87</v>
      </c>
      <c r="K655" s="91">
        <f>VLOOKUP($A655,'2022-23 Salary &amp; Benefits'!$A:$I,3,FALSE)</f>
        <v>1.1200000000000001</v>
      </c>
      <c r="L655" s="91">
        <f>VLOOKUP($A655,'2022-23 Salary &amp; Benefits'!$A:$I,4,FALSE)</f>
        <v>1.1200000000000001</v>
      </c>
      <c r="M655" s="101">
        <f t="shared" si="127"/>
        <v>69.87</v>
      </c>
      <c r="N655" s="24">
        <v>15</v>
      </c>
      <c r="O655" s="26">
        <f t="shared" si="130"/>
        <v>4.6580000000000004</v>
      </c>
      <c r="P655" s="24">
        <v>1.1000000000000001</v>
      </c>
      <c r="Q655" s="24">
        <v>36</v>
      </c>
      <c r="R655" s="27">
        <f t="shared" si="131"/>
        <v>184.45680000000004</v>
      </c>
      <c r="S655" s="102">
        <f t="shared" si="133"/>
        <v>0.20499999999999999</v>
      </c>
      <c r="T655" s="21">
        <f>VLOOKUP($A655,'2022-23 Salary &amp; Benefits'!$A:$I,5,FALSE)</f>
        <v>68937</v>
      </c>
      <c r="U655" s="21">
        <f>VLOOKUP($A655,'2022-23 Salary &amp; Benefits'!$A:$I,6,FALSE)</f>
        <v>72728</v>
      </c>
      <c r="V655" s="22">
        <f t="shared" si="134"/>
        <v>15827.94</v>
      </c>
      <c r="W655" s="22">
        <f t="shared" si="135"/>
        <v>870.40999999999804</v>
      </c>
      <c r="X655" s="22">
        <f>'2022-23 Salary &amp; Benefits'!$G$6</f>
        <v>12558.24</v>
      </c>
      <c r="Y655" s="23">
        <f>'2022-23 Salary &amp; Benefits'!$H$6</f>
        <v>0.2298</v>
      </c>
      <c r="Z655" s="23">
        <f>'2022-23 Salary &amp; Benefits'!$I$6</f>
        <v>0.22339999999999999</v>
      </c>
      <c r="AA655" s="22">
        <f t="shared" si="136"/>
        <v>6406.15</v>
      </c>
      <c r="AB655" s="22">
        <f t="shared" si="137"/>
        <v>278.31</v>
      </c>
      <c r="AC655" s="22">
        <f t="shared" si="138"/>
        <v>62.17</v>
      </c>
      <c r="AD655" s="22">
        <f t="shared" si="128"/>
        <v>340.48</v>
      </c>
      <c r="AE655" s="22">
        <f t="shared" si="129"/>
        <v>23444.98</v>
      </c>
      <c r="AF655" s="19" t="str">
        <f>VLOOKUP(C655,'2021-22 School Level AAFTE'!C:N,12,FALSE)</f>
        <v>No</v>
      </c>
    </row>
    <row r="656" spans="1:32" s="19" customFormat="1">
      <c r="A656" s="97" t="s">
        <v>2349</v>
      </c>
      <c r="B656" s="97" t="s">
        <v>645</v>
      </c>
      <c r="C656" s="95">
        <v>5255</v>
      </c>
      <c r="D656" s="95" t="s">
        <v>683</v>
      </c>
      <c r="E656" s="129">
        <f>VLOOKUP($C656,'2021-22 School Level AAFTE'!$C:$Z,11,FALSE)</f>
        <v>0</v>
      </c>
      <c r="F656" s="129" t="str">
        <f>VLOOKUP($C656,'2021-22 School Level AAFTE'!$C:$Z,8,FALSE)</f>
        <v>No</v>
      </c>
      <c r="G656" s="129" t="str">
        <f>VLOOKUP($C656,'2021-22 School Level AAFTE'!$C:$Z,12,FALSE)</f>
        <v>No</v>
      </c>
      <c r="H656" s="127">
        <f>VLOOKUP($C656,'2021-22 School Level AAFTE'!$C:$I,7,FALSE)</f>
        <v>6.25</v>
      </c>
      <c r="I656" s="112">
        <f>IFERROR(IF(OR(G656="yes",F656= "yes"),VLOOKUP(C656,Summary!$B:$J,6,0),0),0)</f>
        <v>0</v>
      </c>
      <c r="J656" s="111">
        <f t="shared" si="132"/>
        <v>0</v>
      </c>
      <c r="K656" s="91">
        <f>VLOOKUP($A656,'2022-23 Salary &amp; Benefits'!$A:$I,3,FALSE)</f>
        <v>1.1200000000000001</v>
      </c>
      <c r="L656" s="91">
        <f>VLOOKUP($A656,'2022-23 Salary &amp; Benefits'!$A:$I,4,FALSE)</f>
        <v>1.1200000000000001</v>
      </c>
      <c r="M656" s="39">
        <f t="shared" si="127"/>
        <v>0</v>
      </c>
      <c r="N656" s="24">
        <v>15</v>
      </c>
      <c r="O656" s="26">
        <f t="shared" si="130"/>
        <v>0</v>
      </c>
      <c r="P656" s="24">
        <v>1.1000000000000001</v>
      </c>
      <c r="Q656" s="24">
        <v>36</v>
      </c>
      <c r="R656" s="27">
        <f t="shared" si="131"/>
        <v>0</v>
      </c>
      <c r="S656" s="102">
        <f t="shared" si="133"/>
        <v>0</v>
      </c>
      <c r="T656" s="21">
        <f>VLOOKUP($A656,'2022-23 Salary &amp; Benefits'!$A:$I,5,FALSE)</f>
        <v>68937</v>
      </c>
      <c r="U656" s="21">
        <f>VLOOKUP($A656,'2022-23 Salary &amp; Benefits'!$A:$I,6,FALSE)</f>
        <v>72728</v>
      </c>
      <c r="V656" s="22">
        <f t="shared" si="134"/>
        <v>0</v>
      </c>
      <c r="W656" s="22">
        <f t="shared" si="135"/>
        <v>0</v>
      </c>
      <c r="X656" s="22">
        <f>'2022-23 Salary &amp; Benefits'!$G$6</f>
        <v>12558.24</v>
      </c>
      <c r="Y656" s="23">
        <f>'2022-23 Salary &amp; Benefits'!$H$6</f>
        <v>0.2298</v>
      </c>
      <c r="Z656" s="23">
        <f>'2022-23 Salary &amp; Benefits'!$I$6</f>
        <v>0.22339999999999999</v>
      </c>
      <c r="AA656" s="22">
        <f t="shared" si="136"/>
        <v>0</v>
      </c>
      <c r="AB656" s="22">
        <f t="shared" si="137"/>
        <v>0</v>
      </c>
      <c r="AC656" s="22">
        <f t="shared" si="138"/>
        <v>0</v>
      </c>
      <c r="AD656" s="22">
        <f t="shared" si="128"/>
        <v>0</v>
      </c>
      <c r="AE656" s="22">
        <f t="shared" si="129"/>
        <v>0</v>
      </c>
      <c r="AF656" s="19" t="str">
        <f>VLOOKUP(C656,'2021-22 School Level AAFTE'!C:N,12,FALSE)</f>
        <v>No</v>
      </c>
    </row>
    <row r="657" spans="1:284" s="19" customFormat="1">
      <c r="A657" s="97" t="s">
        <v>2349</v>
      </c>
      <c r="B657" s="97" t="s">
        <v>645</v>
      </c>
      <c r="C657" s="95">
        <v>5348</v>
      </c>
      <c r="D657" s="95" t="s">
        <v>684</v>
      </c>
      <c r="E657" s="129">
        <f>VLOOKUP($C657,'2021-22 School Level AAFTE'!$C:$Z,11,FALSE)</f>
        <v>0.70316666666666672</v>
      </c>
      <c r="F657" s="129" t="str">
        <f>VLOOKUP($C657,'2021-22 School Level AAFTE'!$C:$Z,8,FALSE)</f>
        <v>Yes</v>
      </c>
      <c r="G657" s="129" t="str">
        <f>VLOOKUP($C657,'2021-22 School Level AAFTE'!$C:$Z,12,FALSE)</f>
        <v>No</v>
      </c>
      <c r="H657" s="127">
        <f>VLOOKUP($C657,'2021-22 School Level AAFTE'!$C:$I,7,FALSE)</f>
        <v>122.28</v>
      </c>
      <c r="I657" s="112">
        <f>IFERROR(IF(OR(G657="yes",F657= "yes"),VLOOKUP(C657,Summary!$B:$J,6,0),0),0)</f>
        <v>0</v>
      </c>
      <c r="J657" s="111">
        <f t="shared" si="132"/>
        <v>122.28</v>
      </c>
      <c r="K657" s="91">
        <f>VLOOKUP($A657,'2022-23 Salary &amp; Benefits'!$A:$I,3,FALSE)</f>
        <v>1.1200000000000001</v>
      </c>
      <c r="L657" s="91">
        <f>VLOOKUP($A657,'2022-23 Salary &amp; Benefits'!$A:$I,4,FALSE)</f>
        <v>1.1200000000000001</v>
      </c>
      <c r="M657" s="39">
        <f t="shared" si="127"/>
        <v>122.28</v>
      </c>
      <c r="N657" s="24">
        <v>15</v>
      </c>
      <c r="O657" s="26">
        <f t="shared" si="130"/>
        <v>8.1519999999999992</v>
      </c>
      <c r="P657" s="24">
        <v>1.1000000000000001</v>
      </c>
      <c r="Q657" s="24">
        <v>36</v>
      </c>
      <c r="R657" s="27">
        <f t="shared" si="131"/>
        <v>322.81920000000002</v>
      </c>
      <c r="S657" s="102">
        <f t="shared" si="133"/>
        <v>0.35899999999999999</v>
      </c>
      <c r="T657" s="21">
        <f>VLOOKUP($A657,'2022-23 Salary &amp; Benefits'!$A:$I,5,FALSE)</f>
        <v>68937</v>
      </c>
      <c r="U657" s="21">
        <f>VLOOKUP($A657,'2022-23 Salary &amp; Benefits'!$A:$I,6,FALSE)</f>
        <v>72728</v>
      </c>
      <c r="V657" s="22">
        <f t="shared" si="134"/>
        <v>27718.19</v>
      </c>
      <c r="W657" s="22">
        <f t="shared" si="135"/>
        <v>1524.2800000000025</v>
      </c>
      <c r="X657" s="22">
        <f>'2022-23 Salary &amp; Benefits'!$G$6</f>
        <v>12558.24</v>
      </c>
      <c r="Y657" s="23">
        <f>'2022-23 Salary &amp; Benefits'!$H$6</f>
        <v>0.2298</v>
      </c>
      <c r="Z657" s="23">
        <f>'2022-23 Salary &amp; Benefits'!$I$6</f>
        <v>0.22339999999999999</v>
      </c>
      <c r="AA657" s="22">
        <f t="shared" si="136"/>
        <v>11218.57</v>
      </c>
      <c r="AB657" s="22">
        <f t="shared" si="137"/>
        <v>487.37</v>
      </c>
      <c r="AC657" s="22">
        <f t="shared" si="138"/>
        <v>108.88</v>
      </c>
      <c r="AD657" s="22">
        <f t="shared" si="128"/>
        <v>596.25</v>
      </c>
      <c r="AE657" s="22">
        <f t="shared" si="129"/>
        <v>41057.289999999994</v>
      </c>
      <c r="AF657" s="19" t="str">
        <f>VLOOKUP(C657,'2021-22 School Level AAFTE'!C:N,12,FALSE)</f>
        <v>No</v>
      </c>
    </row>
    <row r="658" spans="1:284" s="19" customFormat="1">
      <c r="A658" s="97" t="s">
        <v>2349</v>
      </c>
      <c r="B658" s="97" t="s">
        <v>645</v>
      </c>
      <c r="C658" s="95">
        <v>5473</v>
      </c>
      <c r="D658" s="95" t="s">
        <v>2719</v>
      </c>
      <c r="E658" s="129">
        <f>VLOOKUP($C658,'2021-22 School Level AAFTE'!$C:$Z,11,FALSE)</f>
        <v>0.64770000000000005</v>
      </c>
      <c r="F658" s="129" t="str">
        <f>VLOOKUP($C658,'2021-22 School Level AAFTE'!$C:$Z,8,FALSE)</f>
        <v>Yes</v>
      </c>
      <c r="G658" s="129" t="str">
        <f>VLOOKUP($C658,'2021-22 School Level AAFTE'!$C:$Z,12,FALSE)</f>
        <v>No</v>
      </c>
      <c r="H658" s="127">
        <f>VLOOKUP($C658,'2021-22 School Level AAFTE'!$C:$I,7,FALSE)</f>
        <v>530.58000000000004</v>
      </c>
      <c r="I658" s="112">
        <f>IFERROR(IF(OR(G658="yes",F658= "yes"),VLOOKUP(C658,Summary!$B:$J,6,0),0),0)</f>
        <v>0</v>
      </c>
      <c r="J658" s="111">
        <f t="shared" si="132"/>
        <v>530.58000000000004</v>
      </c>
      <c r="K658" s="91">
        <f>VLOOKUP($A658,'2022-23 Salary &amp; Benefits'!$A:$I,3,FALSE)</f>
        <v>1.1200000000000001</v>
      </c>
      <c r="L658" s="91">
        <f>VLOOKUP($A658,'2022-23 Salary &amp; Benefits'!$A:$I,4,FALSE)</f>
        <v>1.1200000000000001</v>
      </c>
      <c r="M658" s="39">
        <f t="shared" si="127"/>
        <v>530.58000000000004</v>
      </c>
      <c r="N658" s="24">
        <v>15</v>
      </c>
      <c r="O658" s="26">
        <f t="shared" si="130"/>
        <v>35.372</v>
      </c>
      <c r="P658" s="24">
        <v>1.1000000000000001</v>
      </c>
      <c r="Q658" s="24">
        <v>36</v>
      </c>
      <c r="R658" s="27">
        <f t="shared" si="131"/>
        <v>1400.7312000000002</v>
      </c>
      <c r="S658" s="102">
        <f t="shared" si="133"/>
        <v>1.556</v>
      </c>
      <c r="T658" s="21">
        <f>VLOOKUP($A658,'2022-23 Salary &amp; Benefits'!$A:$I,5,FALSE)</f>
        <v>68937</v>
      </c>
      <c r="U658" s="21">
        <f>VLOOKUP($A658,'2022-23 Salary &amp; Benefits'!$A:$I,6,FALSE)</f>
        <v>72728</v>
      </c>
      <c r="V658" s="22">
        <f t="shared" si="134"/>
        <v>120137.89</v>
      </c>
      <c r="W658" s="22">
        <f t="shared" si="135"/>
        <v>6606.6499999999942</v>
      </c>
      <c r="X658" s="22">
        <f>'2022-23 Salary &amp; Benefits'!$G$6</f>
        <v>12558.24</v>
      </c>
      <c r="Y658" s="23">
        <f>'2022-23 Salary &amp; Benefits'!$H$6</f>
        <v>0.2298</v>
      </c>
      <c r="Z658" s="23">
        <f>'2022-23 Salary &amp; Benefits'!$I$6</f>
        <v>0.22339999999999999</v>
      </c>
      <c r="AA658" s="22">
        <f t="shared" si="136"/>
        <v>48624.23</v>
      </c>
      <c r="AB658" s="22">
        <f t="shared" si="137"/>
        <v>2112.41</v>
      </c>
      <c r="AC658" s="22">
        <f t="shared" si="138"/>
        <v>471.91</v>
      </c>
      <c r="AD658" s="22">
        <f t="shared" si="128"/>
        <v>2584.3199999999997</v>
      </c>
      <c r="AE658" s="22">
        <f t="shared" si="129"/>
        <v>177953.09</v>
      </c>
      <c r="AF658" s="19" t="str">
        <f>VLOOKUP(C658,'2021-22 School Level AAFTE'!C:N,12,FALSE)</f>
        <v>No</v>
      </c>
    </row>
    <row r="659" spans="1:284" s="19" customFormat="1">
      <c r="A659" s="97" t="s">
        <v>2533</v>
      </c>
      <c r="B659" s="97" t="s">
        <v>2088</v>
      </c>
      <c r="C659" s="95">
        <v>2263</v>
      </c>
      <c r="D659" s="95" t="s">
        <v>2089</v>
      </c>
      <c r="E659" s="129">
        <f>VLOOKUP($C659,'2021-22 School Level AAFTE'!$C:$Z,11,FALSE)</f>
        <v>0.34260000000000002</v>
      </c>
      <c r="F659" s="129" t="str">
        <f>VLOOKUP($C659,'2021-22 School Level AAFTE'!$C:$Z,8,FALSE)</f>
        <v>No</v>
      </c>
      <c r="G659" s="129" t="str">
        <f>VLOOKUP($C659,'2021-22 School Level AAFTE'!$C:$Z,12,FALSE)</f>
        <v>No</v>
      </c>
      <c r="H659" s="127">
        <f>VLOOKUP($C659,'2021-22 School Level AAFTE'!$C:$I,7,FALSE)</f>
        <v>35.71</v>
      </c>
      <c r="I659" s="112">
        <f>IFERROR(IF(OR(G659="yes",F659= "yes"),VLOOKUP(C659,Summary!$B:$J,6,0),0),0)</f>
        <v>0</v>
      </c>
      <c r="J659" s="111">
        <f t="shared" si="132"/>
        <v>0</v>
      </c>
      <c r="K659" s="91">
        <f>VLOOKUP($A659,'2022-23 Salary &amp; Benefits'!$A:$I,3,FALSE)</f>
        <v>1.0900000000000001</v>
      </c>
      <c r="L659" s="91">
        <f>VLOOKUP($A659,'2022-23 Salary &amp; Benefits'!$A:$I,4,FALSE)</f>
        <v>1.0900000000000001</v>
      </c>
      <c r="M659" s="101">
        <f t="shared" si="127"/>
        <v>0</v>
      </c>
      <c r="N659" s="24">
        <v>15</v>
      </c>
      <c r="O659" s="26">
        <f t="shared" si="130"/>
        <v>0</v>
      </c>
      <c r="P659" s="24">
        <v>1.1000000000000001</v>
      </c>
      <c r="Q659" s="24">
        <v>36</v>
      </c>
      <c r="R659" s="27">
        <f t="shared" si="131"/>
        <v>0</v>
      </c>
      <c r="S659" s="102">
        <f t="shared" si="133"/>
        <v>0</v>
      </c>
      <c r="T659" s="21">
        <f>VLOOKUP($A659,'2022-23 Salary &amp; Benefits'!$A:$I,5,FALSE)</f>
        <v>68937</v>
      </c>
      <c r="U659" s="21">
        <f>VLOOKUP($A659,'2022-23 Salary &amp; Benefits'!$A:$I,6,FALSE)</f>
        <v>72728</v>
      </c>
      <c r="V659" s="22">
        <f t="shared" si="134"/>
        <v>0</v>
      </c>
      <c r="W659" s="22">
        <f t="shared" si="135"/>
        <v>0</v>
      </c>
      <c r="X659" s="22">
        <f>'2022-23 Salary &amp; Benefits'!$G$6</f>
        <v>12558.24</v>
      </c>
      <c r="Y659" s="23">
        <f>'2022-23 Salary &amp; Benefits'!$H$6</f>
        <v>0.2298</v>
      </c>
      <c r="Z659" s="23">
        <f>'2022-23 Salary &amp; Benefits'!$I$6</f>
        <v>0.22339999999999999</v>
      </c>
      <c r="AA659" s="22">
        <f t="shared" si="136"/>
        <v>0</v>
      </c>
      <c r="AB659" s="22">
        <f t="shared" si="137"/>
        <v>0</v>
      </c>
      <c r="AC659" s="22">
        <f t="shared" si="138"/>
        <v>0</v>
      </c>
      <c r="AD659" s="22">
        <f t="shared" si="128"/>
        <v>0</v>
      </c>
      <c r="AE659" s="22">
        <f t="shared" si="129"/>
        <v>0</v>
      </c>
      <c r="AF659" s="19" t="str">
        <f>VLOOKUP(C659,'2021-22 School Level AAFTE'!C:N,12,FALSE)</f>
        <v>No</v>
      </c>
    </row>
    <row r="660" spans="1:284" s="19" customFormat="1">
      <c r="A660" s="97" t="s">
        <v>2533</v>
      </c>
      <c r="B660" s="97" t="s">
        <v>2088</v>
      </c>
      <c r="C660" s="95">
        <v>2458</v>
      </c>
      <c r="D660" s="95" t="s">
        <v>1728</v>
      </c>
      <c r="E660" s="129">
        <f>VLOOKUP($C660,'2021-22 School Level AAFTE'!$C:$Z,11,FALSE)</f>
        <v>0.52036666666666664</v>
      </c>
      <c r="F660" s="129" t="str">
        <f>VLOOKUP($C660,'2021-22 School Level AAFTE'!$C:$Z,8,FALSE)</f>
        <v>Yes</v>
      </c>
      <c r="G660" s="129" t="str">
        <f>VLOOKUP($C660,'2021-22 School Level AAFTE'!$C:$Z,12,FALSE)</f>
        <v>No</v>
      </c>
      <c r="H660" s="127">
        <f>VLOOKUP($C660,'2021-22 School Level AAFTE'!$C:$I,7,FALSE)</f>
        <v>298.58</v>
      </c>
      <c r="I660" s="112">
        <f>IFERROR(IF(OR(G660="yes",F660= "yes"),VLOOKUP(C660,Summary!$B:$J,6,0),0),0)</f>
        <v>0</v>
      </c>
      <c r="J660" s="111">
        <f t="shared" si="132"/>
        <v>298.58</v>
      </c>
      <c r="K660" s="91">
        <f>VLOOKUP($A660,'2022-23 Salary &amp; Benefits'!$A:$I,3,FALSE)</f>
        <v>1.0900000000000001</v>
      </c>
      <c r="L660" s="91">
        <f>VLOOKUP($A660,'2022-23 Salary &amp; Benefits'!$A:$I,4,FALSE)</f>
        <v>1.0900000000000001</v>
      </c>
      <c r="M660" s="101">
        <f t="shared" si="127"/>
        <v>298.58</v>
      </c>
      <c r="N660" s="24">
        <v>15</v>
      </c>
      <c r="O660" s="26">
        <f t="shared" si="130"/>
        <v>19.905333333333331</v>
      </c>
      <c r="P660" s="24">
        <v>1.1000000000000001</v>
      </c>
      <c r="Q660" s="24">
        <v>36</v>
      </c>
      <c r="R660" s="27">
        <f t="shared" si="131"/>
        <v>788.25120000000004</v>
      </c>
      <c r="S660" s="102">
        <f t="shared" si="133"/>
        <v>0.876</v>
      </c>
      <c r="T660" s="21">
        <f>VLOOKUP($A660,'2022-23 Salary &amp; Benefits'!$A:$I,5,FALSE)</f>
        <v>68937</v>
      </c>
      <c r="U660" s="21">
        <f>VLOOKUP($A660,'2022-23 Salary &amp; Benefits'!$A:$I,6,FALSE)</f>
        <v>72728</v>
      </c>
      <c r="V660" s="22">
        <f t="shared" si="134"/>
        <v>65823.81</v>
      </c>
      <c r="W660" s="22">
        <f t="shared" si="135"/>
        <v>3619.7900000000081</v>
      </c>
      <c r="X660" s="22">
        <f>'2022-23 Salary &amp; Benefits'!$G$6</f>
        <v>12558.24</v>
      </c>
      <c r="Y660" s="23">
        <f>'2022-23 Salary &amp; Benefits'!$H$6</f>
        <v>0.2298</v>
      </c>
      <c r="Z660" s="23">
        <f>'2022-23 Salary &amp; Benefits'!$I$6</f>
        <v>0.22339999999999999</v>
      </c>
      <c r="AA660" s="22">
        <f t="shared" si="136"/>
        <v>26935.99</v>
      </c>
      <c r="AB660" s="22">
        <f t="shared" si="137"/>
        <v>1157.3900000000001</v>
      </c>
      <c r="AC660" s="22">
        <f t="shared" si="138"/>
        <v>258.56</v>
      </c>
      <c r="AD660" s="22">
        <f t="shared" si="128"/>
        <v>1415.95</v>
      </c>
      <c r="AE660" s="22">
        <f t="shared" si="129"/>
        <v>97795.540000000008</v>
      </c>
      <c r="AF660" s="19" t="str">
        <f>VLOOKUP(C660,'2021-22 School Level AAFTE'!C:N,12,FALSE)</f>
        <v>No</v>
      </c>
    </row>
    <row r="661" spans="1:284" s="19" customFormat="1">
      <c r="A661" s="97" t="s">
        <v>2533</v>
      </c>
      <c r="B661" s="97" t="s">
        <v>2088</v>
      </c>
      <c r="C661" s="95">
        <v>2488</v>
      </c>
      <c r="D661" s="95" t="s">
        <v>2090</v>
      </c>
      <c r="E661" s="129">
        <f>VLOOKUP($C661,'2021-22 School Level AAFTE'!$C:$Z,11,FALSE)</f>
        <v>0.42060000000000003</v>
      </c>
      <c r="F661" s="129" t="str">
        <f>VLOOKUP($C661,'2021-22 School Level AAFTE'!$C:$Z,8,FALSE)</f>
        <v>No</v>
      </c>
      <c r="G661" s="129" t="str">
        <f>VLOOKUP($C661,'2021-22 School Level AAFTE'!$C:$Z,12,FALSE)</f>
        <v>No</v>
      </c>
      <c r="H661" s="127">
        <f>VLOOKUP($C661,'2021-22 School Level AAFTE'!$C:$I,7,FALSE)</f>
        <v>1290.24</v>
      </c>
      <c r="I661" s="112">
        <f>IFERROR(IF(OR(G661="yes",F661= "yes"),VLOOKUP(C661,Summary!$B:$J,6,0),0),0)</f>
        <v>0</v>
      </c>
      <c r="J661" s="111">
        <f t="shared" si="132"/>
        <v>0</v>
      </c>
      <c r="K661" s="91">
        <f>VLOOKUP($A661,'2022-23 Salary &amp; Benefits'!$A:$I,3,FALSE)</f>
        <v>1.0900000000000001</v>
      </c>
      <c r="L661" s="91">
        <f>VLOOKUP($A661,'2022-23 Salary &amp; Benefits'!$A:$I,4,FALSE)</f>
        <v>1.0900000000000001</v>
      </c>
      <c r="M661" s="101">
        <f t="shared" si="127"/>
        <v>0</v>
      </c>
      <c r="N661" s="24">
        <v>15</v>
      </c>
      <c r="O661" s="26">
        <f t="shared" si="130"/>
        <v>0</v>
      </c>
      <c r="P661" s="24">
        <v>1.1000000000000001</v>
      </c>
      <c r="Q661" s="24">
        <v>36</v>
      </c>
      <c r="R661" s="27">
        <f t="shared" si="131"/>
        <v>0</v>
      </c>
      <c r="S661" s="102">
        <f t="shared" si="133"/>
        <v>0</v>
      </c>
      <c r="T661" s="21">
        <f>VLOOKUP($A661,'2022-23 Salary &amp; Benefits'!$A:$I,5,FALSE)</f>
        <v>68937</v>
      </c>
      <c r="U661" s="21">
        <f>VLOOKUP($A661,'2022-23 Salary &amp; Benefits'!$A:$I,6,FALSE)</f>
        <v>72728</v>
      </c>
      <c r="V661" s="22">
        <f t="shared" si="134"/>
        <v>0</v>
      </c>
      <c r="W661" s="22">
        <f t="shared" si="135"/>
        <v>0</v>
      </c>
      <c r="X661" s="22">
        <f>'2022-23 Salary &amp; Benefits'!$G$6</f>
        <v>12558.24</v>
      </c>
      <c r="Y661" s="23">
        <f>'2022-23 Salary &amp; Benefits'!$H$6</f>
        <v>0.2298</v>
      </c>
      <c r="Z661" s="23">
        <f>'2022-23 Salary &amp; Benefits'!$I$6</f>
        <v>0.22339999999999999</v>
      </c>
      <c r="AA661" s="22">
        <f t="shared" si="136"/>
        <v>0</v>
      </c>
      <c r="AB661" s="22">
        <f t="shared" si="137"/>
        <v>0</v>
      </c>
      <c r="AC661" s="22">
        <f t="shared" si="138"/>
        <v>0</v>
      </c>
      <c r="AD661" s="22">
        <f t="shared" si="128"/>
        <v>0</v>
      </c>
      <c r="AE661" s="22">
        <f t="shared" si="129"/>
        <v>0</v>
      </c>
      <c r="AF661" s="19" t="str">
        <f>VLOOKUP(C661,'2021-22 School Level AAFTE'!C:N,12,FALSE)</f>
        <v>No</v>
      </c>
    </row>
    <row r="662" spans="1:284" s="19" customFormat="1">
      <c r="A662" s="97" t="s">
        <v>2533</v>
      </c>
      <c r="B662" s="97" t="s">
        <v>2088</v>
      </c>
      <c r="C662" s="95">
        <v>2607</v>
      </c>
      <c r="D662" s="95" t="s">
        <v>2091</v>
      </c>
      <c r="E662" s="129">
        <f>VLOOKUP($C662,'2021-22 School Level AAFTE'!$C:$Z,11,FALSE)</f>
        <v>0.44416666666666665</v>
      </c>
      <c r="F662" s="129" t="str">
        <f>VLOOKUP($C662,'2021-22 School Level AAFTE'!$C:$Z,8,FALSE)</f>
        <v>No</v>
      </c>
      <c r="G662" s="129" t="str">
        <f>VLOOKUP($C662,'2021-22 School Level AAFTE'!$C:$Z,12,FALSE)</f>
        <v>No</v>
      </c>
      <c r="H662" s="127">
        <f>VLOOKUP($C662,'2021-22 School Level AAFTE'!$C:$I,7,FALSE)</f>
        <v>306.14</v>
      </c>
      <c r="I662" s="112">
        <f>IFERROR(IF(OR(G662="yes",F662= "yes"),VLOOKUP(C662,Summary!$B:$J,6,0),0),0)</f>
        <v>0</v>
      </c>
      <c r="J662" s="111">
        <f t="shared" si="132"/>
        <v>0</v>
      </c>
      <c r="K662" s="91">
        <f>VLOOKUP($A662,'2022-23 Salary &amp; Benefits'!$A:$I,3,FALSE)</f>
        <v>1.0900000000000001</v>
      </c>
      <c r="L662" s="91">
        <f>VLOOKUP($A662,'2022-23 Salary &amp; Benefits'!$A:$I,4,FALSE)</f>
        <v>1.0900000000000001</v>
      </c>
      <c r="M662" s="101">
        <f t="shared" si="127"/>
        <v>0</v>
      </c>
      <c r="N662" s="24">
        <v>15</v>
      </c>
      <c r="O662" s="26">
        <f t="shared" si="130"/>
        <v>0</v>
      </c>
      <c r="P662" s="24">
        <v>1.1000000000000001</v>
      </c>
      <c r="Q662" s="24">
        <v>36</v>
      </c>
      <c r="R662" s="27">
        <f t="shared" si="131"/>
        <v>0</v>
      </c>
      <c r="S662" s="102">
        <f t="shared" si="133"/>
        <v>0</v>
      </c>
      <c r="T662" s="21">
        <f>VLOOKUP($A662,'2022-23 Salary &amp; Benefits'!$A:$I,5,FALSE)</f>
        <v>68937</v>
      </c>
      <c r="U662" s="21">
        <f>VLOOKUP($A662,'2022-23 Salary &amp; Benefits'!$A:$I,6,FALSE)</f>
        <v>72728</v>
      </c>
      <c r="V662" s="22">
        <f t="shared" si="134"/>
        <v>0</v>
      </c>
      <c r="W662" s="22">
        <f t="shared" si="135"/>
        <v>0</v>
      </c>
      <c r="X662" s="22">
        <f>'2022-23 Salary &amp; Benefits'!$G$6</f>
        <v>12558.24</v>
      </c>
      <c r="Y662" s="23">
        <f>'2022-23 Salary &amp; Benefits'!$H$6</f>
        <v>0.2298</v>
      </c>
      <c r="Z662" s="23">
        <f>'2022-23 Salary &amp; Benefits'!$I$6</f>
        <v>0.22339999999999999</v>
      </c>
      <c r="AA662" s="22">
        <f t="shared" si="136"/>
        <v>0</v>
      </c>
      <c r="AB662" s="22">
        <f t="shared" si="137"/>
        <v>0</v>
      </c>
      <c r="AC662" s="22">
        <f t="shared" si="138"/>
        <v>0</v>
      </c>
      <c r="AD662" s="22">
        <f t="shared" si="128"/>
        <v>0</v>
      </c>
      <c r="AE662" s="22">
        <f t="shared" si="129"/>
        <v>0</v>
      </c>
      <c r="AF662" s="19" t="str">
        <f>VLOOKUP(C662,'2021-22 School Level AAFTE'!C:N,12,FALSE)</f>
        <v>No</v>
      </c>
    </row>
    <row r="663" spans="1:284" s="19" customFormat="1">
      <c r="A663" s="97" t="s">
        <v>2533</v>
      </c>
      <c r="B663" s="97" t="s">
        <v>2088</v>
      </c>
      <c r="C663" s="95">
        <v>3762</v>
      </c>
      <c r="D663" s="95" t="s">
        <v>2092</v>
      </c>
      <c r="E663" s="129">
        <f>VLOOKUP($C663,'2021-22 School Level AAFTE'!$C:$Z,11,FALSE)</f>
        <v>0.46126666666666666</v>
      </c>
      <c r="F663" s="129" t="str">
        <f>VLOOKUP($C663,'2021-22 School Level AAFTE'!$C:$Z,8,FALSE)</f>
        <v>No</v>
      </c>
      <c r="G663" s="129" t="str">
        <f>VLOOKUP($C663,'2021-22 School Level AAFTE'!$C:$Z,12,FALSE)</f>
        <v>No</v>
      </c>
      <c r="H663" s="127">
        <f>VLOOKUP($C663,'2021-22 School Level AAFTE'!$C:$I,7,FALSE)</f>
        <v>532.27</v>
      </c>
      <c r="I663" s="112">
        <f>IFERROR(IF(OR(G663="yes",F663= "yes"),VLOOKUP(C663,Summary!$B:$J,6,0),0),0)</f>
        <v>0</v>
      </c>
      <c r="J663" s="111">
        <f t="shared" si="132"/>
        <v>0</v>
      </c>
      <c r="K663" s="91">
        <f>VLOOKUP($A663,'2022-23 Salary &amp; Benefits'!$A:$I,3,FALSE)</f>
        <v>1.0900000000000001</v>
      </c>
      <c r="L663" s="91">
        <f>VLOOKUP($A663,'2022-23 Salary &amp; Benefits'!$A:$I,4,FALSE)</f>
        <v>1.0900000000000001</v>
      </c>
      <c r="M663" s="39">
        <f t="shared" si="127"/>
        <v>0</v>
      </c>
      <c r="N663" s="24">
        <v>15</v>
      </c>
      <c r="O663" s="26">
        <f t="shared" si="130"/>
        <v>0</v>
      </c>
      <c r="P663" s="24">
        <v>1.1000000000000001</v>
      </c>
      <c r="Q663" s="24">
        <v>36</v>
      </c>
      <c r="R663" s="27">
        <f t="shared" si="131"/>
        <v>0</v>
      </c>
      <c r="S663" s="102">
        <f t="shared" si="133"/>
        <v>0</v>
      </c>
      <c r="T663" s="21">
        <f>VLOOKUP($A663,'2022-23 Salary &amp; Benefits'!$A:$I,5,FALSE)</f>
        <v>68937</v>
      </c>
      <c r="U663" s="21">
        <f>VLOOKUP($A663,'2022-23 Salary &amp; Benefits'!$A:$I,6,FALSE)</f>
        <v>72728</v>
      </c>
      <c r="V663" s="22">
        <f t="shared" si="134"/>
        <v>0</v>
      </c>
      <c r="W663" s="22">
        <f t="shared" si="135"/>
        <v>0</v>
      </c>
      <c r="X663" s="22">
        <f>'2022-23 Salary &amp; Benefits'!$G$6</f>
        <v>12558.24</v>
      </c>
      <c r="Y663" s="23">
        <f>'2022-23 Salary &amp; Benefits'!$H$6</f>
        <v>0.2298</v>
      </c>
      <c r="Z663" s="23">
        <f>'2022-23 Salary &amp; Benefits'!$I$6</f>
        <v>0.22339999999999999</v>
      </c>
      <c r="AA663" s="22">
        <f t="shared" si="136"/>
        <v>0</v>
      </c>
      <c r="AB663" s="22">
        <f t="shared" si="137"/>
        <v>0</v>
      </c>
      <c r="AC663" s="22">
        <f t="shared" si="138"/>
        <v>0</v>
      </c>
      <c r="AD663" s="22">
        <f t="shared" si="128"/>
        <v>0</v>
      </c>
      <c r="AE663" s="22">
        <f t="shared" si="129"/>
        <v>0</v>
      </c>
      <c r="AF663" s="19" t="str">
        <f>VLOOKUP(C663,'2021-22 School Level AAFTE'!C:N,12,FALSE)</f>
        <v>No</v>
      </c>
    </row>
    <row r="664" spans="1:284" s="19" customFormat="1">
      <c r="A664" s="97" t="s">
        <v>2533</v>
      </c>
      <c r="B664" s="97" t="s">
        <v>2088</v>
      </c>
      <c r="C664" s="95">
        <v>4130</v>
      </c>
      <c r="D664" s="95" t="s">
        <v>2093</v>
      </c>
      <c r="E664" s="129">
        <f>VLOOKUP($C664,'2021-22 School Level AAFTE'!$C:$Z,11,FALSE)</f>
        <v>0.45496666666666669</v>
      </c>
      <c r="F664" s="129" t="str">
        <f>VLOOKUP($C664,'2021-22 School Level AAFTE'!$C:$Z,8,FALSE)</f>
        <v>No</v>
      </c>
      <c r="G664" s="129" t="str">
        <f>VLOOKUP($C664,'2021-22 School Level AAFTE'!$C:$Z,12,FALSE)</f>
        <v>No</v>
      </c>
      <c r="H664" s="127">
        <f>VLOOKUP($C664,'2021-22 School Level AAFTE'!$C:$I,7,FALSE)</f>
        <v>413.14</v>
      </c>
      <c r="I664" s="112">
        <f>IFERROR(IF(OR(G664="yes",F664= "yes"),VLOOKUP(C664,Summary!$B:$J,6,0),0),0)</f>
        <v>0</v>
      </c>
      <c r="J664" s="111">
        <f t="shared" si="132"/>
        <v>0</v>
      </c>
      <c r="K664" s="91">
        <f>VLOOKUP($A664,'2022-23 Salary &amp; Benefits'!$A:$I,3,FALSE)</f>
        <v>1.0900000000000001</v>
      </c>
      <c r="L664" s="91">
        <f>VLOOKUP($A664,'2022-23 Salary &amp; Benefits'!$A:$I,4,FALSE)</f>
        <v>1.0900000000000001</v>
      </c>
      <c r="M664" s="39">
        <f t="shared" si="127"/>
        <v>0</v>
      </c>
      <c r="N664" s="24">
        <v>15</v>
      </c>
      <c r="O664" s="26">
        <f t="shared" si="130"/>
        <v>0</v>
      </c>
      <c r="P664" s="24">
        <v>1.1000000000000001</v>
      </c>
      <c r="Q664" s="24">
        <v>36</v>
      </c>
      <c r="R664" s="27">
        <f t="shared" si="131"/>
        <v>0</v>
      </c>
      <c r="S664" s="102">
        <f t="shared" si="133"/>
        <v>0</v>
      </c>
      <c r="T664" s="21">
        <f>VLOOKUP($A664,'2022-23 Salary &amp; Benefits'!$A:$I,5,FALSE)</f>
        <v>68937</v>
      </c>
      <c r="U664" s="21">
        <f>VLOOKUP($A664,'2022-23 Salary &amp; Benefits'!$A:$I,6,FALSE)</f>
        <v>72728</v>
      </c>
      <c r="V664" s="22">
        <f t="shared" si="134"/>
        <v>0</v>
      </c>
      <c r="W664" s="22">
        <f t="shared" si="135"/>
        <v>0</v>
      </c>
      <c r="X664" s="22">
        <f>'2022-23 Salary &amp; Benefits'!$G$6</f>
        <v>12558.24</v>
      </c>
      <c r="Y664" s="23">
        <f>'2022-23 Salary &amp; Benefits'!$H$6</f>
        <v>0.2298</v>
      </c>
      <c r="Z664" s="23">
        <f>'2022-23 Salary &amp; Benefits'!$I$6</f>
        <v>0.22339999999999999</v>
      </c>
      <c r="AA664" s="22">
        <f t="shared" si="136"/>
        <v>0</v>
      </c>
      <c r="AB664" s="22">
        <f t="shared" si="137"/>
        <v>0</v>
      </c>
      <c r="AC664" s="22">
        <f t="shared" si="138"/>
        <v>0</v>
      </c>
      <c r="AD664" s="22">
        <f t="shared" si="128"/>
        <v>0</v>
      </c>
      <c r="AE664" s="22">
        <f t="shared" si="129"/>
        <v>0</v>
      </c>
      <c r="AF664" s="19" t="str">
        <f>VLOOKUP(C664,'2021-22 School Level AAFTE'!C:N,12,FALSE)</f>
        <v>No</v>
      </c>
    </row>
    <row r="665" spans="1:284" s="19" customFormat="1">
      <c r="A665" s="56" t="s">
        <v>2533</v>
      </c>
      <c r="B665" s="97" t="s">
        <v>2088</v>
      </c>
      <c r="C665" s="95">
        <v>4482</v>
      </c>
      <c r="D665" s="56" t="s">
        <v>2094</v>
      </c>
      <c r="E665" s="129">
        <f>VLOOKUP($C665,'2021-22 School Level AAFTE'!$C:$Z,11,FALSE)</f>
        <v>0.55346666666666666</v>
      </c>
      <c r="F665" s="129" t="str">
        <f>VLOOKUP($C665,'2021-22 School Level AAFTE'!$C:$Z,8,FALSE)</f>
        <v>Yes</v>
      </c>
      <c r="G665" s="129" t="str">
        <f>VLOOKUP($C665,'2021-22 School Level AAFTE'!$C:$Z,12,FALSE)</f>
        <v>No</v>
      </c>
      <c r="H665" s="127">
        <f>VLOOKUP($C665,'2021-22 School Level AAFTE'!$C:$I,7,FALSE)</f>
        <v>434.25</v>
      </c>
      <c r="I665" s="112">
        <f>IFERROR(IF(OR(G665="yes",F665= "yes"),VLOOKUP(C665,Summary!$B:$J,6,0),0),0)</f>
        <v>0</v>
      </c>
      <c r="J665" s="111">
        <f t="shared" si="132"/>
        <v>434.25</v>
      </c>
      <c r="K665" s="91">
        <f>VLOOKUP($A665,'2022-23 Salary &amp; Benefits'!$A:$I,3,FALSE)</f>
        <v>1.0900000000000001</v>
      </c>
      <c r="L665" s="91">
        <f>VLOOKUP($A665,'2022-23 Salary &amp; Benefits'!$A:$I,4,FALSE)</f>
        <v>1.0900000000000001</v>
      </c>
      <c r="M665" s="101">
        <f t="shared" si="127"/>
        <v>434.25</v>
      </c>
      <c r="N665" s="24">
        <v>15</v>
      </c>
      <c r="O665" s="26">
        <f t="shared" si="130"/>
        <v>28.95</v>
      </c>
      <c r="P665" s="24">
        <v>1.1000000000000001</v>
      </c>
      <c r="Q665" s="24">
        <v>36</v>
      </c>
      <c r="R665" s="27">
        <f t="shared" si="131"/>
        <v>1146.42</v>
      </c>
      <c r="S665" s="102">
        <f t="shared" si="133"/>
        <v>1.274</v>
      </c>
      <c r="T665" s="21">
        <f>VLOOKUP($A665,'2022-23 Salary &amp; Benefits'!$A:$I,5,FALSE)</f>
        <v>68937</v>
      </c>
      <c r="U665" s="21">
        <f>VLOOKUP($A665,'2022-23 Salary &amp; Benefits'!$A:$I,6,FALSE)</f>
        <v>72728</v>
      </c>
      <c r="V665" s="22">
        <f t="shared" si="134"/>
        <v>95730.05</v>
      </c>
      <c r="W665" s="22">
        <f t="shared" si="135"/>
        <v>5264.4100000000035</v>
      </c>
      <c r="X665" s="22">
        <f>'2022-23 Salary &amp; Benefits'!$G$6</f>
        <v>12558.24</v>
      </c>
      <c r="Y665" s="23">
        <f>'2022-23 Salary &amp; Benefits'!$H$6</f>
        <v>0.2298</v>
      </c>
      <c r="Z665" s="23">
        <f>'2022-23 Salary &amp; Benefits'!$I$6</f>
        <v>0.22339999999999999</v>
      </c>
      <c r="AA665" s="22">
        <f t="shared" si="136"/>
        <v>39174.03</v>
      </c>
      <c r="AB665" s="22">
        <f t="shared" si="137"/>
        <v>1683.24</v>
      </c>
      <c r="AC665" s="22">
        <f t="shared" si="138"/>
        <v>376.04</v>
      </c>
      <c r="AD665" s="22">
        <f t="shared" si="128"/>
        <v>2059.2800000000002</v>
      </c>
      <c r="AE665" s="22">
        <f t="shared" si="129"/>
        <v>142227.77000000002</v>
      </c>
      <c r="AF665" s="19" t="str">
        <f>VLOOKUP(C665,'2021-22 School Level AAFTE'!C:N,12,FALSE)</f>
        <v>No</v>
      </c>
    </row>
    <row r="666" spans="1:284" s="19" customFormat="1">
      <c r="A666" s="97" t="s">
        <v>2533</v>
      </c>
      <c r="B666" s="97" t="s">
        <v>2088</v>
      </c>
      <c r="C666" s="95">
        <v>4554</v>
      </c>
      <c r="D666" s="95" t="s">
        <v>1867</v>
      </c>
      <c r="E666" s="129">
        <f>VLOOKUP($C666,'2021-22 School Level AAFTE'!$C:$Z,11,FALSE)</f>
        <v>0.51203333333333323</v>
      </c>
      <c r="F666" s="129" t="str">
        <f>VLOOKUP($C666,'2021-22 School Level AAFTE'!$C:$Z,8,FALSE)</f>
        <v>Yes</v>
      </c>
      <c r="G666" s="129" t="str">
        <f>VLOOKUP($C666,'2021-22 School Level AAFTE'!$C:$Z,12,FALSE)</f>
        <v>No</v>
      </c>
      <c r="H666" s="127">
        <f>VLOOKUP($C666,'2021-22 School Level AAFTE'!$C:$I,7,FALSE)</f>
        <v>441.71</v>
      </c>
      <c r="I666" s="112">
        <f>IFERROR(IF(OR(G666="yes",F666= "yes"),VLOOKUP(C666,Summary!$B:$J,6,0),0),0)</f>
        <v>0</v>
      </c>
      <c r="J666" s="111">
        <f t="shared" si="132"/>
        <v>441.71</v>
      </c>
      <c r="K666" s="91">
        <f>VLOOKUP($A666,'2022-23 Salary &amp; Benefits'!$A:$I,3,FALSE)</f>
        <v>1.0900000000000001</v>
      </c>
      <c r="L666" s="91">
        <f>VLOOKUP($A666,'2022-23 Salary &amp; Benefits'!$A:$I,4,FALSE)</f>
        <v>1.0900000000000001</v>
      </c>
      <c r="M666" s="101">
        <f t="shared" si="127"/>
        <v>441.71</v>
      </c>
      <c r="N666" s="24">
        <v>15</v>
      </c>
      <c r="O666" s="26">
        <f t="shared" si="130"/>
        <v>29.447333333333333</v>
      </c>
      <c r="P666" s="24">
        <v>1.1000000000000001</v>
      </c>
      <c r="Q666" s="24">
        <v>36</v>
      </c>
      <c r="R666" s="27">
        <f t="shared" si="131"/>
        <v>1166.1144000000002</v>
      </c>
      <c r="S666" s="102">
        <f t="shared" si="133"/>
        <v>1.296</v>
      </c>
      <c r="T666" s="21">
        <f>VLOOKUP($A666,'2022-23 Salary &amp; Benefits'!$A:$I,5,FALSE)</f>
        <v>68937</v>
      </c>
      <c r="U666" s="21">
        <f>VLOOKUP($A666,'2022-23 Salary &amp; Benefits'!$A:$I,6,FALSE)</f>
        <v>72728</v>
      </c>
      <c r="V666" s="22">
        <f t="shared" si="134"/>
        <v>97383.16</v>
      </c>
      <c r="W666" s="22">
        <f t="shared" si="135"/>
        <v>5355.3199999999924</v>
      </c>
      <c r="X666" s="22">
        <f>'2022-23 Salary &amp; Benefits'!$G$6</f>
        <v>12558.24</v>
      </c>
      <c r="Y666" s="23">
        <f>'2022-23 Salary &amp; Benefits'!$H$6</f>
        <v>0.2298</v>
      </c>
      <c r="Z666" s="23">
        <f>'2022-23 Salary &amp; Benefits'!$I$6</f>
        <v>0.22339999999999999</v>
      </c>
      <c r="AA666" s="22">
        <f t="shared" si="136"/>
        <v>39850.51</v>
      </c>
      <c r="AB666" s="22">
        <f t="shared" si="137"/>
        <v>1712.31</v>
      </c>
      <c r="AC666" s="22">
        <f t="shared" si="138"/>
        <v>382.53</v>
      </c>
      <c r="AD666" s="22">
        <f t="shared" si="128"/>
        <v>2094.84</v>
      </c>
      <c r="AE666" s="22">
        <f t="shared" si="129"/>
        <v>144683.82999999999</v>
      </c>
      <c r="AF666" s="19" t="str">
        <f>VLOOKUP(C666,'2021-22 School Level AAFTE'!C:N,12,FALSE)</f>
        <v>No</v>
      </c>
    </row>
    <row r="667" spans="1:284" s="19" customFormat="1">
      <c r="A667" s="97" t="s">
        <v>2533</v>
      </c>
      <c r="B667" s="97" t="s">
        <v>2088</v>
      </c>
      <c r="C667" s="95">
        <v>5207</v>
      </c>
      <c r="D667" s="95" t="s">
        <v>641</v>
      </c>
      <c r="E667" s="129">
        <f>VLOOKUP($C667,'2021-22 School Level AAFTE'!$C:$Z,11,FALSE)</f>
        <v>0.50583333333333336</v>
      </c>
      <c r="F667" s="129" t="str">
        <f>VLOOKUP($C667,'2021-22 School Level AAFTE'!$C:$Z,8,FALSE)</f>
        <v>Yes</v>
      </c>
      <c r="G667" s="129" t="str">
        <f>VLOOKUP($C667,'2021-22 School Level AAFTE'!$C:$Z,12,FALSE)</f>
        <v>No</v>
      </c>
      <c r="H667" s="127">
        <f>VLOOKUP($C667,'2021-22 School Level AAFTE'!$C:$I,7,FALSE)</f>
        <v>397.63</v>
      </c>
      <c r="I667" s="112">
        <f>IFERROR(IF(OR(G667="yes",F667= "yes"),VLOOKUP(C667,Summary!$B:$J,6,0),0),0)</f>
        <v>0</v>
      </c>
      <c r="J667" s="111">
        <f t="shared" si="132"/>
        <v>397.63</v>
      </c>
      <c r="K667" s="91">
        <f>VLOOKUP($A667,'2022-23 Salary &amp; Benefits'!$A:$I,3,FALSE)</f>
        <v>1.0900000000000001</v>
      </c>
      <c r="L667" s="91">
        <f>VLOOKUP($A667,'2022-23 Salary &amp; Benefits'!$A:$I,4,FALSE)</f>
        <v>1.0900000000000001</v>
      </c>
      <c r="M667" s="101">
        <f t="shared" si="127"/>
        <v>397.63</v>
      </c>
      <c r="N667" s="24">
        <v>15</v>
      </c>
      <c r="O667" s="26">
        <f t="shared" si="130"/>
        <v>26.508666666666667</v>
      </c>
      <c r="P667" s="24">
        <v>1.1000000000000001</v>
      </c>
      <c r="Q667" s="24">
        <v>36</v>
      </c>
      <c r="R667" s="27">
        <f t="shared" si="131"/>
        <v>1049.7432000000001</v>
      </c>
      <c r="S667" s="102">
        <f t="shared" si="133"/>
        <v>1.1659999999999999</v>
      </c>
      <c r="T667" s="21">
        <f>VLOOKUP($A667,'2022-23 Salary &amp; Benefits'!$A:$I,5,FALSE)</f>
        <v>68937</v>
      </c>
      <c r="U667" s="21">
        <f>VLOOKUP($A667,'2022-23 Salary &amp; Benefits'!$A:$I,6,FALSE)</f>
        <v>72728</v>
      </c>
      <c r="V667" s="22">
        <f t="shared" si="134"/>
        <v>87614.79</v>
      </c>
      <c r="W667" s="22">
        <f t="shared" si="135"/>
        <v>4818.1300000000047</v>
      </c>
      <c r="X667" s="22">
        <f>'2022-23 Salary &amp; Benefits'!$G$6</f>
        <v>12558.24</v>
      </c>
      <c r="Y667" s="23">
        <f>'2022-23 Salary &amp; Benefits'!$H$6</f>
        <v>0.2298</v>
      </c>
      <c r="Z667" s="23">
        <f>'2022-23 Salary &amp; Benefits'!$I$6</f>
        <v>0.22339999999999999</v>
      </c>
      <c r="AA667" s="22">
        <f t="shared" si="136"/>
        <v>35853.160000000003</v>
      </c>
      <c r="AB667" s="22">
        <f t="shared" si="137"/>
        <v>1540.55</v>
      </c>
      <c r="AC667" s="22">
        <f t="shared" si="138"/>
        <v>344.16</v>
      </c>
      <c r="AD667" s="22">
        <f t="shared" si="128"/>
        <v>1884.71</v>
      </c>
      <c r="AE667" s="22">
        <f t="shared" si="129"/>
        <v>130170.79000000001</v>
      </c>
      <c r="AF667" s="19" t="str">
        <f>VLOOKUP(C667,'2021-22 School Level AAFTE'!C:N,12,FALSE)</f>
        <v>No</v>
      </c>
    </row>
    <row r="668" spans="1:284" s="19" customFormat="1">
      <c r="A668" s="97" t="s">
        <v>2533</v>
      </c>
      <c r="B668" s="97" t="s">
        <v>2088</v>
      </c>
      <c r="C668" s="95">
        <v>5464</v>
      </c>
      <c r="D668" s="95" t="s">
        <v>2095</v>
      </c>
      <c r="E668" s="129">
        <f>VLOOKUP($C668,'2021-22 School Level AAFTE'!$C:$Z,11,FALSE)</f>
        <v>0.49036666666666667</v>
      </c>
      <c r="F668" s="129" t="str">
        <f>VLOOKUP($C668,'2021-22 School Level AAFTE'!$C:$Z,8,FALSE)</f>
        <v>No</v>
      </c>
      <c r="G668" s="129" t="str">
        <f>VLOOKUP($C668,'2021-22 School Level AAFTE'!$C:$Z,12,FALSE)</f>
        <v>No</v>
      </c>
      <c r="H668" s="127">
        <f>VLOOKUP($C668,'2021-22 School Level AAFTE'!$C:$I,7,FALSE)</f>
        <v>34.43</v>
      </c>
      <c r="I668" s="112">
        <f>IFERROR(IF(OR(G668="yes",F668= "yes"),VLOOKUP(C668,Summary!$B:$J,6,0),0),0)</f>
        <v>0</v>
      </c>
      <c r="J668" s="111">
        <f t="shared" si="132"/>
        <v>0</v>
      </c>
      <c r="K668" s="91">
        <f>VLOOKUP($A668,'2022-23 Salary &amp; Benefits'!$A:$I,3,FALSE)</f>
        <v>1.0900000000000001</v>
      </c>
      <c r="L668" s="91">
        <f>VLOOKUP($A668,'2022-23 Salary &amp; Benefits'!$A:$I,4,FALSE)</f>
        <v>1.0900000000000001</v>
      </c>
      <c r="M668" s="101">
        <f t="shared" si="127"/>
        <v>0</v>
      </c>
      <c r="N668" s="24">
        <v>15</v>
      </c>
      <c r="O668" s="26">
        <f t="shared" si="130"/>
        <v>0</v>
      </c>
      <c r="P668" s="24">
        <v>1.1000000000000001</v>
      </c>
      <c r="Q668" s="24">
        <v>36</v>
      </c>
      <c r="R668" s="27">
        <f t="shared" si="131"/>
        <v>0</v>
      </c>
      <c r="S668" s="102">
        <f t="shared" si="133"/>
        <v>0</v>
      </c>
      <c r="T668" s="21">
        <f>VLOOKUP($A668,'2022-23 Salary &amp; Benefits'!$A:$I,5,FALSE)</f>
        <v>68937</v>
      </c>
      <c r="U668" s="21">
        <f>VLOOKUP($A668,'2022-23 Salary &amp; Benefits'!$A:$I,6,FALSE)</f>
        <v>72728</v>
      </c>
      <c r="V668" s="22">
        <f t="shared" si="134"/>
        <v>0</v>
      </c>
      <c r="W668" s="22">
        <f t="shared" si="135"/>
        <v>0</v>
      </c>
      <c r="X668" s="22">
        <f>'2022-23 Salary &amp; Benefits'!$G$6</f>
        <v>12558.24</v>
      </c>
      <c r="Y668" s="23">
        <f>'2022-23 Salary &amp; Benefits'!$H$6</f>
        <v>0.2298</v>
      </c>
      <c r="Z668" s="23">
        <f>'2022-23 Salary &amp; Benefits'!$I$6</f>
        <v>0.22339999999999999</v>
      </c>
      <c r="AA668" s="22">
        <f t="shared" si="136"/>
        <v>0</v>
      </c>
      <c r="AB668" s="22">
        <f t="shared" si="137"/>
        <v>0</v>
      </c>
      <c r="AC668" s="22">
        <f t="shared" si="138"/>
        <v>0</v>
      </c>
      <c r="AD668" s="22">
        <f t="shared" si="128"/>
        <v>0</v>
      </c>
      <c r="AE668" s="22">
        <f t="shared" si="129"/>
        <v>0</v>
      </c>
      <c r="AF668" s="19" t="str">
        <f>VLOOKUP(C668,'2021-22 School Level AAFTE'!C:N,12,FALSE)</f>
        <v>No</v>
      </c>
    </row>
    <row r="669" spans="1:284" s="19" customFormat="1">
      <c r="A669" s="97" t="s">
        <v>2533</v>
      </c>
      <c r="B669" s="97" t="s">
        <v>2088</v>
      </c>
      <c r="C669" s="95">
        <v>5579</v>
      </c>
      <c r="D669" s="95" t="s">
        <v>2838</v>
      </c>
      <c r="E669" s="129">
        <f>VLOOKUP($C669,'2021-22 School Level AAFTE'!$C:$Z,11,FALSE)</f>
        <v>0.42895</v>
      </c>
      <c r="F669" s="129" t="str">
        <f>VLOOKUP($C669,'2021-22 School Level AAFTE'!$C:$Z,8,FALSE)</f>
        <v>No</v>
      </c>
      <c r="G669" s="129" t="str">
        <f>VLOOKUP($C669,'2021-22 School Level AAFTE'!$C:$Z,12,FALSE)</f>
        <v>Yes</v>
      </c>
      <c r="H669" s="127">
        <f>VLOOKUP($C669,'2021-22 School Level AAFTE'!$C:$I,7,FALSE)</f>
        <v>107.89</v>
      </c>
      <c r="I669" s="112">
        <f>IFERROR(IF(OR(G669="yes",F669= "yes"),VLOOKUP(C669,Summary!$B:$J,6,0),0),0)</f>
        <v>0</v>
      </c>
      <c r="J669" s="111">
        <f t="shared" si="132"/>
        <v>107.89</v>
      </c>
      <c r="K669" s="91">
        <f>VLOOKUP($A669,'2022-23 Salary &amp; Benefits'!$A:$I,3,FALSE)</f>
        <v>1.0900000000000001</v>
      </c>
      <c r="L669" s="91">
        <f>VLOOKUP($A669,'2022-23 Salary &amp; Benefits'!$A:$I,4,FALSE)</f>
        <v>1.0900000000000001</v>
      </c>
      <c r="M669" s="39">
        <f t="shared" si="127"/>
        <v>107.89</v>
      </c>
      <c r="N669" s="24">
        <v>15</v>
      </c>
      <c r="O669" s="26">
        <f t="shared" si="130"/>
        <v>7.1926666666666668</v>
      </c>
      <c r="P669" s="24">
        <v>1.1000000000000001</v>
      </c>
      <c r="Q669" s="24">
        <v>36</v>
      </c>
      <c r="R669" s="27">
        <f t="shared" si="131"/>
        <v>284.82960000000003</v>
      </c>
      <c r="S669" s="102">
        <f t="shared" si="133"/>
        <v>0.316</v>
      </c>
      <c r="T669" s="21">
        <f>VLOOKUP($A669,'2022-23 Salary &amp; Benefits'!$A:$I,5,FALSE)</f>
        <v>68937</v>
      </c>
      <c r="U669" s="21">
        <f>VLOOKUP($A669,'2022-23 Salary &amp; Benefits'!$A:$I,6,FALSE)</f>
        <v>72728</v>
      </c>
      <c r="V669" s="22">
        <f t="shared" si="134"/>
        <v>23744.66</v>
      </c>
      <c r="W669" s="22">
        <f t="shared" si="135"/>
        <v>1305.7700000000004</v>
      </c>
      <c r="X669" s="22">
        <f>'2022-23 Salary &amp; Benefits'!$G$6</f>
        <v>12558.24</v>
      </c>
      <c r="Y669" s="23">
        <f>'2022-23 Salary &amp; Benefits'!$H$6</f>
        <v>0.2298</v>
      </c>
      <c r="Z669" s="23">
        <f>'2022-23 Salary &amp; Benefits'!$I$6</f>
        <v>0.22339999999999999</v>
      </c>
      <c r="AA669" s="22">
        <f t="shared" si="136"/>
        <v>9716.64</v>
      </c>
      <c r="AB669" s="22">
        <f t="shared" si="137"/>
        <v>417.51</v>
      </c>
      <c r="AC669" s="22">
        <f t="shared" si="138"/>
        <v>93.27</v>
      </c>
      <c r="AD669" s="22">
        <f t="shared" si="128"/>
        <v>510.78</v>
      </c>
      <c r="AE669" s="22">
        <f t="shared" si="129"/>
        <v>35277.850000000006</v>
      </c>
      <c r="AF669" s="205" t="s">
        <v>3065</v>
      </c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</row>
    <row r="670" spans="1:284" s="19" customFormat="1">
      <c r="A670" s="97" t="s">
        <v>2533</v>
      </c>
      <c r="B670" s="97" t="s">
        <v>2088</v>
      </c>
      <c r="C670" s="95">
        <v>5655</v>
      </c>
      <c r="D670" s="95" t="s">
        <v>2970</v>
      </c>
      <c r="E670" s="129">
        <f>VLOOKUP($C670,'2021-22 School Level AAFTE'!$C:$Z,11,FALSE)</f>
        <v>0.42470000000000002</v>
      </c>
      <c r="F670" s="129" t="str">
        <f>VLOOKUP($C670,'2021-22 School Level AAFTE'!$C:$Z,8,FALSE)</f>
        <v>No</v>
      </c>
      <c r="G670" s="129" t="str">
        <f>VLOOKUP($C670,'2021-22 School Level AAFTE'!$C:$Z,12,FALSE)</f>
        <v>No</v>
      </c>
      <c r="H670" s="127">
        <f>VLOOKUP($C670,'2021-22 School Level AAFTE'!$C:$I,7,FALSE)</f>
        <v>81.430000000000007</v>
      </c>
      <c r="I670" s="112">
        <f>IFERROR(IF(OR(G670="yes",F670= "yes"),VLOOKUP(C670,Summary!$B:$J,6,0),0),0)</f>
        <v>0</v>
      </c>
      <c r="J670" s="111">
        <f t="shared" si="132"/>
        <v>0</v>
      </c>
      <c r="K670" s="91">
        <f>VLOOKUP($A670,'2022-23 Salary &amp; Benefits'!$A:$I,3,FALSE)</f>
        <v>1.0900000000000001</v>
      </c>
      <c r="L670" s="91">
        <f>VLOOKUP($A670,'2022-23 Salary &amp; Benefits'!$A:$I,4,FALSE)</f>
        <v>1.0900000000000001</v>
      </c>
      <c r="M670" s="39">
        <f t="shared" si="127"/>
        <v>0</v>
      </c>
      <c r="N670" s="24">
        <v>15</v>
      </c>
      <c r="O670" s="26">
        <f t="shared" si="130"/>
        <v>0</v>
      </c>
      <c r="P670" s="24">
        <v>1.1000000000000001</v>
      </c>
      <c r="Q670" s="24">
        <v>36</v>
      </c>
      <c r="R670" s="27">
        <f t="shared" si="131"/>
        <v>0</v>
      </c>
      <c r="S670" s="102">
        <f t="shared" si="133"/>
        <v>0</v>
      </c>
      <c r="T670" s="21">
        <f>VLOOKUP($A670,'2022-23 Salary &amp; Benefits'!$A:$I,5,FALSE)</f>
        <v>68937</v>
      </c>
      <c r="U670" s="21">
        <f>VLOOKUP($A670,'2022-23 Salary &amp; Benefits'!$A:$I,6,FALSE)</f>
        <v>72728</v>
      </c>
      <c r="V670" s="22">
        <f t="shared" si="134"/>
        <v>0</v>
      </c>
      <c r="W670" s="22">
        <f t="shared" si="135"/>
        <v>0</v>
      </c>
      <c r="X670" s="22">
        <f>'2022-23 Salary &amp; Benefits'!$G$6</f>
        <v>12558.24</v>
      </c>
      <c r="Y670" s="23">
        <f>'2022-23 Salary &amp; Benefits'!$H$6</f>
        <v>0.2298</v>
      </c>
      <c r="Z670" s="23">
        <f>'2022-23 Salary &amp; Benefits'!$I$6</f>
        <v>0.22339999999999999</v>
      </c>
      <c r="AA670" s="22">
        <f t="shared" si="136"/>
        <v>0</v>
      </c>
      <c r="AB670" s="22">
        <f t="shared" si="137"/>
        <v>0</v>
      </c>
      <c r="AC670" s="22">
        <f t="shared" si="138"/>
        <v>0</v>
      </c>
      <c r="AD670" s="22">
        <f t="shared" si="128"/>
        <v>0</v>
      </c>
      <c r="AE670" s="22">
        <f t="shared" si="129"/>
        <v>0</v>
      </c>
      <c r="AF670" s="19" t="str">
        <f>VLOOKUP(C670,'2021-22 School Level AAFTE'!C:N,12,FALSE)</f>
        <v>No</v>
      </c>
    </row>
    <row r="671" spans="1:284" s="19" customFormat="1">
      <c r="A671" s="97" t="s">
        <v>2452</v>
      </c>
      <c r="B671" s="97" t="s">
        <v>1516</v>
      </c>
      <c r="C671" s="95">
        <v>2773</v>
      </c>
      <c r="D671" s="95" t="s">
        <v>1517</v>
      </c>
      <c r="E671" s="129">
        <f>VLOOKUP($C671,'2021-22 School Level AAFTE'!$C:$Z,11,FALSE)</f>
        <v>0.42066666666666669</v>
      </c>
      <c r="F671" s="129" t="str">
        <f>VLOOKUP($C671,'2021-22 School Level AAFTE'!$C:$Z,8,FALSE)</f>
        <v>No</v>
      </c>
      <c r="G671" s="129" t="str">
        <f>VLOOKUP($C671,'2021-22 School Level AAFTE'!$C:$Z,12,FALSE)</f>
        <v>No</v>
      </c>
      <c r="H671" s="127">
        <f>VLOOKUP($C671,'2021-22 School Level AAFTE'!$C:$I,7,FALSE)</f>
        <v>851.02</v>
      </c>
      <c r="I671" s="112">
        <f>IFERROR(IF(OR(G671="yes",F671= "yes"),VLOOKUP(C671,Summary!$B:$J,6,0),0),0)</f>
        <v>0</v>
      </c>
      <c r="J671" s="111">
        <f t="shared" si="132"/>
        <v>0</v>
      </c>
      <c r="K671" s="91">
        <f>VLOOKUP($A671,'2022-23 Salary &amp; Benefits'!$A:$I,3,FALSE)</f>
        <v>1.1200000000000001</v>
      </c>
      <c r="L671" s="91">
        <f>VLOOKUP($A671,'2022-23 Salary &amp; Benefits'!$A:$I,4,FALSE)</f>
        <v>1.1200000000000001</v>
      </c>
      <c r="M671" s="39">
        <f t="shared" si="127"/>
        <v>0</v>
      </c>
      <c r="N671" s="24">
        <v>15</v>
      </c>
      <c r="O671" s="26">
        <f t="shared" si="130"/>
        <v>0</v>
      </c>
      <c r="P671" s="24">
        <v>1.1000000000000001</v>
      </c>
      <c r="Q671" s="24">
        <v>36</v>
      </c>
      <c r="R671" s="27">
        <f t="shared" si="131"/>
        <v>0</v>
      </c>
      <c r="S671" s="102">
        <f t="shared" si="133"/>
        <v>0</v>
      </c>
      <c r="T671" s="21">
        <f>VLOOKUP($A671,'2022-23 Salary &amp; Benefits'!$A:$I,5,FALSE)</f>
        <v>68937</v>
      </c>
      <c r="U671" s="21">
        <f>VLOOKUP($A671,'2022-23 Salary &amp; Benefits'!$A:$I,6,FALSE)</f>
        <v>72728</v>
      </c>
      <c r="V671" s="22">
        <f t="shared" si="134"/>
        <v>0</v>
      </c>
      <c r="W671" s="22">
        <f t="shared" si="135"/>
        <v>0</v>
      </c>
      <c r="X671" s="22">
        <f>'2022-23 Salary &amp; Benefits'!$G$6</f>
        <v>12558.24</v>
      </c>
      <c r="Y671" s="23">
        <f>'2022-23 Salary &amp; Benefits'!$H$6</f>
        <v>0.2298</v>
      </c>
      <c r="Z671" s="23">
        <f>'2022-23 Salary &amp; Benefits'!$I$6</f>
        <v>0.22339999999999999</v>
      </c>
      <c r="AA671" s="22">
        <f t="shared" si="136"/>
        <v>0</v>
      </c>
      <c r="AB671" s="22">
        <f t="shared" si="137"/>
        <v>0</v>
      </c>
      <c r="AC671" s="22">
        <f t="shared" si="138"/>
        <v>0</v>
      </c>
      <c r="AD671" s="22">
        <f t="shared" si="128"/>
        <v>0</v>
      </c>
      <c r="AE671" s="22">
        <f t="shared" si="129"/>
        <v>0</v>
      </c>
      <c r="AF671" s="19" t="str">
        <f>VLOOKUP(C671,'2021-22 School Level AAFTE'!C:N,12,FALSE)</f>
        <v>No</v>
      </c>
    </row>
    <row r="672" spans="1:284" s="19" customFormat="1">
      <c r="A672" s="97" t="s">
        <v>2452</v>
      </c>
      <c r="B672" s="97" t="s">
        <v>1516</v>
      </c>
      <c r="C672" s="95">
        <v>2878</v>
      </c>
      <c r="D672" s="95" t="s">
        <v>1518</v>
      </c>
      <c r="E672" s="129">
        <f>VLOOKUP($C672,'2021-22 School Level AAFTE'!$C:$Z,11,FALSE)</f>
        <v>0.37736666666666663</v>
      </c>
      <c r="F672" s="129" t="str">
        <f>VLOOKUP($C672,'2021-22 School Level AAFTE'!$C:$Z,8,FALSE)</f>
        <v>No</v>
      </c>
      <c r="G672" s="129" t="str">
        <f>VLOOKUP($C672,'2021-22 School Level AAFTE'!$C:$Z,12,FALSE)</f>
        <v>No</v>
      </c>
      <c r="H672" s="127">
        <f>VLOOKUP($C672,'2021-22 School Level AAFTE'!$C:$I,7,FALSE)</f>
        <v>426.14</v>
      </c>
      <c r="I672" s="112">
        <f>IFERROR(IF(OR(G672="yes",F672= "yes"),VLOOKUP(C672,Summary!$B:$J,6,0),0),0)</f>
        <v>0</v>
      </c>
      <c r="J672" s="111">
        <f t="shared" si="132"/>
        <v>0</v>
      </c>
      <c r="K672" s="91">
        <f>VLOOKUP($A672,'2022-23 Salary &amp; Benefits'!$A:$I,3,FALSE)</f>
        <v>1.1200000000000001</v>
      </c>
      <c r="L672" s="91">
        <f>VLOOKUP($A672,'2022-23 Salary &amp; Benefits'!$A:$I,4,FALSE)</f>
        <v>1.1200000000000001</v>
      </c>
      <c r="M672" s="39">
        <f t="shared" si="127"/>
        <v>0</v>
      </c>
      <c r="N672" s="24">
        <v>15</v>
      </c>
      <c r="O672" s="26">
        <f t="shared" si="130"/>
        <v>0</v>
      </c>
      <c r="P672" s="24">
        <v>1.1000000000000001</v>
      </c>
      <c r="Q672" s="24">
        <v>36</v>
      </c>
      <c r="R672" s="27">
        <f t="shared" si="131"/>
        <v>0</v>
      </c>
      <c r="S672" s="102">
        <f t="shared" si="133"/>
        <v>0</v>
      </c>
      <c r="T672" s="21">
        <f>VLOOKUP($A672,'2022-23 Salary &amp; Benefits'!$A:$I,5,FALSE)</f>
        <v>68937</v>
      </c>
      <c r="U672" s="21">
        <f>VLOOKUP($A672,'2022-23 Salary &amp; Benefits'!$A:$I,6,FALSE)</f>
        <v>72728</v>
      </c>
      <c r="V672" s="22">
        <f t="shared" si="134"/>
        <v>0</v>
      </c>
      <c r="W672" s="22">
        <f t="shared" si="135"/>
        <v>0</v>
      </c>
      <c r="X672" s="22">
        <f>'2022-23 Salary &amp; Benefits'!$G$6</f>
        <v>12558.24</v>
      </c>
      <c r="Y672" s="23">
        <f>'2022-23 Salary &amp; Benefits'!$H$6</f>
        <v>0.2298</v>
      </c>
      <c r="Z672" s="23">
        <f>'2022-23 Salary &amp; Benefits'!$I$6</f>
        <v>0.22339999999999999</v>
      </c>
      <c r="AA672" s="22">
        <f t="shared" si="136"/>
        <v>0</v>
      </c>
      <c r="AB672" s="22">
        <f t="shared" si="137"/>
        <v>0</v>
      </c>
      <c r="AC672" s="22">
        <f t="shared" si="138"/>
        <v>0</v>
      </c>
      <c r="AD672" s="22">
        <f t="shared" si="128"/>
        <v>0</v>
      </c>
      <c r="AE672" s="22">
        <f t="shared" si="129"/>
        <v>0</v>
      </c>
      <c r="AF672" s="19" t="str">
        <f>VLOOKUP(C672,'2021-22 School Level AAFTE'!C:N,12,FALSE)</f>
        <v>No</v>
      </c>
    </row>
    <row r="673" spans="1:284" s="19" customFormat="1">
      <c r="A673" s="97" t="s">
        <v>2452</v>
      </c>
      <c r="B673" s="97" t="s">
        <v>1516</v>
      </c>
      <c r="C673" s="95">
        <v>3798</v>
      </c>
      <c r="D673" s="95" t="s">
        <v>1519</v>
      </c>
      <c r="E673" s="129">
        <f>VLOOKUP($C673,'2021-22 School Level AAFTE'!$C:$Z,11,FALSE)</f>
        <v>0.47510000000000002</v>
      </c>
      <c r="F673" s="129" t="str">
        <f>VLOOKUP($C673,'2021-22 School Level AAFTE'!$C:$Z,8,FALSE)</f>
        <v>No</v>
      </c>
      <c r="G673" s="129" t="str">
        <f>VLOOKUP($C673,'2021-22 School Level AAFTE'!$C:$Z,12,FALSE)</f>
        <v>No</v>
      </c>
      <c r="H673" s="127">
        <f>VLOOKUP($C673,'2021-22 School Level AAFTE'!$C:$I,7,FALSE)</f>
        <v>588.03</v>
      </c>
      <c r="I673" s="112">
        <f>IFERROR(IF(OR(G673="yes",F673= "yes"),VLOOKUP(C673,Summary!$B:$J,6,0),0),0)</f>
        <v>0</v>
      </c>
      <c r="J673" s="111">
        <f t="shared" si="132"/>
        <v>0</v>
      </c>
      <c r="K673" s="91">
        <f>VLOOKUP($A673,'2022-23 Salary &amp; Benefits'!$A:$I,3,FALSE)</f>
        <v>1.1200000000000001</v>
      </c>
      <c r="L673" s="91">
        <f>VLOOKUP($A673,'2022-23 Salary &amp; Benefits'!$A:$I,4,FALSE)</f>
        <v>1.1200000000000001</v>
      </c>
      <c r="M673" s="39">
        <f t="shared" si="127"/>
        <v>0</v>
      </c>
      <c r="N673" s="24">
        <v>15</v>
      </c>
      <c r="O673" s="26">
        <f t="shared" si="130"/>
        <v>0</v>
      </c>
      <c r="P673" s="24">
        <v>1.1000000000000001</v>
      </c>
      <c r="Q673" s="24">
        <v>36</v>
      </c>
      <c r="R673" s="27">
        <f t="shared" si="131"/>
        <v>0</v>
      </c>
      <c r="S673" s="102">
        <f t="shared" si="133"/>
        <v>0</v>
      </c>
      <c r="T673" s="21">
        <f>VLOOKUP($A673,'2022-23 Salary &amp; Benefits'!$A:$I,5,FALSE)</f>
        <v>68937</v>
      </c>
      <c r="U673" s="21">
        <f>VLOOKUP($A673,'2022-23 Salary &amp; Benefits'!$A:$I,6,FALSE)</f>
        <v>72728</v>
      </c>
      <c r="V673" s="22">
        <f t="shared" si="134"/>
        <v>0</v>
      </c>
      <c r="W673" s="22">
        <f t="shared" si="135"/>
        <v>0</v>
      </c>
      <c r="X673" s="22">
        <f>'2022-23 Salary &amp; Benefits'!$G$6</f>
        <v>12558.24</v>
      </c>
      <c r="Y673" s="23">
        <f>'2022-23 Salary &amp; Benefits'!$H$6</f>
        <v>0.2298</v>
      </c>
      <c r="Z673" s="23">
        <f>'2022-23 Salary &amp; Benefits'!$I$6</f>
        <v>0.22339999999999999</v>
      </c>
      <c r="AA673" s="22">
        <f t="shared" si="136"/>
        <v>0</v>
      </c>
      <c r="AB673" s="22">
        <f t="shared" si="137"/>
        <v>0</v>
      </c>
      <c r="AC673" s="22">
        <f t="shared" si="138"/>
        <v>0</v>
      </c>
      <c r="AD673" s="22">
        <f t="shared" si="128"/>
        <v>0</v>
      </c>
      <c r="AE673" s="22">
        <f t="shared" si="129"/>
        <v>0</v>
      </c>
      <c r="AF673" s="19" t="str">
        <f>VLOOKUP(C673,'2021-22 School Level AAFTE'!C:N,12,FALSE)</f>
        <v>No</v>
      </c>
    </row>
    <row r="674" spans="1:284" s="19" customFormat="1">
      <c r="A674" s="97" t="s">
        <v>2452</v>
      </c>
      <c r="B674" s="97" t="s">
        <v>1516</v>
      </c>
      <c r="C674" s="95">
        <v>4557</v>
      </c>
      <c r="D674" s="95" t="s">
        <v>1520</v>
      </c>
      <c r="E674" s="129">
        <f>VLOOKUP($C674,'2021-22 School Level AAFTE'!$C:$Z,11,FALSE)</f>
        <v>0.41749999999999998</v>
      </c>
      <c r="F674" s="129" t="str">
        <f>VLOOKUP($C674,'2021-22 School Level AAFTE'!$C:$Z,8,FALSE)</f>
        <v>No</v>
      </c>
      <c r="G674" s="129" t="str">
        <f>VLOOKUP($C674,'2021-22 School Level AAFTE'!$C:$Z,12,FALSE)</f>
        <v>No</v>
      </c>
      <c r="H674" s="127">
        <f>VLOOKUP($C674,'2021-22 School Level AAFTE'!$C:$I,7,FALSE)</f>
        <v>456.87</v>
      </c>
      <c r="I674" s="112">
        <f>IFERROR(IF(OR(G674="yes",F674= "yes"),VLOOKUP(C674,Summary!$B:$J,6,0),0),0)</f>
        <v>0</v>
      </c>
      <c r="J674" s="111">
        <f t="shared" si="132"/>
        <v>0</v>
      </c>
      <c r="K674" s="91">
        <f>VLOOKUP($A674,'2022-23 Salary &amp; Benefits'!$A:$I,3,FALSE)</f>
        <v>1.1200000000000001</v>
      </c>
      <c r="L674" s="91">
        <f>VLOOKUP($A674,'2022-23 Salary &amp; Benefits'!$A:$I,4,FALSE)</f>
        <v>1.1200000000000001</v>
      </c>
      <c r="M674" s="101">
        <f t="shared" si="127"/>
        <v>0</v>
      </c>
      <c r="N674" s="24">
        <v>15</v>
      </c>
      <c r="O674" s="26">
        <f t="shared" si="130"/>
        <v>0</v>
      </c>
      <c r="P674" s="24">
        <v>1.1000000000000001</v>
      </c>
      <c r="Q674" s="24">
        <v>36</v>
      </c>
      <c r="R674" s="27">
        <f t="shared" si="131"/>
        <v>0</v>
      </c>
      <c r="S674" s="102">
        <f t="shared" si="133"/>
        <v>0</v>
      </c>
      <c r="T674" s="21">
        <f>VLOOKUP($A674,'2022-23 Salary &amp; Benefits'!$A:$I,5,FALSE)</f>
        <v>68937</v>
      </c>
      <c r="U674" s="21">
        <f>VLOOKUP($A674,'2022-23 Salary &amp; Benefits'!$A:$I,6,FALSE)</f>
        <v>72728</v>
      </c>
      <c r="V674" s="22">
        <f t="shared" si="134"/>
        <v>0</v>
      </c>
      <c r="W674" s="22">
        <f t="shared" si="135"/>
        <v>0</v>
      </c>
      <c r="X674" s="22">
        <f>'2022-23 Salary &amp; Benefits'!$G$6</f>
        <v>12558.24</v>
      </c>
      <c r="Y674" s="23">
        <f>'2022-23 Salary &amp; Benefits'!$H$6</f>
        <v>0.2298</v>
      </c>
      <c r="Z674" s="23">
        <f>'2022-23 Salary &amp; Benefits'!$I$6</f>
        <v>0.22339999999999999</v>
      </c>
      <c r="AA674" s="22">
        <f t="shared" si="136"/>
        <v>0</v>
      </c>
      <c r="AB674" s="22">
        <f t="shared" si="137"/>
        <v>0</v>
      </c>
      <c r="AC674" s="22">
        <f t="shared" si="138"/>
        <v>0</v>
      </c>
      <c r="AD674" s="22">
        <f t="shared" si="128"/>
        <v>0</v>
      </c>
      <c r="AE674" s="22">
        <f t="shared" si="129"/>
        <v>0</v>
      </c>
      <c r="AF674" s="19" t="str">
        <f>VLOOKUP(C674,'2021-22 School Level AAFTE'!C:N,12,FALSE)</f>
        <v>No</v>
      </c>
    </row>
    <row r="675" spans="1:284" s="19" customFormat="1">
      <c r="A675" s="97" t="s">
        <v>2452</v>
      </c>
      <c r="B675" s="97" t="s">
        <v>1516</v>
      </c>
      <c r="C675" s="95">
        <v>4582</v>
      </c>
      <c r="D675" s="95" t="s">
        <v>1521</v>
      </c>
      <c r="E675" s="129">
        <f>VLOOKUP($C675,'2021-22 School Level AAFTE'!$C:$Z,11,FALSE)</f>
        <v>0.47033333333333333</v>
      </c>
      <c r="F675" s="129" t="str">
        <f>VLOOKUP($C675,'2021-22 School Level AAFTE'!$C:$Z,8,FALSE)</f>
        <v>No</v>
      </c>
      <c r="G675" s="129" t="str">
        <f>VLOOKUP($C675,'2021-22 School Level AAFTE'!$C:$Z,12,FALSE)</f>
        <v>No</v>
      </c>
      <c r="H675" s="127">
        <f>VLOOKUP($C675,'2021-22 School Level AAFTE'!$C:$I,7,FALSE)</f>
        <v>568.72</v>
      </c>
      <c r="I675" s="112">
        <f>IFERROR(IF(OR(G675="yes",F675= "yes"),VLOOKUP(C675,Summary!$B:$J,6,0),0),0)</f>
        <v>0</v>
      </c>
      <c r="J675" s="111">
        <f t="shared" si="132"/>
        <v>0</v>
      </c>
      <c r="K675" s="91">
        <f>VLOOKUP($A675,'2022-23 Salary &amp; Benefits'!$A:$I,3,FALSE)</f>
        <v>1.1200000000000001</v>
      </c>
      <c r="L675" s="91">
        <f>VLOOKUP($A675,'2022-23 Salary &amp; Benefits'!$A:$I,4,FALSE)</f>
        <v>1.1200000000000001</v>
      </c>
      <c r="M675" s="101">
        <f t="shared" si="127"/>
        <v>0</v>
      </c>
      <c r="N675" s="24">
        <v>15</v>
      </c>
      <c r="O675" s="26">
        <f t="shared" si="130"/>
        <v>0</v>
      </c>
      <c r="P675" s="24">
        <v>1.1000000000000001</v>
      </c>
      <c r="Q675" s="24">
        <v>36</v>
      </c>
      <c r="R675" s="27">
        <f t="shared" si="131"/>
        <v>0</v>
      </c>
      <c r="S675" s="102">
        <f t="shared" si="133"/>
        <v>0</v>
      </c>
      <c r="T675" s="21">
        <f>VLOOKUP($A675,'2022-23 Salary &amp; Benefits'!$A:$I,5,FALSE)</f>
        <v>68937</v>
      </c>
      <c r="U675" s="21">
        <f>VLOOKUP($A675,'2022-23 Salary &amp; Benefits'!$A:$I,6,FALSE)</f>
        <v>72728</v>
      </c>
      <c r="V675" s="22">
        <f t="shared" si="134"/>
        <v>0</v>
      </c>
      <c r="W675" s="22">
        <f t="shared" si="135"/>
        <v>0</v>
      </c>
      <c r="X675" s="22">
        <f>'2022-23 Salary &amp; Benefits'!$G$6</f>
        <v>12558.24</v>
      </c>
      <c r="Y675" s="23">
        <f>'2022-23 Salary &amp; Benefits'!$H$6</f>
        <v>0.2298</v>
      </c>
      <c r="Z675" s="23">
        <f>'2022-23 Salary &amp; Benefits'!$I$6</f>
        <v>0.22339999999999999</v>
      </c>
      <c r="AA675" s="22">
        <f t="shared" si="136"/>
        <v>0</v>
      </c>
      <c r="AB675" s="22">
        <f t="shared" si="137"/>
        <v>0</v>
      </c>
      <c r="AC675" s="22">
        <f t="shared" si="138"/>
        <v>0</v>
      </c>
      <c r="AD675" s="22">
        <f t="shared" si="128"/>
        <v>0</v>
      </c>
      <c r="AE675" s="22">
        <f t="shared" si="129"/>
        <v>0</v>
      </c>
      <c r="AF675" s="19" t="str">
        <f>VLOOKUP(C675,'2021-22 School Level AAFTE'!C:N,12,FALSE)</f>
        <v>No</v>
      </c>
    </row>
    <row r="676" spans="1:284" s="19" customFormat="1">
      <c r="A676" s="97" t="s">
        <v>2452</v>
      </c>
      <c r="B676" s="97" t="s">
        <v>1516</v>
      </c>
      <c r="C676" s="95">
        <v>5671</v>
      </c>
      <c r="D676" s="95" t="s">
        <v>3015</v>
      </c>
      <c r="E676" s="129">
        <f>VLOOKUP($C676,'2021-22 School Level AAFTE'!$C:$Z,11,FALSE)</f>
        <v>0.46989999999999998</v>
      </c>
      <c r="F676" s="129" t="str">
        <f>VLOOKUP($C676,'2021-22 School Level AAFTE'!$C:$Z,8,FALSE)</f>
        <v>No</v>
      </c>
      <c r="G676" s="129" t="str">
        <f>VLOOKUP($C676,'2021-22 School Level AAFTE'!$C:$Z,12,FALSE)</f>
        <v>Yes</v>
      </c>
      <c r="H676" s="127">
        <f>VLOOKUP($C676,'2021-22 School Level AAFTE'!$C:$I,7,FALSE)</f>
        <v>815.57</v>
      </c>
      <c r="I676" s="112">
        <f>IFERROR(IF(OR(G676="yes",F676= "yes"),VLOOKUP(C676,Summary!$B:$J,6,0),0),0)</f>
        <v>0</v>
      </c>
      <c r="J676" s="111">
        <f t="shared" si="132"/>
        <v>815.57</v>
      </c>
      <c r="K676" s="91">
        <f>VLOOKUP($A676,'2022-23 Salary &amp; Benefits'!$A:$I,3,FALSE)</f>
        <v>1.1200000000000001</v>
      </c>
      <c r="L676" s="91">
        <f>VLOOKUP($A676,'2022-23 Salary &amp; Benefits'!$A:$I,4,FALSE)</f>
        <v>1.1200000000000001</v>
      </c>
      <c r="M676" s="101">
        <f t="shared" si="127"/>
        <v>815.57</v>
      </c>
      <c r="N676" s="24">
        <v>15</v>
      </c>
      <c r="O676" s="26">
        <f t="shared" si="130"/>
        <v>54.37133333333334</v>
      </c>
      <c r="P676" s="24">
        <v>1.1000000000000001</v>
      </c>
      <c r="Q676" s="24">
        <v>36</v>
      </c>
      <c r="R676" s="27">
        <f t="shared" si="131"/>
        <v>2153.1048000000001</v>
      </c>
      <c r="S676" s="102">
        <f t="shared" si="133"/>
        <v>2.3919999999999999</v>
      </c>
      <c r="T676" s="21">
        <f>VLOOKUP($A676,'2022-23 Salary &amp; Benefits'!$A:$I,5,FALSE)</f>
        <v>68937</v>
      </c>
      <c r="U676" s="21">
        <f>VLOOKUP($A676,'2022-23 Salary &amp; Benefits'!$A:$I,6,FALSE)</f>
        <v>72728</v>
      </c>
      <c r="V676" s="22">
        <f t="shared" si="134"/>
        <v>184684.98</v>
      </c>
      <c r="W676" s="22">
        <f t="shared" si="135"/>
        <v>10156.239999999991</v>
      </c>
      <c r="X676" s="22">
        <f>'2022-23 Salary &amp; Benefits'!$G$6</f>
        <v>12558.24</v>
      </c>
      <c r="Y676" s="23">
        <f>'2022-23 Salary &amp; Benefits'!$H$6</f>
        <v>0.2298</v>
      </c>
      <c r="Z676" s="23">
        <f>'2022-23 Salary &amp; Benefits'!$I$6</f>
        <v>0.22339999999999999</v>
      </c>
      <c r="AA676" s="22">
        <f t="shared" si="136"/>
        <v>74748.820000000007</v>
      </c>
      <c r="AB676" s="22">
        <f t="shared" si="137"/>
        <v>3247.35</v>
      </c>
      <c r="AC676" s="22">
        <f t="shared" si="138"/>
        <v>725.46</v>
      </c>
      <c r="AD676" s="22">
        <f t="shared" si="128"/>
        <v>3972.81</v>
      </c>
      <c r="AE676" s="22">
        <f t="shared" si="129"/>
        <v>273562.85000000003</v>
      </c>
      <c r="AF676" s="19" t="str">
        <f>VLOOKUP(C676,'2021-22 School Level AAFTE'!C:N,12,FALSE)</f>
        <v>Yes</v>
      </c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</row>
    <row r="677" spans="1:284" s="19" customFormat="1">
      <c r="A677" s="97" t="s">
        <v>2267</v>
      </c>
      <c r="B677" s="97" t="s">
        <v>67</v>
      </c>
      <c r="C677" s="95">
        <v>2367</v>
      </c>
      <c r="D677" s="95" t="s">
        <v>68</v>
      </c>
      <c r="E677" s="129">
        <f>VLOOKUP($C677,'2021-22 School Level AAFTE'!$C:$Z,11,FALSE)</f>
        <v>0.72036666666666671</v>
      </c>
      <c r="F677" s="129" t="str">
        <f>VLOOKUP($C677,'2021-22 School Level AAFTE'!$C:$Z,8,FALSE)</f>
        <v>Yes</v>
      </c>
      <c r="G677" s="129" t="str">
        <f>VLOOKUP($C677,'2021-22 School Level AAFTE'!$C:$Z,12,FALSE)</f>
        <v>No</v>
      </c>
      <c r="H677" s="127">
        <f>VLOOKUP($C677,'2021-22 School Level AAFTE'!$C:$I,7,FALSE)</f>
        <v>269.26</v>
      </c>
      <c r="I677" s="112">
        <f>IFERROR(IF(OR(G677="yes",F677= "yes"),VLOOKUP(C677,Summary!$B:$J,6,0),0),0)</f>
        <v>0</v>
      </c>
      <c r="J677" s="111">
        <f t="shared" si="132"/>
        <v>269.26</v>
      </c>
      <c r="K677" s="91">
        <f>VLOOKUP($A677,'2022-23 Salary &amp; Benefits'!$A:$I,3,FALSE)</f>
        <v>1</v>
      </c>
      <c r="L677" s="91">
        <f>VLOOKUP($A677,'2022-23 Salary &amp; Benefits'!$A:$I,4,FALSE)</f>
        <v>1</v>
      </c>
      <c r="M677" s="101">
        <f t="shared" si="127"/>
        <v>269.26</v>
      </c>
      <c r="N677" s="24">
        <v>15</v>
      </c>
      <c r="O677" s="26">
        <f t="shared" si="130"/>
        <v>17.950666666666667</v>
      </c>
      <c r="P677" s="24">
        <v>1.1000000000000001</v>
      </c>
      <c r="Q677" s="24">
        <v>36</v>
      </c>
      <c r="R677" s="27">
        <f t="shared" si="131"/>
        <v>710.84640000000002</v>
      </c>
      <c r="S677" s="102">
        <f t="shared" si="133"/>
        <v>0.79</v>
      </c>
      <c r="T677" s="21">
        <f>VLOOKUP($A677,'2022-23 Salary &amp; Benefits'!$A:$I,5,FALSE)</f>
        <v>68937</v>
      </c>
      <c r="U677" s="21">
        <f>VLOOKUP($A677,'2022-23 Salary &amp; Benefits'!$A:$I,6,FALSE)</f>
        <v>72728</v>
      </c>
      <c r="V677" s="22">
        <f t="shared" si="134"/>
        <v>54460.23</v>
      </c>
      <c r="W677" s="22">
        <f t="shared" si="135"/>
        <v>2994.8899999999994</v>
      </c>
      <c r="X677" s="22">
        <f>'2022-23 Salary &amp; Benefits'!$G$6</f>
        <v>12558.24</v>
      </c>
      <c r="Y677" s="23">
        <f>'2022-23 Salary &amp; Benefits'!$H$6</f>
        <v>0.2298</v>
      </c>
      <c r="Z677" s="23">
        <f>'2022-23 Salary &amp; Benefits'!$I$6</f>
        <v>0.22339999999999999</v>
      </c>
      <c r="AA677" s="22">
        <f t="shared" si="136"/>
        <v>23105.03</v>
      </c>
      <c r="AB677" s="22">
        <f t="shared" si="137"/>
        <v>957.59</v>
      </c>
      <c r="AC677" s="22">
        <f t="shared" si="138"/>
        <v>213.93</v>
      </c>
      <c r="AD677" s="22">
        <f t="shared" si="128"/>
        <v>1171.52</v>
      </c>
      <c r="AE677" s="22">
        <f t="shared" si="129"/>
        <v>81731.670000000013</v>
      </c>
      <c r="AF677" s="19" t="str">
        <f>VLOOKUP(C677,'2021-22 School Level AAFTE'!C:N,12,FALSE)</f>
        <v>No</v>
      </c>
    </row>
    <row r="678" spans="1:284" s="19" customFormat="1">
      <c r="A678" s="97" t="s">
        <v>2267</v>
      </c>
      <c r="B678" s="97" t="s">
        <v>67</v>
      </c>
      <c r="C678" s="95">
        <v>3078</v>
      </c>
      <c r="D678" s="95" t="s">
        <v>69</v>
      </c>
      <c r="E678" s="129">
        <f>VLOOKUP($C678,'2021-22 School Level AAFTE'!$C:$Z,11,FALSE)</f>
        <v>0.76043333333333329</v>
      </c>
      <c r="F678" s="129" t="str">
        <f>VLOOKUP($C678,'2021-22 School Level AAFTE'!$C:$Z,8,FALSE)</f>
        <v>Yes</v>
      </c>
      <c r="G678" s="129" t="str">
        <f>VLOOKUP($C678,'2021-22 School Level AAFTE'!$C:$Z,12,FALSE)</f>
        <v>No</v>
      </c>
      <c r="H678" s="127">
        <f>VLOOKUP($C678,'2021-22 School Level AAFTE'!$C:$I,7,FALSE)</f>
        <v>347.17</v>
      </c>
      <c r="I678" s="112">
        <f>IFERROR(IF(OR(G678="yes",F678= "yes"),VLOOKUP(C678,Summary!$B:$J,6,0),0),0)</f>
        <v>0</v>
      </c>
      <c r="J678" s="111">
        <f t="shared" si="132"/>
        <v>347.17</v>
      </c>
      <c r="K678" s="91">
        <f>VLOOKUP($A678,'2022-23 Salary &amp; Benefits'!$A:$I,3,FALSE)</f>
        <v>1</v>
      </c>
      <c r="L678" s="91">
        <f>VLOOKUP($A678,'2022-23 Salary &amp; Benefits'!$A:$I,4,FALSE)</f>
        <v>1</v>
      </c>
      <c r="M678" s="101">
        <f t="shared" si="127"/>
        <v>347.17</v>
      </c>
      <c r="N678" s="24">
        <v>15</v>
      </c>
      <c r="O678" s="26">
        <f t="shared" si="130"/>
        <v>23.144666666666669</v>
      </c>
      <c r="P678" s="24">
        <v>1.1000000000000001</v>
      </c>
      <c r="Q678" s="24">
        <v>36</v>
      </c>
      <c r="R678" s="27">
        <f t="shared" si="131"/>
        <v>916.52880000000016</v>
      </c>
      <c r="S678" s="102">
        <f t="shared" si="133"/>
        <v>1.018</v>
      </c>
      <c r="T678" s="21">
        <f>VLOOKUP($A678,'2022-23 Salary &amp; Benefits'!$A:$I,5,FALSE)</f>
        <v>68937</v>
      </c>
      <c r="U678" s="21">
        <f>VLOOKUP($A678,'2022-23 Salary &amp; Benefits'!$A:$I,6,FALSE)</f>
        <v>72728</v>
      </c>
      <c r="V678" s="22">
        <f t="shared" si="134"/>
        <v>70177.87</v>
      </c>
      <c r="W678" s="22">
        <f t="shared" si="135"/>
        <v>3859.2300000000105</v>
      </c>
      <c r="X678" s="22">
        <f>'2022-23 Salary &amp; Benefits'!$G$6</f>
        <v>12558.24</v>
      </c>
      <c r="Y678" s="23">
        <f>'2022-23 Salary &amp; Benefits'!$H$6</f>
        <v>0.2298</v>
      </c>
      <c r="Z678" s="23">
        <f>'2022-23 Salary &amp; Benefits'!$I$6</f>
        <v>0.22339999999999999</v>
      </c>
      <c r="AA678" s="22">
        <f t="shared" si="136"/>
        <v>29773.31</v>
      </c>
      <c r="AB678" s="22">
        <f t="shared" si="137"/>
        <v>1233.95</v>
      </c>
      <c r="AC678" s="22">
        <f t="shared" si="138"/>
        <v>275.66000000000003</v>
      </c>
      <c r="AD678" s="22">
        <f t="shared" si="128"/>
        <v>1509.6100000000001</v>
      </c>
      <c r="AE678" s="22">
        <f t="shared" si="129"/>
        <v>105320.02</v>
      </c>
      <c r="AF678" s="19" t="str">
        <f>VLOOKUP(C678,'2021-22 School Level AAFTE'!C:N,12,FALSE)</f>
        <v>No</v>
      </c>
    </row>
    <row r="679" spans="1:284" s="19" customFormat="1">
      <c r="A679" s="97" t="s">
        <v>2267</v>
      </c>
      <c r="B679" s="97" t="s">
        <v>67</v>
      </c>
      <c r="C679" s="95">
        <v>4031</v>
      </c>
      <c r="D679" s="95" t="s">
        <v>70</v>
      </c>
      <c r="E679" s="129">
        <f>VLOOKUP($C679,'2021-22 School Level AAFTE'!$C:$Z,11,FALSE)</f>
        <v>0.79793333333333327</v>
      </c>
      <c r="F679" s="129" t="str">
        <f>VLOOKUP($C679,'2021-22 School Level AAFTE'!$C:$Z,8,FALSE)</f>
        <v>Yes</v>
      </c>
      <c r="G679" s="129" t="str">
        <f>VLOOKUP($C679,'2021-22 School Level AAFTE'!$C:$Z,12,FALSE)</f>
        <v>No</v>
      </c>
      <c r="H679" s="127">
        <f>VLOOKUP($C679,'2021-22 School Level AAFTE'!$C:$I,7,FALSE)</f>
        <v>227.24</v>
      </c>
      <c r="I679" s="112">
        <f>IFERROR(IF(OR(G679="yes",F679= "yes"),VLOOKUP(C679,Summary!$B:$J,6,0),0),0)</f>
        <v>0</v>
      </c>
      <c r="J679" s="111">
        <f t="shared" si="132"/>
        <v>227.24</v>
      </c>
      <c r="K679" s="91">
        <f>VLOOKUP($A679,'2022-23 Salary &amp; Benefits'!$A:$I,3,FALSE)</f>
        <v>1</v>
      </c>
      <c r="L679" s="91">
        <f>VLOOKUP($A679,'2022-23 Salary &amp; Benefits'!$A:$I,4,FALSE)</f>
        <v>1</v>
      </c>
      <c r="M679" s="101">
        <f t="shared" si="127"/>
        <v>227.24</v>
      </c>
      <c r="N679" s="24">
        <v>15</v>
      </c>
      <c r="O679" s="26">
        <f t="shared" si="130"/>
        <v>15.149333333333335</v>
      </c>
      <c r="P679" s="24">
        <v>1.1000000000000001</v>
      </c>
      <c r="Q679" s="24">
        <v>36</v>
      </c>
      <c r="R679" s="27">
        <f t="shared" si="131"/>
        <v>599.91360000000009</v>
      </c>
      <c r="S679" s="102">
        <f t="shared" si="133"/>
        <v>0.66700000000000004</v>
      </c>
      <c r="T679" s="21">
        <f>VLOOKUP($A679,'2022-23 Salary &amp; Benefits'!$A:$I,5,FALSE)</f>
        <v>68937</v>
      </c>
      <c r="U679" s="21">
        <f>VLOOKUP($A679,'2022-23 Salary &amp; Benefits'!$A:$I,6,FALSE)</f>
        <v>72728</v>
      </c>
      <c r="V679" s="22">
        <f t="shared" si="134"/>
        <v>45980.98</v>
      </c>
      <c r="W679" s="22">
        <f t="shared" si="135"/>
        <v>2528.5999999999985</v>
      </c>
      <c r="X679" s="22">
        <f>'2022-23 Salary &amp; Benefits'!$G$6</f>
        <v>12558.24</v>
      </c>
      <c r="Y679" s="23">
        <f>'2022-23 Salary &amp; Benefits'!$H$6</f>
        <v>0.2298</v>
      </c>
      <c r="Z679" s="23">
        <f>'2022-23 Salary &amp; Benefits'!$I$6</f>
        <v>0.22339999999999999</v>
      </c>
      <c r="AA679" s="22">
        <f t="shared" si="136"/>
        <v>19507.66</v>
      </c>
      <c r="AB679" s="22">
        <f t="shared" si="137"/>
        <v>808.49</v>
      </c>
      <c r="AC679" s="22">
        <f t="shared" si="138"/>
        <v>180.62</v>
      </c>
      <c r="AD679" s="22">
        <f t="shared" si="128"/>
        <v>989.11</v>
      </c>
      <c r="AE679" s="22">
        <f t="shared" si="129"/>
        <v>69006.349999999991</v>
      </c>
      <c r="AF679" s="19" t="str">
        <f>VLOOKUP(C679,'2021-22 School Level AAFTE'!C:N,12,FALSE)</f>
        <v>No</v>
      </c>
    </row>
    <row r="680" spans="1:284" s="19" customFormat="1">
      <c r="A680" s="97" t="s">
        <v>2448</v>
      </c>
      <c r="B680" s="97" t="s">
        <v>1459</v>
      </c>
      <c r="C680" s="95">
        <v>2257</v>
      </c>
      <c r="D680" s="95" t="s">
        <v>1460</v>
      </c>
      <c r="E680" s="129">
        <f>VLOOKUP($C680,'2021-22 School Level AAFTE'!$C:$Z,11,FALSE)</f>
        <v>0.54086666666666661</v>
      </c>
      <c r="F680" s="129" t="str">
        <f>VLOOKUP($C680,'2021-22 School Level AAFTE'!$C:$Z,8,FALSE)</f>
        <v>Yes</v>
      </c>
      <c r="G680" s="129" t="str">
        <f>VLOOKUP($C680,'2021-22 School Level AAFTE'!$C:$Z,12,FALSE)</f>
        <v>No</v>
      </c>
      <c r="H680" s="127">
        <f>VLOOKUP($C680,'2021-22 School Level AAFTE'!$C:$I,7,FALSE)</f>
        <v>477.19</v>
      </c>
      <c r="I680" s="112">
        <f>IFERROR(IF(OR(G680="yes",F680= "yes"),VLOOKUP(C680,Summary!$B:$J,6,0),0),0)</f>
        <v>0</v>
      </c>
      <c r="J680" s="111">
        <f t="shared" si="132"/>
        <v>477.19</v>
      </c>
      <c r="K680" s="91">
        <f>VLOOKUP($A680,'2022-23 Salary &amp; Benefits'!$A:$I,3,FALSE)</f>
        <v>1.06</v>
      </c>
      <c r="L680" s="91">
        <f>VLOOKUP($A680,'2022-23 Salary &amp; Benefits'!$A:$I,4,FALSE)</f>
        <v>1.06</v>
      </c>
      <c r="M680" s="101">
        <f t="shared" si="127"/>
        <v>477.19</v>
      </c>
      <c r="N680" s="24">
        <v>15</v>
      </c>
      <c r="O680" s="26">
        <f t="shared" si="130"/>
        <v>31.812666666666665</v>
      </c>
      <c r="P680" s="24">
        <v>1.1000000000000001</v>
      </c>
      <c r="Q680" s="24">
        <v>36</v>
      </c>
      <c r="R680" s="27">
        <f t="shared" si="131"/>
        <v>1259.7815999999998</v>
      </c>
      <c r="S680" s="102">
        <f t="shared" si="133"/>
        <v>1.4</v>
      </c>
      <c r="T680" s="21">
        <f>VLOOKUP($A680,'2022-23 Salary &amp; Benefits'!$A:$I,5,FALSE)</f>
        <v>68937</v>
      </c>
      <c r="U680" s="21">
        <f>VLOOKUP($A680,'2022-23 Salary &amp; Benefits'!$A:$I,6,FALSE)</f>
        <v>72728</v>
      </c>
      <c r="V680" s="22">
        <f t="shared" si="134"/>
        <v>102302.51</v>
      </c>
      <c r="W680" s="22">
        <f t="shared" si="135"/>
        <v>5625.8400000000111</v>
      </c>
      <c r="X680" s="22">
        <f>'2022-23 Salary &amp; Benefits'!$G$6</f>
        <v>12558.24</v>
      </c>
      <c r="Y680" s="23">
        <f>'2022-23 Salary &amp; Benefits'!$H$6</f>
        <v>0.2298</v>
      </c>
      <c r="Z680" s="23">
        <f>'2022-23 Salary &amp; Benefits'!$I$6</f>
        <v>0.22339999999999999</v>
      </c>
      <c r="AA680" s="22">
        <f t="shared" si="136"/>
        <v>42347.47</v>
      </c>
      <c r="AB680" s="22">
        <f t="shared" si="137"/>
        <v>1798.81</v>
      </c>
      <c r="AC680" s="22">
        <f t="shared" si="138"/>
        <v>401.85</v>
      </c>
      <c r="AD680" s="22">
        <f t="shared" si="128"/>
        <v>2200.66</v>
      </c>
      <c r="AE680" s="22">
        <f t="shared" si="129"/>
        <v>152476.48000000001</v>
      </c>
      <c r="AF680" s="19" t="str">
        <f>VLOOKUP(C680,'2021-22 School Level AAFTE'!C:N,12,FALSE)</f>
        <v>No</v>
      </c>
    </row>
    <row r="681" spans="1:284" s="19" customFormat="1">
      <c r="A681" s="97" t="s">
        <v>2448</v>
      </c>
      <c r="B681" s="97" t="s">
        <v>1459</v>
      </c>
      <c r="C681" s="95">
        <v>2340</v>
      </c>
      <c r="D681" s="95" t="s">
        <v>1461</v>
      </c>
      <c r="E681" s="129">
        <f>VLOOKUP($C681,'2021-22 School Level AAFTE'!$C:$Z,11,FALSE)</f>
        <v>0.72060000000000002</v>
      </c>
      <c r="F681" s="129" t="str">
        <f>VLOOKUP($C681,'2021-22 School Level AAFTE'!$C:$Z,8,FALSE)</f>
        <v>Yes</v>
      </c>
      <c r="G681" s="129" t="str">
        <f>VLOOKUP($C681,'2021-22 School Level AAFTE'!$C:$Z,12,FALSE)</f>
        <v>No</v>
      </c>
      <c r="H681" s="127">
        <f>VLOOKUP($C681,'2021-22 School Level AAFTE'!$C:$I,7,FALSE)</f>
        <v>495.29</v>
      </c>
      <c r="I681" s="112">
        <f>IFERROR(IF(OR(G681="yes",F681= "yes"),VLOOKUP(C681,Summary!$B:$J,6,0),0),0)</f>
        <v>0</v>
      </c>
      <c r="J681" s="111">
        <f t="shared" si="132"/>
        <v>495.29</v>
      </c>
      <c r="K681" s="91">
        <f>VLOOKUP($A681,'2022-23 Salary &amp; Benefits'!$A:$I,3,FALSE)</f>
        <v>1.06</v>
      </c>
      <c r="L681" s="91">
        <f>VLOOKUP($A681,'2022-23 Salary &amp; Benefits'!$A:$I,4,FALSE)</f>
        <v>1.06</v>
      </c>
      <c r="M681" s="101">
        <f t="shared" si="127"/>
        <v>495.29</v>
      </c>
      <c r="N681" s="24">
        <v>15</v>
      </c>
      <c r="O681" s="26">
        <f t="shared" si="130"/>
        <v>33.019333333333336</v>
      </c>
      <c r="P681" s="24">
        <v>1.1000000000000001</v>
      </c>
      <c r="Q681" s="24">
        <v>36</v>
      </c>
      <c r="R681" s="27">
        <f t="shared" si="131"/>
        <v>1307.5656000000004</v>
      </c>
      <c r="S681" s="102">
        <f t="shared" si="133"/>
        <v>1.4530000000000001</v>
      </c>
      <c r="T681" s="21">
        <f>VLOOKUP($A681,'2022-23 Salary &amp; Benefits'!$A:$I,5,FALSE)</f>
        <v>68937</v>
      </c>
      <c r="U681" s="21">
        <f>VLOOKUP($A681,'2022-23 Salary &amp; Benefits'!$A:$I,6,FALSE)</f>
        <v>72728</v>
      </c>
      <c r="V681" s="22">
        <f t="shared" si="134"/>
        <v>106175.39</v>
      </c>
      <c r="W681" s="22">
        <f t="shared" si="135"/>
        <v>5838.820000000007</v>
      </c>
      <c r="X681" s="22">
        <f>'2022-23 Salary &amp; Benefits'!$G$6</f>
        <v>12558.24</v>
      </c>
      <c r="Y681" s="23">
        <f>'2022-23 Salary &amp; Benefits'!$H$6</f>
        <v>0.2298</v>
      </c>
      <c r="Z681" s="23">
        <f>'2022-23 Salary &amp; Benefits'!$I$6</f>
        <v>0.22339999999999999</v>
      </c>
      <c r="AA681" s="22">
        <f t="shared" si="136"/>
        <v>43950.62</v>
      </c>
      <c r="AB681" s="22">
        <f t="shared" si="137"/>
        <v>1866.9</v>
      </c>
      <c r="AC681" s="22">
        <f t="shared" si="138"/>
        <v>417.07</v>
      </c>
      <c r="AD681" s="22">
        <f t="shared" si="128"/>
        <v>2283.9700000000003</v>
      </c>
      <c r="AE681" s="22">
        <f t="shared" si="129"/>
        <v>158248.80000000002</v>
      </c>
      <c r="AF681" s="19" t="str">
        <f>VLOOKUP(C681,'2021-22 School Level AAFTE'!C:N,12,FALSE)</f>
        <v>No</v>
      </c>
    </row>
    <row r="682" spans="1:284" s="19" customFormat="1">
      <c r="A682" s="97" t="s">
        <v>2448</v>
      </c>
      <c r="B682" s="97" t="s">
        <v>1459</v>
      </c>
      <c r="C682" s="95">
        <v>2398</v>
      </c>
      <c r="D682" s="95" t="s">
        <v>1462</v>
      </c>
      <c r="E682" s="129">
        <f>VLOOKUP($C682,'2021-22 School Level AAFTE'!$C:$Z,11,FALSE)</f>
        <v>0.59376666666666666</v>
      </c>
      <c r="F682" s="129" t="str">
        <f>VLOOKUP($C682,'2021-22 School Level AAFTE'!$C:$Z,8,FALSE)</f>
        <v>Yes</v>
      </c>
      <c r="G682" s="129" t="str">
        <f>VLOOKUP($C682,'2021-22 School Level AAFTE'!$C:$Z,12,FALSE)</f>
        <v>No</v>
      </c>
      <c r="H682" s="127">
        <f>VLOOKUP($C682,'2021-22 School Level AAFTE'!$C:$I,7,FALSE)</f>
        <v>380.14</v>
      </c>
      <c r="I682" s="112">
        <f>IFERROR(IF(OR(G682="yes",F682= "yes"),VLOOKUP(C682,Summary!$B:$J,6,0),0),0)</f>
        <v>0</v>
      </c>
      <c r="J682" s="111">
        <f t="shared" si="132"/>
        <v>380.14</v>
      </c>
      <c r="K682" s="91">
        <f>VLOOKUP($A682,'2022-23 Salary &amp; Benefits'!$A:$I,3,FALSE)</f>
        <v>1.06</v>
      </c>
      <c r="L682" s="91">
        <f>VLOOKUP($A682,'2022-23 Salary &amp; Benefits'!$A:$I,4,FALSE)</f>
        <v>1.06</v>
      </c>
      <c r="M682" s="101">
        <f t="shared" si="127"/>
        <v>380.14</v>
      </c>
      <c r="N682" s="24">
        <v>15</v>
      </c>
      <c r="O682" s="26">
        <f t="shared" si="130"/>
        <v>25.342666666666666</v>
      </c>
      <c r="P682" s="24">
        <v>1.1000000000000001</v>
      </c>
      <c r="Q682" s="24">
        <v>36</v>
      </c>
      <c r="R682" s="27">
        <f t="shared" si="131"/>
        <v>1003.5696</v>
      </c>
      <c r="S682" s="102">
        <f t="shared" si="133"/>
        <v>1.115</v>
      </c>
      <c r="T682" s="21">
        <f>VLOOKUP($A682,'2022-23 Salary &amp; Benefits'!$A:$I,5,FALSE)</f>
        <v>68937</v>
      </c>
      <c r="U682" s="21">
        <f>VLOOKUP($A682,'2022-23 Salary &amp; Benefits'!$A:$I,6,FALSE)</f>
        <v>72728</v>
      </c>
      <c r="V682" s="22">
        <f t="shared" si="134"/>
        <v>81476.639999999999</v>
      </c>
      <c r="W682" s="22">
        <f t="shared" si="135"/>
        <v>4480.5800000000017</v>
      </c>
      <c r="X682" s="22">
        <f>'2022-23 Salary &amp; Benefits'!$G$6</f>
        <v>12558.24</v>
      </c>
      <c r="Y682" s="23">
        <f>'2022-23 Salary &amp; Benefits'!$H$6</f>
        <v>0.2298</v>
      </c>
      <c r="Z682" s="23">
        <f>'2022-23 Salary &amp; Benefits'!$I$6</f>
        <v>0.22339999999999999</v>
      </c>
      <c r="AA682" s="22">
        <f t="shared" si="136"/>
        <v>33726.730000000003</v>
      </c>
      <c r="AB682" s="22">
        <f t="shared" si="137"/>
        <v>1432.62</v>
      </c>
      <c r="AC682" s="22">
        <f t="shared" si="138"/>
        <v>320.05</v>
      </c>
      <c r="AD682" s="22">
        <f t="shared" si="128"/>
        <v>1752.6699999999998</v>
      </c>
      <c r="AE682" s="22">
        <f t="shared" si="129"/>
        <v>121436.62</v>
      </c>
      <c r="AF682" s="19" t="str">
        <f>VLOOKUP(C682,'2021-22 School Level AAFTE'!C:N,12,FALSE)</f>
        <v>No</v>
      </c>
    </row>
    <row r="683" spans="1:284" s="19" customFormat="1">
      <c r="A683" s="97" t="s">
        <v>2448</v>
      </c>
      <c r="B683" s="97" t="s">
        <v>1459</v>
      </c>
      <c r="C683" s="95">
        <v>2876</v>
      </c>
      <c r="D683" s="95" t="s">
        <v>1463</v>
      </c>
      <c r="E683" s="129">
        <f>VLOOKUP($C683,'2021-22 School Level AAFTE'!$C:$Z,11,FALSE)</f>
        <v>0.63623333333333332</v>
      </c>
      <c r="F683" s="129" t="str">
        <f>VLOOKUP($C683,'2021-22 School Level AAFTE'!$C:$Z,8,FALSE)</f>
        <v>Yes</v>
      </c>
      <c r="G683" s="129" t="str">
        <f>VLOOKUP($C683,'2021-22 School Level AAFTE'!$C:$Z,12,FALSE)</f>
        <v>No</v>
      </c>
      <c r="H683" s="127">
        <f>VLOOKUP($C683,'2021-22 School Level AAFTE'!$C:$I,7,FALSE)</f>
        <v>1132.04</v>
      </c>
      <c r="I683" s="112">
        <f>IFERROR(IF(OR(G683="yes",F683= "yes"),VLOOKUP(C683,Summary!$B:$J,6,0),0),0)</f>
        <v>0</v>
      </c>
      <c r="J683" s="111">
        <f t="shared" si="132"/>
        <v>1132.04</v>
      </c>
      <c r="K683" s="91">
        <f>VLOOKUP($A683,'2022-23 Salary &amp; Benefits'!$A:$I,3,FALSE)</f>
        <v>1.06</v>
      </c>
      <c r="L683" s="91">
        <f>VLOOKUP($A683,'2022-23 Salary &amp; Benefits'!$A:$I,4,FALSE)</f>
        <v>1.06</v>
      </c>
      <c r="M683" s="101">
        <f t="shared" si="127"/>
        <v>1132.04</v>
      </c>
      <c r="N683" s="24">
        <v>15</v>
      </c>
      <c r="O683" s="26">
        <f t="shared" si="130"/>
        <v>75.469333333333324</v>
      </c>
      <c r="P683" s="24">
        <v>1.1000000000000001</v>
      </c>
      <c r="Q683" s="24">
        <v>36</v>
      </c>
      <c r="R683" s="27">
        <f t="shared" si="131"/>
        <v>2988.5855999999999</v>
      </c>
      <c r="S683" s="102">
        <f t="shared" si="133"/>
        <v>3.3210000000000002</v>
      </c>
      <c r="T683" s="21">
        <f>VLOOKUP($A683,'2022-23 Salary &amp; Benefits'!$A:$I,5,FALSE)</f>
        <v>68937</v>
      </c>
      <c r="U683" s="21">
        <f>VLOOKUP($A683,'2022-23 Salary &amp; Benefits'!$A:$I,6,FALSE)</f>
        <v>72728</v>
      </c>
      <c r="V683" s="22">
        <f t="shared" si="134"/>
        <v>242676.16</v>
      </c>
      <c r="W683" s="22">
        <f t="shared" si="135"/>
        <v>13345.309999999998</v>
      </c>
      <c r="X683" s="22">
        <f>'2022-23 Salary &amp; Benefits'!$G$6</f>
        <v>12558.24</v>
      </c>
      <c r="Y683" s="23">
        <f>'2022-23 Salary &amp; Benefits'!$H$6</f>
        <v>0.2298</v>
      </c>
      <c r="Z683" s="23">
        <f>'2022-23 Salary &amp; Benefits'!$I$6</f>
        <v>0.22339999999999999</v>
      </c>
      <c r="AA683" s="22">
        <f t="shared" si="136"/>
        <v>100454.24</v>
      </c>
      <c r="AB683" s="22">
        <f t="shared" si="137"/>
        <v>4267.0200000000004</v>
      </c>
      <c r="AC683" s="22">
        <f t="shared" si="138"/>
        <v>953.25</v>
      </c>
      <c r="AD683" s="22">
        <f t="shared" si="128"/>
        <v>5220.2700000000004</v>
      </c>
      <c r="AE683" s="22">
        <f t="shared" si="129"/>
        <v>361695.98000000004</v>
      </c>
      <c r="AF683" s="19" t="str">
        <f>VLOOKUP(C683,'2021-22 School Level AAFTE'!C:N,12,FALSE)</f>
        <v>No</v>
      </c>
    </row>
    <row r="684" spans="1:284" s="19" customFormat="1">
      <c r="A684" s="97" t="s">
        <v>2448</v>
      </c>
      <c r="B684" s="97" t="s">
        <v>1459</v>
      </c>
      <c r="C684" s="95">
        <v>2945</v>
      </c>
      <c r="D684" s="95" t="s">
        <v>1464</v>
      </c>
      <c r="E684" s="129">
        <f>VLOOKUP($C684,'2021-22 School Level AAFTE'!$C:$Z,11,FALSE)</f>
        <v>0.75700000000000001</v>
      </c>
      <c r="F684" s="129" t="str">
        <f>VLOOKUP($C684,'2021-22 School Level AAFTE'!$C:$Z,8,FALSE)</f>
        <v>Yes</v>
      </c>
      <c r="G684" s="129" t="str">
        <f>VLOOKUP($C684,'2021-22 School Level AAFTE'!$C:$Z,12,FALSE)</f>
        <v>No</v>
      </c>
      <c r="H684" s="127">
        <f>VLOOKUP($C684,'2021-22 School Level AAFTE'!$C:$I,7,FALSE)</f>
        <v>385</v>
      </c>
      <c r="I684" s="112">
        <f>IFERROR(IF(OR(G684="yes",F684= "yes"),VLOOKUP(C684,Summary!$B:$J,6,0),0),0)</f>
        <v>0</v>
      </c>
      <c r="J684" s="111">
        <f t="shared" si="132"/>
        <v>385</v>
      </c>
      <c r="K684" s="91">
        <f>VLOOKUP($A684,'2022-23 Salary &amp; Benefits'!$A:$I,3,FALSE)</f>
        <v>1.06</v>
      </c>
      <c r="L684" s="91">
        <f>VLOOKUP($A684,'2022-23 Salary &amp; Benefits'!$A:$I,4,FALSE)</f>
        <v>1.06</v>
      </c>
      <c r="M684" s="39">
        <f t="shared" si="127"/>
        <v>385</v>
      </c>
      <c r="N684" s="24">
        <v>15</v>
      </c>
      <c r="O684" s="26">
        <f t="shared" si="130"/>
        <v>25.666666666666668</v>
      </c>
      <c r="P684" s="24">
        <v>1.1000000000000001</v>
      </c>
      <c r="Q684" s="24">
        <v>36</v>
      </c>
      <c r="R684" s="27">
        <f t="shared" si="131"/>
        <v>1016.4000000000002</v>
      </c>
      <c r="S684" s="102">
        <f t="shared" si="133"/>
        <v>1.129</v>
      </c>
      <c r="T684" s="21">
        <f>VLOOKUP($A684,'2022-23 Salary &amp; Benefits'!$A:$I,5,FALSE)</f>
        <v>68937</v>
      </c>
      <c r="U684" s="21">
        <f>VLOOKUP($A684,'2022-23 Salary &amp; Benefits'!$A:$I,6,FALSE)</f>
        <v>72728</v>
      </c>
      <c r="V684" s="22">
        <f t="shared" si="134"/>
        <v>82499.67</v>
      </c>
      <c r="W684" s="22">
        <f t="shared" si="135"/>
        <v>4536.8399999999965</v>
      </c>
      <c r="X684" s="22">
        <f>'2022-23 Salary &amp; Benefits'!$G$6</f>
        <v>12558.24</v>
      </c>
      <c r="Y684" s="23">
        <f>'2022-23 Salary &amp; Benefits'!$H$6</f>
        <v>0.2298</v>
      </c>
      <c r="Z684" s="23">
        <f>'2022-23 Salary &amp; Benefits'!$I$6</f>
        <v>0.22339999999999999</v>
      </c>
      <c r="AA684" s="22">
        <f t="shared" si="136"/>
        <v>34150.21</v>
      </c>
      <c r="AB684" s="22">
        <f t="shared" si="137"/>
        <v>1450.61</v>
      </c>
      <c r="AC684" s="22">
        <f t="shared" si="138"/>
        <v>324.07</v>
      </c>
      <c r="AD684" s="22">
        <f t="shared" si="128"/>
        <v>1774.6799999999998</v>
      </c>
      <c r="AE684" s="22">
        <f t="shared" si="129"/>
        <v>122961.4</v>
      </c>
      <c r="AF684" s="19" t="str">
        <f>VLOOKUP(C684,'2021-22 School Level AAFTE'!C:N,12,FALSE)</f>
        <v>No</v>
      </c>
    </row>
    <row r="685" spans="1:284" s="19" customFormat="1">
      <c r="A685" s="97" t="s">
        <v>2448</v>
      </c>
      <c r="B685" s="97" t="s">
        <v>1459</v>
      </c>
      <c r="C685" s="95">
        <v>3000</v>
      </c>
      <c r="D685" s="95" t="s">
        <v>1465</v>
      </c>
      <c r="E685" s="129">
        <f>VLOOKUP($C685,'2021-22 School Level AAFTE'!$C:$Z,11,FALSE)</f>
        <v>0.73246666666666671</v>
      </c>
      <c r="F685" s="129" t="str">
        <f>VLOOKUP($C685,'2021-22 School Level AAFTE'!$C:$Z,8,FALSE)</f>
        <v>Yes</v>
      </c>
      <c r="G685" s="129" t="str">
        <f>VLOOKUP($C685,'2021-22 School Level AAFTE'!$C:$Z,12,FALSE)</f>
        <v>No</v>
      </c>
      <c r="H685" s="127">
        <f>VLOOKUP($C685,'2021-22 School Level AAFTE'!$C:$I,7,FALSE)</f>
        <v>409.86</v>
      </c>
      <c r="I685" s="112">
        <f>IFERROR(IF(OR(G685="yes",F685= "yes"),VLOOKUP(C685,Summary!$B:$J,6,0),0),0)</f>
        <v>0</v>
      </c>
      <c r="J685" s="111">
        <f t="shared" si="132"/>
        <v>409.86</v>
      </c>
      <c r="K685" s="91">
        <f>VLOOKUP($A685,'2022-23 Salary &amp; Benefits'!$A:$I,3,FALSE)</f>
        <v>1.06</v>
      </c>
      <c r="L685" s="91">
        <f>VLOOKUP($A685,'2022-23 Salary &amp; Benefits'!$A:$I,4,FALSE)</f>
        <v>1.06</v>
      </c>
      <c r="M685" s="39">
        <f t="shared" si="127"/>
        <v>409.86</v>
      </c>
      <c r="N685" s="24">
        <v>15</v>
      </c>
      <c r="O685" s="26">
        <f t="shared" si="130"/>
        <v>27.324000000000002</v>
      </c>
      <c r="P685" s="24">
        <v>1.1000000000000001</v>
      </c>
      <c r="Q685" s="24">
        <v>36</v>
      </c>
      <c r="R685" s="27">
        <f t="shared" si="131"/>
        <v>1082.0304000000001</v>
      </c>
      <c r="S685" s="102">
        <f t="shared" si="133"/>
        <v>1.202</v>
      </c>
      <c r="T685" s="21">
        <f>VLOOKUP($A685,'2022-23 Salary &amp; Benefits'!$A:$I,5,FALSE)</f>
        <v>68937</v>
      </c>
      <c r="U685" s="21">
        <f>VLOOKUP($A685,'2022-23 Salary &amp; Benefits'!$A:$I,6,FALSE)</f>
        <v>72728</v>
      </c>
      <c r="V685" s="22">
        <f t="shared" si="134"/>
        <v>87834.01</v>
      </c>
      <c r="W685" s="22">
        <f t="shared" si="135"/>
        <v>4830.1900000000023</v>
      </c>
      <c r="X685" s="22">
        <f>'2022-23 Salary &amp; Benefits'!$G$6</f>
        <v>12558.24</v>
      </c>
      <c r="Y685" s="23">
        <f>'2022-23 Salary &amp; Benefits'!$H$6</f>
        <v>0.2298</v>
      </c>
      <c r="Z685" s="23">
        <f>'2022-23 Salary &amp; Benefits'!$I$6</f>
        <v>0.22339999999999999</v>
      </c>
      <c r="AA685" s="22">
        <f t="shared" si="136"/>
        <v>36358.32</v>
      </c>
      <c r="AB685" s="22">
        <f t="shared" si="137"/>
        <v>1544.4</v>
      </c>
      <c r="AC685" s="22">
        <f t="shared" si="138"/>
        <v>345.02</v>
      </c>
      <c r="AD685" s="22">
        <f t="shared" si="128"/>
        <v>1889.42</v>
      </c>
      <c r="AE685" s="22">
        <f t="shared" si="129"/>
        <v>130911.93999999999</v>
      </c>
      <c r="AF685" s="19" t="str">
        <f>VLOOKUP(C685,'2021-22 School Level AAFTE'!C:N,12,FALSE)</f>
        <v>No</v>
      </c>
    </row>
    <row r="686" spans="1:284" s="19" customFormat="1">
      <c r="A686" s="97" t="s">
        <v>2448</v>
      </c>
      <c r="B686" s="97" t="s">
        <v>1459</v>
      </c>
      <c r="C686" s="95">
        <v>3180</v>
      </c>
      <c r="D686" s="95" t="s">
        <v>1466</v>
      </c>
      <c r="E686" s="129">
        <f>VLOOKUP($C686,'2021-22 School Level AAFTE'!$C:$Z,11,FALSE)</f>
        <v>0.67653333333333343</v>
      </c>
      <c r="F686" s="129" t="str">
        <f>VLOOKUP($C686,'2021-22 School Level AAFTE'!$C:$Z,8,FALSE)</f>
        <v>Yes</v>
      </c>
      <c r="G686" s="129" t="str">
        <f>VLOOKUP($C686,'2021-22 School Level AAFTE'!$C:$Z,12,FALSE)</f>
        <v>No</v>
      </c>
      <c r="H686" s="127">
        <f>VLOOKUP($C686,'2021-22 School Level AAFTE'!$C:$I,7,FALSE)</f>
        <v>475.44</v>
      </c>
      <c r="I686" s="112">
        <f>IFERROR(IF(OR(G686="yes",F686= "yes"),VLOOKUP(C686,Summary!$B:$J,6,0),0),0)</f>
        <v>0</v>
      </c>
      <c r="J686" s="111">
        <f t="shared" si="132"/>
        <v>475.44</v>
      </c>
      <c r="K686" s="91">
        <f>VLOOKUP($A686,'2022-23 Salary &amp; Benefits'!$A:$I,3,FALSE)</f>
        <v>1.06</v>
      </c>
      <c r="L686" s="91">
        <f>VLOOKUP($A686,'2022-23 Salary &amp; Benefits'!$A:$I,4,FALSE)</f>
        <v>1.06</v>
      </c>
      <c r="M686" s="39">
        <f t="shared" si="127"/>
        <v>475.44</v>
      </c>
      <c r="N686" s="24">
        <v>15</v>
      </c>
      <c r="O686" s="26">
        <f t="shared" si="130"/>
        <v>31.696000000000002</v>
      </c>
      <c r="P686" s="24">
        <v>1.1000000000000001</v>
      </c>
      <c r="Q686" s="24">
        <v>36</v>
      </c>
      <c r="R686" s="27">
        <f t="shared" si="131"/>
        <v>1255.1616000000004</v>
      </c>
      <c r="S686" s="102">
        <f t="shared" si="133"/>
        <v>1.395</v>
      </c>
      <c r="T686" s="21">
        <f>VLOOKUP($A686,'2022-23 Salary &amp; Benefits'!$A:$I,5,FALSE)</f>
        <v>68937</v>
      </c>
      <c r="U686" s="21">
        <f>VLOOKUP($A686,'2022-23 Salary &amp; Benefits'!$A:$I,6,FALSE)</f>
        <v>72728</v>
      </c>
      <c r="V686" s="22">
        <f t="shared" si="134"/>
        <v>101937.14</v>
      </c>
      <c r="W686" s="22">
        <f t="shared" si="135"/>
        <v>5605.75</v>
      </c>
      <c r="X686" s="22">
        <f>'2022-23 Salary &amp; Benefits'!$G$6</f>
        <v>12558.24</v>
      </c>
      <c r="Y686" s="23">
        <f>'2022-23 Salary &amp; Benefits'!$H$6</f>
        <v>0.2298</v>
      </c>
      <c r="Z686" s="23">
        <f>'2022-23 Salary &amp; Benefits'!$I$6</f>
        <v>0.22339999999999999</v>
      </c>
      <c r="AA686" s="22">
        <f t="shared" si="136"/>
        <v>42196.22</v>
      </c>
      <c r="AB686" s="22">
        <f t="shared" si="137"/>
        <v>1792.38</v>
      </c>
      <c r="AC686" s="22">
        <f t="shared" si="138"/>
        <v>400.42</v>
      </c>
      <c r="AD686" s="22">
        <f t="shared" si="128"/>
        <v>2192.8000000000002</v>
      </c>
      <c r="AE686" s="22">
        <f t="shared" si="129"/>
        <v>151931.90999999997</v>
      </c>
      <c r="AF686" s="19" t="str">
        <f>VLOOKUP(C686,'2021-22 School Level AAFTE'!C:N,12,FALSE)</f>
        <v>No</v>
      </c>
    </row>
    <row r="687" spans="1:284" s="19" customFormat="1">
      <c r="A687" s="97" t="s">
        <v>2448</v>
      </c>
      <c r="B687" s="97" t="s">
        <v>1459</v>
      </c>
      <c r="C687" s="95">
        <v>3300</v>
      </c>
      <c r="D687" s="95" t="s">
        <v>1467</v>
      </c>
      <c r="E687" s="129">
        <f>VLOOKUP($C687,'2021-22 School Level AAFTE'!$C:$Z,11,FALSE)</f>
        <v>0.67746666666666666</v>
      </c>
      <c r="F687" s="129" t="str">
        <f>VLOOKUP($C687,'2021-22 School Level AAFTE'!$C:$Z,8,FALSE)</f>
        <v>Yes</v>
      </c>
      <c r="G687" s="129" t="str">
        <f>VLOOKUP($C687,'2021-22 School Level AAFTE'!$C:$Z,12,FALSE)</f>
        <v>No</v>
      </c>
      <c r="H687" s="127">
        <f>VLOOKUP($C687,'2021-22 School Level AAFTE'!$C:$I,7,FALSE)</f>
        <v>938.16</v>
      </c>
      <c r="I687" s="112">
        <f>IFERROR(IF(OR(G687="yes",F687= "yes"),VLOOKUP(C687,Summary!$B:$J,6,0),0),0)</f>
        <v>0</v>
      </c>
      <c r="J687" s="111">
        <f t="shared" si="132"/>
        <v>938.16</v>
      </c>
      <c r="K687" s="91">
        <f>VLOOKUP($A687,'2022-23 Salary &amp; Benefits'!$A:$I,3,FALSE)</f>
        <v>1.06</v>
      </c>
      <c r="L687" s="91">
        <f>VLOOKUP($A687,'2022-23 Salary &amp; Benefits'!$A:$I,4,FALSE)</f>
        <v>1.06</v>
      </c>
      <c r="M687" s="39">
        <f t="shared" si="127"/>
        <v>938.16</v>
      </c>
      <c r="N687" s="24">
        <v>15</v>
      </c>
      <c r="O687" s="26">
        <f t="shared" si="130"/>
        <v>62.543999999999997</v>
      </c>
      <c r="P687" s="24">
        <v>1.1000000000000001</v>
      </c>
      <c r="Q687" s="24">
        <v>36</v>
      </c>
      <c r="R687" s="27">
        <f t="shared" si="131"/>
        <v>2476.7424000000001</v>
      </c>
      <c r="S687" s="102">
        <f t="shared" si="133"/>
        <v>2.7519999999999998</v>
      </c>
      <c r="T687" s="21">
        <f>VLOOKUP($A687,'2022-23 Salary &amp; Benefits'!$A:$I,5,FALSE)</f>
        <v>68937</v>
      </c>
      <c r="U687" s="21">
        <f>VLOOKUP($A687,'2022-23 Salary &amp; Benefits'!$A:$I,6,FALSE)</f>
        <v>72728</v>
      </c>
      <c r="V687" s="22">
        <f t="shared" si="134"/>
        <v>201097.5</v>
      </c>
      <c r="W687" s="22">
        <f t="shared" si="135"/>
        <v>11058.799999999988</v>
      </c>
      <c r="X687" s="22">
        <f>'2022-23 Salary &amp; Benefits'!$G$6</f>
        <v>12558.24</v>
      </c>
      <c r="Y687" s="23">
        <f>'2022-23 Salary &amp; Benefits'!$H$6</f>
        <v>0.2298</v>
      </c>
      <c r="Z687" s="23">
        <f>'2022-23 Salary &amp; Benefits'!$I$6</f>
        <v>0.22339999999999999</v>
      </c>
      <c r="AA687" s="22">
        <f t="shared" si="136"/>
        <v>83243.02</v>
      </c>
      <c r="AB687" s="22">
        <f t="shared" si="137"/>
        <v>3535.94</v>
      </c>
      <c r="AC687" s="22">
        <f t="shared" si="138"/>
        <v>789.93</v>
      </c>
      <c r="AD687" s="22">
        <f t="shared" si="128"/>
        <v>4325.87</v>
      </c>
      <c r="AE687" s="22">
        <f t="shared" si="129"/>
        <v>299725.19</v>
      </c>
      <c r="AF687" s="19" t="str">
        <f>VLOOKUP(C687,'2021-22 School Level AAFTE'!C:N,12,FALSE)</f>
        <v>No</v>
      </c>
    </row>
    <row r="688" spans="1:284" s="19" customFormat="1">
      <c r="A688" s="97" t="s">
        <v>2448</v>
      </c>
      <c r="B688" s="97" t="s">
        <v>1459</v>
      </c>
      <c r="C688" s="95">
        <v>3301</v>
      </c>
      <c r="D688" s="95" t="s">
        <v>1468</v>
      </c>
      <c r="E688" s="129">
        <f>VLOOKUP($C688,'2021-22 School Level AAFTE'!$C:$Z,11,FALSE)</f>
        <v>0.75620000000000009</v>
      </c>
      <c r="F688" s="129" t="str">
        <f>VLOOKUP($C688,'2021-22 School Level AAFTE'!$C:$Z,8,FALSE)</f>
        <v>Yes</v>
      </c>
      <c r="G688" s="129" t="str">
        <f>VLOOKUP($C688,'2021-22 School Level AAFTE'!$C:$Z,12,FALSE)</f>
        <v>No</v>
      </c>
      <c r="H688" s="127">
        <f>VLOOKUP($C688,'2021-22 School Level AAFTE'!$C:$I,7,FALSE)</f>
        <v>377.71</v>
      </c>
      <c r="I688" s="112">
        <f>IFERROR(IF(OR(G688="yes",F688= "yes"),VLOOKUP(C688,Summary!$B:$J,6,0),0),0)</f>
        <v>0</v>
      </c>
      <c r="J688" s="111">
        <f t="shared" si="132"/>
        <v>377.71</v>
      </c>
      <c r="K688" s="91">
        <f>VLOOKUP($A688,'2022-23 Salary &amp; Benefits'!$A:$I,3,FALSE)</f>
        <v>1.06</v>
      </c>
      <c r="L688" s="91">
        <f>VLOOKUP($A688,'2022-23 Salary &amp; Benefits'!$A:$I,4,FALSE)</f>
        <v>1.06</v>
      </c>
      <c r="M688" s="39">
        <f t="shared" si="127"/>
        <v>377.71</v>
      </c>
      <c r="N688" s="24">
        <v>15</v>
      </c>
      <c r="O688" s="26">
        <f t="shared" si="130"/>
        <v>25.180666666666664</v>
      </c>
      <c r="P688" s="24">
        <v>1.1000000000000001</v>
      </c>
      <c r="Q688" s="24">
        <v>36</v>
      </c>
      <c r="R688" s="27">
        <f t="shared" si="131"/>
        <v>997.15440000000001</v>
      </c>
      <c r="S688" s="102">
        <f t="shared" si="133"/>
        <v>1.1080000000000001</v>
      </c>
      <c r="T688" s="21">
        <f>VLOOKUP($A688,'2022-23 Salary &amp; Benefits'!$A:$I,5,FALSE)</f>
        <v>68937</v>
      </c>
      <c r="U688" s="21">
        <f>VLOOKUP($A688,'2022-23 Salary &amp; Benefits'!$A:$I,6,FALSE)</f>
        <v>72728</v>
      </c>
      <c r="V688" s="22">
        <f t="shared" si="134"/>
        <v>80965.13</v>
      </c>
      <c r="W688" s="22">
        <f t="shared" si="135"/>
        <v>4452.4499999999971</v>
      </c>
      <c r="X688" s="22">
        <f>'2022-23 Salary &amp; Benefits'!$G$6</f>
        <v>12558.24</v>
      </c>
      <c r="Y688" s="23">
        <f>'2022-23 Salary &amp; Benefits'!$H$6</f>
        <v>0.2298</v>
      </c>
      <c r="Z688" s="23">
        <f>'2022-23 Salary &amp; Benefits'!$I$6</f>
        <v>0.22339999999999999</v>
      </c>
      <c r="AA688" s="22">
        <f t="shared" si="136"/>
        <v>33514.99</v>
      </c>
      <c r="AB688" s="22">
        <f t="shared" si="137"/>
        <v>1423.63</v>
      </c>
      <c r="AC688" s="22">
        <f t="shared" si="138"/>
        <v>318.04000000000002</v>
      </c>
      <c r="AD688" s="22">
        <f t="shared" si="128"/>
        <v>1741.67</v>
      </c>
      <c r="AE688" s="22">
        <f t="shared" si="129"/>
        <v>120674.23999999999</v>
      </c>
      <c r="AF688" s="19" t="str">
        <f>VLOOKUP(C688,'2021-22 School Level AAFTE'!C:N,12,FALSE)</f>
        <v>No</v>
      </c>
    </row>
    <row r="689" spans="1:284" s="19" customFormat="1">
      <c r="A689" s="97" t="s">
        <v>2448</v>
      </c>
      <c r="B689" s="97" t="s">
        <v>1459</v>
      </c>
      <c r="C689" s="95">
        <v>3401</v>
      </c>
      <c r="D689" s="95" t="s">
        <v>1469</v>
      </c>
      <c r="E689" s="129">
        <f>VLOOKUP($C689,'2021-22 School Level AAFTE'!$C:$Z,11,FALSE)</f>
        <v>0.74653333333333338</v>
      </c>
      <c r="F689" s="129" t="str">
        <f>VLOOKUP($C689,'2021-22 School Level AAFTE'!$C:$Z,8,FALSE)</f>
        <v>Yes</v>
      </c>
      <c r="G689" s="129" t="str">
        <f>VLOOKUP($C689,'2021-22 School Level AAFTE'!$C:$Z,12,FALSE)</f>
        <v>No</v>
      </c>
      <c r="H689" s="127">
        <f>VLOOKUP($C689,'2021-22 School Level AAFTE'!$C:$I,7,FALSE)</f>
        <v>784.25</v>
      </c>
      <c r="I689" s="112">
        <f>IFERROR(IF(OR(G689="yes",F689= "yes"),VLOOKUP(C689,Summary!$B:$J,6,0),0),0)</f>
        <v>0</v>
      </c>
      <c r="J689" s="111">
        <f t="shared" si="132"/>
        <v>784.25</v>
      </c>
      <c r="K689" s="91">
        <f>VLOOKUP($A689,'2022-23 Salary &amp; Benefits'!$A:$I,3,FALSE)</f>
        <v>1.06</v>
      </c>
      <c r="L689" s="91">
        <f>VLOOKUP($A689,'2022-23 Salary &amp; Benefits'!$A:$I,4,FALSE)</f>
        <v>1.06</v>
      </c>
      <c r="M689" s="39">
        <f t="shared" si="127"/>
        <v>784.25</v>
      </c>
      <c r="N689" s="24">
        <v>15</v>
      </c>
      <c r="O689" s="26">
        <f t="shared" si="130"/>
        <v>52.283333333333331</v>
      </c>
      <c r="P689" s="24">
        <v>1.1000000000000001</v>
      </c>
      <c r="Q689" s="24">
        <v>36</v>
      </c>
      <c r="R689" s="27">
        <f t="shared" si="131"/>
        <v>2070.42</v>
      </c>
      <c r="S689" s="102">
        <f t="shared" si="133"/>
        <v>2.2999999999999998</v>
      </c>
      <c r="T689" s="21">
        <f>VLOOKUP($A689,'2022-23 Salary &amp; Benefits'!$A:$I,5,FALSE)</f>
        <v>68937</v>
      </c>
      <c r="U689" s="21">
        <f>VLOOKUP($A689,'2022-23 Salary &amp; Benefits'!$A:$I,6,FALSE)</f>
        <v>72728</v>
      </c>
      <c r="V689" s="22">
        <f t="shared" si="134"/>
        <v>168068.41</v>
      </c>
      <c r="W689" s="22">
        <f t="shared" si="135"/>
        <v>9242.4499999999825</v>
      </c>
      <c r="X689" s="22">
        <f>'2022-23 Salary &amp; Benefits'!$G$6</f>
        <v>12558.24</v>
      </c>
      <c r="Y689" s="23">
        <f>'2022-23 Salary &amp; Benefits'!$H$6</f>
        <v>0.2298</v>
      </c>
      <c r="Z689" s="23">
        <f>'2022-23 Salary &amp; Benefits'!$I$6</f>
        <v>0.22339999999999999</v>
      </c>
      <c r="AA689" s="22">
        <f t="shared" si="136"/>
        <v>69570.84</v>
      </c>
      <c r="AB689" s="22">
        <f t="shared" si="137"/>
        <v>2955.18</v>
      </c>
      <c r="AC689" s="22">
        <f t="shared" si="138"/>
        <v>660.19</v>
      </c>
      <c r="AD689" s="22">
        <f t="shared" si="128"/>
        <v>3615.37</v>
      </c>
      <c r="AE689" s="22">
        <f t="shared" si="129"/>
        <v>250497.06999999998</v>
      </c>
      <c r="AF689" s="19" t="str">
        <f>VLOOKUP(C689,'2021-22 School Level AAFTE'!C:N,12,FALSE)</f>
        <v>No</v>
      </c>
    </row>
    <row r="690" spans="1:284" s="19" customFormat="1">
      <c r="A690" s="97" t="s">
        <v>2448</v>
      </c>
      <c r="B690" s="97" t="s">
        <v>1459</v>
      </c>
      <c r="C690" s="95">
        <v>3532</v>
      </c>
      <c r="D690" s="95" t="s">
        <v>1470</v>
      </c>
      <c r="E690" s="129">
        <f>VLOOKUP($C690,'2021-22 School Level AAFTE'!$C:$Z,11,FALSE)</f>
        <v>0.6694</v>
      </c>
      <c r="F690" s="129" t="str">
        <f>VLOOKUP($C690,'2021-22 School Level AAFTE'!$C:$Z,8,FALSE)</f>
        <v>Yes</v>
      </c>
      <c r="G690" s="129" t="str">
        <f>VLOOKUP($C690,'2021-22 School Level AAFTE'!$C:$Z,12,FALSE)</f>
        <v>No</v>
      </c>
      <c r="H690" s="127">
        <f>VLOOKUP($C690,'2021-22 School Level AAFTE'!$C:$I,7,FALSE)</f>
        <v>354</v>
      </c>
      <c r="I690" s="112">
        <f>IFERROR(IF(OR(G690="yes",F690= "yes"),VLOOKUP(C690,Summary!$B:$J,6,0),0),0)</f>
        <v>0</v>
      </c>
      <c r="J690" s="111">
        <f t="shared" si="132"/>
        <v>354</v>
      </c>
      <c r="K690" s="91">
        <f>VLOOKUP($A690,'2022-23 Salary &amp; Benefits'!$A:$I,3,FALSE)</f>
        <v>1.06</v>
      </c>
      <c r="L690" s="91">
        <f>VLOOKUP($A690,'2022-23 Salary &amp; Benefits'!$A:$I,4,FALSE)</f>
        <v>1.06</v>
      </c>
      <c r="M690" s="101">
        <f t="shared" si="127"/>
        <v>354</v>
      </c>
      <c r="N690" s="24">
        <v>15</v>
      </c>
      <c r="O690" s="26">
        <f t="shared" si="130"/>
        <v>23.6</v>
      </c>
      <c r="P690" s="24">
        <v>1.1000000000000001</v>
      </c>
      <c r="Q690" s="24">
        <v>36</v>
      </c>
      <c r="R690" s="27">
        <f t="shared" si="131"/>
        <v>934.56000000000017</v>
      </c>
      <c r="S690" s="102">
        <f t="shared" si="133"/>
        <v>1.038</v>
      </c>
      <c r="T690" s="21">
        <f>VLOOKUP($A690,'2022-23 Salary &amp; Benefits'!$A:$I,5,FALSE)</f>
        <v>68937</v>
      </c>
      <c r="U690" s="21">
        <f>VLOOKUP($A690,'2022-23 Salary &amp; Benefits'!$A:$I,6,FALSE)</f>
        <v>72728</v>
      </c>
      <c r="V690" s="22">
        <f t="shared" si="134"/>
        <v>75850</v>
      </c>
      <c r="W690" s="22">
        <f t="shared" si="135"/>
        <v>4171.1600000000035</v>
      </c>
      <c r="X690" s="22">
        <f>'2022-23 Salary &amp; Benefits'!$G$6</f>
        <v>12558.24</v>
      </c>
      <c r="Y690" s="23">
        <f>'2022-23 Salary &amp; Benefits'!$H$6</f>
        <v>0.2298</v>
      </c>
      <c r="Z690" s="23">
        <f>'2022-23 Salary &amp; Benefits'!$I$6</f>
        <v>0.22339999999999999</v>
      </c>
      <c r="AA690" s="22">
        <f t="shared" si="136"/>
        <v>31397.62</v>
      </c>
      <c r="AB690" s="22">
        <f t="shared" si="137"/>
        <v>1333.69</v>
      </c>
      <c r="AC690" s="22">
        <f t="shared" si="138"/>
        <v>297.95</v>
      </c>
      <c r="AD690" s="22">
        <f t="shared" si="128"/>
        <v>1631.64</v>
      </c>
      <c r="AE690" s="22">
        <f t="shared" si="129"/>
        <v>113050.42</v>
      </c>
      <c r="AF690" s="19" t="str">
        <f>VLOOKUP(C690,'2021-22 School Level AAFTE'!C:N,12,FALSE)</f>
        <v>No</v>
      </c>
    </row>
    <row r="691" spans="1:284" s="19" customFormat="1">
      <c r="A691" s="97" t="s">
        <v>2448</v>
      </c>
      <c r="B691" s="97" t="s">
        <v>1459</v>
      </c>
      <c r="C691" s="95">
        <v>3648</v>
      </c>
      <c r="D691" s="95" t="s">
        <v>1471</v>
      </c>
      <c r="E691" s="129">
        <f>VLOOKUP($C691,'2021-22 School Level AAFTE'!$C:$Z,11,FALSE)</f>
        <v>0.6962666666666667</v>
      </c>
      <c r="F691" s="129" t="str">
        <f>VLOOKUP($C691,'2021-22 School Level AAFTE'!$C:$Z,8,FALSE)</f>
        <v>Yes</v>
      </c>
      <c r="G691" s="129" t="str">
        <f>VLOOKUP($C691,'2021-22 School Level AAFTE'!$C:$Z,12,FALSE)</f>
        <v>No</v>
      </c>
      <c r="H691" s="127">
        <f>VLOOKUP($C691,'2021-22 School Level AAFTE'!$C:$I,7,FALSE)</f>
        <v>974.56</v>
      </c>
      <c r="I691" s="112">
        <f>IFERROR(IF(OR(G691="yes",F691= "yes"),VLOOKUP(C691,Summary!$B:$J,6,0),0),0)</f>
        <v>0</v>
      </c>
      <c r="J691" s="111">
        <f t="shared" si="132"/>
        <v>974.56</v>
      </c>
      <c r="K691" s="91">
        <f>VLOOKUP($A691,'2022-23 Salary &amp; Benefits'!$A:$I,3,FALSE)</f>
        <v>1.06</v>
      </c>
      <c r="L691" s="91">
        <f>VLOOKUP($A691,'2022-23 Salary &amp; Benefits'!$A:$I,4,FALSE)</f>
        <v>1.06</v>
      </c>
      <c r="M691" s="39">
        <f t="shared" ref="M691:M748" si="139">IF(I691&gt;0,I691,J691)</f>
        <v>974.56</v>
      </c>
      <c r="N691" s="24">
        <v>15</v>
      </c>
      <c r="O691" s="26">
        <f t="shared" si="130"/>
        <v>64.970666666666659</v>
      </c>
      <c r="P691" s="24">
        <v>1.1000000000000001</v>
      </c>
      <c r="Q691" s="24">
        <v>36</v>
      </c>
      <c r="R691" s="27">
        <f t="shared" si="131"/>
        <v>2572.8383999999996</v>
      </c>
      <c r="S691" s="102">
        <f t="shared" si="133"/>
        <v>2.859</v>
      </c>
      <c r="T691" s="21">
        <f>VLOOKUP($A691,'2022-23 Salary &amp; Benefits'!$A:$I,5,FALSE)</f>
        <v>68937</v>
      </c>
      <c r="U691" s="21">
        <f>VLOOKUP($A691,'2022-23 Salary &amp; Benefits'!$A:$I,6,FALSE)</f>
        <v>72728</v>
      </c>
      <c r="V691" s="22">
        <f t="shared" si="134"/>
        <v>208916.34</v>
      </c>
      <c r="W691" s="22">
        <f t="shared" si="135"/>
        <v>11488.76999999999</v>
      </c>
      <c r="X691" s="22">
        <f>'2022-23 Salary &amp; Benefits'!$G$6</f>
        <v>12558.24</v>
      </c>
      <c r="Y691" s="23">
        <f>'2022-23 Salary &amp; Benefits'!$H$6</f>
        <v>0.2298</v>
      </c>
      <c r="Z691" s="23">
        <f>'2022-23 Salary &amp; Benefits'!$I$6</f>
        <v>0.22339999999999999</v>
      </c>
      <c r="AA691" s="22">
        <f t="shared" si="136"/>
        <v>86479.57</v>
      </c>
      <c r="AB691" s="22">
        <f t="shared" si="137"/>
        <v>3673.42</v>
      </c>
      <c r="AC691" s="22">
        <f t="shared" si="138"/>
        <v>820.64</v>
      </c>
      <c r="AD691" s="22">
        <f t="shared" ref="AD691:AD748" si="140">SUM(AB691:AC691)</f>
        <v>4494.0600000000004</v>
      </c>
      <c r="AE691" s="22">
        <f t="shared" ref="AE691:AE748" si="141">SUM(AA691,V691:W691,AD691)</f>
        <v>311378.74000000005</v>
      </c>
      <c r="AF691" s="19" t="str">
        <f>VLOOKUP(C691,'2021-22 School Level AAFTE'!C:N,12,FALSE)</f>
        <v>No</v>
      </c>
    </row>
    <row r="692" spans="1:284" s="19" customFormat="1">
      <c r="A692" s="97" t="s">
        <v>2448</v>
      </c>
      <c r="B692" s="97" t="s">
        <v>1459</v>
      </c>
      <c r="C692" s="95">
        <v>4063</v>
      </c>
      <c r="D692" s="95" t="s">
        <v>1472</v>
      </c>
      <c r="E692" s="129">
        <f>VLOOKUP($C692,'2021-22 School Level AAFTE'!$C:$Z,11,FALSE)</f>
        <v>0.74003333333333332</v>
      </c>
      <c r="F692" s="129" t="str">
        <f>VLOOKUP($C692,'2021-22 School Level AAFTE'!$C:$Z,8,FALSE)</f>
        <v>Yes</v>
      </c>
      <c r="G692" s="129" t="str">
        <f>VLOOKUP($C692,'2021-22 School Level AAFTE'!$C:$Z,12,FALSE)</f>
        <v>No</v>
      </c>
      <c r="H692" s="127">
        <f>VLOOKUP($C692,'2021-22 School Level AAFTE'!$C:$I,7,FALSE)</f>
        <v>98.11</v>
      </c>
      <c r="I692" s="112">
        <f>IFERROR(IF(OR(G692="yes",F692= "yes"),VLOOKUP(C692,Summary!$B:$J,6,0),0),0)</f>
        <v>0</v>
      </c>
      <c r="J692" s="111">
        <f t="shared" si="132"/>
        <v>98.11</v>
      </c>
      <c r="K692" s="91">
        <f>VLOOKUP($A692,'2022-23 Salary &amp; Benefits'!$A:$I,3,FALSE)</f>
        <v>1.06</v>
      </c>
      <c r="L692" s="91">
        <f>VLOOKUP($A692,'2022-23 Salary &amp; Benefits'!$A:$I,4,FALSE)</f>
        <v>1.06</v>
      </c>
      <c r="M692" s="39">
        <f t="shared" si="139"/>
        <v>98.11</v>
      </c>
      <c r="N692" s="24">
        <v>15</v>
      </c>
      <c r="O692" s="26">
        <f t="shared" si="130"/>
        <v>6.5406666666666666</v>
      </c>
      <c r="P692" s="24">
        <v>1.1000000000000001</v>
      </c>
      <c r="Q692" s="24">
        <v>36</v>
      </c>
      <c r="R692" s="27">
        <f t="shared" si="131"/>
        <v>259.0104</v>
      </c>
      <c r="S692" s="102">
        <f t="shared" si="133"/>
        <v>0.28799999999999998</v>
      </c>
      <c r="T692" s="21">
        <f>VLOOKUP($A692,'2022-23 Salary &amp; Benefits'!$A:$I,5,FALSE)</f>
        <v>68937</v>
      </c>
      <c r="U692" s="21">
        <f>VLOOKUP($A692,'2022-23 Salary &amp; Benefits'!$A:$I,6,FALSE)</f>
        <v>72728</v>
      </c>
      <c r="V692" s="22">
        <f t="shared" si="134"/>
        <v>21045.09</v>
      </c>
      <c r="W692" s="22">
        <f t="shared" si="135"/>
        <v>1157.3100000000013</v>
      </c>
      <c r="X692" s="22">
        <f>'2022-23 Salary &amp; Benefits'!$G$6</f>
        <v>12558.24</v>
      </c>
      <c r="Y692" s="23">
        <f>'2022-23 Salary &amp; Benefits'!$H$6</f>
        <v>0.2298</v>
      </c>
      <c r="Z692" s="23">
        <f>'2022-23 Salary &amp; Benefits'!$I$6</f>
        <v>0.22339999999999999</v>
      </c>
      <c r="AA692" s="22">
        <f t="shared" si="136"/>
        <v>8711.48</v>
      </c>
      <c r="AB692" s="22">
        <f t="shared" si="137"/>
        <v>370.04</v>
      </c>
      <c r="AC692" s="22">
        <f t="shared" si="138"/>
        <v>82.67</v>
      </c>
      <c r="AD692" s="22">
        <f t="shared" si="140"/>
        <v>452.71000000000004</v>
      </c>
      <c r="AE692" s="22">
        <f t="shared" si="141"/>
        <v>31366.59</v>
      </c>
      <c r="AF692" s="19" t="str">
        <f>VLOOKUP(C692,'2021-22 School Level AAFTE'!C:N,12,FALSE)</f>
        <v>No</v>
      </c>
    </row>
    <row r="693" spans="1:284" s="19" customFormat="1">
      <c r="A693" s="97" t="s">
        <v>2493</v>
      </c>
      <c r="B693" s="97" t="s">
        <v>1871</v>
      </c>
      <c r="C693" s="95">
        <v>3192</v>
      </c>
      <c r="D693" s="95" t="s">
        <v>1872</v>
      </c>
      <c r="E693" s="129">
        <f>VLOOKUP($C693,'2021-22 School Level AAFTE'!$C:$Z,11,FALSE)</f>
        <v>0.20646666666666666</v>
      </c>
      <c r="F693" s="129" t="str">
        <f>VLOOKUP($C693,'2021-22 School Level AAFTE'!$C:$Z,8,FALSE)</f>
        <v>No</v>
      </c>
      <c r="G693" s="129" t="str">
        <f>VLOOKUP($C693,'2021-22 School Level AAFTE'!$C:$Z,12,FALSE)</f>
        <v>No</v>
      </c>
      <c r="H693" s="127">
        <f>VLOOKUP($C693,'2021-22 School Level AAFTE'!$C:$I,7,FALSE)</f>
        <v>296.96999999999997</v>
      </c>
      <c r="I693" s="112">
        <f>IFERROR(IF(OR(G693="yes",F693= "yes"),VLOOKUP(C693,Summary!$B:$J,6,0),0),0)</f>
        <v>0</v>
      </c>
      <c r="J693" s="111">
        <f t="shared" si="132"/>
        <v>0</v>
      </c>
      <c r="K693" s="91">
        <f>VLOOKUP($A693,'2022-23 Salary &amp; Benefits'!$A:$I,3,FALSE)</f>
        <v>1</v>
      </c>
      <c r="L693" s="91">
        <f>VLOOKUP($A693,'2022-23 Salary &amp; Benefits'!$A:$I,4,FALSE)</f>
        <v>1.04</v>
      </c>
      <c r="M693" s="39">
        <f t="shared" si="139"/>
        <v>0</v>
      </c>
      <c r="N693" s="24">
        <v>15</v>
      </c>
      <c r="O693" s="26">
        <f t="shared" si="130"/>
        <v>0</v>
      </c>
      <c r="P693" s="24">
        <v>1.1000000000000001</v>
      </c>
      <c r="Q693" s="24">
        <v>36</v>
      </c>
      <c r="R693" s="27">
        <f t="shared" si="131"/>
        <v>0</v>
      </c>
      <c r="S693" s="102">
        <f t="shared" si="133"/>
        <v>0</v>
      </c>
      <c r="T693" s="21">
        <f>VLOOKUP($A693,'2022-23 Salary &amp; Benefits'!$A:$I,5,FALSE)</f>
        <v>68937</v>
      </c>
      <c r="U693" s="21">
        <f>VLOOKUP($A693,'2022-23 Salary &amp; Benefits'!$A:$I,6,FALSE)</f>
        <v>72728</v>
      </c>
      <c r="V693" s="22">
        <f t="shared" si="134"/>
        <v>0</v>
      </c>
      <c r="W693" s="22">
        <f t="shared" si="135"/>
        <v>0</v>
      </c>
      <c r="X693" s="22">
        <f>'2022-23 Salary &amp; Benefits'!$G$6</f>
        <v>12558.24</v>
      </c>
      <c r="Y693" s="23">
        <f>'2022-23 Salary &amp; Benefits'!$H$6</f>
        <v>0.2298</v>
      </c>
      <c r="Z693" s="23">
        <f>'2022-23 Salary &amp; Benefits'!$I$6</f>
        <v>0.22339999999999999</v>
      </c>
      <c r="AA693" s="22">
        <f t="shared" si="136"/>
        <v>0</v>
      </c>
      <c r="AB693" s="22">
        <f t="shared" si="137"/>
        <v>0</v>
      </c>
      <c r="AC693" s="22">
        <f t="shared" si="138"/>
        <v>0</v>
      </c>
      <c r="AD693" s="22">
        <f t="shared" si="140"/>
        <v>0</v>
      </c>
      <c r="AE693" s="22">
        <f t="shared" si="141"/>
        <v>0</v>
      </c>
      <c r="AF693" s="19" t="str">
        <f>VLOOKUP(C693,'2021-22 School Level AAFTE'!C:N,12,FALSE)</f>
        <v>No</v>
      </c>
    </row>
    <row r="694" spans="1:284" s="19" customFormat="1">
      <c r="A694" s="97" t="s">
        <v>2493</v>
      </c>
      <c r="B694" s="97" t="s">
        <v>1871</v>
      </c>
      <c r="C694" s="95">
        <v>3794</v>
      </c>
      <c r="D694" s="95" t="s">
        <v>1873</v>
      </c>
      <c r="E694" s="129">
        <f>VLOOKUP($C694,'2021-22 School Level AAFTE'!$C:$Z,11,FALSE)</f>
        <v>0.22119999999999998</v>
      </c>
      <c r="F694" s="129" t="str">
        <f>VLOOKUP($C694,'2021-22 School Level AAFTE'!$C:$Z,8,FALSE)</f>
        <v>No</v>
      </c>
      <c r="G694" s="129" t="str">
        <f>VLOOKUP($C694,'2021-22 School Level AAFTE'!$C:$Z,12,FALSE)</f>
        <v>No</v>
      </c>
      <c r="H694" s="127">
        <f>VLOOKUP($C694,'2021-22 School Level AAFTE'!$C:$I,7,FALSE)</f>
        <v>338.2</v>
      </c>
      <c r="I694" s="112">
        <f>IFERROR(IF(OR(G694="yes",F694= "yes"),VLOOKUP(C694,Summary!$B:$J,6,0),0),0)</f>
        <v>0</v>
      </c>
      <c r="J694" s="111">
        <f t="shared" si="132"/>
        <v>0</v>
      </c>
      <c r="K694" s="91">
        <f>VLOOKUP($A694,'2022-23 Salary &amp; Benefits'!$A:$I,3,FALSE)</f>
        <v>1</v>
      </c>
      <c r="L694" s="91">
        <f>VLOOKUP($A694,'2022-23 Salary &amp; Benefits'!$A:$I,4,FALSE)</f>
        <v>1.04</v>
      </c>
      <c r="M694" s="101">
        <f t="shared" si="139"/>
        <v>0</v>
      </c>
      <c r="N694" s="24">
        <v>15</v>
      </c>
      <c r="O694" s="26">
        <f t="shared" si="130"/>
        <v>0</v>
      </c>
      <c r="P694" s="24">
        <v>1.1000000000000001</v>
      </c>
      <c r="Q694" s="24">
        <v>36</v>
      </c>
      <c r="R694" s="27">
        <f t="shared" si="131"/>
        <v>0</v>
      </c>
      <c r="S694" s="102">
        <f t="shared" si="133"/>
        <v>0</v>
      </c>
      <c r="T694" s="21">
        <f>VLOOKUP($A694,'2022-23 Salary &amp; Benefits'!$A:$I,5,FALSE)</f>
        <v>68937</v>
      </c>
      <c r="U694" s="21">
        <f>VLOOKUP($A694,'2022-23 Salary &amp; Benefits'!$A:$I,6,FALSE)</f>
        <v>72728</v>
      </c>
      <c r="V694" s="22">
        <f t="shared" si="134"/>
        <v>0</v>
      </c>
      <c r="W694" s="22">
        <f t="shared" si="135"/>
        <v>0</v>
      </c>
      <c r="X694" s="22">
        <f>'2022-23 Salary &amp; Benefits'!$G$6</f>
        <v>12558.24</v>
      </c>
      <c r="Y694" s="23">
        <f>'2022-23 Salary &amp; Benefits'!$H$6</f>
        <v>0.2298</v>
      </c>
      <c r="Z694" s="23">
        <f>'2022-23 Salary &amp; Benefits'!$I$6</f>
        <v>0.22339999999999999</v>
      </c>
      <c r="AA694" s="22">
        <f t="shared" si="136"/>
        <v>0</v>
      </c>
      <c r="AB694" s="22">
        <f t="shared" si="137"/>
        <v>0</v>
      </c>
      <c r="AC694" s="22">
        <f t="shared" si="138"/>
        <v>0</v>
      </c>
      <c r="AD694" s="22">
        <f t="shared" si="140"/>
        <v>0</v>
      </c>
      <c r="AE694" s="22">
        <f t="shared" si="141"/>
        <v>0</v>
      </c>
      <c r="AF694" s="19" t="str">
        <f>VLOOKUP(C694,'2021-22 School Level AAFTE'!C:N,12,FALSE)</f>
        <v>No</v>
      </c>
    </row>
    <row r="695" spans="1:284" s="19" customFormat="1">
      <c r="A695" s="97" t="s">
        <v>2493</v>
      </c>
      <c r="B695" s="97" t="s">
        <v>1871</v>
      </c>
      <c r="C695" s="95">
        <v>4593</v>
      </c>
      <c r="D695" s="95" t="s">
        <v>1874</v>
      </c>
      <c r="E695" s="129">
        <f>VLOOKUP($C695,'2021-22 School Level AAFTE'!$C:$Z,11,FALSE)</f>
        <v>0.23696666666666666</v>
      </c>
      <c r="F695" s="129" t="str">
        <f>VLOOKUP($C695,'2021-22 School Level AAFTE'!$C:$Z,8,FALSE)</f>
        <v>No</v>
      </c>
      <c r="G695" s="129" t="str">
        <f>VLOOKUP($C695,'2021-22 School Level AAFTE'!$C:$Z,12,FALSE)</f>
        <v>No</v>
      </c>
      <c r="H695" s="127">
        <f>VLOOKUP($C695,'2021-22 School Level AAFTE'!$C:$I,7,FALSE)</f>
        <v>224.84</v>
      </c>
      <c r="I695" s="112">
        <f>IFERROR(IF(OR(G695="yes",F695= "yes"),VLOOKUP(C695,Summary!$B:$J,6,0),0),0)</f>
        <v>0</v>
      </c>
      <c r="J695" s="111">
        <f t="shared" si="132"/>
        <v>0</v>
      </c>
      <c r="K695" s="91">
        <f>VLOOKUP($A695,'2022-23 Salary &amp; Benefits'!$A:$I,3,FALSE)</f>
        <v>1</v>
      </c>
      <c r="L695" s="91">
        <f>VLOOKUP($A695,'2022-23 Salary &amp; Benefits'!$A:$I,4,FALSE)</f>
        <v>1.04</v>
      </c>
      <c r="M695" s="39">
        <f t="shared" si="139"/>
        <v>0</v>
      </c>
      <c r="N695" s="24">
        <v>15</v>
      </c>
      <c r="O695" s="26">
        <f t="shared" si="130"/>
        <v>0</v>
      </c>
      <c r="P695" s="24">
        <v>1.1000000000000001</v>
      </c>
      <c r="Q695" s="24">
        <v>36</v>
      </c>
      <c r="R695" s="27">
        <f t="shared" si="131"/>
        <v>0</v>
      </c>
      <c r="S695" s="102">
        <f t="shared" si="133"/>
        <v>0</v>
      </c>
      <c r="T695" s="21">
        <f>VLOOKUP($A695,'2022-23 Salary &amp; Benefits'!$A:$I,5,FALSE)</f>
        <v>68937</v>
      </c>
      <c r="U695" s="21">
        <f>VLOOKUP($A695,'2022-23 Salary &amp; Benefits'!$A:$I,6,FALSE)</f>
        <v>72728</v>
      </c>
      <c r="V695" s="22">
        <f t="shared" si="134"/>
        <v>0</v>
      </c>
      <c r="W695" s="22">
        <f t="shared" si="135"/>
        <v>0</v>
      </c>
      <c r="X695" s="22">
        <f>'2022-23 Salary &amp; Benefits'!$G$6</f>
        <v>12558.24</v>
      </c>
      <c r="Y695" s="23">
        <f>'2022-23 Salary &amp; Benefits'!$H$6</f>
        <v>0.2298</v>
      </c>
      <c r="Z695" s="23">
        <f>'2022-23 Salary &amp; Benefits'!$I$6</f>
        <v>0.22339999999999999</v>
      </c>
      <c r="AA695" s="22">
        <f t="shared" si="136"/>
        <v>0</v>
      </c>
      <c r="AB695" s="22">
        <f t="shared" si="137"/>
        <v>0</v>
      </c>
      <c r="AC695" s="22">
        <f t="shared" si="138"/>
        <v>0</v>
      </c>
      <c r="AD695" s="22">
        <f t="shared" si="140"/>
        <v>0</v>
      </c>
      <c r="AE695" s="22">
        <f t="shared" si="141"/>
        <v>0</v>
      </c>
      <c r="AF695" s="19" t="str">
        <f>VLOOKUP(C695,'2021-22 School Level AAFTE'!C:N,12,FALSE)</f>
        <v>No</v>
      </c>
    </row>
    <row r="696" spans="1:284" s="19" customFormat="1">
      <c r="A696" s="97" t="s">
        <v>2546</v>
      </c>
      <c r="B696" s="97" t="s">
        <v>2147</v>
      </c>
      <c r="C696" s="95">
        <v>1962</v>
      </c>
      <c r="D696" s="95" t="s">
        <v>2148</v>
      </c>
      <c r="E696" s="129">
        <f>VLOOKUP($C696,'2021-22 School Level AAFTE'!$C:$Z,11,FALSE)</f>
        <v>0.42483333333333334</v>
      </c>
      <c r="F696" s="129" t="str">
        <f>VLOOKUP($C696,'2021-22 School Level AAFTE'!$C:$Z,8,FALSE)</f>
        <v>No</v>
      </c>
      <c r="G696" s="129" t="str">
        <f>VLOOKUP($C696,'2021-22 School Level AAFTE'!$C:$Z,12,FALSE)</f>
        <v>No</v>
      </c>
      <c r="H696" s="127">
        <f>VLOOKUP($C696,'2021-22 School Level AAFTE'!$C:$I,7,FALSE)</f>
        <v>25.090000000000003</v>
      </c>
      <c r="I696" s="112">
        <f>IFERROR(IF(OR(G696="yes",F696= "yes"),VLOOKUP(C696,Summary!$B:$J,6,0),0),0)</f>
        <v>0</v>
      </c>
      <c r="J696" s="111">
        <f t="shared" si="132"/>
        <v>0</v>
      </c>
      <c r="K696" s="91">
        <f>VLOOKUP($A696,'2022-23 Salary &amp; Benefits'!$A:$I,3,FALSE)</f>
        <v>1</v>
      </c>
      <c r="L696" s="91">
        <f>VLOOKUP($A696,'2022-23 Salary &amp; Benefits'!$A:$I,4,FALSE)</f>
        <v>1</v>
      </c>
      <c r="M696" s="101">
        <f t="shared" si="139"/>
        <v>0</v>
      </c>
      <c r="N696" s="24">
        <v>15</v>
      </c>
      <c r="O696" s="26">
        <f t="shared" si="130"/>
        <v>0</v>
      </c>
      <c r="P696" s="24">
        <v>1.1000000000000001</v>
      </c>
      <c r="Q696" s="24">
        <v>36</v>
      </c>
      <c r="R696" s="27">
        <f t="shared" si="131"/>
        <v>0</v>
      </c>
      <c r="S696" s="102">
        <f t="shared" si="133"/>
        <v>0</v>
      </c>
      <c r="T696" s="21">
        <f>VLOOKUP($A696,'2022-23 Salary &amp; Benefits'!$A:$I,5,FALSE)</f>
        <v>68937</v>
      </c>
      <c r="U696" s="21">
        <f>VLOOKUP($A696,'2022-23 Salary &amp; Benefits'!$A:$I,6,FALSE)</f>
        <v>72728</v>
      </c>
      <c r="V696" s="22">
        <f t="shared" si="134"/>
        <v>0</v>
      </c>
      <c r="W696" s="22">
        <f t="shared" si="135"/>
        <v>0</v>
      </c>
      <c r="X696" s="22">
        <f>'2022-23 Salary &amp; Benefits'!$G$6</f>
        <v>12558.24</v>
      </c>
      <c r="Y696" s="23">
        <f>'2022-23 Salary &amp; Benefits'!$H$6</f>
        <v>0.2298</v>
      </c>
      <c r="Z696" s="23">
        <f>'2022-23 Salary &amp; Benefits'!$I$6</f>
        <v>0.22339999999999999</v>
      </c>
      <c r="AA696" s="22">
        <f t="shared" si="136"/>
        <v>0</v>
      </c>
      <c r="AB696" s="22">
        <f t="shared" si="137"/>
        <v>0</v>
      </c>
      <c r="AC696" s="22">
        <f t="shared" si="138"/>
        <v>0</v>
      </c>
      <c r="AD696" s="22">
        <f t="shared" si="140"/>
        <v>0</v>
      </c>
      <c r="AE696" s="22">
        <f t="shared" si="141"/>
        <v>0</v>
      </c>
      <c r="AF696" s="19" t="str">
        <f>VLOOKUP(C696,'2021-22 School Level AAFTE'!C:N,12,FALSE)</f>
        <v>No</v>
      </c>
    </row>
    <row r="697" spans="1:284" s="19" customFormat="1">
      <c r="A697" s="97" t="s">
        <v>2546</v>
      </c>
      <c r="B697" s="97" t="s">
        <v>2147</v>
      </c>
      <c r="C697" s="95">
        <v>2895</v>
      </c>
      <c r="D697" s="95" t="s">
        <v>1812</v>
      </c>
      <c r="E697" s="129">
        <f>VLOOKUP($C697,'2021-22 School Level AAFTE'!$C:$Z,11,FALSE)</f>
        <v>0.50206666666666666</v>
      </c>
      <c r="F697" s="129" t="str">
        <f>VLOOKUP($C697,'2021-22 School Level AAFTE'!$C:$Z,8,FALSE)</f>
        <v>Yes</v>
      </c>
      <c r="G697" s="129" t="str">
        <f>VLOOKUP($C697,'2021-22 School Level AAFTE'!$C:$Z,12,FALSE)</f>
        <v>No</v>
      </c>
      <c r="H697" s="127">
        <f>VLOOKUP($C697,'2021-22 School Level AAFTE'!$C:$I,7,FALSE)</f>
        <v>49.43</v>
      </c>
      <c r="I697" s="112">
        <f>IFERROR(IF(OR(G697="yes",F697= "yes"),VLOOKUP(C697,Summary!$B:$J,6,0),0),0)</f>
        <v>0</v>
      </c>
      <c r="J697" s="111">
        <f t="shared" si="132"/>
        <v>49.43</v>
      </c>
      <c r="K697" s="91">
        <f>VLOOKUP($A697,'2022-23 Salary &amp; Benefits'!$A:$I,3,FALSE)</f>
        <v>1</v>
      </c>
      <c r="L697" s="91">
        <f>VLOOKUP($A697,'2022-23 Salary &amp; Benefits'!$A:$I,4,FALSE)</f>
        <v>1</v>
      </c>
      <c r="M697" s="101">
        <f t="shared" si="139"/>
        <v>49.43</v>
      </c>
      <c r="N697" s="24">
        <v>15</v>
      </c>
      <c r="O697" s="26">
        <f t="shared" si="130"/>
        <v>3.2953333333333332</v>
      </c>
      <c r="P697" s="24">
        <v>1.1000000000000001</v>
      </c>
      <c r="Q697" s="24">
        <v>36</v>
      </c>
      <c r="R697" s="27">
        <f t="shared" si="131"/>
        <v>130.49520000000001</v>
      </c>
      <c r="S697" s="102">
        <f t="shared" si="133"/>
        <v>0.14499999999999999</v>
      </c>
      <c r="T697" s="21">
        <f>VLOOKUP($A697,'2022-23 Salary &amp; Benefits'!$A:$I,5,FALSE)</f>
        <v>68937</v>
      </c>
      <c r="U697" s="21">
        <f>VLOOKUP($A697,'2022-23 Salary &amp; Benefits'!$A:$I,6,FALSE)</f>
        <v>72728</v>
      </c>
      <c r="V697" s="22">
        <f t="shared" si="134"/>
        <v>9995.8700000000008</v>
      </c>
      <c r="W697" s="22">
        <f t="shared" si="135"/>
        <v>549.68999999999869</v>
      </c>
      <c r="X697" s="22">
        <f>'2022-23 Salary &amp; Benefits'!$G$6</f>
        <v>12558.24</v>
      </c>
      <c r="Y697" s="23">
        <f>'2022-23 Salary &amp; Benefits'!$H$6</f>
        <v>0.2298</v>
      </c>
      <c r="Z697" s="23">
        <f>'2022-23 Salary &amp; Benefits'!$I$6</f>
        <v>0.22339999999999999</v>
      </c>
      <c r="AA697" s="22">
        <f t="shared" si="136"/>
        <v>4240.8</v>
      </c>
      <c r="AB697" s="22">
        <f t="shared" si="137"/>
        <v>175.76</v>
      </c>
      <c r="AC697" s="22">
        <f t="shared" si="138"/>
        <v>39.26</v>
      </c>
      <c r="AD697" s="22">
        <f t="shared" si="140"/>
        <v>215.01999999999998</v>
      </c>
      <c r="AE697" s="22">
        <f t="shared" si="141"/>
        <v>15001.380000000001</v>
      </c>
      <c r="AF697" s="19" t="str">
        <f>VLOOKUP(C697,'2021-22 School Level AAFTE'!C:N,12,FALSE)</f>
        <v>No</v>
      </c>
    </row>
    <row r="698" spans="1:284" s="19" customFormat="1">
      <c r="A698" s="97" t="s">
        <v>2546</v>
      </c>
      <c r="B698" s="97" t="s">
        <v>2147</v>
      </c>
      <c r="C698" s="95">
        <v>2896</v>
      </c>
      <c r="D698" s="95" t="s">
        <v>2149</v>
      </c>
      <c r="E698" s="129">
        <f>VLOOKUP($C698,'2021-22 School Level AAFTE'!$C:$Z,11,FALSE)</f>
        <v>0.49819999999999998</v>
      </c>
      <c r="F698" s="129" t="str">
        <f>VLOOKUP($C698,'2021-22 School Level AAFTE'!$C:$Z,8,FALSE)</f>
        <v>No</v>
      </c>
      <c r="G698" s="129" t="str">
        <f>VLOOKUP($C698,'2021-22 School Level AAFTE'!$C:$Z,12,FALSE)</f>
        <v>Yes</v>
      </c>
      <c r="H698" s="127">
        <f>VLOOKUP($C698,'2021-22 School Level AAFTE'!$C:$I,7,FALSE)</f>
        <v>31</v>
      </c>
      <c r="I698" s="112">
        <f>IFERROR(IF(OR(G698="yes",F698= "yes"),VLOOKUP(C698,Summary!$B:$J,6,0),0),0)</f>
        <v>0</v>
      </c>
      <c r="J698" s="111">
        <f t="shared" si="132"/>
        <v>31</v>
      </c>
      <c r="K698" s="91">
        <f>VLOOKUP($A698,'2022-23 Salary &amp; Benefits'!$A:$I,3,FALSE)</f>
        <v>1</v>
      </c>
      <c r="L698" s="91">
        <f>VLOOKUP($A698,'2022-23 Salary &amp; Benefits'!$A:$I,4,FALSE)</f>
        <v>1</v>
      </c>
      <c r="M698" s="101">
        <f t="shared" si="139"/>
        <v>31</v>
      </c>
      <c r="N698" s="24">
        <v>15</v>
      </c>
      <c r="O698" s="26">
        <f t="shared" si="130"/>
        <v>2.0666666666666669</v>
      </c>
      <c r="P698" s="24">
        <v>1.1000000000000001</v>
      </c>
      <c r="Q698" s="24">
        <v>36</v>
      </c>
      <c r="R698" s="27">
        <f t="shared" si="131"/>
        <v>81.840000000000018</v>
      </c>
      <c r="S698" s="102">
        <f t="shared" si="133"/>
        <v>9.0999999999999998E-2</v>
      </c>
      <c r="T698" s="21">
        <f>VLOOKUP($A698,'2022-23 Salary &amp; Benefits'!$A:$I,5,FALSE)</f>
        <v>68937</v>
      </c>
      <c r="U698" s="21">
        <f>VLOOKUP($A698,'2022-23 Salary &amp; Benefits'!$A:$I,6,FALSE)</f>
        <v>72728</v>
      </c>
      <c r="V698" s="22">
        <f t="shared" si="134"/>
        <v>6273.27</v>
      </c>
      <c r="W698" s="22">
        <f t="shared" si="135"/>
        <v>344.97999999999956</v>
      </c>
      <c r="X698" s="22">
        <f>'2022-23 Salary &amp; Benefits'!$G$6</f>
        <v>12558.24</v>
      </c>
      <c r="Y698" s="23">
        <f>'2022-23 Salary &amp; Benefits'!$H$6</f>
        <v>0.2298</v>
      </c>
      <c r="Z698" s="23">
        <f>'2022-23 Salary &amp; Benefits'!$I$6</f>
        <v>0.22339999999999999</v>
      </c>
      <c r="AA698" s="22">
        <f t="shared" si="136"/>
        <v>2661.47</v>
      </c>
      <c r="AB698" s="22">
        <f t="shared" si="137"/>
        <v>110.3</v>
      </c>
      <c r="AC698" s="22">
        <f t="shared" si="138"/>
        <v>24.64</v>
      </c>
      <c r="AD698" s="22">
        <f t="shared" si="140"/>
        <v>134.94</v>
      </c>
      <c r="AE698" s="22">
        <f t="shared" si="141"/>
        <v>9414.66</v>
      </c>
      <c r="AF698" s="19" t="str">
        <f>VLOOKUP(C698,'2021-22 School Level AAFTE'!C:N,12,FALSE)</f>
        <v>Yes</v>
      </c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</row>
    <row r="699" spans="1:284" s="19" customFormat="1">
      <c r="A699" s="97" t="s">
        <v>2387</v>
      </c>
      <c r="B699" s="97" t="s">
        <v>1113</v>
      </c>
      <c r="C699" s="95">
        <v>3047</v>
      </c>
      <c r="D699" s="95" t="s">
        <v>1114</v>
      </c>
      <c r="E699" s="129">
        <f>VLOOKUP($C699,'2021-22 School Level AAFTE'!$C:$Z,11,FALSE)</f>
        <v>0.72223333333333339</v>
      </c>
      <c r="F699" s="129" t="str">
        <f>VLOOKUP($C699,'2021-22 School Level AAFTE'!$C:$Z,8,FALSE)</f>
        <v>Yes</v>
      </c>
      <c r="G699" s="129" t="str">
        <f>VLOOKUP($C699,'2021-22 School Level AAFTE'!$C:$Z,12,FALSE)</f>
        <v>No</v>
      </c>
      <c r="H699" s="127">
        <f>VLOOKUP($C699,'2021-22 School Level AAFTE'!$C:$I,7,FALSE)</f>
        <v>15.69</v>
      </c>
      <c r="I699" s="112">
        <f>IFERROR(IF(OR(G699="yes",F699= "yes"),VLOOKUP(C699,Summary!$B:$J,6,0),0),0)</f>
        <v>0</v>
      </c>
      <c r="J699" s="111">
        <f t="shared" si="132"/>
        <v>15.69</v>
      </c>
      <c r="K699" s="91">
        <f>VLOOKUP($A699,'2022-23 Salary &amp; Benefits'!$A:$I,3,FALSE)</f>
        <v>1</v>
      </c>
      <c r="L699" s="91">
        <f>VLOOKUP($A699,'2022-23 Salary &amp; Benefits'!$A:$I,4,FALSE)</f>
        <v>1.04</v>
      </c>
      <c r="M699" s="101">
        <f t="shared" si="139"/>
        <v>15.69</v>
      </c>
      <c r="N699" s="24">
        <v>15</v>
      </c>
      <c r="O699" s="26">
        <f t="shared" si="130"/>
        <v>1.046</v>
      </c>
      <c r="P699" s="24">
        <v>1.1000000000000001</v>
      </c>
      <c r="Q699" s="24">
        <v>36</v>
      </c>
      <c r="R699" s="27">
        <f t="shared" si="131"/>
        <v>41.421600000000005</v>
      </c>
      <c r="S699" s="102">
        <f t="shared" si="133"/>
        <v>4.5999999999999999E-2</v>
      </c>
      <c r="T699" s="21">
        <f>VLOOKUP($A699,'2022-23 Salary &amp; Benefits'!$A:$I,5,FALSE)</f>
        <v>68937</v>
      </c>
      <c r="U699" s="21">
        <f>VLOOKUP($A699,'2022-23 Salary &amp; Benefits'!$A:$I,6,FALSE)</f>
        <v>72728</v>
      </c>
      <c r="V699" s="22">
        <f t="shared" si="134"/>
        <v>3171.1</v>
      </c>
      <c r="W699" s="22">
        <f t="shared" si="135"/>
        <v>308.21000000000004</v>
      </c>
      <c r="X699" s="22">
        <f>'2022-23 Salary &amp; Benefits'!$G$6</f>
        <v>12558.24</v>
      </c>
      <c r="Y699" s="23">
        <f>'2022-23 Salary &amp; Benefits'!$H$6</f>
        <v>0.2298</v>
      </c>
      <c r="Z699" s="23">
        <f>'2022-23 Salary &amp; Benefits'!$I$6</f>
        <v>0.22339999999999999</v>
      </c>
      <c r="AA699" s="22">
        <f t="shared" si="136"/>
        <v>1375.25</v>
      </c>
      <c r="AB699" s="22">
        <f t="shared" si="137"/>
        <v>57.99</v>
      </c>
      <c r="AC699" s="22">
        <f t="shared" si="138"/>
        <v>12.95</v>
      </c>
      <c r="AD699" s="22">
        <f t="shared" si="140"/>
        <v>70.94</v>
      </c>
      <c r="AE699" s="22">
        <f t="shared" si="141"/>
        <v>4925.5</v>
      </c>
      <c r="AF699" s="19" t="str">
        <f>VLOOKUP(C699,'2021-22 School Level AAFTE'!C:N,12,FALSE)</f>
        <v>No</v>
      </c>
    </row>
    <row r="700" spans="1:284" s="19" customFormat="1">
      <c r="A700" s="97" t="s">
        <v>2387</v>
      </c>
      <c r="B700" s="97" t="s">
        <v>1113</v>
      </c>
      <c r="C700" s="95">
        <v>3048</v>
      </c>
      <c r="D700" s="95" t="s">
        <v>1115</v>
      </c>
      <c r="E700" s="129">
        <f>VLOOKUP($C700,'2021-22 School Level AAFTE'!$C:$Z,11,FALSE)</f>
        <v>0.45639999999999997</v>
      </c>
      <c r="F700" s="129" t="str">
        <f>VLOOKUP($C700,'2021-22 School Level AAFTE'!$C:$Z,8,FALSE)</f>
        <v>No</v>
      </c>
      <c r="G700" s="129" t="str">
        <f>VLOOKUP($C700,'2021-22 School Level AAFTE'!$C:$Z,12,FALSE)</f>
        <v>No</v>
      </c>
      <c r="H700" s="127">
        <f>VLOOKUP($C700,'2021-22 School Level AAFTE'!$C:$I,7,FALSE)</f>
        <v>36.57</v>
      </c>
      <c r="I700" s="112">
        <f>IFERROR(IF(OR(G700="yes",F700= "yes"),VLOOKUP(C700,Summary!$B:$J,6,0),0),0)</f>
        <v>0</v>
      </c>
      <c r="J700" s="111">
        <f t="shared" si="132"/>
        <v>0</v>
      </c>
      <c r="K700" s="91">
        <f>VLOOKUP($A700,'2022-23 Salary &amp; Benefits'!$A:$I,3,FALSE)</f>
        <v>1</v>
      </c>
      <c r="L700" s="91">
        <f>VLOOKUP($A700,'2022-23 Salary &amp; Benefits'!$A:$I,4,FALSE)</f>
        <v>1.04</v>
      </c>
      <c r="M700" s="101">
        <f t="shared" si="139"/>
        <v>0</v>
      </c>
      <c r="N700" s="24">
        <v>15</v>
      </c>
      <c r="O700" s="26">
        <f t="shared" si="130"/>
        <v>0</v>
      </c>
      <c r="P700" s="24">
        <v>1.1000000000000001</v>
      </c>
      <c r="Q700" s="24">
        <v>36</v>
      </c>
      <c r="R700" s="27">
        <f t="shared" si="131"/>
        <v>0</v>
      </c>
      <c r="S700" s="102">
        <f t="shared" si="133"/>
        <v>0</v>
      </c>
      <c r="T700" s="21">
        <f>VLOOKUP($A700,'2022-23 Salary &amp; Benefits'!$A:$I,5,FALSE)</f>
        <v>68937</v>
      </c>
      <c r="U700" s="21">
        <f>VLOOKUP($A700,'2022-23 Salary &amp; Benefits'!$A:$I,6,FALSE)</f>
        <v>72728</v>
      </c>
      <c r="V700" s="22">
        <f t="shared" si="134"/>
        <v>0</v>
      </c>
      <c r="W700" s="22">
        <f t="shared" si="135"/>
        <v>0</v>
      </c>
      <c r="X700" s="22">
        <f>'2022-23 Salary &amp; Benefits'!$G$6</f>
        <v>12558.24</v>
      </c>
      <c r="Y700" s="23">
        <f>'2022-23 Salary &amp; Benefits'!$H$6</f>
        <v>0.2298</v>
      </c>
      <c r="Z700" s="23">
        <f>'2022-23 Salary &amp; Benefits'!$I$6</f>
        <v>0.22339999999999999</v>
      </c>
      <c r="AA700" s="22">
        <f t="shared" si="136"/>
        <v>0</v>
      </c>
      <c r="AB700" s="22">
        <f t="shared" si="137"/>
        <v>0</v>
      </c>
      <c r="AC700" s="22">
        <f t="shared" si="138"/>
        <v>0</v>
      </c>
      <c r="AD700" s="22">
        <f t="shared" si="140"/>
        <v>0</v>
      </c>
      <c r="AE700" s="22">
        <f t="shared" si="141"/>
        <v>0</v>
      </c>
      <c r="AF700" s="19" t="str">
        <f>VLOOKUP(C700,'2021-22 School Level AAFTE'!C:N,12,FALSE)</f>
        <v>No</v>
      </c>
    </row>
    <row r="701" spans="1:284" s="19" customFormat="1">
      <c r="A701" s="97" t="s">
        <v>2390</v>
      </c>
      <c r="B701" s="97" t="s">
        <v>1119</v>
      </c>
      <c r="C701" s="95">
        <v>2677</v>
      </c>
      <c r="D701" s="95" t="s">
        <v>1120</v>
      </c>
      <c r="E701" s="129">
        <f>VLOOKUP($C701,'2021-22 School Level AAFTE'!$C:$Z,11,FALSE)</f>
        <v>0.63063333333333338</v>
      </c>
      <c r="F701" s="129" t="str">
        <f>VLOOKUP($C701,'2021-22 School Level AAFTE'!$C:$Z,8,FALSE)</f>
        <v>Yes</v>
      </c>
      <c r="G701" s="129" t="str">
        <f>VLOOKUP($C701,'2021-22 School Level AAFTE'!$C:$Z,12,FALSE)</f>
        <v>No</v>
      </c>
      <c r="H701" s="127">
        <f>VLOOKUP($C701,'2021-22 School Level AAFTE'!$C:$I,7,FALSE)</f>
        <v>283.58</v>
      </c>
      <c r="I701" s="112">
        <f>IFERROR(IF(OR(G701="yes",F701= "yes"),VLOOKUP(C701,Summary!$B:$J,6,0),0),0)</f>
        <v>0</v>
      </c>
      <c r="J701" s="111">
        <f t="shared" si="132"/>
        <v>283.58</v>
      </c>
      <c r="K701" s="91">
        <f>VLOOKUP($A701,'2022-23 Salary &amp; Benefits'!$A:$I,3,FALSE)</f>
        <v>1</v>
      </c>
      <c r="L701" s="91">
        <f>VLOOKUP($A701,'2022-23 Salary &amp; Benefits'!$A:$I,4,FALSE)</f>
        <v>1</v>
      </c>
      <c r="M701" s="101">
        <f t="shared" si="139"/>
        <v>283.58</v>
      </c>
      <c r="N701" s="24">
        <v>15</v>
      </c>
      <c r="O701" s="26">
        <f t="shared" si="130"/>
        <v>18.905333333333331</v>
      </c>
      <c r="P701" s="24">
        <v>1.1000000000000001</v>
      </c>
      <c r="Q701" s="24">
        <v>36</v>
      </c>
      <c r="R701" s="27">
        <f t="shared" si="131"/>
        <v>748.6511999999999</v>
      </c>
      <c r="S701" s="102">
        <f t="shared" si="133"/>
        <v>0.83199999999999996</v>
      </c>
      <c r="T701" s="21">
        <f>VLOOKUP($A701,'2022-23 Salary &amp; Benefits'!$A:$I,5,FALSE)</f>
        <v>68937</v>
      </c>
      <c r="U701" s="21">
        <f>VLOOKUP($A701,'2022-23 Salary &amp; Benefits'!$A:$I,6,FALSE)</f>
        <v>72728</v>
      </c>
      <c r="V701" s="22">
        <f t="shared" si="134"/>
        <v>57355.58</v>
      </c>
      <c r="W701" s="22">
        <f t="shared" si="135"/>
        <v>3154.1199999999953</v>
      </c>
      <c r="X701" s="22">
        <f>'2022-23 Salary &amp; Benefits'!$G$6</f>
        <v>12558.24</v>
      </c>
      <c r="Y701" s="23">
        <f>'2022-23 Salary &amp; Benefits'!$H$6</f>
        <v>0.2298</v>
      </c>
      <c r="Z701" s="23">
        <f>'2022-23 Salary &amp; Benefits'!$I$6</f>
        <v>0.22339999999999999</v>
      </c>
      <c r="AA701" s="22">
        <f t="shared" si="136"/>
        <v>24333.4</v>
      </c>
      <c r="AB701" s="22">
        <f t="shared" si="137"/>
        <v>1008.49</v>
      </c>
      <c r="AC701" s="22">
        <f t="shared" si="138"/>
        <v>225.3</v>
      </c>
      <c r="AD701" s="22">
        <f t="shared" si="140"/>
        <v>1233.79</v>
      </c>
      <c r="AE701" s="22">
        <f t="shared" si="141"/>
        <v>86076.89</v>
      </c>
      <c r="AF701" s="19" t="str">
        <f>VLOOKUP(C701,'2021-22 School Level AAFTE'!C:N,12,FALSE)</f>
        <v>No</v>
      </c>
    </row>
    <row r="702" spans="1:284" s="19" customFormat="1">
      <c r="A702" s="97" t="s">
        <v>2390</v>
      </c>
      <c r="B702" s="97" t="s">
        <v>1119</v>
      </c>
      <c r="C702" s="95">
        <v>2856</v>
      </c>
      <c r="D702" s="95" t="s">
        <v>1121</v>
      </c>
      <c r="E702" s="129">
        <f>VLOOKUP($C702,'2021-22 School Level AAFTE'!$C:$Z,11,FALSE)</f>
        <v>0.49986666666666668</v>
      </c>
      <c r="F702" s="129" t="str">
        <f>VLOOKUP($C702,'2021-22 School Level AAFTE'!$C:$Z,8,FALSE)</f>
        <v>No</v>
      </c>
      <c r="G702" s="129" t="str">
        <f>VLOOKUP($C702,'2021-22 School Level AAFTE'!$C:$Z,12,FALSE)</f>
        <v>No</v>
      </c>
      <c r="H702" s="127">
        <f>VLOOKUP($C702,'2021-22 School Level AAFTE'!$C:$I,7,FALSE)</f>
        <v>318.45999999999998</v>
      </c>
      <c r="I702" s="112">
        <f>IFERROR(IF(OR(G702="yes",F702= "yes"),VLOOKUP(C702,Summary!$B:$J,6,0),0),0)</f>
        <v>0</v>
      </c>
      <c r="J702" s="111">
        <f t="shared" si="132"/>
        <v>0</v>
      </c>
      <c r="K702" s="91">
        <f>VLOOKUP($A702,'2022-23 Salary &amp; Benefits'!$A:$I,3,FALSE)</f>
        <v>1</v>
      </c>
      <c r="L702" s="91">
        <f>VLOOKUP($A702,'2022-23 Salary &amp; Benefits'!$A:$I,4,FALSE)</f>
        <v>1</v>
      </c>
      <c r="M702" s="101">
        <f t="shared" si="139"/>
        <v>0</v>
      </c>
      <c r="N702" s="24">
        <v>15</v>
      </c>
      <c r="O702" s="26">
        <f t="shared" si="130"/>
        <v>0</v>
      </c>
      <c r="P702" s="24">
        <v>1.1000000000000001</v>
      </c>
      <c r="Q702" s="24">
        <v>36</v>
      </c>
      <c r="R702" s="27">
        <f t="shared" si="131"/>
        <v>0</v>
      </c>
      <c r="S702" s="102">
        <f t="shared" si="133"/>
        <v>0</v>
      </c>
      <c r="T702" s="21">
        <f>VLOOKUP($A702,'2022-23 Salary &amp; Benefits'!$A:$I,5,FALSE)</f>
        <v>68937</v>
      </c>
      <c r="U702" s="21">
        <f>VLOOKUP($A702,'2022-23 Salary &amp; Benefits'!$A:$I,6,FALSE)</f>
        <v>72728</v>
      </c>
      <c r="V702" s="22">
        <f t="shared" si="134"/>
        <v>0</v>
      </c>
      <c r="W702" s="22">
        <f t="shared" si="135"/>
        <v>0</v>
      </c>
      <c r="X702" s="22">
        <f>'2022-23 Salary &amp; Benefits'!$G$6</f>
        <v>12558.24</v>
      </c>
      <c r="Y702" s="23">
        <f>'2022-23 Salary &amp; Benefits'!$H$6</f>
        <v>0.2298</v>
      </c>
      <c r="Z702" s="23">
        <f>'2022-23 Salary &amp; Benefits'!$I$6</f>
        <v>0.22339999999999999</v>
      </c>
      <c r="AA702" s="22">
        <f t="shared" si="136"/>
        <v>0</v>
      </c>
      <c r="AB702" s="22">
        <f t="shared" si="137"/>
        <v>0</v>
      </c>
      <c r="AC702" s="22">
        <f t="shared" si="138"/>
        <v>0</v>
      </c>
      <c r="AD702" s="22">
        <f t="shared" si="140"/>
        <v>0</v>
      </c>
      <c r="AE702" s="22">
        <f t="shared" si="141"/>
        <v>0</v>
      </c>
      <c r="AF702" s="19" t="str">
        <f>VLOOKUP(C702,'2021-22 School Level AAFTE'!C:N,12,FALSE)</f>
        <v>No</v>
      </c>
    </row>
    <row r="703" spans="1:284" s="19" customFormat="1">
      <c r="A703" s="97" t="s">
        <v>2390</v>
      </c>
      <c r="B703" s="97" t="s">
        <v>1119</v>
      </c>
      <c r="C703" s="95">
        <v>3393</v>
      </c>
      <c r="D703" s="95" t="s">
        <v>1122</v>
      </c>
      <c r="E703" s="129">
        <f>VLOOKUP($C703,'2021-22 School Level AAFTE'!$C:$Z,11,FALSE)</f>
        <v>0.68080000000000007</v>
      </c>
      <c r="F703" s="129" t="str">
        <f>VLOOKUP($C703,'2021-22 School Level AAFTE'!$C:$Z,8,FALSE)</f>
        <v>Yes</v>
      </c>
      <c r="G703" s="129" t="str">
        <f>VLOOKUP($C703,'2021-22 School Level AAFTE'!$C:$Z,12,FALSE)</f>
        <v>No</v>
      </c>
      <c r="H703" s="127">
        <f>VLOOKUP($C703,'2021-22 School Level AAFTE'!$C:$I,7,FALSE)</f>
        <v>255.02</v>
      </c>
      <c r="I703" s="112">
        <f>IFERROR(IF(OR(G703="yes",F703= "yes"),VLOOKUP(C703,Summary!$B:$J,6,0),0),0)</f>
        <v>0</v>
      </c>
      <c r="J703" s="111">
        <f t="shared" si="132"/>
        <v>255.02</v>
      </c>
      <c r="K703" s="91">
        <f>VLOOKUP($A703,'2022-23 Salary &amp; Benefits'!$A:$I,3,FALSE)</f>
        <v>1</v>
      </c>
      <c r="L703" s="91">
        <f>VLOOKUP($A703,'2022-23 Salary &amp; Benefits'!$A:$I,4,FALSE)</f>
        <v>1</v>
      </c>
      <c r="M703" s="101">
        <f t="shared" si="139"/>
        <v>255.02</v>
      </c>
      <c r="N703" s="24">
        <v>15</v>
      </c>
      <c r="O703" s="26">
        <f t="shared" si="130"/>
        <v>17.001333333333335</v>
      </c>
      <c r="P703" s="24">
        <v>1.1000000000000001</v>
      </c>
      <c r="Q703" s="24">
        <v>36</v>
      </c>
      <c r="R703" s="27">
        <f t="shared" si="131"/>
        <v>673.25280000000009</v>
      </c>
      <c r="S703" s="102">
        <f t="shared" si="133"/>
        <v>0.748</v>
      </c>
      <c r="T703" s="21">
        <f>VLOOKUP($A703,'2022-23 Salary &amp; Benefits'!$A:$I,5,FALSE)</f>
        <v>68937</v>
      </c>
      <c r="U703" s="21">
        <f>VLOOKUP($A703,'2022-23 Salary &amp; Benefits'!$A:$I,6,FALSE)</f>
        <v>72728</v>
      </c>
      <c r="V703" s="22">
        <f t="shared" si="134"/>
        <v>51564.88</v>
      </c>
      <c r="W703" s="22">
        <f t="shared" si="135"/>
        <v>2835.6600000000035</v>
      </c>
      <c r="X703" s="22">
        <f>'2022-23 Salary &amp; Benefits'!$G$6</f>
        <v>12558.24</v>
      </c>
      <c r="Y703" s="23">
        <f>'2022-23 Salary &amp; Benefits'!$H$6</f>
        <v>0.2298</v>
      </c>
      <c r="Z703" s="23">
        <f>'2022-23 Salary &amp; Benefits'!$I$6</f>
        <v>0.22339999999999999</v>
      </c>
      <c r="AA703" s="22">
        <f t="shared" si="136"/>
        <v>21876.66</v>
      </c>
      <c r="AB703" s="22">
        <f t="shared" si="137"/>
        <v>906.68</v>
      </c>
      <c r="AC703" s="22">
        <f t="shared" si="138"/>
        <v>202.55</v>
      </c>
      <c r="AD703" s="22">
        <f t="shared" si="140"/>
        <v>1109.23</v>
      </c>
      <c r="AE703" s="22">
        <f t="shared" si="141"/>
        <v>77386.429999999993</v>
      </c>
      <c r="AF703" s="19" t="str">
        <f>VLOOKUP(C703,'2021-22 School Level AAFTE'!C:N,12,FALSE)</f>
        <v>No</v>
      </c>
    </row>
    <row r="704" spans="1:284" s="19" customFormat="1">
      <c r="A704" s="97" t="s">
        <v>2390</v>
      </c>
      <c r="B704" s="97" t="s">
        <v>1119</v>
      </c>
      <c r="C704" s="95">
        <v>5618</v>
      </c>
      <c r="D704" s="95" t="s">
        <v>2884</v>
      </c>
      <c r="E704" s="129">
        <f>VLOOKUP($C704,'2021-22 School Level AAFTE'!$C:$Z,11,FALSE)</f>
        <v>0.34914999999999996</v>
      </c>
      <c r="F704" s="129" t="str">
        <f>VLOOKUP($C704,'2021-22 School Level AAFTE'!$C:$Z,8,FALSE)</f>
        <v>No</v>
      </c>
      <c r="G704" s="129" t="str">
        <f>VLOOKUP($C704,'2021-22 School Level AAFTE'!$C:$Z,12,FALSE)</f>
        <v>No</v>
      </c>
      <c r="H704" s="127">
        <f>VLOOKUP($C704,'2021-22 School Level AAFTE'!$C:$I,7,FALSE)</f>
        <v>1414.29</v>
      </c>
      <c r="I704" s="112">
        <f>IFERROR(IF(OR(G704="yes",F704= "yes"),VLOOKUP(C704,Summary!$B:$J,6,0),0),0)</f>
        <v>0</v>
      </c>
      <c r="J704" s="111">
        <f t="shared" si="132"/>
        <v>0</v>
      </c>
      <c r="K704" s="91">
        <f>VLOOKUP($A704,'2022-23 Salary &amp; Benefits'!$A:$I,3,FALSE)</f>
        <v>1</v>
      </c>
      <c r="L704" s="91">
        <f>VLOOKUP($A704,'2022-23 Salary &amp; Benefits'!$A:$I,4,FALSE)</f>
        <v>1</v>
      </c>
      <c r="M704" s="101">
        <f t="shared" si="139"/>
        <v>0</v>
      </c>
      <c r="N704" s="24">
        <v>15</v>
      </c>
      <c r="O704" s="26">
        <f t="shared" si="130"/>
        <v>0</v>
      </c>
      <c r="P704" s="24">
        <v>1.1000000000000001</v>
      </c>
      <c r="Q704" s="24">
        <v>36</v>
      </c>
      <c r="R704" s="27">
        <f t="shared" si="131"/>
        <v>0</v>
      </c>
      <c r="S704" s="102">
        <f t="shared" si="133"/>
        <v>0</v>
      </c>
      <c r="T704" s="21">
        <f>VLOOKUP($A704,'2022-23 Salary &amp; Benefits'!$A:$I,5,FALSE)</f>
        <v>68937</v>
      </c>
      <c r="U704" s="21">
        <f>VLOOKUP($A704,'2022-23 Salary &amp; Benefits'!$A:$I,6,FALSE)</f>
        <v>72728</v>
      </c>
      <c r="V704" s="22">
        <f t="shared" si="134"/>
        <v>0</v>
      </c>
      <c r="W704" s="22">
        <f t="shared" si="135"/>
        <v>0</v>
      </c>
      <c r="X704" s="22">
        <f>'2022-23 Salary &amp; Benefits'!$G$6</f>
        <v>12558.24</v>
      </c>
      <c r="Y704" s="23">
        <f>'2022-23 Salary &amp; Benefits'!$H$6</f>
        <v>0.2298</v>
      </c>
      <c r="Z704" s="23">
        <f>'2022-23 Salary &amp; Benefits'!$I$6</f>
        <v>0.22339999999999999</v>
      </c>
      <c r="AA704" s="22">
        <f t="shared" si="136"/>
        <v>0</v>
      </c>
      <c r="AB704" s="22">
        <f t="shared" si="137"/>
        <v>0</v>
      </c>
      <c r="AC704" s="22">
        <f t="shared" si="138"/>
        <v>0</v>
      </c>
      <c r="AD704" s="22">
        <f t="shared" si="140"/>
        <v>0</v>
      </c>
      <c r="AE704" s="22">
        <f t="shared" si="141"/>
        <v>0</v>
      </c>
      <c r="AF704" s="19" t="str">
        <f>VLOOKUP(C704,'2021-22 School Level AAFTE'!C:N,12,FALSE)</f>
        <v>No</v>
      </c>
    </row>
    <row r="705" spans="1:32" s="19" customFormat="1">
      <c r="A705" s="97" t="s">
        <v>2326</v>
      </c>
      <c r="B705" s="97" t="s">
        <v>462</v>
      </c>
      <c r="C705" s="95">
        <v>2801</v>
      </c>
      <c r="D705" s="95" t="s">
        <v>463</v>
      </c>
      <c r="E705" s="129">
        <f>VLOOKUP($C705,'2021-22 School Level AAFTE'!$C:$Z,11,FALSE)</f>
        <v>0.7228</v>
      </c>
      <c r="F705" s="129" t="str">
        <f>VLOOKUP($C705,'2021-22 School Level AAFTE'!$C:$Z,8,FALSE)</f>
        <v>Yes</v>
      </c>
      <c r="G705" s="129" t="str">
        <f>VLOOKUP($C705,'2021-22 School Level AAFTE'!$C:$Z,12,FALSE)</f>
        <v>No</v>
      </c>
      <c r="H705" s="127">
        <f>VLOOKUP($C705,'2021-22 School Level AAFTE'!$C:$I,7,FALSE)</f>
        <v>344.86999999999995</v>
      </c>
      <c r="I705" s="112">
        <f>IFERROR(IF(OR(G705="yes",F705= "yes"),VLOOKUP(C705,Summary!$B:$J,6,0),0),0)</f>
        <v>0</v>
      </c>
      <c r="J705" s="111">
        <f t="shared" si="132"/>
        <v>344.86999999999995</v>
      </c>
      <c r="K705" s="91">
        <f>VLOOKUP($A705,'2022-23 Salary &amp; Benefits'!$A:$I,3,FALSE)</f>
        <v>1</v>
      </c>
      <c r="L705" s="91">
        <f>VLOOKUP($A705,'2022-23 Salary &amp; Benefits'!$A:$I,4,FALSE)</f>
        <v>1</v>
      </c>
      <c r="M705" s="101">
        <f t="shared" si="139"/>
        <v>344.86999999999995</v>
      </c>
      <c r="N705" s="24">
        <v>15</v>
      </c>
      <c r="O705" s="26">
        <f t="shared" si="130"/>
        <v>22.99133333333333</v>
      </c>
      <c r="P705" s="24">
        <v>1.1000000000000001</v>
      </c>
      <c r="Q705" s="24">
        <v>36</v>
      </c>
      <c r="R705" s="27">
        <f t="shared" si="131"/>
        <v>910.45679999999993</v>
      </c>
      <c r="S705" s="102">
        <f t="shared" si="133"/>
        <v>1.012</v>
      </c>
      <c r="T705" s="21">
        <f>VLOOKUP($A705,'2022-23 Salary &amp; Benefits'!$A:$I,5,FALSE)</f>
        <v>68937</v>
      </c>
      <c r="U705" s="21">
        <f>VLOOKUP($A705,'2022-23 Salary &amp; Benefits'!$A:$I,6,FALSE)</f>
        <v>72728</v>
      </c>
      <c r="V705" s="22">
        <f t="shared" si="134"/>
        <v>69764.240000000005</v>
      </c>
      <c r="W705" s="22">
        <f t="shared" si="135"/>
        <v>3836.5</v>
      </c>
      <c r="X705" s="22">
        <f>'2022-23 Salary &amp; Benefits'!$G$6</f>
        <v>12558.24</v>
      </c>
      <c r="Y705" s="23">
        <f>'2022-23 Salary &amp; Benefits'!$H$6</f>
        <v>0.2298</v>
      </c>
      <c r="Z705" s="23">
        <f>'2022-23 Salary &amp; Benefits'!$I$6</f>
        <v>0.22339999999999999</v>
      </c>
      <c r="AA705" s="22">
        <f t="shared" si="136"/>
        <v>29597.84</v>
      </c>
      <c r="AB705" s="22">
        <f t="shared" si="137"/>
        <v>1226.68</v>
      </c>
      <c r="AC705" s="22">
        <f t="shared" si="138"/>
        <v>274.04000000000002</v>
      </c>
      <c r="AD705" s="22">
        <f t="shared" si="140"/>
        <v>1500.72</v>
      </c>
      <c r="AE705" s="22">
        <f t="shared" si="141"/>
        <v>104699.3</v>
      </c>
      <c r="AF705" s="19" t="str">
        <f>VLOOKUP(C705,'2021-22 School Level AAFTE'!C:N,12,FALSE)</f>
        <v>No</v>
      </c>
    </row>
    <row r="706" spans="1:32" s="19" customFormat="1">
      <c r="A706" s="97" t="s">
        <v>2326</v>
      </c>
      <c r="B706" s="97" t="s">
        <v>462</v>
      </c>
      <c r="C706" s="95">
        <v>2802</v>
      </c>
      <c r="D706" s="95" t="s">
        <v>464</v>
      </c>
      <c r="E706" s="129">
        <f>VLOOKUP($C706,'2021-22 School Level AAFTE'!$C:$Z,11,FALSE)</f>
        <v>0.70196666666666674</v>
      </c>
      <c r="F706" s="129" t="str">
        <f>VLOOKUP($C706,'2021-22 School Level AAFTE'!$C:$Z,8,FALSE)</f>
        <v>Yes</v>
      </c>
      <c r="G706" s="129" t="str">
        <f>VLOOKUP($C706,'2021-22 School Level AAFTE'!$C:$Z,12,FALSE)</f>
        <v>No</v>
      </c>
      <c r="H706" s="127">
        <f>VLOOKUP($C706,'2021-22 School Level AAFTE'!$C:$I,7,FALSE)</f>
        <v>339.54</v>
      </c>
      <c r="I706" s="112">
        <f>IFERROR(IF(OR(G706="yes",F706= "yes"),VLOOKUP(C706,Summary!$B:$J,6,0),0),0)</f>
        <v>0</v>
      </c>
      <c r="J706" s="111">
        <f t="shared" si="132"/>
        <v>339.54</v>
      </c>
      <c r="K706" s="91">
        <f>VLOOKUP($A706,'2022-23 Salary &amp; Benefits'!$A:$I,3,FALSE)</f>
        <v>1</v>
      </c>
      <c r="L706" s="91">
        <f>VLOOKUP($A706,'2022-23 Salary &amp; Benefits'!$A:$I,4,FALSE)</f>
        <v>1</v>
      </c>
      <c r="M706" s="101">
        <f t="shared" si="139"/>
        <v>339.54</v>
      </c>
      <c r="N706" s="24">
        <v>15</v>
      </c>
      <c r="O706" s="26">
        <f t="shared" si="130"/>
        <v>22.636000000000003</v>
      </c>
      <c r="P706" s="24">
        <v>1.1000000000000001</v>
      </c>
      <c r="Q706" s="24">
        <v>36</v>
      </c>
      <c r="R706" s="27">
        <f t="shared" si="131"/>
        <v>896.3856000000003</v>
      </c>
      <c r="S706" s="102">
        <f t="shared" si="133"/>
        <v>0.996</v>
      </c>
      <c r="T706" s="21">
        <f>VLOOKUP($A706,'2022-23 Salary &amp; Benefits'!$A:$I,5,FALSE)</f>
        <v>68937</v>
      </c>
      <c r="U706" s="21">
        <f>VLOOKUP($A706,'2022-23 Salary &amp; Benefits'!$A:$I,6,FALSE)</f>
        <v>72728</v>
      </c>
      <c r="V706" s="22">
        <f t="shared" si="134"/>
        <v>68661.25</v>
      </c>
      <c r="W706" s="22">
        <f t="shared" si="135"/>
        <v>3775.8399999999965</v>
      </c>
      <c r="X706" s="22">
        <f>'2022-23 Salary &amp; Benefits'!$G$6</f>
        <v>12558.24</v>
      </c>
      <c r="Y706" s="23">
        <f>'2022-23 Salary &amp; Benefits'!$H$6</f>
        <v>0.2298</v>
      </c>
      <c r="Z706" s="23">
        <f>'2022-23 Salary &amp; Benefits'!$I$6</f>
        <v>0.22339999999999999</v>
      </c>
      <c r="AA706" s="22">
        <f t="shared" si="136"/>
        <v>29129.88</v>
      </c>
      <c r="AB706" s="22">
        <f t="shared" si="137"/>
        <v>1207.28</v>
      </c>
      <c r="AC706" s="22">
        <f t="shared" si="138"/>
        <v>269.70999999999998</v>
      </c>
      <c r="AD706" s="22">
        <f t="shared" si="140"/>
        <v>1476.99</v>
      </c>
      <c r="AE706" s="22">
        <f t="shared" si="141"/>
        <v>103043.96</v>
      </c>
      <c r="AF706" s="19" t="str">
        <f>VLOOKUP(C706,'2021-22 School Level AAFTE'!C:N,12,FALSE)</f>
        <v>No</v>
      </c>
    </row>
    <row r="707" spans="1:32" s="19" customFormat="1">
      <c r="A707" s="97" t="s">
        <v>2326</v>
      </c>
      <c r="B707" s="97" t="s">
        <v>462</v>
      </c>
      <c r="C707" s="95">
        <v>5336</v>
      </c>
      <c r="D707" s="95" t="s">
        <v>2801</v>
      </c>
      <c r="E707" s="129">
        <f>VLOOKUP($C707,'2021-22 School Level AAFTE'!$C:$Z,11,FALSE)</f>
        <v>0.79190000000000005</v>
      </c>
      <c r="F707" s="129" t="str">
        <f>VLOOKUP($C707,'2021-22 School Level AAFTE'!$C:$Z,8,FALSE)</f>
        <v>Yes</v>
      </c>
      <c r="G707" s="129" t="str">
        <f>VLOOKUP($C707,'2021-22 School Level AAFTE'!$C:$Z,12,FALSE)</f>
        <v>No</v>
      </c>
      <c r="H707" s="127">
        <f>VLOOKUP($C707,'2021-22 School Level AAFTE'!$C:$I,7,FALSE)</f>
        <v>33.409999999999997</v>
      </c>
      <c r="I707" s="112">
        <f>IFERROR(IF(OR(G707="yes",F707= "yes"),VLOOKUP(C707,Summary!$B:$J,6,0),0),0)</f>
        <v>0</v>
      </c>
      <c r="J707" s="111">
        <f t="shared" si="132"/>
        <v>33.409999999999997</v>
      </c>
      <c r="K707" s="91">
        <f>VLOOKUP($A707,'2022-23 Salary &amp; Benefits'!$A:$I,3,FALSE)</f>
        <v>1</v>
      </c>
      <c r="L707" s="91">
        <f>VLOOKUP($A707,'2022-23 Salary &amp; Benefits'!$A:$I,4,FALSE)</f>
        <v>1</v>
      </c>
      <c r="M707" s="39">
        <f t="shared" si="139"/>
        <v>33.409999999999997</v>
      </c>
      <c r="N707" s="24">
        <v>15</v>
      </c>
      <c r="O707" s="26">
        <f t="shared" si="130"/>
        <v>2.2273333333333332</v>
      </c>
      <c r="P707" s="24">
        <v>1.1000000000000001</v>
      </c>
      <c r="Q707" s="24">
        <v>36</v>
      </c>
      <c r="R707" s="27">
        <f t="shared" si="131"/>
        <v>88.202400000000011</v>
      </c>
      <c r="S707" s="102">
        <f t="shared" si="133"/>
        <v>9.8000000000000004E-2</v>
      </c>
      <c r="T707" s="21">
        <f>VLOOKUP($A707,'2022-23 Salary &amp; Benefits'!$A:$I,5,FALSE)</f>
        <v>68937</v>
      </c>
      <c r="U707" s="21">
        <f>VLOOKUP($A707,'2022-23 Salary &amp; Benefits'!$A:$I,6,FALSE)</f>
        <v>72728</v>
      </c>
      <c r="V707" s="22">
        <f t="shared" si="134"/>
        <v>6755.83</v>
      </c>
      <c r="W707" s="22">
        <f t="shared" si="135"/>
        <v>371.51000000000022</v>
      </c>
      <c r="X707" s="22">
        <f>'2022-23 Salary &amp; Benefits'!$G$6</f>
        <v>12558.24</v>
      </c>
      <c r="Y707" s="23">
        <f>'2022-23 Salary &amp; Benefits'!$H$6</f>
        <v>0.2298</v>
      </c>
      <c r="Z707" s="23">
        <f>'2022-23 Salary &amp; Benefits'!$I$6</f>
        <v>0.22339999999999999</v>
      </c>
      <c r="AA707" s="22">
        <f t="shared" si="136"/>
        <v>2866.19</v>
      </c>
      <c r="AB707" s="22">
        <f t="shared" si="137"/>
        <v>118.79</v>
      </c>
      <c r="AC707" s="22">
        <f t="shared" si="138"/>
        <v>26.54</v>
      </c>
      <c r="AD707" s="22">
        <f t="shared" si="140"/>
        <v>145.33000000000001</v>
      </c>
      <c r="AE707" s="22">
        <f t="shared" si="141"/>
        <v>10138.86</v>
      </c>
      <c r="AF707" s="19" t="str">
        <f>VLOOKUP(C707,'2021-22 School Level AAFTE'!C:N,12,FALSE)</f>
        <v>No</v>
      </c>
    </row>
    <row r="708" spans="1:32" s="19" customFormat="1">
      <c r="A708" s="97" t="s">
        <v>2559</v>
      </c>
      <c r="B708" s="97" t="s">
        <v>2204</v>
      </c>
      <c r="C708" s="95">
        <v>1776</v>
      </c>
      <c r="D708" s="95" t="s">
        <v>2205</v>
      </c>
      <c r="E708" s="129">
        <f>VLOOKUP($C708,'2021-22 School Level AAFTE'!$C:$Z,11,FALSE)</f>
        <v>0.91389999999999993</v>
      </c>
      <c r="F708" s="129" t="str">
        <f>VLOOKUP($C708,'2021-22 School Level AAFTE'!$C:$Z,8,FALSE)</f>
        <v>Yes</v>
      </c>
      <c r="G708" s="129" t="str">
        <f>VLOOKUP($C708,'2021-22 School Level AAFTE'!$C:$Z,12,FALSE)</f>
        <v>No</v>
      </c>
      <c r="H708" s="127">
        <f>VLOOKUP($C708,'2021-22 School Level AAFTE'!$C:$I,7,FALSE)</f>
        <v>34.090000000000003</v>
      </c>
      <c r="I708" s="112">
        <f>IFERROR(IF(OR(G708="yes",F708= "yes"),VLOOKUP(C708,Summary!$B:$J,6,0),0),0)</f>
        <v>0</v>
      </c>
      <c r="J708" s="111">
        <f t="shared" si="132"/>
        <v>34.090000000000003</v>
      </c>
      <c r="K708" s="91">
        <f>VLOOKUP($A708,'2022-23 Salary &amp; Benefits'!$A:$I,3,FALSE)</f>
        <v>1</v>
      </c>
      <c r="L708" s="91">
        <f>VLOOKUP($A708,'2022-23 Salary &amp; Benefits'!$A:$I,4,FALSE)</f>
        <v>1</v>
      </c>
      <c r="M708" s="101">
        <f t="shared" si="139"/>
        <v>34.090000000000003</v>
      </c>
      <c r="N708" s="24">
        <v>15</v>
      </c>
      <c r="O708" s="26">
        <f t="shared" si="130"/>
        <v>2.2726666666666668</v>
      </c>
      <c r="P708" s="24">
        <v>1.1000000000000001</v>
      </c>
      <c r="Q708" s="24">
        <v>36</v>
      </c>
      <c r="R708" s="27">
        <f t="shared" si="131"/>
        <v>89.99760000000002</v>
      </c>
      <c r="S708" s="102">
        <f t="shared" si="133"/>
        <v>0.1</v>
      </c>
      <c r="T708" s="21">
        <f>VLOOKUP($A708,'2022-23 Salary &amp; Benefits'!$A:$I,5,FALSE)</f>
        <v>68937</v>
      </c>
      <c r="U708" s="21">
        <f>VLOOKUP($A708,'2022-23 Salary &amp; Benefits'!$A:$I,6,FALSE)</f>
        <v>72728</v>
      </c>
      <c r="V708" s="22">
        <f t="shared" si="134"/>
        <v>6893.7</v>
      </c>
      <c r="W708" s="22">
        <f t="shared" si="135"/>
        <v>379.10000000000036</v>
      </c>
      <c r="X708" s="22">
        <f>'2022-23 Salary &amp; Benefits'!$G$6</f>
        <v>12558.24</v>
      </c>
      <c r="Y708" s="23">
        <f>'2022-23 Salary &amp; Benefits'!$H$6</f>
        <v>0.2298</v>
      </c>
      <c r="Z708" s="23">
        <f>'2022-23 Salary &amp; Benefits'!$I$6</f>
        <v>0.22339999999999999</v>
      </c>
      <c r="AA708" s="22">
        <f t="shared" si="136"/>
        <v>2924.69</v>
      </c>
      <c r="AB708" s="22">
        <f t="shared" si="137"/>
        <v>121.21</v>
      </c>
      <c r="AC708" s="22">
        <f t="shared" si="138"/>
        <v>27.08</v>
      </c>
      <c r="AD708" s="22">
        <f t="shared" si="140"/>
        <v>148.29</v>
      </c>
      <c r="AE708" s="22">
        <f t="shared" si="141"/>
        <v>10345.780000000001</v>
      </c>
      <c r="AF708" s="19" t="str">
        <f>VLOOKUP(C708,'2021-22 School Level AAFTE'!C:N,12,FALSE)</f>
        <v>No</v>
      </c>
    </row>
    <row r="709" spans="1:32" s="19" customFormat="1">
      <c r="A709" s="97" t="s">
        <v>2559</v>
      </c>
      <c r="B709" s="97" t="s">
        <v>2204</v>
      </c>
      <c r="C709" s="95">
        <v>2345</v>
      </c>
      <c r="D709" s="95" t="s">
        <v>2206</v>
      </c>
      <c r="E709" s="129">
        <f>VLOOKUP($C709,'2021-22 School Level AAFTE'!$C:$Z,11,FALSE)</f>
        <v>0.89110000000000011</v>
      </c>
      <c r="F709" s="129" t="str">
        <f>VLOOKUP($C709,'2021-22 School Level AAFTE'!$C:$Z,8,FALSE)</f>
        <v>Yes</v>
      </c>
      <c r="G709" s="129" t="str">
        <f>VLOOKUP($C709,'2021-22 School Level AAFTE'!$C:$Z,12,FALSE)</f>
        <v>No</v>
      </c>
      <c r="H709" s="127">
        <f>VLOOKUP($C709,'2021-22 School Level AAFTE'!$C:$I,7,FALSE)</f>
        <v>520.14</v>
      </c>
      <c r="I709" s="112">
        <f>IFERROR(IF(OR(G709="yes",F709= "yes"),VLOOKUP(C709,Summary!$B:$J,6,0),0),0)</f>
        <v>0</v>
      </c>
      <c r="J709" s="111">
        <f t="shared" si="132"/>
        <v>520.14</v>
      </c>
      <c r="K709" s="91">
        <f>VLOOKUP($A709,'2022-23 Salary &amp; Benefits'!$A:$I,3,FALSE)</f>
        <v>1</v>
      </c>
      <c r="L709" s="91">
        <f>VLOOKUP($A709,'2022-23 Salary &amp; Benefits'!$A:$I,4,FALSE)</f>
        <v>1</v>
      </c>
      <c r="M709" s="101">
        <f t="shared" si="139"/>
        <v>520.14</v>
      </c>
      <c r="N709" s="24">
        <v>15</v>
      </c>
      <c r="O709" s="26">
        <f t="shared" si="130"/>
        <v>34.676000000000002</v>
      </c>
      <c r="P709" s="24">
        <v>1.1000000000000001</v>
      </c>
      <c r="Q709" s="24">
        <v>36</v>
      </c>
      <c r="R709" s="27">
        <f t="shared" si="131"/>
        <v>1373.1696000000002</v>
      </c>
      <c r="S709" s="102">
        <f t="shared" si="133"/>
        <v>1.526</v>
      </c>
      <c r="T709" s="21">
        <f>VLOOKUP($A709,'2022-23 Salary &amp; Benefits'!$A:$I,5,FALSE)</f>
        <v>68937</v>
      </c>
      <c r="U709" s="21">
        <f>VLOOKUP($A709,'2022-23 Salary &amp; Benefits'!$A:$I,6,FALSE)</f>
        <v>72728</v>
      </c>
      <c r="V709" s="22">
        <f t="shared" si="134"/>
        <v>105197.86</v>
      </c>
      <c r="W709" s="22">
        <f t="shared" si="135"/>
        <v>5785.0699999999924</v>
      </c>
      <c r="X709" s="22">
        <f>'2022-23 Salary &amp; Benefits'!$G$6</f>
        <v>12558.24</v>
      </c>
      <c r="Y709" s="23">
        <f>'2022-23 Salary &amp; Benefits'!$H$6</f>
        <v>0.2298</v>
      </c>
      <c r="Z709" s="23">
        <f>'2022-23 Salary &amp; Benefits'!$I$6</f>
        <v>0.22339999999999999</v>
      </c>
      <c r="AA709" s="22">
        <f t="shared" si="136"/>
        <v>44630.73</v>
      </c>
      <c r="AB709" s="22">
        <f t="shared" si="137"/>
        <v>1849.72</v>
      </c>
      <c r="AC709" s="22">
        <f t="shared" si="138"/>
        <v>413.23</v>
      </c>
      <c r="AD709" s="22">
        <f t="shared" si="140"/>
        <v>2262.9499999999998</v>
      </c>
      <c r="AE709" s="22">
        <f t="shared" si="141"/>
        <v>157876.60999999999</v>
      </c>
      <c r="AF709" s="19" t="str">
        <f>VLOOKUP(C709,'2021-22 School Level AAFTE'!C:N,12,FALSE)</f>
        <v>No</v>
      </c>
    </row>
    <row r="710" spans="1:32" s="19" customFormat="1">
      <c r="A710" s="97" t="s">
        <v>2559</v>
      </c>
      <c r="B710" s="97" t="s">
        <v>2204</v>
      </c>
      <c r="C710" s="95">
        <v>2555</v>
      </c>
      <c r="D710" s="95" t="s">
        <v>2207</v>
      </c>
      <c r="E710" s="129">
        <f>VLOOKUP($C710,'2021-22 School Level AAFTE'!$C:$Z,11,FALSE)</f>
        <v>0.82566666666666666</v>
      </c>
      <c r="F710" s="129" t="str">
        <f>VLOOKUP($C710,'2021-22 School Level AAFTE'!$C:$Z,8,FALSE)</f>
        <v>Yes</v>
      </c>
      <c r="G710" s="129" t="str">
        <f>VLOOKUP($C710,'2021-22 School Level AAFTE'!$C:$Z,12,FALSE)</f>
        <v>No</v>
      </c>
      <c r="H710" s="127">
        <f>VLOOKUP($C710,'2021-22 School Level AAFTE'!$C:$I,7,FALSE)</f>
        <v>1064.93</v>
      </c>
      <c r="I710" s="112">
        <f>IFERROR(IF(OR(G710="yes",F710= "yes"),VLOOKUP(C710,Summary!$B:$J,6,0),0),0)</f>
        <v>0</v>
      </c>
      <c r="J710" s="111">
        <f t="shared" si="132"/>
        <v>1064.93</v>
      </c>
      <c r="K710" s="91">
        <f>VLOOKUP($A710,'2022-23 Salary &amp; Benefits'!$A:$I,3,FALSE)</f>
        <v>1</v>
      </c>
      <c r="L710" s="91">
        <f>VLOOKUP($A710,'2022-23 Salary &amp; Benefits'!$A:$I,4,FALSE)</f>
        <v>1</v>
      </c>
      <c r="M710" s="101">
        <f t="shared" si="139"/>
        <v>1064.93</v>
      </c>
      <c r="N710" s="24">
        <v>15</v>
      </c>
      <c r="O710" s="26">
        <f t="shared" si="130"/>
        <v>70.995333333333335</v>
      </c>
      <c r="P710" s="24">
        <v>1.1000000000000001</v>
      </c>
      <c r="Q710" s="24">
        <v>36</v>
      </c>
      <c r="R710" s="27">
        <f t="shared" si="131"/>
        <v>2811.4152000000004</v>
      </c>
      <c r="S710" s="102">
        <f t="shared" si="133"/>
        <v>3.1240000000000001</v>
      </c>
      <c r="T710" s="21">
        <f>VLOOKUP($A710,'2022-23 Salary &amp; Benefits'!$A:$I,5,FALSE)</f>
        <v>68937</v>
      </c>
      <c r="U710" s="21">
        <f>VLOOKUP($A710,'2022-23 Salary &amp; Benefits'!$A:$I,6,FALSE)</f>
        <v>72728</v>
      </c>
      <c r="V710" s="22">
        <f t="shared" si="134"/>
        <v>215359.19</v>
      </c>
      <c r="W710" s="22">
        <f t="shared" si="135"/>
        <v>11843.079999999987</v>
      </c>
      <c r="X710" s="22">
        <f>'2022-23 Salary &amp; Benefits'!$G$6</f>
        <v>12558.24</v>
      </c>
      <c r="Y710" s="23">
        <f>'2022-23 Salary &amp; Benefits'!$H$6</f>
        <v>0.2298</v>
      </c>
      <c r="Z710" s="23">
        <f>'2022-23 Salary &amp; Benefits'!$I$6</f>
        <v>0.22339999999999999</v>
      </c>
      <c r="AA710" s="22">
        <f t="shared" si="136"/>
        <v>91367.23</v>
      </c>
      <c r="AB710" s="22">
        <f t="shared" si="137"/>
        <v>3786.7</v>
      </c>
      <c r="AC710" s="22">
        <f t="shared" si="138"/>
        <v>845.95</v>
      </c>
      <c r="AD710" s="22">
        <f t="shared" si="140"/>
        <v>4632.6499999999996</v>
      </c>
      <c r="AE710" s="22">
        <f t="shared" si="141"/>
        <v>323202.15000000002</v>
      </c>
      <c r="AF710" s="19" t="str">
        <f>VLOOKUP(C710,'2021-22 School Level AAFTE'!C:N,12,FALSE)</f>
        <v>No</v>
      </c>
    </row>
    <row r="711" spans="1:32" s="19" customFormat="1">
      <c r="A711" s="97" t="s">
        <v>2559</v>
      </c>
      <c r="B711" s="97" t="s">
        <v>2204</v>
      </c>
      <c r="C711" s="95">
        <v>2756</v>
      </c>
      <c r="D711" s="95" t="s">
        <v>2208</v>
      </c>
      <c r="E711" s="129">
        <f>VLOOKUP($C711,'2021-22 School Level AAFTE'!$C:$Z,11,FALSE)</f>
        <v>0.82609999999999995</v>
      </c>
      <c r="F711" s="129" t="str">
        <f>VLOOKUP($C711,'2021-22 School Level AAFTE'!$C:$Z,8,FALSE)</f>
        <v>Yes</v>
      </c>
      <c r="G711" s="129" t="str">
        <f>VLOOKUP($C711,'2021-22 School Level AAFTE'!$C:$Z,12,FALSE)</f>
        <v>No</v>
      </c>
      <c r="H711" s="127">
        <f>VLOOKUP($C711,'2021-22 School Level AAFTE'!$C:$I,7,FALSE)</f>
        <v>508.44</v>
      </c>
      <c r="I711" s="112">
        <f>IFERROR(IF(OR(G711="yes",F711= "yes"),VLOOKUP(C711,Summary!$B:$J,6,0),0),0)</f>
        <v>0</v>
      </c>
      <c r="J711" s="111">
        <f t="shared" si="132"/>
        <v>508.44</v>
      </c>
      <c r="K711" s="91">
        <f>VLOOKUP($A711,'2022-23 Salary &amp; Benefits'!$A:$I,3,FALSE)</f>
        <v>1</v>
      </c>
      <c r="L711" s="91">
        <f>VLOOKUP($A711,'2022-23 Salary &amp; Benefits'!$A:$I,4,FALSE)</f>
        <v>1</v>
      </c>
      <c r="M711" s="39">
        <f t="shared" si="139"/>
        <v>508.44</v>
      </c>
      <c r="N711" s="24">
        <v>15</v>
      </c>
      <c r="O711" s="26">
        <f t="shared" si="130"/>
        <v>33.896000000000001</v>
      </c>
      <c r="P711" s="24">
        <v>1.1000000000000001</v>
      </c>
      <c r="Q711" s="24">
        <v>36</v>
      </c>
      <c r="R711" s="27">
        <f t="shared" si="131"/>
        <v>1342.2816</v>
      </c>
      <c r="S711" s="102">
        <f t="shared" si="133"/>
        <v>1.4910000000000001</v>
      </c>
      <c r="T711" s="21">
        <f>VLOOKUP($A711,'2022-23 Salary &amp; Benefits'!$A:$I,5,FALSE)</f>
        <v>68937</v>
      </c>
      <c r="U711" s="21">
        <f>VLOOKUP($A711,'2022-23 Salary &amp; Benefits'!$A:$I,6,FALSE)</f>
        <v>72728</v>
      </c>
      <c r="V711" s="22">
        <f t="shared" si="134"/>
        <v>102785.07</v>
      </c>
      <c r="W711" s="22">
        <f t="shared" si="135"/>
        <v>5652.3799999999901</v>
      </c>
      <c r="X711" s="22">
        <f>'2022-23 Salary &amp; Benefits'!$G$6</f>
        <v>12558.24</v>
      </c>
      <c r="Y711" s="23">
        <f>'2022-23 Salary &amp; Benefits'!$H$6</f>
        <v>0.2298</v>
      </c>
      <c r="Z711" s="23">
        <f>'2022-23 Salary &amp; Benefits'!$I$6</f>
        <v>0.22339999999999999</v>
      </c>
      <c r="AA711" s="22">
        <f t="shared" si="136"/>
        <v>43607.09</v>
      </c>
      <c r="AB711" s="22">
        <f t="shared" si="137"/>
        <v>1807.29</v>
      </c>
      <c r="AC711" s="22">
        <f t="shared" si="138"/>
        <v>403.75</v>
      </c>
      <c r="AD711" s="22">
        <f t="shared" si="140"/>
        <v>2211.04</v>
      </c>
      <c r="AE711" s="22">
        <f t="shared" si="141"/>
        <v>154255.57999999999</v>
      </c>
      <c r="AF711" s="19" t="str">
        <f>VLOOKUP(C711,'2021-22 School Level AAFTE'!C:N,12,FALSE)</f>
        <v>No</v>
      </c>
    </row>
    <row r="712" spans="1:32" s="19" customFormat="1">
      <c r="A712" s="97" t="s">
        <v>2559</v>
      </c>
      <c r="B712" s="97" t="s">
        <v>2204</v>
      </c>
      <c r="C712" s="95">
        <v>3013</v>
      </c>
      <c r="D712" s="95" t="s">
        <v>2209</v>
      </c>
      <c r="E712" s="129">
        <f>VLOOKUP($C712,'2021-22 School Level AAFTE'!$C:$Z,11,FALSE)</f>
        <v>0.82566666666666666</v>
      </c>
      <c r="F712" s="129" t="str">
        <f>VLOOKUP($C712,'2021-22 School Level AAFTE'!$C:$Z,8,FALSE)</f>
        <v>Yes</v>
      </c>
      <c r="G712" s="129" t="str">
        <f>VLOOKUP($C712,'2021-22 School Level AAFTE'!$C:$Z,12,FALSE)</f>
        <v>No</v>
      </c>
      <c r="H712" s="127">
        <f>VLOOKUP($C712,'2021-22 School Level AAFTE'!$C:$I,7,FALSE)</f>
        <v>497.71</v>
      </c>
      <c r="I712" s="112">
        <f>IFERROR(IF(OR(G712="yes",F712= "yes"),VLOOKUP(C712,Summary!$B:$J,6,0),0),0)</f>
        <v>0</v>
      </c>
      <c r="J712" s="111">
        <f t="shared" si="132"/>
        <v>497.71</v>
      </c>
      <c r="K712" s="91">
        <f>VLOOKUP($A712,'2022-23 Salary &amp; Benefits'!$A:$I,3,FALSE)</f>
        <v>1</v>
      </c>
      <c r="L712" s="91">
        <f>VLOOKUP($A712,'2022-23 Salary &amp; Benefits'!$A:$I,4,FALSE)</f>
        <v>1</v>
      </c>
      <c r="M712" s="101">
        <f t="shared" si="139"/>
        <v>497.71</v>
      </c>
      <c r="N712" s="24">
        <v>15</v>
      </c>
      <c r="O712" s="26">
        <f t="shared" si="130"/>
        <v>33.180666666666667</v>
      </c>
      <c r="P712" s="24">
        <v>1.1000000000000001</v>
      </c>
      <c r="Q712" s="24">
        <v>36</v>
      </c>
      <c r="R712" s="27">
        <f t="shared" si="131"/>
        <v>1313.9544000000001</v>
      </c>
      <c r="S712" s="102">
        <f t="shared" si="133"/>
        <v>1.46</v>
      </c>
      <c r="T712" s="21">
        <f>VLOOKUP($A712,'2022-23 Salary &amp; Benefits'!$A:$I,5,FALSE)</f>
        <v>68937</v>
      </c>
      <c r="U712" s="21">
        <f>VLOOKUP($A712,'2022-23 Salary &amp; Benefits'!$A:$I,6,FALSE)</f>
        <v>72728</v>
      </c>
      <c r="V712" s="22">
        <f t="shared" si="134"/>
        <v>100648.02</v>
      </c>
      <c r="W712" s="22">
        <f t="shared" si="135"/>
        <v>5534.8600000000006</v>
      </c>
      <c r="X712" s="22">
        <f>'2022-23 Salary &amp; Benefits'!$G$6</f>
        <v>12558.24</v>
      </c>
      <c r="Y712" s="23">
        <f>'2022-23 Salary &amp; Benefits'!$H$6</f>
        <v>0.2298</v>
      </c>
      <c r="Z712" s="23">
        <f>'2022-23 Salary &amp; Benefits'!$I$6</f>
        <v>0.22339999999999999</v>
      </c>
      <c r="AA712" s="22">
        <f t="shared" si="136"/>
        <v>42700.43</v>
      </c>
      <c r="AB712" s="22">
        <f t="shared" si="137"/>
        <v>1769.71</v>
      </c>
      <c r="AC712" s="22">
        <f t="shared" si="138"/>
        <v>395.35</v>
      </c>
      <c r="AD712" s="22">
        <f t="shared" si="140"/>
        <v>2165.06</v>
      </c>
      <c r="AE712" s="22">
        <f t="shared" si="141"/>
        <v>151048.37</v>
      </c>
      <c r="AF712" s="19" t="str">
        <f>VLOOKUP(C712,'2021-22 School Level AAFTE'!C:N,12,FALSE)</f>
        <v>No</v>
      </c>
    </row>
    <row r="713" spans="1:32" s="19" customFormat="1">
      <c r="A713" s="97" t="s">
        <v>2559</v>
      </c>
      <c r="B713" s="97" t="s">
        <v>2204</v>
      </c>
      <c r="C713" s="95">
        <v>3071</v>
      </c>
      <c r="D713" s="95" t="s">
        <v>2210</v>
      </c>
      <c r="E713" s="129">
        <f>VLOOKUP($C713,'2021-22 School Level AAFTE'!$C:$Z,11,FALSE)</f>
        <v>0.84500000000000008</v>
      </c>
      <c r="F713" s="129" t="str">
        <f>VLOOKUP($C713,'2021-22 School Level AAFTE'!$C:$Z,8,FALSE)</f>
        <v>Yes</v>
      </c>
      <c r="G713" s="129" t="str">
        <f>VLOOKUP($C713,'2021-22 School Level AAFTE'!$C:$Z,12,FALSE)</f>
        <v>No</v>
      </c>
      <c r="H713" s="127">
        <f>VLOOKUP($C713,'2021-22 School Level AAFTE'!$C:$I,7,FALSE)</f>
        <v>864.34</v>
      </c>
      <c r="I713" s="112">
        <f>IFERROR(IF(OR(G713="yes",F713= "yes"),VLOOKUP(C713,Summary!$B:$J,6,0),0),0)</f>
        <v>0</v>
      </c>
      <c r="J713" s="111">
        <f t="shared" si="132"/>
        <v>864.34</v>
      </c>
      <c r="K713" s="91">
        <f>VLOOKUP($A713,'2022-23 Salary &amp; Benefits'!$A:$I,3,FALSE)</f>
        <v>1</v>
      </c>
      <c r="L713" s="91">
        <f>VLOOKUP($A713,'2022-23 Salary &amp; Benefits'!$A:$I,4,FALSE)</f>
        <v>1</v>
      </c>
      <c r="M713" s="101">
        <f t="shared" si="139"/>
        <v>864.34</v>
      </c>
      <c r="N713" s="24">
        <v>15</v>
      </c>
      <c r="O713" s="26">
        <f t="shared" si="130"/>
        <v>57.622666666666667</v>
      </c>
      <c r="P713" s="24">
        <v>1.1000000000000001</v>
      </c>
      <c r="Q713" s="24">
        <v>36</v>
      </c>
      <c r="R713" s="27">
        <f t="shared" si="131"/>
        <v>2281.8576000000003</v>
      </c>
      <c r="S713" s="102">
        <f t="shared" si="133"/>
        <v>2.5350000000000001</v>
      </c>
      <c r="T713" s="21">
        <f>VLOOKUP($A713,'2022-23 Salary &amp; Benefits'!$A:$I,5,FALSE)</f>
        <v>68937</v>
      </c>
      <c r="U713" s="21">
        <f>VLOOKUP($A713,'2022-23 Salary &amp; Benefits'!$A:$I,6,FALSE)</f>
        <v>72728</v>
      </c>
      <c r="V713" s="22">
        <f t="shared" si="134"/>
        <v>174755.3</v>
      </c>
      <c r="W713" s="22">
        <f t="shared" si="135"/>
        <v>9610.1800000000221</v>
      </c>
      <c r="X713" s="22">
        <f>'2022-23 Salary &amp; Benefits'!$G$6</f>
        <v>12558.24</v>
      </c>
      <c r="Y713" s="23">
        <f>'2022-23 Salary &amp; Benefits'!$H$6</f>
        <v>0.2298</v>
      </c>
      <c r="Z713" s="23">
        <f>'2022-23 Salary &amp; Benefits'!$I$6</f>
        <v>0.22339999999999999</v>
      </c>
      <c r="AA713" s="22">
        <f t="shared" si="136"/>
        <v>74140.820000000007</v>
      </c>
      <c r="AB713" s="22">
        <f t="shared" si="137"/>
        <v>3072.76</v>
      </c>
      <c r="AC713" s="22">
        <f t="shared" si="138"/>
        <v>686.45</v>
      </c>
      <c r="AD713" s="22">
        <f t="shared" si="140"/>
        <v>3759.21</v>
      </c>
      <c r="AE713" s="22">
        <f t="shared" si="141"/>
        <v>262265.51</v>
      </c>
      <c r="AF713" s="19" t="str">
        <f>VLOOKUP(C713,'2021-22 School Level AAFTE'!C:N,12,FALSE)</f>
        <v>No</v>
      </c>
    </row>
    <row r="714" spans="1:32" s="19" customFormat="1">
      <c r="A714" s="97" t="s">
        <v>2559</v>
      </c>
      <c r="B714" s="97" t="s">
        <v>2204</v>
      </c>
      <c r="C714" s="95">
        <v>5399</v>
      </c>
      <c r="D714" s="95" t="s">
        <v>2211</v>
      </c>
      <c r="E714" s="129">
        <f>VLOOKUP($C714,'2021-22 School Level AAFTE'!$C:$Z,11,FALSE)</f>
        <v>0.82179999999999997</v>
      </c>
      <c r="F714" s="129" t="str">
        <f>VLOOKUP($C714,'2021-22 School Level AAFTE'!$C:$Z,8,FALSE)</f>
        <v>Yes</v>
      </c>
      <c r="G714" s="129" t="str">
        <f>VLOOKUP($C714,'2021-22 School Level AAFTE'!$C:$Z,12,FALSE)</f>
        <v>No</v>
      </c>
      <c r="H714" s="127">
        <f>VLOOKUP($C714,'2021-22 School Level AAFTE'!$C:$I,7,FALSE)</f>
        <v>3.71</v>
      </c>
      <c r="I714" s="112">
        <f>IFERROR(IF(OR(G714="yes",F714= "yes"),VLOOKUP(C714,Summary!$B:$J,6,0),0),0)</f>
        <v>0</v>
      </c>
      <c r="J714" s="111">
        <f t="shared" si="132"/>
        <v>3.71</v>
      </c>
      <c r="K714" s="91">
        <f>VLOOKUP($A714,'2022-23 Salary &amp; Benefits'!$A:$I,3,FALSE)</f>
        <v>1</v>
      </c>
      <c r="L714" s="91">
        <f>VLOOKUP($A714,'2022-23 Salary &amp; Benefits'!$A:$I,4,FALSE)</f>
        <v>1</v>
      </c>
      <c r="M714" s="39">
        <f t="shared" si="139"/>
        <v>3.71</v>
      </c>
      <c r="N714" s="24">
        <v>15</v>
      </c>
      <c r="O714" s="26">
        <f t="shared" ref="O714:O777" si="142">IF(M714="no",0,M714/N714)</f>
        <v>0.24733333333333332</v>
      </c>
      <c r="P714" s="24">
        <v>1.1000000000000001</v>
      </c>
      <c r="Q714" s="24">
        <v>36</v>
      </c>
      <c r="R714" s="27">
        <f t="shared" ref="R714:R777" si="143">IF(M714="no",0,O714*P714*Q714)</f>
        <v>9.7943999999999996</v>
      </c>
      <c r="S714" s="102">
        <f t="shared" si="133"/>
        <v>1.0999999999999999E-2</v>
      </c>
      <c r="T714" s="21">
        <f>VLOOKUP($A714,'2022-23 Salary &amp; Benefits'!$A:$I,5,FALSE)</f>
        <v>68937</v>
      </c>
      <c r="U714" s="21">
        <f>VLOOKUP($A714,'2022-23 Salary &amp; Benefits'!$A:$I,6,FALSE)</f>
        <v>72728</v>
      </c>
      <c r="V714" s="22">
        <f t="shared" si="134"/>
        <v>758.31</v>
      </c>
      <c r="W714" s="22">
        <f t="shared" si="135"/>
        <v>41.700000000000045</v>
      </c>
      <c r="X714" s="22">
        <f>'2022-23 Salary &amp; Benefits'!$G$6</f>
        <v>12558.24</v>
      </c>
      <c r="Y714" s="23">
        <f>'2022-23 Salary &amp; Benefits'!$H$6</f>
        <v>0.2298</v>
      </c>
      <c r="Z714" s="23">
        <f>'2022-23 Salary &amp; Benefits'!$I$6</f>
        <v>0.22339999999999999</v>
      </c>
      <c r="AA714" s="22">
        <f t="shared" si="136"/>
        <v>321.72000000000003</v>
      </c>
      <c r="AB714" s="22">
        <f t="shared" si="137"/>
        <v>13.33</v>
      </c>
      <c r="AC714" s="22">
        <f t="shared" si="138"/>
        <v>2.98</v>
      </c>
      <c r="AD714" s="22">
        <f t="shared" si="140"/>
        <v>16.309999999999999</v>
      </c>
      <c r="AE714" s="22">
        <f t="shared" si="141"/>
        <v>1138.04</v>
      </c>
      <c r="AF714" s="19" t="str">
        <f>VLOOKUP(C714,'2021-22 School Level AAFTE'!C:N,12,FALSE)</f>
        <v>No</v>
      </c>
    </row>
    <row r="715" spans="1:32" s="19" customFormat="1">
      <c r="A715" s="97" t="s">
        <v>2563</v>
      </c>
      <c r="B715" s="97" t="s">
        <v>2232</v>
      </c>
      <c r="C715" s="95">
        <v>2531</v>
      </c>
      <c r="D715" s="95" t="s">
        <v>2233</v>
      </c>
      <c r="E715" s="129">
        <f>VLOOKUP($C715,'2021-22 School Level AAFTE'!$C:$Z,11,FALSE)</f>
        <v>0.91293333333333326</v>
      </c>
      <c r="F715" s="129" t="str">
        <f>VLOOKUP($C715,'2021-22 School Level AAFTE'!$C:$Z,8,FALSE)</f>
        <v>Yes</v>
      </c>
      <c r="G715" s="129" t="str">
        <f>VLOOKUP($C715,'2021-22 School Level AAFTE'!$C:$Z,12,FALSE)</f>
        <v>No</v>
      </c>
      <c r="H715" s="127">
        <f>VLOOKUP($C715,'2021-22 School Level AAFTE'!$C:$I,7,FALSE)</f>
        <v>466.57</v>
      </c>
      <c r="I715" s="112">
        <f>IFERROR(IF(OR(G715="yes",F715= "yes"),VLOOKUP(C715,Summary!$B:$J,6,0),0),0)</f>
        <v>0</v>
      </c>
      <c r="J715" s="111">
        <f t="shared" ref="J715:J778" si="144">IF(OR(G715="yes",F715= "yes"), H715,0)</f>
        <v>466.57</v>
      </c>
      <c r="K715" s="91">
        <f>VLOOKUP($A715,'2022-23 Salary &amp; Benefits'!$A:$I,3,FALSE)</f>
        <v>1</v>
      </c>
      <c r="L715" s="91">
        <f>VLOOKUP($A715,'2022-23 Salary &amp; Benefits'!$A:$I,4,FALSE)</f>
        <v>1</v>
      </c>
      <c r="M715" s="101">
        <f t="shared" si="139"/>
        <v>466.57</v>
      </c>
      <c r="N715" s="24">
        <v>15</v>
      </c>
      <c r="O715" s="26">
        <f t="shared" si="142"/>
        <v>31.104666666666667</v>
      </c>
      <c r="P715" s="24">
        <v>1.1000000000000001</v>
      </c>
      <c r="Q715" s="24">
        <v>36</v>
      </c>
      <c r="R715" s="27">
        <f t="shared" si="143"/>
        <v>1231.7447999999999</v>
      </c>
      <c r="S715" s="102">
        <f t="shared" ref="S715:S778" si="145">ROUND(IF(M715="no",0,R715/900),3)</f>
        <v>1.369</v>
      </c>
      <c r="T715" s="21">
        <f>VLOOKUP($A715,'2022-23 Salary &amp; Benefits'!$A:$I,5,FALSE)</f>
        <v>68937</v>
      </c>
      <c r="U715" s="21">
        <f>VLOOKUP($A715,'2022-23 Salary &amp; Benefits'!$A:$I,6,FALSE)</f>
        <v>72728</v>
      </c>
      <c r="V715" s="22">
        <f t="shared" ref="V715:V778" si="146">ROUND($K715*$T715*$S715,2)</f>
        <v>94374.75</v>
      </c>
      <c r="W715" s="22">
        <f t="shared" ref="W715:W778" si="147">ROUND($L715*$U715*$S715,2)-V715</f>
        <v>5189.8800000000047</v>
      </c>
      <c r="X715" s="22">
        <f>'2022-23 Salary &amp; Benefits'!$G$6</f>
        <v>12558.24</v>
      </c>
      <c r="Y715" s="23">
        <f>'2022-23 Salary &amp; Benefits'!$H$6</f>
        <v>0.2298</v>
      </c>
      <c r="Z715" s="23">
        <f>'2022-23 Salary &amp; Benefits'!$I$6</f>
        <v>0.22339999999999999</v>
      </c>
      <c r="AA715" s="22">
        <f t="shared" ref="AA715:AA778" si="148">ROUND(V715*Y715+W715*Z715+S715*X715,2)</f>
        <v>40038.97</v>
      </c>
      <c r="AB715" s="22">
        <f t="shared" ref="AB715:AB778" si="149">ROUND(($U715*$L715*$S715/180*3),2)</f>
        <v>1659.41</v>
      </c>
      <c r="AC715" s="22">
        <f t="shared" ref="AC715:AC778" si="150">ROUND(AB715*Z715,2)</f>
        <v>370.71</v>
      </c>
      <c r="AD715" s="22">
        <f t="shared" si="140"/>
        <v>2030.1200000000001</v>
      </c>
      <c r="AE715" s="22">
        <f t="shared" si="141"/>
        <v>141633.72</v>
      </c>
      <c r="AF715" s="19" t="str">
        <f>VLOOKUP(C715,'2021-22 School Level AAFTE'!C:N,12,FALSE)</f>
        <v>No</v>
      </c>
    </row>
    <row r="716" spans="1:32" s="19" customFormat="1">
      <c r="A716" s="97" t="s">
        <v>2563</v>
      </c>
      <c r="B716" s="97" t="s">
        <v>2232</v>
      </c>
      <c r="C716" s="95">
        <v>3314</v>
      </c>
      <c r="D716" s="95" t="s">
        <v>2234</v>
      </c>
      <c r="E716" s="129">
        <f>VLOOKUP($C716,'2021-22 School Level AAFTE'!$C:$Z,11,FALSE)</f>
        <v>0.85403333333333331</v>
      </c>
      <c r="F716" s="129" t="str">
        <f>VLOOKUP($C716,'2021-22 School Level AAFTE'!$C:$Z,8,FALSE)</f>
        <v>Yes</v>
      </c>
      <c r="G716" s="129" t="str">
        <f>VLOOKUP($C716,'2021-22 School Level AAFTE'!$C:$Z,12,FALSE)</f>
        <v>No</v>
      </c>
      <c r="H716" s="127">
        <f>VLOOKUP($C716,'2021-22 School Level AAFTE'!$C:$I,7,FALSE)</f>
        <v>462.5</v>
      </c>
      <c r="I716" s="112">
        <f>IFERROR(IF(OR(G716="yes",F716= "yes"),VLOOKUP(C716,Summary!$B:$J,6,0),0),0)</f>
        <v>0</v>
      </c>
      <c r="J716" s="111">
        <f t="shared" si="144"/>
        <v>462.5</v>
      </c>
      <c r="K716" s="91">
        <f>VLOOKUP($A716,'2022-23 Salary &amp; Benefits'!$A:$I,3,FALSE)</f>
        <v>1</v>
      </c>
      <c r="L716" s="91">
        <f>VLOOKUP($A716,'2022-23 Salary &amp; Benefits'!$A:$I,4,FALSE)</f>
        <v>1</v>
      </c>
      <c r="M716" s="101">
        <f t="shared" si="139"/>
        <v>462.5</v>
      </c>
      <c r="N716" s="24">
        <v>15</v>
      </c>
      <c r="O716" s="26">
        <f t="shared" si="142"/>
        <v>30.833333333333332</v>
      </c>
      <c r="P716" s="24">
        <v>1.1000000000000001</v>
      </c>
      <c r="Q716" s="24">
        <v>36</v>
      </c>
      <c r="R716" s="27">
        <f t="shared" si="143"/>
        <v>1221.0000000000002</v>
      </c>
      <c r="S716" s="102">
        <f t="shared" si="145"/>
        <v>1.357</v>
      </c>
      <c r="T716" s="21">
        <f>VLOOKUP($A716,'2022-23 Salary &amp; Benefits'!$A:$I,5,FALSE)</f>
        <v>68937</v>
      </c>
      <c r="U716" s="21">
        <f>VLOOKUP($A716,'2022-23 Salary &amp; Benefits'!$A:$I,6,FALSE)</f>
        <v>72728</v>
      </c>
      <c r="V716" s="22">
        <f t="shared" si="146"/>
        <v>93547.51</v>
      </c>
      <c r="W716" s="22">
        <f t="shared" si="147"/>
        <v>5144.3899999999994</v>
      </c>
      <c r="X716" s="22">
        <f>'2022-23 Salary &amp; Benefits'!$G$6</f>
        <v>12558.24</v>
      </c>
      <c r="Y716" s="23">
        <f>'2022-23 Salary &amp; Benefits'!$H$6</f>
        <v>0.2298</v>
      </c>
      <c r="Z716" s="23">
        <f>'2022-23 Salary &amp; Benefits'!$I$6</f>
        <v>0.22339999999999999</v>
      </c>
      <c r="AA716" s="22">
        <f t="shared" si="148"/>
        <v>39688.01</v>
      </c>
      <c r="AB716" s="22">
        <f t="shared" si="149"/>
        <v>1644.86</v>
      </c>
      <c r="AC716" s="22">
        <f t="shared" si="150"/>
        <v>367.46</v>
      </c>
      <c r="AD716" s="22">
        <f t="shared" si="140"/>
        <v>2012.32</v>
      </c>
      <c r="AE716" s="22">
        <f t="shared" si="141"/>
        <v>140392.22999999998</v>
      </c>
      <c r="AF716" s="19" t="str">
        <f>VLOOKUP(C716,'2021-22 School Level AAFTE'!C:N,12,FALSE)</f>
        <v>No</v>
      </c>
    </row>
    <row r="717" spans="1:32" s="19" customFormat="1">
      <c r="A717" s="97" t="s">
        <v>2563</v>
      </c>
      <c r="B717" s="97" t="s">
        <v>2232</v>
      </c>
      <c r="C717" s="95">
        <v>4535</v>
      </c>
      <c r="D717" s="95" t="s">
        <v>1780</v>
      </c>
      <c r="E717" s="129">
        <f>VLOOKUP($C717,'2021-22 School Level AAFTE'!$C:$Z,11,FALSE)</f>
        <v>0.88556666666666661</v>
      </c>
      <c r="F717" s="129" t="str">
        <f>VLOOKUP($C717,'2021-22 School Level AAFTE'!$C:$Z,8,FALSE)</f>
        <v>Yes</v>
      </c>
      <c r="G717" s="129" t="str">
        <f>VLOOKUP($C717,'2021-22 School Level AAFTE'!$C:$Z,12,FALSE)</f>
        <v>No</v>
      </c>
      <c r="H717" s="127">
        <f>VLOOKUP($C717,'2021-22 School Level AAFTE'!$C:$I,7,FALSE)</f>
        <v>523.69000000000005</v>
      </c>
      <c r="I717" s="112">
        <f>IFERROR(IF(OR(G717="yes",F717= "yes"),VLOOKUP(C717,Summary!$B:$J,6,0),0),0)</f>
        <v>0</v>
      </c>
      <c r="J717" s="111">
        <f t="shared" si="144"/>
        <v>523.69000000000005</v>
      </c>
      <c r="K717" s="91">
        <f>VLOOKUP($A717,'2022-23 Salary &amp; Benefits'!$A:$I,3,FALSE)</f>
        <v>1</v>
      </c>
      <c r="L717" s="91">
        <f>VLOOKUP($A717,'2022-23 Salary &amp; Benefits'!$A:$I,4,FALSE)</f>
        <v>1</v>
      </c>
      <c r="M717" s="101">
        <f t="shared" si="139"/>
        <v>523.69000000000005</v>
      </c>
      <c r="N717" s="24">
        <v>15</v>
      </c>
      <c r="O717" s="26">
        <f t="shared" si="142"/>
        <v>34.912666666666674</v>
      </c>
      <c r="P717" s="24">
        <v>1.1000000000000001</v>
      </c>
      <c r="Q717" s="24">
        <v>36</v>
      </c>
      <c r="R717" s="27">
        <f t="shared" si="143"/>
        <v>1382.5416000000002</v>
      </c>
      <c r="S717" s="102">
        <f t="shared" si="145"/>
        <v>1.536</v>
      </c>
      <c r="T717" s="21">
        <f>VLOOKUP($A717,'2022-23 Salary &amp; Benefits'!$A:$I,5,FALSE)</f>
        <v>68937</v>
      </c>
      <c r="U717" s="21">
        <f>VLOOKUP($A717,'2022-23 Salary &amp; Benefits'!$A:$I,6,FALSE)</f>
        <v>72728</v>
      </c>
      <c r="V717" s="22">
        <f t="shared" si="146"/>
        <v>105887.23</v>
      </c>
      <c r="W717" s="22">
        <f t="shared" si="147"/>
        <v>5822.9800000000105</v>
      </c>
      <c r="X717" s="22">
        <f>'2022-23 Salary &amp; Benefits'!$G$6</f>
        <v>12558.24</v>
      </c>
      <c r="Y717" s="23">
        <f>'2022-23 Salary &amp; Benefits'!$H$6</f>
        <v>0.2298</v>
      </c>
      <c r="Z717" s="23">
        <f>'2022-23 Salary &amp; Benefits'!$I$6</f>
        <v>0.22339999999999999</v>
      </c>
      <c r="AA717" s="22">
        <f t="shared" si="148"/>
        <v>44923.199999999997</v>
      </c>
      <c r="AB717" s="22">
        <f t="shared" si="149"/>
        <v>1861.84</v>
      </c>
      <c r="AC717" s="22">
        <f t="shared" si="150"/>
        <v>415.94</v>
      </c>
      <c r="AD717" s="22">
        <f t="shared" si="140"/>
        <v>2277.7799999999997</v>
      </c>
      <c r="AE717" s="22">
        <f t="shared" si="141"/>
        <v>158911.19</v>
      </c>
      <c r="AF717" s="19" t="str">
        <f>VLOOKUP(C717,'2021-22 School Level AAFTE'!C:N,12,FALSE)</f>
        <v>No</v>
      </c>
    </row>
    <row r="718" spans="1:32" s="19" customFormat="1">
      <c r="A718" s="97" t="s">
        <v>2484</v>
      </c>
      <c r="B718" s="97" t="s">
        <v>1754</v>
      </c>
      <c r="C718" s="95">
        <v>2580</v>
      </c>
      <c r="D718" s="95" t="s">
        <v>1755</v>
      </c>
      <c r="E718" s="129">
        <f>VLOOKUP($C718,'2021-22 School Level AAFTE'!$C:$Z,11,FALSE)</f>
        <v>0.34620000000000001</v>
      </c>
      <c r="F718" s="129" t="str">
        <f>VLOOKUP($C718,'2021-22 School Level AAFTE'!$C:$Z,8,FALSE)</f>
        <v>No</v>
      </c>
      <c r="G718" s="129" t="str">
        <f>VLOOKUP($C718,'2021-22 School Level AAFTE'!$C:$Z,12,FALSE)</f>
        <v>No</v>
      </c>
      <c r="H718" s="127">
        <f>VLOOKUP($C718,'2021-22 School Level AAFTE'!$C:$I,7,FALSE)</f>
        <v>534.32000000000005</v>
      </c>
      <c r="I718" s="112">
        <f>IFERROR(IF(OR(G718="yes",F718= "yes"),VLOOKUP(C718,Summary!$B:$J,6,0),0),0)</f>
        <v>0</v>
      </c>
      <c r="J718" s="111">
        <f t="shared" si="144"/>
        <v>0</v>
      </c>
      <c r="K718" s="91">
        <f>VLOOKUP($A718,'2022-23 Salary &amp; Benefits'!$A:$I,3,FALSE)</f>
        <v>1.1200000000000001</v>
      </c>
      <c r="L718" s="91">
        <f>VLOOKUP($A718,'2022-23 Salary &amp; Benefits'!$A:$I,4,FALSE)</f>
        <v>1.1200000000000001</v>
      </c>
      <c r="M718" s="39">
        <f t="shared" si="139"/>
        <v>0</v>
      </c>
      <c r="N718" s="24">
        <v>15</v>
      </c>
      <c r="O718" s="26">
        <f t="shared" si="142"/>
        <v>0</v>
      </c>
      <c r="P718" s="24">
        <v>1.1000000000000001</v>
      </c>
      <c r="Q718" s="24">
        <v>36</v>
      </c>
      <c r="R718" s="27">
        <f t="shared" si="143"/>
        <v>0</v>
      </c>
      <c r="S718" s="102">
        <f t="shared" si="145"/>
        <v>0</v>
      </c>
      <c r="T718" s="21">
        <f>VLOOKUP($A718,'2022-23 Salary &amp; Benefits'!$A:$I,5,FALSE)</f>
        <v>68937</v>
      </c>
      <c r="U718" s="21">
        <f>VLOOKUP($A718,'2022-23 Salary &amp; Benefits'!$A:$I,6,FALSE)</f>
        <v>72728</v>
      </c>
      <c r="V718" s="22">
        <f t="shared" si="146"/>
        <v>0</v>
      </c>
      <c r="W718" s="22">
        <f t="shared" si="147"/>
        <v>0</v>
      </c>
      <c r="X718" s="22">
        <f>'2022-23 Salary &amp; Benefits'!$G$6</f>
        <v>12558.24</v>
      </c>
      <c r="Y718" s="23">
        <f>'2022-23 Salary &amp; Benefits'!$H$6</f>
        <v>0.2298</v>
      </c>
      <c r="Z718" s="23">
        <f>'2022-23 Salary &amp; Benefits'!$I$6</f>
        <v>0.22339999999999999</v>
      </c>
      <c r="AA718" s="22">
        <f t="shared" si="148"/>
        <v>0</v>
      </c>
      <c r="AB718" s="22">
        <f t="shared" si="149"/>
        <v>0</v>
      </c>
      <c r="AC718" s="22">
        <f t="shared" si="150"/>
        <v>0</v>
      </c>
      <c r="AD718" s="22">
        <f t="shared" si="140"/>
        <v>0</v>
      </c>
      <c r="AE718" s="22">
        <f t="shared" si="141"/>
        <v>0</v>
      </c>
      <c r="AF718" s="19" t="str">
        <f>VLOOKUP(C718,'2021-22 School Level AAFTE'!C:N,12,FALSE)</f>
        <v>No</v>
      </c>
    </row>
    <row r="719" spans="1:32" s="19" customFormat="1">
      <c r="A719" s="97" t="s">
        <v>2484</v>
      </c>
      <c r="B719" s="97" t="s">
        <v>1754</v>
      </c>
      <c r="C719" s="95">
        <v>4113</v>
      </c>
      <c r="D719" s="95" t="s">
        <v>1756</v>
      </c>
      <c r="E719" s="129">
        <f>VLOOKUP($C719,'2021-22 School Level AAFTE'!$C:$Z,11,FALSE)</f>
        <v>0.43733333333333335</v>
      </c>
      <c r="F719" s="129" t="str">
        <f>VLOOKUP($C719,'2021-22 School Level AAFTE'!$C:$Z,8,FALSE)</f>
        <v>No</v>
      </c>
      <c r="G719" s="129" t="str">
        <f>VLOOKUP($C719,'2021-22 School Level AAFTE'!$C:$Z,12,FALSE)</f>
        <v>No</v>
      </c>
      <c r="H719" s="127">
        <f>VLOOKUP($C719,'2021-22 School Level AAFTE'!$C:$I,7,FALSE)</f>
        <v>502.1</v>
      </c>
      <c r="I719" s="112">
        <f>IFERROR(IF(OR(G719="yes",F719= "yes"),VLOOKUP(C719,Summary!$B:$J,6,0),0),0)</f>
        <v>0</v>
      </c>
      <c r="J719" s="111">
        <f t="shared" si="144"/>
        <v>0</v>
      </c>
      <c r="K719" s="91">
        <f>VLOOKUP($A719,'2022-23 Salary &amp; Benefits'!$A:$I,3,FALSE)</f>
        <v>1.1200000000000001</v>
      </c>
      <c r="L719" s="91">
        <f>VLOOKUP($A719,'2022-23 Salary &amp; Benefits'!$A:$I,4,FALSE)</f>
        <v>1.1200000000000001</v>
      </c>
      <c r="M719" s="101">
        <f t="shared" si="139"/>
        <v>0</v>
      </c>
      <c r="N719" s="24">
        <v>15</v>
      </c>
      <c r="O719" s="26">
        <f t="shared" si="142"/>
        <v>0</v>
      </c>
      <c r="P719" s="24">
        <v>1.1000000000000001</v>
      </c>
      <c r="Q719" s="24">
        <v>36</v>
      </c>
      <c r="R719" s="27">
        <f t="shared" si="143"/>
        <v>0</v>
      </c>
      <c r="S719" s="102">
        <f t="shared" si="145"/>
        <v>0</v>
      </c>
      <c r="T719" s="21">
        <f>VLOOKUP($A719,'2022-23 Salary &amp; Benefits'!$A:$I,5,FALSE)</f>
        <v>68937</v>
      </c>
      <c r="U719" s="21">
        <f>VLOOKUP($A719,'2022-23 Salary &amp; Benefits'!$A:$I,6,FALSE)</f>
        <v>72728</v>
      </c>
      <c r="V719" s="22">
        <f t="shared" si="146"/>
        <v>0</v>
      </c>
      <c r="W719" s="22">
        <f t="shared" si="147"/>
        <v>0</v>
      </c>
      <c r="X719" s="22">
        <f>'2022-23 Salary &amp; Benefits'!$G$6</f>
        <v>12558.24</v>
      </c>
      <c r="Y719" s="23">
        <f>'2022-23 Salary &amp; Benefits'!$H$6</f>
        <v>0.2298</v>
      </c>
      <c r="Z719" s="23">
        <f>'2022-23 Salary &amp; Benefits'!$I$6</f>
        <v>0.22339999999999999</v>
      </c>
      <c r="AA719" s="22">
        <f t="shared" si="148"/>
        <v>0</v>
      </c>
      <c r="AB719" s="22">
        <f t="shared" si="149"/>
        <v>0</v>
      </c>
      <c r="AC719" s="22">
        <f t="shared" si="150"/>
        <v>0</v>
      </c>
      <c r="AD719" s="22">
        <f t="shared" si="140"/>
        <v>0</v>
      </c>
      <c r="AE719" s="22">
        <f t="shared" si="141"/>
        <v>0</v>
      </c>
      <c r="AF719" s="19" t="str">
        <f>VLOOKUP(C719,'2021-22 School Level AAFTE'!C:N,12,FALSE)</f>
        <v>No</v>
      </c>
    </row>
    <row r="720" spans="1:32" s="19" customFormat="1">
      <c r="A720" s="97" t="s">
        <v>2484</v>
      </c>
      <c r="B720" s="97" t="s">
        <v>1754</v>
      </c>
      <c r="C720" s="95">
        <v>4330</v>
      </c>
      <c r="D720" s="95" t="s">
        <v>1757</v>
      </c>
      <c r="E720" s="129">
        <f>VLOOKUP($C720,'2021-22 School Level AAFTE'!$C:$Z,11,FALSE)</f>
        <v>0.38286666666666669</v>
      </c>
      <c r="F720" s="129" t="str">
        <f>VLOOKUP($C720,'2021-22 School Level AAFTE'!$C:$Z,8,FALSE)</f>
        <v>No</v>
      </c>
      <c r="G720" s="129" t="str">
        <f>VLOOKUP($C720,'2021-22 School Level AAFTE'!$C:$Z,12,FALSE)</f>
        <v>No</v>
      </c>
      <c r="H720" s="127">
        <f>VLOOKUP($C720,'2021-22 School Level AAFTE'!$C:$I,7,FALSE)</f>
        <v>468</v>
      </c>
      <c r="I720" s="112">
        <f>IFERROR(IF(OR(G720="yes",F720= "yes"),VLOOKUP(C720,Summary!$B:$J,6,0),0),0)</f>
        <v>0</v>
      </c>
      <c r="J720" s="111">
        <f t="shared" si="144"/>
        <v>0</v>
      </c>
      <c r="K720" s="91">
        <f>VLOOKUP($A720,'2022-23 Salary &amp; Benefits'!$A:$I,3,FALSE)</f>
        <v>1.1200000000000001</v>
      </c>
      <c r="L720" s="91">
        <f>VLOOKUP($A720,'2022-23 Salary &amp; Benefits'!$A:$I,4,FALSE)</f>
        <v>1.1200000000000001</v>
      </c>
      <c r="M720" s="101">
        <f t="shared" si="139"/>
        <v>0</v>
      </c>
      <c r="N720" s="24">
        <v>15</v>
      </c>
      <c r="O720" s="26">
        <f t="shared" si="142"/>
        <v>0</v>
      </c>
      <c r="P720" s="24">
        <v>1.1000000000000001</v>
      </c>
      <c r="Q720" s="24">
        <v>36</v>
      </c>
      <c r="R720" s="27">
        <f t="shared" si="143"/>
        <v>0</v>
      </c>
      <c r="S720" s="102">
        <f t="shared" si="145"/>
        <v>0</v>
      </c>
      <c r="T720" s="21">
        <f>VLOOKUP($A720,'2022-23 Salary &amp; Benefits'!$A:$I,5,FALSE)</f>
        <v>68937</v>
      </c>
      <c r="U720" s="21">
        <f>VLOOKUP($A720,'2022-23 Salary &amp; Benefits'!$A:$I,6,FALSE)</f>
        <v>72728</v>
      </c>
      <c r="V720" s="22">
        <f t="shared" si="146"/>
        <v>0</v>
      </c>
      <c r="W720" s="22">
        <f t="shared" si="147"/>
        <v>0</v>
      </c>
      <c r="X720" s="22">
        <f>'2022-23 Salary &amp; Benefits'!$G$6</f>
        <v>12558.24</v>
      </c>
      <c r="Y720" s="23">
        <f>'2022-23 Salary &amp; Benefits'!$H$6</f>
        <v>0.2298</v>
      </c>
      <c r="Z720" s="23">
        <f>'2022-23 Salary &amp; Benefits'!$I$6</f>
        <v>0.22339999999999999</v>
      </c>
      <c r="AA720" s="22">
        <f t="shared" si="148"/>
        <v>0</v>
      </c>
      <c r="AB720" s="22">
        <f t="shared" si="149"/>
        <v>0</v>
      </c>
      <c r="AC720" s="22">
        <f t="shared" si="150"/>
        <v>0</v>
      </c>
      <c r="AD720" s="22">
        <f t="shared" si="140"/>
        <v>0</v>
      </c>
      <c r="AE720" s="22">
        <f t="shared" si="141"/>
        <v>0</v>
      </c>
      <c r="AF720" s="19" t="str">
        <f>VLOOKUP(C720,'2021-22 School Level AAFTE'!C:N,12,FALSE)</f>
        <v>No</v>
      </c>
    </row>
    <row r="721" spans="1:32" s="19" customFormat="1">
      <c r="A721" s="97" t="s">
        <v>2484</v>
      </c>
      <c r="B721" s="97" t="s">
        <v>1754</v>
      </c>
      <c r="C721" s="95">
        <v>4479</v>
      </c>
      <c r="D721" s="95" t="s">
        <v>1758</v>
      </c>
      <c r="E721" s="129">
        <f>VLOOKUP($C721,'2021-22 School Level AAFTE'!$C:$Z,11,FALSE)</f>
        <v>0.41949999999999998</v>
      </c>
      <c r="F721" s="129" t="str">
        <f>VLOOKUP($C721,'2021-22 School Level AAFTE'!$C:$Z,8,FALSE)</f>
        <v>No</v>
      </c>
      <c r="G721" s="129" t="str">
        <f>VLOOKUP($C721,'2021-22 School Level AAFTE'!$C:$Z,12,FALSE)</f>
        <v>No</v>
      </c>
      <c r="H721" s="127">
        <f>VLOOKUP($C721,'2021-22 School Level AAFTE'!$C:$I,7,FALSE)</f>
        <v>422.25</v>
      </c>
      <c r="I721" s="112">
        <f>IFERROR(IF(OR(G721="yes",F721= "yes"),VLOOKUP(C721,Summary!$B:$J,6,0),0),0)</f>
        <v>0</v>
      </c>
      <c r="J721" s="111">
        <f t="shared" si="144"/>
        <v>0</v>
      </c>
      <c r="K721" s="91">
        <f>VLOOKUP($A721,'2022-23 Salary &amp; Benefits'!$A:$I,3,FALSE)</f>
        <v>1.1200000000000001</v>
      </c>
      <c r="L721" s="91">
        <f>VLOOKUP($A721,'2022-23 Salary &amp; Benefits'!$A:$I,4,FALSE)</f>
        <v>1.1200000000000001</v>
      </c>
      <c r="M721" s="101">
        <f t="shared" si="139"/>
        <v>0</v>
      </c>
      <c r="N721" s="24">
        <v>15</v>
      </c>
      <c r="O721" s="26">
        <f t="shared" si="142"/>
        <v>0</v>
      </c>
      <c r="P721" s="24">
        <v>1.1000000000000001</v>
      </c>
      <c r="Q721" s="24">
        <v>36</v>
      </c>
      <c r="R721" s="27">
        <f t="shared" si="143"/>
        <v>0</v>
      </c>
      <c r="S721" s="102">
        <f t="shared" si="145"/>
        <v>0</v>
      </c>
      <c r="T721" s="21">
        <f>VLOOKUP($A721,'2022-23 Salary &amp; Benefits'!$A:$I,5,FALSE)</f>
        <v>68937</v>
      </c>
      <c r="U721" s="21">
        <f>VLOOKUP($A721,'2022-23 Salary &amp; Benefits'!$A:$I,6,FALSE)</f>
        <v>72728</v>
      </c>
      <c r="V721" s="22">
        <f t="shared" si="146"/>
        <v>0</v>
      </c>
      <c r="W721" s="22">
        <f t="shared" si="147"/>
        <v>0</v>
      </c>
      <c r="X721" s="22">
        <f>'2022-23 Salary &amp; Benefits'!$G$6</f>
        <v>12558.24</v>
      </c>
      <c r="Y721" s="23">
        <f>'2022-23 Salary &amp; Benefits'!$H$6</f>
        <v>0.2298</v>
      </c>
      <c r="Z721" s="23">
        <f>'2022-23 Salary &amp; Benefits'!$I$6</f>
        <v>0.22339999999999999</v>
      </c>
      <c r="AA721" s="22">
        <f t="shared" si="148"/>
        <v>0</v>
      </c>
      <c r="AB721" s="22">
        <f t="shared" si="149"/>
        <v>0</v>
      </c>
      <c r="AC721" s="22">
        <f t="shared" si="150"/>
        <v>0</v>
      </c>
      <c r="AD721" s="22">
        <f t="shared" si="140"/>
        <v>0</v>
      </c>
      <c r="AE721" s="22">
        <f t="shared" si="141"/>
        <v>0</v>
      </c>
      <c r="AF721" s="19" t="str">
        <f>VLOOKUP(C721,'2021-22 School Level AAFTE'!C:N,12,FALSE)</f>
        <v>No</v>
      </c>
    </row>
    <row r="722" spans="1:32" s="19" customFormat="1">
      <c r="A722" s="97" t="s">
        <v>2484</v>
      </c>
      <c r="B722" s="97" t="s">
        <v>1754</v>
      </c>
      <c r="C722" s="95">
        <v>5171</v>
      </c>
      <c r="D722" s="95" t="s">
        <v>1759</v>
      </c>
      <c r="E722" s="129">
        <f>VLOOKUP($C722,'2021-22 School Level AAFTE'!$C:$Z,11,FALSE)</f>
        <v>0.6331</v>
      </c>
      <c r="F722" s="129" t="str">
        <f>VLOOKUP($C722,'2021-22 School Level AAFTE'!$C:$Z,8,FALSE)</f>
        <v>Yes</v>
      </c>
      <c r="G722" s="129" t="str">
        <f>VLOOKUP($C722,'2021-22 School Level AAFTE'!$C:$Z,12,FALSE)</f>
        <v>No</v>
      </c>
      <c r="H722" s="127">
        <f>VLOOKUP($C722,'2021-22 School Level AAFTE'!$C:$I,7,FALSE)</f>
        <v>148.09</v>
      </c>
      <c r="I722" s="112">
        <f>IFERROR(IF(OR(G722="yes",F722= "yes"),VLOOKUP(C722,Summary!$B:$J,6,0),0),0)</f>
        <v>0</v>
      </c>
      <c r="J722" s="111">
        <f t="shared" si="144"/>
        <v>148.09</v>
      </c>
      <c r="K722" s="91">
        <f>VLOOKUP($A722,'2022-23 Salary &amp; Benefits'!$A:$I,3,FALSE)</f>
        <v>1.1200000000000001</v>
      </c>
      <c r="L722" s="91">
        <f>VLOOKUP($A722,'2022-23 Salary &amp; Benefits'!$A:$I,4,FALSE)</f>
        <v>1.1200000000000001</v>
      </c>
      <c r="M722" s="101">
        <f t="shared" si="139"/>
        <v>148.09</v>
      </c>
      <c r="N722" s="24">
        <v>15</v>
      </c>
      <c r="O722" s="26">
        <f t="shared" si="142"/>
        <v>9.8726666666666674</v>
      </c>
      <c r="P722" s="24">
        <v>1.1000000000000001</v>
      </c>
      <c r="Q722" s="24">
        <v>36</v>
      </c>
      <c r="R722" s="27">
        <f t="shared" si="143"/>
        <v>390.95760000000001</v>
      </c>
      <c r="S722" s="102">
        <f t="shared" si="145"/>
        <v>0.434</v>
      </c>
      <c r="T722" s="21">
        <f>VLOOKUP($A722,'2022-23 Salary &amp; Benefits'!$A:$I,5,FALSE)</f>
        <v>68937</v>
      </c>
      <c r="U722" s="21">
        <f>VLOOKUP($A722,'2022-23 Salary &amp; Benefits'!$A:$I,6,FALSE)</f>
        <v>72728</v>
      </c>
      <c r="V722" s="22">
        <f t="shared" si="146"/>
        <v>33508.9</v>
      </c>
      <c r="W722" s="22">
        <f t="shared" si="147"/>
        <v>1842.7299999999959</v>
      </c>
      <c r="X722" s="22">
        <f>'2022-23 Salary &amp; Benefits'!$G$6</f>
        <v>12558.24</v>
      </c>
      <c r="Y722" s="23">
        <f>'2022-23 Salary &amp; Benefits'!$H$6</f>
        <v>0.2298</v>
      </c>
      <c r="Z722" s="23">
        <f>'2022-23 Salary &amp; Benefits'!$I$6</f>
        <v>0.22339999999999999</v>
      </c>
      <c r="AA722" s="22">
        <f t="shared" si="148"/>
        <v>13562.29</v>
      </c>
      <c r="AB722" s="22">
        <f t="shared" si="149"/>
        <v>589.19000000000005</v>
      </c>
      <c r="AC722" s="22">
        <f t="shared" si="150"/>
        <v>131.63</v>
      </c>
      <c r="AD722" s="22">
        <f t="shared" si="140"/>
        <v>720.82</v>
      </c>
      <c r="AE722" s="22">
        <f t="shared" si="141"/>
        <v>49634.74</v>
      </c>
      <c r="AF722" s="19" t="str">
        <f>VLOOKUP(C722,'2021-22 School Level AAFTE'!C:N,12,FALSE)</f>
        <v>No</v>
      </c>
    </row>
    <row r="723" spans="1:32" s="19" customFormat="1">
      <c r="A723" s="97" t="s">
        <v>2484</v>
      </c>
      <c r="B723" s="97" t="s">
        <v>1754</v>
      </c>
      <c r="C723" s="95">
        <v>5349</v>
      </c>
      <c r="D723" s="95" t="s">
        <v>1760</v>
      </c>
      <c r="E723" s="129">
        <f>VLOOKUP($C723,'2021-22 School Level AAFTE'!$C:$Z,11,FALSE)</f>
        <v>0.68366666666666676</v>
      </c>
      <c r="F723" s="129" t="str">
        <f>VLOOKUP($C723,'2021-22 School Level AAFTE'!$C:$Z,8,FALSE)</f>
        <v>Yes</v>
      </c>
      <c r="G723" s="129" t="str">
        <f>VLOOKUP($C723,'2021-22 School Level AAFTE'!$C:$Z,12,FALSE)</f>
        <v>No</v>
      </c>
      <c r="H723" s="127">
        <f>VLOOKUP($C723,'2021-22 School Level AAFTE'!$C:$I,7,FALSE)</f>
        <v>101.72</v>
      </c>
      <c r="I723" s="112">
        <f>IFERROR(IF(OR(G723="yes",F723= "yes"),VLOOKUP(C723,Summary!$B:$J,6,0),0),0)</f>
        <v>0</v>
      </c>
      <c r="J723" s="111">
        <f t="shared" si="144"/>
        <v>101.72</v>
      </c>
      <c r="K723" s="91">
        <f>VLOOKUP($A723,'2022-23 Salary &amp; Benefits'!$A:$I,3,FALSE)</f>
        <v>1.1200000000000001</v>
      </c>
      <c r="L723" s="91">
        <f>VLOOKUP($A723,'2022-23 Salary &amp; Benefits'!$A:$I,4,FALSE)</f>
        <v>1.1200000000000001</v>
      </c>
      <c r="M723" s="101">
        <f t="shared" si="139"/>
        <v>101.72</v>
      </c>
      <c r="N723" s="24">
        <v>15</v>
      </c>
      <c r="O723" s="26">
        <f t="shared" si="142"/>
        <v>6.7813333333333334</v>
      </c>
      <c r="P723" s="24">
        <v>1.1000000000000001</v>
      </c>
      <c r="Q723" s="24">
        <v>36</v>
      </c>
      <c r="R723" s="27">
        <f t="shared" si="143"/>
        <v>268.54080000000005</v>
      </c>
      <c r="S723" s="102">
        <f t="shared" si="145"/>
        <v>0.29799999999999999</v>
      </c>
      <c r="T723" s="21">
        <f>VLOOKUP($A723,'2022-23 Salary &amp; Benefits'!$A:$I,5,FALSE)</f>
        <v>68937</v>
      </c>
      <c r="U723" s="21">
        <f>VLOOKUP($A723,'2022-23 Salary &amp; Benefits'!$A:$I,6,FALSE)</f>
        <v>72728</v>
      </c>
      <c r="V723" s="22">
        <f t="shared" si="146"/>
        <v>23008.41</v>
      </c>
      <c r="W723" s="22">
        <f t="shared" si="147"/>
        <v>1265.2900000000009</v>
      </c>
      <c r="X723" s="22">
        <f>'2022-23 Salary &amp; Benefits'!$G$6</f>
        <v>12558.24</v>
      </c>
      <c r="Y723" s="23">
        <f>'2022-23 Salary &amp; Benefits'!$H$6</f>
        <v>0.2298</v>
      </c>
      <c r="Z723" s="23">
        <f>'2022-23 Salary &amp; Benefits'!$I$6</f>
        <v>0.22339999999999999</v>
      </c>
      <c r="AA723" s="22">
        <f t="shared" si="148"/>
        <v>9312.35</v>
      </c>
      <c r="AB723" s="22">
        <f t="shared" si="149"/>
        <v>404.56</v>
      </c>
      <c r="AC723" s="22">
        <f t="shared" si="150"/>
        <v>90.38</v>
      </c>
      <c r="AD723" s="22">
        <f t="shared" si="140"/>
        <v>494.94</v>
      </c>
      <c r="AE723" s="22">
        <f t="shared" si="141"/>
        <v>34080.990000000005</v>
      </c>
      <c r="AF723" s="19" t="str">
        <f>VLOOKUP(C723,'2021-22 School Level AAFTE'!C:N,12,FALSE)</f>
        <v>No</v>
      </c>
    </row>
    <row r="724" spans="1:32" s="19" customFormat="1">
      <c r="A724" s="97" t="s">
        <v>2415</v>
      </c>
      <c r="B724" s="97" t="s">
        <v>1206</v>
      </c>
      <c r="C724" s="95">
        <v>2145</v>
      </c>
      <c r="D724" s="95" t="s">
        <v>1207</v>
      </c>
      <c r="E724" s="129">
        <f>VLOOKUP($C724,'2021-22 School Level AAFTE'!$C:$Z,11,FALSE)</f>
        <v>0.41409999999999997</v>
      </c>
      <c r="F724" s="129" t="str">
        <f>VLOOKUP($C724,'2021-22 School Level AAFTE'!$C:$Z,8,FALSE)</f>
        <v>No</v>
      </c>
      <c r="G724" s="129" t="str">
        <f>VLOOKUP($C724,'2021-22 School Level AAFTE'!$C:$Z,12,FALSE)</f>
        <v>No</v>
      </c>
      <c r="H724" s="127">
        <f>VLOOKUP($C724,'2021-22 School Level AAFTE'!$C:$I,7,FALSE)</f>
        <v>214.29</v>
      </c>
      <c r="I724" s="112">
        <f>IFERROR(IF(OR(G724="yes",F724= "yes"),VLOOKUP(C724,Summary!$B:$J,6,0),0),0)</f>
        <v>0</v>
      </c>
      <c r="J724" s="111">
        <f t="shared" si="144"/>
        <v>0</v>
      </c>
      <c r="K724" s="91">
        <f>VLOOKUP($A724,'2022-23 Salary &amp; Benefits'!$A:$I,3,FALSE)</f>
        <v>1</v>
      </c>
      <c r="L724" s="91">
        <f>VLOOKUP($A724,'2022-23 Salary &amp; Benefits'!$A:$I,4,FALSE)</f>
        <v>1</v>
      </c>
      <c r="M724" s="101">
        <f t="shared" si="139"/>
        <v>0</v>
      </c>
      <c r="N724" s="24">
        <v>15</v>
      </c>
      <c r="O724" s="26">
        <f t="shared" si="142"/>
        <v>0</v>
      </c>
      <c r="P724" s="24">
        <v>1.1000000000000001</v>
      </c>
      <c r="Q724" s="24">
        <v>36</v>
      </c>
      <c r="R724" s="27">
        <f t="shared" si="143"/>
        <v>0</v>
      </c>
      <c r="S724" s="102">
        <f t="shared" si="145"/>
        <v>0</v>
      </c>
      <c r="T724" s="21">
        <f>VLOOKUP($A724,'2022-23 Salary &amp; Benefits'!$A:$I,5,FALSE)</f>
        <v>68937</v>
      </c>
      <c r="U724" s="21">
        <f>VLOOKUP($A724,'2022-23 Salary &amp; Benefits'!$A:$I,6,FALSE)</f>
        <v>72728</v>
      </c>
      <c r="V724" s="22">
        <f t="shared" si="146"/>
        <v>0</v>
      </c>
      <c r="W724" s="22">
        <f t="shared" si="147"/>
        <v>0</v>
      </c>
      <c r="X724" s="22">
        <f>'2022-23 Salary &amp; Benefits'!$G$6</f>
        <v>12558.24</v>
      </c>
      <c r="Y724" s="23">
        <f>'2022-23 Salary &amp; Benefits'!$H$6</f>
        <v>0.2298</v>
      </c>
      <c r="Z724" s="23">
        <f>'2022-23 Salary &amp; Benefits'!$I$6</f>
        <v>0.22339999999999999</v>
      </c>
      <c r="AA724" s="22">
        <f t="shared" si="148"/>
        <v>0</v>
      </c>
      <c r="AB724" s="22">
        <f t="shared" si="149"/>
        <v>0</v>
      </c>
      <c r="AC724" s="22">
        <f t="shared" si="150"/>
        <v>0</v>
      </c>
      <c r="AD724" s="22">
        <f t="shared" si="140"/>
        <v>0</v>
      </c>
      <c r="AE724" s="22">
        <f t="shared" si="141"/>
        <v>0</v>
      </c>
      <c r="AF724" s="19" t="str">
        <f>VLOOKUP(C724,'2021-22 School Level AAFTE'!C:N,12,FALSE)</f>
        <v>No</v>
      </c>
    </row>
    <row r="725" spans="1:32" s="19" customFormat="1">
      <c r="A725" s="97" t="s">
        <v>2488</v>
      </c>
      <c r="B725" s="97" t="s">
        <v>1824</v>
      </c>
      <c r="C725" s="95">
        <v>2097</v>
      </c>
      <c r="D725" s="95" t="s">
        <v>1825</v>
      </c>
      <c r="E725" s="129">
        <f>VLOOKUP($C725,'2021-22 School Level AAFTE'!$C:$Z,11,FALSE)</f>
        <v>0.23896666666666669</v>
      </c>
      <c r="F725" s="129" t="str">
        <f>VLOOKUP($C725,'2021-22 School Level AAFTE'!$C:$Z,8,FALSE)</f>
        <v>No</v>
      </c>
      <c r="G725" s="129" t="str">
        <f>VLOOKUP($C725,'2021-22 School Level AAFTE'!$C:$Z,12,FALSE)</f>
        <v>No</v>
      </c>
      <c r="H725" s="127">
        <f>VLOOKUP($C725,'2021-22 School Level AAFTE'!$C:$I,7,FALSE)</f>
        <v>28.14</v>
      </c>
      <c r="I725" s="112">
        <f>IFERROR(IF(OR(G725="yes",F725= "yes"),VLOOKUP(C725,Summary!$B:$J,6,0),0),0)</f>
        <v>0</v>
      </c>
      <c r="J725" s="111">
        <f t="shared" si="144"/>
        <v>0</v>
      </c>
      <c r="K725" s="91">
        <f>VLOOKUP($A725,'2022-23 Salary &amp; Benefits'!$A:$I,3,FALSE)</f>
        <v>1</v>
      </c>
      <c r="L725" s="91">
        <f>VLOOKUP($A725,'2022-23 Salary &amp; Benefits'!$A:$I,4,FALSE)</f>
        <v>1</v>
      </c>
      <c r="M725" s="101">
        <f t="shared" si="139"/>
        <v>0</v>
      </c>
      <c r="N725" s="24">
        <v>15</v>
      </c>
      <c r="O725" s="26">
        <f t="shared" si="142"/>
        <v>0</v>
      </c>
      <c r="P725" s="24">
        <v>1.1000000000000001</v>
      </c>
      <c r="Q725" s="24">
        <v>36</v>
      </c>
      <c r="R725" s="27">
        <f t="shared" si="143"/>
        <v>0</v>
      </c>
      <c r="S725" s="102">
        <f t="shared" si="145"/>
        <v>0</v>
      </c>
      <c r="T725" s="21">
        <f>VLOOKUP($A725,'2022-23 Salary &amp; Benefits'!$A:$I,5,FALSE)</f>
        <v>68937</v>
      </c>
      <c r="U725" s="21">
        <f>VLOOKUP($A725,'2022-23 Salary &amp; Benefits'!$A:$I,6,FALSE)</f>
        <v>72728</v>
      </c>
      <c r="V725" s="22">
        <f t="shared" si="146"/>
        <v>0</v>
      </c>
      <c r="W725" s="22">
        <f t="shared" si="147"/>
        <v>0</v>
      </c>
      <c r="X725" s="22">
        <f>'2022-23 Salary &amp; Benefits'!$G$6</f>
        <v>12558.24</v>
      </c>
      <c r="Y725" s="23">
        <f>'2022-23 Salary &amp; Benefits'!$H$6</f>
        <v>0.2298</v>
      </c>
      <c r="Z725" s="23">
        <f>'2022-23 Salary &amp; Benefits'!$I$6</f>
        <v>0.22339999999999999</v>
      </c>
      <c r="AA725" s="22">
        <f t="shared" si="148"/>
        <v>0</v>
      </c>
      <c r="AB725" s="22">
        <f t="shared" si="149"/>
        <v>0</v>
      </c>
      <c r="AC725" s="22">
        <f t="shared" si="150"/>
        <v>0</v>
      </c>
      <c r="AD725" s="22">
        <f t="shared" si="140"/>
        <v>0</v>
      </c>
      <c r="AE725" s="22">
        <f t="shared" si="141"/>
        <v>0</v>
      </c>
      <c r="AF725" s="19" t="str">
        <f>VLOOKUP(C725,'2021-22 School Level AAFTE'!C:N,12,FALSE)</f>
        <v>No</v>
      </c>
    </row>
    <row r="726" spans="1:32" s="19" customFormat="1">
      <c r="A726" s="97" t="s">
        <v>2286</v>
      </c>
      <c r="B726" s="97" t="s">
        <v>211</v>
      </c>
      <c r="C726" s="95">
        <v>2484</v>
      </c>
      <c r="D726" s="95" t="s">
        <v>212</v>
      </c>
      <c r="E726" s="129">
        <f>VLOOKUP($C726,'2021-22 School Level AAFTE'!$C:$Z,11,FALSE)</f>
        <v>0.3842666666666667</v>
      </c>
      <c r="F726" s="129" t="str">
        <f>VLOOKUP($C726,'2021-22 School Level AAFTE'!$C:$Z,8,FALSE)</f>
        <v>No</v>
      </c>
      <c r="G726" s="129" t="str">
        <f>VLOOKUP($C726,'2021-22 School Level AAFTE'!$C:$Z,12,FALSE)</f>
        <v>No</v>
      </c>
      <c r="H726" s="127">
        <f>VLOOKUP($C726,'2021-22 School Level AAFTE'!$C:$I,7,FALSE)</f>
        <v>153.30000000000001</v>
      </c>
      <c r="I726" s="112">
        <f>IFERROR(IF(OR(G726="yes",F726= "yes"),VLOOKUP(C726,Summary!$B:$J,6,0),0),0)</f>
        <v>0</v>
      </c>
      <c r="J726" s="111">
        <f t="shared" si="144"/>
        <v>0</v>
      </c>
      <c r="K726" s="91">
        <f>VLOOKUP($A726,'2022-23 Salary &amp; Benefits'!$A:$I,3,FALSE)</f>
        <v>1</v>
      </c>
      <c r="L726" s="91">
        <f>VLOOKUP($A726,'2022-23 Salary &amp; Benefits'!$A:$I,4,FALSE)</f>
        <v>1</v>
      </c>
      <c r="M726" s="101">
        <f t="shared" si="139"/>
        <v>0</v>
      </c>
      <c r="N726" s="24">
        <v>15</v>
      </c>
      <c r="O726" s="26">
        <f t="shared" si="142"/>
        <v>0</v>
      </c>
      <c r="P726" s="24">
        <v>1.1000000000000001</v>
      </c>
      <c r="Q726" s="24">
        <v>36</v>
      </c>
      <c r="R726" s="27">
        <f t="shared" si="143"/>
        <v>0</v>
      </c>
      <c r="S726" s="102">
        <f t="shared" si="145"/>
        <v>0</v>
      </c>
      <c r="T726" s="21">
        <f>VLOOKUP($A726,'2022-23 Salary &amp; Benefits'!$A:$I,5,FALSE)</f>
        <v>68937</v>
      </c>
      <c r="U726" s="21">
        <f>VLOOKUP($A726,'2022-23 Salary &amp; Benefits'!$A:$I,6,FALSE)</f>
        <v>72728</v>
      </c>
      <c r="V726" s="22">
        <f t="shared" si="146"/>
        <v>0</v>
      </c>
      <c r="W726" s="22">
        <f t="shared" si="147"/>
        <v>0</v>
      </c>
      <c r="X726" s="22">
        <f>'2022-23 Salary &amp; Benefits'!$G$6</f>
        <v>12558.24</v>
      </c>
      <c r="Y726" s="23">
        <f>'2022-23 Salary &amp; Benefits'!$H$6</f>
        <v>0.2298</v>
      </c>
      <c r="Z726" s="23">
        <f>'2022-23 Salary &amp; Benefits'!$I$6</f>
        <v>0.22339999999999999</v>
      </c>
      <c r="AA726" s="22">
        <f t="shared" si="148"/>
        <v>0</v>
      </c>
      <c r="AB726" s="22">
        <f t="shared" si="149"/>
        <v>0</v>
      </c>
      <c r="AC726" s="22">
        <f t="shared" si="150"/>
        <v>0</v>
      </c>
      <c r="AD726" s="22">
        <f t="shared" si="140"/>
        <v>0</v>
      </c>
      <c r="AE726" s="22">
        <f t="shared" si="141"/>
        <v>0</v>
      </c>
      <c r="AF726" s="19" t="str">
        <f>VLOOKUP(C726,'2021-22 School Level AAFTE'!C:N,12,FALSE)</f>
        <v>No</v>
      </c>
    </row>
    <row r="727" spans="1:32" s="19" customFormat="1">
      <c r="A727" s="97" t="s">
        <v>2520</v>
      </c>
      <c r="B727" s="97" t="s">
        <v>2023</v>
      </c>
      <c r="C727" s="95">
        <v>2406</v>
      </c>
      <c r="D727" s="95" t="s">
        <v>2024</v>
      </c>
      <c r="E727" s="129">
        <f>VLOOKUP($C727,'2021-22 School Level AAFTE'!$C:$Z,11,FALSE)</f>
        <v>0.16863333333333333</v>
      </c>
      <c r="F727" s="129" t="str">
        <f>VLOOKUP($C727,'2021-22 School Level AAFTE'!$C:$Z,8,FALSE)</f>
        <v>No</v>
      </c>
      <c r="G727" s="129" t="str">
        <f>VLOOKUP($C727,'2021-22 School Level AAFTE'!$C:$Z,12,FALSE)</f>
        <v>No</v>
      </c>
      <c r="H727" s="127">
        <f>VLOOKUP($C727,'2021-22 School Level AAFTE'!$C:$I,7,FALSE)</f>
        <v>603</v>
      </c>
      <c r="I727" s="112">
        <f>IFERROR(IF(OR(G727="yes",F727= "yes"),VLOOKUP(C727,Summary!$B:$J,6,0),0),0)</f>
        <v>0</v>
      </c>
      <c r="J727" s="111">
        <f t="shared" si="144"/>
        <v>0</v>
      </c>
      <c r="K727" s="91">
        <f>VLOOKUP($A727,'2022-23 Salary &amp; Benefits'!$A:$I,3,FALSE)</f>
        <v>1</v>
      </c>
      <c r="L727" s="91">
        <f>VLOOKUP($A727,'2022-23 Salary &amp; Benefits'!$A:$I,4,FALSE)</f>
        <v>1</v>
      </c>
      <c r="M727" s="101">
        <f t="shared" si="139"/>
        <v>0</v>
      </c>
      <c r="N727" s="24">
        <v>15</v>
      </c>
      <c r="O727" s="26">
        <f t="shared" si="142"/>
        <v>0</v>
      </c>
      <c r="P727" s="24">
        <v>1.1000000000000001</v>
      </c>
      <c r="Q727" s="24">
        <v>36</v>
      </c>
      <c r="R727" s="27">
        <f t="shared" si="143"/>
        <v>0</v>
      </c>
      <c r="S727" s="102">
        <f t="shared" si="145"/>
        <v>0</v>
      </c>
      <c r="T727" s="21">
        <f>VLOOKUP($A727,'2022-23 Salary &amp; Benefits'!$A:$I,5,FALSE)</f>
        <v>68937</v>
      </c>
      <c r="U727" s="21">
        <f>VLOOKUP($A727,'2022-23 Salary &amp; Benefits'!$A:$I,6,FALSE)</f>
        <v>72728</v>
      </c>
      <c r="V727" s="22">
        <f t="shared" si="146"/>
        <v>0</v>
      </c>
      <c r="W727" s="22">
        <f t="shared" si="147"/>
        <v>0</v>
      </c>
      <c r="X727" s="22">
        <f>'2022-23 Salary &amp; Benefits'!$G$6</f>
        <v>12558.24</v>
      </c>
      <c r="Y727" s="23">
        <f>'2022-23 Salary &amp; Benefits'!$H$6</f>
        <v>0.2298</v>
      </c>
      <c r="Z727" s="23">
        <f>'2022-23 Salary &amp; Benefits'!$I$6</f>
        <v>0.22339999999999999</v>
      </c>
      <c r="AA727" s="22">
        <f t="shared" si="148"/>
        <v>0</v>
      </c>
      <c r="AB727" s="22">
        <f t="shared" si="149"/>
        <v>0</v>
      </c>
      <c r="AC727" s="22">
        <f t="shared" si="150"/>
        <v>0</v>
      </c>
      <c r="AD727" s="22">
        <f t="shared" si="140"/>
        <v>0</v>
      </c>
      <c r="AE727" s="22">
        <f t="shared" si="141"/>
        <v>0</v>
      </c>
      <c r="AF727" s="19" t="str">
        <f>VLOOKUP(C727,'2021-22 School Level AAFTE'!C:N,12,FALSE)</f>
        <v>No</v>
      </c>
    </row>
    <row r="728" spans="1:32" s="19" customFormat="1">
      <c r="A728" s="97" t="s">
        <v>2412</v>
      </c>
      <c r="B728" s="97" t="s">
        <v>1198</v>
      </c>
      <c r="C728" s="95">
        <v>2743</v>
      </c>
      <c r="D728" s="95" t="s">
        <v>1199</v>
      </c>
      <c r="E728" s="129">
        <f>VLOOKUP($C728,'2021-22 School Level AAFTE'!$C:$Z,11,FALSE)</f>
        <v>0.38410000000000005</v>
      </c>
      <c r="F728" s="129" t="str">
        <f>VLOOKUP($C728,'2021-22 School Level AAFTE'!$C:$Z,8,FALSE)</f>
        <v>Yes</v>
      </c>
      <c r="G728" s="129" t="str">
        <f>VLOOKUP($C728,'2021-22 School Level AAFTE'!$C:$Z,12,FALSE)</f>
        <v>No</v>
      </c>
      <c r="H728" s="127">
        <f>VLOOKUP($C728,'2021-22 School Level AAFTE'!$C:$I,7,FALSE)</f>
        <v>63.71</v>
      </c>
      <c r="I728" s="112">
        <f>IFERROR(IF(OR(G728="yes",F728= "yes"),VLOOKUP(C728,Summary!$B:$J,6,0),0),0)</f>
        <v>0</v>
      </c>
      <c r="J728" s="111">
        <f t="shared" si="144"/>
        <v>63.71</v>
      </c>
      <c r="K728" s="91">
        <f>VLOOKUP($A728,'2022-23 Salary &amp; Benefits'!$A:$I,3,FALSE)</f>
        <v>1</v>
      </c>
      <c r="L728" s="91">
        <f>VLOOKUP($A728,'2022-23 Salary &amp; Benefits'!$A:$I,4,FALSE)</f>
        <v>1.04</v>
      </c>
      <c r="M728" s="101">
        <f t="shared" si="139"/>
        <v>63.71</v>
      </c>
      <c r="N728" s="24">
        <v>15</v>
      </c>
      <c r="O728" s="26">
        <f t="shared" si="142"/>
        <v>4.2473333333333336</v>
      </c>
      <c r="P728" s="24">
        <v>1.1000000000000001</v>
      </c>
      <c r="Q728" s="24">
        <v>36</v>
      </c>
      <c r="R728" s="27">
        <f t="shared" si="143"/>
        <v>168.19440000000003</v>
      </c>
      <c r="S728" s="102">
        <f t="shared" si="145"/>
        <v>0.187</v>
      </c>
      <c r="T728" s="21">
        <f>VLOOKUP($A728,'2022-23 Salary &amp; Benefits'!$A:$I,5,FALSE)</f>
        <v>68937</v>
      </c>
      <c r="U728" s="21">
        <f>VLOOKUP($A728,'2022-23 Salary &amp; Benefits'!$A:$I,6,FALSE)</f>
        <v>72728</v>
      </c>
      <c r="V728" s="22">
        <f t="shared" si="146"/>
        <v>12891.22</v>
      </c>
      <c r="W728" s="22">
        <f t="shared" si="147"/>
        <v>1252.92</v>
      </c>
      <c r="X728" s="22">
        <f>'2022-23 Salary &amp; Benefits'!$G$6</f>
        <v>12558.24</v>
      </c>
      <c r="Y728" s="23">
        <f>'2022-23 Salary &amp; Benefits'!$H$6</f>
        <v>0.2298</v>
      </c>
      <c r="Z728" s="23">
        <f>'2022-23 Salary &amp; Benefits'!$I$6</f>
        <v>0.22339999999999999</v>
      </c>
      <c r="AA728" s="22">
        <f t="shared" si="148"/>
        <v>5590.7</v>
      </c>
      <c r="AB728" s="22">
        <f t="shared" si="149"/>
        <v>235.74</v>
      </c>
      <c r="AC728" s="22">
        <f t="shared" si="150"/>
        <v>52.66</v>
      </c>
      <c r="AD728" s="22">
        <f t="shared" si="140"/>
        <v>288.39999999999998</v>
      </c>
      <c r="AE728" s="22">
        <f t="shared" si="141"/>
        <v>20023.239999999998</v>
      </c>
      <c r="AF728" s="19" t="str">
        <f>VLOOKUP(C728,'2021-22 School Level AAFTE'!C:N,12,FALSE)</f>
        <v>No</v>
      </c>
    </row>
    <row r="729" spans="1:32" s="19" customFormat="1">
      <c r="A729" s="97" t="s">
        <v>2412</v>
      </c>
      <c r="B729" s="97" t="s">
        <v>1198</v>
      </c>
      <c r="C729" s="95">
        <v>3113</v>
      </c>
      <c r="D729" s="95" t="s">
        <v>1200</v>
      </c>
      <c r="E729" s="129">
        <f>VLOOKUP($C729,'2021-22 School Level AAFTE'!$C:$Z,11,FALSE)</f>
        <v>0.44019999999999998</v>
      </c>
      <c r="F729" s="129" t="str">
        <f>VLOOKUP($C729,'2021-22 School Level AAFTE'!$C:$Z,8,FALSE)</f>
        <v>Yes</v>
      </c>
      <c r="G729" s="129" t="str">
        <f>VLOOKUP($C729,'2021-22 School Level AAFTE'!$C:$Z,12,FALSE)</f>
        <v>No</v>
      </c>
      <c r="H729" s="127">
        <f>VLOOKUP($C729,'2021-22 School Level AAFTE'!$C:$I,7,FALSE)</f>
        <v>48.13</v>
      </c>
      <c r="I729" s="112">
        <f>IFERROR(IF(OR(G729="yes",F729= "yes"),VLOOKUP(C729,Summary!$B:$J,6,0),0),0)</f>
        <v>0</v>
      </c>
      <c r="J729" s="111">
        <f t="shared" si="144"/>
        <v>48.13</v>
      </c>
      <c r="K729" s="91">
        <f>VLOOKUP($A729,'2022-23 Salary &amp; Benefits'!$A:$I,3,FALSE)</f>
        <v>1</v>
      </c>
      <c r="L729" s="91">
        <f>VLOOKUP($A729,'2022-23 Salary &amp; Benefits'!$A:$I,4,FALSE)</f>
        <v>1.04</v>
      </c>
      <c r="M729" s="101">
        <f t="shared" si="139"/>
        <v>48.13</v>
      </c>
      <c r="N729" s="24">
        <v>15</v>
      </c>
      <c r="O729" s="26">
        <f t="shared" si="142"/>
        <v>3.2086666666666668</v>
      </c>
      <c r="P729" s="24">
        <v>1.1000000000000001</v>
      </c>
      <c r="Q729" s="24">
        <v>36</v>
      </c>
      <c r="R729" s="27">
        <f t="shared" si="143"/>
        <v>127.06320000000001</v>
      </c>
      <c r="S729" s="102">
        <f t="shared" si="145"/>
        <v>0.14099999999999999</v>
      </c>
      <c r="T729" s="21">
        <f>VLOOKUP($A729,'2022-23 Salary &amp; Benefits'!$A:$I,5,FALSE)</f>
        <v>68937</v>
      </c>
      <c r="U729" s="21">
        <f>VLOOKUP($A729,'2022-23 Salary &amp; Benefits'!$A:$I,6,FALSE)</f>
        <v>72728</v>
      </c>
      <c r="V729" s="22">
        <f t="shared" si="146"/>
        <v>9720.1200000000008</v>
      </c>
      <c r="W729" s="22">
        <f t="shared" si="147"/>
        <v>944.70999999999913</v>
      </c>
      <c r="X729" s="22">
        <f>'2022-23 Salary &amp; Benefits'!$G$6</f>
        <v>12558.24</v>
      </c>
      <c r="Y729" s="23">
        <f>'2022-23 Salary &amp; Benefits'!$H$6</f>
        <v>0.2298</v>
      </c>
      <c r="Z729" s="23">
        <f>'2022-23 Salary &amp; Benefits'!$I$6</f>
        <v>0.22339999999999999</v>
      </c>
      <c r="AA729" s="22">
        <f t="shared" si="148"/>
        <v>4215.4399999999996</v>
      </c>
      <c r="AB729" s="22">
        <f t="shared" si="149"/>
        <v>177.75</v>
      </c>
      <c r="AC729" s="22">
        <f t="shared" si="150"/>
        <v>39.71</v>
      </c>
      <c r="AD729" s="22">
        <f t="shared" si="140"/>
        <v>217.46</v>
      </c>
      <c r="AE729" s="22">
        <f t="shared" si="141"/>
        <v>15097.73</v>
      </c>
      <c r="AF729" s="19" t="str">
        <f>VLOOKUP(C729,'2021-22 School Level AAFTE'!C:N,12,FALSE)</f>
        <v>No</v>
      </c>
    </row>
    <row r="730" spans="1:32" s="19" customFormat="1">
      <c r="A730" s="97" t="s">
        <v>2562</v>
      </c>
      <c r="B730" s="97" t="s">
        <v>2227</v>
      </c>
      <c r="C730" s="95">
        <v>2718</v>
      </c>
      <c r="D730" s="95" t="s">
        <v>2228</v>
      </c>
      <c r="E730" s="129">
        <f>VLOOKUP($C730,'2021-22 School Level AAFTE'!$C:$Z,11,FALSE)</f>
        <v>0.81333333333333335</v>
      </c>
      <c r="F730" s="129" t="str">
        <f>VLOOKUP($C730,'2021-22 School Level AAFTE'!$C:$Z,8,FALSE)</f>
        <v>Yes</v>
      </c>
      <c r="G730" s="129" t="str">
        <f>VLOOKUP($C730,'2021-22 School Level AAFTE'!$C:$Z,12,FALSE)</f>
        <v>No</v>
      </c>
      <c r="H730" s="127">
        <f>VLOOKUP($C730,'2021-22 School Level AAFTE'!$C:$I,7,FALSE)</f>
        <v>187.86</v>
      </c>
      <c r="I730" s="112">
        <f>IFERROR(IF(OR(G730="yes",F730= "yes"),VLOOKUP(C730,Summary!$B:$J,6,0),0),0)</f>
        <v>0</v>
      </c>
      <c r="J730" s="111">
        <f t="shared" si="144"/>
        <v>187.86</v>
      </c>
      <c r="K730" s="91">
        <f>VLOOKUP($A730,'2022-23 Salary &amp; Benefits'!$A:$I,3,FALSE)</f>
        <v>1</v>
      </c>
      <c r="L730" s="91">
        <f>VLOOKUP($A730,'2022-23 Salary &amp; Benefits'!$A:$I,4,FALSE)</f>
        <v>1</v>
      </c>
      <c r="M730" s="101">
        <f t="shared" si="139"/>
        <v>187.86</v>
      </c>
      <c r="N730" s="24">
        <v>15</v>
      </c>
      <c r="O730" s="26">
        <f t="shared" si="142"/>
        <v>12.524000000000001</v>
      </c>
      <c r="P730" s="24">
        <v>1.1000000000000001</v>
      </c>
      <c r="Q730" s="24">
        <v>36</v>
      </c>
      <c r="R730" s="27">
        <f t="shared" si="143"/>
        <v>495.95040000000006</v>
      </c>
      <c r="S730" s="102">
        <f t="shared" si="145"/>
        <v>0.55100000000000005</v>
      </c>
      <c r="T730" s="21">
        <f>VLOOKUP($A730,'2022-23 Salary &amp; Benefits'!$A:$I,5,FALSE)</f>
        <v>68937</v>
      </c>
      <c r="U730" s="21">
        <f>VLOOKUP($A730,'2022-23 Salary &amp; Benefits'!$A:$I,6,FALSE)</f>
        <v>72728</v>
      </c>
      <c r="V730" s="22">
        <f t="shared" si="146"/>
        <v>37984.29</v>
      </c>
      <c r="W730" s="22">
        <f t="shared" si="147"/>
        <v>2088.8399999999965</v>
      </c>
      <c r="X730" s="22">
        <f>'2022-23 Salary &amp; Benefits'!$G$6</f>
        <v>12558.24</v>
      </c>
      <c r="Y730" s="23">
        <f>'2022-23 Salary &amp; Benefits'!$H$6</f>
        <v>0.2298</v>
      </c>
      <c r="Z730" s="23">
        <f>'2022-23 Salary &amp; Benefits'!$I$6</f>
        <v>0.22339999999999999</v>
      </c>
      <c r="AA730" s="22">
        <f t="shared" si="148"/>
        <v>16115.03</v>
      </c>
      <c r="AB730" s="22">
        <f t="shared" si="149"/>
        <v>667.89</v>
      </c>
      <c r="AC730" s="22">
        <f t="shared" si="150"/>
        <v>149.21</v>
      </c>
      <c r="AD730" s="22">
        <f t="shared" si="140"/>
        <v>817.1</v>
      </c>
      <c r="AE730" s="22">
        <f t="shared" si="141"/>
        <v>57005.259999999995</v>
      </c>
      <c r="AF730" s="19" t="str">
        <f>VLOOKUP(C730,'2021-22 School Level AAFTE'!C:N,12,FALSE)</f>
        <v>No</v>
      </c>
    </row>
    <row r="731" spans="1:32" s="19" customFormat="1">
      <c r="A731" s="97" t="s">
        <v>2562</v>
      </c>
      <c r="B731" s="97" t="s">
        <v>2227</v>
      </c>
      <c r="C731" s="95">
        <v>3072</v>
      </c>
      <c r="D731" s="95" t="s">
        <v>2229</v>
      </c>
      <c r="E731" s="129">
        <f>VLOOKUP($C731,'2021-22 School Level AAFTE'!$C:$Z,11,FALSE)</f>
        <v>0.75360000000000005</v>
      </c>
      <c r="F731" s="129" t="str">
        <f>VLOOKUP($C731,'2021-22 School Level AAFTE'!$C:$Z,8,FALSE)</f>
        <v>Yes</v>
      </c>
      <c r="G731" s="129" t="str">
        <f>VLOOKUP($C731,'2021-22 School Level AAFTE'!$C:$Z,12,FALSE)</f>
        <v>No</v>
      </c>
      <c r="H731" s="127">
        <f>VLOOKUP($C731,'2021-22 School Level AAFTE'!$C:$I,7,FALSE)</f>
        <v>260.43</v>
      </c>
      <c r="I731" s="112">
        <f>IFERROR(IF(OR(G731="yes",F731= "yes"),VLOOKUP(C731,Summary!$B:$J,6,0),0),0)</f>
        <v>0</v>
      </c>
      <c r="J731" s="111">
        <f t="shared" si="144"/>
        <v>260.43</v>
      </c>
      <c r="K731" s="91">
        <f>VLOOKUP($A731,'2022-23 Salary &amp; Benefits'!$A:$I,3,FALSE)</f>
        <v>1</v>
      </c>
      <c r="L731" s="91">
        <f>VLOOKUP($A731,'2022-23 Salary &amp; Benefits'!$A:$I,4,FALSE)</f>
        <v>1</v>
      </c>
      <c r="M731" s="101">
        <f t="shared" si="139"/>
        <v>260.43</v>
      </c>
      <c r="N731" s="24">
        <v>15</v>
      </c>
      <c r="O731" s="26">
        <f t="shared" si="142"/>
        <v>17.362000000000002</v>
      </c>
      <c r="P731" s="24">
        <v>1.1000000000000001</v>
      </c>
      <c r="Q731" s="24">
        <v>36</v>
      </c>
      <c r="R731" s="27">
        <f t="shared" si="143"/>
        <v>687.53520000000003</v>
      </c>
      <c r="S731" s="102">
        <f t="shared" si="145"/>
        <v>0.76400000000000001</v>
      </c>
      <c r="T731" s="21">
        <f>VLOOKUP($A731,'2022-23 Salary &amp; Benefits'!$A:$I,5,FALSE)</f>
        <v>68937</v>
      </c>
      <c r="U731" s="21">
        <f>VLOOKUP($A731,'2022-23 Salary &amp; Benefits'!$A:$I,6,FALSE)</f>
        <v>72728</v>
      </c>
      <c r="V731" s="22">
        <f t="shared" si="146"/>
        <v>52667.87</v>
      </c>
      <c r="W731" s="22">
        <f t="shared" si="147"/>
        <v>2896.3199999999997</v>
      </c>
      <c r="X731" s="22">
        <f>'2022-23 Salary &amp; Benefits'!$G$6</f>
        <v>12558.24</v>
      </c>
      <c r="Y731" s="23">
        <f>'2022-23 Salary &amp; Benefits'!$H$6</f>
        <v>0.2298</v>
      </c>
      <c r="Z731" s="23">
        <f>'2022-23 Salary &amp; Benefits'!$I$6</f>
        <v>0.22339999999999999</v>
      </c>
      <c r="AA731" s="22">
        <f t="shared" si="148"/>
        <v>22344.61</v>
      </c>
      <c r="AB731" s="22">
        <f t="shared" si="149"/>
        <v>926.07</v>
      </c>
      <c r="AC731" s="22">
        <f t="shared" si="150"/>
        <v>206.88</v>
      </c>
      <c r="AD731" s="22">
        <f t="shared" si="140"/>
        <v>1132.95</v>
      </c>
      <c r="AE731" s="22">
        <f t="shared" si="141"/>
        <v>79041.750000000015</v>
      </c>
      <c r="AF731" s="19" t="str">
        <f>VLOOKUP(C731,'2021-22 School Level AAFTE'!C:N,12,FALSE)</f>
        <v>No</v>
      </c>
    </row>
    <row r="732" spans="1:32" s="19" customFormat="1">
      <c r="A732" s="97" t="s">
        <v>2562</v>
      </c>
      <c r="B732" s="97" t="s">
        <v>2227</v>
      </c>
      <c r="C732" s="95">
        <v>3073</v>
      </c>
      <c r="D732" s="95" t="s">
        <v>2230</v>
      </c>
      <c r="E732" s="129">
        <f>VLOOKUP($C732,'2021-22 School Level AAFTE'!$C:$Z,11,FALSE)</f>
        <v>0.85553333333333326</v>
      </c>
      <c r="F732" s="129" t="str">
        <f>VLOOKUP($C732,'2021-22 School Level AAFTE'!$C:$Z,8,FALSE)</f>
        <v>Yes</v>
      </c>
      <c r="G732" s="129" t="str">
        <f>VLOOKUP($C732,'2021-22 School Level AAFTE'!$C:$Z,12,FALSE)</f>
        <v>No</v>
      </c>
      <c r="H732" s="127">
        <f>VLOOKUP($C732,'2021-22 School Level AAFTE'!$C:$I,7,FALSE)</f>
        <v>238.14</v>
      </c>
      <c r="I732" s="112">
        <f>IFERROR(IF(OR(G732="yes",F732= "yes"),VLOOKUP(C732,Summary!$B:$J,6,0),0),0)</f>
        <v>0</v>
      </c>
      <c r="J732" s="111">
        <f t="shared" si="144"/>
        <v>238.14</v>
      </c>
      <c r="K732" s="91">
        <f>VLOOKUP($A732,'2022-23 Salary &amp; Benefits'!$A:$I,3,FALSE)</f>
        <v>1</v>
      </c>
      <c r="L732" s="91">
        <f>VLOOKUP($A732,'2022-23 Salary &amp; Benefits'!$A:$I,4,FALSE)</f>
        <v>1</v>
      </c>
      <c r="M732" s="101">
        <f t="shared" si="139"/>
        <v>238.14</v>
      </c>
      <c r="N732" s="24">
        <v>15</v>
      </c>
      <c r="O732" s="26">
        <f t="shared" si="142"/>
        <v>15.875999999999999</v>
      </c>
      <c r="P732" s="24">
        <v>1.1000000000000001</v>
      </c>
      <c r="Q732" s="24">
        <v>36</v>
      </c>
      <c r="R732" s="27">
        <f t="shared" si="143"/>
        <v>628.68959999999993</v>
      </c>
      <c r="S732" s="102">
        <f t="shared" si="145"/>
        <v>0.69899999999999995</v>
      </c>
      <c r="T732" s="21">
        <f>VLOOKUP($A732,'2022-23 Salary &amp; Benefits'!$A:$I,5,FALSE)</f>
        <v>68937</v>
      </c>
      <c r="U732" s="21">
        <f>VLOOKUP($A732,'2022-23 Salary &amp; Benefits'!$A:$I,6,FALSE)</f>
        <v>72728</v>
      </c>
      <c r="V732" s="22">
        <f t="shared" si="146"/>
        <v>48186.96</v>
      </c>
      <c r="W732" s="22">
        <f t="shared" si="147"/>
        <v>2649.9100000000035</v>
      </c>
      <c r="X732" s="22">
        <f>'2022-23 Salary &amp; Benefits'!$G$6</f>
        <v>12558.24</v>
      </c>
      <c r="Y732" s="23">
        <f>'2022-23 Salary &amp; Benefits'!$H$6</f>
        <v>0.2298</v>
      </c>
      <c r="Z732" s="23">
        <f>'2022-23 Salary &amp; Benefits'!$I$6</f>
        <v>0.22339999999999999</v>
      </c>
      <c r="AA732" s="22">
        <f t="shared" si="148"/>
        <v>20443.560000000001</v>
      </c>
      <c r="AB732" s="22">
        <f t="shared" si="149"/>
        <v>847.28</v>
      </c>
      <c r="AC732" s="22">
        <f t="shared" si="150"/>
        <v>189.28</v>
      </c>
      <c r="AD732" s="22">
        <f t="shared" si="140"/>
        <v>1036.56</v>
      </c>
      <c r="AE732" s="22">
        <f t="shared" si="141"/>
        <v>72316.990000000005</v>
      </c>
      <c r="AF732" s="19" t="str">
        <f>VLOOKUP(C732,'2021-22 School Level AAFTE'!C:N,12,FALSE)</f>
        <v>No</v>
      </c>
    </row>
    <row r="733" spans="1:32" s="19" customFormat="1">
      <c r="A733" s="97" t="s">
        <v>2562</v>
      </c>
      <c r="B733" s="97" t="s">
        <v>2227</v>
      </c>
      <c r="C733" s="95">
        <v>4559</v>
      </c>
      <c r="D733" s="95" t="s">
        <v>2231</v>
      </c>
      <c r="E733" s="129">
        <f>VLOOKUP($C733,'2021-22 School Level AAFTE'!$C:$Z,11,FALSE)</f>
        <v>0.81503333333333339</v>
      </c>
      <c r="F733" s="129" t="str">
        <f>VLOOKUP($C733,'2021-22 School Level AAFTE'!$C:$Z,8,FALSE)</f>
        <v>Yes</v>
      </c>
      <c r="G733" s="129" t="str">
        <f>VLOOKUP($C733,'2021-22 School Level AAFTE'!$C:$Z,12,FALSE)</f>
        <v>No</v>
      </c>
      <c r="H733" s="127">
        <f>VLOOKUP($C733,'2021-22 School Level AAFTE'!$C:$I,7,FALSE)</f>
        <v>345.69</v>
      </c>
      <c r="I733" s="112">
        <f>IFERROR(IF(OR(G733="yes",F733= "yes"),VLOOKUP(C733,Summary!$B:$J,6,0),0),0)</f>
        <v>0</v>
      </c>
      <c r="J733" s="111">
        <f t="shared" si="144"/>
        <v>345.69</v>
      </c>
      <c r="K733" s="91">
        <f>VLOOKUP($A733,'2022-23 Salary &amp; Benefits'!$A:$I,3,FALSE)</f>
        <v>1</v>
      </c>
      <c r="L733" s="91">
        <f>VLOOKUP($A733,'2022-23 Salary &amp; Benefits'!$A:$I,4,FALSE)</f>
        <v>1</v>
      </c>
      <c r="M733" s="101">
        <f t="shared" si="139"/>
        <v>345.69</v>
      </c>
      <c r="N733" s="24">
        <v>15</v>
      </c>
      <c r="O733" s="26">
        <f t="shared" si="142"/>
        <v>23.045999999999999</v>
      </c>
      <c r="P733" s="24">
        <v>1.1000000000000001</v>
      </c>
      <c r="Q733" s="24">
        <v>36</v>
      </c>
      <c r="R733" s="27">
        <f t="shared" si="143"/>
        <v>912.62159999999994</v>
      </c>
      <c r="S733" s="102">
        <f t="shared" si="145"/>
        <v>1.014</v>
      </c>
      <c r="T733" s="21">
        <f>VLOOKUP($A733,'2022-23 Salary &amp; Benefits'!$A:$I,5,FALSE)</f>
        <v>68937</v>
      </c>
      <c r="U733" s="21">
        <f>VLOOKUP($A733,'2022-23 Salary &amp; Benefits'!$A:$I,6,FALSE)</f>
        <v>72728</v>
      </c>
      <c r="V733" s="22">
        <f t="shared" si="146"/>
        <v>69902.12</v>
      </c>
      <c r="W733" s="22">
        <f t="shared" si="147"/>
        <v>3844.070000000007</v>
      </c>
      <c r="X733" s="22">
        <f>'2022-23 Salary &amp; Benefits'!$G$6</f>
        <v>12558.24</v>
      </c>
      <c r="Y733" s="23">
        <f>'2022-23 Salary &amp; Benefits'!$H$6</f>
        <v>0.2298</v>
      </c>
      <c r="Z733" s="23">
        <f>'2022-23 Salary &amp; Benefits'!$I$6</f>
        <v>0.22339999999999999</v>
      </c>
      <c r="AA733" s="22">
        <f t="shared" si="148"/>
        <v>29656.33</v>
      </c>
      <c r="AB733" s="22">
        <f t="shared" si="149"/>
        <v>1229.0999999999999</v>
      </c>
      <c r="AC733" s="22">
        <f t="shared" si="150"/>
        <v>274.58</v>
      </c>
      <c r="AD733" s="22">
        <f t="shared" si="140"/>
        <v>1503.6799999999998</v>
      </c>
      <c r="AE733" s="22">
        <f t="shared" si="141"/>
        <v>104906.2</v>
      </c>
      <c r="AF733" s="19" t="str">
        <f>VLOOKUP(C733,'2021-22 School Level AAFTE'!C:N,12,FALSE)</f>
        <v>No</v>
      </c>
    </row>
    <row r="734" spans="1:32" s="19" customFormat="1">
      <c r="A734" s="97" t="s">
        <v>2352</v>
      </c>
      <c r="B734" s="97" t="s">
        <v>702</v>
      </c>
      <c r="C734" s="95">
        <v>1539</v>
      </c>
      <c r="D734" s="95" t="s">
        <v>703</v>
      </c>
      <c r="E734" s="129">
        <f>VLOOKUP($C734,'2021-22 School Level AAFTE'!$C:$Z,11,FALSE)</f>
        <v>0.44103333333333339</v>
      </c>
      <c r="F734" s="129" t="str">
        <f>VLOOKUP($C734,'2021-22 School Level AAFTE'!$C:$Z,8,FALSE)</f>
        <v>No</v>
      </c>
      <c r="G734" s="129" t="str">
        <f>VLOOKUP($C734,'2021-22 School Level AAFTE'!$C:$Z,12,FALSE)</f>
        <v>No</v>
      </c>
      <c r="H734" s="127">
        <f>VLOOKUP($C734,'2021-22 School Level AAFTE'!$C:$I,7,FALSE)</f>
        <v>168.95</v>
      </c>
      <c r="I734" s="112">
        <f>IFERROR(IF(OR(G734="yes",F734= "yes"),VLOOKUP(C734,Summary!$B:$J,6,0),0),0)</f>
        <v>0</v>
      </c>
      <c r="J734" s="111">
        <f t="shared" si="144"/>
        <v>0</v>
      </c>
      <c r="K734" s="91">
        <f>VLOOKUP($A734,'2022-23 Salary &amp; Benefits'!$A:$I,3,FALSE)</f>
        <v>1.18</v>
      </c>
      <c r="L734" s="91">
        <f>VLOOKUP($A734,'2022-23 Salary &amp; Benefits'!$A:$I,4,FALSE)</f>
        <v>1.18</v>
      </c>
      <c r="M734" s="101">
        <f t="shared" si="139"/>
        <v>0</v>
      </c>
      <c r="N734" s="24">
        <v>15</v>
      </c>
      <c r="O734" s="26">
        <f t="shared" si="142"/>
        <v>0</v>
      </c>
      <c r="P734" s="24">
        <v>1.1000000000000001</v>
      </c>
      <c r="Q734" s="24">
        <v>36</v>
      </c>
      <c r="R734" s="27">
        <f t="shared" si="143"/>
        <v>0</v>
      </c>
      <c r="S734" s="102">
        <f t="shared" si="145"/>
        <v>0</v>
      </c>
      <c r="T734" s="21">
        <f>VLOOKUP($A734,'2022-23 Salary &amp; Benefits'!$A:$I,5,FALSE)</f>
        <v>68937</v>
      </c>
      <c r="U734" s="21">
        <f>VLOOKUP($A734,'2022-23 Salary &amp; Benefits'!$A:$I,6,FALSE)</f>
        <v>72728</v>
      </c>
      <c r="V734" s="22">
        <f t="shared" si="146"/>
        <v>0</v>
      </c>
      <c r="W734" s="22">
        <f t="shared" si="147"/>
        <v>0</v>
      </c>
      <c r="X734" s="22">
        <f>'2022-23 Salary &amp; Benefits'!$G$6</f>
        <v>12558.24</v>
      </c>
      <c r="Y734" s="23">
        <f>'2022-23 Salary &amp; Benefits'!$H$6</f>
        <v>0.2298</v>
      </c>
      <c r="Z734" s="23">
        <f>'2022-23 Salary &amp; Benefits'!$I$6</f>
        <v>0.22339999999999999</v>
      </c>
      <c r="AA734" s="22">
        <f t="shared" si="148"/>
        <v>0</v>
      </c>
      <c r="AB734" s="22">
        <f t="shared" si="149"/>
        <v>0</v>
      </c>
      <c r="AC734" s="22">
        <f t="shared" si="150"/>
        <v>0</v>
      </c>
      <c r="AD734" s="22">
        <f t="shared" si="140"/>
        <v>0</v>
      </c>
      <c r="AE734" s="22">
        <f t="shared" si="141"/>
        <v>0</v>
      </c>
      <c r="AF734" s="19" t="str">
        <f>VLOOKUP(C734,'2021-22 School Level AAFTE'!C:N,12,FALSE)</f>
        <v>No</v>
      </c>
    </row>
    <row r="735" spans="1:32" s="19" customFormat="1">
      <c r="A735" s="97" t="s">
        <v>2352</v>
      </c>
      <c r="B735" s="97" t="s">
        <v>702</v>
      </c>
      <c r="C735" s="95">
        <v>1972</v>
      </c>
      <c r="D735" s="95" t="s">
        <v>704</v>
      </c>
      <c r="E735" s="129">
        <f>VLOOKUP($C735,'2021-22 School Level AAFTE'!$C:$Z,11,FALSE)</f>
        <v>0.78776666666666673</v>
      </c>
      <c r="F735" s="129" t="str">
        <f>VLOOKUP($C735,'2021-22 School Level AAFTE'!$C:$Z,8,FALSE)</f>
        <v>Yes</v>
      </c>
      <c r="G735" s="129" t="str">
        <f>VLOOKUP($C735,'2021-22 School Level AAFTE'!$C:$Z,12,FALSE)</f>
        <v>No</v>
      </c>
      <c r="H735" s="127">
        <f>VLOOKUP($C735,'2021-22 School Level AAFTE'!$C:$I,7,FALSE)</f>
        <v>110.58</v>
      </c>
      <c r="I735" s="112">
        <f>IFERROR(IF(OR(G735="yes",F735= "yes"),VLOOKUP(C735,Summary!$B:$J,6,0),0),0)</f>
        <v>0</v>
      </c>
      <c r="J735" s="111">
        <f t="shared" si="144"/>
        <v>110.58</v>
      </c>
      <c r="K735" s="91">
        <f>VLOOKUP($A735,'2022-23 Salary &amp; Benefits'!$A:$I,3,FALSE)</f>
        <v>1.18</v>
      </c>
      <c r="L735" s="91">
        <f>VLOOKUP($A735,'2022-23 Salary &amp; Benefits'!$A:$I,4,FALSE)</f>
        <v>1.18</v>
      </c>
      <c r="M735" s="39">
        <f t="shared" si="139"/>
        <v>110.58</v>
      </c>
      <c r="N735" s="24">
        <v>15</v>
      </c>
      <c r="O735" s="26">
        <f t="shared" si="142"/>
        <v>7.3719999999999999</v>
      </c>
      <c r="P735" s="24">
        <v>1.1000000000000001</v>
      </c>
      <c r="Q735" s="24">
        <v>36</v>
      </c>
      <c r="R735" s="27">
        <f t="shared" si="143"/>
        <v>291.93120000000005</v>
      </c>
      <c r="S735" s="102">
        <f t="shared" si="145"/>
        <v>0.32400000000000001</v>
      </c>
      <c r="T735" s="21">
        <f>VLOOKUP($A735,'2022-23 Salary &amp; Benefits'!$A:$I,5,FALSE)</f>
        <v>68937</v>
      </c>
      <c r="U735" s="21">
        <f>VLOOKUP($A735,'2022-23 Salary &amp; Benefits'!$A:$I,6,FALSE)</f>
        <v>72728</v>
      </c>
      <c r="V735" s="22">
        <f t="shared" si="146"/>
        <v>26355.99</v>
      </c>
      <c r="W735" s="22">
        <f t="shared" si="147"/>
        <v>1449.3799999999974</v>
      </c>
      <c r="X735" s="22">
        <f>'2022-23 Salary &amp; Benefits'!$G$6</f>
        <v>12558.24</v>
      </c>
      <c r="Y735" s="23">
        <f>'2022-23 Salary &amp; Benefits'!$H$6</f>
        <v>0.2298</v>
      </c>
      <c r="Z735" s="23">
        <f>'2022-23 Salary &amp; Benefits'!$I$6</f>
        <v>0.22339999999999999</v>
      </c>
      <c r="AA735" s="22">
        <f t="shared" si="148"/>
        <v>10449.27</v>
      </c>
      <c r="AB735" s="22">
        <f t="shared" si="149"/>
        <v>463.42</v>
      </c>
      <c r="AC735" s="22">
        <f t="shared" si="150"/>
        <v>103.53</v>
      </c>
      <c r="AD735" s="22">
        <f t="shared" si="140"/>
        <v>566.95000000000005</v>
      </c>
      <c r="AE735" s="22">
        <f t="shared" si="141"/>
        <v>38821.589999999997</v>
      </c>
      <c r="AF735" s="19" t="str">
        <f>VLOOKUP(C735,'2021-22 School Level AAFTE'!C:N,12,FALSE)</f>
        <v>No</v>
      </c>
    </row>
    <row r="736" spans="1:32" s="19" customFormat="1">
      <c r="A736" s="97" t="s">
        <v>2352</v>
      </c>
      <c r="B736" s="97" t="s">
        <v>702</v>
      </c>
      <c r="C736" s="95">
        <v>1973</v>
      </c>
      <c r="D736" s="95" t="s">
        <v>2781</v>
      </c>
      <c r="E736" s="129">
        <f>VLOOKUP($C736,'2021-22 School Level AAFTE'!$C:$Z,11,FALSE)</f>
        <v>0</v>
      </c>
      <c r="F736" s="129" t="str">
        <f>VLOOKUP($C736,'2021-22 School Level AAFTE'!$C:$Z,8,FALSE)</f>
        <v>No</v>
      </c>
      <c r="G736" s="129" t="str">
        <f>VLOOKUP($C736,'2021-22 School Level AAFTE'!$C:$Z,12,FALSE)</f>
        <v>No</v>
      </c>
      <c r="H736" s="127">
        <f>VLOOKUP($C736,'2021-22 School Level AAFTE'!$C:$I,7,FALSE)</f>
        <v>66.42</v>
      </c>
      <c r="I736" s="112">
        <f>IFERROR(IF(OR(G736="yes",F736= "yes"),VLOOKUP(C736,Summary!$B:$J,6,0),0),0)</f>
        <v>0</v>
      </c>
      <c r="J736" s="111">
        <f t="shared" si="144"/>
        <v>0</v>
      </c>
      <c r="K736" s="91">
        <f>VLOOKUP($A736,'2022-23 Salary &amp; Benefits'!$A:$I,3,FALSE)</f>
        <v>1.18</v>
      </c>
      <c r="L736" s="91">
        <f>VLOOKUP($A736,'2022-23 Salary &amp; Benefits'!$A:$I,4,FALSE)</f>
        <v>1.18</v>
      </c>
      <c r="M736" s="39">
        <f t="shared" si="139"/>
        <v>0</v>
      </c>
      <c r="N736" s="24">
        <v>15</v>
      </c>
      <c r="O736" s="26">
        <f t="shared" si="142"/>
        <v>0</v>
      </c>
      <c r="P736" s="24">
        <v>1.1000000000000001</v>
      </c>
      <c r="Q736" s="24">
        <v>36</v>
      </c>
      <c r="R736" s="27">
        <f t="shared" si="143"/>
        <v>0</v>
      </c>
      <c r="S736" s="102">
        <f t="shared" si="145"/>
        <v>0</v>
      </c>
      <c r="T736" s="21">
        <f>VLOOKUP($A736,'2022-23 Salary &amp; Benefits'!$A:$I,5,FALSE)</f>
        <v>68937</v>
      </c>
      <c r="U736" s="21">
        <f>VLOOKUP($A736,'2022-23 Salary &amp; Benefits'!$A:$I,6,FALSE)</f>
        <v>72728</v>
      </c>
      <c r="V736" s="22">
        <f t="shared" si="146"/>
        <v>0</v>
      </c>
      <c r="W736" s="22">
        <f t="shared" si="147"/>
        <v>0</v>
      </c>
      <c r="X736" s="22">
        <f>'2022-23 Salary &amp; Benefits'!$G$6</f>
        <v>12558.24</v>
      </c>
      <c r="Y736" s="23">
        <f>'2022-23 Salary &amp; Benefits'!$H$6</f>
        <v>0.2298</v>
      </c>
      <c r="Z736" s="23">
        <f>'2022-23 Salary &amp; Benefits'!$I$6</f>
        <v>0.22339999999999999</v>
      </c>
      <c r="AA736" s="22">
        <f t="shared" si="148"/>
        <v>0</v>
      </c>
      <c r="AB736" s="22">
        <f t="shared" si="149"/>
        <v>0</v>
      </c>
      <c r="AC736" s="22">
        <f t="shared" si="150"/>
        <v>0</v>
      </c>
      <c r="AD736" s="22">
        <f t="shared" si="140"/>
        <v>0</v>
      </c>
      <c r="AE736" s="22">
        <f t="shared" si="141"/>
        <v>0</v>
      </c>
      <c r="AF736" s="19" t="str">
        <f>VLOOKUP(C736,'2021-22 School Level AAFTE'!C:N,12,FALSE)</f>
        <v>No</v>
      </c>
    </row>
    <row r="737" spans="1:284" s="19" customFormat="1">
      <c r="A737" s="97" t="s">
        <v>2352</v>
      </c>
      <c r="B737" s="97" t="s">
        <v>702</v>
      </c>
      <c r="C737" s="95">
        <v>2144</v>
      </c>
      <c r="D737" s="95" t="s">
        <v>705</v>
      </c>
      <c r="E737" s="129">
        <f>VLOOKUP($C737,'2021-22 School Level AAFTE'!$C:$Z,11,FALSE)</f>
        <v>0.76013333333333344</v>
      </c>
      <c r="F737" s="129" t="str">
        <f>VLOOKUP($C737,'2021-22 School Level AAFTE'!$C:$Z,8,FALSE)</f>
        <v>Yes</v>
      </c>
      <c r="G737" s="129" t="str">
        <f>VLOOKUP($C737,'2021-22 School Level AAFTE'!$C:$Z,12,FALSE)</f>
        <v>No</v>
      </c>
      <c r="H737" s="127">
        <f>VLOOKUP($C737,'2021-22 School Level AAFTE'!$C:$I,7,FALSE)</f>
        <v>433</v>
      </c>
      <c r="I737" s="112">
        <f>IFERROR(IF(OR(G737="yes",F737= "yes"),VLOOKUP(C737,Summary!$B:$J,6,0),0),0)</f>
        <v>0</v>
      </c>
      <c r="J737" s="111">
        <f t="shared" si="144"/>
        <v>433</v>
      </c>
      <c r="K737" s="91">
        <f>VLOOKUP($A737,'2022-23 Salary &amp; Benefits'!$A:$I,3,FALSE)</f>
        <v>1.18</v>
      </c>
      <c r="L737" s="91">
        <f>VLOOKUP($A737,'2022-23 Salary &amp; Benefits'!$A:$I,4,FALSE)</f>
        <v>1.18</v>
      </c>
      <c r="M737" s="101">
        <f t="shared" si="139"/>
        <v>433</v>
      </c>
      <c r="N737" s="24">
        <v>15</v>
      </c>
      <c r="O737" s="26">
        <f t="shared" si="142"/>
        <v>28.866666666666667</v>
      </c>
      <c r="P737" s="24">
        <v>1.1000000000000001</v>
      </c>
      <c r="Q737" s="24">
        <v>36</v>
      </c>
      <c r="R737" s="27">
        <f t="shared" si="143"/>
        <v>1143.1200000000001</v>
      </c>
      <c r="S737" s="102">
        <f t="shared" si="145"/>
        <v>1.27</v>
      </c>
      <c r="T737" s="21">
        <f>VLOOKUP($A737,'2022-23 Salary &amp; Benefits'!$A:$I,5,FALSE)</f>
        <v>68937</v>
      </c>
      <c r="U737" s="21">
        <f>VLOOKUP($A737,'2022-23 Salary &amp; Benefits'!$A:$I,6,FALSE)</f>
        <v>72728</v>
      </c>
      <c r="V737" s="22">
        <f t="shared" si="146"/>
        <v>103308.99</v>
      </c>
      <c r="W737" s="22">
        <f t="shared" si="147"/>
        <v>5681.1899999999878</v>
      </c>
      <c r="X737" s="22">
        <f>'2022-23 Salary &amp; Benefits'!$G$6</f>
        <v>12558.24</v>
      </c>
      <c r="Y737" s="23">
        <f>'2022-23 Salary &amp; Benefits'!$H$6</f>
        <v>0.2298</v>
      </c>
      <c r="Z737" s="23">
        <f>'2022-23 Salary &amp; Benefits'!$I$6</f>
        <v>0.22339999999999999</v>
      </c>
      <c r="AA737" s="22">
        <f t="shared" si="148"/>
        <v>40958.550000000003</v>
      </c>
      <c r="AB737" s="22">
        <f t="shared" si="149"/>
        <v>1816.5</v>
      </c>
      <c r="AC737" s="22">
        <f t="shared" si="150"/>
        <v>405.81</v>
      </c>
      <c r="AD737" s="22">
        <f t="shared" si="140"/>
        <v>2222.31</v>
      </c>
      <c r="AE737" s="22">
        <f t="shared" si="141"/>
        <v>152171.03999999998</v>
      </c>
      <c r="AF737" s="19" t="str">
        <f>VLOOKUP(C737,'2021-22 School Level AAFTE'!C:N,12,FALSE)</f>
        <v>No</v>
      </c>
    </row>
    <row r="738" spans="1:284" s="19" customFormat="1">
      <c r="A738" s="97" t="s">
        <v>2352</v>
      </c>
      <c r="B738" s="97" t="s">
        <v>702</v>
      </c>
      <c r="C738" s="95">
        <v>2270</v>
      </c>
      <c r="D738" s="95" t="s">
        <v>2780</v>
      </c>
      <c r="E738" s="129">
        <f>VLOOKUP($C738,'2021-22 School Level AAFTE'!$C:$Z,11,FALSE)</f>
        <v>0.24923333333333333</v>
      </c>
      <c r="F738" s="129" t="str">
        <f>VLOOKUP($C738,'2021-22 School Level AAFTE'!$C:$Z,8,FALSE)</f>
        <v>No</v>
      </c>
      <c r="G738" s="129" t="str">
        <f>VLOOKUP($C738,'2021-22 School Level AAFTE'!$C:$Z,12,FALSE)</f>
        <v>No</v>
      </c>
      <c r="H738" s="127">
        <f>VLOOKUP($C738,'2021-22 School Level AAFTE'!$C:$I,7,FALSE)</f>
        <v>358.83</v>
      </c>
      <c r="I738" s="112">
        <f>IFERROR(IF(OR(G738="yes",F738= "yes"),VLOOKUP(C738,Summary!$B:$J,6,0),0),0)</f>
        <v>0</v>
      </c>
      <c r="J738" s="111">
        <f t="shared" si="144"/>
        <v>0</v>
      </c>
      <c r="K738" s="91">
        <f>VLOOKUP($A738,'2022-23 Salary &amp; Benefits'!$A:$I,3,FALSE)</f>
        <v>1.18</v>
      </c>
      <c r="L738" s="91">
        <f>VLOOKUP($A738,'2022-23 Salary &amp; Benefits'!$A:$I,4,FALSE)</f>
        <v>1.18</v>
      </c>
      <c r="M738" s="39">
        <f t="shared" si="139"/>
        <v>0</v>
      </c>
      <c r="N738" s="24">
        <v>15</v>
      </c>
      <c r="O738" s="26">
        <f t="shared" si="142"/>
        <v>0</v>
      </c>
      <c r="P738" s="24">
        <v>1.1000000000000001</v>
      </c>
      <c r="Q738" s="24">
        <v>36</v>
      </c>
      <c r="R738" s="27">
        <f t="shared" si="143"/>
        <v>0</v>
      </c>
      <c r="S738" s="102">
        <f t="shared" si="145"/>
        <v>0</v>
      </c>
      <c r="T738" s="21">
        <f>VLOOKUP($A738,'2022-23 Salary &amp; Benefits'!$A:$I,5,FALSE)</f>
        <v>68937</v>
      </c>
      <c r="U738" s="21">
        <f>VLOOKUP($A738,'2022-23 Salary &amp; Benefits'!$A:$I,6,FALSE)</f>
        <v>72728</v>
      </c>
      <c r="V738" s="22">
        <f t="shared" si="146"/>
        <v>0</v>
      </c>
      <c r="W738" s="22">
        <f t="shared" si="147"/>
        <v>0</v>
      </c>
      <c r="X738" s="22">
        <f>'2022-23 Salary &amp; Benefits'!$G$6</f>
        <v>12558.24</v>
      </c>
      <c r="Y738" s="23">
        <f>'2022-23 Salary &amp; Benefits'!$H$6</f>
        <v>0.2298</v>
      </c>
      <c r="Z738" s="23">
        <f>'2022-23 Salary &amp; Benefits'!$I$6</f>
        <v>0.22339999999999999</v>
      </c>
      <c r="AA738" s="22">
        <f t="shared" si="148"/>
        <v>0</v>
      </c>
      <c r="AB738" s="22">
        <f t="shared" si="149"/>
        <v>0</v>
      </c>
      <c r="AC738" s="22">
        <f t="shared" si="150"/>
        <v>0</v>
      </c>
      <c r="AD738" s="22">
        <f t="shared" si="140"/>
        <v>0</v>
      </c>
      <c r="AE738" s="22">
        <f t="shared" si="141"/>
        <v>0</v>
      </c>
      <c r="AF738" s="19" t="str">
        <f>VLOOKUP(C738,'2021-22 School Level AAFTE'!C:N,12,FALSE)</f>
        <v>No</v>
      </c>
    </row>
    <row r="739" spans="1:284" s="19" customFormat="1">
      <c r="A739" s="97" t="s">
        <v>2352</v>
      </c>
      <c r="B739" s="97" t="s">
        <v>702</v>
      </c>
      <c r="C739" s="95">
        <v>2325</v>
      </c>
      <c r="D739" s="95" t="s">
        <v>706</v>
      </c>
      <c r="E739" s="129">
        <f>VLOOKUP($C739,'2021-22 School Level AAFTE'!$C:$Z,11,FALSE)</f>
        <v>0.72346666666666659</v>
      </c>
      <c r="F739" s="129" t="str">
        <f>VLOOKUP($C739,'2021-22 School Level AAFTE'!$C:$Z,8,FALSE)</f>
        <v>Yes</v>
      </c>
      <c r="G739" s="129" t="str">
        <f>VLOOKUP($C739,'2021-22 School Level AAFTE'!$C:$Z,12,FALSE)</f>
        <v>No</v>
      </c>
      <c r="H739" s="127">
        <f>VLOOKUP($C739,'2021-22 School Level AAFTE'!$C:$I,7,FALSE)</f>
        <v>1042.6399999999999</v>
      </c>
      <c r="I739" s="112">
        <f>IFERROR(IF(OR(G739="yes",F739= "yes"),VLOOKUP(C739,Summary!$B:$J,6,0),0),0)</f>
        <v>0</v>
      </c>
      <c r="J739" s="111">
        <f t="shared" si="144"/>
        <v>1042.6399999999999</v>
      </c>
      <c r="K739" s="91">
        <f>VLOOKUP($A739,'2022-23 Salary &amp; Benefits'!$A:$I,3,FALSE)</f>
        <v>1.18</v>
      </c>
      <c r="L739" s="91">
        <f>VLOOKUP($A739,'2022-23 Salary &amp; Benefits'!$A:$I,4,FALSE)</f>
        <v>1.18</v>
      </c>
      <c r="M739" s="39">
        <f t="shared" si="139"/>
        <v>1042.6399999999999</v>
      </c>
      <c r="N739" s="24">
        <v>15</v>
      </c>
      <c r="O739" s="26">
        <f t="shared" si="142"/>
        <v>69.509333333333331</v>
      </c>
      <c r="P739" s="24">
        <v>1.1000000000000001</v>
      </c>
      <c r="Q739" s="24">
        <v>36</v>
      </c>
      <c r="R739" s="27">
        <f t="shared" si="143"/>
        <v>2752.5696000000003</v>
      </c>
      <c r="S739" s="102">
        <f t="shared" si="145"/>
        <v>3.0579999999999998</v>
      </c>
      <c r="T739" s="21">
        <f>VLOOKUP($A739,'2022-23 Salary &amp; Benefits'!$A:$I,5,FALSE)</f>
        <v>68937</v>
      </c>
      <c r="U739" s="21">
        <f>VLOOKUP($A739,'2022-23 Salary &amp; Benefits'!$A:$I,6,FALSE)</f>
        <v>72728</v>
      </c>
      <c r="V739" s="22">
        <f t="shared" si="146"/>
        <v>248755.03</v>
      </c>
      <c r="W739" s="22">
        <f t="shared" si="147"/>
        <v>13679.589999999997</v>
      </c>
      <c r="X739" s="22">
        <f>'2022-23 Salary &amp; Benefits'!$G$6</f>
        <v>12558.24</v>
      </c>
      <c r="Y739" s="23">
        <f>'2022-23 Salary &amp; Benefits'!$H$6</f>
        <v>0.2298</v>
      </c>
      <c r="Z739" s="23">
        <f>'2022-23 Salary &amp; Benefits'!$I$6</f>
        <v>0.22339999999999999</v>
      </c>
      <c r="AA739" s="22">
        <f t="shared" si="148"/>
        <v>98623.02</v>
      </c>
      <c r="AB739" s="22">
        <f t="shared" si="149"/>
        <v>4373.91</v>
      </c>
      <c r="AC739" s="22">
        <f t="shared" si="150"/>
        <v>977.13</v>
      </c>
      <c r="AD739" s="22">
        <f t="shared" si="140"/>
        <v>5351.04</v>
      </c>
      <c r="AE739" s="22">
        <f t="shared" si="141"/>
        <v>366408.68</v>
      </c>
      <c r="AF739" s="19" t="str">
        <f>VLOOKUP(C739,'2021-22 School Level AAFTE'!C:N,12,FALSE)</f>
        <v>No</v>
      </c>
    </row>
    <row r="740" spans="1:284" s="19" customFormat="1">
      <c r="A740" s="97" t="s">
        <v>2352</v>
      </c>
      <c r="B740" s="97" t="s">
        <v>702</v>
      </c>
      <c r="C740" s="95">
        <v>2418</v>
      </c>
      <c r="D740" s="95" t="s">
        <v>707</v>
      </c>
      <c r="E740" s="129">
        <f>VLOOKUP($C740,'2021-22 School Level AAFTE'!$C:$Z,11,FALSE)</f>
        <v>0.56363333333333332</v>
      </c>
      <c r="F740" s="129" t="str">
        <f>VLOOKUP($C740,'2021-22 School Level AAFTE'!$C:$Z,8,FALSE)</f>
        <v>Yes</v>
      </c>
      <c r="G740" s="129" t="str">
        <f>VLOOKUP($C740,'2021-22 School Level AAFTE'!$C:$Z,12,FALSE)</f>
        <v>No</v>
      </c>
      <c r="H740" s="127">
        <f>VLOOKUP($C740,'2021-22 School Level AAFTE'!$C:$I,7,FALSE)</f>
        <v>496.14</v>
      </c>
      <c r="I740" s="112">
        <f>IFERROR(IF(OR(G740="yes",F740= "yes"),VLOOKUP(C740,Summary!$B:$J,6,0),0),0)</f>
        <v>0</v>
      </c>
      <c r="J740" s="111">
        <f t="shared" si="144"/>
        <v>496.14</v>
      </c>
      <c r="K740" s="91">
        <f>VLOOKUP($A740,'2022-23 Salary &amp; Benefits'!$A:$I,3,FALSE)</f>
        <v>1.18</v>
      </c>
      <c r="L740" s="91">
        <f>VLOOKUP($A740,'2022-23 Salary &amp; Benefits'!$A:$I,4,FALSE)</f>
        <v>1.18</v>
      </c>
      <c r="M740" s="101">
        <f t="shared" si="139"/>
        <v>496.14</v>
      </c>
      <c r="N740" s="24">
        <v>15</v>
      </c>
      <c r="O740" s="26">
        <f t="shared" si="142"/>
        <v>33.076000000000001</v>
      </c>
      <c r="P740" s="24">
        <v>1.1000000000000001</v>
      </c>
      <c r="Q740" s="24">
        <v>36</v>
      </c>
      <c r="R740" s="27">
        <f t="shared" si="143"/>
        <v>1309.8096</v>
      </c>
      <c r="S740" s="102">
        <f t="shared" si="145"/>
        <v>1.4550000000000001</v>
      </c>
      <c r="T740" s="21">
        <f>VLOOKUP($A740,'2022-23 Salary &amp; Benefits'!$A:$I,5,FALSE)</f>
        <v>68937</v>
      </c>
      <c r="U740" s="21">
        <f>VLOOKUP($A740,'2022-23 Salary &amp; Benefits'!$A:$I,6,FALSE)</f>
        <v>72728</v>
      </c>
      <c r="V740" s="22">
        <f t="shared" si="146"/>
        <v>118357.94</v>
      </c>
      <c r="W740" s="22">
        <f t="shared" si="147"/>
        <v>6508.7599999999948</v>
      </c>
      <c r="X740" s="22">
        <f>'2022-23 Salary &amp; Benefits'!$G$6</f>
        <v>12558.24</v>
      </c>
      <c r="Y740" s="23">
        <f>'2022-23 Salary &amp; Benefits'!$H$6</f>
        <v>0.2298</v>
      </c>
      <c r="Z740" s="23">
        <f>'2022-23 Salary &amp; Benefits'!$I$6</f>
        <v>0.22339999999999999</v>
      </c>
      <c r="AA740" s="22">
        <f t="shared" si="148"/>
        <v>46924.95</v>
      </c>
      <c r="AB740" s="22">
        <f t="shared" si="149"/>
        <v>2081.11</v>
      </c>
      <c r="AC740" s="22">
        <f t="shared" si="150"/>
        <v>464.92</v>
      </c>
      <c r="AD740" s="22">
        <f t="shared" si="140"/>
        <v>2546.0300000000002</v>
      </c>
      <c r="AE740" s="22">
        <f t="shared" si="141"/>
        <v>174337.68000000002</v>
      </c>
      <c r="AF740" s="19" t="str">
        <f>VLOOKUP(C740,'2021-22 School Level AAFTE'!C:N,12,FALSE)</f>
        <v>No</v>
      </c>
    </row>
    <row r="741" spans="1:284" s="19" customFormat="1">
      <c r="A741" s="97" t="s">
        <v>2352</v>
      </c>
      <c r="B741" s="97" t="s">
        <v>702</v>
      </c>
      <c r="C741" s="95">
        <v>2639</v>
      </c>
      <c r="D741" s="95" t="s">
        <v>708</v>
      </c>
      <c r="E741" s="129">
        <f>VLOOKUP($C741,'2021-22 School Level AAFTE'!$C:$Z,11,FALSE)</f>
        <v>0.74590000000000012</v>
      </c>
      <c r="F741" s="129" t="str">
        <f>VLOOKUP($C741,'2021-22 School Level AAFTE'!$C:$Z,8,FALSE)</f>
        <v>Yes</v>
      </c>
      <c r="G741" s="129" t="str">
        <f>VLOOKUP($C741,'2021-22 School Level AAFTE'!$C:$Z,12,FALSE)</f>
        <v>No</v>
      </c>
      <c r="H741" s="127">
        <f>VLOOKUP($C741,'2021-22 School Level AAFTE'!$C:$I,7,FALSE)</f>
        <v>586</v>
      </c>
      <c r="I741" s="112">
        <f>IFERROR(IF(OR(G741="yes",F741= "yes"),VLOOKUP(C741,Summary!$B:$J,6,0),0),0)</f>
        <v>0</v>
      </c>
      <c r="J741" s="111">
        <f t="shared" si="144"/>
        <v>586</v>
      </c>
      <c r="K741" s="91">
        <f>VLOOKUP($A741,'2022-23 Salary &amp; Benefits'!$A:$I,3,FALSE)</f>
        <v>1.18</v>
      </c>
      <c r="L741" s="91">
        <f>VLOOKUP($A741,'2022-23 Salary &amp; Benefits'!$A:$I,4,FALSE)</f>
        <v>1.18</v>
      </c>
      <c r="M741" s="39">
        <f t="shared" si="139"/>
        <v>586</v>
      </c>
      <c r="N741" s="24">
        <v>15</v>
      </c>
      <c r="O741" s="26">
        <f t="shared" si="142"/>
        <v>39.06666666666667</v>
      </c>
      <c r="P741" s="24">
        <v>1.1000000000000001</v>
      </c>
      <c r="Q741" s="24">
        <v>36</v>
      </c>
      <c r="R741" s="27">
        <f t="shared" si="143"/>
        <v>1547.0400000000004</v>
      </c>
      <c r="S741" s="102">
        <f t="shared" si="145"/>
        <v>1.7190000000000001</v>
      </c>
      <c r="T741" s="21">
        <f>VLOOKUP($A741,'2022-23 Salary &amp; Benefits'!$A:$I,5,FALSE)</f>
        <v>68937</v>
      </c>
      <c r="U741" s="21">
        <f>VLOOKUP($A741,'2022-23 Salary &amp; Benefits'!$A:$I,6,FALSE)</f>
        <v>72728</v>
      </c>
      <c r="V741" s="22">
        <f t="shared" si="146"/>
        <v>139833.19</v>
      </c>
      <c r="W741" s="22">
        <f t="shared" si="147"/>
        <v>7689.7399999999907</v>
      </c>
      <c r="X741" s="22">
        <f>'2022-23 Salary &amp; Benefits'!$G$6</f>
        <v>12558.24</v>
      </c>
      <c r="Y741" s="23">
        <f>'2022-23 Salary &amp; Benefits'!$H$6</f>
        <v>0.2298</v>
      </c>
      <c r="Z741" s="23">
        <f>'2022-23 Salary &amp; Benefits'!$I$6</f>
        <v>0.22339999999999999</v>
      </c>
      <c r="AA741" s="22">
        <f t="shared" si="148"/>
        <v>55439.17</v>
      </c>
      <c r="AB741" s="22">
        <f t="shared" si="149"/>
        <v>2458.7199999999998</v>
      </c>
      <c r="AC741" s="22">
        <f t="shared" si="150"/>
        <v>549.28</v>
      </c>
      <c r="AD741" s="22">
        <f t="shared" si="140"/>
        <v>3008</v>
      </c>
      <c r="AE741" s="22">
        <f t="shared" si="141"/>
        <v>205970.09999999998</v>
      </c>
      <c r="AF741" s="19" t="str">
        <f>VLOOKUP(C741,'2021-22 School Level AAFTE'!C:N,12,FALSE)</f>
        <v>No</v>
      </c>
    </row>
    <row r="742" spans="1:284" s="19" customFormat="1">
      <c r="A742" s="97" t="s">
        <v>2352</v>
      </c>
      <c r="B742" s="97" t="s">
        <v>702</v>
      </c>
      <c r="C742" s="95">
        <v>2699</v>
      </c>
      <c r="D742" s="95" t="s">
        <v>709</v>
      </c>
      <c r="E742" s="129">
        <f>VLOOKUP($C742,'2021-22 School Level AAFTE'!$C:$Z,11,FALSE)</f>
        <v>0.71979999999999988</v>
      </c>
      <c r="F742" s="129" t="str">
        <f>VLOOKUP($C742,'2021-22 School Level AAFTE'!$C:$Z,8,FALSE)</f>
        <v>Yes</v>
      </c>
      <c r="G742" s="129" t="str">
        <f>VLOOKUP($C742,'2021-22 School Level AAFTE'!$C:$Z,12,FALSE)</f>
        <v>No</v>
      </c>
      <c r="H742" s="127">
        <f>VLOOKUP($C742,'2021-22 School Level AAFTE'!$C:$I,7,FALSE)</f>
        <v>443.5</v>
      </c>
      <c r="I742" s="112">
        <f>IFERROR(IF(OR(G742="yes",F742= "yes"),VLOOKUP(C742,Summary!$B:$J,6,0),0),0)</f>
        <v>0</v>
      </c>
      <c r="J742" s="111">
        <f t="shared" si="144"/>
        <v>443.5</v>
      </c>
      <c r="K742" s="91">
        <f>VLOOKUP($A742,'2022-23 Salary &amp; Benefits'!$A:$I,3,FALSE)</f>
        <v>1.18</v>
      </c>
      <c r="L742" s="91">
        <f>VLOOKUP($A742,'2022-23 Salary &amp; Benefits'!$A:$I,4,FALSE)</f>
        <v>1.18</v>
      </c>
      <c r="M742" s="101">
        <f t="shared" si="139"/>
        <v>443.5</v>
      </c>
      <c r="N742" s="24">
        <v>15</v>
      </c>
      <c r="O742" s="26">
        <f t="shared" si="142"/>
        <v>29.566666666666666</v>
      </c>
      <c r="P742" s="24">
        <v>1.1000000000000001</v>
      </c>
      <c r="Q742" s="24">
        <v>36</v>
      </c>
      <c r="R742" s="27">
        <f t="shared" si="143"/>
        <v>1170.8399999999999</v>
      </c>
      <c r="S742" s="102">
        <f t="shared" si="145"/>
        <v>1.3009999999999999</v>
      </c>
      <c r="T742" s="21">
        <f>VLOOKUP($A742,'2022-23 Salary &amp; Benefits'!$A:$I,5,FALSE)</f>
        <v>68937</v>
      </c>
      <c r="U742" s="21">
        <f>VLOOKUP($A742,'2022-23 Salary &amp; Benefits'!$A:$I,6,FALSE)</f>
        <v>72728</v>
      </c>
      <c r="V742" s="22">
        <f t="shared" si="146"/>
        <v>105830.7</v>
      </c>
      <c r="W742" s="22">
        <f t="shared" si="147"/>
        <v>5819.8700000000099</v>
      </c>
      <c r="X742" s="22">
        <f>'2022-23 Salary &amp; Benefits'!$G$6</f>
        <v>12558.24</v>
      </c>
      <c r="Y742" s="23">
        <f>'2022-23 Salary &amp; Benefits'!$H$6</f>
        <v>0.2298</v>
      </c>
      <c r="Z742" s="23">
        <f>'2022-23 Salary &amp; Benefits'!$I$6</f>
        <v>0.22339999999999999</v>
      </c>
      <c r="AA742" s="22">
        <f t="shared" si="148"/>
        <v>41958.32</v>
      </c>
      <c r="AB742" s="22">
        <f t="shared" si="149"/>
        <v>1860.84</v>
      </c>
      <c r="AC742" s="22">
        <f t="shared" si="150"/>
        <v>415.71</v>
      </c>
      <c r="AD742" s="22">
        <f t="shared" si="140"/>
        <v>2276.5499999999997</v>
      </c>
      <c r="AE742" s="22">
        <f t="shared" si="141"/>
        <v>155885.44</v>
      </c>
      <c r="AF742" s="19" t="str">
        <f>VLOOKUP(C742,'2021-22 School Level AAFTE'!C:N,12,FALSE)</f>
        <v>No</v>
      </c>
    </row>
    <row r="743" spans="1:284" s="19" customFormat="1">
      <c r="A743" s="97" t="s">
        <v>2352</v>
      </c>
      <c r="B743" s="97" t="s">
        <v>702</v>
      </c>
      <c r="C743" s="95">
        <v>2734</v>
      </c>
      <c r="D743" s="95" t="s">
        <v>710</v>
      </c>
      <c r="E743" s="129">
        <f>VLOOKUP($C743,'2021-22 School Level AAFTE'!$C:$Z,11,FALSE)</f>
        <v>0.78333333333333333</v>
      </c>
      <c r="F743" s="129" t="str">
        <f>VLOOKUP($C743,'2021-22 School Level AAFTE'!$C:$Z,8,FALSE)</f>
        <v>Yes</v>
      </c>
      <c r="G743" s="129" t="str">
        <f>VLOOKUP($C743,'2021-22 School Level AAFTE'!$C:$Z,12,FALSE)</f>
        <v>No</v>
      </c>
      <c r="H743" s="127">
        <f>VLOOKUP($C743,'2021-22 School Level AAFTE'!$C:$I,7,FALSE)</f>
        <v>486.14</v>
      </c>
      <c r="I743" s="112">
        <f>IFERROR(IF(OR(G743="yes",F743= "yes"),VLOOKUP(C743,Summary!$B:$J,6,0),0),0)</f>
        <v>0</v>
      </c>
      <c r="J743" s="111">
        <f t="shared" si="144"/>
        <v>486.14</v>
      </c>
      <c r="K743" s="91">
        <f>VLOOKUP($A743,'2022-23 Salary &amp; Benefits'!$A:$I,3,FALSE)</f>
        <v>1.18</v>
      </c>
      <c r="L743" s="91">
        <f>VLOOKUP($A743,'2022-23 Salary &amp; Benefits'!$A:$I,4,FALSE)</f>
        <v>1.18</v>
      </c>
      <c r="M743" s="39">
        <f t="shared" si="139"/>
        <v>486.14</v>
      </c>
      <c r="N743" s="24">
        <v>15</v>
      </c>
      <c r="O743" s="26">
        <f t="shared" si="142"/>
        <v>32.409333333333329</v>
      </c>
      <c r="P743" s="24">
        <v>1.1000000000000001</v>
      </c>
      <c r="Q743" s="24">
        <v>36</v>
      </c>
      <c r="R743" s="27">
        <f t="shared" si="143"/>
        <v>1283.4096</v>
      </c>
      <c r="S743" s="102">
        <f t="shared" si="145"/>
        <v>1.4259999999999999</v>
      </c>
      <c r="T743" s="21">
        <f>VLOOKUP($A743,'2022-23 Salary &amp; Benefits'!$A:$I,5,FALSE)</f>
        <v>68937</v>
      </c>
      <c r="U743" s="21">
        <f>VLOOKUP($A743,'2022-23 Salary &amp; Benefits'!$A:$I,6,FALSE)</f>
        <v>72728</v>
      </c>
      <c r="V743" s="22">
        <f t="shared" si="146"/>
        <v>115998.91</v>
      </c>
      <c r="W743" s="22">
        <f t="shared" si="147"/>
        <v>6379.0399999999936</v>
      </c>
      <c r="X743" s="22">
        <f>'2022-23 Salary &amp; Benefits'!$G$6</f>
        <v>12558.24</v>
      </c>
      <c r="Y743" s="23">
        <f>'2022-23 Salary &amp; Benefits'!$H$6</f>
        <v>0.2298</v>
      </c>
      <c r="Z743" s="23">
        <f>'2022-23 Salary &amp; Benefits'!$I$6</f>
        <v>0.22339999999999999</v>
      </c>
      <c r="AA743" s="22">
        <f t="shared" si="148"/>
        <v>45989.68</v>
      </c>
      <c r="AB743" s="22">
        <f t="shared" si="149"/>
        <v>2039.63</v>
      </c>
      <c r="AC743" s="22">
        <f t="shared" si="150"/>
        <v>455.65</v>
      </c>
      <c r="AD743" s="22">
        <f t="shared" si="140"/>
        <v>2495.2800000000002</v>
      </c>
      <c r="AE743" s="22">
        <f t="shared" si="141"/>
        <v>170862.91</v>
      </c>
      <c r="AF743" s="19" t="str">
        <f>VLOOKUP(C743,'2021-22 School Level AAFTE'!C:N,12,FALSE)</f>
        <v>No</v>
      </c>
    </row>
    <row r="744" spans="1:284" s="19" customFormat="1">
      <c r="A744" s="97" t="s">
        <v>2352</v>
      </c>
      <c r="B744" s="97" t="s">
        <v>702</v>
      </c>
      <c r="C744" s="95">
        <v>2765</v>
      </c>
      <c r="D744" s="95" t="s">
        <v>711</v>
      </c>
      <c r="E744" s="129">
        <f>VLOOKUP($C744,'2021-22 School Level AAFTE'!$C:$Z,11,FALSE)</f>
        <v>0.74296666666666666</v>
      </c>
      <c r="F744" s="129" t="str">
        <f>VLOOKUP($C744,'2021-22 School Level AAFTE'!$C:$Z,8,FALSE)</f>
        <v>Yes</v>
      </c>
      <c r="G744" s="129" t="str">
        <f>VLOOKUP($C744,'2021-22 School Level AAFTE'!$C:$Z,12,FALSE)</f>
        <v>No</v>
      </c>
      <c r="H744" s="127">
        <f>VLOOKUP($C744,'2021-22 School Level AAFTE'!$C:$I,7,FALSE)</f>
        <v>304.57</v>
      </c>
      <c r="I744" s="112">
        <f>IFERROR(IF(OR(G744="yes",F744= "yes"),VLOOKUP(C744,Summary!$B:$J,6,0),0),0)</f>
        <v>0</v>
      </c>
      <c r="J744" s="111">
        <f t="shared" si="144"/>
        <v>304.57</v>
      </c>
      <c r="K744" s="91">
        <f>VLOOKUP($A744,'2022-23 Salary &amp; Benefits'!$A:$I,3,FALSE)</f>
        <v>1.18</v>
      </c>
      <c r="L744" s="91">
        <f>VLOOKUP($A744,'2022-23 Salary &amp; Benefits'!$A:$I,4,FALSE)</f>
        <v>1.18</v>
      </c>
      <c r="M744" s="39">
        <f t="shared" si="139"/>
        <v>304.57</v>
      </c>
      <c r="N744" s="24">
        <v>15</v>
      </c>
      <c r="O744" s="26">
        <f t="shared" si="142"/>
        <v>20.304666666666666</v>
      </c>
      <c r="P744" s="24">
        <v>1.1000000000000001</v>
      </c>
      <c r="Q744" s="24">
        <v>36</v>
      </c>
      <c r="R744" s="27">
        <f t="shared" si="143"/>
        <v>804.0648000000001</v>
      </c>
      <c r="S744" s="102">
        <f t="shared" si="145"/>
        <v>0.89300000000000002</v>
      </c>
      <c r="T744" s="21">
        <f>VLOOKUP($A744,'2022-23 Salary &amp; Benefits'!$A:$I,5,FALSE)</f>
        <v>68937</v>
      </c>
      <c r="U744" s="21">
        <f>VLOOKUP($A744,'2022-23 Salary &amp; Benefits'!$A:$I,6,FALSE)</f>
        <v>72728</v>
      </c>
      <c r="V744" s="22">
        <f t="shared" si="146"/>
        <v>72641.67</v>
      </c>
      <c r="W744" s="22">
        <f t="shared" si="147"/>
        <v>3994.7299999999959</v>
      </c>
      <c r="X744" s="22">
        <f>'2022-23 Salary &amp; Benefits'!$G$6</f>
        <v>12558.24</v>
      </c>
      <c r="Y744" s="23">
        <f>'2022-23 Salary &amp; Benefits'!$H$6</f>
        <v>0.2298</v>
      </c>
      <c r="Z744" s="23">
        <f>'2022-23 Salary &amp; Benefits'!$I$6</f>
        <v>0.22339999999999999</v>
      </c>
      <c r="AA744" s="22">
        <f t="shared" si="148"/>
        <v>28799.99</v>
      </c>
      <c r="AB744" s="22">
        <f t="shared" si="149"/>
        <v>1277.27</v>
      </c>
      <c r="AC744" s="22">
        <f t="shared" si="150"/>
        <v>285.33999999999997</v>
      </c>
      <c r="AD744" s="22">
        <f t="shared" si="140"/>
        <v>1562.61</v>
      </c>
      <c r="AE744" s="22">
        <f t="shared" si="141"/>
        <v>106999</v>
      </c>
      <c r="AF744" s="19" t="str">
        <f>VLOOKUP(C744,'2021-22 School Level AAFTE'!C:N,12,FALSE)</f>
        <v>No</v>
      </c>
    </row>
    <row r="745" spans="1:284" s="19" customFormat="1">
      <c r="A745" s="97" t="s">
        <v>2352</v>
      </c>
      <c r="B745" s="97" t="s">
        <v>702</v>
      </c>
      <c r="C745" s="95">
        <v>2842</v>
      </c>
      <c r="D745" s="95" t="s">
        <v>712</v>
      </c>
      <c r="E745" s="129">
        <f>VLOOKUP($C745,'2021-22 School Level AAFTE'!$C:$Z,11,FALSE)</f>
        <v>0.56576666666666664</v>
      </c>
      <c r="F745" s="129" t="str">
        <f>VLOOKUP($C745,'2021-22 School Level AAFTE'!$C:$Z,8,FALSE)</f>
        <v>Yes</v>
      </c>
      <c r="G745" s="129" t="str">
        <f>VLOOKUP($C745,'2021-22 School Level AAFTE'!$C:$Z,12,FALSE)</f>
        <v>No</v>
      </c>
      <c r="H745" s="127">
        <f>VLOOKUP($C745,'2021-22 School Level AAFTE'!$C:$I,7,FALSE)</f>
        <v>480.64</v>
      </c>
      <c r="I745" s="112">
        <f>IFERROR(IF(OR(G745="yes",F745= "yes"),VLOOKUP(C745,Summary!$B:$J,6,0),0),0)</f>
        <v>0</v>
      </c>
      <c r="J745" s="111">
        <f t="shared" si="144"/>
        <v>480.64</v>
      </c>
      <c r="K745" s="91">
        <f>VLOOKUP($A745,'2022-23 Salary &amp; Benefits'!$A:$I,3,FALSE)</f>
        <v>1.18</v>
      </c>
      <c r="L745" s="91">
        <f>VLOOKUP($A745,'2022-23 Salary &amp; Benefits'!$A:$I,4,FALSE)</f>
        <v>1.18</v>
      </c>
      <c r="M745" s="39">
        <f t="shared" si="139"/>
        <v>480.64</v>
      </c>
      <c r="N745" s="24">
        <v>15</v>
      </c>
      <c r="O745" s="26">
        <f t="shared" si="142"/>
        <v>32.042666666666669</v>
      </c>
      <c r="P745" s="24">
        <v>1.1000000000000001</v>
      </c>
      <c r="Q745" s="24">
        <v>36</v>
      </c>
      <c r="R745" s="27">
        <f t="shared" si="143"/>
        <v>1268.8896000000002</v>
      </c>
      <c r="S745" s="102">
        <f t="shared" si="145"/>
        <v>1.41</v>
      </c>
      <c r="T745" s="21">
        <f>VLOOKUP($A745,'2022-23 Salary &amp; Benefits'!$A:$I,5,FALSE)</f>
        <v>68937</v>
      </c>
      <c r="U745" s="21">
        <f>VLOOKUP($A745,'2022-23 Salary &amp; Benefits'!$A:$I,6,FALSE)</f>
        <v>72728</v>
      </c>
      <c r="V745" s="22">
        <f t="shared" si="146"/>
        <v>114697.38</v>
      </c>
      <c r="W745" s="22">
        <f t="shared" si="147"/>
        <v>6307.4700000000012</v>
      </c>
      <c r="X745" s="22">
        <f>'2022-23 Salary &amp; Benefits'!$G$6</f>
        <v>12558.24</v>
      </c>
      <c r="Y745" s="23">
        <f>'2022-23 Salary &amp; Benefits'!$H$6</f>
        <v>0.2298</v>
      </c>
      <c r="Z745" s="23">
        <f>'2022-23 Salary &amp; Benefits'!$I$6</f>
        <v>0.22339999999999999</v>
      </c>
      <c r="AA745" s="22">
        <f t="shared" si="148"/>
        <v>45473.67</v>
      </c>
      <c r="AB745" s="22">
        <f t="shared" si="149"/>
        <v>2016.75</v>
      </c>
      <c r="AC745" s="22">
        <f t="shared" si="150"/>
        <v>450.54</v>
      </c>
      <c r="AD745" s="22">
        <f t="shared" si="140"/>
        <v>2467.29</v>
      </c>
      <c r="AE745" s="22">
        <f t="shared" si="141"/>
        <v>168945.81</v>
      </c>
      <c r="AF745" s="19" t="str">
        <f>VLOOKUP(C745,'2021-22 School Level AAFTE'!C:N,12,FALSE)</f>
        <v>No</v>
      </c>
    </row>
    <row r="746" spans="1:284" s="19" customFormat="1">
      <c r="A746" s="97" t="s">
        <v>2352</v>
      </c>
      <c r="B746" s="97" t="s">
        <v>702</v>
      </c>
      <c r="C746" s="95">
        <v>2844</v>
      </c>
      <c r="D746" s="95" t="s">
        <v>713</v>
      </c>
      <c r="E746" s="129">
        <f>VLOOKUP($C746,'2021-22 School Level AAFTE'!$C:$Z,11,FALSE)</f>
        <v>0.49990000000000001</v>
      </c>
      <c r="F746" s="129" t="str">
        <f>VLOOKUP($C746,'2021-22 School Level AAFTE'!$C:$Z,8,FALSE)</f>
        <v>No</v>
      </c>
      <c r="G746" s="129" t="str">
        <f>VLOOKUP($C746,'2021-22 School Level AAFTE'!$C:$Z,12,FALSE)</f>
        <v>Yes</v>
      </c>
      <c r="H746" s="127">
        <f>VLOOKUP($C746,'2021-22 School Level AAFTE'!$C:$I,7,FALSE)</f>
        <v>417.34</v>
      </c>
      <c r="I746" s="112">
        <f>IFERROR(IF(OR(G746="yes",F746= "yes"),VLOOKUP(C746,Summary!$B:$J,6,0),0),0)</f>
        <v>0</v>
      </c>
      <c r="J746" s="111">
        <f t="shared" si="144"/>
        <v>417.34</v>
      </c>
      <c r="K746" s="91">
        <f>VLOOKUP($A746,'2022-23 Salary &amp; Benefits'!$A:$I,3,FALSE)</f>
        <v>1.18</v>
      </c>
      <c r="L746" s="91">
        <f>VLOOKUP($A746,'2022-23 Salary &amp; Benefits'!$A:$I,4,FALSE)</f>
        <v>1.18</v>
      </c>
      <c r="M746" s="101">
        <f t="shared" si="139"/>
        <v>417.34</v>
      </c>
      <c r="N746" s="24">
        <v>15</v>
      </c>
      <c r="O746" s="26">
        <f t="shared" si="142"/>
        <v>27.822666666666667</v>
      </c>
      <c r="P746" s="24">
        <v>1.1000000000000001</v>
      </c>
      <c r="Q746" s="24">
        <v>36</v>
      </c>
      <c r="R746" s="27">
        <f t="shared" si="143"/>
        <v>1101.7776000000001</v>
      </c>
      <c r="S746" s="102">
        <f t="shared" si="145"/>
        <v>1.224</v>
      </c>
      <c r="T746" s="21">
        <f>VLOOKUP($A746,'2022-23 Salary &amp; Benefits'!$A:$I,5,FALSE)</f>
        <v>68937</v>
      </c>
      <c r="U746" s="21">
        <f>VLOOKUP($A746,'2022-23 Salary &amp; Benefits'!$A:$I,6,FALSE)</f>
        <v>72728</v>
      </c>
      <c r="V746" s="22">
        <f t="shared" si="146"/>
        <v>99567.09</v>
      </c>
      <c r="W746" s="22">
        <f t="shared" si="147"/>
        <v>5475.4100000000035</v>
      </c>
      <c r="X746" s="22">
        <f>'2022-23 Salary &amp; Benefits'!$G$6</f>
        <v>12558.24</v>
      </c>
      <c r="Y746" s="23">
        <f>'2022-23 Salary &amp; Benefits'!$H$6</f>
        <v>0.2298</v>
      </c>
      <c r="Z746" s="23">
        <f>'2022-23 Salary &amp; Benefits'!$I$6</f>
        <v>0.22339999999999999</v>
      </c>
      <c r="AA746" s="22">
        <f t="shared" si="148"/>
        <v>39475.01</v>
      </c>
      <c r="AB746" s="22">
        <f t="shared" si="149"/>
        <v>1750.71</v>
      </c>
      <c r="AC746" s="22">
        <f t="shared" si="150"/>
        <v>391.11</v>
      </c>
      <c r="AD746" s="22">
        <f t="shared" si="140"/>
        <v>2141.8200000000002</v>
      </c>
      <c r="AE746" s="22">
        <f t="shared" si="141"/>
        <v>146659.33000000002</v>
      </c>
      <c r="AF746" s="19" t="str">
        <f>VLOOKUP(C746,'2021-22 School Level AAFTE'!C:N,12,FALSE)</f>
        <v>Yes</v>
      </c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</row>
    <row r="747" spans="1:284" s="19" customFormat="1">
      <c r="A747" s="97" t="s">
        <v>2352</v>
      </c>
      <c r="B747" s="97" t="s">
        <v>702</v>
      </c>
      <c r="C747" s="95">
        <v>2926</v>
      </c>
      <c r="D747" s="95" t="s">
        <v>714</v>
      </c>
      <c r="E747" s="129">
        <f>VLOOKUP($C747,'2021-22 School Level AAFTE'!$C:$Z,11,FALSE)</f>
        <v>0.75139999999999996</v>
      </c>
      <c r="F747" s="129" t="str">
        <f>VLOOKUP($C747,'2021-22 School Level AAFTE'!$C:$Z,8,FALSE)</f>
        <v>Yes</v>
      </c>
      <c r="G747" s="129" t="str">
        <f>VLOOKUP($C747,'2021-22 School Level AAFTE'!$C:$Z,12,FALSE)</f>
        <v>No</v>
      </c>
      <c r="H747" s="127">
        <f>VLOOKUP($C747,'2021-22 School Level AAFTE'!$C:$I,7,FALSE)</f>
        <v>389.54</v>
      </c>
      <c r="I747" s="112">
        <f>IFERROR(IF(OR(G747="yes",F747= "yes"),VLOOKUP(C747,Summary!$B:$J,6,0),0),0)</f>
        <v>0</v>
      </c>
      <c r="J747" s="111">
        <f t="shared" si="144"/>
        <v>389.54</v>
      </c>
      <c r="K747" s="91">
        <f>VLOOKUP($A747,'2022-23 Salary &amp; Benefits'!$A:$I,3,FALSE)</f>
        <v>1.18</v>
      </c>
      <c r="L747" s="91">
        <f>VLOOKUP($A747,'2022-23 Salary &amp; Benefits'!$A:$I,4,FALSE)</f>
        <v>1.18</v>
      </c>
      <c r="M747" s="101">
        <f t="shared" si="139"/>
        <v>389.54</v>
      </c>
      <c r="N747" s="24">
        <v>15</v>
      </c>
      <c r="O747" s="26">
        <f t="shared" si="142"/>
        <v>25.969333333333335</v>
      </c>
      <c r="P747" s="24">
        <v>1.1000000000000001</v>
      </c>
      <c r="Q747" s="24">
        <v>36</v>
      </c>
      <c r="R747" s="27">
        <f t="shared" si="143"/>
        <v>1028.3856000000001</v>
      </c>
      <c r="S747" s="102">
        <f t="shared" si="145"/>
        <v>1.143</v>
      </c>
      <c r="T747" s="21">
        <f>VLOOKUP($A747,'2022-23 Salary &amp; Benefits'!$A:$I,5,FALSE)</f>
        <v>68937</v>
      </c>
      <c r="U747" s="21">
        <f>VLOOKUP($A747,'2022-23 Salary &amp; Benefits'!$A:$I,6,FALSE)</f>
        <v>72728</v>
      </c>
      <c r="V747" s="22">
        <f t="shared" si="146"/>
        <v>92978.09</v>
      </c>
      <c r="W747" s="22">
        <f t="shared" si="147"/>
        <v>5113.070000000007</v>
      </c>
      <c r="X747" s="22">
        <f>'2022-23 Salary &amp; Benefits'!$G$6</f>
        <v>12558.24</v>
      </c>
      <c r="Y747" s="23">
        <f>'2022-23 Salary &amp; Benefits'!$H$6</f>
        <v>0.2298</v>
      </c>
      <c r="Z747" s="23">
        <f>'2022-23 Salary &amp; Benefits'!$I$6</f>
        <v>0.22339999999999999</v>
      </c>
      <c r="AA747" s="22">
        <f t="shared" si="148"/>
        <v>36862.69</v>
      </c>
      <c r="AB747" s="22">
        <f t="shared" si="149"/>
        <v>1634.85</v>
      </c>
      <c r="AC747" s="22">
        <f t="shared" si="150"/>
        <v>365.23</v>
      </c>
      <c r="AD747" s="22">
        <f t="shared" si="140"/>
        <v>2000.08</v>
      </c>
      <c r="AE747" s="22">
        <f t="shared" si="141"/>
        <v>136953.93</v>
      </c>
      <c r="AF747" s="19" t="str">
        <f>VLOOKUP(C747,'2021-22 School Level AAFTE'!C:N,12,FALSE)</f>
        <v>No</v>
      </c>
    </row>
    <row r="748" spans="1:284" s="19" customFormat="1">
      <c r="A748" s="97" t="s">
        <v>2352</v>
      </c>
      <c r="B748" s="97" t="s">
        <v>702</v>
      </c>
      <c r="C748" s="95">
        <v>2927</v>
      </c>
      <c r="D748" s="95" t="s">
        <v>715</v>
      </c>
      <c r="E748" s="129">
        <f>VLOOKUP($C748,'2021-22 School Level AAFTE'!$C:$Z,11,FALSE)</f>
        <v>0.47900000000000004</v>
      </c>
      <c r="F748" s="129" t="str">
        <f>VLOOKUP($C748,'2021-22 School Level AAFTE'!$C:$Z,8,FALSE)</f>
        <v>No</v>
      </c>
      <c r="G748" s="129" t="str">
        <f>VLOOKUP($C748,'2021-22 School Level AAFTE'!$C:$Z,12,FALSE)</f>
        <v>Yes</v>
      </c>
      <c r="H748" s="127">
        <f>VLOOKUP($C748,'2021-22 School Level AAFTE'!$C:$I,7,FALSE)</f>
        <v>643.30999999999995</v>
      </c>
      <c r="I748" s="112">
        <f>IFERROR(IF(OR(G748="yes",F748= "yes"),VLOOKUP(C748,Summary!$B:$J,6,0),0),0)</f>
        <v>0</v>
      </c>
      <c r="J748" s="111">
        <f t="shared" si="144"/>
        <v>643.30999999999995</v>
      </c>
      <c r="K748" s="91">
        <f>VLOOKUP($A748,'2022-23 Salary &amp; Benefits'!$A:$I,3,FALSE)</f>
        <v>1.18</v>
      </c>
      <c r="L748" s="91">
        <f>VLOOKUP($A748,'2022-23 Salary &amp; Benefits'!$A:$I,4,FALSE)</f>
        <v>1.18</v>
      </c>
      <c r="M748" s="101">
        <f t="shared" si="139"/>
        <v>643.30999999999995</v>
      </c>
      <c r="N748" s="24">
        <v>15</v>
      </c>
      <c r="O748" s="26">
        <f t="shared" si="142"/>
        <v>42.887333333333331</v>
      </c>
      <c r="P748" s="24">
        <v>1.1000000000000001</v>
      </c>
      <c r="Q748" s="24">
        <v>36</v>
      </c>
      <c r="R748" s="27">
        <f t="shared" si="143"/>
        <v>1698.3384000000001</v>
      </c>
      <c r="S748" s="102">
        <f t="shared" si="145"/>
        <v>1.887</v>
      </c>
      <c r="T748" s="21">
        <f>VLOOKUP($A748,'2022-23 Salary &amp; Benefits'!$A:$I,5,FALSE)</f>
        <v>68937</v>
      </c>
      <c r="U748" s="21">
        <f>VLOOKUP($A748,'2022-23 Salary &amp; Benefits'!$A:$I,6,FALSE)</f>
        <v>72728</v>
      </c>
      <c r="V748" s="22">
        <f t="shared" si="146"/>
        <v>153499.26</v>
      </c>
      <c r="W748" s="22">
        <f t="shared" si="147"/>
        <v>8441.2699999999895</v>
      </c>
      <c r="X748" s="22">
        <f>'2022-23 Salary &amp; Benefits'!$G$6</f>
        <v>12558.24</v>
      </c>
      <c r="Y748" s="23">
        <f>'2022-23 Salary &amp; Benefits'!$H$6</f>
        <v>0.2298</v>
      </c>
      <c r="Z748" s="23">
        <f>'2022-23 Salary &amp; Benefits'!$I$6</f>
        <v>0.22339999999999999</v>
      </c>
      <c r="AA748" s="22">
        <f t="shared" si="148"/>
        <v>60857.31</v>
      </c>
      <c r="AB748" s="22">
        <f t="shared" si="149"/>
        <v>2699.01</v>
      </c>
      <c r="AC748" s="22">
        <f t="shared" si="150"/>
        <v>602.96</v>
      </c>
      <c r="AD748" s="22">
        <f t="shared" si="140"/>
        <v>3301.9700000000003</v>
      </c>
      <c r="AE748" s="22">
        <f t="shared" si="141"/>
        <v>226099.81</v>
      </c>
      <c r="AF748" s="19" t="str">
        <f>VLOOKUP(C748,'2021-22 School Level AAFTE'!C:N,12,FALSE)</f>
        <v>Yes</v>
      </c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</row>
    <row r="749" spans="1:284" s="19" customFormat="1">
      <c r="A749" s="97" t="s">
        <v>2352</v>
      </c>
      <c r="B749" s="97" t="s">
        <v>702</v>
      </c>
      <c r="C749" s="95">
        <v>2982</v>
      </c>
      <c r="D749" s="95" t="s">
        <v>716</v>
      </c>
      <c r="E749" s="129">
        <f>VLOOKUP($C749,'2021-22 School Level AAFTE'!$C:$Z,11,FALSE)</f>
        <v>0.76406666666666678</v>
      </c>
      <c r="F749" s="129" t="str">
        <f>VLOOKUP($C749,'2021-22 School Level AAFTE'!$C:$Z,8,FALSE)</f>
        <v>Yes</v>
      </c>
      <c r="G749" s="129" t="str">
        <f>VLOOKUP($C749,'2021-22 School Level AAFTE'!$C:$Z,12,FALSE)</f>
        <v>No</v>
      </c>
      <c r="H749" s="127">
        <f>VLOOKUP($C749,'2021-22 School Level AAFTE'!$C:$I,7,FALSE)</f>
        <v>528.07000000000005</v>
      </c>
      <c r="I749" s="112">
        <f>IFERROR(IF(OR(G749="yes",F749= "yes"),VLOOKUP(C749,Summary!$B:$J,6,0),0),0)</f>
        <v>0</v>
      </c>
      <c r="J749" s="111">
        <f t="shared" si="144"/>
        <v>528.07000000000005</v>
      </c>
      <c r="K749" s="91">
        <f>VLOOKUP($A749,'2022-23 Salary &amp; Benefits'!$A:$I,3,FALSE)</f>
        <v>1.18</v>
      </c>
      <c r="L749" s="91">
        <f>VLOOKUP($A749,'2022-23 Salary &amp; Benefits'!$A:$I,4,FALSE)</f>
        <v>1.18</v>
      </c>
      <c r="M749" s="39">
        <f t="shared" ref="M749:M811" si="151">IF(I749&gt;0,I749,J749)</f>
        <v>528.07000000000005</v>
      </c>
      <c r="N749" s="24">
        <v>15</v>
      </c>
      <c r="O749" s="26">
        <f t="shared" si="142"/>
        <v>35.204666666666668</v>
      </c>
      <c r="P749" s="24">
        <v>1.1000000000000001</v>
      </c>
      <c r="Q749" s="24">
        <v>36</v>
      </c>
      <c r="R749" s="27">
        <f t="shared" si="143"/>
        <v>1394.1048000000003</v>
      </c>
      <c r="S749" s="102">
        <f t="shared" si="145"/>
        <v>1.5489999999999999</v>
      </c>
      <c r="T749" s="21">
        <f>VLOOKUP($A749,'2022-23 Salary &amp; Benefits'!$A:$I,5,FALSE)</f>
        <v>68937</v>
      </c>
      <c r="U749" s="21">
        <f>VLOOKUP($A749,'2022-23 Salary &amp; Benefits'!$A:$I,6,FALSE)</f>
        <v>72728</v>
      </c>
      <c r="V749" s="22">
        <f t="shared" si="146"/>
        <v>126004.43</v>
      </c>
      <c r="W749" s="22">
        <f t="shared" si="147"/>
        <v>6929.2600000000093</v>
      </c>
      <c r="X749" s="22">
        <f>'2022-23 Salary &amp; Benefits'!$G$6</f>
        <v>12558.24</v>
      </c>
      <c r="Y749" s="23">
        <f>'2022-23 Salary &amp; Benefits'!$H$6</f>
        <v>0.2298</v>
      </c>
      <c r="Z749" s="23">
        <f>'2022-23 Salary &amp; Benefits'!$I$6</f>
        <v>0.22339999999999999</v>
      </c>
      <c r="AA749" s="22">
        <f t="shared" si="148"/>
        <v>49956.53</v>
      </c>
      <c r="AB749" s="22">
        <f t="shared" si="149"/>
        <v>2215.56</v>
      </c>
      <c r="AC749" s="22">
        <f t="shared" si="150"/>
        <v>494.96</v>
      </c>
      <c r="AD749" s="22">
        <f t="shared" ref="AD749:AD811" si="152">SUM(AB749:AC749)</f>
        <v>2710.52</v>
      </c>
      <c r="AE749" s="22">
        <f t="shared" ref="AE749:AE811" si="153">SUM(AA749,V749:W749,AD749)</f>
        <v>185600.74</v>
      </c>
      <c r="AF749" s="19" t="str">
        <f>VLOOKUP(C749,'2021-22 School Level AAFTE'!C:N,12,FALSE)</f>
        <v>No</v>
      </c>
    </row>
    <row r="750" spans="1:284" s="19" customFormat="1">
      <c r="A750" s="97" t="s">
        <v>2352</v>
      </c>
      <c r="B750" s="97" t="s">
        <v>702</v>
      </c>
      <c r="C750" s="95">
        <v>2983</v>
      </c>
      <c r="D750" s="95" t="s">
        <v>717</v>
      </c>
      <c r="E750" s="129">
        <f>VLOOKUP($C750,'2021-22 School Level AAFTE'!$C:$Z,11,FALSE)</f>
        <v>0.38923333333333332</v>
      </c>
      <c r="F750" s="129" t="str">
        <f>VLOOKUP($C750,'2021-22 School Level AAFTE'!$C:$Z,8,FALSE)</f>
        <v>No</v>
      </c>
      <c r="G750" s="129" t="str">
        <f>VLOOKUP($C750,'2021-22 School Level AAFTE'!$C:$Z,12,FALSE)</f>
        <v>No</v>
      </c>
      <c r="H750" s="127">
        <f>VLOOKUP($C750,'2021-22 School Level AAFTE'!$C:$I,7,FALSE)</f>
        <v>485.71</v>
      </c>
      <c r="I750" s="112">
        <f>IFERROR(IF(OR(G750="yes",F750= "yes"),VLOOKUP(C750,Summary!$B:$J,6,0),0),0)</f>
        <v>0</v>
      </c>
      <c r="J750" s="111">
        <f t="shared" si="144"/>
        <v>0</v>
      </c>
      <c r="K750" s="91">
        <f>VLOOKUP($A750,'2022-23 Salary &amp; Benefits'!$A:$I,3,FALSE)</f>
        <v>1.18</v>
      </c>
      <c r="L750" s="91">
        <f>VLOOKUP($A750,'2022-23 Salary &amp; Benefits'!$A:$I,4,FALSE)</f>
        <v>1.18</v>
      </c>
      <c r="M750" s="39">
        <f t="shared" si="151"/>
        <v>0</v>
      </c>
      <c r="N750" s="24">
        <v>15</v>
      </c>
      <c r="O750" s="26">
        <f t="shared" si="142"/>
        <v>0</v>
      </c>
      <c r="P750" s="24">
        <v>1.1000000000000001</v>
      </c>
      <c r="Q750" s="24">
        <v>36</v>
      </c>
      <c r="R750" s="27">
        <f t="shared" si="143"/>
        <v>0</v>
      </c>
      <c r="S750" s="102">
        <f t="shared" si="145"/>
        <v>0</v>
      </c>
      <c r="T750" s="21">
        <f>VLOOKUP($A750,'2022-23 Salary &amp; Benefits'!$A:$I,5,FALSE)</f>
        <v>68937</v>
      </c>
      <c r="U750" s="21">
        <f>VLOOKUP($A750,'2022-23 Salary &amp; Benefits'!$A:$I,6,FALSE)</f>
        <v>72728</v>
      </c>
      <c r="V750" s="22">
        <f t="shared" si="146"/>
        <v>0</v>
      </c>
      <c r="W750" s="22">
        <f t="shared" si="147"/>
        <v>0</v>
      </c>
      <c r="X750" s="22">
        <f>'2022-23 Salary &amp; Benefits'!$G$6</f>
        <v>12558.24</v>
      </c>
      <c r="Y750" s="23">
        <f>'2022-23 Salary &amp; Benefits'!$H$6</f>
        <v>0.2298</v>
      </c>
      <c r="Z750" s="23">
        <f>'2022-23 Salary &amp; Benefits'!$I$6</f>
        <v>0.22339999999999999</v>
      </c>
      <c r="AA750" s="22">
        <f t="shared" si="148"/>
        <v>0</v>
      </c>
      <c r="AB750" s="22">
        <f t="shared" si="149"/>
        <v>0</v>
      </c>
      <c r="AC750" s="22">
        <f t="shared" si="150"/>
        <v>0</v>
      </c>
      <c r="AD750" s="22">
        <f t="shared" si="152"/>
        <v>0</v>
      </c>
      <c r="AE750" s="22">
        <f t="shared" si="153"/>
        <v>0</v>
      </c>
      <c r="AF750" s="19" t="str">
        <f>VLOOKUP(C750,'2021-22 School Level AAFTE'!C:N,12,FALSE)</f>
        <v>No</v>
      </c>
    </row>
    <row r="751" spans="1:284" s="19" customFormat="1">
      <c r="A751" s="97" t="s">
        <v>2352</v>
      </c>
      <c r="B751" s="97" t="s">
        <v>702</v>
      </c>
      <c r="C751" s="95">
        <v>2984</v>
      </c>
      <c r="D751" s="95" t="s">
        <v>440</v>
      </c>
      <c r="E751" s="129">
        <f>VLOOKUP($C751,'2021-22 School Level AAFTE'!$C:$Z,11,FALSE)</f>
        <v>0.82073333333333343</v>
      </c>
      <c r="F751" s="129" t="str">
        <f>VLOOKUP($C751,'2021-22 School Level AAFTE'!$C:$Z,8,FALSE)</f>
        <v>Yes</v>
      </c>
      <c r="G751" s="129" t="str">
        <f>VLOOKUP($C751,'2021-22 School Level AAFTE'!$C:$Z,12,FALSE)</f>
        <v>No</v>
      </c>
      <c r="H751" s="127">
        <f>VLOOKUP($C751,'2021-22 School Level AAFTE'!$C:$I,7,FALSE)</f>
        <v>541.14</v>
      </c>
      <c r="I751" s="112">
        <f>IFERROR(IF(OR(G751="yes",F751= "yes"),VLOOKUP(C751,Summary!$B:$J,6,0),0),0)</f>
        <v>0</v>
      </c>
      <c r="J751" s="111">
        <f t="shared" si="144"/>
        <v>541.14</v>
      </c>
      <c r="K751" s="91">
        <f>VLOOKUP($A751,'2022-23 Salary &amp; Benefits'!$A:$I,3,FALSE)</f>
        <v>1.18</v>
      </c>
      <c r="L751" s="91">
        <f>VLOOKUP($A751,'2022-23 Salary &amp; Benefits'!$A:$I,4,FALSE)</f>
        <v>1.18</v>
      </c>
      <c r="M751" s="39">
        <f t="shared" si="151"/>
        <v>541.14</v>
      </c>
      <c r="N751" s="24">
        <v>15</v>
      </c>
      <c r="O751" s="26">
        <f t="shared" si="142"/>
        <v>36.076000000000001</v>
      </c>
      <c r="P751" s="24">
        <v>1.1000000000000001</v>
      </c>
      <c r="Q751" s="24">
        <v>36</v>
      </c>
      <c r="R751" s="27">
        <f t="shared" si="143"/>
        <v>1428.6096000000002</v>
      </c>
      <c r="S751" s="102">
        <f t="shared" si="145"/>
        <v>1.587</v>
      </c>
      <c r="T751" s="21">
        <f>VLOOKUP($A751,'2022-23 Salary &amp; Benefits'!$A:$I,5,FALSE)</f>
        <v>68937</v>
      </c>
      <c r="U751" s="21">
        <f>VLOOKUP($A751,'2022-23 Salary &amp; Benefits'!$A:$I,6,FALSE)</f>
        <v>72728</v>
      </c>
      <c r="V751" s="22">
        <f t="shared" si="146"/>
        <v>129095.56</v>
      </c>
      <c r="W751" s="22">
        <f t="shared" si="147"/>
        <v>7099.2600000000093</v>
      </c>
      <c r="X751" s="22">
        <f>'2022-23 Salary &amp; Benefits'!$G$6</f>
        <v>12558.24</v>
      </c>
      <c r="Y751" s="23">
        <f>'2022-23 Salary &amp; Benefits'!$H$6</f>
        <v>0.2298</v>
      </c>
      <c r="Z751" s="23">
        <f>'2022-23 Salary &amp; Benefits'!$I$6</f>
        <v>0.22339999999999999</v>
      </c>
      <c r="AA751" s="22">
        <f t="shared" si="148"/>
        <v>51182.06</v>
      </c>
      <c r="AB751" s="22">
        <f t="shared" si="149"/>
        <v>2269.91</v>
      </c>
      <c r="AC751" s="22">
        <f t="shared" si="150"/>
        <v>507.1</v>
      </c>
      <c r="AD751" s="22">
        <f t="shared" si="152"/>
        <v>2777.0099999999998</v>
      </c>
      <c r="AE751" s="22">
        <f t="shared" si="153"/>
        <v>190153.89</v>
      </c>
      <c r="AF751" s="19" t="str">
        <f>VLOOKUP(C751,'2021-22 School Level AAFTE'!C:N,12,FALSE)</f>
        <v>No</v>
      </c>
    </row>
    <row r="752" spans="1:284" s="19" customFormat="1">
      <c r="A752" s="97" t="s">
        <v>2352</v>
      </c>
      <c r="B752" s="97" t="s">
        <v>702</v>
      </c>
      <c r="C752" s="95">
        <v>3032</v>
      </c>
      <c r="D752" s="95" t="s">
        <v>718</v>
      </c>
      <c r="E752" s="129">
        <f>VLOOKUP($C752,'2021-22 School Level AAFTE'!$C:$Z,11,FALSE)</f>
        <v>0.71683333333333332</v>
      </c>
      <c r="F752" s="129" t="str">
        <f>VLOOKUP($C752,'2021-22 School Level AAFTE'!$C:$Z,8,FALSE)</f>
        <v>Yes</v>
      </c>
      <c r="G752" s="129" t="str">
        <f>VLOOKUP($C752,'2021-22 School Level AAFTE'!$C:$Z,12,FALSE)</f>
        <v>No</v>
      </c>
      <c r="H752" s="127">
        <f>VLOOKUP($C752,'2021-22 School Level AAFTE'!$C:$I,7,FALSE)</f>
        <v>215.86</v>
      </c>
      <c r="I752" s="112">
        <f>IFERROR(IF(OR(G752="yes",F752= "yes"),VLOOKUP(C752,Summary!$B:$J,6,0),0),0)</f>
        <v>0</v>
      </c>
      <c r="J752" s="111">
        <f t="shared" si="144"/>
        <v>215.86</v>
      </c>
      <c r="K752" s="91">
        <f>VLOOKUP($A752,'2022-23 Salary &amp; Benefits'!$A:$I,3,FALSE)</f>
        <v>1.18</v>
      </c>
      <c r="L752" s="91">
        <f>VLOOKUP($A752,'2022-23 Salary &amp; Benefits'!$A:$I,4,FALSE)</f>
        <v>1.18</v>
      </c>
      <c r="M752" s="39">
        <f t="shared" si="151"/>
        <v>215.86</v>
      </c>
      <c r="N752" s="24">
        <v>15</v>
      </c>
      <c r="O752" s="26">
        <f t="shared" si="142"/>
        <v>14.390666666666668</v>
      </c>
      <c r="P752" s="24">
        <v>1.1000000000000001</v>
      </c>
      <c r="Q752" s="24">
        <v>36</v>
      </c>
      <c r="R752" s="27">
        <f t="shared" si="143"/>
        <v>569.87040000000013</v>
      </c>
      <c r="S752" s="102">
        <f t="shared" si="145"/>
        <v>0.63300000000000001</v>
      </c>
      <c r="T752" s="21">
        <f>VLOOKUP($A752,'2022-23 Salary &amp; Benefits'!$A:$I,5,FALSE)</f>
        <v>68937</v>
      </c>
      <c r="U752" s="21">
        <f>VLOOKUP($A752,'2022-23 Salary &amp; Benefits'!$A:$I,6,FALSE)</f>
        <v>72728</v>
      </c>
      <c r="V752" s="22">
        <f t="shared" si="146"/>
        <v>51491.8</v>
      </c>
      <c r="W752" s="22">
        <f t="shared" si="147"/>
        <v>2831.6499999999942</v>
      </c>
      <c r="X752" s="22">
        <f>'2022-23 Salary &amp; Benefits'!$G$6</f>
        <v>12558.24</v>
      </c>
      <c r="Y752" s="23">
        <f>'2022-23 Salary &amp; Benefits'!$H$6</f>
        <v>0.2298</v>
      </c>
      <c r="Z752" s="23">
        <f>'2022-23 Salary &amp; Benefits'!$I$6</f>
        <v>0.22339999999999999</v>
      </c>
      <c r="AA752" s="22">
        <f t="shared" si="148"/>
        <v>20414.77</v>
      </c>
      <c r="AB752" s="22">
        <f t="shared" si="149"/>
        <v>905.39</v>
      </c>
      <c r="AC752" s="22">
        <f t="shared" si="150"/>
        <v>202.26</v>
      </c>
      <c r="AD752" s="22">
        <f t="shared" si="152"/>
        <v>1107.6500000000001</v>
      </c>
      <c r="AE752" s="22">
        <f t="shared" si="153"/>
        <v>75845.87</v>
      </c>
      <c r="AF752" s="19" t="str">
        <f>VLOOKUP(C752,'2021-22 School Level AAFTE'!C:N,12,FALSE)</f>
        <v>No</v>
      </c>
    </row>
    <row r="753" spans="1:32" s="19" customFormat="1">
      <c r="A753" s="97" t="s">
        <v>2352</v>
      </c>
      <c r="B753" s="97" t="s">
        <v>702</v>
      </c>
      <c r="C753" s="95">
        <v>3097</v>
      </c>
      <c r="D753" s="95" t="s">
        <v>719</v>
      </c>
      <c r="E753" s="129">
        <f>VLOOKUP($C753,'2021-22 School Level AAFTE'!$C:$Z,11,FALSE)</f>
        <v>0.36943333333333334</v>
      </c>
      <c r="F753" s="129" t="str">
        <f>VLOOKUP($C753,'2021-22 School Level AAFTE'!$C:$Z,8,FALSE)</f>
        <v>No</v>
      </c>
      <c r="G753" s="129" t="str">
        <f>VLOOKUP($C753,'2021-22 School Level AAFTE'!$C:$Z,12,FALSE)</f>
        <v>No</v>
      </c>
      <c r="H753" s="127">
        <f>VLOOKUP($C753,'2021-22 School Level AAFTE'!$C:$I,7,FALSE)</f>
        <v>518.88</v>
      </c>
      <c r="I753" s="112">
        <f>IFERROR(IF(OR(G753="yes",F753= "yes"),VLOOKUP(C753,Summary!$B:$J,6,0),0),0)</f>
        <v>0</v>
      </c>
      <c r="J753" s="111">
        <f t="shared" si="144"/>
        <v>0</v>
      </c>
      <c r="K753" s="91">
        <f>VLOOKUP($A753,'2022-23 Salary &amp; Benefits'!$A:$I,3,FALSE)</f>
        <v>1.18</v>
      </c>
      <c r="L753" s="91">
        <f>VLOOKUP($A753,'2022-23 Salary &amp; Benefits'!$A:$I,4,FALSE)</f>
        <v>1.18</v>
      </c>
      <c r="M753" s="39">
        <f t="shared" si="151"/>
        <v>0</v>
      </c>
      <c r="N753" s="24">
        <v>15</v>
      </c>
      <c r="O753" s="26">
        <f t="shared" si="142"/>
        <v>0</v>
      </c>
      <c r="P753" s="24">
        <v>1.1000000000000001</v>
      </c>
      <c r="Q753" s="24">
        <v>36</v>
      </c>
      <c r="R753" s="27">
        <f t="shared" si="143"/>
        <v>0</v>
      </c>
      <c r="S753" s="102">
        <f t="shared" si="145"/>
        <v>0</v>
      </c>
      <c r="T753" s="21">
        <f>VLOOKUP($A753,'2022-23 Salary &amp; Benefits'!$A:$I,5,FALSE)</f>
        <v>68937</v>
      </c>
      <c r="U753" s="21">
        <f>VLOOKUP($A753,'2022-23 Salary &amp; Benefits'!$A:$I,6,FALSE)</f>
        <v>72728</v>
      </c>
      <c r="V753" s="22">
        <f t="shared" si="146"/>
        <v>0</v>
      </c>
      <c r="W753" s="22">
        <f t="shared" si="147"/>
        <v>0</v>
      </c>
      <c r="X753" s="22">
        <f>'2022-23 Salary &amp; Benefits'!$G$6</f>
        <v>12558.24</v>
      </c>
      <c r="Y753" s="23">
        <f>'2022-23 Salary &amp; Benefits'!$H$6</f>
        <v>0.2298</v>
      </c>
      <c r="Z753" s="23">
        <f>'2022-23 Salary &amp; Benefits'!$I$6</f>
        <v>0.22339999999999999</v>
      </c>
      <c r="AA753" s="22">
        <f t="shared" si="148"/>
        <v>0</v>
      </c>
      <c r="AB753" s="22">
        <f t="shared" si="149"/>
        <v>0</v>
      </c>
      <c r="AC753" s="22">
        <f t="shared" si="150"/>
        <v>0</v>
      </c>
      <c r="AD753" s="22">
        <f t="shared" si="152"/>
        <v>0</v>
      </c>
      <c r="AE753" s="22">
        <f t="shared" si="153"/>
        <v>0</v>
      </c>
      <c r="AF753" s="19" t="str">
        <f>VLOOKUP(C753,'2021-22 School Level AAFTE'!C:N,12,FALSE)</f>
        <v>No</v>
      </c>
    </row>
    <row r="754" spans="1:32" s="19" customFormat="1">
      <c r="A754" s="97" t="s">
        <v>2352</v>
      </c>
      <c r="B754" s="97" t="s">
        <v>702</v>
      </c>
      <c r="C754" s="95">
        <v>3098</v>
      </c>
      <c r="D754" s="95" t="s">
        <v>59</v>
      </c>
      <c r="E754" s="129">
        <f>VLOOKUP($C754,'2021-22 School Level AAFTE'!$C:$Z,11,FALSE)</f>
        <v>0.78146666666666675</v>
      </c>
      <c r="F754" s="129" t="str">
        <f>VLOOKUP($C754,'2021-22 School Level AAFTE'!$C:$Z,8,FALSE)</f>
        <v>Yes</v>
      </c>
      <c r="G754" s="129" t="str">
        <f>VLOOKUP($C754,'2021-22 School Level AAFTE'!$C:$Z,12,FALSE)</f>
        <v>No</v>
      </c>
      <c r="H754" s="127">
        <f>VLOOKUP($C754,'2021-22 School Level AAFTE'!$C:$I,7,FALSE)</f>
        <v>612.02</v>
      </c>
      <c r="I754" s="112">
        <f>IFERROR(IF(OR(G754="yes",F754= "yes"),VLOOKUP(C754,Summary!$B:$J,6,0),0),0)</f>
        <v>0</v>
      </c>
      <c r="J754" s="111">
        <f t="shared" si="144"/>
        <v>612.02</v>
      </c>
      <c r="K754" s="91">
        <f>VLOOKUP($A754,'2022-23 Salary &amp; Benefits'!$A:$I,3,FALSE)</f>
        <v>1.18</v>
      </c>
      <c r="L754" s="91">
        <f>VLOOKUP($A754,'2022-23 Salary &amp; Benefits'!$A:$I,4,FALSE)</f>
        <v>1.18</v>
      </c>
      <c r="M754" s="101">
        <f t="shared" si="151"/>
        <v>612.02</v>
      </c>
      <c r="N754" s="24">
        <v>15</v>
      </c>
      <c r="O754" s="26">
        <f t="shared" si="142"/>
        <v>40.801333333333332</v>
      </c>
      <c r="P754" s="24">
        <v>1.1000000000000001</v>
      </c>
      <c r="Q754" s="24">
        <v>36</v>
      </c>
      <c r="R754" s="27">
        <f t="shared" si="143"/>
        <v>1615.7328</v>
      </c>
      <c r="S754" s="102">
        <f t="shared" si="145"/>
        <v>1.7949999999999999</v>
      </c>
      <c r="T754" s="21">
        <f>VLOOKUP($A754,'2022-23 Salary &amp; Benefits'!$A:$I,5,FALSE)</f>
        <v>68937</v>
      </c>
      <c r="U754" s="21">
        <f>VLOOKUP($A754,'2022-23 Salary &amp; Benefits'!$A:$I,6,FALSE)</f>
        <v>72728</v>
      </c>
      <c r="V754" s="22">
        <f t="shared" si="146"/>
        <v>146015.46</v>
      </c>
      <c r="W754" s="22">
        <f t="shared" si="147"/>
        <v>8029.7200000000012</v>
      </c>
      <c r="X754" s="22">
        <f>'2022-23 Salary &amp; Benefits'!$G$6</f>
        <v>12558.24</v>
      </c>
      <c r="Y754" s="23">
        <f>'2022-23 Salary &amp; Benefits'!$H$6</f>
        <v>0.2298</v>
      </c>
      <c r="Z754" s="23">
        <f>'2022-23 Salary &amp; Benefits'!$I$6</f>
        <v>0.22339999999999999</v>
      </c>
      <c r="AA754" s="22">
        <f t="shared" si="148"/>
        <v>57890.23</v>
      </c>
      <c r="AB754" s="22">
        <f t="shared" si="149"/>
        <v>2567.42</v>
      </c>
      <c r="AC754" s="22">
        <f t="shared" si="150"/>
        <v>573.55999999999995</v>
      </c>
      <c r="AD754" s="22">
        <f t="shared" si="152"/>
        <v>3140.98</v>
      </c>
      <c r="AE754" s="22">
        <f t="shared" si="153"/>
        <v>215076.39</v>
      </c>
      <c r="AF754" s="19" t="str">
        <f>VLOOKUP(C754,'2021-22 School Level AAFTE'!C:N,12,FALSE)</f>
        <v>No</v>
      </c>
    </row>
    <row r="755" spans="1:32" s="19" customFormat="1">
      <c r="A755" s="97" t="s">
        <v>2352</v>
      </c>
      <c r="B755" s="97" t="s">
        <v>702</v>
      </c>
      <c r="C755" s="95">
        <v>3099</v>
      </c>
      <c r="D755" s="95" t="s">
        <v>223</v>
      </c>
      <c r="E755" s="129">
        <f>VLOOKUP($C755,'2021-22 School Level AAFTE'!$C:$Z,11,FALSE)</f>
        <v>0.77750000000000019</v>
      </c>
      <c r="F755" s="129" t="str">
        <f>VLOOKUP($C755,'2021-22 School Level AAFTE'!$C:$Z,8,FALSE)</f>
        <v>Yes</v>
      </c>
      <c r="G755" s="129" t="str">
        <f>VLOOKUP($C755,'2021-22 School Level AAFTE'!$C:$Z,12,FALSE)</f>
        <v>No</v>
      </c>
      <c r="H755" s="127">
        <f>VLOOKUP($C755,'2021-22 School Level AAFTE'!$C:$I,7,FALSE)</f>
        <v>970.76</v>
      </c>
      <c r="I755" s="112">
        <f>IFERROR(IF(OR(G755="yes",F755= "yes"),VLOOKUP(C755,Summary!$B:$J,6,0),0),0)</f>
        <v>0</v>
      </c>
      <c r="J755" s="111">
        <f t="shared" si="144"/>
        <v>970.76</v>
      </c>
      <c r="K755" s="91">
        <f>VLOOKUP($A755,'2022-23 Salary &amp; Benefits'!$A:$I,3,FALSE)</f>
        <v>1.18</v>
      </c>
      <c r="L755" s="91">
        <f>VLOOKUP($A755,'2022-23 Salary &amp; Benefits'!$A:$I,4,FALSE)</f>
        <v>1.18</v>
      </c>
      <c r="M755" s="39">
        <f t="shared" si="151"/>
        <v>970.76</v>
      </c>
      <c r="N755" s="24">
        <v>15</v>
      </c>
      <c r="O755" s="26">
        <f t="shared" si="142"/>
        <v>64.717333333333329</v>
      </c>
      <c r="P755" s="24">
        <v>1.1000000000000001</v>
      </c>
      <c r="Q755" s="24">
        <v>36</v>
      </c>
      <c r="R755" s="27">
        <f t="shared" si="143"/>
        <v>2562.8063999999999</v>
      </c>
      <c r="S755" s="102">
        <f t="shared" si="145"/>
        <v>2.8479999999999999</v>
      </c>
      <c r="T755" s="21">
        <f>VLOOKUP($A755,'2022-23 Salary &amp; Benefits'!$A:$I,5,FALSE)</f>
        <v>68937</v>
      </c>
      <c r="U755" s="21">
        <f>VLOOKUP($A755,'2022-23 Salary &amp; Benefits'!$A:$I,6,FALSE)</f>
        <v>72728</v>
      </c>
      <c r="V755" s="22">
        <f t="shared" si="146"/>
        <v>231672.44</v>
      </c>
      <c r="W755" s="22">
        <f t="shared" si="147"/>
        <v>12740.190000000002</v>
      </c>
      <c r="X755" s="22">
        <f>'2022-23 Salary &amp; Benefits'!$G$6</f>
        <v>12558.24</v>
      </c>
      <c r="Y755" s="23">
        <f>'2022-23 Salary &amp; Benefits'!$H$6</f>
        <v>0.2298</v>
      </c>
      <c r="Z755" s="23">
        <f>'2022-23 Salary &amp; Benefits'!$I$6</f>
        <v>0.22339999999999999</v>
      </c>
      <c r="AA755" s="22">
        <f t="shared" si="148"/>
        <v>91850.35</v>
      </c>
      <c r="AB755" s="22">
        <f t="shared" si="149"/>
        <v>4073.54</v>
      </c>
      <c r="AC755" s="22">
        <f t="shared" si="150"/>
        <v>910.03</v>
      </c>
      <c r="AD755" s="22">
        <f t="shared" si="152"/>
        <v>4983.57</v>
      </c>
      <c r="AE755" s="22">
        <f t="shared" si="153"/>
        <v>341246.55000000005</v>
      </c>
      <c r="AF755" s="19" t="str">
        <f>VLOOKUP(C755,'2021-22 School Level AAFTE'!C:N,12,FALSE)</f>
        <v>No</v>
      </c>
    </row>
    <row r="756" spans="1:32" s="19" customFormat="1">
      <c r="A756" s="97" t="s">
        <v>2352</v>
      </c>
      <c r="B756" s="97" t="s">
        <v>702</v>
      </c>
      <c r="C756" s="95">
        <v>3163</v>
      </c>
      <c r="D756" s="95" t="s">
        <v>231</v>
      </c>
      <c r="E756" s="129">
        <f>VLOOKUP($C756,'2021-22 School Level AAFTE'!$C:$Z,11,FALSE)</f>
        <v>0.8323666666666667</v>
      </c>
      <c r="F756" s="129" t="str">
        <f>VLOOKUP($C756,'2021-22 School Level AAFTE'!$C:$Z,8,FALSE)</f>
        <v>Yes</v>
      </c>
      <c r="G756" s="129" t="str">
        <f>VLOOKUP($C756,'2021-22 School Level AAFTE'!$C:$Z,12,FALSE)</f>
        <v>No</v>
      </c>
      <c r="H756" s="127">
        <f>VLOOKUP($C756,'2021-22 School Level AAFTE'!$C:$I,7,FALSE)</f>
        <v>683.97</v>
      </c>
      <c r="I756" s="112">
        <f>IFERROR(IF(OR(G756="yes",F756= "yes"),VLOOKUP(C756,Summary!$B:$J,6,0),0),0)</f>
        <v>0</v>
      </c>
      <c r="J756" s="111">
        <f t="shared" si="144"/>
        <v>683.97</v>
      </c>
      <c r="K756" s="91">
        <f>VLOOKUP($A756,'2022-23 Salary &amp; Benefits'!$A:$I,3,FALSE)</f>
        <v>1.18</v>
      </c>
      <c r="L756" s="91">
        <f>VLOOKUP($A756,'2022-23 Salary &amp; Benefits'!$A:$I,4,FALSE)</f>
        <v>1.18</v>
      </c>
      <c r="M756" s="101">
        <f t="shared" si="151"/>
        <v>683.97</v>
      </c>
      <c r="N756" s="24">
        <v>15</v>
      </c>
      <c r="O756" s="26">
        <f t="shared" si="142"/>
        <v>45.597999999999999</v>
      </c>
      <c r="P756" s="24">
        <v>1.1000000000000001</v>
      </c>
      <c r="Q756" s="24">
        <v>36</v>
      </c>
      <c r="R756" s="27">
        <f t="shared" si="143"/>
        <v>1805.6808000000001</v>
      </c>
      <c r="S756" s="102">
        <f t="shared" si="145"/>
        <v>2.0059999999999998</v>
      </c>
      <c r="T756" s="21">
        <f>VLOOKUP($A756,'2022-23 Salary &amp; Benefits'!$A:$I,5,FALSE)</f>
        <v>68937</v>
      </c>
      <c r="U756" s="21">
        <f>VLOOKUP($A756,'2022-23 Salary &amp; Benefits'!$A:$I,6,FALSE)</f>
        <v>72728</v>
      </c>
      <c r="V756" s="22">
        <f t="shared" si="146"/>
        <v>163179.39000000001</v>
      </c>
      <c r="W756" s="22">
        <f t="shared" si="147"/>
        <v>8973.5999999999767</v>
      </c>
      <c r="X756" s="22">
        <f>'2022-23 Salary &amp; Benefits'!$G$6</f>
        <v>12558.24</v>
      </c>
      <c r="Y756" s="23">
        <f>'2022-23 Salary &amp; Benefits'!$H$6</f>
        <v>0.2298</v>
      </c>
      <c r="Z756" s="23">
        <f>'2022-23 Salary &amp; Benefits'!$I$6</f>
        <v>0.22339999999999999</v>
      </c>
      <c r="AA756" s="22">
        <f t="shared" si="148"/>
        <v>64695.16</v>
      </c>
      <c r="AB756" s="22">
        <f t="shared" si="149"/>
        <v>2869.22</v>
      </c>
      <c r="AC756" s="22">
        <f t="shared" si="150"/>
        <v>640.98</v>
      </c>
      <c r="AD756" s="22">
        <f t="shared" si="152"/>
        <v>3510.2</v>
      </c>
      <c r="AE756" s="22">
        <f t="shared" si="153"/>
        <v>240358.35</v>
      </c>
      <c r="AF756" s="19" t="str">
        <f>VLOOKUP(C756,'2021-22 School Level AAFTE'!C:N,12,FALSE)</f>
        <v>No</v>
      </c>
    </row>
    <row r="757" spans="1:32" s="19" customFormat="1">
      <c r="A757" s="97" t="s">
        <v>2352</v>
      </c>
      <c r="B757" s="97" t="s">
        <v>702</v>
      </c>
      <c r="C757" s="95">
        <v>3165</v>
      </c>
      <c r="D757" s="95" t="s">
        <v>720</v>
      </c>
      <c r="E757" s="129">
        <f>VLOOKUP($C757,'2021-22 School Level AAFTE'!$C:$Z,11,FALSE)</f>
        <v>0.77776666666666661</v>
      </c>
      <c r="F757" s="129" t="str">
        <f>VLOOKUP($C757,'2021-22 School Level AAFTE'!$C:$Z,8,FALSE)</f>
        <v>Yes</v>
      </c>
      <c r="G757" s="129" t="str">
        <f>VLOOKUP($C757,'2021-22 School Level AAFTE'!$C:$Z,12,FALSE)</f>
        <v>No</v>
      </c>
      <c r="H757" s="127">
        <f>VLOOKUP($C757,'2021-22 School Level AAFTE'!$C:$I,7,FALSE)</f>
        <v>436.43</v>
      </c>
      <c r="I757" s="112">
        <f>IFERROR(IF(OR(G757="yes",F757= "yes"),VLOOKUP(C757,Summary!$B:$J,6,0),0),0)</f>
        <v>0</v>
      </c>
      <c r="J757" s="111">
        <f t="shared" si="144"/>
        <v>436.43</v>
      </c>
      <c r="K757" s="91">
        <f>VLOOKUP($A757,'2022-23 Salary &amp; Benefits'!$A:$I,3,FALSE)</f>
        <v>1.18</v>
      </c>
      <c r="L757" s="91">
        <f>VLOOKUP($A757,'2022-23 Salary &amp; Benefits'!$A:$I,4,FALSE)</f>
        <v>1.18</v>
      </c>
      <c r="M757" s="39">
        <f t="shared" si="151"/>
        <v>436.43</v>
      </c>
      <c r="N757" s="24">
        <v>15</v>
      </c>
      <c r="O757" s="26">
        <f t="shared" si="142"/>
        <v>29.095333333333333</v>
      </c>
      <c r="P757" s="24">
        <v>1.1000000000000001</v>
      </c>
      <c r="Q757" s="24">
        <v>36</v>
      </c>
      <c r="R757" s="27">
        <f t="shared" si="143"/>
        <v>1152.1752000000001</v>
      </c>
      <c r="S757" s="102">
        <f t="shared" si="145"/>
        <v>1.28</v>
      </c>
      <c r="T757" s="21">
        <f>VLOOKUP($A757,'2022-23 Salary &amp; Benefits'!$A:$I,5,FALSE)</f>
        <v>68937</v>
      </c>
      <c r="U757" s="21">
        <f>VLOOKUP($A757,'2022-23 Salary &amp; Benefits'!$A:$I,6,FALSE)</f>
        <v>72728</v>
      </c>
      <c r="V757" s="22">
        <f t="shared" si="146"/>
        <v>104122.44</v>
      </c>
      <c r="W757" s="22">
        <f t="shared" si="147"/>
        <v>5725.929999999993</v>
      </c>
      <c r="X757" s="22">
        <f>'2022-23 Salary &amp; Benefits'!$G$6</f>
        <v>12558.24</v>
      </c>
      <c r="Y757" s="23">
        <f>'2022-23 Salary &amp; Benefits'!$H$6</f>
        <v>0.2298</v>
      </c>
      <c r="Z757" s="23">
        <f>'2022-23 Salary &amp; Benefits'!$I$6</f>
        <v>0.22339999999999999</v>
      </c>
      <c r="AA757" s="22">
        <f t="shared" si="148"/>
        <v>41281.06</v>
      </c>
      <c r="AB757" s="22">
        <f t="shared" si="149"/>
        <v>1830.81</v>
      </c>
      <c r="AC757" s="22">
        <f t="shared" si="150"/>
        <v>409</v>
      </c>
      <c r="AD757" s="22">
        <f t="shared" si="152"/>
        <v>2239.81</v>
      </c>
      <c r="AE757" s="22">
        <f t="shared" si="153"/>
        <v>153369.24</v>
      </c>
      <c r="AF757" s="19" t="str">
        <f>VLOOKUP(C757,'2021-22 School Level AAFTE'!C:N,12,FALSE)</f>
        <v>No</v>
      </c>
    </row>
    <row r="758" spans="1:32" s="19" customFormat="1">
      <c r="A758" s="97" t="s">
        <v>2352</v>
      </c>
      <c r="B758" s="97" t="s">
        <v>702</v>
      </c>
      <c r="C758" s="95">
        <v>3278</v>
      </c>
      <c r="D758" s="95" t="s">
        <v>721</v>
      </c>
      <c r="E758" s="129">
        <f>VLOOKUP($C758,'2021-22 School Level AAFTE'!$C:$Z,11,FALSE)</f>
        <v>0.79483333333333339</v>
      </c>
      <c r="F758" s="129" t="str">
        <f>VLOOKUP($C758,'2021-22 School Level AAFTE'!$C:$Z,8,FALSE)</f>
        <v>Yes</v>
      </c>
      <c r="G758" s="129" t="str">
        <f>VLOOKUP($C758,'2021-22 School Level AAFTE'!$C:$Z,12,FALSE)</f>
        <v>No</v>
      </c>
      <c r="H758" s="127">
        <f>VLOOKUP($C758,'2021-22 School Level AAFTE'!$C:$I,7,FALSE)</f>
        <v>370.38</v>
      </c>
      <c r="I758" s="112">
        <f>IFERROR(IF(OR(G758="yes",F758= "yes"),VLOOKUP(C758,Summary!$B:$J,6,0),0),0)</f>
        <v>0</v>
      </c>
      <c r="J758" s="111">
        <f t="shared" si="144"/>
        <v>370.38</v>
      </c>
      <c r="K758" s="91">
        <f>VLOOKUP($A758,'2022-23 Salary &amp; Benefits'!$A:$I,3,FALSE)</f>
        <v>1.18</v>
      </c>
      <c r="L758" s="91">
        <f>VLOOKUP($A758,'2022-23 Salary &amp; Benefits'!$A:$I,4,FALSE)</f>
        <v>1.18</v>
      </c>
      <c r="M758" s="39">
        <f t="shared" si="151"/>
        <v>370.38</v>
      </c>
      <c r="N758" s="24">
        <v>15</v>
      </c>
      <c r="O758" s="26">
        <f t="shared" si="142"/>
        <v>24.692</v>
      </c>
      <c r="P758" s="24">
        <v>1.1000000000000001</v>
      </c>
      <c r="Q758" s="24">
        <v>36</v>
      </c>
      <c r="R758" s="27">
        <f t="shared" si="143"/>
        <v>977.80320000000006</v>
      </c>
      <c r="S758" s="102">
        <f t="shared" si="145"/>
        <v>1.0860000000000001</v>
      </c>
      <c r="T758" s="21">
        <f>VLOOKUP($A758,'2022-23 Salary &amp; Benefits'!$A:$I,5,FALSE)</f>
        <v>68937</v>
      </c>
      <c r="U758" s="21">
        <f>VLOOKUP($A758,'2022-23 Salary &amp; Benefits'!$A:$I,6,FALSE)</f>
        <v>72728</v>
      </c>
      <c r="V758" s="22">
        <f t="shared" si="146"/>
        <v>88341.39</v>
      </c>
      <c r="W758" s="22">
        <f t="shared" si="147"/>
        <v>4858.0899999999965</v>
      </c>
      <c r="X758" s="22">
        <f>'2022-23 Salary &amp; Benefits'!$G$6</f>
        <v>12558.24</v>
      </c>
      <c r="Y758" s="23">
        <f>'2022-23 Salary &amp; Benefits'!$H$6</f>
        <v>0.2298</v>
      </c>
      <c r="Z758" s="23">
        <f>'2022-23 Salary &amp; Benefits'!$I$6</f>
        <v>0.22339999999999999</v>
      </c>
      <c r="AA758" s="22">
        <f t="shared" si="148"/>
        <v>35024.400000000001</v>
      </c>
      <c r="AB758" s="22">
        <f t="shared" si="149"/>
        <v>1553.32</v>
      </c>
      <c r="AC758" s="22">
        <f t="shared" si="150"/>
        <v>347.01</v>
      </c>
      <c r="AD758" s="22">
        <f t="shared" si="152"/>
        <v>1900.33</v>
      </c>
      <c r="AE758" s="22">
        <f t="shared" si="153"/>
        <v>130124.21</v>
      </c>
      <c r="AF758" s="19" t="str">
        <f>VLOOKUP(C758,'2021-22 School Level AAFTE'!C:N,12,FALSE)</f>
        <v>No</v>
      </c>
    </row>
    <row r="759" spans="1:32" s="19" customFormat="1">
      <c r="A759" s="97" t="s">
        <v>2352</v>
      </c>
      <c r="B759" s="97" t="s">
        <v>702</v>
      </c>
      <c r="C759" s="95">
        <v>3279</v>
      </c>
      <c r="D759" s="95" t="s">
        <v>722</v>
      </c>
      <c r="E759" s="129">
        <f>VLOOKUP($C759,'2021-22 School Level AAFTE'!$C:$Z,11,FALSE)</f>
        <v>0.59030000000000005</v>
      </c>
      <c r="F759" s="129" t="str">
        <f>VLOOKUP($C759,'2021-22 School Level AAFTE'!$C:$Z,8,FALSE)</f>
        <v>Yes</v>
      </c>
      <c r="G759" s="129" t="str">
        <f>VLOOKUP($C759,'2021-22 School Level AAFTE'!$C:$Z,12,FALSE)</f>
        <v>No</v>
      </c>
      <c r="H759" s="127">
        <f>VLOOKUP($C759,'2021-22 School Level AAFTE'!$C:$I,7,FALSE)</f>
        <v>1602.04</v>
      </c>
      <c r="I759" s="112">
        <f>IFERROR(IF(OR(G759="yes",F759= "yes"),VLOOKUP(C759,Summary!$B:$J,6,0),0),0)</f>
        <v>0</v>
      </c>
      <c r="J759" s="111">
        <f t="shared" si="144"/>
        <v>1602.04</v>
      </c>
      <c r="K759" s="91">
        <f>VLOOKUP($A759,'2022-23 Salary &amp; Benefits'!$A:$I,3,FALSE)</f>
        <v>1.18</v>
      </c>
      <c r="L759" s="91">
        <f>VLOOKUP($A759,'2022-23 Salary &amp; Benefits'!$A:$I,4,FALSE)</f>
        <v>1.18</v>
      </c>
      <c r="M759" s="39">
        <f t="shared" si="151"/>
        <v>1602.04</v>
      </c>
      <c r="N759" s="24">
        <v>15</v>
      </c>
      <c r="O759" s="26">
        <f t="shared" si="142"/>
        <v>106.80266666666667</v>
      </c>
      <c r="P759" s="24">
        <v>1.1000000000000001</v>
      </c>
      <c r="Q759" s="24">
        <v>36</v>
      </c>
      <c r="R759" s="27">
        <f t="shared" si="143"/>
        <v>4229.3856000000005</v>
      </c>
      <c r="S759" s="102">
        <f t="shared" si="145"/>
        <v>4.6989999999999998</v>
      </c>
      <c r="T759" s="21">
        <f>VLOOKUP($A759,'2022-23 Salary &amp; Benefits'!$A:$I,5,FALSE)</f>
        <v>68937</v>
      </c>
      <c r="U759" s="21">
        <f>VLOOKUP($A759,'2022-23 Salary &amp; Benefits'!$A:$I,6,FALSE)</f>
        <v>72728</v>
      </c>
      <c r="V759" s="22">
        <f t="shared" si="146"/>
        <v>382243.26</v>
      </c>
      <c r="W759" s="22">
        <f t="shared" si="147"/>
        <v>21020.409999999974</v>
      </c>
      <c r="X759" s="22">
        <f>'2022-23 Salary &amp; Benefits'!$G$6</f>
        <v>12558.24</v>
      </c>
      <c r="Y759" s="23">
        <f>'2022-23 Salary &amp; Benefits'!$H$6</f>
        <v>0.2298</v>
      </c>
      <c r="Z759" s="23">
        <f>'2022-23 Salary &amp; Benefits'!$I$6</f>
        <v>0.22339999999999999</v>
      </c>
      <c r="AA759" s="22">
        <f t="shared" si="148"/>
        <v>151546.63</v>
      </c>
      <c r="AB759" s="22">
        <f t="shared" si="149"/>
        <v>6721.06</v>
      </c>
      <c r="AC759" s="22">
        <f t="shared" si="150"/>
        <v>1501.48</v>
      </c>
      <c r="AD759" s="22">
        <f t="shared" si="152"/>
        <v>8222.5400000000009</v>
      </c>
      <c r="AE759" s="22">
        <f t="shared" si="153"/>
        <v>563032.84000000008</v>
      </c>
      <c r="AF759" s="19" t="str">
        <f>VLOOKUP(C759,'2021-22 School Level AAFTE'!C:N,12,FALSE)</f>
        <v>No</v>
      </c>
    </row>
    <row r="760" spans="1:32" s="19" customFormat="1">
      <c r="A760" s="97" t="s">
        <v>2352</v>
      </c>
      <c r="B760" s="97" t="s">
        <v>702</v>
      </c>
      <c r="C760" s="95">
        <v>3333</v>
      </c>
      <c r="D760" s="95" t="s">
        <v>241</v>
      </c>
      <c r="E760" s="129">
        <f>VLOOKUP($C760,'2021-22 School Level AAFTE'!$C:$Z,11,FALSE)</f>
        <v>0.74923333333333331</v>
      </c>
      <c r="F760" s="129" t="str">
        <f>VLOOKUP($C760,'2021-22 School Level AAFTE'!$C:$Z,8,FALSE)</f>
        <v>Yes</v>
      </c>
      <c r="G760" s="129" t="str">
        <f>VLOOKUP($C760,'2021-22 School Level AAFTE'!$C:$Z,12,FALSE)</f>
        <v>No</v>
      </c>
      <c r="H760" s="127">
        <f>VLOOKUP($C760,'2021-22 School Level AAFTE'!$C:$I,7,FALSE)</f>
        <v>651.51</v>
      </c>
      <c r="I760" s="112">
        <f>IFERROR(IF(OR(G760="yes",F760= "yes"),VLOOKUP(C760,Summary!$B:$J,6,0),0),0)</f>
        <v>0</v>
      </c>
      <c r="J760" s="111">
        <f t="shared" si="144"/>
        <v>651.51</v>
      </c>
      <c r="K760" s="91">
        <f>VLOOKUP($A760,'2022-23 Salary &amp; Benefits'!$A:$I,3,FALSE)</f>
        <v>1.18</v>
      </c>
      <c r="L760" s="91">
        <f>VLOOKUP($A760,'2022-23 Salary &amp; Benefits'!$A:$I,4,FALSE)</f>
        <v>1.18</v>
      </c>
      <c r="M760" s="39">
        <f t="shared" si="151"/>
        <v>651.51</v>
      </c>
      <c r="N760" s="24">
        <v>15</v>
      </c>
      <c r="O760" s="26">
        <f t="shared" si="142"/>
        <v>43.433999999999997</v>
      </c>
      <c r="P760" s="24">
        <v>1.1000000000000001</v>
      </c>
      <c r="Q760" s="24">
        <v>36</v>
      </c>
      <c r="R760" s="27">
        <f t="shared" si="143"/>
        <v>1719.9864</v>
      </c>
      <c r="S760" s="102">
        <f t="shared" si="145"/>
        <v>1.911</v>
      </c>
      <c r="T760" s="21">
        <f>VLOOKUP($A760,'2022-23 Salary &amp; Benefits'!$A:$I,5,FALSE)</f>
        <v>68937</v>
      </c>
      <c r="U760" s="21">
        <f>VLOOKUP($A760,'2022-23 Salary &amp; Benefits'!$A:$I,6,FALSE)</f>
        <v>72728</v>
      </c>
      <c r="V760" s="22">
        <f t="shared" si="146"/>
        <v>155451.56</v>
      </c>
      <c r="W760" s="22">
        <f t="shared" si="147"/>
        <v>8548.6300000000047</v>
      </c>
      <c r="X760" s="22">
        <f>'2022-23 Salary &amp; Benefits'!$G$6</f>
        <v>12558.24</v>
      </c>
      <c r="Y760" s="23">
        <f>'2022-23 Salary &amp; Benefits'!$H$6</f>
        <v>0.2298</v>
      </c>
      <c r="Z760" s="23">
        <f>'2022-23 Salary &amp; Benefits'!$I$6</f>
        <v>0.22339999999999999</v>
      </c>
      <c r="AA760" s="22">
        <f t="shared" si="148"/>
        <v>61631.33</v>
      </c>
      <c r="AB760" s="22">
        <f t="shared" si="149"/>
        <v>2733.34</v>
      </c>
      <c r="AC760" s="22">
        <f t="shared" si="150"/>
        <v>610.63</v>
      </c>
      <c r="AD760" s="22">
        <f t="shared" si="152"/>
        <v>3343.9700000000003</v>
      </c>
      <c r="AE760" s="22">
        <f t="shared" si="153"/>
        <v>228975.49000000002</v>
      </c>
      <c r="AF760" s="19" t="str">
        <f>VLOOKUP(C760,'2021-22 School Level AAFTE'!C:N,12,FALSE)</f>
        <v>No</v>
      </c>
    </row>
    <row r="761" spans="1:32" s="19" customFormat="1">
      <c r="A761" s="97" t="s">
        <v>2352</v>
      </c>
      <c r="B761" s="97" t="s">
        <v>702</v>
      </c>
      <c r="C761" s="95">
        <v>3335</v>
      </c>
      <c r="D761" s="95" t="s">
        <v>723</v>
      </c>
      <c r="E761" s="129">
        <f>VLOOKUP($C761,'2021-22 School Level AAFTE'!$C:$Z,11,FALSE)</f>
        <v>0.74656666666666671</v>
      </c>
      <c r="F761" s="129" t="str">
        <f>VLOOKUP($C761,'2021-22 School Level AAFTE'!$C:$Z,8,FALSE)</f>
        <v>Yes</v>
      </c>
      <c r="G761" s="129" t="str">
        <f>VLOOKUP($C761,'2021-22 School Level AAFTE'!$C:$Z,12,FALSE)</f>
        <v>No</v>
      </c>
      <c r="H761" s="127">
        <f>VLOOKUP($C761,'2021-22 School Level AAFTE'!$C:$I,7,FALSE)</f>
        <v>422.23</v>
      </c>
      <c r="I761" s="112">
        <f>IFERROR(IF(OR(G761="yes",F761= "yes"),VLOOKUP(C761,Summary!$B:$J,6,0),0),0)</f>
        <v>0</v>
      </c>
      <c r="J761" s="111">
        <f t="shared" si="144"/>
        <v>422.23</v>
      </c>
      <c r="K761" s="91">
        <f>VLOOKUP($A761,'2022-23 Salary &amp; Benefits'!$A:$I,3,FALSE)</f>
        <v>1.18</v>
      </c>
      <c r="L761" s="91">
        <f>VLOOKUP($A761,'2022-23 Salary &amp; Benefits'!$A:$I,4,FALSE)</f>
        <v>1.18</v>
      </c>
      <c r="M761" s="39">
        <f t="shared" si="151"/>
        <v>422.23</v>
      </c>
      <c r="N761" s="24">
        <v>15</v>
      </c>
      <c r="O761" s="26">
        <f t="shared" si="142"/>
        <v>28.148666666666667</v>
      </c>
      <c r="P761" s="24">
        <v>1.1000000000000001</v>
      </c>
      <c r="Q761" s="24">
        <v>36</v>
      </c>
      <c r="R761" s="27">
        <f t="shared" si="143"/>
        <v>1114.6872000000001</v>
      </c>
      <c r="S761" s="102">
        <f t="shared" si="145"/>
        <v>1.2390000000000001</v>
      </c>
      <c r="T761" s="21">
        <f>VLOOKUP($A761,'2022-23 Salary &amp; Benefits'!$A:$I,5,FALSE)</f>
        <v>68937</v>
      </c>
      <c r="U761" s="21">
        <f>VLOOKUP($A761,'2022-23 Salary &amp; Benefits'!$A:$I,6,FALSE)</f>
        <v>72728</v>
      </c>
      <c r="V761" s="22">
        <f t="shared" si="146"/>
        <v>100787.27</v>
      </c>
      <c r="W761" s="22">
        <f t="shared" si="147"/>
        <v>5542.5199999999895</v>
      </c>
      <c r="X761" s="22">
        <f>'2022-23 Salary &amp; Benefits'!$G$6</f>
        <v>12558.24</v>
      </c>
      <c r="Y761" s="23">
        <f>'2022-23 Salary &amp; Benefits'!$H$6</f>
        <v>0.2298</v>
      </c>
      <c r="Z761" s="23">
        <f>'2022-23 Salary &amp; Benefits'!$I$6</f>
        <v>0.22339999999999999</v>
      </c>
      <c r="AA761" s="22">
        <f t="shared" si="148"/>
        <v>39958.769999999997</v>
      </c>
      <c r="AB761" s="22">
        <f t="shared" si="149"/>
        <v>1772.16</v>
      </c>
      <c r="AC761" s="22">
        <f t="shared" si="150"/>
        <v>395.9</v>
      </c>
      <c r="AD761" s="22">
        <f t="shared" si="152"/>
        <v>2168.06</v>
      </c>
      <c r="AE761" s="22">
        <f t="shared" si="153"/>
        <v>148456.62</v>
      </c>
      <c r="AF761" s="19" t="str">
        <f>VLOOKUP(C761,'2021-22 School Level AAFTE'!C:N,12,FALSE)</f>
        <v>No</v>
      </c>
    </row>
    <row r="762" spans="1:32" s="19" customFormat="1">
      <c r="A762" s="97" t="s">
        <v>2352</v>
      </c>
      <c r="B762" s="97" t="s">
        <v>702</v>
      </c>
      <c r="C762" s="95">
        <v>3382</v>
      </c>
      <c r="D762" s="95" t="s">
        <v>724</v>
      </c>
      <c r="E762" s="129">
        <f>VLOOKUP($C762,'2021-22 School Level AAFTE'!$C:$Z,11,FALSE)</f>
        <v>0.70739999999999992</v>
      </c>
      <c r="F762" s="129" t="str">
        <f>VLOOKUP($C762,'2021-22 School Level AAFTE'!$C:$Z,8,FALSE)</f>
        <v>Yes</v>
      </c>
      <c r="G762" s="129" t="str">
        <f>VLOOKUP($C762,'2021-22 School Level AAFTE'!$C:$Z,12,FALSE)</f>
        <v>No</v>
      </c>
      <c r="H762" s="127">
        <f>VLOOKUP($C762,'2021-22 School Level AAFTE'!$C:$I,7,FALSE)</f>
        <v>319</v>
      </c>
      <c r="I762" s="112">
        <f>IFERROR(IF(OR(G762="yes",F762= "yes"),VLOOKUP(C762,Summary!$B:$J,6,0),0),0)</f>
        <v>0</v>
      </c>
      <c r="J762" s="111">
        <f t="shared" si="144"/>
        <v>319</v>
      </c>
      <c r="K762" s="91">
        <f>VLOOKUP($A762,'2022-23 Salary &amp; Benefits'!$A:$I,3,FALSE)</f>
        <v>1.18</v>
      </c>
      <c r="L762" s="91">
        <f>VLOOKUP($A762,'2022-23 Salary &amp; Benefits'!$A:$I,4,FALSE)</f>
        <v>1.18</v>
      </c>
      <c r="M762" s="39">
        <f t="shared" si="151"/>
        <v>319</v>
      </c>
      <c r="N762" s="24">
        <v>15</v>
      </c>
      <c r="O762" s="26">
        <f t="shared" si="142"/>
        <v>21.266666666666666</v>
      </c>
      <c r="P762" s="24">
        <v>1.1000000000000001</v>
      </c>
      <c r="Q762" s="24">
        <v>36</v>
      </c>
      <c r="R762" s="27">
        <f t="shared" si="143"/>
        <v>842.16000000000008</v>
      </c>
      <c r="S762" s="102">
        <f t="shared" si="145"/>
        <v>0.93600000000000005</v>
      </c>
      <c r="T762" s="21">
        <f>VLOOKUP($A762,'2022-23 Salary &amp; Benefits'!$A:$I,5,FALSE)</f>
        <v>68937</v>
      </c>
      <c r="U762" s="21">
        <f>VLOOKUP($A762,'2022-23 Salary &amp; Benefits'!$A:$I,6,FALSE)</f>
        <v>72728</v>
      </c>
      <c r="V762" s="22">
        <f t="shared" si="146"/>
        <v>76139.539999999994</v>
      </c>
      <c r="W762" s="22">
        <f t="shared" si="147"/>
        <v>4187.0800000000017</v>
      </c>
      <c r="X762" s="22">
        <f>'2022-23 Salary &amp; Benefits'!$G$6</f>
        <v>12558.24</v>
      </c>
      <c r="Y762" s="23">
        <f>'2022-23 Salary &amp; Benefits'!$H$6</f>
        <v>0.2298</v>
      </c>
      <c r="Z762" s="23">
        <f>'2022-23 Salary &amp; Benefits'!$I$6</f>
        <v>0.22339999999999999</v>
      </c>
      <c r="AA762" s="22">
        <f t="shared" si="148"/>
        <v>30186.77</v>
      </c>
      <c r="AB762" s="22">
        <f t="shared" si="149"/>
        <v>1338.78</v>
      </c>
      <c r="AC762" s="22">
        <f t="shared" si="150"/>
        <v>299.08</v>
      </c>
      <c r="AD762" s="22">
        <f t="shared" si="152"/>
        <v>1637.86</v>
      </c>
      <c r="AE762" s="22">
        <f t="shared" si="153"/>
        <v>112151.25</v>
      </c>
      <c r="AF762" s="19" t="str">
        <f>VLOOKUP(C762,'2021-22 School Level AAFTE'!C:N,12,FALSE)</f>
        <v>No</v>
      </c>
    </row>
    <row r="763" spans="1:32" s="19" customFormat="1">
      <c r="A763" s="97" t="s">
        <v>2352</v>
      </c>
      <c r="B763" s="97" t="s">
        <v>702</v>
      </c>
      <c r="C763" s="95">
        <v>3483</v>
      </c>
      <c r="D763" s="95" t="s">
        <v>2721</v>
      </c>
      <c r="E763" s="129">
        <f>VLOOKUP($C763,'2021-22 School Level AAFTE'!$C:$Z,11,FALSE)</f>
        <v>0.81519999999999992</v>
      </c>
      <c r="F763" s="129" t="str">
        <f>VLOOKUP($C763,'2021-22 School Level AAFTE'!$C:$Z,8,FALSE)</f>
        <v>Yes</v>
      </c>
      <c r="G763" s="129" t="str">
        <f>VLOOKUP($C763,'2021-22 School Level AAFTE'!$C:$Z,12,FALSE)</f>
        <v>No</v>
      </c>
      <c r="H763" s="127">
        <f>VLOOKUP($C763,'2021-22 School Level AAFTE'!$C:$I,7,FALSE)</f>
        <v>646.19000000000005</v>
      </c>
      <c r="I763" s="112">
        <f>IFERROR(IF(OR(G763="yes",F763= "yes"),VLOOKUP(C763,Summary!$B:$J,6,0),0),0)</f>
        <v>0</v>
      </c>
      <c r="J763" s="111">
        <f t="shared" si="144"/>
        <v>646.19000000000005</v>
      </c>
      <c r="K763" s="91">
        <f>VLOOKUP($A763,'2022-23 Salary &amp; Benefits'!$A:$I,3,FALSE)</f>
        <v>1.18</v>
      </c>
      <c r="L763" s="91">
        <f>VLOOKUP($A763,'2022-23 Salary &amp; Benefits'!$A:$I,4,FALSE)</f>
        <v>1.18</v>
      </c>
      <c r="M763" s="39">
        <f t="shared" si="151"/>
        <v>646.19000000000005</v>
      </c>
      <c r="N763" s="24">
        <v>15</v>
      </c>
      <c r="O763" s="26">
        <f t="shared" si="142"/>
        <v>43.079333333333338</v>
      </c>
      <c r="P763" s="24">
        <v>1.1000000000000001</v>
      </c>
      <c r="Q763" s="24">
        <v>36</v>
      </c>
      <c r="R763" s="27">
        <f t="shared" si="143"/>
        <v>1705.9416000000003</v>
      </c>
      <c r="S763" s="102">
        <f t="shared" si="145"/>
        <v>1.895</v>
      </c>
      <c r="T763" s="21">
        <f>VLOOKUP($A763,'2022-23 Salary &amp; Benefits'!$A:$I,5,FALSE)</f>
        <v>68937</v>
      </c>
      <c r="U763" s="21">
        <f>VLOOKUP($A763,'2022-23 Salary &amp; Benefits'!$A:$I,6,FALSE)</f>
        <v>72728</v>
      </c>
      <c r="V763" s="22">
        <f t="shared" si="146"/>
        <v>154150.03</v>
      </c>
      <c r="W763" s="22">
        <f t="shared" si="147"/>
        <v>8477.0499999999884</v>
      </c>
      <c r="X763" s="22">
        <f>'2022-23 Salary &amp; Benefits'!$G$6</f>
        <v>12558.24</v>
      </c>
      <c r="Y763" s="23">
        <f>'2022-23 Salary &amp; Benefits'!$H$6</f>
        <v>0.2298</v>
      </c>
      <c r="Z763" s="23">
        <f>'2022-23 Salary &amp; Benefits'!$I$6</f>
        <v>0.22339999999999999</v>
      </c>
      <c r="AA763" s="22">
        <f t="shared" si="148"/>
        <v>61115.31</v>
      </c>
      <c r="AB763" s="22">
        <f t="shared" si="149"/>
        <v>2710.45</v>
      </c>
      <c r="AC763" s="22">
        <f t="shared" si="150"/>
        <v>605.51</v>
      </c>
      <c r="AD763" s="22">
        <f t="shared" si="152"/>
        <v>3315.96</v>
      </c>
      <c r="AE763" s="22">
        <f t="shared" si="153"/>
        <v>227058.34999999998</v>
      </c>
      <c r="AF763" s="19" t="str">
        <f>VLOOKUP(C763,'2021-22 School Level AAFTE'!C:N,12,FALSE)</f>
        <v>No</v>
      </c>
    </row>
    <row r="764" spans="1:32" s="19" customFormat="1">
      <c r="A764" s="97" t="s">
        <v>2352</v>
      </c>
      <c r="B764" s="97" t="s">
        <v>702</v>
      </c>
      <c r="C764" s="95">
        <v>3553</v>
      </c>
      <c r="D764" s="95" t="s">
        <v>725</v>
      </c>
      <c r="E764" s="129">
        <f>VLOOKUP($C764,'2021-22 School Level AAFTE'!$C:$Z,11,FALSE)</f>
        <v>0.29199999999999998</v>
      </c>
      <c r="F764" s="129" t="str">
        <f>VLOOKUP($C764,'2021-22 School Level AAFTE'!$C:$Z,8,FALSE)</f>
        <v>No</v>
      </c>
      <c r="G764" s="129" t="str">
        <f>VLOOKUP($C764,'2021-22 School Level AAFTE'!$C:$Z,12,FALSE)</f>
        <v>No</v>
      </c>
      <c r="H764" s="127">
        <f>VLOOKUP($C764,'2021-22 School Level AAFTE'!$C:$I,7,FALSE)</f>
        <v>402.17</v>
      </c>
      <c r="I764" s="112">
        <f>IFERROR(IF(OR(G764="yes",F764= "yes"),VLOOKUP(C764,Summary!$B:$J,6,0),0),0)</f>
        <v>0</v>
      </c>
      <c r="J764" s="111">
        <f t="shared" si="144"/>
        <v>0</v>
      </c>
      <c r="K764" s="91">
        <f>VLOOKUP($A764,'2022-23 Salary &amp; Benefits'!$A:$I,3,FALSE)</f>
        <v>1.18</v>
      </c>
      <c r="L764" s="91">
        <f>VLOOKUP($A764,'2022-23 Salary &amp; Benefits'!$A:$I,4,FALSE)</f>
        <v>1.18</v>
      </c>
      <c r="M764" s="39">
        <f t="shared" si="151"/>
        <v>0</v>
      </c>
      <c r="N764" s="24">
        <v>15</v>
      </c>
      <c r="O764" s="26">
        <f t="shared" si="142"/>
        <v>0</v>
      </c>
      <c r="P764" s="24">
        <v>1.1000000000000001</v>
      </c>
      <c r="Q764" s="24">
        <v>36</v>
      </c>
      <c r="R764" s="27">
        <f t="shared" si="143"/>
        <v>0</v>
      </c>
      <c r="S764" s="102">
        <f t="shared" si="145"/>
        <v>0</v>
      </c>
      <c r="T764" s="21">
        <f>VLOOKUP($A764,'2022-23 Salary &amp; Benefits'!$A:$I,5,FALSE)</f>
        <v>68937</v>
      </c>
      <c r="U764" s="21">
        <f>VLOOKUP($A764,'2022-23 Salary &amp; Benefits'!$A:$I,6,FALSE)</f>
        <v>72728</v>
      </c>
      <c r="V764" s="22">
        <f t="shared" si="146"/>
        <v>0</v>
      </c>
      <c r="W764" s="22">
        <f t="shared" si="147"/>
        <v>0</v>
      </c>
      <c r="X764" s="22">
        <f>'2022-23 Salary &amp; Benefits'!$G$6</f>
        <v>12558.24</v>
      </c>
      <c r="Y764" s="23">
        <f>'2022-23 Salary &amp; Benefits'!$H$6</f>
        <v>0.2298</v>
      </c>
      <c r="Z764" s="23">
        <f>'2022-23 Salary &amp; Benefits'!$I$6</f>
        <v>0.22339999999999999</v>
      </c>
      <c r="AA764" s="22">
        <f t="shared" si="148"/>
        <v>0</v>
      </c>
      <c r="AB764" s="22">
        <f t="shared" si="149"/>
        <v>0</v>
      </c>
      <c r="AC764" s="22">
        <f t="shared" si="150"/>
        <v>0</v>
      </c>
      <c r="AD764" s="22">
        <f t="shared" si="152"/>
        <v>0</v>
      </c>
      <c r="AE764" s="22">
        <f t="shared" si="153"/>
        <v>0</v>
      </c>
      <c r="AF764" s="19" t="str">
        <f>VLOOKUP(C764,'2021-22 School Level AAFTE'!C:N,12,FALSE)</f>
        <v>No</v>
      </c>
    </row>
    <row r="765" spans="1:32" s="19" customFormat="1">
      <c r="A765" s="56" t="s">
        <v>2352</v>
      </c>
      <c r="B765" s="97" t="s">
        <v>702</v>
      </c>
      <c r="C765" s="95">
        <v>5028</v>
      </c>
      <c r="D765" s="56" t="s">
        <v>726</v>
      </c>
      <c r="E765" s="129">
        <f>VLOOKUP($C765,'2021-22 School Level AAFTE'!$C:$Z,11,FALSE)</f>
        <v>0.53126666666666666</v>
      </c>
      <c r="F765" s="129" t="str">
        <f>VLOOKUP($C765,'2021-22 School Level AAFTE'!$C:$Z,8,FALSE)</f>
        <v>Yes</v>
      </c>
      <c r="G765" s="129" t="str">
        <f>VLOOKUP($C765,'2021-22 School Level AAFTE'!$C:$Z,12,FALSE)</f>
        <v>No</v>
      </c>
      <c r="H765" s="127">
        <f>VLOOKUP($C765,'2021-22 School Level AAFTE'!$C:$I,7,FALSE)</f>
        <v>236.45999999999998</v>
      </c>
      <c r="I765" s="112">
        <f>IFERROR(IF(OR(G765="yes",F765= "yes"),VLOOKUP(C765,Summary!$B:$J,6,0),0),0)</f>
        <v>0</v>
      </c>
      <c r="J765" s="111">
        <f t="shared" si="144"/>
        <v>236.45999999999998</v>
      </c>
      <c r="K765" s="91">
        <f>VLOOKUP($A765,'2022-23 Salary &amp; Benefits'!$A:$I,3,FALSE)</f>
        <v>1.18</v>
      </c>
      <c r="L765" s="91">
        <f>VLOOKUP($A765,'2022-23 Salary &amp; Benefits'!$A:$I,4,FALSE)</f>
        <v>1.18</v>
      </c>
      <c r="M765" s="101">
        <f t="shared" si="151"/>
        <v>236.45999999999998</v>
      </c>
      <c r="N765" s="24">
        <v>15</v>
      </c>
      <c r="O765" s="26">
        <f t="shared" si="142"/>
        <v>15.763999999999999</v>
      </c>
      <c r="P765" s="24">
        <v>1.1000000000000001</v>
      </c>
      <c r="Q765" s="24">
        <v>36</v>
      </c>
      <c r="R765" s="27">
        <f t="shared" si="143"/>
        <v>624.25439999999992</v>
      </c>
      <c r="S765" s="102">
        <f t="shared" si="145"/>
        <v>0.69399999999999995</v>
      </c>
      <c r="T765" s="21">
        <f>VLOOKUP($A765,'2022-23 Salary &amp; Benefits'!$A:$I,5,FALSE)</f>
        <v>68937</v>
      </c>
      <c r="U765" s="21">
        <f>VLOOKUP($A765,'2022-23 Salary &amp; Benefits'!$A:$I,6,FALSE)</f>
        <v>72728</v>
      </c>
      <c r="V765" s="22">
        <f t="shared" si="146"/>
        <v>56453.89</v>
      </c>
      <c r="W765" s="22">
        <f t="shared" si="147"/>
        <v>3104.5200000000041</v>
      </c>
      <c r="X765" s="22">
        <f>'2022-23 Salary &amp; Benefits'!$G$6</f>
        <v>12558.24</v>
      </c>
      <c r="Y765" s="23">
        <f>'2022-23 Salary &amp; Benefits'!$H$6</f>
        <v>0.2298</v>
      </c>
      <c r="Z765" s="23">
        <f>'2022-23 Salary &amp; Benefits'!$I$6</f>
        <v>0.22339999999999999</v>
      </c>
      <c r="AA765" s="22">
        <f t="shared" si="148"/>
        <v>22382.07</v>
      </c>
      <c r="AB765" s="22">
        <f t="shared" si="149"/>
        <v>992.64</v>
      </c>
      <c r="AC765" s="22">
        <f t="shared" si="150"/>
        <v>221.76</v>
      </c>
      <c r="AD765" s="22">
        <f t="shared" si="152"/>
        <v>1214.4000000000001</v>
      </c>
      <c r="AE765" s="22">
        <f t="shared" si="153"/>
        <v>83154.87999999999</v>
      </c>
      <c r="AF765" s="19" t="str">
        <f>VLOOKUP(C765,'2021-22 School Level AAFTE'!C:N,12,FALSE)</f>
        <v>No</v>
      </c>
    </row>
    <row r="766" spans="1:32" s="19" customFormat="1">
      <c r="A766" s="97" t="s">
        <v>2352</v>
      </c>
      <c r="B766" s="97" t="s">
        <v>702</v>
      </c>
      <c r="C766" s="95">
        <v>5172</v>
      </c>
      <c r="D766" s="95" t="s">
        <v>727</v>
      </c>
      <c r="E766" s="129">
        <f>VLOOKUP($C766,'2021-22 School Level AAFTE'!$C:$Z,11,FALSE)</f>
        <v>0.69426666666666659</v>
      </c>
      <c r="F766" s="129" t="str">
        <f>VLOOKUP($C766,'2021-22 School Level AAFTE'!$C:$Z,8,FALSE)</f>
        <v>Yes</v>
      </c>
      <c r="G766" s="129" t="str">
        <f>VLOOKUP($C766,'2021-22 School Level AAFTE'!$C:$Z,12,FALSE)</f>
        <v>No</v>
      </c>
      <c r="H766" s="127">
        <f>VLOOKUP($C766,'2021-22 School Level AAFTE'!$C:$I,7,FALSE)</f>
        <v>34.340000000000003</v>
      </c>
      <c r="I766" s="112">
        <f>IFERROR(IF(OR(G766="yes",F766= "yes"),VLOOKUP(C766,Summary!$B:$J,6,0),0),0)</f>
        <v>0</v>
      </c>
      <c r="J766" s="111">
        <f t="shared" si="144"/>
        <v>34.340000000000003</v>
      </c>
      <c r="K766" s="91">
        <f>VLOOKUP($A766,'2022-23 Salary &amp; Benefits'!$A:$I,3,FALSE)</f>
        <v>1.18</v>
      </c>
      <c r="L766" s="91">
        <f>VLOOKUP($A766,'2022-23 Salary &amp; Benefits'!$A:$I,4,FALSE)</f>
        <v>1.18</v>
      </c>
      <c r="M766" s="39">
        <f t="shared" si="151"/>
        <v>34.340000000000003</v>
      </c>
      <c r="N766" s="24">
        <v>15</v>
      </c>
      <c r="O766" s="26">
        <f t="shared" si="142"/>
        <v>2.2893333333333334</v>
      </c>
      <c r="P766" s="24">
        <v>1.1000000000000001</v>
      </c>
      <c r="Q766" s="24">
        <v>36</v>
      </c>
      <c r="R766" s="27">
        <f t="shared" si="143"/>
        <v>90.657600000000002</v>
      </c>
      <c r="S766" s="102">
        <f t="shared" si="145"/>
        <v>0.10100000000000001</v>
      </c>
      <c r="T766" s="21">
        <f>VLOOKUP($A766,'2022-23 Salary &amp; Benefits'!$A:$I,5,FALSE)</f>
        <v>68937</v>
      </c>
      <c r="U766" s="21">
        <f>VLOOKUP($A766,'2022-23 Salary &amp; Benefits'!$A:$I,6,FALSE)</f>
        <v>72728</v>
      </c>
      <c r="V766" s="22">
        <f t="shared" si="146"/>
        <v>8215.91</v>
      </c>
      <c r="W766" s="22">
        <f t="shared" si="147"/>
        <v>451.80999999999949</v>
      </c>
      <c r="X766" s="22">
        <f>'2022-23 Salary &amp; Benefits'!$G$6</f>
        <v>12558.24</v>
      </c>
      <c r="Y766" s="23">
        <f>'2022-23 Salary &amp; Benefits'!$H$6</f>
        <v>0.2298</v>
      </c>
      <c r="Z766" s="23">
        <f>'2022-23 Salary &amp; Benefits'!$I$6</f>
        <v>0.22339999999999999</v>
      </c>
      <c r="AA766" s="22">
        <f t="shared" si="148"/>
        <v>3257.33</v>
      </c>
      <c r="AB766" s="22">
        <f t="shared" si="149"/>
        <v>144.46</v>
      </c>
      <c r="AC766" s="22">
        <f t="shared" si="150"/>
        <v>32.270000000000003</v>
      </c>
      <c r="AD766" s="22">
        <f t="shared" si="152"/>
        <v>176.73000000000002</v>
      </c>
      <c r="AE766" s="22">
        <f t="shared" si="153"/>
        <v>12101.779999999999</v>
      </c>
      <c r="AF766" s="19" t="str">
        <f>VLOOKUP(C766,'2021-22 School Level AAFTE'!C:N,12,FALSE)</f>
        <v>No</v>
      </c>
    </row>
    <row r="767" spans="1:32" s="19" customFormat="1">
      <c r="A767" s="97" t="s">
        <v>2352</v>
      </c>
      <c r="B767" s="97" t="s">
        <v>702</v>
      </c>
      <c r="C767" s="95">
        <v>5370</v>
      </c>
      <c r="D767" s="95" t="s">
        <v>728</v>
      </c>
      <c r="E767" s="129">
        <f>VLOOKUP($C767,'2021-22 School Level AAFTE'!$C:$Z,11,FALSE)</f>
        <v>0.36113333333333331</v>
      </c>
      <c r="F767" s="129" t="str">
        <f>VLOOKUP($C767,'2021-22 School Level AAFTE'!$C:$Z,8,FALSE)</f>
        <v>No</v>
      </c>
      <c r="G767" s="129" t="str">
        <f>VLOOKUP($C767,'2021-22 School Level AAFTE'!$C:$Z,12,FALSE)</f>
        <v>No</v>
      </c>
      <c r="H767" s="127">
        <f>VLOOKUP($C767,'2021-22 School Level AAFTE'!$C:$I,7,FALSE)</f>
        <v>193.24</v>
      </c>
      <c r="I767" s="112">
        <f>IFERROR(IF(OR(G767="yes",F767= "yes"),VLOOKUP(C767,Summary!$B:$J,6,0),0),0)</f>
        <v>0</v>
      </c>
      <c r="J767" s="111">
        <f t="shared" si="144"/>
        <v>0</v>
      </c>
      <c r="K767" s="91">
        <f>VLOOKUP($A767,'2022-23 Salary &amp; Benefits'!$A:$I,3,FALSE)</f>
        <v>1.18</v>
      </c>
      <c r="L767" s="91">
        <f>VLOOKUP($A767,'2022-23 Salary &amp; Benefits'!$A:$I,4,FALSE)</f>
        <v>1.18</v>
      </c>
      <c r="M767" s="101">
        <f t="shared" si="151"/>
        <v>0</v>
      </c>
      <c r="N767" s="24">
        <v>15</v>
      </c>
      <c r="O767" s="26">
        <f t="shared" si="142"/>
        <v>0</v>
      </c>
      <c r="P767" s="24">
        <v>1.1000000000000001</v>
      </c>
      <c r="Q767" s="24">
        <v>36</v>
      </c>
      <c r="R767" s="27">
        <f t="shared" si="143"/>
        <v>0</v>
      </c>
      <c r="S767" s="102">
        <f t="shared" si="145"/>
        <v>0</v>
      </c>
      <c r="T767" s="21">
        <f>VLOOKUP($A767,'2022-23 Salary &amp; Benefits'!$A:$I,5,FALSE)</f>
        <v>68937</v>
      </c>
      <c r="U767" s="21">
        <f>VLOOKUP($A767,'2022-23 Salary &amp; Benefits'!$A:$I,6,FALSE)</f>
        <v>72728</v>
      </c>
      <c r="V767" s="22">
        <f t="shared" si="146"/>
        <v>0</v>
      </c>
      <c r="W767" s="22">
        <f t="shared" si="147"/>
        <v>0</v>
      </c>
      <c r="X767" s="22">
        <f>'2022-23 Salary &amp; Benefits'!$G$6</f>
        <v>12558.24</v>
      </c>
      <c r="Y767" s="23">
        <f>'2022-23 Salary &amp; Benefits'!$H$6</f>
        <v>0.2298</v>
      </c>
      <c r="Z767" s="23">
        <f>'2022-23 Salary &amp; Benefits'!$I$6</f>
        <v>0.22339999999999999</v>
      </c>
      <c r="AA767" s="22">
        <f t="shared" si="148"/>
        <v>0</v>
      </c>
      <c r="AB767" s="22">
        <f t="shared" si="149"/>
        <v>0</v>
      </c>
      <c r="AC767" s="22">
        <f t="shared" si="150"/>
        <v>0</v>
      </c>
      <c r="AD767" s="22">
        <f t="shared" si="152"/>
        <v>0</v>
      </c>
      <c r="AE767" s="22">
        <f t="shared" si="153"/>
        <v>0</v>
      </c>
      <c r="AF767" s="19" t="str">
        <f>VLOOKUP(C767,'2021-22 School Level AAFTE'!C:N,12,FALSE)</f>
        <v>No</v>
      </c>
    </row>
    <row r="768" spans="1:32" s="19" customFormat="1">
      <c r="A768" s="97" t="s">
        <v>2352</v>
      </c>
      <c r="B768" s="97" t="s">
        <v>702</v>
      </c>
      <c r="C768" s="95">
        <v>5371</v>
      </c>
      <c r="D768" s="95" t="s">
        <v>729</v>
      </c>
      <c r="E768" s="129">
        <f>VLOOKUP($C768,'2021-22 School Level AAFTE'!$C:$Z,11,FALSE)</f>
        <v>0.15596666666666667</v>
      </c>
      <c r="F768" s="129" t="str">
        <f>VLOOKUP($C768,'2021-22 School Level AAFTE'!$C:$Z,8,FALSE)</f>
        <v>No</v>
      </c>
      <c r="G768" s="129" t="str">
        <f>VLOOKUP($C768,'2021-22 School Level AAFTE'!$C:$Z,12,FALSE)</f>
        <v>No</v>
      </c>
      <c r="H768" s="127">
        <f>VLOOKUP($C768,'2021-22 School Level AAFTE'!$C:$I,7,FALSE)</f>
        <v>5.1000000000000005</v>
      </c>
      <c r="I768" s="112">
        <f>IFERROR(IF(OR(G768="yes",F768= "yes"),VLOOKUP(C768,Summary!$B:$J,6,0),0),0)</f>
        <v>0</v>
      </c>
      <c r="J768" s="111">
        <f t="shared" si="144"/>
        <v>0</v>
      </c>
      <c r="K768" s="91">
        <f>VLOOKUP($A768,'2022-23 Salary &amp; Benefits'!$A:$I,3,FALSE)</f>
        <v>1.18</v>
      </c>
      <c r="L768" s="91">
        <f>VLOOKUP($A768,'2022-23 Salary &amp; Benefits'!$A:$I,4,FALSE)</f>
        <v>1.18</v>
      </c>
      <c r="M768" s="39">
        <f t="shared" si="151"/>
        <v>0</v>
      </c>
      <c r="N768" s="24">
        <v>15</v>
      </c>
      <c r="O768" s="26">
        <f t="shared" si="142"/>
        <v>0</v>
      </c>
      <c r="P768" s="24">
        <v>1.1000000000000001</v>
      </c>
      <c r="Q768" s="24">
        <v>36</v>
      </c>
      <c r="R768" s="27">
        <f t="shared" si="143"/>
        <v>0</v>
      </c>
      <c r="S768" s="102">
        <f t="shared" si="145"/>
        <v>0</v>
      </c>
      <c r="T768" s="21">
        <f>VLOOKUP($A768,'2022-23 Salary &amp; Benefits'!$A:$I,5,FALSE)</f>
        <v>68937</v>
      </c>
      <c r="U768" s="21">
        <f>VLOOKUP($A768,'2022-23 Salary &amp; Benefits'!$A:$I,6,FALSE)</f>
        <v>72728</v>
      </c>
      <c r="V768" s="22">
        <f t="shared" si="146"/>
        <v>0</v>
      </c>
      <c r="W768" s="22">
        <f t="shared" si="147"/>
        <v>0</v>
      </c>
      <c r="X768" s="22">
        <f>'2022-23 Salary &amp; Benefits'!$G$6</f>
        <v>12558.24</v>
      </c>
      <c r="Y768" s="23">
        <f>'2022-23 Salary &amp; Benefits'!$H$6</f>
        <v>0.2298</v>
      </c>
      <c r="Z768" s="23">
        <f>'2022-23 Salary &amp; Benefits'!$I$6</f>
        <v>0.22339999999999999</v>
      </c>
      <c r="AA768" s="22">
        <f t="shared" si="148"/>
        <v>0</v>
      </c>
      <c r="AB768" s="22">
        <f t="shared" si="149"/>
        <v>0</v>
      </c>
      <c r="AC768" s="22">
        <f t="shared" si="150"/>
        <v>0</v>
      </c>
      <c r="AD768" s="22">
        <f t="shared" si="152"/>
        <v>0</v>
      </c>
      <c r="AE768" s="22">
        <f t="shared" si="153"/>
        <v>0</v>
      </c>
      <c r="AF768" s="19" t="str">
        <f>VLOOKUP(C768,'2021-22 School Level AAFTE'!C:N,12,FALSE)</f>
        <v>No</v>
      </c>
    </row>
    <row r="769" spans="1:32" s="19" customFormat="1">
      <c r="A769" s="97" t="s">
        <v>2352</v>
      </c>
      <c r="B769" s="97" t="s">
        <v>702</v>
      </c>
      <c r="C769" s="95">
        <v>5551</v>
      </c>
      <c r="D769" s="95" t="s">
        <v>1510</v>
      </c>
      <c r="E769" s="129">
        <f>VLOOKUP($C769,'2021-22 School Level AAFTE'!$C:$Z,11,FALSE)</f>
        <v>0.82726666666666671</v>
      </c>
      <c r="F769" s="129" t="str">
        <f>VLOOKUP($C769,'2021-22 School Level AAFTE'!$C:$Z,8,FALSE)</f>
        <v>Yes</v>
      </c>
      <c r="G769" s="129" t="str">
        <f>VLOOKUP($C769,'2021-22 School Level AAFTE'!$C:$Z,12,FALSE)</f>
        <v>No</v>
      </c>
      <c r="H769" s="127">
        <f>VLOOKUP($C769,'2021-22 School Level AAFTE'!$C:$I,7,FALSE)</f>
        <v>842.01</v>
      </c>
      <c r="I769" s="112">
        <f>IFERROR(IF(OR(G769="yes",F769= "yes"),VLOOKUP(C769,Summary!$B:$J,6,0),0),0)</f>
        <v>0</v>
      </c>
      <c r="J769" s="111">
        <f t="shared" si="144"/>
        <v>842.01</v>
      </c>
      <c r="K769" s="91">
        <f>VLOOKUP($A769,'2022-23 Salary &amp; Benefits'!$A:$I,3,FALSE)</f>
        <v>1.18</v>
      </c>
      <c r="L769" s="91">
        <f>VLOOKUP($A769,'2022-23 Salary &amp; Benefits'!$A:$I,4,FALSE)</f>
        <v>1.18</v>
      </c>
      <c r="M769" s="101">
        <f t="shared" si="151"/>
        <v>842.01</v>
      </c>
      <c r="N769" s="24">
        <v>15</v>
      </c>
      <c r="O769" s="26">
        <f t="shared" si="142"/>
        <v>56.134</v>
      </c>
      <c r="P769" s="24">
        <v>1.1000000000000001</v>
      </c>
      <c r="Q769" s="24">
        <v>36</v>
      </c>
      <c r="R769" s="27">
        <f t="shared" si="143"/>
        <v>2222.9064000000003</v>
      </c>
      <c r="S769" s="102">
        <f t="shared" si="145"/>
        <v>2.4700000000000002</v>
      </c>
      <c r="T769" s="21">
        <f>VLOOKUP($A769,'2022-23 Salary &amp; Benefits'!$A:$I,5,FALSE)</f>
        <v>68937</v>
      </c>
      <c r="U769" s="21">
        <f>VLOOKUP($A769,'2022-23 Salary &amp; Benefits'!$A:$I,6,FALSE)</f>
        <v>72728</v>
      </c>
      <c r="V769" s="22">
        <f t="shared" si="146"/>
        <v>200923.78</v>
      </c>
      <c r="W769" s="22">
        <f t="shared" si="147"/>
        <v>11049.25</v>
      </c>
      <c r="X769" s="22">
        <f>'2022-23 Salary &amp; Benefits'!$G$6</f>
        <v>12558.24</v>
      </c>
      <c r="Y769" s="23">
        <f>'2022-23 Salary &amp; Benefits'!$H$6</f>
        <v>0.2298</v>
      </c>
      <c r="Z769" s="23">
        <f>'2022-23 Salary &amp; Benefits'!$I$6</f>
        <v>0.22339999999999999</v>
      </c>
      <c r="AA769" s="22">
        <f t="shared" si="148"/>
        <v>79659.539999999994</v>
      </c>
      <c r="AB769" s="22">
        <f t="shared" si="149"/>
        <v>3532.88</v>
      </c>
      <c r="AC769" s="22">
        <f t="shared" si="150"/>
        <v>789.25</v>
      </c>
      <c r="AD769" s="22">
        <f t="shared" si="152"/>
        <v>4322.13</v>
      </c>
      <c r="AE769" s="22">
        <f t="shared" si="153"/>
        <v>295954.7</v>
      </c>
      <c r="AF769" s="19" t="str">
        <f>VLOOKUP(C769,'2021-22 School Level AAFTE'!C:N,12,FALSE)</f>
        <v>No</v>
      </c>
    </row>
    <row r="770" spans="1:32" s="19" customFormat="1">
      <c r="A770" s="97" t="s">
        <v>2352</v>
      </c>
      <c r="B770" s="97" t="s">
        <v>702</v>
      </c>
      <c r="C770" s="95">
        <v>5622</v>
      </c>
      <c r="D770" s="95" t="s">
        <v>3016</v>
      </c>
      <c r="E770" s="129">
        <f>VLOOKUP($C770,'2021-22 School Level AAFTE'!$C:$Z,11,FALSE)</f>
        <v>0.89529999999999998</v>
      </c>
      <c r="F770" s="129" t="str">
        <f>VLOOKUP($C770,'2021-22 School Level AAFTE'!$C:$Z,8,FALSE)</f>
        <v>Yes</v>
      </c>
      <c r="G770" s="129" t="str">
        <f>VLOOKUP($C770,'2021-22 School Level AAFTE'!$C:$Z,12,FALSE)</f>
        <v>No</v>
      </c>
      <c r="H770" s="127">
        <f>VLOOKUP($C770,'2021-22 School Level AAFTE'!$C:$I,7,FALSE)</f>
        <v>544.23</v>
      </c>
      <c r="I770" s="112">
        <f>IFERROR(IF(OR(G770="yes",F770= "yes"),VLOOKUP(C770,Summary!$B:$J,6,0),0),0)</f>
        <v>0</v>
      </c>
      <c r="J770" s="111">
        <f t="shared" si="144"/>
        <v>544.23</v>
      </c>
      <c r="K770" s="91">
        <f>VLOOKUP($A770,'2022-23 Salary &amp; Benefits'!$A:$I,3,FALSE)</f>
        <v>1.18</v>
      </c>
      <c r="L770" s="91">
        <f>VLOOKUP($A770,'2022-23 Salary &amp; Benefits'!$A:$I,4,FALSE)</f>
        <v>1.18</v>
      </c>
      <c r="M770" s="39">
        <f t="shared" si="151"/>
        <v>544.23</v>
      </c>
      <c r="N770" s="24">
        <v>15</v>
      </c>
      <c r="O770" s="26">
        <f t="shared" si="142"/>
        <v>36.282000000000004</v>
      </c>
      <c r="P770" s="24">
        <v>1.1000000000000001</v>
      </c>
      <c r="Q770" s="24">
        <v>36</v>
      </c>
      <c r="R770" s="27">
        <f t="shared" si="143"/>
        <v>1436.7672000000005</v>
      </c>
      <c r="S770" s="102">
        <f t="shared" si="145"/>
        <v>1.5960000000000001</v>
      </c>
      <c r="T770" s="21">
        <f>VLOOKUP($A770,'2022-23 Salary &amp; Benefits'!$A:$I,5,FALSE)</f>
        <v>68937</v>
      </c>
      <c r="U770" s="21">
        <f>VLOOKUP($A770,'2022-23 Salary &amp; Benefits'!$A:$I,6,FALSE)</f>
        <v>72728</v>
      </c>
      <c r="V770" s="22">
        <f t="shared" si="146"/>
        <v>129827.67</v>
      </c>
      <c r="W770" s="22">
        <f t="shared" si="147"/>
        <v>7139.5200000000041</v>
      </c>
      <c r="X770" s="22">
        <f>'2022-23 Salary &amp; Benefits'!$G$6</f>
        <v>12558.24</v>
      </c>
      <c r="Y770" s="23">
        <f>'2022-23 Salary &amp; Benefits'!$H$6</f>
        <v>0.2298</v>
      </c>
      <c r="Z770" s="23">
        <f>'2022-23 Salary &amp; Benefits'!$I$6</f>
        <v>0.22339999999999999</v>
      </c>
      <c r="AA770" s="22">
        <f t="shared" si="148"/>
        <v>51472.32</v>
      </c>
      <c r="AB770" s="22">
        <f t="shared" si="149"/>
        <v>2282.79</v>
      </c>
      <c r="AC770" s="22">
        <f t="shared" si="150"/>
        <v>509.98</v>
      </c>
      <c r="AD770" s="22">
        <f t="shared" si="152"/>
        <v>2792.77</v>
      </c>
      <c r="AE770" s="22">
        <f t="shared" si="153"/>
        <v>191232.28</v>
      </c>
      <c r="AF770" s="19" t="str">
        <f>VLOOKUP(C770,'2021-22 School Level AAFTE'!C:N,12,FALSE)</f>
        <v>No</v>
      </c>
    </row>
    <row r="771" spans="1:32" s="19" customFormat="1">
      <c r="A771" s="97" t="s">
        <v>2352</v>
      </c>
      <c r="B771" s="97" t="s">
        <v>702</v>
      </c>
      <c r="C771" s="95">
        <v>5672</v>
      </c>
      <c r="D771" s="95" t="s">
        <v>3017</v>
      </c>
      <c r="E771" s="129">
        <f>VLOOKUP($C771,'2021-22 School Level AAFTE'!$C:$Z,11,FALSE)</f>
        <v>0.2571</v>
      </c>
      <c r="F771" s="129" t="str">
        <f>VLOOKUP($C771,'2021-22 School Level AAFTE'!$C:$Z,8,FALSE)</f>
        <v>No</v>
      </c>
      <c r="G771" s="129" t="str">
        <f>VLOOKUP($C771,'2021-22 School Level AAFTE'!$C:$Z,12,FALSE)</f>
        <v>No</v>
      </c>
      <c r="H771" s="127">
        <f>VLOOKUP($C771,'2021-22 School Level AAFTE'!$C:$I,7,FALSE)</f>
        <v>36.57</v>
      </c>
      <c r="I771" s="112">
        <f>IFERROR(IF(OR(G771="yes",F771= "yes"),VLOOKUP(C771,Summary!$B:$J,6,0),0),0)</f>
        <v>0</v>
      </c>
      <c r="J771" s="111">
        <f t="shared" si="144"/>
        <v>0</v>
      </c>
      <c r="K771" s="91">
        <f>VLOOKUP($A771,'2022-23 Salary &amp; Benefits'!$A:$I,3,FALSE)</f>
        <v>1.18</v>
      </c>
      <c r="L771" s="91">
        <f>VLOOKUP($A771,'2022-23 Salary &amp; Benefits'!$A:$I,4,FALSE)</f>
        <v>1.18</v>
      </c>
      <c r="M771" s="101">
        <f t="shared" si="151"/>
        <v>0</v>
      </c>
      <c r="N771" s="24">
        <v>15</v>
      </c>
      <c r="O771" s="26">
        <f t="shared" si="142"/>
        <v>0</v>
      </c>
      <c r="P771" s="24">
        <v>1.1000000000000001</v>
      </c>
      <c r="Q771" s="24">
        <v>36</v>
      </c>
      <c r="R771" s="27">
        <f t="shared" si="143"/>
        <v>0</v>
      </c>
      <c r="S771" s="102">
        <f t="shared" si="145"/>
        <v>0</v>
      </c>
      <c r="T771" s="21">
        <f>VLOOKUP($A771,'2022-23 Salary &amp; Benefits'!$A:$I,5,FALSE)</f>
        <v>68937</v>
      </c>
      <c r="U771" s="21">
        <f>VLOOKUP($A771,'2022-23 Salary &amp; Benefits'!$A:$I,6,FALSE)</f>
        <v>72728</v>
      </c>
      <c r="V771" s="22">
        <f t="shared" si="146"/>
        <v>0</v>
      </c>
      <c r="W771" s="22">
        <f t="shared" si="147"/>
        <v>0</v>
      </c>
      <c r="X771" s="22">
        <f>'2022-23 Salary &amp; Benefits'!$G$6</f>
        <v>12558.24</v>
      </c>
      <c r="Y771" s="23">
        <f>'2022-23 Salary &amp; Benefits'!$H$6</f>
        <v>0.2298</v>
      </c>
      <c r="Z771" s="23">
        <f>'2022-23 Salary &amp; Benefits'!$I$6</f>
        <v>0.22339999999999999</v>
      </c>
      <c r="AA771" s="22">
        <f t="shared" si="148"/>
        <v>0</v>
      </c>
      <c r="AB771" s="22">
        <f t="shared" si="149"/>
        <v>0</v>
      </c>
      <c r="AC771" s="22">
        <f t="shared" si="150"/>
        <v>0</v>
      </c>
      <c r="AD771" s="22">
        <f t="shared" si="152"/>
        <v>0</v>
      </c>
      <c r="AE771" s="22">
        <f t="shared" si="153"/>
        <v>0</v>
      </c>
      <c r="AF771" s="19" t="str">
        <f>VLOOKUP(C771,'2021-22 School Level AAFTE'!C:N,12,FALSE)</f>
        <v>No</v>
      </c>
    </row>
    <row r="772" spans="1:32" s="19" customFormat="1">
      <c r="A772" s="97" t="s">
        <v>2284</v>
      </c>
      <c r="B772" s="97" t="s">
        <v>202</v>
      </c>
      <c r="C772" s="95">
        <v>3319</v>
      </c>
      <c r="D772" s="95" t="s">
        <v>203</v>
      </c>
      <c r="E772" s="129">
        <f>VLOOKUP($C772,'2021-22 School Level AAFTE'!$C:$Z,11,FALSE)</f>
        <v>0.18959999999999999</v>
      </c>
      <c r="F772" s="129" t="str">
        <f>VLOOKUP($C772,'2021-22 School Level AAFTE'!$C:$Z,8,FALSE)</f>
        <v>No</v>
      </c>
      <c r="G772" s="129" t="str">
        <f>VLOOKUP($C772,'2021-22 School Level AAFTE'!$C:$Z,12,FALSE)</f>
        <v>No</v>
      </c>
      <c r="H772" s="127">
        <f>VLOOKUP($C772,'2021-22 School Level AAFTE'!$C:$I,7,FALSE)</f>
        <v>460.08</v>
      </c>
      <c r="I772" s="112">
        <f>IFERROR(IF(OR(G772="yes",F772= "yes"),VLOOKUP(C772,Summary!$B:$J,6,0),0),0)</f>
        <v>0</v>
      </c>
      <c r="J772" s="111">
        <f t="shared" si="144"/>
        <v>0</v>
      </c>
      <c r="K772" s="91">
        <f>VLOOKUP($A772,'2022-23 Salary &amp; Benefits'!$A:$I,3,FALSE)</f>
        <v>1.06</v>
      </c>
      <c r="L772" s="91">
        <f>VLOOKUP($A772,'2022-23 Salary &amp; Benefits'!$A:$I,4,FALSE)</f>
        <v>1.06</v>
      </c>
      <c r="M772" s="39">
        <f t="shared" si="151"/>
        <v>0</v>
      </c>
      <c r="N772" s="24">
        <v>15</v>
      </c>
      <c r="O772" s="26">
        <f t="shared" si="142"/>
        <v>0</v>
      </c>
      <c r="P772" s="24">
        <v>1.1000000000000001</v>
      </c>
      <c r="Q772" s="24">
        <v>36</v>
      </c>
      <c r="R772" s="27">
        <f t="shared" si="143"/>
        <v>0</v>
      </c>
      <c r="S772" s="102">
        <f t="shared" si="145"/>
        <v>0</v>
      </c>
      <c r="T772" s="21">
        <f>VLOOKUP($A772,'2022-23 Salary &amp; Benefits'!$A:$I,5,FALSE)</f>
        <v>68937</v>
      </c>
      <c r="U772" s="21">
        <f>VLOOKUP($A772,'2022-23 Salary &amp; Benefits'!$A:$I,6,FALSE)</f>
        <v>72728</v>
      </c>
      <c r="V772" s="22">
        <f t="shared" si="146"/>
        <v>0</v>
      </c>
      <c r="W772" s="22">
        <f t="shared" si="147"/>
        <v>0</v>
      </c>
      <c r="X772" s="22">
        <f>'2022-23 Salary &amp; Benefits'!$G$6</f>
        <v>12558.24</v>
      </c>
      <c r="Y772" s="23">
        <f>'2022-23 Salary &amp; Benefits'!$H$6</f>
        <v>0.2298</v>
      </c>
      <c r="Z772" s="23">
        <f>'2022-23 Salary &amp; Benefits'!$I$6</f>
        <v>0.22339999999999999</v>
      </c>
      <c r="AA772" s="22">
        <f t="shared" si="148"/>
        <v>0</v>
      </c>
      <c r="AB772" s="22">
        <f t="shared" si="149"/>
        <v>0</v>
      </c>
      <c r="AC772" s="22">
        <f t="shared" si="150"/>
        <v>0</v>
      </c>
      <c r="AD772" s="22">
        <f t="shared" si="152"/>
        <v>0</v>
      </c>
      <c r="AE772" s="22">
        <f t="shared" si="153"/>
        <v>0</v>
      </c>
      <c r="AF772" s="19" t="str">
        <f>VLOOKUP(C772,'2021-22 School Level AAFTE'!C:N,12,FALSE)</f>
        <v>No</v>
      </c>
    </row>
    <row r="773" spans="1:32" s="19" customFormat="1">
      <c r="A773" s="97" t="s">
        <v>2284</v>
      </c>
      <c r="B773" s="97" t="s">
        <v>202</v>
      </c>
      <c r="C773" s="95">
        <v>4568</v>
      </c>
      <c r="D773" s="95" t="s">
        <v>204</v>
      </c>
      <c r="E773" s="129">
        <f>VLOOKUP($C773,'2021-22 School Level AAFTE'!$C:$Z,11,FALSE)</f>
        <v>0.1671</v>
      </c>
      <c r="F773" s="129" t="str">
        <f>VLOOKUP($C773,'2021-22 School Level AAFTE'!$C:$Z,8,FALSE)</f>
        <v>No</v>
      </c>
      <c r="G773" s="129" t="str">
        <f>VLOOKUP($C773,'2021-22 School Level AAFTE'!$C:$Z,12,FALSE)</f>
        <v>No</v>
      </c>
      <c r="H773" s="127">
        <f>VLOOKUP($C773,'2021-22 School Level AAFTE'!$C:$I,7,FALSE)</f>
        <v>648.80000000000007</v>
      </c>
      <c r="I773" s="112">
        <f>IFERROR(IF(OR(G773="yes",F773= "yes"),VLOOKUP(C773,Summary!$B:$J,6,0),0),0)</f>
        <v>0</v>
      </c>
      <c r="J773" s="111">
        <f t="shared" si="144"/>
        <v>0</v>
      </c>
      <c r="K773" s="91">
        <f>VLOOKUP($A773,'2022-23 Salary &amp; Benefits'!$A:$I,3,FALSE)</f>
        <v>1.06</v>
      </c>
      <c r="L773" s="91">
        <f>VLOOKUP($A773,'2022-23 Salary &amp; Benefits'!$A:$I,4,FALSE)</f>
        <v>1.06</v>
      </c>
      <c r="M773" s="101">
        <f t="shared" si="151"/>
        <v>0</v>
      </c>
      <c r="N773" s="24">
        <v>15</v>
      </c>
      <c r="O773" s="26">
        <f t="shared" si="142"/>
        <v>0</v>
      </c>
      <c r="P773" s="24">
        <v>1.1000000000000001</v>
      </c>
      <c r="Q773" s="24">
        <v>36</v>
      </c>
      <c r="R773" s="27">
        <f t="shared" si="143"/>
        <v>0</v>
      </c>
      <c r="S773" s="102">
        <f t="shared" si="145"/>
        <v>0</v>
      </c>
      <c r="T773" s="21">
        <f>VLOOKUP($A773,'2022-23 Salary &amp; Benefits'!$A:$I,5,FALSE)</f>
        <v>68937</v>
      </c>
      <c r="U773" s="21">
        <f>VLOOKUP($A773,'2022-23 Salary &amp; Benefits'!$A:$I,6,FALSE)</f>
        <v>72728</v>
      </c>
      <c r="V773" s="22">
        <f t="shared" si="146"/>
        <v>0</v>
      </c>
      <c r="W773" s="22">
        <f t="shared" si="147"/>
        <v>0</v>
      </c>
      <c r="X773" s="22">
        <f>'2022-23 Salary &amp; Benefits'!$G$6</f>
        <v>12558.24</v>
      </c>
      <c r="Y773" s="23">
        <f>'2022-23 Salary &amp; Benefits'!$H$6</f>
        <v>0.2298</v>
      </c>
      <c r="Z773" s="23">
        <f>'2022-23 Salary &amp; Benefits'!$I$6</f>
        <v>0.22339999999999999</v>
      </c>
      <c r="AA773" s="22">
        <f t="shared" si="148"/>
        <v>0</v>
      </c>
      <c r="AB773" s="22">
        <f t="shared" si="149"/>
        <v>0</v>
      </c>
      <c r="AC773" s="22">
        <f t="shared" si="150"/>
        <v>0</v>
      </c>
      <c r="AD773" s="22">
        <f t="shared" si="152"/>
        <v>0</v>
      </c>
      <c r="AE773" s="22">
        <f t="shared" si="153"/>
        <v>0</v>
      </c>
      <c r="AF773" s="19" t="str">
        <f>VLOOKUP(C773,'2021-22 School Level AAFTE'!C:N,12,FALSE)</f>
        <v>No</v>
      </c>
    </row>
    <row r="774" spans="1:32" s="19" customFormat="1">
      <c r="A774" s="97" t="s">
        <v>2284</v>
      </c>
      <c r="B774" s="97" t="s">
        <v>202</v>
      </c>
      <c r="C774" s="95">
        <v>5311</v>
      </c>
      <c r="D774" s="95" t="s">
        <v>205</v>
      </c>
      <c r="E774" s="129">
        <f>VLOOKUP($C774,'2021-22 School Level AAFTE'!$C:$Z,11,FALSE)</f>
        <v>0.19969999999999999</v>
      </c>
      <c r="F774" s="129" t="str">
        <f>VLOOKUP($C774,'2021-22 School Level AAFTE'!$C:$Z,8,FALSE)</f>
        <v>No</v>
      </c>
      <c r="G774" s="129" t="str">
        <f>VLOOKUP($C774,'2021-22 School Level AAFTE'!$C:$Z,12,FALSE)</f>
        <v>No</v>
      </c>
      <c r="H774" s="127">
        <f>VLOOKUP($C774,'2021-22 School Level AAFTE'!$C:$I,7,FALSE)</f>
        <v>808.12</v>
      </c>
      <c r="I774" s="112">
        <f>IFERROR(IF(OR(G774="yes",F774= "yes"),VLOOKUP(C774,Summary!$B:$J,6,0),0),0)</f>
        <v>0</v>
      </c>
      <c r="J774" s="111">
        <f t="shared" si="144"/>
        <v>0</v>
      </c>
      <c r="K774" s="91">
        <f>VLOOKUP($A774,'2022-23 Salary &amp; Benefits'!$A:$I,3,FALSE)</f>
        <v>1.06</v>
      </c>
      <c r="L774" s="91">
        <f>VLOOKUP($A774,'2022-23 Salary &amp; Benefits'!$A:$I,4,FALSE)</f>
        <v>1.06</v>
      </c>
      <c r="M774" s="101">
        <f t="shared" si="151"/>
        <v>0</v>
      </c>
      <c r="N774" s="24">
        <v>15</v>
      </c>
      <c r="O774" s="26">
        <f t="shared" si="142"/>
        <v>0</v>
      </c>
      <c r="P774" s="24">
        <v>1.1000000000000001</v>
      </c>
      <c r="Q774" s="24">
        <v>36</v>
      </c>
      <c r="R774" s="27">
        <f t="shared" si="143"/>
        <v>0</v>
      </c>
      <c r="S774" s="102">
        <f t="shared" si="145"/>
        <v>0</v>
      </c>
      <c r="T774" s="21">
        <f>VLOOKUP($A774,'2022-23 Salary &amp; Benefits'!$A:$I,5,FALSE)</f>
        <v>68937</v>
      </c>
      <c r="U774" s="21">
        <f>VLOOKUP($A774,'2022-23 Salary &amp; Benefits'!$A:$I,6,FALSE)</f>
        <v>72728</v>
      </c>
      <c r="V774" s="22">
        <f t="shared" si="146"/>
        <v>0</v>
      </c>
      <c r="W774" s="22">
        <f t="shared" si="147"/>
        <v>0</v>
      </c>
      <c r="X774" s="22">
        <f>'2022-23 Salary &amp; Benefits'!$G$6</f>
        <v>12558.24</v>
      </c>
      <c r="Y774" s="23">
        <f>'2022-23 Salary &amp; Benefits'!$H$6</f>
        <v>0.2298</v>
      </c>
      <c r="Z774" s="23">
        <f>'2022-23 Salary &amp; Benefits'!$I$6</f>
        <v>0.22339999999999999</v>
      </c>
      <c r="AA774" s="22">
        <f t="shared" si="148"/>
        <v>0</v>
      </c>
      <c r="AB774" s="22">
        <f t="shared" si="149"/>
        <v>0</v>
      </c>
      <c r="AC774" s="22">
        <f t="shared" si="150"/>
        <v>0</v>
      </c>
      <c r="AD774" s="22">
        <f t="shared" si="152"/>
        <v>0</v>
      </c>
      <c r="AE774" s="22">
        <f t="shared" si="153"/>
        <v>0</v>
      </c>
      <c r="AF774" s="19" t="str">
        <f>VLOOKUP(C774,'2021-22 School Level AAFTE'!C:N,12,FALSE)</f>
        <v>No</v>
      </c>
    </row>
    <row r="775" spans="1:32" s="19" customFormat="1">
      <c r="A775" s="97" t="s">
        <v>2420</v>
      </c>
      <c r="B775" s="97" t="s">
        <v>1224</v>
      </c>
      <c r="C775" s="95">
        <v>2310</v>
      </c>
      <c r="D775" s="95" t="s">
        <v>2782</v>
      </c>
      <c r="E775" s="129">
        <f>VLOOKUP($C775,'2021-22 School Level AAFTE'!$C:$Z,11,FALSE)</f>
        <v>0.7567666666666667</v>
      </c>
      <c r="F775" s="129" t="str">
        <f>VLOOKUP($C775,'2021-22 School Level AAFTE'!$C:$Z,8,FALSE)</f>
        <v>Yes</v>
      </c>
      <c r="G775" s="129" t="str">
        <f>VLOOKUP($C775,'2021-22 School Level AAFTE'!$C:$Z,12,FALSE)</f>
        <v>No</v>
      </c>
      <c r="H775" s="127">
        <f>VLOOKUP($C775,'2021-22 School Level AAFTE'!$C:$I,7,FALSE)</f>
        <v>304.70999999999998</v>
      </c>
      <c r="I775" s="112">
        <f>IFERROR(IF(OR(G775="yes",F775= "yes"),VLOOKUP(C775,Summary!$B:$J,6,0),0),0)</f>
        <v>0</v>
      </c>
      <c r="J775" s="111">
        <f t="shared" si="144"/>
        <v>304.70999999999998</v>
      </c>
      <c r="K775" s="91">
        <f>VLOOKUP($A775,'2022-23 Salary &amp; Benefits'!$A:$I,3,FALSE)</f>
        <v>1</v>
      </c>
      <c r="L775" s="91">
        <f>VLOOKUP($A775,'2022-23 Salary &amp; Benefits'!$A:$I,4,FALSE)</f>
        <v>1</v>
      </c>
      <c r="M775" s="39">
        <f t="shared" si="151"/>
        <v>304.70999999999998</v>
      </c>
      <c r="N775" s="24">
        <v>15</v>
      </c>
      <c r="O775" s="26">
        <f t="shared" si="142"/>
        <v>20.314</v>
      </c>
      <c r="P775" s="24">
        <v>1.1000000000000001</v>
      </c>
      <c r="Q775" s="24">
        <v>36</v>
      </c>
      <c r="R775" s="27">
        <f t="shared" si="143"/>
        <v>804.4344000000001</v>
      </c>
      <c r="S775" s="102">
        <f t="shared" si="145"/>
        <v>0.89400000000000002</v>
      </c>
      <c r="T775" s="21">
        <f>VLOOKUP($A775,'2022-23 Salary &amp; Benefits'!$A:$I,5,FALSE)</f>
        <v>68937</v>
      </c>
      <c r="U775" s="21">
        <f>VLOOKUP($A775,'2022-23 Salary &amp; Benefits'!$A:$I,6,FALSE)</f>
        <v>72728</v>
      </c>
      <c r="V775" s="22">
        <f t="shared" si="146"/>
        <v>61629.68</v>
      </c>
      <c r="W775" s="22">
        <f t="shared" si="147"/>
        <v>3389.1500000000015</v>
      </c>
      <c r="X775" s="22">
        <f>'2022-23 Salary &amp; Benefits'!$G$6</f>
        <v>12558.24</v>
      </c>
      <c r="Y775" s="23">
        <f>'2022-23 Salary &amp; Benefits'!$H$6</f>
        <v>0.2298</v>
      </c>
      <c r="Z775" s="23">
        <f>'2022-23 Salary &amp; Benefits'!$I$6</f>
        <v>0.22339999999999999</v>
      </c>
      <c r="AA775" s="22">
        <f t="shared" si="148"/>
        <v>26146.7</v>
      </c>
      <c r="AB775" s="22">
        <f t="shared" si="149"/>
        <v>1083.6500000000001</v>
      </c>
      <c r="AC775" s="22">
        <f t="shared" si="150"/>
        <v>242.09</v>
      </c>
      <c r="AD775" s="22">
        <f t="shared" si="152"/>
        <v>1325.74</v>
      </c>
      <c r="AE775" s="22">
        <f t="shared" si="153"/>
        <v>92491.27</v>
      </c>
      <c r="AF775" s="19" t="str">
        <f>VLOOKUP(C775,'2021-22 School Level AAFTE'!C:N,12,FALSE)</f>
        <v>No</v>
      </c>
    </row>
    <row r="776" spans="1:32" s="19" customFormat="1">
      <c r="A776" s="97" t="s">
        <v>2328</v>
      </c>
      <c r="B776" s="97" t="s">
        <v>474</v>
      </c>
      <c r="C776" s="95">
        <v>2268</v>
      </c>
      <c r="D776" s="95" t="s">
        <v>375</v>
      </c>
      <c r="E776" s="129">
        <f>VLOOKUP($C776,'2021-22 School Level AAFTE'!$C:$Z,11,FALSE)</f>
        <v>0.7697666666666666</v>
      </c>
      <c r="F776" s="129" t="str">
        <f>VLOOKUP($C776,'2021-22 School Level AAFTE'!$C:$Z,8,FALSE)</f>
        <v>Yes</v>
      </c>
      <c r="G776" s="129" t="str">
        <f>VLOOKUP($C776,'2021-22 School Level AAFTE'!$C:$Z,12,FALSE)</f>
        <v>No</v>
      </c>
      <c r="H776" s="127">
        <f>VLOOKUP($C776,'2021-22 School Level AAFTE'!$C:$I,7,FALSE)</f>
        <v>213.86</v>
      </c>
      <c r="I776" s="112">
        <f>IFERROR(IF(OR(G776="yes",F776= "yes"),VLOOKUP(C776,Summary!$B:$J,6,0),0),0)</f>
        <v>0</v>
      </c>
      <c r="J776" s="111">
        <f t="shared" si="144"/>
        <v>213.86</v>
      </c>
      <c r="K776" s="91">
        <f>VLOOKUP($A776,'2022-23 Salary &amp; Benefits'!$A:$I,3,FALSE)</f>
        <v>1</v>
      </c>
      <c r="L776" s="91">
        <f>VLOOKUP($A776,'2022-23 Salary &amp; Benefits'!$A:$I,4,FALSE)</f>
        <v>1</v>
      </c>
      <c r="M776" s="101">
        <f t="shared" si="151"/>
        <v>213.86</v>
      </c>
      <c r="N776" s="24">
        <v>15</v>
      </c>
      <c r="O776" s="26">
        <f t="shared" si="142"/>
        <v>14.257333333333333</v>
      </c>
      <c r="P776" s="24">
        <v>1.1000000000000001</v>
      </c>
      <c r="Q776" s="24">
        <v>36</v>
      </c>
      <c r="R776" s="27">
        <f t="shared" si="143"/>
        <v>564.59040000000005</v>
      </c>
      <c r="S776" s="102">
        <f t="shared" si="145"/>
        <v>0.627</v>
      </c>
      <c r="T776" s="21">
        <f>VLOOKUP($A776,'2022-23 Salary &amp; Benefits'!$A:$I,5,FALSE)</f>
        <v>68937</v>
      </c>
      <c r="U776" s="21">
        <f>VLOOKUP($A776,'2022-23 Salary &amp; Benefits'!$A:$I,6,FALSE)</f>
        <v>72728</v>
      </c>
      <c r="V776" s="22">
        <f t="shared" si="146"/>
        <v>43223.5</v>
      </c>
      <c r="W776" s="22">
        <f t="shared" si="147"/>
        <v>2376.9599999999991</v>
      </c>
      <c r="X776" s="22">
        <f>'2022-23 Salary &amp; Benefits'!$G$6</f>
        <v>12558.24</v>
      </c>
      <c r="Y776" s="23">
        <f>'2022-23 Salary &amp; Benefits'!$H$6</f>
        <v>0.2298</v>
      </c>
      <c r="Z776" s="23">
        <f>'2022-23 Salary &amp; Benefits'!$I$6</f>
        <v>0.22339999999999999</v>
      </c>
      <c r="AA776" s="22">
        <f t="shared" si="148"/>
        <v>18337.79</v>
      </c>
      <c r="AB776" s="22">
        <f t="shared" si="149"/>
        <v>760.01</v>
      </c>
      <c r="AC776" s="22">
        <f t="shared" si="150"/>
        <v>169.79</v>
      </c>
      <c r="AD776" s="22">
        <f t="shared" si="152"/>
        <v>929.8</v>
      </c>
      <c r="AE776" s="22">
        <f t="shared" si="153"/>
        <v>64868.05</v>
      </c>
      <c r="AF776" s="19" t="str">
        <f>VLOOKUP(C776,'2021-22 School Level AAFTE'!C:N,12,FALSE)</f>
        <v>No</v>
      </c>
    </row>
    <row r="777" spans="1:32" s="19" customFormat="1">
      <c r="A777" s="97" t="s">
        <v>2328</v>
      </c>
      <c r="B777" s="97" t="s">
        <v>474</v>
      </c>
      <c r="C777" s="95">
        <v>2391</v>
      </c>
      <c r="D777" s="95" t="s">
        <v>475</v>
      </c>
      <c r="E777" s="129">
        <f>VLOOKUP($C777,'2021-22 School Level AAFTE'!$C:$Z,11,FALSE)</f>
        <v>0.74853333333333338</v>
      </c>
      <c r="F777" s="129" t="str">
        <f>VLOOKUP($C777,'2021-22 School Level AAFTE'!$C:$Z,8,FALSE)</f>
        <v>Yes</v>
      </c>
      <c r="G777" s="129" t="str">
        <f>VLOOKUP($C777,'2021-22 School Level AAFTE'!$C:$Z,12,FALSE)</f>
        <v>No</v>
      </c>
      <c r="H777" s="127">
        <f>VLOOKUP($C777,'2021-22 School Level AAFTE'!$C:$I,7,FALSE)</f>
        <v>344.18</v>
      </c>
      <c r="I777" s="112">
        <f>IFERROR(IF(OR(G777="yes",F777= "yes"),VLOOKUP(C777,Summary!$B:$J,6,0),0),0)</f>
        <v>0</v>
      </c>
      <c r="J777" s="111">
        <f t="shared" si="144"/>
        <v>344.18</v>
      </c>
      <c r="K777" s="91">
        <f>VLOOKUP($A777,'2022-23 Salary &amp; Benefits'!$A:$I,3,FALSE)</f>
        <v>1</v>
      </c>
      <c r="L777" s="91">
        <f>VLOOKUP($A777,'2022-23 Salary &amp; Benefits'!$A:$I,4,FALSE)</f>
        <v>1</v>
      </c>
      <c r="M777" s="101">
        <f t="shared" si="151"/>
        <v>344.18</v>
      </c>
      <c r="N777" s="24">
        <v>15</v>
      </c>
      <c r="O777" s="26">
        <f t="shared" si="142"/>
        <v>22.945333333333334</v>
      </c>
      <c r="P777" s="24">
        <v>1.1000000000000001</v>
      </c>
      <c r="Q777" s="24">
        <v>36</v>
      </c>
      <c r="R777" s="27">
        <f t="shared" si="143"/>
        <v>908.63520000000005</v>
      </c>
      <c r="S777" s="102">
        <f t="shared" si="145"/>
        <v>1.01</v>
      </c>
      <c r="T777" s="21">
        <f>VLOOKUP($A777,'2022-23 Salary &amp; Benefits'!$A:$I,5,FALSE)</f>
        <v>68937</v>
      </c>
      <c r="U777" s="21">
        <f>VLOOKUP($A777,'2022-23 Salary &amp; Benefits'!$A:$I,6,FALSE)</f>
        <v>72728</v>
      </c>
      <c r="V777" s="22">
        <f t="shared" si="146"/>
        <v>69626.37</v>
      </c>
      <c r="W777" s="22">
        <f t="shared" si="147"/>
        <v>3828.9100000000035</v>
      </c>
      <c r="X777" s="22">
        <f>'2022-23 Salary &amp; Benefits'!$G$6</f>
        <v>12558.24</v>
      </c>
      <c r="Y777" s="23">
        <f>'2022-23 Salary &amp; Benefits'!$H$6</f>
        <v>0.2298</v>
      </c>
      <c r="Z777" s="23">
        <f>'2022-23 Salary &amp; Benefits'!$I$6</f>
        <v>0.22339999999999999</v>
      </c>
      <c r="AA777" s="22">
        <f t="shared" si="148"/>
        <v>29539.34</v>
      </c>
      <c r="AB777" s="22">
        <f t="shared" si="149"/>
        <v>1224.25</v>
      </c>
      <c r="AC777" s="22">
        <f t="shared" si="150"/>
        <v>273.5</v>
      </c>
      <c r="AD777" s="22">
        <f t="shared" si="152"/>
        <v>1497.75</v>
      </c>
      <c r="AE777" s="22">
        <f t="shared" si="153"/>
        <v>104492.37</v>
      </c>
      <c r="AF777" s="19" t="str">
        <f>VLOOKUP(C777,'2021-22 School Level AAFTE'!C:N,12,FALSE)</f>
        <v>No</v>
      </c>
    </row>
    <row r="778" spans="1:32" s="19" customFormat="1">
      <c r="A778" s="97" t="s">
        <v>2328</v>
      </c>
      <c r="B778" s="97" t="s">
        <v>474</v>
      </c>
      <c r="C778" s="95">
        <v>2972</v>
      </c>
      <c r="D778" s="95" t="s">
        <v>476</v>
      </c>
      <c r="E778" s="129">
        <f>VLOOKUP($C778,'2021-22 School Level AAFTE'!$C:$Z,11,FALSE)</f>
        <v>0.77796666666666658</v>
      </c>
      <c r="F778" s="129" t="str">
        <f>VLOOKUP($C778,'2021-22 School Level AAFTE'!$C:$Z,8,FALSE)</f>
        <v>Yes</v>
      </c>
      <c r="G778" s="129" t="str">
        <f>VLOOKUP($C778,'2021-22 School Level AAFTE'!$C:$Z,12,FALSE)</f>
        <v>No</v>
      </c>
      <c r="H778" s="127">
        <f>VLOOKUP($C778,'2021-22 School Level AAFTE'!$C:$I,7,FALSE)</f>
        <v>226</v>
      </c>
      <c r="I778" s="112">
        <f>IFERROR(IF(OR(G778="yes",F778= "yes"),VLOOKUP(C778,Summary!$B:$J,6,0),0),0)</f>
        <v>0</v>
      </c>
      <c r="J778" s="111">
        <f t="shared" si="144"/>
        <v>226</v>
      </c>
      <c r="K778" s="91">
        <f>VLOOKUP($A778,'2022-23 Salary &amp; Benefits'!$A:$I,3,FALSE)</f>
        <v>1</v>
      </c>
      <c r="L778" s="91">
        <f>VLOOKUP($A778,'2022-23 Salary &amp; Benefits'!$A:$I,4,FALSE)</f>
        <v>1</v>
      </c>
      <c r="M778" s="101">
        <f t="shared" si="151"/>
        <v>226</v>
      </c>
      <c r="N778" s="24">
        <v>15</v>
      </c>
      <c r="O778" s="26">
        <f t="shared" ref="O778:O841" si="154">IF(M778="no",0,M778/N778)</f>
        <v>15.066666666666666</v>
      </c>
      <c r="P778" s="24">
        <v>1.1000000000000001</v>
      </c>
      <c r="Q778" s="24">
        <v>36</v>
      </c>
      <c r="R778" s="27">
        <f t="shared" ref="R778:R841" si="155">IF(M778="no",0,O778*P778*Q778)</f>
        <v>596.64</v>
      </c>
      <c r="S778" s="102">
        <f t="shared" si="145"/>
        <v>0.66300000000000003</v>
      </c>
      <c r="T778" s="21">
        <f>VLOOKUP($A778,'2022-23 Salary &amp; Benefits'!$A:$I,5,FALSE)</f>
        <v>68937</v>
      </c>
      <c r="U778" s="21">
        <f>VLOOKUP($A778,'2022-23 Salary &amp; Benefits'!$A:$I,6,FALSE)</f>
        <v>72728</v>
      </c>
      <c r="V778" s="22">
        <f t="shared" si="146"/>
        <v>45705.23</v>
      </c>
      <c r="W778" s="22">
        <f t="shared" si="147"/>
        <v>2513.4300000000003</v>
      </c>
      <c r="X778" s="22">
        <f>'2022-23 Salary &amp; Benefits'!$G$6</f>
        <v>12558.24</v>
      </c>
      <c r="Y778" s="23">
        <f>'2022-23 Salary &amp; Benefits'!$H$6</f>
        <v>0.2298</v>
      </c>
      <c r="Z778" s="23">
        <f>'2022-23 Salary &amp; Benefits'!$I$6</f>
        <v>0.22339999999999999</v>
      </c>
      <c r="AA778" s="22">
        <f t="shared" si="148"/>
        <v>19390.68</v>
      </c>
      <c r="AB778" s="22">
        <f t="shared" si="149"/>
        <v>803.64</v>
      </c>
      <c r="AC778" s="22">
        <f t="shared" si="150"/>
        <v>179.53</v>
      </c>
      <c r="AD778" s="22">
        <f t="shared" si="152"/>
        <v>983.17</v>
      </c>
      <c r="AE778" s="22">
        <f t="shared" si="153"/>
        <v>68592.509999999995</v>
      </c>
      <c r="AF778" s="19" t="str">
        <f>VLOOKUP(C778,'2021-22 School Level AAFTE'!C:N,12,FALSE)</f>
        <v>No</v>
      </c>
    </row>
    <row r="779" spans="1:32" s="19" customFormat="1">
      <c r="A779" s="97" t="s">
        <v>2328</v>
      </c>
      <c r="B779" s="97" t="s">
        <v>474</v>
      </c>
      <c r="C779" s="95">
        <v>3621</v>
      </c>
      <c r="D779" s="95" t="s">
        <v>477</v>
      </c>
      <c r="E779" s="129">
        <f>VLOOKUP($C779,'2021-22 School Level AAFTE'!$C:$Z,11,FALSE)</f>
        <v>0.77596666666666669</v>
      </c>
      <c r="F779" s="129" t="str">
        <f>VLOOKUP($C779,'2021-22 School Level AAFTE'!$C:$Z,8,FALSE)</f>
        <v>Yes</v>
      </c>
      <c r="G779" s="129" t="str">
        <f>VLOOKUP($C779,'2021-22 School Level AAFTE'!$C:$Z,12,FALSE)</f>
        <v>No</v>
      </c>
      <c r="H779" s="127">
        <f>VLOOKUP($C779,'2021-22 School Level AAFTE'!$C:$I,7,FALSE)</f>
        <v>200.14</v>
      </c>
      <c r="I779" s="112">
        <f>IFERROR(IF(OR(G779="yes",F779= "yes"),VLOOKUP(C779,Summary!$B:$J,6,0),0),0)</f>
        <v>0</v>
      </c>
      <c r="J779" s="111">
        <f t="shared" ref="J779:J842" si="156">IF(OR(G779="yes",F779= "yes"), H779,0)</f>
        <v>200.14</v>
      </c>
      <c r="K779" s="91">
        <f>VLOOKUP($A779,'2022-23 Salary &amp; Benefits'!$A:$I,3,FALSE)</f>
        <v>1</v>
      </c>
      <c r="L779" s="91">
        <f>VLOOKUP($A779,'2022-23 Salary &amp; Benefits'!$A:$I,4,FALSE)</f>
        <v>1</v>
      </c>
      <c r="M779" s="39">
        <f t="shared" si="151"/>
        <v>200.14</v>
      </c>
      <c r="N779" s="24">
        <v>15</v>
      </c>
      <c r="O779" s="26">
        <f t="shared" si="154"/>
        <v>13.342666666666666</v>
      </c>
      <c r="P779" s="24">
        <v>1.1000000000000001</v>
      </c>
      <c r="Q779" s="24">
        <v>36</v>
      </c>
      <c r="R779" s="27">
        <f t="shared" si="155"/>
        <v>528.36959999999999</v>
      </c>
      <c r="S779" s="102">
        <f t="shared" ref="S779:S842" si="157">ROUND(IF(M779="no",0,R779/900),3)</f>
        <v>0.58699999999999997</v>
      </c>
      <c r="T779" s="21">
        <f>VLOOKUP($A779,'2022-23 Salary &amp; Benefits'!$A:$I,5,FALSE)</f>
        <v>68937</v>
      </c>
      <c r="U779" s="21">
        <f>VLOOKUP($A779,'2022-23 Salary &amp; Benefits'!$A:$I,6,FALSE)</f>
        <v>72728</v>
      </c>
      <c r="V779" s="22">
        <f t="shared" ref="V779:V842" si="158">ROUND($K779*$T779*$S779,2)</f>
        <v>40466.019999999997</v>
      </c>
      <c r="W779" s="22">
        <f t="shared" ref="W779:W842" si="159">ROUND($L779*$U779*$S779,2)-V779</f>
        <v>2225.3199999999997</v>
      </c>
      <c r="X779" s="22">
        <f>'2022-23 Salary &amp; Benefits'!$G$6</f>
        <v>12558.24</v>
      </c>
      <c r="Y779" s="23">
        <f>'2022-23 Salary &amp; Benefits'!$H$6</f>
        <v>0.2298</v>
      </c>
      <c r="Z779" s="23">
        <f>'2022-23 Salary &amp; Benefits'!$I$6</f>
        <v>0.22339999999999999</v>
      </c>
      <c r="AA779" s="22">
        <f t="shared" ref="AA779:AA842" si="160">ROUND(V779*Y779+W779*Z779+S779*X779,2)</f>
        <v>17167.91</v>
      </c>
      <c r="AB779" s="22">
        <f t="shared" ref="AB779:AB842" si="161">ROUND(($U779*$L779*$S779/180*3),2)</f>
        <v>711.52</v>
      </c>
      <c r="AC779" s="22">
        <f t="shared" ref="AC779:AC842" si="162">ROUND(AB779*Z779,2)</f>
        <v>158.94999999999999</v>
      </c>
      <c r="AD779" s="22">
        <f t="shared" si="152"/>
        <v>870.47</v>
      </c>
      <c r="AE779" s="22">
        <f t="shared" si="153"/>
        <v>60729.719999999994</v>
      </c>
      <c r="AF779" s="19" t="str">
        <f>VLOOKUP(C779,'2021-22 School Level AAFTE'!C:N,12,FALSE)</f>
        <v>No</v>
      </c>
    </row>
    <row r="780" spans="1:32" s="19" customFormat="1">
      <c r="A780" s="97" t="s">
        <v>2328</v>
      </c>
      <c r="B780" s="97" t="s">
        <v>474</v>
      </c>
      <c r="C780" s="95">
        <v>3622</v>
      </c>
      <c r="D780" s="95" t="s">
        <v>478</v>
      </c>
      <c r="E780" s="129">
        <f>VLOOKUP($C780,'2021-22 School Level AAFTE'!$C:$Z,11,FALSE)</f>
        <v>0.67003333333333337</v>
      </c>
      <c r="F780" s="129" t="str">
        <f>VLOOKUP($C780,'2021-22 School Level AAFTE'!$C:$Z,8,FALSE)</f>
        <v>Yes</v>
      </c>
      <c r="G780" s="129" t="str">
        <f>VLOOKUP($C780,'2021-22 School Level AAFTE'!$C:$Z,12,FALSE)</f>
        <v>No</v>
      </c>
      <c r="H780" s="127">
        <f>VLOOKUP($C780,'2021-22 School Level AAFTE'!$C:$I,7,FALSE)</f>
        <v>456.40000000000003</v>
      </c>
      <c r="I780" s="112">
        <f>IFERROR(IF(OR(G780="yes",F780= "yes"),VLOOKUP(C780,Summary!$B:$J,6,0),0),0)</f>
        <v>0</v>
      </c>
      <c r="J780" s="111">
        <f t="shared" si="156"/>
        <v>456.40000000000003</v>
      </c>
      <c r="K780" s="91">
        <f>VLOOKUP($A780,'2022-23 Salary &amp; Benefits'!$A:$I,3,FALSE)</f>
        <v>1</v>
      </c>
      <c r="L780" s="91">
        <f>VLOOKUP($A780,'2022-23 Salary &amp; Benefits'!$A:$I,4,FALSE)</f>
        <v>1</v>
      </c>
      <c r="M780" s="101">
        <f t="shared" si="151"/>
        <v>456.40000000000003</v>
      </c>
      <c r="N780" s="24">
        <v>15</v>
      </c>
      <c r="O780" s="26">
        <f t="shared" si="154"/>
        <v>30.426666666666669</v>
      </c>
      <c r="P780" s="24">
        <v>1.1000000000000001</v>
      </c>
      <c r="Q780" s="24">
        <v>36</v>
      </c>
      <c r="R780" s="27">
        <f t="shared" si="155"/>
        <v>1204.8960000000002</v>
      </c>
      <c r="S780" s="102">
        <f t="shared" si="157"/>
        <v>1.339</v>
      </c>
      <c r="T780" s="21">
        <f>VLOOKUP($A780,'2022-23 Salary &amp; Benefits'!$A:$I,5,FALSE)</f>
        <v>68937</v>
      </c>
      <c r="U780" s="21">
        <f>VLOOKUP($A780,'2022-23 Salary &amp; Benefits'!$A:$I,6,FALSE)</f>
        <v>72728</v>
      </c>
      <c r="V780" s="22">
        <f t="shared" si="158"/>
        <v>92306.64</v>
      </c>
      <c r="W780" s="22">
        <f t="shared" si="159"/>
        <v>5076.1499999999942</v>
      </c>
      <c r="X780" s="22">
        <f>'2022-23 Salary &amp; Benefits'!$G$6</f>
        <v>12558.24</v>
      </c>
      <c r="Y780" s="23">
        <f>'2022-23 Salary &amp; Benefits'!$H$6</f>
        <v>0.2298</v>
      </c>
      <c r="Z780" s="23">
        <f>'2022-23 Salary &amp; Benefits'!$I$6</f>
        <v>0.22339999999999999</v>
      </c>
      <c r="AA780" s="22">
        <f t="shared" si="160"/>
        <v>39161.56</v>
      </c>
      <c r="AB780" s="22">
        <f t="shared" si="161"/>
        <v>1623.05</v>
      </c>
      <c r="AC780" s="22">
        <f t="shared" si="162"/>
        <v>362.59</v>
      </c>
      <c r="AD780" s="22">
        <f t="shared" si="152"/>
        <v>1985.6399999999999</v>
      </c>
      <c r="AE780" s="22">
        <f t="shared" si="153"/>
        <v>138529.99000000002</v>
      </c>
      <c r="AF780" s="19" t="str">
        <f>VLOOKUP(C780,'2021-22 School Level AAFTE'!C:N,12,FALSE)</f>
        <v>No</v>
      </c>
    </row>
    <row r="781" spans="1:32" s="19" customFormat="1">
      <c r="A781" s="97" t="s">
        <v>2328</v>
      </c>
      <c r="B781" s="97" t="s">
        <v>474</v>
      </c>
      <c r="C781" s="95">
        <v>5191</v>
      </c>
      <c r="D781" s="95" t="s">
        <v>479</v>
      </c>
      <c r="E781" s="129">
        <f>VLOOKUP($C781,'2021-22 School Level AAFTE'!$C:$Z,11,FALSE)</f>
        <v>0.67903333333333338</v>
      </c>
      <c r="F781" s="129" t="str">
        <f>VLOOKUP($C781,'2021-22 School Level AAFTE'!$C:$Z,8,FALSE)</f>
        <v>Yes</v>
      </c>
      <c r="G781" s="129" t="str">
        <f>VLOOKUP($C781,'2021-22 School Level AAFTE'!$C:$Z,12,FALSE)</f>
        <v>No</v>
      </c>
      <c r="H781" s="127">
        <f>VLOOKUP($C781,'2021-22 School Level AAFTE'!$C:$I,7,FALSE)</f>
        <v>126.43</v>
      </c>
      <c r="I781" s="112">
        <f>IFERROR(IF(OR(G781="yes",F781= "yes"),VLOOKUP(C781,Summary!$B:$J,6,0),0),0)</f>
        <v>0</v>
      </c>
      <c r="J781" s="111">
        <f t="shared" si="156"/>
        <v>126.43</v>
      </c>
      <c r="K781" s="91">
        <f>VLOOKUP($A781,'2022-23 Salary &amp; Benefits'!$A:$I,3,FALSE)</f>
        <v>1</v>
      </c>
      <c r="L781" s="91">
        <f>VLOOKUP($A781,'2022-23 Salary &amp; Benefits'!$A:$I,4,FALSE)</f>
        <v>1</v>
      </c>
      <c r="M781" s="101">
        <f t="shared" si="151"/>
        <v>126.43</v>
      </c>
      <c r="N781" s="24">
        <v>15</v>
      </c>
      <c r="O781" s="26">
        <f t="shared" si="154"/>
        <v>8.4286666666666665</v>
      </c>
      <c r="P781" s="24">
        <v>1.1000000000000001</v>
      </c>
      <c r="Q781" s="24">
        <v>36</v>
      </c>
      <c r="R781" s="27">
        <f t="shared" si="155"/>
        <v>333.77520000000004</v>
      </c>
      <c r="S781" s="102">
        <f t="shared" si="157"/>
        <v>0.371</v>
      </c>
      <c r="T781" s="21">
        <f>VLOOKUP($A781,'2022-23 Salary &amp; Benefits'!$A:$I,5,FALSE)</f>
        <v>68937</v>
      </c>
      <c r="U781" s="21">
        <f>VLOOKUP($A781,'2022-23 Salary &amp; Benefits'!$A:$I,6,FALSE)</f>
        <v>72728</v>
      </c>
      <c r="V781" s="22">
        <f t="shared" si="158"/>
        <v>25575.63</v>
      </c>
      <c r="W781" s="22">
        <f t="shared" si="159"/>
        <v>1406.4599999999991</v>
      </c>
      <c r="X781" s="22">
        <f>'2022-23 Salary &amp; Benefits'!$G$6</f>
        <v>12558.24</v>
      </c>
      <c r="Y781" s="23">
        <f>'2022-23 Salary &amp; Benefits'!$H$6</f>
        <v>0.2298</v>
      </c>
      <c r="Z781" s="23">
        <f>'2022-23 Salary &amp; Benefits'!$I$6</f>
        <v>0.22339999999999999</v>
      </c>
      <c r="AA781" s="22">
        <f t="shared" si="160"/>
        <v>10850.59</v>
      </c>
      <c r="AB781" s="22">
        <f t="shared" si="161"/>
        <v>449.7</v>
      </c>
      <c r="AC781" s="22">
        <f t="shared" si="162"/>
        <v>100.46</v>
      </c>
      <c r="AD781" s="22">
        <f t="shared" si="152"/>
        <v>550.16</v>
      </c>
      <c r="AE781" s="22">
        <f t="shared" si="153"/>
        <v>38382.840000000004</v>
      </c>
      <c r="AF781" s="19" t="str">
        <f>VLOOKUP(C781,'2021-22 School Level AAFTE'!C:N,12,FALSE)</f>
        <v>No</v>
      </c>
    </row>
    <row r="782" spans="1:32" s="19" customFormat="1">
      <c r="A782" s="97" t="s">
        <v>2708</v>
      </c>
      <c r="B782" s="97" t="s">
        <v>2885</v>
      </c>
      <c r="C782" s="95">
        <v>5517</v>
      </c>
      <c r="D782" s="95" t="s">
        <v>2885</v>
      </c>
      <c r="E782" s="129">
        <f>VLOOKUP($C782,'2021-22 School Level AAFTE'!$C:$Z,11,FALSE)</f>
        <v>0.62596666666666667</v>
      </c>
      <c r="F782" s="129" t="str">
        <f>VLOOKUP($C782,'2021-22 School Level AAFTE'!$C:$Z,8,FALSE)</f>
        <v>Yes</v>
      </c>
      <c r="G782" s="129" t="str">
        <f>VLOOKUP($C782,'2021-22 School Level AAFTE'!$C:$Z,12,FALSE)</f>
        <v>No</v>
      </c>
      <c r="H782" s="127">
        <f>VLOOKUP($C782,'2021-22 School Level AAFTE'!$C:$I,7,FALSE)</f>
        <v>591.14</v>
      </c>
      <c r="I782" s="112">
        <f>IFERROR(IF(OR(G782="yes",F782= "yes"),VLOOKUP(C782,Summary!$B:$J,6,0),0),0)</f>
        <v>0</v>
      </c>
      <c r="J782" s="111">
        <f t="shared" si="156"/>
        <v>591.14</v>
      </c>
      <c r="K782" s="91">
        <f>VLOOKUP($A782,'2022-23 Salary &amp; Benefits'!$A:$I,3,FALSE)</f>
        <v>1.18</v>
      </c>
      <c r="L782" s="91">
        <f>VLOOKUP($A782,'2022-23 Salary &amp; Benefits'!$A:$I,4,FALSE)</f>
        <v>1.18</v>
      </c>
      <c r="M782" s="101">
        <f t="shared" si="151"/>
        <v>591.14</v>
      </c>
      <c r="N782" s="24">
        <v>15</v>
      </c>
      <c r="O782" s="26">
        <f t="shared" si="154"/>
        <v>39.409333333333329</v>
      </c>
      <c r="P782" s="24">
        <v>1.1000000000000001</v>
      </c>
      <c r="Q782" s="24">
        <v>36</v>
      </c>
      <c r="R782" s="27">
        <f t="shared" si="155"/>
        <v>1560.6095999999998</v>
      </c>
      <c r="S782" s="102">
        <f t="shared" si="157"/>
        <v>1.734</v>
      </c>
      <c r="T782" s="21">
        <f>VLOOKUP($A782,'2022-23 Salary &amp; Benefits'!$A:$I,5,FALSE)</f>
        <v>68937</v>
      </c>
      <c r="U782" s="21">
        <f>VLOOKUP($A782,'2022-23 Salary &amp; Benefits'!$A:$I,6,FALSE)</f>
        <v>72728</v>
      </c>
      <c r="V782" s="22">
        <f t="shared" si="158"/>
        <v>141053.37</v>
      </c>
      <c r="W782" s="22">
        <f t="shared" si="159"/>
        <v>7756.8500000000058</v>
      </c>
      <c r="X782" s="22">
        <f>'2022-23 Salary &amp; Benefits'!$G$6</f>
        <v>12558.24</v>
      </c>
      <c r="Y782" s="23">
        <f>'2022-23 Salary &amp; Benefits'!$H$6</f>
        <v>0.2298</v>
      </c>
      <c r="Z782" s="23">
        <f>'2022-23 Salary &amp; Benefits'!$I$6</f>
        <v>0.22339999999999999</v>
      </c>
      <c r="AA782" s="22">
        <f t="shared" si="160"/>
        <v>55922.93</v>
      </c>
      <c r="AB782" s="22">
        <f t="shared" si="161"/>
        <v>2480.17</v>
      </c>
      <c r="AC782" s="22">
        <f t="shared" si="162"/>
        <v>554.07000000000005</v>
      </c>
      <c r="AD782" s="22">
        <f t="shared" si="152"/>
        <v>3034.2400000000002</v>
      </c>
      <c r="AE782" s="22">
        <f t="shared" si="153"/>
        <v>207767.38999999998</v>
      </c>
      <c r="AF782" s="19" t="str">
        <f>VLOOKUP(C782,'2021-22 School Level AAFTE'!C:N,12,FALSE)</f>
        <v>No</v>
      </c>
    </row>
    <row r="783" spans="1:32" s="19" customFormat="1">
      <c r="A783" s="97" t="s">
        <v>2853</v>
      </c>
      <c r="B783" s="97" t="s">
        <v>2886</v>
      </c>
      <c r="C783" s="95">
        <v>5608</v>
      </c>
      <c r="D783" s="95" t="s">
        <v>2886</v>
      </c>
      <c r="E783" s="129">
        <f>VLOOKUP($C783,'2021-22 School Level AAFTE'!$C:$Z,11,FALSE)</f>
        <v>0.49814999999999998</v>
      </c>
      <c r="F783" s="129" t="str">
        <f>VLOOKUP($C783,'2021-22 School Level AAFTE'!$C:$Z,8,FALSE)</f>
        <v>No</v>
      </c>
      <c r="G783" s="129" t="str">
        <f>VLOOKUP($C783,'2021-22 School Level AAFTE'!$C:$Z,12,FALSE)</f>
        <v>No</v>
      </c>
      <c r="H783" s="127">
        <f>VLOOKUP($C783,'2021-22 School Level AAFTE'!$C:$I,7,FALSE)</f>
        <v>284.86</v>
      </c>
      <c r="I783" s="112">
        <f>IFERROR(IF(OR(G783="yes",F783= "yes"),VLOOKUP(C783,Summary!$B:$J,6,0),0),0)</f>
        <v>0</v>
      </c>
      <c r="J783" s="111">
        <f t="shared" si="156"/>
        <v>0</v>
      </c>
      <c r="K783" s="91">
        <f>VLOOKUP($A783,'2022-23 Salary &amp; Benefits'!$A:$I,3,FALSE)</f>
        <v>1.18</v>
      </c>
      <c r="L783" s="91">
        <f>VLOOKUP($A783,'2022-23 Salary &amp; Benefits'!$A:$I,4,FALSE)</f>
        <v>1.18</v>
      </c>
      <c r="M783" s="101">
        <f t="shared" si="151"/>
        <v>0</v>
      </c>
      <c r="N783" s="24">
        <v>15</v>
      </c>
      <c r="O783" s="26">
        <f t="shared" si="154"/>
        <v>0</v>
      </c>
      <c r="P783" s="24">
        <v>1.1000000000000001</v>
      </c>
      <c r="Q783" s="24">
        <v>36</v>
      </c>
      <c r="R783" s="27">
        <f t="shared" si="155"/>
        <v>0</v>
      </c>
      <c r="S783" s="102">
        <f t="shared" si="157"/>
        <v>0</v>
      </c>
      <c r="T783" s="21">
        <f>VLOOKUP($A783,'2022-23 Salary &amp; Benefits'!$A:$I,5,FALSE)</f>
        <v>68937</v>
      </c>
      <c r="U783" s="21">
        <f>VLOOKUP($A783,'2022-23 Salary &amp; Benefits'!$A:$I,6,FALSE)</f>
        <v>72728</v>
      </c>
      <c r="V783" s="22">
        <f t="shared" si="158"/>
        <v>0</v>
      </c>
      <c r="W783" s="22">
        <f t="shared" si="159"/>
        <v>0</v>
      </c>
      <c r="X783" s="22">
        <f>'2022-23 Salary &amp; Benefits'!$G$6</f>
        <v>12558.24</v>
      </c>
      <c r="Y783" s="23">
        <f>'2022-23 Salary &amp; Benefits'!$H$6</f>
        <v>0.2298</v>
      </c>
      <c r="Z783" s="23">
        <f>'2022-23 Salary &amp; Benefits'!$I$6</f>
        <v>0.22339999999999999</v>
      </c>
      <c r="AA783" s="22">
        <f t="shared" si="160"/>
        <v>0</v>
      </c>
      <c r="AB783" s="22">
        <f t="shared" si="161"/>
        <v>0</v>
      </c>
      <c r="AC783" s="22">
        <f t="shared" si="162"/>
        <v>0</v>
      </c>
      <c r="AD783" s="22">
        <f t="shared" si="152"/>
        <v>0</v>
      </c>
      <c r="AE783" s="22">
        <f t="shared" si="153"/>
        <v>0</v>
      </c>
      <c r="AF783" s="19" t="str">
        <f>VLOOKUP(C783,'2021-22 School Level AAFTE'!C:N,12,FALSE)</f>
        <v>No</v>
      </c>
    </row>
    <row r="784" spans="1:32" s="19" customFormat="1">
      <c r="A784" s="97" t="s">
        <v>2953</v>
      </c>
      <c r="B784" s="97" t="s">
        <v>2987</v>
      </c>
      <c r="C784" s="95">
        <v>5661</v>
      </c>
      <c r="D784" s="95" t="s">
        <v>3018</v>
      </c>
      <c r="E784" s="129">
        <f>VLOOKUP($C784,'2021-22 School Level AAFTE'!$C:$Z,11,FALSE)</f>
        <v>0.54679999999999995</v>
      </c>
      <c r="F784" s="129" t="str">
        <f>VLOOKUP($C784,'2021-22 School Level AAFTE'!$C:$Z,8,FALSE)</f>
        <v>Yes</v>
      </c>
      <c r="G784" s="129" t="str">
        <f>VLOOKUP($C784,'2021-22 School Level AAFTE'!$C:$Z,12,FALSE)</f>
        <v>No</v>
      </c>
      <c r="H784" s="127">
        <f>VLOOKUP($C784,'2021-22 School Level AAFTE'!$C:$I,7,FALSE)</f>
        <v>265.86</v>
      </c>
      <c r="I784" s="112">
        <f>IFERROR(IF(OR(G784="yes",F784= "yes"),VLOOKUP(C784,Summary!$B:$J,6,0),0),0)</f>
        <v>0</v>
      </c>
      <c r="J784" s="111">
        <f t="shared" si="156"/>
        <v>265.86</v>
      </c>
      <c r="K784" s="91">
        <f>VLOOKUP($A784,'2022-23 Salary &amp; Benefits'!$A:$I,3,FALSE)</f>
        <v>1.1200000000000001</v>
      </c>
      <c r="L784" s="91">
        <f>VLOOKUP($A784,'2022-23 Salary &amp; Benefits'!$A:$I,4,FALSE)</f>
        <v>1.1200000000000001</v>
      </c>
      <c r="M784" s="39">
        <f t="shared" si="151"/>
        <v>265.86</v>
      </c>
      <c r="N784" s="24">
        <v>15</v>
      </c>
      <c r="O784" s="26">
        <f t="shared" si="154"/>
        <v>17.724</v>
      </c>
      <c r="P784" s="24">
        <v>1.1000000000000001</v>
      </c>
      <c r="Q784" s="24">
        <v>36</v>
      </c>
      <c r="R784" s="27">
        <f t="shared" si="155"/>
        <v>701.87040000000002</v>
      </c>
      <c r="S784" s="102">
        <f t="shared" si="157"/>
        <v>0.78</v>
      </c>
      <c r="T784" s="21">
        <f>VLOOKUP($A784,'2022-23 Salary &amp; Benefits'!$A:$I,5,FALSE)</f>
        <v>68937</v>
      </c>
      <c r="U784" s="21">
        <f>VLOOKUP($A784,'2022-23 Salary &amp; Benefits'!$A:$I,6,FALSE)</f>
        <v>72728</v>
      </c>
      <c r="V784" s="22">
        <f t="shared" si="158"/>
        <v>60223.360000000001</v>
      </c>
      <c r="W784" s="22">
        <f t="shared" si="159"/>
        <v>3311.8199999999997</v>
      </c>
      <c r="X784" s="22">
        <f>'2022-23 Salary &amp; Benefits'!$G$6</f>
        <v>12558.24</v>
      </c>
      <c r="Y784" s="23">
        <f>'2022-23 Salary &amp; Benefits'!$H$6</f>
        <v>0.2298</v>
      </c>
      <c r="Z784" s="23">
        <f>'2022-23 Salary &amp; Benefits'!$I$6</f>
        <v>0.22339999999999999</v>
      </c>
      <c r="AA784" s="22">
        <f t="shared" si="160"/>
        <v>24374.62</v>
      </c>
      <c r="AB784" s="22">
        <f t="shared" si="161"/>
        <v>1058.92</v>
      </c>
      <c r="AC784" s="22">
        <f t="shared" si="162"/>
        <v>236.56</v>
      </c>
      <c r="AD784" s="22">
        <f t="shared" si="152"/>
        <v>1295.48</v>
      </c>
      <c r="AE784" s="22">
        <f t="shared" si="153"/>
        <v>89205.279999999984</v>
      </c>
      <c r="AF784" s="19" t="str">
        <f>VLOOKUP(C784,'2021-22 School Level AAFTE'!C:N,12,FALSE)</f>
        <v>No</v>
      </c>
    </row>
    <row r="785" spans="1:32" s="19" customFormat="1">
      <c r="A785" s="97" t="s">
        <v>2310</v>
      </c>
      <c r="B785" s="97" t="s">
        <v>363</v>
      </c>
      <c r="C785" s="95">
        <v>2603</v>
      </c>
      <c r="D785" s="95" t="s">
        <v>364</v>
      </c>
      <c r="E785" s="129">
        <f>VLOOKUP($C785,'2021-22 School Level AAFTE'!$C:$Z,11,FALSE)</f>
        <v>0.66033333333333333</v>
      </c>
      <c r="F785" s="129" t="str">
        <f>VLOOKUP($C785,'2021-22 School Level AAFTE'!$C:$Z,8,FALSE)</f>
        <v>Yes</v>
      </c>
      <c r="G785" s="129" t="str">
        <f>VLOOKUP($C785,'2021-22 School Level AAFTE'!$C:$Z,12,FALSE)</f>
        <v>No</v>
      </c>
      <c r="H785" s="127">
        <f>VLOOKUP($C785,'2021-22 School Level AAFTE'!$C:$I,7,FALSE)</f>
        <v>66.92</v>
      </c>
      <c r="I785" s="112">
        <f>IFERROR(IF(OR(G785="yes",F785= "yes"),VLOOKUP(C785,Summary!$B:$J,6,0),0),0)</f>
        <v>0</v>
      </c>
      <c r="J785" s="111">
        <f t="shared" si="156"/>
        <v>66.92</v>
      </c>
      <c r="K785" s="91">
        <f>VLOOKUP($A785,'2022-23 Salary &amp; Benefits'!$A:$I,3,FALSE)</f>
        <v>1</v>
      </c>
      <c r="L785" s="91">
        <f>VLOOKUP($A785,'2022-23 Salary &amp; Benefits'!$A:$I,4,FALSE)</f>
        <v>1</v>
      </c>
      <c r="M785" s="39">
        <f t="shared" si="151"/>
        <v>66.92</v>
      </c>
      <c r="N785" s="24">
        <v>15</v>
      </c>
      <c r="O785" s="26">
        <f t="shared" si="154"/>
        <v>4.4613333333333332</v>
      </c>
      <c r="P785" s="24">
        <v>1.1000000000000001</v>
      </c>
      <c r="Q785" s="24">
        <v>36</v>
      </c>
      <c r="R785" s="27">
        <f t="shared" si="155"/>
        <v>176.6688</v>
      </c>
      <c r="S785" s="102">
        <f t="shared" si="157"/>
        <v>0.19600000000000001</v>
      </c>
      <c r="T785" s="21">
        <f>VLOOKUP($A785,'2022-23 Salary &amp; Benefits'!$A:$I,5,FALSE)</f>
        <v>68937</v>
      </c>
      <c r="U785" s="21">
        <f>VLOOKUP($A785,'2022-23 Salary &amp; Benefits'!$A:$I,6,FALSE)</f>
        <v>72728</v>
      </c>
      <c r="V785" s="22">
        <f t="shared" si="158"/>
        <v>13511.65</v>
      </c>
      <c r="W785" s="22">
        <f t="shared" si="159"/>
        <v>743.04000000000087</v>
      </c>
      <c r="X785" s="22">
        <f>'2022-23 Salary &amp; Benefits'!$G$6</f>
        <v>12558.24</v>
      </c>
      <c r="Y785" s="23">
        <f>'2022-23 Salary &amp; Benefits'!$H$6</f>
        <v>0.2298</v>
      </c>
      <c r="Z785" s="23">
        <f>'2022-23 Salary &amp; Benefits'!$I$6</f>
        <v>0.22339999999999999</v>
      </c>
      <c r="AA785" s="22">
        <f t="shared" si="160"/>
        <v>5732.39</v>
      </c>
      <c r="AB785" s="22">
        <f t="shared" si="161"/>
        <v>237.58</v>
      </c>
      <c r="AC785" s="22">
        <f t="shared" si="162"/>
        <v>53.08</v>
      </c>
      <c r="AD785" s="22">
        <f t="shared" si="152"/>
        <v>290.66000000000003</v>
      </c>
      <c r="AE785" s="22">
        <f t="shared" si="153"/>
        <v>20277.740000000002</v>
      </c>
      <c r="AF785" s="19" t="str">
        <f>VLOOKUP(C785,'2021-22 School Level AAFTE'!C:N,12,FALSE)</f>
        <v>No</v>
      </c>
    </row>
    <row r="786" spans="1:32" s="19" customFormat="1">
      <c r="A786" s="97" t="s">
        <v>2310</v>
      </c>
      <c r="B786" s="97" t="s">
        <v>363</v>
      </c>
      <c r="C786" s="95">
        <v>4214</v>
      </c>
      <c r="D786" s="95" t="s">
        <v>365</v>
      </c>
      <c r="E786" s="129">
        <f>VLOOKUP($C786,'2021-22 School Level AAFTE'!$C:$Z,11,FALSE)</f>
        <v>0.78216666666666679</v>
      </c>
      <c r="F786" s="129" t="str">
        <f>VLOOKUP($C786,'2021-22 School Level AAFTE'!$C:$Z,8,FALSE)</f>
        <v>Yes</v>
      </c>
      <c r="G786" s="129" t="str">
        <f>VLOOKUP($C786,'2021-22 School Level AAFTE'!$C:$Z,12,FALSE)</f>
        <v>No</v>
      </c>
      <c r="H786" s="127">
        <f>VLOOKUP($C786,'2021-22 School Level AAFTE'!$C:$I,7,FALSE)</f>
        <v>54.14</v>
      </c>
      <c r="I786" s="112">
        <f>IFERROR(IF(OR(G786="yes",F786= "yes"),VLOOKUP(C786,Summary!$B:$J,6,0),0),0)</f>
        <v>0</v>
      </c>
      <c r="J786" s="111">
        <f t="shared" si="156"/>
        <v>54.14</v>
      </c>
      <c r="K786" s="91">
        <f>VLOOKUP($A786,'2022-23 Salary &amp; Benefits'!$A:$I,3,FALSE)</f>
        <v>1</v>
      </c>
      <c r="L786" s="91">
        <f>VLOOKUP($A786,'2022-23 Salary &amp; Benefits'!$A:$I,4,FALSE)</f>
        <v>1</v>
      </c>
      <c r="M786" s="101">
        <f t="shared" si="151"/>
        <v>54.14</v>
      </c>
      <c r="N786" s="24">
        <v>15</v>
      </c>
      <c r="O786" s="26">
        <f t="shared" si="154"/>
        <v>3.6093333333333333</v>
      </c>
      <c r="P786" s="24">
        <v>1.1000000000000001</v>
      </c>
      <c r="Q786" s="24">
        <v>36</v>
      </c>
      <c r="R786" s="27">
        <f t="shared" si="155"/>
        <v>142.92959999999999</v>
      </c>
      <c r="S786" s="102">
        <f t="shared" si="157"/>
        <v>0.159</v>
      </c>
      <c r="T786" s="21">
        <f>VLOOKUP($A786,'2022-23 Salary &amp; Benefits'!$A:$I,5,FALSE)</f>
        <v>68937</v>
      </c>
      <c r="U786" s="21">
        <f>VLOOKUP($A786,'2022-23 Salary &amp; Benefits'!$A:$I,6,FALSE)</f>
        <v>72728</v>
      </c>
      <c r="V786" s="22">
        <f t="shared" si="158"/>
        <v>10960.98</v>
      </c>
      <c r="W786" s="22">
        <f t="shared" si="159"/>
        <v>602.77000000000044</v>
      </c>
      <c r="X786" s="22">
        <f>'2022-23 Salary &amp; Benefits'!$G$6</f>
        <v>12558.24</v>
      </c>
      <c r="Y786" s="23">
        <f>'2022-23 Salary &amp; Benefits'!$H$6</f>
        <v>0.2298</v>
      </c>
      <c r="Z786" s="23">
        <f>'2022-23 Salary &amp; Benefits'!$I$6</f>
        <v>0.22339999999999999</v>
      </c>
      <c r="AA786" s="22">
        <f t="shared" si="160"/>
        <v>4650.25</v>
      </c>
      <c r="AB786" s="22">
        <f t="shared" si="161"/>
        <v>192.73</v>
      </c>
      <c r="AC786" s="22">
        <f t="shared" si="162"/>
        <v>43.06</v>
      </c>
      <c r="AD786" s="22">
        <f t="shared" si="152"/>
        <v>235.79</v>
      </c>
      <c r="AE786" s="22">
        <f t="shared" si="153"/>
        <v>16449.79</v>
      </c>
      <c r="AF786" s="19" t="str">
        <f>VLOOKUP(C786,'2021-22 School Level AAFTE'!C:N,12,FALSE)</f>
        <v>No</v>
      </c>
    </row>
    <row r="787" spans="1:32" s="19" customFormat="1">
      <c r="A787" s="97" t="s">
        <v>2310</v>
      </c>
      <c r="B787" s="97" t="s">
        <v>363</v>
      </c>
      <c r="C787" s="95">
        <v>4215</v>
      </c>
      <c r="D787" s="95" t="s">
        <v>366</v>
      </c>
      <c r="E787" s="129">
        <f>VLOOKUP($C787,'2021-22 School Level AAFTE'!$C:$Z,11,FALSE)</f>
        <v>0.71910000000000007</v>
      </c>
      <c r="F787" s="129" t="str">
        <f>VLOOKUP($C787,'2021-22 School Level AAFTE'!$C:$Z,8,FALSE)</f>
        <v>Yes</v>
      </c>
      <c r="G787" s="129" t="str">
        <f>VLOOKUP($C787,'2021-22 School Level AAFTE'!$C:$Z,12,FALSE)</f>
        <v>No</v>
      </c>
      <c r="H787" s="127">
        <f>VLOOKUP($C787,'2021-22 School Level AAFTE'!$C:$I,7,FALSE)</f>
        <v>102.57</v>
      </c>
      <c r="I787" s="112">
        <f>IFERROR(IF(OR(G787="yes",F787= "yes"),VLOOKUP(C787,Summary!$B:$J,6,0),0),0)</f>
        <v>0</v>
      </c>
      <c r="J787" s="111">
        <f t="shared" si="156"/>
        <v>102.57</v>
      </c>
      <c r="K787" s="91">
        <f>VLOOKUP($A787,'2022-23 Salary &amp; Benefits'!$A:$I,3,FALSE)</f>
        <v>1</v>
      </c>
      <c r="L787" s="91">
        <f>VLOOKUP($A787,'2022-23 Salary &amp; Benefits'!$A:$I,4,FALSE)</f>
        <v>1</v>
      </c>
      <c r="M787" s="39">
        <f t="shared" si="151"/>
        <v>102.57</v>
      </c>
      <c r="N787" s="24">
        <v>15</v>
      </c>
      <c r="O787" s="26">
        <f t="shared" si="154"/>
        <v>6.8379999999999992</v>
      </c>
      <c r="P787" s="24">
        <v>1.1000000000000001</v>
      </c>
      <c r="Q787" s="24">
        <v>36</v>
      </c>
      <c r="R787" s="27">
        <f t="shared" si="155"/>
        <v>270.78480000000002</v>
      </c>
      <c r="S787" s="102">
        <f t="shared" si="157"/>
        <v>0.30099999999999999</v>
      </c>
      <c r="T787" s="21">
        <f>VLOOKUP($A787,'2022-23 Salary &amp; Benefits'!$A:$I,5,FALSE)</f>
        <v>68937</v>
      </c>
      <c r="U787" s="21">
        <f>VLOOKUP($A787,'2022-23 Salary &amp; Benefits'!$A:$I,6,FALSE)</f>
        <v>72728</v>
      </c>
      <c r="V787" s="22">
        <f t="shared" si="158"/>
        <v>20750.04</v>
      </c>
      <c r="W787" s="22">
        <f t="shared" si="159"/>
        <v>1141.0900000000001</v>
      </c>
      <c r="X787" s="22">
        <f>'2022-23 Salary &amp; Benefits'!$G$6</f>
        <v>12558.24</v>
      </c>
      <c r="Y787" s="23">
        <f>'2022-23 Salary &amp; Benefits'!$H$6</f>
        <v>0.2298</v>
      </c>
      <c r="Z787" s="23">
        <f>'2022-23 Salary &amp; Benefits'!$I$6</f>
        <v>0.22339999999999999</v>
      </c>
      <c r="AA787" s="22">
        <f t="shared" si="160"/>
        <v>8803.31</v>
      </c>
      <c r="AB787" s="22">
        <f t="shared" si="161"/>
        <v>364.85</v>
      </c>
      <c r="AC787" s="22">
        <f t="shared" si="162"/>
        <v>81.510000000000005</v>
      </c>
      <c r="AD787" s="22">
        <f t="shared" si="152"/>
        <v>446.36</v>
      </c>
      <c r="AE787" s="22">
        <f t="shared" si="153"/>
        <v>31140.799999999999</v>
      </c>
      <c r="AF787" s="19" t="str">
        <f>VLOOKUP(C787,'2021-22 School Level AAFTE'!C:N,12,FALSE)</f>
        <v>No</v>
      </c>
    </row>
    <row r="788" spans="1:32" s="19" customFormat="1">
      <c r="A788" s="97" t="s">
        <v>2478</v>
      </c>
      <c r="B788" s="97" t="s">
        <v>1708</v>
      </c>
      <c r="C788" s="95">
        <v>2948</v>
      </c>
      <c r="D788" s="95" t="s">
        <v>1709</v>
      </c>
      <c r="E788" s="129">
        <f>VLOOKUP($C788,'2021-22 School Level AAFTE'!$C:$Z,11,FALSE)</f>
        <v>0.41473333333333334</v>
      </c>
      <c r="F788" s="129" t="str">
        <f>VLOOKUP($C788,'2021-22 School Level AAFTE'!$C:$Z,8,FALSE)</f>
        <v>No</v>
      </c>
      <c r="G788" s="129" t="str">
        <f>VLOOKUP($C788,'2021-22 School Level AAFTE'!$C:$Z,12,FALSE)</f>
        <v>No</v>
      </c>
      <c r="H788" s="127">
        <f>VLOOKUP($C788,'2021-22 School Level AAFTE'!$C:$I,7,FALSE)</f>
        <v>24.22</v>
      </c>
      <c r="I788" s="112">
        <f>IFERROR(IF(OR(G788="yes",F788= "yes"),VLOOKUP(C788,Summary!$B:$J,6,0),0),0)</f>
        <v>0</v>
      </c>
      <c r="J788" s="111">
        <f t="shared" si="156"/>
        <v>0</v>
      </c>
      <c r="K788" s="91">
        <f>VLOOKUP($A788,'2022-23 Salary &amp; Benefits'!$A:$I,3,FALSE)</f>
        <v>1.1200000000000001</v>
      </c>
      <c r="L788" s="91">
        <f>VLOOKUP($A788,'2022-23 Salary &amp; Benefits'!$A:$I,4,FALSE)</f>
        <v>1.1200000000000001</v>
      </c>
      <c r="M788" s="39">
        <f t="shared" si="151"/>
        <v>0</v>
      </c>
      <c r="N788" s="24">
        <v>15</v>
      </c>
      <c r="O788" s="26">
        <f t="shared" si="154"/>
        <v>0</v>
      </c>
      <c r="P788" s="24">
        <v>1.1000000000000001</v>
      </c>
      <c r="Q788" s="24">
        <v>36</v>
      </c>
      <c r="R788" s="27">
        <f t="shared" si="155"/>
        <v>0</v>
      </c>
      <c r="S788" s="102">
        <f t="shared" si="157"/>
        <v>0</v>
      </c>
      <c r="T788" s="21">
        <f>VLOOKUP($A788,'2022-23 Salary &amp; Benefits'!$A:$I,5,FALSE)</f>
        <v>68937</v>
      </c>
      <c r="U788" s="21">
        <f>VLOOKUP($A788,'2022-23 Salary &amp; Benefits'!$A:$I,6,FALSE)</f>
        <v>72728</v>
      </c>
      <c r="V788" s="22">
        <f t="shared" si="158"/>
        <v>0</v>
      </c>
      <c r="W788" s="22">
        <f t="shared" si="159"/>
        <v>0</v>
      </c>
      <c r="X788" s="22">
        <f>'2022-23 Salary &amp; Benefits'!$G$6</f>
        <v>12558.24</v>
      </c>
      <c r="Y788" s="23">
        <f>'2022-23 Salary &amp; Benefits'!$H$6</f>
        <v>0.2298</v>
      </c>
      <c r="Z788" s="23">
        <f>'2022-23 Salary &amp; Benefits'!$I$6</f>
        <v>0.22339999999999999</v>
      </c>
      <c r="AA788" s="22">
        <f t="shared" si="160"/>
        <v>0</v>
      </c>
      <c r="AB788" s="22">
        <f t="shared" si="161"/>
        <v>0</v>
      </c>
      <c r="AC788" s="22">
        <f t="shared" si="162"/>
        <v>0</v>
      </c>
      <c r="AD788" s="22">
        <f t="shared" si="152"/>
        <v>0</v>
      </c>
      <c r="AE788" s="22">
        <f t="shared" si="153"/>
        <v>0</v>
      </c>
      <c r="AF788" s="19" t="str">
        <f>VLOOKUP(C788,'2021-22 School Level AAFTE'!C:N,12,FALSE)</f>
        <v>No</v>
      </c>
    </row>
    <row r="789" spans="1:32" s="19" customFormat="1">
      <c r="A789" s="97" t="s">
        <v>2362</v>
      </c>
      <c r="B789" s="97" t="s">
        <v>846</v>
      </c>
      <c r="C789" s="95">
        <v>1624</v>
      </c>
      <c r="D789" s="95" t="s">
        <v>847</v>
      </c>
      <c r="E789" s="129">
        <f>VLOOKUP($C789,'2021-22 School Level AAFTE'!$C:$Z,11,FALSE)</f>
        <v>0.2024</v>
      </c>
      <c r="F789" s="129" t="str">
        <f>VLOOKUP($C789,'2021-22 School Level AAFTE'!$C:$Z,8,FALSE)</f>
        <v>No</v>
      </c>
      <c r="G789" s="129" t="str">
        <f>VLOOKUP($C789,'2021-22 School Level AAFTE'!$C:$Z,12,FALSE)</f>
        <v>No</v>
      </c>
      <c r="H789" s="127">
        <f>VLOOKUP($C789,'2021-22 School Level AAFTE'!$C:$I,7,FALSE)</f>
        <v>46.35</v>
      </c>
      <c r="I789" s="112">
        <f>IFERROR(IF(OR(G789="yes",F789= "yes"),VLOOKUP(C789,Summary!$B:$J,6,0),0),0)</f>
        <v>0</v>
      </c>
      <c r="J789" s="111">
        <f t="shared" si="156"/>
        <v>0</v>
      </c>
      <c r="K789" s="91">
        <f>VLOOKUP($A789,'2022-23 Salary &amp; Benefits'!$A:$I,3,FALSE)</f>
        <v>1.18</v>
      </c>
      <c r="L789" s="91">
        <f>VLOOKUP($A789,'2022-23 Salary &amp; Benefits'!$A:$I,4,FALSE)</f>
        <v>1.18</v>
      </c>
      <c r="M789" s="39">
        <f t="shared" si="151"/>
        <v>0</v>
      </c>
      <c r="N789" s="24">
        <v>15</v>
      </c>
      <c r="O789" s="26">
        <f t="shared" si="154"/>
        <v>0</v>
      </c>
      <c r="P789" s="24">
        <v>1.1000000000000001</v>
      </c>
      <c r="Q789" s="24">
        <v>36</v>
      </c>
      <c r="R789" s="27">
        <f t="shared" si="155"/>
        <v>0</v>
      </c>
      <c r="S789" s="102">
        <f t="shared" si="157"/>
        <v>0</v>
      </c>
      <c r="T789" s="21">
        <f>VLOOKUP($A789,'2022-23 Salary &amp; Benefits'!$A:$I,5,FALSE)</f>
        <v>68937</v>
      </c>
      <c r="U789" s="21">
        <f>VLOOKUP($A789,'2022-23 Salary &amp; Benefits'!$A:$I,6,FALSE)</f>
        <v>72728</v>
      </c>
      <c r="V789" s="22">
        <f t="shared" si="158"/>
        <v>0</v>
      </c>
      <c r="W789" s="22">
        <f t="shared" si="159"/>
        <v>0</v>
      </c>
      <c r="X789" s="22">
        <f>'2022-23 Salary &amp; Benefits'!$G$6</f>
        <v>12558.24</v>
      </c>
      <c r="Y789" s="23">
        <f>'2022-23 Salary &amp; Benefits'!$H$6</f>
        <v>0.2298</v>
      </c>
      <c r="Z789" s="23">
        <f>'2022-23 Salary &amp; Benefits'!$I$6</f>
        <v>0.22339999999999999</v>
      </c>
      <c r="AA789" s="22">
        <f t="shared" si="160"/>
        <v>0</v>
      </c>
      <c r="AB789" s="22">
        <f t="shared" si="161"/>
        <v>0</v>
      </c>
      <c r="AC789" s="22">
        <f t="shared" si="162"/>
        <v>0</v>
      </c>
      <c r="AD789" s="22">
        <f t="shared" si="152"/>
        <v>0</v>
      </c>
      <c r="AE789" s="22">
        <f t="shared" si="153"/>
        <v>0</v>
      </c>
      <c r="AF789" s="19" t="str">
        <f>VLOOKUP(C789,'2021-22 School Level AAFTE'!C:N,12,FALSE)</f>
        <v>No</v>
      </c>
    </row>
    <row r="790" spans="1:32" s="19" customFormat="1">
      <c r="A790" s="97" t="s">
        <v>2362</v>
      </c>
      <c r="B790" s="97" t="s">
        <v>846</v>
      </c>
      <c r="C790" s="95">
        <v>2738</v>
      </c>
      <c r="D790" s="95" t="s">
        <v>848</v>
      </c>
      <c r="E790" s="129">
        <f>VLOOKUP($C790,'2021-22 School Level AAFTE'!$C:$Z,11,FALSE)</f>
        <v>0.20696666666666666</v>
      </c>
      <c r="F790" s="129" t="str">
        <f>VLOOKUP($C790,'2021-22 School Level AAFTE'!$C:$Z,8,FALSE)</f>
        <v>No</v>
      </c>
      <c r="G790" s="129" t="str">
        <f>VLOOKUP($C790,'2021-22 School Level AAFTE'!$C:$Z,12,FALSE)</f>
        <v>No</v>
      </c>
      <c r="H790" s="127">
        <f>VLOOKUP($C790,'2021-22 School Level AAFTE'!$C:$I,7,FALSE)</f>
        <v>572.49</v>
      </c>
      <c r="I790" s="112">
        <f>IFERROR(IF(OR(G790="yes",F790= "yes"),VLOOKUP(C790,Summary!$B:$J,6,0),0),0)</f>
        <v>0</v>
      </c>
      <c r="J790" s="111">
        <f t="shared" si="156"/>
        <v>0</v>
      </c>
      <c r="K790" s="91">
        <f>VLOOKUP($A790,'2022-23 Salary &amp; Benefits'!$A:$I,3,FALSE)</f>
        <v>1.18</v>
      </c>
      <c r="L790" s="91">
        <f>VLOOKUP($A790,'2022-23 Salary &amp; Benefits'!$A:$I,4,FALSE)</f>
        <v>1.18</v>
      </c>
      <c r="M790" s="39">
        <f t="shared" si="151"/>
        <v>0</v>
      </c>
      <c r="N790" s="24">
        <v>15</v>
      </c>
      <c r="O790" s="26">
        <f t="shared" si="154"/>
        <v>0</v>
      </c>
      <c r="P790" s="24">
        <v>1.1000000000000001</v>
      </c>
      <c r="Q790" s="24">
        <v>36</v>
      </c>
      <c r="R790" s="27">
        <f t="shared" si="155"/>
        <v>0</v>
      </c>
      <c r="S790" s="102">
        <f t="shared" si="157"/>
        <v>0</v>
      </c>
      <c r="T790" s="21">
        <f>VLOOKUP($A790,'2022-23 Salary &amp; Benefits'!$A:$I,5,FALSE)</f>
        <v>68937</v>
      </c>
      <c r="U790" s="21">
        <f>VLOOKUP($A790,'2022-23 Salary &amp; Benefits'!$A:$I,6,FALSE)</f>
        <v>72728</v>
      </c>
      <c r="V790" s="22">
        <f t="shared" si="158"/>
        <v>0</v>
      </c>
      <c r="W790" s="22">
        <f t="shared" si="159"/>
        <v>0</v>
      </c>
      <c r="X790" s="22">
        <f>'2022-23 Salary &amp; Benefits'!$G$6</f>
        <v>12558.24</v>
      </c>
      <c r="Y790" s="23">
        <f>'2022-23 Salary &amp; Benefits'!$H$6</f>
        <v>0.2298</v>
      </c>
      <c r="Z790" s="23">
        <f>'2022-23 Salary &amp; Benefits'!$I$6</f>
        <v>0.22339999999999999</v>
      </c>
      <c r="AA790" s="22">
        <f t="shared" si="160"/>
        <v>0</v>
      </c>
      <c r="AB790" s="22">
        <f t="shared" si="161"/>
        <v>0</v>
      </c>
      <c r="AC790" s="22">
        <f t="shared" si="162"/>
        <v>0</v>
      </c>
      <c r="AD790" s="22">
        <f t="shared" si="152"/>
        <v>0</v>
      </c>
      <c r="AE790" s="22">
        <f t="shared" si="153"/>
        <v>0</v>
      </c>
      <c r="AF790" s="19" t="str">
        <f>VLOOKUP(C790,'2021-22 School Level AAFTE'!C:N,12,FALSE)</f>
        <v>No</v>
      </c>
    </row>
    <row r="791" spans="1:32" s="19" customFormat="1">
      <c r="A791" s="97" t="s">
        <v>2362</v>
      </c>
      <c r="B791" s="97" t="s">
        <v>846</v>
      </c>
      <c r="C791" s="95">
        <v>3038</v>
      </c>
      <c r="D791" s="95" t="s">
        <v>849</v>
      </c>
      <c r="E791" s="129">
        <f>VLOOKUP($C791,'2021-22 School Level AAFTE'!$C:$Z,11,FALSE)</f>
        <v>0.16783333333333336</v>
      </c>
      <c r="F791" s="129" t="str">
        <f>VLOOKUP($C791,'2021-22 School Level AAFTE'!$C:$Z,8,FALSE)</f>
        <v>No</v>
      </c>
      <c r="G791" s="129" t="str">
        <f>VLOOKUP($C791,'2021-22 School Level AAFTE'!$C:$Z,12,FALSE)</f>
        <v>No</v>
      </c>
      <c r="H791" s="127">
        <f>VLOOKUP($C791,'2021-22 School Level AAFTE'!$C:$I,7,FALSE)</f>
        <v>804.97</v>
      </c>
      <c r="I791" s="112">
        <f>IFERROR(IF(OR(G791="yes",F791= "yes"),VLOOKUP(C791,Summary!$B:$J,6,0),0),0)</f>
        <v>0</v>
      </c>
      <c r="J791" s="111">
        <f t="shared" si="156"/>
        <v>0</v>
      </c>
      <c r="K791" s="91">
        <f>VLOOKUP($A791,'2022-23 Salary &amp; Benefits'!$A:$I,3,FALSE)</f>
        <v>1.18</v>
      </c>
      <c r="L791" s="91">
        <f>VLOOKUP($A791,'2022-23 Salary &amp; Benefits'!$A:$I,4,FALSE)</f>
        <v>1.18</v>
      </c>
      <c r="M791" s="101">
        <f t="shared" si="151"/>
        <v>0</v>
      </c>
      <c r="N791" s="24">
        <v>15</v>
      </c>
      <c r="O791" s="26">
        <f t="shared" si="154"/>
        <v>0</v>
      </c>
      <c r="P791" s="24">
        <v>1.1000000000000001</v>
      </c>
      <c r="Q791" s="24">
        <v>36</v>
      </c>
      <c r="R791" s="27">
        <f t="shared" si="155"/>
        <v>0</v>
      </c>
      <c r="S791" s="102">
        <f t="shared" si="157"/>
        <v>0</v>
      </c>
      <c r="T791" s="21">
        <f>VLOOKUP($A791,'2022-23 Salary &amp; Benefits'!$A:$I,5,FALSE)</f>
        <v>68937</v>
      </c>
      <c r="U791" s="21">
        <f>VLOOKUP($A791,'2022-23 Salary &amp; Benefits'!$A:$I,6,FALSE)</f>
        <v>72728</v>
      </c>
      <c r="V791" s="22">
        <f t="shared" si="158"/>
        <v>0</v>
      </c>
      <c r="W791" s="22">
        <f t="shared" si="159"/>
        <v>0</v>
      </c>
      <c r="X791" s="22">
        <f>'2022-23 Salary &amp; Benefits'!$G$6</f>
        <v>12558.24</v>
      </c>
      <c r="Y791" s="23">
        <f>'2022-23 Salary &amp; Benefits'!$H$6</f>
        <v>0.2298</v>
      </c>
      <c r="Z791" s="23">
        <f>'2022-23 Salary &amp; Benefits'!$I$6</f>
        <v>0.22339999999999999</v>
      </c>
      <c r="AA791" s="22">
        <f t="shared" si="160"/>
        <v>0</v>
      </c>
      <c r="AB791" s="22">
        <f t="shared" si="161"/>
        <v>0</v>
      </c>
      <c r="AC791" s="22">
        <f t="shared" si="162"/>
        <v>0</v>
      </c>
      <c r="AD791" s="22">
        <f t="shared" si="152"/>
        <v>0</v>
      </c>
      <c r="AE791" s="22">
        <f t="shared" si="153"/>
        <v>0</v>
      </c>
      <c r="AF791" s="19" t="str">
        <f>VLOOKUP(C791,'2021-22 School Level AAFTE'!C:N,12,FALSE)</f>
        <v>No</v>
      </c>
    </row>
    <row r="792" spans="1:32" s="19" customFormat="1">
      <c r="A792" s="97" t="s">
        <v>2362</v>
      </c>
      <c r="B792" s="97" t="s">
        <v>846</v>
      </c>
      <c r="C792" s="95">
        <v>3228</v>
      </c>
      <c r="D792" s="95" t="s">
        <v>850</v>
      </c>
      <c r="E792" s="129">
        <f>VLOOKUP($C792,'2021-22 School Level AAFTE'!$C:$Z,11,FALSE)</f>
        <v>0.10713333333333334</v>
      </c>
      <c r="F792" s="129" t="str">
        <f>VLOOKUP($C792,'2021-22 School Level AAFTE'!$C:$Z,8,FALSE)</f>
        <v>No</v>
      </c>
      <c r="G792" s="129" t="str">
        <f>VLOOKUP($C792,'2021-22 School Level AAFTE'!$C:$Z,12,FALSE)</f>
        <v>No</v>
      </c>
      <c r="H792" s="127">
        <f>VLOOKUP($C792,'2021-22 School Level AAFTE'!$C:$I,7,FALSE)</f>
        <v>524.80999999999995</v>
      </c>
      <c r="I792" s="112">
        <f>IFERROR(IF(OR(G792="yes",F792= "yes"),VLOOKUP(C792,Summary!$B:$J,6,0),0),0)</f>
        <v>0</v>
      </c>
      <c r="J792" s="111">
        <f t="shared" si="156"/>
        <v>0</v>
      </c>
      <c r="K792" s="91">
        <f>VLOOKUP($A792,'2022-23 Salary &amp; Benefits'!$A:$I,3,FALSE)</f>
        <v>1.18</v>
      </c>
      <c r="L792" s="91">
        <f>VLOOKUP($A792,'2022-23 Salary &amp; Benefits'!$A:$I,4,FALSE)</f>
        <v>1.18</v>
      </c>
      <c r="M792" s="101">
        <f t="shared" si="151"/>
        <v>0</v>
      </c>
      <c r="N792" s="24">
        <v>15</v>
      </c>
      <c r="O792" s="26">
        <f t="shared" si="154"/>
        <v>0</v>
      </c>
      <c r="P792" s="24">
        <v>1.1000000000000001</v>
      </c>
      <c r="Q792" s="24">
        <v>36</v>
      </c>
      <c r="R792" s="27">
        <f t="shared" si="155"/>
        <v>0</v>
      </c>
      <c r="S792" s="102">
        <f t="shared" si="157"/>
        <v>0</v>
      </c>
      <c r="T792" s="21">
        <f>VLOOKUP($A792,'2022-23 Salary &amp; Benefits'!$A:$I,5,FALSE)</f>
        <v>68937</v>
      </c>
      <c r="U792" s="21">
        <f>VLOOKUP($A792,'2022-23 Salary &amp; Benefits'!$A:$I,6,FALSE)</f>
        <v>72728</v>
      </c>
      <c r="V792" s="22">
        <f t="shared" si="158"/>
        <v>0</v>
      </c>
      <c r="W792" s="22">
        <f t="shared" si="159"/>
        <v>0</v>
      </c>
      <c r="X792" s="22">
        <f>'2022-23 Salary &amp; Benefits'!$G$6</f>
        <v>12558.24</v>
      </c>
      <c r="Y792" s="23">
        <f>'2022-23 Salary &amp; Benefits'!$H$6</f>
        <v>0.2298</v>
      </c>
      <c r="Z792" s="23">
        <f>'2022-23 Salary &amp; Benefits'!$I$6</f>
        <v>0.22339999999999999</v>
      </c>
      <c r="AA792" s="22">
        <f t="shared" si="160"/>
        <v>0</v>
      </c>
      <c r="AB792" s="22">
        <f t="shared" si="161"/>
        <v>0</v>
      </c>
      <c r="AC792" s="22">
        <f t="shared" si="162"/>
        <v>0</v>
      </c>
      <c r="AD792" s="22">
        <f t="shared" si="152"/>
        <v>0</v>
      </c>
      <c r="AE792" s="22">
        <f t="shared" si="153"/>
        <v>0</v>
      </c>
      <c r="AF792" s="19" t="str">
        <f>VLOOKUP(C792,'2021-22 School Level AAFTE'!C:N,12,FALSE)</f>
        <v>No</v>
      </c>
    </row>
    <row r="793" spans="1:32" s="19" customFormat="1">
      <c r="A793" s="97" t="s">
        <v>2362</v>
      </c>
      <c r="B793" s="97" t="s">
        <v>846</v>
      </c>
      <c r="C793" s="95">
        <v>3385</v>
      </c>
      <c r="D793" s="95" t="s">
        <v>851</v>
      </c>
      <c r="E793" s="129">
        <f>VLOOKUP($C793,'2021-22 School Level AAFTE'!$C:$Z,11,FALSE)</f>
        <v>9.3233333333333335E-2</v>
      </c>
      <c r="F793" s="129" t="str">
        <f>VLOOKUP($C793,'2021-22 School Level AAFTE'!$C:$Z,8,FALSE)</f>
        <v>No</v>
      </c>
      <c r="G793" s="129" t="str">
        <f>VLOOKUP($C793,'2021-22 School Level AAFTE'!$C:$Z,12,FALSE)</f>
        <v>No</v>
      </c>
      <c r="H793" s="127">
        <f>VLOOKUP($C793,'2021-22 School Level AAFTE'!$C:$I,7,FALSE)</f>
        <v>2414.8999999999996</v>
      </c>
      <c r="I793" s="112">
        <f>IFERROR(IF(OR(G793="yes",F793= "yes"),VLOOKUP(C793,Summary!$B:$J,6,0),0),0)</f>
        <v>0</v>
      </c>
      <c r="J793" s="111">
        <f t="shared" si="156"/>
        <v>0</v>
      </c>
      <c r="K793" s="91">
        <f>VLOOKUP($A793,'2022-23 Salary &amp; Benefits'!$A:$I,3,FALSE)</f>
        <v>1.18</v>
      </c>
      <c r="L793" s="91">
        <f>VLOOKUP($A793,'2022-23 Salary &amp; Benefits'!$A:$I,4,FALSE)</f>
        <v>1.18</v>
      </c>
      <c r="M793" s="101">
        <f t="shared" si="151"/>
        <v>0</v>
      </c>
      <c r="N793" s="24">
        <v>15</v>
      </c>
      <c r="O793" s="26">
        <f t="shared" si="154"/>
        <v>0</v>
      </c>
      <c r="P793" s="24">
        <v>1.1000000000000001</v>
      </c>
      <c r="Q793" s="24">
        <v>36</v>
      </c>
      <c r="R793" s="27">
        <f t="shared" si="155"/>
        <v>0</v>
      </c>
      <c r="S793" s="102">
        <f t="shared" si="157"/>
        <v>0</v>
      </c>
      <c r="T793" s="21">
        <f>VLOOKUP($A793,'2022-23 Salary &amp; Benefits'!$A:$I,5,FALSE)</f>
        <v>68937</v>
      </c>
      <c r="U793" s="21">
        <f>VLOOKUP($A793,'2022-23 Salary &amp; Benefits'!$A:$I,6,FALSE)</f>
        <v>72728</v>
      </c>
      <c r="V793" s="22">
        <f t="shared" si="158"/>
        <v>0</v>
      </c>
      <c r="W793" s="22">
        <f t="shared" si="159"/>
        <v>0</v>
      </c>
      <c r="X793" s="22">
        <f>'2022-23 Salary &amp; Benefits'!$G$6</f>
        <v>12558.24</v>
      </c>
      <c r="Y793" s="23">
        <f>'2022-23 Salary &amp; Benefits'!$H$6</f>
        <v>0.2298</v>
      </c>
      <c r="Z793" s="23">
        <f>'2022-23 Salary &amp; Benefits'!$I$6</f>
        <v>0.22339999999999999</v>
      </c>
      <c r="AA793" s="22">
        <f t="shared" si="160"/>
        <v>0</v>
      </c>
      <c r="AB793" s="22">
        <f t="shared" si="161"/>
        <v>0</v>
      </c>
      <c r="AC793" s="22">
        <f t="shared" si="162"/>
        <v>0</v>
      </c>
      <c r="AD793" s="22">
        <f t="shared" si="152"/>
        <v>0</v>
      </c>
      <c r="AE793" s="22">
        <f t="shared" si="153"/>
        <v>0</v>
      </c>
      <c r="AF793" s="19" t="str">
        <f>VLOOKUP(C793,'2021-22 School Level AAFTE'!C:N,12,FALSE)</f>
        <v>No</v>
      </c>
    </row>
    <row r="794" spans="1:32" s="19" customFormat="1">
      <c r="A794" s="97" t="s">
        <v>2362</v>
      </c>
      <c r="B794" s="97" t="s">
        <v>846</v>
      </c>
      <c r="C794" s="95">
        <v>3386</v>
      </c>
      <c r="D794" s="95" t="s">
        <v>852</v>
      </c>
      <c r="E794" s="129">
        <f>VLOOKUP($C794,'2021-22 School Level AAFTE'!$C:$Z,11,FALSE)</f>
        <v>6.2199999999999998E-2</v>
      </c>
      <c r="F794" s="129" t="str">
        <f>VLOOKUP($C794,'2021-22 School Level AAFTE'!$C:$Z,8,FALSE)</f>
        <v>No</v>
      </c>
      <c r="G794" s="129" t="str">
        <f>VLOOKUP($C794,'2021-22 School Level AAFTE'!$C:$Z,12,FALSE)</f>
        <v>No</v>
      </c>
      <c r="H794" s="127">
        <f>VLOOKUP($C794,'2021-22 School Level AAFTE'!$C:$I,7,FALSE)</f>
        <v>551.66999999999996</v>
      </c>
      <c r="I794" s="112">
        <f>IFERROR(IF(OR(G794="yes",F794= "yes"),VLOOKUP(C794,Summary!$B:$J,6,0),0),0)</f>
        <v>0</v>
      </c>
      <c r="J794" s="111">
        <f t="shared" si="156"/>
        <v>0</v>
      </c>
      <c r="K794" s="91">
        <f>VLOOKUP($A794,'2022-23 Salary &amp; Benefits'!$A:$I,3,FALSE)</f>
        <v>1.18</v>
      </c>
      <c r="L794" s="91">
        <f>VLOOKUP($A794,'2022-23 Salary &amp; Benefits'!$A:$I,4,FALSE)</f>
        <v>1.18</v>
      </c>
      <c r="M794" s="101">
        <f t="shared" si="151"/>
        <v>0</v>
      </c>
      <c r="N794" s="24">
        <v>15</v>
      </c>
      <c r="O794" s="26">
        <f t="shared" si="154"/>
        <v>0</v>
      </c>
      <c r="P794" s="24">
        <v>1.1000000000000001</v>
      </c>
      <c r="Q794" s="24">
        <v>36</v>
      </c>
      <c r="R794" s="27">
        <f t="shared" si="155"/>
        <v>0</v>
      </c>
      <c r="S794" s="102">
        <f t="shared" si="157"/>
        <v>0</v>
      </c>
      <c r="T794" s="21">
        <f>VLOOKUP($A794,'2022-23 Salary &amp; Benefits'!$A:$I,5,FALSE)</f>
        <v>68937</v>
      </c>
      <c r="U794" s="21">
        <f>VLOOKUP($A794,'2022-23 Salary &amp; Benefits'!$A:$I,6,FALSE)</f>
        <v>72728</v>
      </c>
      <c r="V794" s="22">
        <f t="shared" si="158"/>
        <v>0</v>
      </c>
      <c r="W794" s="22">
        <f t="shared" si="159"/>
        <v>0</v>
      </c>
      <c r="X794" s="22">
        <f>'2022-23 Salary &amp; Benefits'!$G$6</f>
        <v>12558.24</v>
      </c>
      <c r="Y794" s="23">
        <f>'2022-23 Salary &amp; Benefits'!$H$6</f>
        <v>0.2298</v>
      </c>
      <c r="Z794" s="23">
        <f>'2022-23 Salary &amp; Benefits'!$I$6</f>
        <v>0.22339999999999999</v>
      </c>
      <c r="AA794" s="22">
        <f t="shared" si="160"/>
        <v>0</v>
      </c>
      <c r="AB794" s="22">
        <f t="shared" si="161"/>
        <v>0</v>
      </c>
      <c r="AC794" s="22">
        <f t="shared" si="162"/>
        <v>0</v>
      </c>
      <c r="AD794" s="22">
        <f t="shared" si="152"/>
        <v>0</v>
      </c>
      <c r="AE794" s="22">
        <f t="shared" si="153"/>
        <v>0</v>
      </c>
      <c r="AF794" s="19" t="str">
        <f>VLOOKUP(C794,'2021-22 School Level AAFTE'!C:N,12,FALSE)</f>
        <v>No</v>
      </c>
    </row>
    <row r="795" spans="1:32" s="19" customFormat="1">
      <c r="A795" s="97" t="s">
        <v>2362</v>
      </c>
      <c r="B795" s="97" t="s">
        <v>846</v>
      </c>
      <c r="C795" s="95">
        <v>3440</v>
      </c>
      <c r="D795" s="95" t="s">
        <v>853</v>
      </c>
      <c r="E795" s="129">
        <f>VLOOKUP($C795,'2021-22 School Level AAFTE'!$C:$Z,11,FALSE)</f>
        <v>0.1176</v>
      </c>
      <c r="F795" s="129" t="str">
        <f>VLOOKUP($C795,'2021-22 School Level AAFTE'!$C:$Z,8,FALSE)</f>
        <v>No</v>
      </c>
      <c r="G795" s="129" t="str">
        <f>VLOOKUP($C795,'2021-22 School Level AAFTE'!$C:$Z,12,FALSE)</f>
        <v>No</v>
      </c>
      <c r="H795" s="127">
        <f>VLOOKUP($C795,'2021-22 School Level AAFTE'!$C:$I,7,FALSE)</f>
        <v>610.71</v>
      </c>
      <c r="I795" s="112">
        <f>IFERROR(IF(OR(G795="yes",F795= "yes"),VLOOKUP(C795,Summary!$B:$J,6,0),0),0)</f>
        <v>0</v>
      </c>
      <c r="J795" s="111">
        <f t="shared" si="156"/>
        <v>0</v>
      </c>
      <c r="K795" s="91">
        <f>VLOOKUP($A795,'2022-23 Salary &amp; Benefits'!$A:$I,3,FALSE)</f>
        <v>1.18</v>
      </c>
      <c r="L795" s="91">
        <f>VLOOKUP($A795,'2022-23 Salary &amp; Benefits'!$A:$I,4,FALSE)</f>
        <v>1.18</v>
      </c>
      <c r="M795" s="39">
        <f t="shared" si="151"/>
        <v>0</v>
      </c>
      <c r="N795" s="24">
        <v>15</v>
      </c>
      <c r="O795" s="26">
        <f t="shared" si="154"/>
        <v>0</v>
      </c>
      <c r="P795" s="24">
        <v>1.1000000000000001</v>
      </c>
      <c r="Q795" s="24">
        <v>36</v>
      </c>
      <c r="R795" s="27">
        <f t="shared" si="155"/>
        <v>0</v>
      </c>
      <c r="S795" s="102">
        <f t="shared" si="157"/>
        <v>0</v>
      </c>
      <c r="T795" s="21">
        <f>VLOOKUP($A795,'2022-23 Salary &amp; Benefits'!$A:$I,5,FALSE)</f>
        <v>68937</v>
      </c>
      <c r="U795" s="21">
        <f>VLOOKUP($A795,'2022-23 Salary &amp; Benefits'!$A:$I,6,FALSE)</f>
        <v>72728</v>
      </c>
      <c r="V795" s="22">
        <f t="shared" si="158"/>
        <v>0</v>
      </c>
      <c r="W795" s="22">
        <f t="shared" si="159"/>
        <v>0</v>
      </c>
      <c r="X795" s="22">
        <f>'2022-23 Salary &amp; Benefits'!$G$6</f>
        <v>12558.24</v>
      </c>
      <c r="Y795" s="23">
        <f>'2022-23 Salary &amp; Benefits'!$H$6</f>
        <v>0.2298</v>
      </c>
      <c r="Z795" s="23">
        <f>'2022-23 Salary &amp; Benefits'!$I$6</f>
        <v>0.22339999999999999</v>
      </c>
      <c r="AA795" s="22">
        <f t="shared" si="160"/>
        <v>0</v>
      </c>
      <c r="AB795" s="22">
        <f t="shared" si="161"/>
        <v>0</v>
      </c>
      <c r="AC795" s="22">
        <f t="shared" si="162"/>
        <v>0</v>
      </c>
      <c r="AD795" s="22">
        <f t="shared" si="152"/>
        <v>0</v>
      </c>
      <c r="AE795" s="22">
        <f t="shared" si="153"/>
        <v>0</v>
      </c>
      <c r="AF795" s="19" t="str">
        <f>VLOOKUP(C795,'2021-22 School Level AAFTE'!C:N,12,FALSE)</f>
        <v>No</v>
      </c>
    </row>
    <row r="796" spans="1:32" s="19" customFormat="1">
      <c r="A796" s="97" t="s">
        <v>2362</v>
      </c>
      <c r="B796" s="97" t="s">
        <v>846</v>
      </c>
      <c r="C796" s="95">
        <v>3569</v>
      </c>
      <c r="D796" s="95" t="s">
        <v>3071</v>
      </c>
      <c r="E796" s="129">
        <f>VLOOKUP($C796,'2021-22 School Level AAFTE'!$C:$Z,11,FALSE)</f>
        <v>0</v>
      </c>
      <c r="F796" s="129" t="str">
        <f>VLOOKUP($C796,'2021-22 School Level AAFTE'!$C:$Z,8,FALSE)</f>
        <v>No</v>
      </c>
      <c r="G796" s="129" t="str">
        <f>VLOOKUP($C796,'2021-22 School Level AAFTE'!$C:$Z,12,FALSE)</f>
        <v>No</v>
      </c>
      <c r="H796" s="127">
        <f>VLOOKUP($C796,'2021-22 School Level AAFTE'!$C:$I,7,FALSE)</f>
        <v>6.14</v>
      </c>
      <c r="I796" s="112">
        <f>IFERROR(IF(OR(G796="yes",F796= "yes"),VLOOKUP(C796,Summary!$B:$J,6,0),0),0)</f>
        <v>0</v>
      </c>
      <c r="J796" s="111">
        <f t="shared" si="156"/>
        <v>0</v>
      </c>
      <c r="K796" s="91">
        <f>VLOOKUP($A796,'2022-23 Salary &amp; Benefits'!$A:$I,3,FALSE)</f>
        <v>1.18</v>
      </c>
      <c r="L796" s="91">
        <f>VLOOKUP($A796,'2022-23 Salary &amp; Benefits'!$A:$I,4,FALSE)</f>
        <v>1.18</v>
      </c>
      <c r="M796" s="39">
        <f t="shared" si="151"/>
        <v>0</v>
      </c>
      <c r="N796" s="24">
        <v>15</v>
      </c>
      <c r="O796" s="26">
        <f t="shared" si="154"/>
        <v>0</v>
      </c>
      <c r="P796" s="24">
        <v>1.1000000000000001</v>
      </c>
      <c r="Q796" s="24">
        <v>36</v>
      </c>
      <c r="R796" s="27">
        <f t="shared" si="155"/>
        <v>0</v>
      </c>
      <c r="S796" s="102">
        <f t="shared" si="157"/>
        <v>0</v>
      </c>
      <c r="T796" s="21">
        <f>VLOOKUP($A796,'2022-23 Salary &amp; Benefits'!$A:$I,5,FALSE)</f>
        <v>68937</v>
      </c>
      <c r="U796" s="21">
        <f>VLOOKUP($A796,'2022-23 Salary &amp; Benefits'!$A:$I,6,FALSE)</f>
        <v>72728</v>
      </c>
      <c r="V796" s="22">
        <f t="shared" si="158"/>
        <v>0</v>
      </c>
      <c r="W796" s="22">
        <f t="shared" si="159"/>
        <v>0</v>
      </c>
      <c r="X796" s="22">
        <f>'2022-23 Salary &amp; Benefits'!$G$6</f>
        <v>12558.24</v>
      </c>
      <c r="Y796" s="23">
        <f>'2022-23 Salary &amp; Benefits'!$H$6</f>
        <v>0.2298</v>
      </c>
      <c r="Z796" s="23">
        <f>'2022-23 Salary &amp; Benefits'!$I$6</f>
        <v>0.22339999999999999</v>
      </c>
      <c r="AA796" s="22">
        <f t="shared" si="160"/>
        <v>0</v>
      </c>
      <c r="AB796" s="22">
        <f t="shared" si="161"/>
        <v>0</v>
      </c>
      <c r="AC796" s="22">
        <f t="shared" si="162"/>
        <v>0</v>
      </c>
      <c r="AD796" s="22">
        <f t="shared" si="152"/>
        <v>0</v>
      </c>
      <c r="AE796" s="22">
        <f t="shared" si="153"/>
        <v>0</v>
      </c>
      <c r="AF796" s="19" t="str">
        <f>VLOOKUP(C796,'2021-22 School Level AAFTE'!C:N,12,FALSE)</f>
        <v>No</v>
      </c>
    </row>
    <row r="797" spans="1:32" s="19" customFormat="1">
      <c r="A797" s="97" t="s">
        <v>2362</v>
      </c>
      <c r="B797" s="97" t="s">
        <v>846</v>
      </c>
      <c r="C797" s="95">
        <v>3636</v>
      </c>
      <c r="D797" s="95" t="s">
        <v>854</v>
      </c>
      <c r="E797" s="129">
        <f>VLOOKUP($C797,'2021-22 School Level AAFTE'!$C:$Z,11,FALSE)</f>
        <v>0.12586666666666665</v>
      </c>
      <c r="F797" s="129" t="str">
        <f>VLOOKUP($C797,'2021-22 School Level AAFTE'!$C:$Z,8,FALSE)</f>
        <v>No</v>
      </c>
      <c r="G797" s="129" t="str">
        <f>VLOOKUP($C797,'2021-22 School Level AAFTE'!$C:$Z,12,FALSE)</f>
        <v>No</v>
      </c>
      <c r="H797" s="127">
        <f>VLOOKUP($C797,'2021-22 School Level AAFTE'!$C:$I,7,FALSE)</f>
        <v>830.23</v>
      </c>
      <c r="I797" s="112">
        <f>IFERROR(IF(OR(G797="yes",F797= "yes"),VLOOKUP(C797,Summary!$B:$J,6,0),0),0)</f>
        <v>0</v>
      </c>
      <c r="J797" s="111">
        <f t="shared" si="156"/>
        <v>0</v>
      </c>
      <c r="K797" s="91">
        <f>VLOOKUP($A797,'2022-23 Salary &amp; Benefits'!$A:$I,3,FALSE)</f>
        <v>1.18</v>
      </c>
      <c r="L797" s="91">
        <f>VLOOKUP($A797,'2022-23 Salary &amp; Benefits'!$A:$I,4,FALSE)</f>
        <v>1.18</v>
      </c>
      <c r="M797" s="101">
        <f t="shared" si="151"/>
        <v>0</v>
      </c>
      <c r="N797" s="24">
        <v>15</v>
      </c>
      <c r="O797" s="26">
        <f t="shared" si="154"/>
        <v>0</v>
      </c>
      <c r="P797" s="24">
        <v>1.1000000000000001</v>
      </c>
      <c r="Q797" s="24">
        <v>36</v>
      </c>
      <c r="R797" s="27">
        <f t="shared" si="155"/>
        <v>0</v>
      </c>
      <c r="S797" s="102">
        <f t="shared" si="157"/>
        <v>0</v>
      </c>
      <c r="T797" s="21">
        <f>VLOOKUP($A797,'2022-23 Salary &amp; Benefits'!$A:$I,5,FALSE)</f>
        <v>68937</v>
      </c>
      <c r="U797" s="21">
        <f>VLOOKUP($A797,'2022-23 Salary &amp; Benefits'!$A:$I,6,FALSE)</f>
        <v>72728</v>
      </c>
      <c r="V797" s="22">
        <f t="shared" si="158"/>
        <v>0</v>
      </c>
      <c r="W797" s="22">
        <f t="shared" si="159"/>
        <v>0</v>
      </c>
      <c r="X797" s="22">
        <f>'2022-23 Salary &amp; Benefits'!$G$6</f>
        <v>12558.24</v>
      </c>
      <c r="Y797" s="23">
        <f>'2022-23 Salary &amp; Benefits'!$H$6</f>
        <v>0.2298</v>
      </c>
      <c r="Z797" s="23">
        <f>'2022-23 Salary &amp; Benefits'!$I$6</f>
        <v>0.22339999999999999</v>
      </c>
      <c r="AA797" s="22">
        <f t="shared" si="160"/>
        <v>0</v>
      </c>
      <c r="AB797" s="22">
        <f t="shared" si="161"/>
        <v>0</v>
      </c>
      <c r="AC797" s="22">
        <f t="shared" si="162"/>
        <v>0</v>
      </c>
      <c r="AD797" s="22">
        <f t="shared" si="152"/>
        <v>0</v>
      </c>
      <c r="AE797" s="22">
        <f t="shared" si="153"/>
        <v>0</v>
      </c>
      <c r="AF797" s="19" t="str">
        <f>VLOOKUP(C797,'2021-22 School Level AAFTE'!C:N,12,FALSE)</f>
        <v>No</v>
      </c>
    </row>
    <row r="798" spans="1:32" s="19" customFormat="1">
      <c r="A798" s="97" t="s">
        <v>2362</v>
      </c>
      <c r="B798" s="97" t="s">
        <v>846</v>
      </c>
      <c r="C798" s="95">
        <v>3637</v>
      </c>
      <c r="D798" s="95" t="s">
        <v>855</v>
      </c>
      <c r="E798" s="129">
        <f>VLOOKUP($C798,'2021-22 School Level AAFTE'!$C:$Z,11,FALSE)</f>
        <v>0.10436666666666668</v>
      </c>
      <c r="F798" s="129" t="str">
        <f>VLOOKUP($C798,'2021-22 School Level AAFTE'!$C:$Z,8,FALSE)</f>
        <v>No</v>
      </c>
      <c r="G798" s="129" t="str">
        <f>VLOOKUP($C798,'2021-22 School Level AAFTE'!$C:$Z,12,FALSE)</f>
        <v>No</v>
      </c>
      <c r="H798" s="127">
        <f>VLOOKUP($C798,'2021-22 School Level AAFTE'!$C:$I,7,FALSE)</f>
        <v>418.95</v>
      </c>
      <c r="I798" s="112">
        <f>IFERROR(IF(OR(G798="yes",F798= "yes"),VLOOKUP(C798,Summary!$B:$J,6,0),0),0)</f>
        <v>0</v>
      </c>
      <c r="J798" s="111">
        <f t="shared" si="156"/>
        <v>0</v>
      </c>
      <c r="K798" s="91">
        <f>VLOOKUP($A798,'2022-23 Salary &amp; Benefits'!$A:$I,3,FALSE)</f>
        <v>1.18</v>
      </c>
      <c r="L798" s="91">
        <f>VLOOKUP($A798,'2022-23 Salary &amp; Benefits'!$A:$I,4,FALSE)</f>
        <v>1.18</v>
      </c>
      <c r="M798" s="39">
        <f t="shared" si="151"/>
        <v>0</v>
      </c>
      <c r="N798" s="24">
        <v>15</v>
      </c>
      <c r="O798" s="26">
        <f t="shared" si="154"/>
        <v>0</v>
      </c>
      <c r="P798" s="24">
        <v>1.1000000000000001</v>
      </c>
      <c r="Q798" s="24">
        <v>36</v>
      </c>
      <c r="R798" s="27">
        <f t="shared" si="155"/>
        <v>0</v>
      </c>
      <c r="S798" s="102">
        <f t="shared" si="157"/>
        <v>0</v>
      </c>
      <c r="T798" s="21">
        <f>VLOOKUP($A798,'2022-23 Salary &amp; Benefits'!$A:$I,5,FALSE)</f>
        <v>68937</v>
      </c>
      <c r="U798" s="21">
        <f>VLOOKUP($A798,'2022-23 Salary &amp; Benefits'!$A:$I,6,FALSE)</f>
        <v>72728</v>
      </c>
      <c r="V798" s="22">
        <f t="shared" si="158"/>
        <v>0</v>
      </c>
      <c r="W798" s="22">
        <f t="shared" si="159"/>
        <v>0</v>
      </c>
      <c r="X798" s="22">
        <f>'2022-23 Salary &amp; Benefits'!$G$6</f>
        <v>12558.24</v>
      </c>
      <c r="Y798" s="23">
        <f>'2022-23 Salary &amp; Benefits'!$H$6</f>
        <v>0.2298</v>
      </c>
      <c r="Z798" s="23">
        <f>'2022-23 Salary &amp; Benefits'!$I$6</f>
        <v>0.22339999999999999</v>
      </c>
      <c r="AA798" s="22">
        <f t="shared" si="160"/>
        <v>0</v>
      </c>
      <c r="AB798" s="22">
        <f t="shared" si="161"/>
        <v>0</v>
      </c>
      <c r="AC798" s="22">
        <f t="shared" si="162"/>
        <v>0</v>
      </c>
      <c r="AD798" s="22">
        <f t="shared" si="152"/>
        <v>0</v>
      </c>
      <c r="AE798" s="22">
        <f t="shared" si="153"/>
        <v>0</v>
      </c>
      <c r="AF798" s="19" t="str">
        <f>VLOOKUP(C798,'2021-22 School Level AAFTE'!C:N,12,FALSE)</f>
        <v>No</v>
      </c>
    </row>
    <row r="799" spans="1:32" s="19" customFormat="1">
      <c r="A799" s="97" t="s">
        <v>2362</v>
      </c>
      <c r="B799" s="97" t="s">
        <v>846</v>
      </c>
      <c r="C799" s="95">
        <v>3673</v>
      </c>
      <c r="D799" s="95" t="s">
        <v>856</v>
      </c>
      <c r="E799" s="129">
        <f>VLOOKUP($C799,'2021-22 School Level AAFTE'!$C:$Z,11,FALSE)</f>
        <v>0.21356666666666668</v>
      </c>
      <c r="F799" s="129" t="str">
        <f>VLOOKUP($C799,'2021-22 School Level AAFTE'!$C:$Z,8,FALSE)</f>
        <v>No</v>
      </c>
      <c r="G799" s="129" t="str">
        <f>VLOOKUP($C799,'2021-22 School Level AAFTE'!$C:$Z,12,FALSE)</f>
        <v>No</v>
      </c>
      <c r="H799" s="127">
        <f>VLOOKUP($C799,'2021-22 School Level AAFTE'!$C:$I,7,FALSE)</f>
        <v>553.57000000000005</v>
      </c>
      <c r="I799" s="112">
        <f>IFERROR(IF(OR(G799="yes",F799= "yes"),VLOOKUP(C799,Summary!$B:$J,6,0),0),0)</f>
        <v>0</v>
      </c>
      <c r="J799" s="111">
        <f t="shared" si="156"/>
        <v>0</v>
      </c>
      <c r="K799" s="91">
        <f>VLOOKUP($A799,'2022-23 Salary &amp; Benefits'!$A:$I,3,FALSE)</f>
        <v>1.18</v>
      </c>
      <c r="L799" s="91">
        <f>VLOOKUP($A799,'2022-23 Salary &amp; Benefits'!$A:$I,4,FALSE)</f>
        <v>1.18</v>
      </c>
      <c r="M799" s="39">
        <f t="shared" si="151"/>
        <v>0</v>
      </c>
      <c r="N799" s="24">
        <v>15</v>
      </c>
      <c r="O799" s="26">
        <f t="shared" si="154"/>
        <v>0</v>
      </c>
      <c r="P799" s="24">
        <v>1.1000000000000001</v>
      </c>
      <c r="Q799" s="24">
        <v>36</v>
      </c>
      <c r="R799" s="27">
        <f t="shared" si="155"/>
        <v>0</v>
      </c>
      <c r="S799" s="102">
        <f t="shared" si="157"/>
        <v>0</v>
      </c>
      <c r="T799" s="21">
        <f>VLOOKUP($A799,'2022-23 Salary &amp; Benefits'!$A:$I,5,FALSE)</f>
        <v>68937</v>
      </c>
      <c r="U799" s="21">
        <f>VLOOKUP($A799,'2022-23 Salary &amp; Benefits'!$A:$I,6,FALSE)</f>
        <v>72728</v>
      </c>
      <c r="V799" s="22">
        <f t="shared" si="158"/>
        <v>0</v>
      </c>
      <c r="W799" s="22">
        <f t="shared" si="159"/>
        <v>0</v>
      </c>
      <c r="X799" s="22">
        <f>'2022-23 Salary &amp; Benefits'!$G$6</f>
        <v>12558.24</v>
      </c>
      <c r="Y799" s="23">
        <f>'2022-23 Salary &amp; Benefits'!$H$6</f>
        <v>0.2298</v>
      </c>
      <c r="Z799" s="23">
        <f>'2022-23 Salary &amp; Benefits'!$I$6</f>
        <v>0.22339999999999999</v>
      </c>
      <c r="AA799" s="22">
        <f t="shared" si="160"/>
        <v>0</v>
      </c>
      <c r="AB799" s="22">
        <f t="shared" si="161"/>
        <v>0</v>
      </c>
      <c r="AC799" s="22">
        <f t="shared" si="162"/>
        <v>0</v>
      </c>
      <c r="AD799" s="22">
        <f t="shared" si="152"/>
        <v>0</v>
      </c>
      <c r="AE799" s="22">
        <f t="shared" si="153"/>
        <v>0</v>
      </c>
      <c r="AF799" s="19" t="str">
        <f>VLOOKUP(C799,'2021-22 School Level AAFTE'!C:N,12,FALSE)</f>
        <v>No</v>
      </c>
    </row>
    <row r="800" spans="1:32" s="19" customFormat="1">
      <c r="A800" s="97" t="s">
        <v>2362</v>
      </c>
      <c r="B800" s="97" t="s">
        <v>846</v>
      </c>
      <c r="C800" s="95">
        <v>3746</v>
      </c>
      <c r="D800" s="95" t="s">
        <v>857</v>
      </c>
      <c r="E800" s="129">
        <f>VLOOKUP($C800,'2021-22 School Level AAFTE'!$C:$Z,11,FALSE)</f>
        <v>0.13799999999999998</v>
      </c>
      <c r="F800" s="129" t="str">
        <f>VLOOKUP($C800,'2021-22 School Level AAFTE'!$C:$Z,8,FALSE)</f>
        <v>No</v>
      </c>
      <c r="G800" s="129" t="str">
        <f>VLOOKUP($C800,'2021-22 School Level AAFTE'!$C:$Z,12,FALSE)</f>
        <v>No</v>
      </c>
      <c r="H800" s="127">
        <f>VLOOKUP($C800,'2021-22 School Level AAFTE'!$C:$I,7,FALSE)</f>
        <v>500.6</v>
      </c>
      <c r="I800" s="112">
        <f>IFERROR(IF(OR(G800="yes",F800= "yes"),VLOOKUP(C800,Summary!$B:$J,6,0),0),0)</f>
        <v>0</v>
      </c>
      <c r="J800" s="111">
        <f t="shared" si="156"/>
        <v>0</v>
      </c>
      <c r="K800" s="91">
        <f>VLOOKUP($A800,'2022-23 Salary &amp; Benefits'!$A:$I,3,FALSE)</f>
        <v>1.18</v>
      </c>
      <c r="L800" s="91">
        <f>VLOOKUP($A800,'2022-23 Salary &amp; Benefits'!$A:$I,4,FALSE)</f>
        <v>1.18</v>
      </c>
      <c r="M800" s="101">
        <f t="shared" si="151"/>
        <v>0</v>
      </c>
      <c r="N800" s="24">
        <v>15</v>
      </c>
      <c r="O800" s="26">
        <f t="shared" si="154"/>
        <v>0</v>
      </c>
      <c r="P800" s="24">
        <v>1.1000000000000001</v>
      </c>
      <c r="Q800" s="24">
        <v>36</v>
      </c>
      <c r="R800" s="27">
        <f t="shared" si="155"/>
        <v>0</v>
      </c>
      <c r="S800" s="102">
        <f t="shared" si="157"/>
        <v>0</v>
      </c>
      <c r="T800" s="21">
        <f>VLOOKUP($A800,'2022-23 Salary &amp; Benefits'!$A:$I,5,FALSE)</f>
        <v>68937</v>
      </c>
      <c r="U800" s="21">
        <f>VLOOKUP($A800,'2022-23 Salary &amp; Benefits'!$A:$I,6,FALSE)</f>
        <v>72728</v>
      </c>
      <c r="V800" s="22">
        <f t="shared" si="158"/>
        <v>0</v>
      </c>
      <c r="W800" s="22">
        <f t="shared" si="159"/>
        <v>0</v>
      </c>
      <c r="X800" s="22">
        <f>'2022-23 Salary &amp; Benefits'!$G$6</f>
        <v>12558.24</v>
      </c>
      <c r="Y800" s="23">
        <f>'2022-23 Salary &amp; Benefits'!$H$6</f>
        <v>0.2298</v>
      </c>
      <c r="Z800" s="23">
        <f>'2022-23 Salary &amp; Benefits'!$I$6</f>
        <v>0.22339999999999999</v>
      </c>
      <c r="AA800" s="22">
        <f t="shared" si="160"/>
        <v>0</v>
      </c>
      <c r="AB800" s="22">
        <f t="shared" si="161"/>
        <v>0</v>
      </c>
      <c r="AC800" s="22">
        <f t="shared" si="162"/>
        <v>0</v>
      </c>
      <c r="AD800" s="22">
        <f t="shared" si="152"/>
        <v>0</v>
      </c>
      <c r="AE800" s="22">
        <f t="shared" si="153"/>
        <v>0</v>
      </c>
      <c r="AF800" s="19" t="str">
        <f>VLOOKUP(C800,'2021-22 School Level AAFTE'!C:N,12,FALSE)</f>
        <v>No</v>
      </c>
    </row>
    <row r="801" spans="1:32" s="19" customFormat="1">
      <c r="A801" s="97" t="s">
        <v>2362</v>
      </c>
      <c r="B801" s="97" t="s">
        <v>846</v>
      </c>
      <c r="C801" s="95">
        <v>3879</v>
      </c>
      <c r="D801" s="95" t="s">
        <v>858</v>
      </c>
      <c r="E801" s="129">
        <f>VLOOKUP($C801,'2021-22 School Level AAFTE'!$C:$Z,11,FALSE)</f>
        <v>3.3133333333333327E-2</v>
      </c>
      <c r="F801" s="129" t="str">
        <f>VLOOKUP($C801,'2021-22 School Level AAFTE'!$C:$Z,8,FALSE)</f>
        <v>No</v>
      </c>
      <c r="G801" s="129" t="str">
        <f>VLOOKUP($C801,'2021-22 School Level AAFTE'!$C:$Z,12,FALSE)</f>
        <v>No</v>
      </c>
      <c r="H801" s="127">
        <f>VLOOKUP($C801,'2021-22 School Level AAFTE'!$C:$I,7,FALSE)</f>
        <v>882.12</v>
      </c>
      <c r="I801" s="112">
        <f>IFERROR(IF(OR(G801="yes",F801= "yes"),VLOOKUP(C801,Summary!$B:$J,6,0),0),0)</f>
        <v>0</v>
      </c>
      <c r="J801" s="111">
        <f t="shared" si="156"/>
        <v>0</v>
      </c>
      <c r="K801" s="91">
        <f>VLOOKUP($A801,'2022-23 Salary &amp; Benefits'!$A:$I,3,FALSE)</f>
        <v>1.18</v>
      </c>
      <c r="L801" s="91">
        <f>VLOOKUP($A801,'2022-23 Salary &amp; Benefits'!$A:$I,4,FALSE)</f>
        <v>1.18</v>
      </c>
      <c r="M801" s="39">
        <f t="shared" si="151"/>
        <v>0</v>
      </c>
      <c r="N801" s="24">
        <v>15</v>
      </c>
      <c r="O801" s="26">
        <f t="shared" si="154"/>
        <v>0</v>
      </c>
      <c r="P801" s="24">
        <v>1.1000000000000001</v>
      </c>
      <c r="Q801" s="24">
        <v>36</v>
      </c>
      <c r="R801" s="27">
        <f t="shared" si="155"/>
        <v>0</v>
      </c>
      <c r="S801" s="102">
        <f t="shared" si="157"/>
        <v>0</v>
      </c>
      <c r="T801" s="21">
        <f>VLOOKUP($A801,'2022-23 Salary &amp; Benefits'!$A:$I,5,FALSE)</f>
        <v>68937</v>
      </c>
      <c r="U801" s="21">
        <f>VLOOKUP($A801,'2022-23 Salary &amp; Benefits'!$A:$I,6,FALSE)</f>
        <v>72728</v>
      </c>
      <c r="V801" s="22">
        <f t="shared" si="158"/>
        <v>0</v>
      </c>
      <c r="W801" s="22">
        <f t="shared" si="159"/>
        <v>0</v>
      </c>
      <c r="X801" s="22">
        <f>'2022-23 Salary &amp; Benefits'!$G$6</f>
        <v>12558.24</v>
      </c>
      <c r="Y801" s="23">
        <f>'2022-23 Salary &amp; Benefits'!$H$6</f>
        <v>0.2298</v>
      </c>
      <c r="Z801" s="23">
        <f>'2022-23 Salary &amp; Benefits'!$I$6</f>
        <v>0.22339999999999999</v>
      </c>
      <c r="AA801" s="22">
        <f t="shared" si="160"/>
        <v>0</v>
      </c>
      <c r="AB801" s="22">
        <f t="shared" si="161"/>
        <v>0</v>
      </c>
      <c r="AC801" s="22">
        <f t="shared" si="162"/>
        <v>0</v>
      </c>
      <c r="AD801" s="22">
        <f t="shared" si="152"/>
        <v>0</v>
      </c>
      <c r="AE801" s="22">
        <f t="shared" si="153"/>
        <v>0</v>
      </c>
      <c r="AF801" s="19" t="str">
        <f>VLOOKUP(C801,'2021-22 School Level AAFTE'!C:N,12,FALSE)</f>
        <v>No</v>
      </c>
    </row>
    <row r="802" spans="1:32" s="19" customFormat="1">
      <c r="A802" s="97" t="s">
        <v>2362</v>
      </c>
      <c r="B802" s="97" t="s">
        <v>846</v>
      </c>
      <c r="C802" s="95">
        <v>3962</v>
      </c>
      <c r="D802" s="95" t="s">
        <v>859</v>
      </c>
      <c r="E802" s="129">
        <f>VLOOKUP($C802,'2021-22 School Level AAFTE'!$C:$Z,11,FALSE)</f>
        <v>0.11823333333333334</v>
      </c>
      <c r="F802" s="129" t="str">
        <f>VLOOKUP($C802,'2021-22 School Level AAFTE'!$C:$Z,8,FALSE)</f>
        <v>No</v>
      </c>
      <c r="G802" s="129" t="str">
        <f>VLOOKUP($C802,'2021-22 School Level AAFTE'!$C:$Z,12,FALSE)</f>
        <v>No</v>
      </c>
      <c r="H802" s="127">
        <f>VLOOKUP($C802,'2021-22 School Level AAFTE'!$C:$I,7,FALSE)</f>
        <v>1461.84</v>
      </c>
      <c r="I802" s="112">
        <f>IFERROR(IF(OR(G802="yes",F802= "yes"),VLOOKUP(C802,Summary!$B:$J,6,0),0),0)</f>
        <v>0</v>
      </c>
      <c r="J802" s="111">
        <f t="shared" si="156"/>
        <v>0</v>
      </c>
      <c r="K802" s="91">
        <f>VLOOKUP($A802,'2022-23 Salary &amp; Benefits'!$A:$I,3,FALSE)</f>
        <v>1.18</v>
      </c>
      <c r="L802" s="91">
        <f>VLOOKUP($A802,'2022-23 Salary &amp; Benefits'!$A:$I,4,FALSE)</f>
        <v>1.18</v>
      </c>
      <c r="M802" s="39">
        <f t="shared" si="151"/>
        <v>0</v>
      </c>
      <c r="N802" s="24">
        <v>15</v>
      </c>
      <c r="O802" s="26">
        <f t="shared" si="154"/>
        <v>0</v>
      </c>
      <c r="P802" s="24">
        <v>1.1000000000000001</v>
      </c>
      <c r="Q802" s="24">
        <v>36</v>
      </c>
      <c r="R802" s="27">
        <f t="shared" si="155"/>
        <v>0</v>
      </c>
      <c r="S802" s="102">
        <f t="shared" si="157"/>
        <v>0</v>
      </c>
      <c r="T802" s="21">
        <f>VLOOKUP($A802,'2022-23 Salary &amp; Benefits'!$A:$I,5,FALSE)</f>
        <v>68937</v>
      </c>
      <c r="U802" s="21">
        <f>VLOOKUP($A802,'2022-23 Salary &amp; Benefits'!$A:$I,6,FALSE)</f>
        <v>72728</v>
      </c>
      <c r="V802" s="22">
        <f t="shared" si="158"/>
        <v>0</v>
      </c>
      <c r="W802" s="22">
        <f t="shared" si="159"/>
        <v>0</v>
      </c>
      <c r="X802" s="22">
        <f>'2022-23 Salary &amp; Benefits'!$G$6</f>
        <v>12558.24</v>
      </c>
      <c r="Y802" s="23">
        <f>'2022-23 Salary &amp; Benefits'!$H$6</f>
        <v>0.2298</v>
      </c>
      <c r="Z802" s="23">
        <f>'2022-23 Salary &amp; Benefits'!$I$6</f>
        <v>0.22339999999999999</v>
      </c>
      <c r="AA802" s="22">
        <f t="shared" si="160"/>
        <v>0</v>
      </c>
      <c r="AB802" s="22">
        <f t="shared" si="161"/>
        <v>0</v>
      </c>
      <c r="AC802" s="22">
        <f t="shared" si="162"/>
        <v>0</v>
      </c>
      <c r="AD802" s="22">
        <f t="shared" si="152"/>
        <v>0</v>
      </c>
      <c r="AE802" s="22">
        <f t="shared" si="153"/>
        <v>0</v>
      </c>
      <c r="AF802" s="19" t="str">
        <f>VLOOKUP(C802,'2021-22 School Level AAFTE'!C:N,12,FALSE)</f>
        <v>No</v>
      </c>
    </row>
    <row r="803" spans="1:32" s="19" customFormat="1">
      <c r="A803" s="97" t="s">
        <v>2362</v>
      </c>
      <c r="B803" s="97" t="s">
        <v>846</v>
      </c>
      <c r="C803" s="95">
        <v>4300</v>
      </c>
      <c r="D803" s="95" t="s">
        <v>860</v>
      </c>
      <c r="E803" s="129">
        <f>VLOOKUP($C803,'2021-22 School Level AAFTE'!$C:$Z,11,FALSE)</f>
        <v>8.7433333333333321E-2</v>
      </c>
      <c r="F803" s="129" t="str">
        <f>VLOOKUP($C803,'2021-22 School Level AAFTE'!$C:$Z,8,FALSE)</f>
        <v>No</v>
      </c>
      <c r="G803" s="129" t="str">
        <f>VLOOKUP($C803,'2021-22 School Level AAFTE'!$C:$Z,12,FALSE)</f>
        <v>No</v>
      </c>
      <c r="H803" s="127">
        <f>VLOOKUP($C803,'2021-22 School Level AAFTE'!$C:$I,7,FALSE)</f>
        <v>430.41</v>
      </c>
      <c r="I803" s="112">
        <f>IFERROR(IF(OR(G803="yes",F803= "yes"),VLOOKUP(C803,Summary!$B:$J,6,0),0),0)</f>
        <v>0</v>
      </c>
      <c r="J803" s="111">
        <f t="shared" si="156"/>
        <v>0</v>
      </c>
      <c r="K803" s="91">
        <f>VLOOKUP($A803,'2022-23 Salary &amp; Benefits'!$A:$I,3,FALSE)</f>
        <v>1.18</v>
      </c>
      <c r="L803" s="91">
        <f>VLOOKUP($A803,'2022-23 Salary &amp; Benefits'!$A:$I,4,FALSE)</f>
        <v>1.18</v>
      </c>
      <c r="M803" s="101">
        <f t="shared" si="151"/>
        <v>0</v>
      </c>
      <c r="N803" s="24">
        <v>15</v>
      </c>
      <c r="O803" s="26">
        <f t="shared" si="154"/>
        <v>0</v>
      </c>
      <c r="P803" s="24">
        <v>1.1000000000000001</v>
      </c>
      <c r="Q803" s="24">
        <v>36</v>
      </c>
      <c r="R803" s="27">
        <f t="shared" si="155"/>
        <v>0</v>
      </c>
      <c r="S803" s="102">
        <f t="shared" si="157"/>
        <v>0</v>
      </c>
      <c r="T803" s="21">
        <f>VLOOKUP($A803,'2022-23 Salary &amp; Benefits'!$A:$I,5,FALSE)</f>
        <v>68937</v>
      </c>
      <c r="U803" s="21">
        <f>VLOOKUP($A803,'2022-23 Salary &amp; Benefits'!$A:$I,6,FALSE)</f>
        <v>72728</v>
      </c>
      <c r="V803" s="22">
        <f t="shared" si="158"/>
        <v>0</v>
      </c>
      <c r="W803" s="22">
        <f t="shared" si="159"/>
        <v>0</v>
      </c>
      <c r="X803" s="22">
        <f>'2022-23 Salary &amp; Benefits'!$G$6</f>
        <v>12558.24</v>
      </c>
      <c r="Y803" s="23">
        <f>'2022-23 Salary &amp; Benefits'!$H$6</f>
        <v>0.2298</v>
      </c>
      <c r="Z803" s="23">
        <f>'2022-23 Salary &amp; Benefits'!$I$6</f>
        <v>0.22339999999999999</v>
      </c>
      <c r="AA803" s="22">
        <f t="shared" si="160"/>
        <v>0</v>
      </c>
      <c r="AB803" s="22">
        <f t="shared" si="161"/>
        <v>0</v>
      </c>
      <c r="AC803" s="22">
        <f t="shared" si="162"/>
        <v>0</v>
      </c>
      <c r="AD803" s="22">
        <f t="shared" si="152"/>
        <v>0</v>
      </c>
      <c r="AE803" s="22">
        <f t="shared" si="153"/>
        <v>0</v>
      </c>
      <c r="AF803" s="19" t="str">
        <f>VLOOKUP(C803,'2021-22 School Level AAFTE'!C:N,12,FALSE)</f>
        <v>No</v>
      </c>
    </row>
    <row r="804" spans="1:32" s="19" customFormat="1">
      <c r="A804" s="97" t="s">
        <v>2362</v>
      </c>
      <c r="B804" s="97" t="s">
        <v>846</v>
      </c>
      <c r="C804" s="95">
        <v>4375</v>
      </c>
      <c r="D804" s="95" t="s">
        <v>861</v>
      </c>
      <c r="E804" s="129">
        <f>VLOOKUP($C804,'2021-22 School Level AAFTE'!$C:$Z,11,FALSE)</f>
        <v>4.413333333333333E-2</v>
      </c>
      <c r="F804" s="129" t="str">
        <f>VLOOKUP($C804,'2021-22 School Level AAFTE'!$C:$Z,8,FALSE)</f>
        <v>No</v>
      </c>
      <c r="G804" s="129" t="str">
        <f>VLOOKUP($C804,'2021-22 School Level AAFTE'!$C:$Z,12,FALSE)</f>
        <v>No</v>
      </c>
      <c r="H804" s="127">
        <f>VLOOKUP($C804,'2021-22 School Level AAFTE'!$C:$I,7,FALSE)</f>
        <v>516.88</v>
      </c>
      <c r="I804" s="112">
        <f>IFERROR(IF(OR(G804="yes",F804= "yes"),VLOOKUP(C804,Summary!$B:$J,6,0),0),0)</f>
        <v>0</v>
      </c>
      <c r="J804" s="111">
        <f t="shared" si="156"/>
        <v>0</v>
      </c>
      <c r="K804" s="91">
        <f>VLOOKUP($A804,'2022-23 Salary &amp; Benefits'!$A:$I,3,FALSE)</f>
        <v>1.18</v>
      </c>
      <c r="L804" s="91">
        <f>VLOOKUP($A804,'2022-23 Salary &amp; Benefits'!$A:$I,4,FALSE)</f>
        <v>1.18</v>
      </c>
      <c r="M804" s="101">
        <f t="shared" si="151"/>
        <v>0</v>
      </c>
      <c r="N804" s="24">
        <v>15</v>
      </c>
      <c r="O804" s="26">
        <f t="shared" si="154"/>
        <v>0</v>
      </c>
      <c r="P804" s="24">
        <v>1.1000000000000001</v>
      </c>
      <c r="Q804" s="24">
        <v>36</v>
      </c>
      <c r="R804" s="27">
        <f t="shared" si="155"/>
        <v>0</v>
      </c>
      <c r="S804" s="102">
        <f t="shared" si="157"/>
        <v>0</v>
      </c>
      <c r="T804" s="21">
        <f>VLOOKUP($A804,'2022-23 Salary &amp; Benefits'!$A:$I,5,FALSE)</f>
        <v>68937</v>
      </c>
      <c r="U804" s="21">
        <f>VLOOKUP($A804,'2022-23 Salary &amp; Benefits'!$A:$I,6,FALSE)</f>
        <v>72728</v>
      </c>
      <c r="V804" s="22">
        <f t="shared" si="158"/>
        <v>0</v>
      </c>
      <c r="W804" s="22">
        <f t="shared" si="159"/>
        <v>0</v>
      </c>
      <c r="X804" s="22">
        <f>'2022-23 Salary &amp; Benefits'!$G$6</f>
        <v>12558.24</v>
      </c>
      <c r="Y804" s="23">
        <f>'2022-23 Salary &amp; Benefits'!$H$6</f>
        <v>0.2298</v>
      </c>
      <c r="Z804" s="23">
        <f>'2022-23 Salary &amp; Benefits'!$I$6</f>
        <v>0.22339999999999999</v>
      </c>
      <c r="AA804" s="22">
        <f t="shared" si="160"/>
        <v>0</v>
      </c>
      <c r="AB804" s="22">
        <f t="shared" si="161"/>
        <v>0</v>
      </c>
      <c r="AC804" s="22">
        <f t="shared" si="162"/>
        <v>0</v>
      </c>
      <c r="AD804" s="22">
        <f t="shared" si="152"/>
        <v>0</v>
      </c>
      <c r="AE804" s="22">
        <f t="shared" si="153"/>
        <v>0</v>
      </c>
      <c r="AF804" s="19" t="str">
        <f>VLOOKUP(C804,'2021-22 School Level AAFTE'!C:N,12,FALSE)</f>
        <v>No</v>
      </c>
    </row>
    <row r="805" spans="1:32" s="19" customFormat="1">
      <c r="A805" s="97" t="s">
        <v>2362</v>
      </c>
      <c r="B805" s="97" t="s">
        <v>846</v>
      </c>
      <c r="C805" s="95">
        <v>4376</v>
      </c>
      <c r="D805" s="95" t="s">
        <v>862</v>
      </c>
      <c r="E805" s="129">
        <f>VLOOKUP($C805,'2021-22 School Level AAFTE'!$C:$Z,11,FALSE)</f>
        <v>2.0799999999999999E-2</v>
      </c>
      <c r="F805" s="129" t="str">
        <f>VLOOKUP($C805,'2021-22 School Level AAFTE'!$C:$Z,8,FALSE)</f>
        <v>No</v>
      </c>
      <c r="G805" s="129" t="str">
        <f>VLOOKUP($C805,'2021-22 School Level AAFTE'!$C:$Z,12,FALSE)</f>
        <v>No</v>
      </c>
      <c r="H805" s="127">
        <f>VLOOKUP($C805,'2021-22 School Level AAFTE'!$C:$I,7,FALSE)</f>
        <v>557.42999999999995</v>
      </c>
      <c r="I805" s="112">
        <f>IFERROR(IF(OR(G805="yes",F805= "yes"),VLOOKUP(C805,Summary!$B:$J,6,0),0),0)</f>
        <v>0</v>
      </c>
      <c r="J805" s="111">
        <f t="shared" si="156"/>
        <v>0</v>
      </c>
      <c r="K805" s="91">
        <f>VLOOKUP($A805,'2022-23 Salary &amp; Benefits'!$A:$I,3,FALSE)</f>
        <v>1.18</v>
      </c>
      <c r="L805" s="91">
        <f>VLOOKUP($A805,'2022-23 Salary &amp; Benefits'!$A:$I,4,FALSE)</f>
        <v>1.18</v>
      </c>
      <c r="M805" s="39">
        <f t="shared" si="151"/>
        <v>0</v>
      </c>
      <c r="N805" s="24">
        <v>15</v>
      </c>
      <c r="O805" s="26">
        <f t="shared" si="154"/>
        <v>0</v>
      </c>
      <c r="P805" s="24">
        <v>1.1000000000000001</v>
      </c>
      <c r="Q805" s="24">
        <v>36</v>
      </c>
      <c r="R805" s="27">
        <f t="shared" si="155"/>
        <v>0</v>
      </c>
      <c r="S805" s="102">
        <f t="shared" si="157"/>
        <v>0</v>
      </c>
      <c r="T805" s="21">
        <f>VLOOKUP($A805,'2022-23 Salary &amp; Benefits'!$A:$I,5,FALSE)</f>
        <v>68937</v>
      </c>
      <c r="U805" s="21">
        <f>VLOOKUP($A805,'2022-23 Salary &amp; Benefits'!$A:$I,6,FALSE)</f>
        <v>72728</v>
      </c>
      <c r="V805" s="22">
        <f t="shared" si="158"/>
        <v>0</v>
      </c>
      <c r="W805" s="22">
        <f t="shared" si="159"/>
        <v>0</v>
      </c>
      <c r="X805" s="22">
        <f>'2022-23 Salary &amp; Benefits'!$G$6</f>
        <v>12558.24</v>
      </c>
      <c r="Y805" s="23">
        <f>'2022-23 Salary &amp; Benefits'!$H$6</f>
        <v>0.2298</v>
      </c>
      <c r="Z805" s="23">
        <f>'2022-23 Salary &amp; Benefits'!$I$6</f>
        <v>0.22339999999999999</v>
      </c>
      <c r="AA805" s="22">
        <f t="shared" si="160"/>
        <v>0</v>
      </c>
      <c r="AB805" s="22">
        <f t="shared" si="161"/>
        <v>0</v>
      </c>
      <c r="AC805" s="22">
        <f t="shared" si="162"/>
        <v>0</v>
      </c>
      <c r="AD805" s="22">
        <f t="shared" si="152"/>
        <v>0</v>
      </c>
      <c r="AE805" s="22">
        <f t="shared" si="153"/>
        <v>0</v>
      </c>
      <c r="AF805" s="19" t="str">
        <f>VLOOKUP(C805,'2021-22 School Level AAFTE'!C:N,12,FALSE)</f>
        <v>No</v>
      </c>
    </row>
    <row r="806" spans="1:32" s="19" customFormat="1">
      <c r="A806" s="97" t="s">
        <v>2362</v>
      </c>
      <c r="B806" s="97" t="s">
        <v>846</v>
      </c>
      <c r="C806" s="95">
        <v>4460</v>
      </c>
      <c r="D806" s="95" t="s">
        <v>863</v>
      </c>
      <c r="E806" s="129">
        <f>VLOOKUP($C806,'2021-22 School Level AAFTE'!$C:$Z,11,FALSE)</f>
        <v>5.8933333333333338E-2</v>
      </c>
      <c r="F806" s="129" t="str">
        <f>VLOOKUP($C806,'2021-22 School Level AAFTE'!$C:$Z,8,FALSE)</f>
        <v>No</v>
      </c>
      <c r="G806" s="129" t="str">
        <f>VLOOKUP($C806,'2021-22 School Level AAFTE'!$C:$Z,12,FALSE)</f>
        <v>No</v>
      </c>
      <c r="H806" s="127">
        <f>VLOOKUP($C806,'2021-22 School Level AAFTE'!$C:$I,7,FALSE)</f>
        <v>842.17</v>
      </c>
      <c r="I806" s="112">
        <f>IFERROR(IF(OR(G806="yes",F806= "yes"),VLOOKUP(C806,Summary!$B:$J,6,0),0),0)</f>
        <v>0</v>
      </c>
      <c r="J806" s="111">
        <f t="shared" si="156"/>
        <v>0</v>
      </c>
      <c r="K806" s="91">
        <f>VLOOKUP($A806,'2022-23 Salary &amp; Benefits'!$A:$I,3,FALSE)</f>
        <v>1.18</v>
      </c>
      <c r="L806" s="91">
        <f>VLOOKUP($A806,'2022-23 Salary &amp; Benefits'!$A:$I,4,FALSE)</f>
        <v>1.18</v>
      </c>
      <c r="M806" s="39">
        <f t="shared" si="151"/>
        <v>0</v>
      </c>
      <c r="N806" s="24">
        <v>15</v>
      </c>
      <c r="O806" s="26">
        <f t="shared" si="154"/>
        <v>0</v>
      </c>
      <c r="P806" s="24">
        <v>1.1000000000000001</v>
      </c>
      <c r="Q806" s="24">
        <v>36</v>
      </c>
      <c r="R806" s="27">
        <f t="shared" si="155"/>
        <v>0</v>
      </c>
      <c r="S806" s="102">
        <f t="shared" si="157"/>
        <v>0</v>
      </c>
      <c r="T806" s="21">
        <f>VLOOKUP($A806,'2022-23 Salary &amp; Benefits'!$A:$I,5,FALSE)</f>
        <v>68937</v>
      </c>
      <c r="U806" s="21">
        <f>VLOOKUP($A806,'2022-23 Salary &amp; Benefits'!$A:$I,6,FALSE)</f>
        <v>72728</v>
      </c>
      <c r="V806" s="22">
        <f t="shared" si="158"/>
        <v>0</v>
      </c>
      <c r="W806" s="22">
        <f t="shared" si="159"/>
        <v>0</v>
      </c>
      <c r="X806" s="22">
        <f>'2022-23 Salary &amp; Benefits'!$G$6</f>
        <v>12558.24</v>
      </c>
      <c r="Y806" s="23">
        <f>'2022-23 Salary &amp; Benefits'!$H$6</f>
        <v>0.2298</v>
      </c>
      <c r="Z806" s="23">
        <f>'2022-23 Salary &amp; Benefits'!$I$6</f>
        <v>0.22339999999999999</v>
      </c>
      <c r="AA806" s="22">
        <f t="shared" si="160"/>
        <v>0</v>
      </c>
      <c r="AB806" s="22">
        <f t="shared" si="161"/>
        <v>0</v>
      </c>
      <c r="AC806" s="22">
        <f t="shared" si="162"/>
        <v>0</v>
      </c>
      <c r="AD806" s="22">
        <f t="shared" si="152"/>
        <v>0</v>
      </c>
      <c r="AE806" s="22">
        <f t="shared" si="153"/>
        <v>0</v>
      </c>
      <c r="AF806" s="19" t="str">
        <f>VLOOKUP(C806,'2021-22 School Level AAFTE'!C:N,12,FALSE)</f>
        <v>No</v>
      </c>
    </row>
    <row r="807" spans="1:32" s="19" customFormat="1">
      <c r="A807" s="97" t="s">
        <v>2362</v>
      </c>
      <c r="B807" s="97" t="s">
        <v>846</v>
      </c>
      <c r="C807" s="95">
        <v>4493</v>
      </c>
      <c r="D807" s="95" t="s">
        <v>253</v>
      </c>
      <c r="E807" s="129">
        <f>VLOOKUP($C807,'2021-22 School Level AAFTE'!$C:$Z,11,FALSE)</f>
        <v>6.6366666666666671E-2</v>
      </c>
      <c r="F807" s="129" t="str">
        <f>VLOOKUP($C807,'2021-22 School Level AAFTE'!$C:$Z,8,FALSE)</f>
        <v>No</v>
      </c>
      <c r="G807" s="129" t="str">
        <f>VLOOKUP($C807,'2021-22 School Level AAFTE'!$C:$Z,12,FALSE)</f>
        <v>No</v>
      </c>
      <c r="H807" s="127">
        <f>VLOOKUP($C807,'2021-22 School Level AAFTE'!$C:$I,7,FALSE)</f>
        <v>499.78</v>
      </c>
      <c r="I807" s="112">
        <f>IFERROR(IF(OR(G807="yes",F807= "yes"),VLOOKUP(C807,Summary!$B:$J,6,0),0),0)</f>
        <v>0</v>
      </c>
      <c r="J807" s="111">
        <f t="shared" si="156"/>
        <v>0</v>
      </c>
      <c r="K807" s="91">
        <f>VLOOKUP($A807,'2022-23 Salary &amp; Benefits'!$A:$I,3,FALSE)</f>
        <v>1.18</v>
      </c>
      <c r="L807" s="91">
        <f>VLOOKUP($A807,'2022-23 Salary &amp; Benefits'!$A:$I,4,FALSE)</f>
        <v>1.18</v>
      </c>
      <c r="M807" s="101">
        <f t="shared" si="151"/>
        <v>0</v>
      </c>
      <c r="N807" s="24">
        <v>15</v>
      </c>
      <c r="O807" s="26">
        <f t="shared" si="154"/>
        <v>0</v>
      </c>
      <c r="P807" s="24">
        <v>1.1000000000000001</v>
      </c>
      <c r="Q807" s="24">
        <v>36</v>
      </c>
      <c r="R807" s="27">
        <f t="shared" si="155"/>
        <v>0</v>
      </c>
      <c r="S807" s="102">
        <f t="shared" si="157"/>
        <v>0</v>
      </c>
      <c r="T807" s="21">
        <f>VLOOKUP($A807,'2022-23 Salary &amp; Benefits'!$A:$I,5,FALSE)</f>
        <v>68937</v>
      </c>
      <c r="U807" s="21">
        <f>VLOOKUP($A807,'2022-23 Salary &amp; Benefits'!$A:$I,6,FALSE)</f>
        <v>72728</v>
      </c>
      <c r="V807" s="22">
        <f t="shared" si="158"/>
        <v>0</v>
      </c>
      <c r="W807" s="22">
        <f t="shared" si="159"/>
        <v>0</v>
      </c>
      <c r="X807" s="22">
        <f>'2022-23 Salary &amp; Benefits'!$G$6</f>
        <v>12558.24</v>
      </c>
      <c r="Y807" s="23">
        <f>'2022-23 Salary &amp; Benefits'!$H$6</f>
        <v>0.2298</v>
      </c>
      <c r="Z807" s="23">
        <f>'2022-23 Salary &amp; Benefits'!$I$6</f>
        <v>0.22339999999999999</v>
      </c>
      <c r="AA807" s="22">
        <f t="shared" si="160"/>
        <v>0</v>
      </c>
      <c r="AB807" s="22">
        <f t="shared" si="161"/>
        <v>0</v>
      </c>
      <c r="AC807" s="22">
        <f t="shared" si="162"/>
        <v>0</v>
      </c>
      <c r="AD807" s="22">
        <f t="shared" si="152"/>
        <v>0</v>
      </c>
      <c r="AE807" s="22">
        <f t="shared" si="153"/>
        <v>0</v>
      </c>
      <c r="AF807" s="19" t="str">
        <f>VLOOKUP(C807,'2021-22 School Level AAFTE'!C:N,12,FALSE)</f>
        <v>No</v>
      </c>
    </row>
    <row r="808" spans="1:32" s="19" customFormat="1">
      <c r="A808" s="97" t="s">
        <v>2362</v>
      </c>
      <c r="B808" s="97" t="s">
        <v>846</v>
      </c>
      <c r="C808" s="95">
        <v>4495</v>
      </c>
      <c r="D808" s="95" t="s">
        <v>864</v>
      </c>
      <c r="E808" s="129">
        <f>VLOOKUP($C808,'2021-22 School Level AAFTE'!$C:$Z,11,FALSE)</f>
        <v>4.2466666666666673E-2</v>
      </c>
      <c r="F808" s="129" t="str">
        <f>VLOOKUP($C808,'2021-22 School Level AAFTE'!$C:$Z,8,FALSE)</f>
        <v>No</v>
      </c>
      <c r="G808" s="129" t="str">
        <f>VLOOKUP($C808,'2021-22 School Level AAFTE'!$C:$Z,12,FALSE)</f>
        <v>No</v>
      </c>
      <c r="H808" s="127">
        <f>VLOOKUP($C808,'2021-22 School Level AAFTE'!$C:$I,7,FALSE)</f>
        <v>2204.33</v>
      </c>
      <c r="I808" s="112">
        <f>IFERROR(IF(OR(G808="yes",F808= "yes"),VLOOKUP(C808,Summary!$B:$J,6,0),0),0)</f>
        <v>0</v>
      </c>
      <c r="J808" s="111">
        <f t="shared" si="156"/>
        <v>0</v>
      </c>
      <c r="K808" s="91">
        <f>VLOOKUP($A808,'2022-23 Salary &amp; Benefits'!$A:$I,3,FALSE)</f>
        <v>1.18</v>
      </c>
      <c r="L808" s="91">
        <f>VLOOKUP($A808,'2022-23 Salary &amp; Benefits'!$A:$I,4,FALSE)</f>
        <v>1.18</v>
      </c>
      <c r="M808" s="39">
        <f t="shared" si="151"/>
        <v>0</v>
      </c>
      <c r="N808" s="24">
        <v>15</v>
      </c>
      <c r="O808" s="26">
        <f t="shared" si="154"/>
        <v>0</v>
      </c>
      <c r="P808" s="24">
        <v>1.1000000000000001</v>
      </c>
      <c r="Q808" s="24">
        <v>36</v>
      </c>
      <c r="R808" s="27">
        <f t="shared" si="155"/>
        <v>0</v>
      </c>
      <c r="S808" s="102">
        <f t="shared" si="157"/>
        <v>0</v>
      </c>
      <c r="T808" s="21">
        <f>VLOOKUP($A808,'2022-23 Salary &amp; Benefits'!$A:$I,5,FALSE)</f>
        <v>68937</v>
      </c>
      <c r="U808" s="21">
        <f>VLOOKUP($A808,'2022-23 Salary &amp; Benefits'!$A:$I,6,FALSE)</f>
        <v>72728</v>
      </c>
      <c r="V808" s="22">
        <f t="shared" si="158"/>
        <v>0</v>
      </c>
      <c r="W808" s="22">
        <f t="shared" si="159"/>
        <v>0</v>
      </c>
      <c r="X808" s="22">
        <f>'2022-23 Salary &amp; Benefits'!$G$6</f>
        <v>12558.24</v>
      </c>
      <c r="Y808" s="23">
        <f>'2022-23 Salary &amp; Benefits'!$H$6</f>
        <v>0.2298</v>
      </c>
      <c r="Z808" s="23">
        <f>'2022-23 Salary &amp; Benefits'!$I$6</f>
        <v>0.22339999999999999</v>
      </c>
      <c r="AA808" s="22">
        <f t="shared" si="160"/>
        <v>0</v>
      </c>
      <c r="AB808" s="22">
        <f t="shared" si="161"/>
        <v>0</v>
      </c>
      <c r="AC808" s="22">
        <f t="shared" si="162"/>
        <v>0</v>
      </c>
      <c r="AD808" s="22">
        <f t="shared" si="152"/>
        <v>0</v>
      </c>
      <c r="AE808" s="22">
        <f t="shared" si="153"/>
        <v>0</v>
      </c>
      <c r="AF808" s="19" t="str">
        <f>VLOOKUP(C808,'2021-22 School Level AAFTE'!C:N,12,FALSE)</f>
        <v>No</v>
      </c>
    </row>
    <row r="809" spans="1:32" s="19" customFormat="1">
      <c r="A809" s="97" t="s">
        <v>2362</v>
      </c>
      <c r="B809" s="97" t="s">
        <v>846</v>
      </c>
      <c r="C809" s="95">
        <v>4565</v>
      </c>
      <c r="D809" s="95" t="s">
        <v>865</v>
      </c>
      <c r="E809" s="129">
        <f>VLOOKUP($C809,'2021-22 School Level AAFTE'!$C:$Z,11,FALSE)</f>
        <v>1.0433333333333334E-2</v>
      </c>
      <c r="F809" s="129" t="str">
        <f>VLOOKUP($C809,'2021-22 School Level AAFTE'!$C:$Z,8,FALSE)</f>
        <v>No</v>
      </c>
      <c r="G809" s="129" t="str">
        <f>VLOOKUP($C809,'2021-22 School Level AAFTE'!$C:$Z,12,FALSE)</f>
        <v>No</v>
      </c>
      <c r="H809" s="127">
        <f>VLOOKUP($C809,'2021-22 School Level AAFTE'!$C:$I,7,FALSE)</f>
        <v>395.47</v>
      </c>
      <c r="I809" s="112">
        <f>IFERROR(IF(OR(G809="yes",F809= "yes"),VLOOKUP(C809,Summary!$B:$J,6,0),0),0)</f>
        <v>0</v>
      </c>
      <c r="J809" s="111">
        <f t="shared" si="156"/>
        <v>0</v>
      </c>
      <c r="K809" s="91">
        <f>VLOOKUP($A809,'2022-23 Salary &amp; Benefits'!$A:$I,3,FALSE)</f>
        <v>1.18</v>
      </c>
      <c r="L809" s="91">
        <f>VLOOKUP($A809,'2022-23 Salary &amp; Benefits'!$A:$I,4,FALSE)</f>
        <v>1.18</v>
      </c>
      <c r="M809" s="39">
        <f t="shared" si="151"/>
        <v>0</v>
      </c>
      <c r="N809" s="24">
        <v>15</v>
      </c>
      <c r="O809" s="26">
        <f t="shared" si="154"/>
        <v>0</v>
      </c>
      <c r="P809" s="24">
        <v>1.1000000000000001</v>
      </c>
      <c r="Q809" s="24">
        <v>36</v>
      </c>
      <c r="R809" s="27">
        <f t="shared" si="155"/>
        <v>0</v>
      </c>
      <c r="S809" s="102">
        <f t="shared" si="157"/>
        <v>0</v>
      </c>
      <c r="T809" s="21">
        <f>VLOOKUP($A809,'2022-23 Salary &amp; Benefits'!$A:$I,5,FALSE)</f>
        <v>68937</v>
      </c>
      <c r="U809" s="21">
        <f>VLOOKUP($A809,'2022-23 Salary &amp; Benefits'!$A:$I,6,FALSE)</f>
        <v>72728</v>
      </c>
      <c r="V809" s="22">
        <f t="shared" si="158"/>
        <v>0</v>
      </c>
      <c r="W809" s="22">
        <f t="shared" si="159"/>
        <v>0</v>
      </c>
      <c r="X809" s="22">
        <f>'2022-23 Salary &amp; Benefits'!$G$6</f>
        <v>12558.24</v>
      </c>
      <c r="Y809" s="23">
        <f>'2022-23 Salary &amp; Benefits'!$H$6</f>
        <v>0.2298</v>
      </c>
      <c r="Z809" s="23">
        <f>'2022-23 Salary &amp; Benefits'!$I$6</f>
        <v>0.22339999999999999</v>
      </c>
      <c r="AA809" s="22">
        <f t="shared" si="160"/>
        <v>0</v>
      </c>
      <c r="AB809" s="22">
        <f t="shared" si="161"/>
        <v>0</v>
      </c>
      <c r="AC809" s="22">
        <f t="shared" si="162"/>
        <v>0</v>
      </c>
      <c r="AD809" s="22">
        <f t="shared" si="152"/>
        <v>0</v>
      </c>
      <c r="AE809" s="22">
        <f t="shared" si="153"/>
        <v>0</v>
      </c>
      <c r="AF809" s="19" t="str">
        <f>VLOOKUP(C809,'2021-22 School Level AAFTE'!C:N,12,FALSE)</f>
        <v>No</v>
      </c>
    </row>
    <row r="810" spans="1:32" s="19" customFormat="1">
      <c r="A810" s="97" t="s">
        <v>2362</v>
      </c>
      <c r="B810" s="97" t="s">
        <v>846</v>
      </c>
      <c r="C810" s="95">
        <v>4592</v>
      </c>
      <c r="D810" s="95" t="s">
        <v>866</v>
      </c>
      <c r="E810" s="129">
        <f>VLOOKUP($C810,'2021-22 School Level AAFTE'!$C:$Z,11,FALSE)</f>
        <v>8.7033333333333338E-2</v>
      </c>
      <c r="F810" s="129" t="str">
        <f>VLOOKUP($C810,'2021-22 School Level AAFTE'!$C:$Z,8,FALSE)</f>
        <v>No</v>
      </c>
      <c r="G810" s="129" t="str">
        <f>VLOOKUP($C810,'2021-22 School Level AAFTE'!$C:$Z,12,FALSE)</f>
        <v>No</v>
      </c>
      <c r="H810" s="127">
        <f>VLOOKUP($C810,'2021-22 School Level AAFTE'!$C:$I,7,FALSE)</f>
        <v>497.01</v>
      </c>
      <c r="I810" s="112">
        <f>IFERROR(IF(OR(G810="yes",F810= "yes"),VLOOKUP(C810,Summary!$B:$J,6,0),0),0)</f>
        <v>0</v>
      </c>
      <c r="J810" s="111">
        <f t="shared" si="156"/>
        <v>0</v>
      </c>
      <c r="K810" s="91">
        <f>VLOOKUP($A810,'2022-23 Salary &amp; Benefits'!$A:$I,3,FALSE)</f>
        <v>1.18</v>
      </c>
      <c r="L810" s="91">
        <f>VLOOKUP($A810,'2022-23 Salary &amp; Benefits'!$A:$I,4,FALSE)</f>
        <v>1.18</v>
      </c>
      <c r="M810" s="101">
        <f t="shared" si="151"/>
        <v>0</v>
      </c>
      <c r="N810" s="24">
        <v>15</v>
      </c>
      <c r="O810" s="26">
        <f t="shared" si="154"/>
        <v>0</v>
      </c>
      <c r="P810" s="24">
        <v>1.1000000000000001</v>
      </c>
      <c r="Q810" s="24">
        <v>36</v>
      </c>
      <c r="R810" s="27">
        <f t="shared" si="155"/>
        <v>0</v>
      </c>
      <c r="S810" s="102">
        <f t="shared" si="157"/>
        <v>0</v>
      </c>
      <c r="T810" s="21">
        <f>VLOOKUP($A810,'2022-23 Salary &amp; Benefits'!$A:$I,5,FALSE)</f>
        <v>68937</v>
      </c>
      <c r="U810" s="21">
        <f>VLOOKUP($A810,'2022-23 Salary &amp; Benefits'!$A:$I,6,FALSE)</f>
        <v>72728</v>
      </c>
      <c r="V810" s="22">
        <f t="shared" si="158"/>
        <v>0</v>
      </c>
      <c r="W810" s="22">
        <f t="shared" si="159"/>
        <v>0</v>
      </c>
      <c r="X810" s="22">
        <f>'2022-23 Salary &amp; Benefits'!$G$6</f>
        <v>12558.24</v>
      </c>
      <c r="Y810" s="23">
        <f>'2022-23 Salary &amp; Benefits'!$H$6</f>
        <v>0.2298</v>
      </c>
      <c r="Z810" s="23">
        <f>'2022-23 Salary &amp; Benefits'!$I$6</f>
        <v>0.22339999999999999</v>
      </c>
      <c r="AA810" s="22">
        <f t="shared" si="160"/>
        <v>0</v>
      </c>
      <c r="AB810" s="22">
        <f t="shared" si="161"/>
        <v>0</v>
      </c>
      <c r="AC810" s="22">
        <f t="shared" si="162"/>
        <v>0</v>
      </c>
      <c r="AD810" s="22">
        <f t="shared" si="152"/>
        <v>0</v>
      </c>
      <c r="AE810" s="22">
        <f t="shared" si="153"/>
        <v>0</v>
      </c>
      <c r="AF810" s="19" t="str">
        <f>VLOOKUP(C810,'2021-22 School Level AAFTE'!C:N,12,FALSE)</f>
        <v>No</v>
      </c>
    </row>
    <row r="811" spans="1:32" s="19" customFormat="1">
      <c r="A811" s="97" t="s">
        <v>2362</v>
      </c>
      <c r="B811" s="97" t="s">
        <v>846</v>
      </c>
      <c r="C811" s="95">
        <v>5056</v>
      </c>
      <c r="D811" s="95" t="s">
        <v>867</v>
      </c>
      <c r="E811" s="129">
        <f>VLOOKUP($C811,'2021-22 School Level AAFTE'!$C:$Z,11,FALSE)</f>
        <v>5.6033333333333331E-2</v>
      </c>
      <c r="F811" s="129" t="str">
        <f>VLOOKUP($C811,'2021-22 School Level AAFTE'!$C:$Z,8,FALSE)</f>
        <v>No</v>
      </c>
      <c r="G811" s="129" t="str">
        <f>VLOOKUP($C811,'2021-22 School Level AAFTE'!$C:$Z,12,FALSE)</f>
        <v>No</v>
      </c>
      <c r="H811" s="127">
        <f>VLOOKUP($C811,'2021-22 School Level AAFTE'!$C:$I,7,FALSE)</f>
        <v>604.63</v>
      </c>
      <c r="I811" s="112">
        <f>IFERROR(IF(OR(G811="yes",F811= "yes"),VLOOKUP(C811,Summary!$B:$J,6,0),0),0)</f>
        <v>0</v>
      </c>
      <c r="J811" s="111">
        <f t="shared" si="156"/>
        <v>0</v>
      </c>
      <c r="K811" s="91">
        <f>VLOOKUP($A811,'2022-23 Salary &amp; Benefits'!$A:$I,3,FALSE)</f>
        <v>1.18</v>
      </c>
      <c r="L811" s="91">
        <f>VLOOKUP($A811,'2022-23 Salary &amp; Benefits'!$A:$I,4,FALSE)</f>
        <v>1.18</v>
      </c>
      <c r="M811" s="39">
        <f t="shared" si="151"/>
        <v>0</v>
      </c>
      <c r="N811" s="24">
        <v>15</v>
      </c>
      <c r="O811" s="26">
        <f t="shared" si="154"/>
        <v>0</v>
      </c>
      <c r="P811" s="24">
        <v>1.1000000000000001</v>
      </c>
      <c r="Q811" s="24">
        <v>36</v>
      </c>
      <c r="R811" s="27">
        <f t="shared" si="155"/>
        <v>0</v>
      </c>
      <c r="S811" s="102">
        <f t="shared" si="157"/>
        <v>0</v>
      </c>
      <c r="T811" s="21">
        <f>VLOOKUP($A811,'2022-23 Salary &amp; Benefits'!$A:$I,5,FALSE)</f>
        <v>68937</v>
      </c>
      <c r="U811" s="21">
        <f>VLOOKUP($A811,'2022-23 Salary &amp; Benefits'!$A:$I,6,FALSE)</f>
        <v>72728</v>
      </c>
      <c r="V811" s="22">
        <f t="shared" si="158"/>
        <v>0</v>
      </c>
      <c r="W811" s="22">
        <f t="shared" si="159"/>
        <v>0</v>
      </c>
      <c r="X811" s="22">
        <f>'2022-23 Salary &amp; Benefits'!$G$6</f>
        <v>12558.24</v>
      </c>
      <c r="Y811" s="23">
        <f>'2022-23 Salary &amp; Benefits'!$H$6</f>
        <v>0.2298</v>
      </c>
      <c r="Z811" s="23">
        <f>'2022-23 Salary &amp; Benefits'!$I$6</f>
        <v>0.22339999999999999</v>
      </c>
      <c r="AA811" s="22">
        <f t="shared" si="160"/>
        <v>0</v>
      </c>
      <c r="AB811" s="22">
        <f t="shared" si="161"/>
        <v>0</v>
      </c>
      <c r="AC811" s="22">
        <f t="shared" si="162"/>
        <v>0</v>
      </c>
      <c r="AD811" s="22">
        <f t="shared" si="152"/>
        <v>0</v>
      </c>
      <c r="AE811" s="22">
        <f t="shared" si="153"/>
        <v>0</v>
      </c>
      <c r="AF811" s="19" t="str">
        <f>VLOOKUP(C811,'2021-22 School Level AAFTE'!C:N,12,FALSE)</f>
        <v>No</v>
      </c>
    </row>
    <row r="812" spans="1:32" s="19" customFormat="1">
      <c r="A812" s="97" t="s">
        <v>2362</v>
      </c>
      <c r="B812" s="97" t="s">
        <v>846</v>
      </c>
      <c r="C812" s="95">
        <v>5200</v>
      </c>
      <c r="D812" s="95" t="s">
        <v>868</v>
      </c>
      <c r="E812" s="129">
        <f>VLOOKUP($C812,'2021-22 School Level AAFTE'!$C:$Z,11,FALSE)</f>
        <v>6.536666666666667E-2</v>
      </c>
      <c r="F812" s="129" t="str">
        <f>VLOOKUP($C812,'2021-22 School Level AAFTE'!$C:$Z,8,FALSE)</f>
        <v>No</v>
      </c>
      <c r="G812" s="129" t="str">
        <f>VLOOKUP($C812,'2021-22 School Level AAFTE'!$C:$Z,12,FALSE)</f>
        <v>No</v>
      </c>
      <c r="H812" s="127">
        <f>VLOOKUP($C812,'2021-22 School Level AAFTE'!$C:$I,7,FALSE)</f>
        <v>689.64</v>
      </c>
      <c r="I812" s="112">
        <f>IFERROR(IF(OR(G812="yes",F812= "yes"),VLOOKUP(C812,Summary!$B:$J,6,0),0),0)</f>
        <v>0</v>
      </c>
      <c r="J812" s="111">
        <f t="shared" si="156"/>
        <v>0</v>
      </c>
      <c r="K812" s="91">
        <f>VLOOKUP($A812,'2022-23 Salary &amp; Benefits'!$A:$I,3,FALSE)</f>
        <v>1.18</v>
      </c>
      <c r="L812" s="91">
        <f>VLOOKUP($A812,'2022-23 Salary &amp; Benefits'!$A:$I,4,FALSE)</f>
        <v>1.18</v>
      </c>
      <c r="M812" s="39">
        <f t="shared" ref="M812:M872" si="163">IF(I812&gt;0,I812,J812)</f>
        <v>0</v>
      </c>
      <c r="N812" s="24">
        <v>15</v>
      </c>
      <c r="O812" s="26">
        <f t="shared" si="154"/>
        <v>0</v>
      </c>
      <c r="P812" s="24">
        <v>1.1000000000000001</v>
      </c>
      <c r="Q812" s="24">
        <v>36</v>
      </c>
      <c r="R812" s="27">
        <f t="shared" si="155"/>
        <v>0</v>
      </c>
      <c r="S812" s="102">
        <f t="shared" si="157"/>
        <v>0</v>
      </c>
      <c r="T812" s="21">
        <f>VLOOKUP($A812,'2022-23 Salary &amp; Benefits'!$A:$I,5,FALSE)</f>
        <v>68937</v>
      </c>
      <c r="U812" s="21">
        <f>VLOOKUP($A812,'2022-23 Salary &amp; Benefits'!$A:$I,6,FALSE)</f>
        <v>72728</v>
      </c>
      <c r="V812" s="22">
        <f t="shared" si="158"/>
        <v>0</v>
      </c>
      <c r="W812" s="22">
        <f t="shared" si="159"/>
        <v>0</v>
      </c>
      <c r="X812" s="22">
        <f>'2022-23 Salary &amp; Benefits'!$G$6</f>
        <v>12558.24</v>
      </c>
      <c r="Y812" s="23">
        <f>'2022-23 Salary &amp; Benefits'!$H$6</f>
        <v>0.2298</v>
      </c>
      <c r="Z812" s="23">
        <f>'2022-23 Salary &amp; Benefits'!$I$6</f>
        <v>0.22339999999999999</v>
      </c>
      <c r="AA812" s="22">
        <f t="shared" si="160"/>
        <v>0</v>
      </c>
      <c r="AB812" s="22">
        <f t="shared" si="161"/>
        <v>0</v>
      </c>
      <c r="AC812" s="22">
        <f t="shared" si="162"/>
        <v>0</v>
      </c>
      <c r="AD812" s="22">
        <f t="shared" ref="AD812:AD872" si="164">SUM(AB812:AC812)</f>
        <v>0</v>
      </c>
      <c r="AE812" s="22">
        <f t="shared" ref="AE812:AE872" si="165">SUM(AA812,V812:W812,AD812)</f>
        <v>0</v>
      </c>
      <c r="AF812" s="19" t="str">
        <f>VLOOKUP(C812,'2021-22 School Level AAFTE'!C:N,12,FALSE)</f>
        <v>No</v>
      </c>
    </row>
    <row r="813" spans="1:32" s="19" customFormat="1">
      <c r="A813" s="97" t="s">
        <v>2362</v>
      </c>
      <c r="B813" s="97" t="s">
        <v>846</v>
      </c>
      <c r="C813" s="95">
        <v>5201</v>
      </c>
      <c r="D813" s="95" t="s">
        <v>869</v>
      </c>
      <c r="E813" s="129">
        <f>VLOOKUP($C813,'2021-22 School Level AAFTE'!$C:$Z,11,FALSE)</f>
        <v>1.7766666666666667E-2</v>
      </c>
      <c r="F813" s="129" t="str">
        <f>VLOOKUP($C813,'2021-22 School Level AAFTE'!$C:$Z,8,FALSE)</f>
        <v>No</v>
      </c>
      <c r="G813" s="129" t="str">
        <f>VLOOKUP($C813,'2021-22 School Level AAFTE'!$C:$Z,12,FALSE)</f>
        <v>No</v>
      </c>
      <c r="H813" s="127">
        <f>VLOOKUP($C813,'2021-22 School Level AAFTE'!$C:$I,7,FALSE)</f>
        <v>635.04</v>
      </c>
      <c r="I813" s="112">
        <f>IFERROR(IF(OR(G813="yes",F813= "yes"),VLOOKUP(C813,Summary!$B:$J,6,0),0),0)</f>
        <v>0</v>
      </c>
      <c r="J813" s="111">
        <f t="shared" si="156"/>
        <v>0</v>
      </c>
      <c r="K813" s="91">
        <f>VLOOKUP($A813,'2022-23 Salary &amp; Benefits'!$A:$I,3,FALSE)</f>
        <v>1.18</v>
      </c>
      <c r="L813" s="91">
        <f>VLOOKUP($A813,'2022-23 Salary &amp; Benefits'!$A:$I,4,FALSE)</f>
        <v>1.18</v>
      </c>
      <c r="M813" s="101">
        <f t="shared" si="163"/>
        <v>0</v>
      </c>
      <c r="N813" s="24">
        <v>15</v>
      </c>
      <c r="O813" s="26">
        <f t="shared" si="154"/>
        <v>0</v>
      </c>
      <c r="P813" s="24">
        <v>1.1000000000000001</v>
      </c>
      <c r="Q813" s="24">
        <v>36</v>
      </c>
      <c r="R813" s="27">
        <f t="shared" si="155"/>
        <v>0</v>
      </c>
      <c r="S813" s="102">
        <f t="shared" si="157"/>
        <v>0</v>
      </c>
      <c r="T813" s="21">
        <f>VLOOKUP($A813,'2022-23 Salary &amp; Benefits'!$A:$I,5,FALSE)</f>
        <v>68937</v>
      </c>
      <c r="U813" s="21">
        <f>VLOOKUP($A813,'2022-23 Salary &amp; Benefits'!$A:$I,6,FALSE)</f>
        <v>72728</v>
      </c>
      <c r="V813" s="22">
        <f t="shared" si="158"/>
        <v>0</v>
      </c>
      <c r="W813" s="22">
        <f t="shared" si="159"/>
        <v>0</v>
      </c>
      <c r="X813" s="22">
        <f>'2022-23 Salary &amp; Benefits'!$G$6</f>
        <v>12558.24</v>
      </c>
      <c r="Y813" s="23">
        <f>'2022-23 Salary &amp; Benefits'!$H$6</f>
        <v>0.2298</v>
      </c>
      <c r="Z813" s="23">
        <f>'2022-23 Salary &amp; Benefits'!$I$6</f>
        <v>0.22339999999999999</v>
      </c>
      <c r="AA813" s="22">
        <f t="shared" si="160"/>
        <v>0</v>
      </c>
      <c r="AB813" s="22">
        <f t="shared" si="161"/>
        <v>0</v>
      </c>
      <c r="AC813" s="22">
        <f t="shared" si="162"/>
        <v>0</v>
      </c>
      <c r="AD813" s="22">
        <f t="shared" si="164"/>
        <v>0</v>
      </c>
      <c r="AE813" s="22">
        <f t="shared" si="165"/>
        <v>0</v>
      </c>
      <c r="AF813" s="19" t="str">
        <f>VLOOKUP(C813,'2021-22 School Level AAFTE'!C:N,12,FALSE)</f>
        <v>No</v>
      </c>
    </row>
    <row r="814" spans="1:32" s="19" customFormat="1">
      <c r="A814" s="97" t="s">
        <v>2362</v>
      </c>
      <c r="B814" s="97" t="s">
        <v>846</v>
      </c>
      <c r="C814" s="95">
        <v>5437</v>
      </c>
      <c r="D814" s="95" t="s">
        <v>870</v>
      </c>
      <c r="E814" s="129">
        <f>VLOOKUP($C814,'2021-22 School Level AAFTE'!$C:$Z,11,FALSE)</f>
        <v>8.776666666666666E-2</v>
      </c>
      <c r="F814" s="129" t="str">
        <f>VLOOKUP($C814,'2021-22 School Level AAFTE'!$C:$Z,8,FALSE)</f>
        <v>No</v>
      </c>
      <c r="G814" s="129" t="str">
        <f>VLOOKUP($C814,'2021-22 School Level AAFTE'!$C:$Z,12,FALSE)</f>
        <v>No</v>
      </c>
      <c r="H814" s="127">
        <f>VLOOKUP($C814,'2021-22 School Level AAFTE'!$C:$I,7,FALSE)</f>
        <v>181.63</v>
      </c>
      <c r="I814" s="112">
        <f>IFERROR(IF(OR(G814="yes",F814= "yes"),VLOOKUP(C814,Summary!$B:$J,6,0),0),0)</f>
        <v>0</v>
      </c>
      <c r="J814" s="111">
        <f t="shared" si="156"/>
        <v>0</v>
      </c>
      <c r="K814" s="91">
        <f>VLOOKUP($A814,'2022-23 Salary &amp; Benefits'!$A:$I,3,FALSE)</f>
        <v>1.18</v>
      </c>
      <c r="L814" s="91">
        <f>VLOOKUP($A814,'2022-23 Salary &amp; Benefits'!$A:$I,4,FALSE)</f>
        <v>1.18</v>
      </c>
      <c r="M814" s="101">
        <f t="shared" si="163"/>
        <v>0</v>
      </c>
      <c r="N814" s="24">
        <v>15</v>
      </c>
      <c r="O814" s="26">
        <f t="shared" si="154"/>
        <v>0</v>
      </c>
      <c r="P814" s="24">
        <v>1.1000000000000001</v>
      </c>
      <c r="Q814" s="24">
        <v>36</v>
      </c>
      <c r="R814" s="27">
        <f t="shared" si="155"/>
        <v>0</v>
      </c>
      <c r="S814" s="102">
        <f t="shared" si="157"/>
        <v>0</v>
      </c>
      <c r="T814" s="21">
        <f>VLOOKUP($A814,'2022-23 Salary &amp; Benefits'!$A:$I,5,FALSE)</f>
        <v>68937</v>
      </c>
      <c r="U814" s="21">
        <f>VLOOKUP($A814,'2022-23 Salary &amp; Benefits'!$A:$I,6,FALSE)</f>
        <v>72728</v>
      </c>
      <c r="V814" s="22">
        <f t="shared" si="158"/>
        <v>0</v>
      </c>
      <c r="W814" s="22">
        <f t="shared" si="159"/>
        <v>0</v>
      </c>
      <c r="X814" s="22">
        <f>'2022-23 Salary &amp; Benefits'!$G$6</f>
        <v>12558.24</v>
      </c>
      <c r="Y814" s="23">
        <f>'2022-23 Salary &amp; Benefits'!$H$6</f>
        <v>0.2298</v>
      </c>
      <c r="Z814" s="23">
        <f>'2022-23 Salary &amp; Benefits'!$I$6</f>
        <v>0.22339999999999999</v>
      </c>
      <c r="AA814" s="22">
        <f t="shared" si="160"/>
        <v>0</v>
      </c>
      <c r="AB814" s="22">
        <f t="shared" si="161"/>
        <v>0</v>
      </c>
      <c r="AC814" s="22">
        <f t="shared" si="162"/>
        <v>0</v>
      </c>
      <c r="AD814" s="22">
        <f t="shared" si="164"/>
        <v>0</v>
      </c>
      <c r="AE814" s="22">
        <f t="shared" si="165"/>
        <v>0</v>
      </c>
      <c r="AF814" s="19" t="str">
        <f>VLOOKUP(C814,'2021-22 School Level AAFTE'!C:N,12,FALSE)</f>
        <v>No</v>
      </c>
    </row>
    <row r="815" spans="1:32" s="19" customFormat="1">
      <c r="A815" s="97" t="s">
        <v>2362</v>
      </c>
      <c r="B815" s="97" t="s">
        <v>846</v>
      </c>
      <c r="C815" s="95">
        <v>5673</v>
      </c>
      <c r="D815" s="95" t="s">
        <v>3019</v>
      </c>
      <c r="E815" s="129">
        <f>VLOOKUP($C815,'2021-22 School Level AAFTE'!$C:$Z,11,FALSE)</f>
        <v>0.10340000000000001</v>
      </c>
      <c r="F815" s="129" t="str">
        <f>VLOOKUP($C815,'2021-22 School Level AAFTE'!$C:$Z,8,FALSE)</f>
        <v>No</v>
      </c>
      <c r="G815" s="129" t="str">
        <f>VLOOKUP($C815,'2021-22 School Level AAFTE'!$C:$Z,12,FALSE)</f>
        <v>No</v>
      </c>
      <c r="H815" s="127">
        <f>VLOOKUP($C815,'2021-22 School Level AAFTE'!$C:$I,7,FALSE)</f>
        <v>376.31</v>
      </c>
      <c r="I815" s="112">
        <f>IFERROR(IF(OR(G815="yes",F815= "yes"),VLOOKUP(C815,Summary!$B:$J,6,0),0),0)</f>
        <v>0</v>
      </c>
      <c r="J815" s="111">
        <f t="shared" si="156"/>
        <v>0</v>
      </c>
      <c r="K815" s="91">
        <f>VLOOKUP($A815,'2022-23 Salary &amp; Benefits'!$A:$I,3,FALSE)</f>
        <v>1.18</v>
      </c>
      <c r="L815" s="91">
        <f>VLOOKUP($A815,'2022-23 Salary &amp; Benefits'!$A:$I,4,FALSE)</f>
        <v>1.18</v>
      </c>
      <c r="M815" s="101">
        <f t="shared" si="163"/>
        <v>0</v>
      </c>
      <c r="N815" s="24">
        <v>15</v>
      </c>
      <c r="O815" s="26">
        <f t="shared" si="154"/>
        <v>0</v>
      </c>
      <c r="P815" s="24">
        <v>1.1000000000000001</v>
      </c>
      <c r="Q815" s="24">
        <v>36</v>
      </c>
      <c r="R815" s="27">
        <f t="shared" si="155"/>
        <v>0</v>
      </c>
      <c r="S815" s="102">
        <f t="shared" si="157"/>
        <v>0</v>
      </c>
      <c r="T815" s="21">
        <f>VLOOKUP($A815,'2022-23 Salary &amp; Benefits'!$A:$I,5,FALSE)</f>
        <v>68937</v>
      </c>
      <c r="U815" s="21">
        <f>VLOOKUP($A815,'2022-23 Salary &amp; Benefits'!$A:$I,6,FALSE)</f>
        <v>72728</v>
      </c>
      <c r="V815" s="22">
        <f t="shared" si="158"/>
        <v>0</v>
      </c>
      <c r="W815" s="22">
        <f t="shared" si="159"/>
        <v>0</v>
      </c>
      <c r="X815" s="22">
        <f>'2022-23 Salary &amp; Benefits'!$G$6</f>
        <v>12558.24</v>
      </c>
      <c r="Y815" s="23">
        <f>'2022-23 Salary &amp; Benefits'!$H$6</f>
        <v>0.2298</v>
      </c>
      <c r="Z815" s="23">
        <f>'2022-23 Salary &amp; Benefits'!$I$6</f>
        <v>0.22339999999999999</v>
      </c>
      <c r="AA815" s="22">
        <f t="shared" si="160"/>
        <v>0</v>
      </c>
      <c r="AB815" s="22">
        <f t="shared" si="161"/>
        <v>0</v>
      </c>
      <c r="AC815" s="22">
        <f t="shared" si="162"/>
        <v>0</v>
      </c>
      <c r="AD815" s="22">
        <f t="shared" si="164"/>
        <v>0</v>
      </c>
      <c r="AE815" s="22">
        <f t="shared" si="165"/>
        <v>0</v>
      </c>
      <c r="AF815" s="19" t="str">
        <f>VLOOKUP(C815,'2021-22 School Level AAFTE'!C:N,12,FALSE)</f>
        <v>No</v>
      </c>
    </row>
    <row r="816" spans="1:32" s="19" customFormat="1">
      <c r="A816" s="97" t="s">
        <v>2362</v>
      </c>
      <c r="B816" s="97" t="s">
        <v>846</v>
      </c>
      <c r="C816" s="95">
        <v>5674</v>
      </c>
      <c r="D816" s="95" t="s">
        <v>3020</v>
      </c>
      <c r="E816" s="129">
        <f>VLOOKUP($C816,'2021-22 School Level AAFTE'!$C:$Z,11,FALSE)</f>
        <v>9.0300000000000005E-2</v>
      </c>
      <c r="F816" s="129" t="str">
        <f>VLOOKUP($C816,'2021-22 School Level AAFTE'!$C:$Z,8,FALSE)</f>
        <v>No</v>
      </c>
      <c r="G816" s="129" t="str">
        <f>VLOOKUP($C816,'2021-22 School Level AAFTE'!$C:$Z,12,FALSE)</f>
        <v>No</v>
      </c>
      <c r="H816" s="127">
        <f>VLOOKUP($C816,'2021-22 School Level AAFTE'!$C:$I,7,FALSE)</f>
        <v>638.67999999999995</v>
      </c>
      <c r="I816" s="112">
        <f>IFERROR(IF(OR(G816="yes",F816= "yes"),VLOOKUP(C816,Summary!$B:$J,6,0),0),0)</f>
        <v>0</v>
      </c>
      <c r="J816" s="111">
        <f t="shared" si="156"/>
        <v>0</v>
      </c>
      <c r="K816" s="91">
        <f>VLOOKUP($A816,'2022-23 Salary &amp; Benefits'!$A:$I,3,FALSE)</f>
        <v>1.18</v>
      </c>
      <c r="L816" s="91">
        <f>VLOOKUP($A816,'2022-23 Salary &amp; Benefits'!$A:$I,4,FALSE)</f>
        <v>1.18</v>
      </c>
      <c r="M816" s="101">
        <f t="shared" si="163"/>
        <v>0</v>
      </c>
      <c r="N816" s="24">
        <v>15</v>
      </c>
      <c r="O816" s="26">
        <f t="shared" si="154"/>
        <v>0</v>
      </c>
      <c r="P816" s="24">
        <v>1.1000000000000001</v>
      </c>
      <c r="Q816" s="24">
        <v>36</v>
      </c>
      <c r="R816" s="27">
        <f t="shared" si="155"/>
        <v>0</v>
      </c>
      <c r="S816" s="102">
        <f t="shared" si="157"/>
        <v>0</v>
      </c>
      <c r="T816" s="21">
        <f>VLOOKUP($A816,'2022-23 Salary &amp; Benefits'!$A:$I,5,FALSE)</f>
        <v>68937</v>
      </c>
      <c r="U816" s="21">
        <f>VLOOKUP($A816,'2022-23 Salary &amp; Benefits'!$A:$I,6,FALSE)</f>
        <v>72728</v>
      </c>
      <c r="V816" s="22">
        <f t="shared" si="158"/>
        <v>0</v>
      </c>
      <c r="W816" s="22">
        <f t="shared" si="159"/>
        <v>0</v>
      </c>
      <c r="X816" s="22">
        <f>'2022-23 Salary &amp; Benefits'!$G$6</f>
        <v>12558.24</v>
      </c>
      <c r="Y816" s="23">
        <f>'2022-23 Salary &amp; Benefits'!$H$6</f>
        <v>0.2298</v>
      </c>
      <c r="Z816" s="23">
        <f>'2022-23 Salary &amp; Benefits'!$I$6</f>
        <v>0.22339999999999999</v>
      </c>
      <c r="AA816" s="22">
        <f t="shared" si="160"/>
        <v>0</v>
      </c>
      <c r="AB816" s="22">
        <f t="shared" si="161"/>
        <v>0</v>
      </c>
      <c r="AC816" s="22">
        <f t="shared" si="162"/>
        <v>0</v>
      </c>
      <c r="AD816" s="22">
        <f t="shared" si="164"/>
        <v>0</v>
      </c>
      <c r="AE816" s="22">
        <f t="shared" si="165"/>
        <v>0</v>
      </c>
      <c r="AF816" s="19" t="str">
        <f>VLOOKUP(C816,'2021-22 School Level AAFTE'!C:N,12,FALSE)</f>
        <v>No</v>
      </c>
    </row>
    <row r="817" spans="1:32" s="19" customFormat="1">
      <c r="A817" s="97" t="s">
        <v>2315</v>
      </c>
      <c r="B817" s="97" t="s">
        <v>403</v>
      </c>
      <c r="C817" s="95">
        <v>3214</v>
      </c>
      <c r="D817" s="95" t="s">
        <v>404</v>
      </c>
      <c r="E817" s="129">
        <f>VLOOKUP($C817,'2021-22 School Level AAFTE'!$C:$Z,11,FALSE)</f>
        <v>0.44749999999999995</v>
      </c>
      <c r="F817" s="129" t="str">
        <f>VLOOKUP($C817,'2021-22 School Level AAFTE'!$C:$Z,8,FALSE)</f>
        <v>Yes</v>
      </c>
      <c r="G817" s="129" t="str">
        <f>VLOOKUP($C817,'2021-22 School Level AAFTE'!$C:$Z,12,FALSE)</f>
        <v>No</v>
      </c>
      <c r="H817" s="127">
        <f>VLOOKUP($C817,'2021-22 School Level AAFTE'!$C:$I,7,FALSE)</f>
        <v>38.57</v>
      </c>
      <c r="I817" s="112">
        <f>IFERROR(IF(OR(G817="yes",F817= "yes"),VLOOKUP(C817,Summary!$B:$J,6,0),0),0)</f>
        <v>0</v>
      </c>
      <c r="J817" s="111">
        <f t="shared" si="156"/>
        <v>38.57</v>
      </c>
      <c r="K817" s="91">
        <f>VLOOKUP($A817,'2022-23 Salary &amp; Benefits'!$A:$I,3,FALSE)</f>
        <v>1</v>
      </c>
      <c r="L817" s="91">
        <f>VLOOKUP($A817,'2022-23 Salary &amp; Benefits'!$A:$I,4,FALSE)</f>
        <v>1.04</v>
      </c>
      <c r="M817" s="39">
        <f t="shared" si="163"/>
        <v>38.57</v>
      </c>
      <c r="N817" s="24">
        <v>15</v>
      </c>
      <c r="O817" s="26">
        <f t="shared" si="154"/>
        <v>2.5713333333333335</v>
      </c>
      <c r="P817" s="24">
        <v>1.1000000000000001</v>
      </c>
      <c r="Q817" s="24">
        <v>36</v>
      </c>
      <c r="R817" s="27">
        <f t="shared" si="155"/>
        <v>101.82480000000001</v>
      </c>
      <c r="S817" s="102">
        <f t="shared" si="157"/>
        <v>0.113</v>
      </c>
      <c r="T817" s="21">
        <f>VLOOKUP($A817,'2022-23 Salary &amp; Benefits'!$A:$I,5,FALSE)</f>
        <v>68937</v>
      </c>
      <c r="U817" s="21">
        <f>VLOOKUP($A817,'2022-23 Salary &amp; Benefits'!$A:$I,6,FALSE)</f>
        <v>72728</v>
      </c>
      <c r="V817" s="22">
        <f t="shared" si="158"/>
        <v>7789.88</v>
      </c>
      <c r="W817" s="22">
        <f t="shared" si="159"/>
        <v>757.10999999999967</v>
      </c>
      <c r="X817" s="22">
        <f>'2022-23 Salary &amp; Benefits'!$G$6</f>
        <v>12558.24</v>
      </c>
      <c r="Y817" s="23">
        <f>'2022-23 Salary &amp; Benefits'!$H$6</f>
        <v>0.2298</v>
      </c>
      <c r="Z817" s="23">
        <f>'2022-23 Salary &amp; Benefits'!$I$6</f>
        <v>0.22339999999999999</v>
      </c>
      <c r="AA817" s="22">
        <f t="shared" si="160"/>
        <v>3378.33</v>
      </c>
      <c r="AB817" s="22">
        <f t="shared" si="161"/>
        <v>142.44999999999999</v>
      </c>
      <c r="AC817" s="22">
        <f t="shared" si="162"/>
        <v>31.82</v>
      </c>
      <c r="AD817" s="22">
        <f t="shared" si="164"/>
        <v>174.26999999999998</v>
      </c>
      <c r="AE817" s="22">
        <f t="shared" si="165"/>
        <v>12099.59</v>
      </c>
      <c r="AF817" s="19" t="str">
        <f>VLOOKUP(C817,'2021-22 School Level AAFTE'!C:N,12,FALSE)</f>
        <v>No</v>
      </c>
    </row>
    <row r="818" spans="1:32" s="19" customFormat="1">
      <c r="A818" s="97" t="s">
        <v>2298</v>
      </c>
      <c r="B818" s="97" t="s">
        <v>318</v>
      </c>
      <c r="C818" s="95">
        <v>2561</v>
      </c>
      <c r="D818" s="95" t="s">
        <v>2783</v>
      </c>
      <c r="E818" s="129">
        <f>VLOOKUP($C818,'2021-22 School Level AAFTE'!$C:$Z,11,FALSE)</f>
        <v>0.32526666666666665</v>
      </c>
      <c r="F818" s="129" t="str">
        <f>VLOOKUP($C818,'2021-22 School Level AAFTE'!$C:$Z,8,FALSE)</f>
        <v>No</v>
      </c>
      <c r="G818" s="129" t="str">
        <f>VLOOKUP($C818,'2021-22 School Level AAFTE'!$C:$Z,12,FALSE)</f>
        <v>No</v>
      </c>
      <c r="H818" s="127">
        <f>VLOOKUP($C818,'2021-22 School Level AAFTE'!$C:$I,7,FALSE)</f>
        <v>259</v>
      </c>
      <c r="I818" s="112">
        <f>IFERROR(IF(OR(G818="yes",F818= "yes"),VLOOKUP(C818,Summary!$B:$J,6,0),0),0)</f>
        <v>0</v>
      </c>
      <c r="J818" s="111">
        <f t="shared" si="156"/>
        <v>0</v>
      </c>
      <c r="K818" s="91">
        <f>VLOOKUP($A818,'2022-23 Salary &amp; Benefits'!$A:$I,3,FALSE)</f>
        <v>1</v>
      </c>
      <c r="L818" s="91">
        <f>VLOOKUP($A818,'2022-23 Salary &amp; Benefits'!$A:$I,4,FALSE)</f>
        <v>1</v>
      </c>
      <c r="M818" s="101">
        <f t="shared" si="163"/>
        <v>0</v>
      </c>
      <c r="N818" s="24">
        <v>15</v>
      </c>
      <c r="O818" s="26">
        <f t="shared" si="154"/>
        <v>0</v>
      </c>
      <c r="P818" s="24">
        <v>1.1000000000000001</v>
      </c>
      <c r="Q818" s="24">
        <v>36</v>
      </c>
      <c r="R818" s="27">
        <f t="shared" si="155"/>
        <v>0</v>
      </c>
      <c r="S818" s="102">
        <f t="shared" si="157"/>
        <v>0</v>
      </c>
      <c r="T818" s="21">
        <f>VLOOKUP($A818,'2022-23 Salary &amp; Benefits'!$A:$I,5,FALSE)</f>
        <v>68937</v>
      </c>
      <c r="U818" s="21">
        <f>VLOOKUP($A818,'2022-23 Salary &amp; Benefits'!$A:$I,6,FALSE)</f>
        <v>72728</v>
      </c>
      <c r="V818" s="22">
        <f t="shared" si="158"/>
        <v>0</v>
      </c>
      <c r="W818" s="22">
        <f t="shared" si="159"/>
        <v>0</v>
      </c>
      <c r="X818" s="22">
        <f>'2022-23 Salary &amp; Benefits'!$G$6</f>
        <v>12558.24</v>
      </c>
      <c r="Y818" s="23">
        <f>'2022-23 Salary &amp; Benefits'!$H$6</f>
        <v>0.2298</v>
      </c>
      <c r="Z818" s="23">
        <f>'2022-23 Salary &amp; Benefits'!$I$6</f>
        <v>0.22339999999999999</v>
      </c>
      <c r="AA818" s="22">
        <f t="shared" si="160"/>
        <v>0</v>
      </c>
      <c r="AB818" s="22">
        <f t="shared" si="161"/>
        <v>0</v>
      </c>
      <c r="AC818" s="22">
        <f t="shared" si="162"/>
        <v>0</v>
      </c>
      <c r="AD818" s="22">
        <f t="shared" si="164"/>
        <v>0</v>
      </c>
      <c r="AE818" s="22">
        <f t="shared" si="165"/>
        <v>0</v>
      </c>
      <c r="AF818" s="19" t="str">
        <f>VLOOKUP(C818,'2021-22 School Level AAFTE'!C:N,12,FALSE)</f>
        <v>No</v>
      </c>
    </row>
    <row r="819" spans="1:32" s="19" customFormat="1">
      <c r="A819" s="97" t="s">
        <v>2298</v>
      </c>
      <c r="B819" s="97" t="s">
        <v>318</v>
      </c>
      <c r="C819" s="95">
        <v>2915</v>
      </c>
      <c r="D819" s="95" t="s">
        <v>319</v>
      </c>
      <c r="E819" s="129">
        <f>VLOOKUP($C819,'2021-22 School Level AAFTE'!$C:$Z,11,FALSE)</f>
        <v>0.31583333333333335</v>
      </c>
      <c r="F819" s="129" t="str">
        <f>VLOOKUP($C819,'2021-22 School Level AAFTE'!$C:$Z,8,FALSE)</f>
        <v>No</v>
      </c>
      <c r="G819" s="129" t="str">
        <f>VLOOKUP($C819,'2021-22 School Level AAFTE'!$C:$Z,12,FALSE)</f>
        <v>No</v>
      </c>
      <c r="H819" s="127">
        <f>VLOOKUP($C819,'2021-22 School Level AAFTE'!$C:$I,7,FALSE)</f>
        <v>485.12</v>
      </c>
      <c r="I819" s="112">
        <f>IFERROR(IF(OR(G819="yes",F819= "yes"),VLOOKUP(C819,Summary!$B:$J,6,0),0),0)</f>
        <v>0</v>
      </c>
      <c r="J819" s="111">
        <f t="shared" si="156"/>
        <v>0</v>
      </c>
      <c r="K819" s="91">
        <f>VLOOKUP($A819,'2022-23 Salary &amp; Benefits'!$A:$I,3,FALSE)</f>
        <v>1</v>
      </c>
      <c r="L819" s="91">
        <f>VLOOKUP($A819,'2022-23 Salary &amp; Benefits'!$A:$I,4,FALSE)</f>
        <v>1</v>
      </c>
      <c r="M819" s="39">
        <f t="shared" si="163"/>
        <v>0</v>
      </c>
      <c r="N819" s="24">
        <v>15</v>
      </c>
      <c r="O819" s="26">
        <f t="shared" si="154"/>
        <v>0</v>
      </c>
      <c r="P819" s="24">
        <v>1.1000000000000001</v>
      </c>
      <c r="Q819" s="24">
        <v>36</v>
      </c>
      <c r="R819" s="27">
        <f t="shared" si="155"/>
        <v>0</v>
      </c>
      <c r="S819" s="102">
        <f t="shared" si="157"/>
        <v>0</v>
      </c>
      <c r="T819" s="21">
        <f>VLOOKUP($A819,'2022-23 Salary &amp; Benefits'!$A:$I,5,FALSE)</f>
        <v>68937</v>
      </c>
      <c r="U819" s="21">
        <f>VLOOKUP($A819,'2022-23 Salary &amp; Benefits'!$A:$I,6,FALSE)</f>
        <v>72728</v>
      </c>
      <c r="V819" s="22">
        <f t="shared" si="158"/>
        <v>0</v>
      </c>
      <c r="W819" s="22">
        <f t="shared" si="159"/>
        <v>0</v>
      </c>
      <c r="X819" s="22">
        <f>'2022-23 Salary &amp; Benefits'!$G$6</f>
        <v>12558.24</v>
      </c>
      <c r="Y819" s="23">
        <f>'2022-23 Salary &amp; Benefits'!$H$6</f>
        <v>0.2298</v>
      </c>
      <c r="Z819" s="23">
        <f>'2022-23 Salary &amp; Benefits'!$I$6</f>
        <v>0.22339999999999999</v>
      </c>
      <c r="AA819" s="22">
        <f t="shared" si="160"/>
        <v>0</v>
      </c>
      <c r="AB819" s="22">
        <f t="shared" si="161"/>
        <v>0</v>
      </c>
      <c r="AC819" s="22">
        <f t="shared" si="162"/>
        <v>0</v>
      </c>
      <c r="AD819" s="22">
        <f t="shared" si="164"/>
        <v>0</v>
      </c>
      <c r="AE819" s="22">
        <f t="shared" si="165"/>
        <v>0</v>
      </c>
      <c r="AF819" s="19" t="str">
        <f>VLOOKUP(C819,'2021-22 School Level AAFTE'!C:N,12,FALSE)</f>
        <v>No</v>
      </c>
    </row>
    <row r="820" spans="1:32" s="19" customFormat="1">
      <c r="A820" s="97" t="s">
        <v>2298</v>
      </c>
      <c r="B820" s="97" t="s">
        <v>318</v>
      </c>
      <c r="C820" s="95">
        <v>5545</v>
      </c>
      <c r="D820" s="95" t="s">
        <v>2802</v>
      </c>
      <c r="E820" s="129">
        <f>VLOOKUP($C820,'2021-22 School Level AAFTE'!$C:$Z,11,FALSE)</f>
        <v>0.30456666666666671</v>
      </c>
      <c r="F820" s="129" t="str">
        <f>VLOOKUP($C820,'2021-22 School Level AAFTE'!$C:$Z,8,FALSE)</f>
        <v>No</v>
      </c>
      <c r="G820" s="129" t="str">
        <f>VLOOKUP($C820,'2021-22 School Level AAFTE'!$C:$Z,12,FALSE)</f>
        <v>No</v>
      </c>
      <c r="H820" s="127">
        <f>VLOOKUP($C820,'2021-22 School Level AAFTE'!$C:$I,7,FALSE)</f>
        <v>299.49</v>
      </c>
      <c r="I820" s="112">
        <f>IFERROR(IF(OR(G820="yes",F820= "yes"),VLOOKUP(C820,Summary!$B:$J,6,0),0),0)</f>
        <v>0</v>
      </c>
      <c r="J820" s="111">
        <f t="shared" si="156"/>
        <v>0</v>
      </c>
      <c r="K820" s="91">
        <f>VLOOKUP($A820,'2022-23 Salary &amp; Benefits'!$A:$I,3,FALSE)</f>
        <v>1</v>
      </c>
      <c r="L820" s="91">
        <f>VLOOKUP($A820,'2022-23 Salary &amp; Benefits'!$A:$I,4,FALSE)</f>
        <v>1</v>
      </c>
      <c r="M820" s="39">
        <f t="shared" si="163"/>
        <v>0</v>
      </c>
      <c r="N820" s="24">
        <v>15</v>
      </c>
      <c r="O820" s="26">
        <f t="shared" si="154"/>
        <v>0</v>
      </c>
      <c r="P820" s="24">
        <v>1.1000000000000001</v>
      </c>
      <c r="Q820" s="24">
        <v>36</v>
      </c>
      <c r="R820" s="27">
        <f t="shared" si="155"/>
        <v>0</v>
      </c>
      <c r="S820" s="102">
        <f t="shared" si="157"/>
        <v>0</v>
      </c>
      <c r="T820" s="21">
        <f>VLOOKUP($A820,'2022-23 Salary &amp; Benefits'!$A:$I,5,FALSE)</f>
        <v>68937</v>
      </c>
      <c r="U820" s="21">
        <f>VLOOKUP($A820,'2022-23 Salary &amp; Benefits'!$A:$I,6,FALSE)</f>
        <v>72728</v>
      </c>
      <c r="V820" s="22">
        <f t="shared" si="158"/>
        <v>0</v>
      </c>
      <c r="W820" s="22">
        <f t="shared" si="159"/>
        <v>0</v>
      </c>
      <c r="X820" s="22">
        <f>'2022-23 Salary &amp; Benefits'!$G$6</f>
        <v>12558.24</v>
      </c>
      <c r="Y820" s="23">
        <f>'2022-23 Salary &amp; Benefits'!$H$6</f>
        <v>0.2298</v>
      </c>
      <c r="Z820" s="23">
        <f>'2022-23 Salary &amp; Benefits'!$I$6</f>
        <v>0.22339999999999999</v>
      </c>
      <c r="AA820" s="22">
        <f t="shared" si="160"/>
        <v>0</v>
      </c>
      <c r="AB820" s="22">
        <f t="shared" si="161"/>
        <v>0</v>
      </c>
      <c r="AC820" s="22">
        <f t="shared" si="162"/>
        <v>0</v>
      </c>
      <c r="AD820" s="22">
        <f t="shared" si="164"/>
        <v>0</v>
      </c>
      <c r="AE820" s="22">
        <f t="shared" si="165"/>
        <v>0</v>
      </c>
      <c r="AF820" s="19" t="str">
        <f>VLOOKUP(C820,'2021-22 School Level AAFTE'!C:N,12,FALSE)</f>
        <v>No</v>
      </c>
    </row>
    <row r="821" spans="1:32" s="19" customFormat="1">
      <c r="A821" s="97" t="s">
        <v>2307</v>
      </c>
      <c r="B821" s="97" t="s">
        <v>358</v>
      </c>
      <c r="C821" s="95">
        <v>2602</v>
      </c>
      <c r="D821" s="95" t="s">
        <v>359</v>
      </c>
      <c r="E821" s="129">
        <f>VLOOKUP($C821,'2021-22 School Level AAFTE'!$C:$Z,11,FALSE)</f>
        <v>0.8306</v>
      </c>
      <c r="F821" s="129" t="str">
        <f>VLOOKUP($C821,'2021-22 School Level AAFTE'!$C:$Z,8,FALSE)</f>
        <v>Yes</v>
      </c>
      <c r="G821" s="129" t="str">
        <f>VLOOKUP($C821,'2021-22 School Level AAFTE'!$C:$Z,12,FALSE)</f>
        <v>No</v>
      </c>
      <c r="H821" s="127">
        <f>VLOOKUP($C821,'2021-22 School Level AAFTE'!$C:$I,7,FALSE)</f>
        <v>33.71</v>
      </c>
      <c r="I821" s="112">
        <f>IFERROR(IF(OR(G821="yes",F821= "yes"),VLOOKUP(C821,Summary!$B:$J,6,0),0),0)</f>
        <v>0</v>
      </c>
      <c r="J821" s="111">
        <f t="shared" si="156"/>
        <v>33.71</v>
      </c>
      <c r="K821" s="91">
        <f>VLOOKUP($A821,'2022-23 Salary &amp; Benefits'!$A:$I,3,FALSE)</f>
        <v>1</v>
      </c>
      <c r="L821" s="91">
        <f>VLOOKUP($A821,'2022-23 Salary &amp; Benefits'!$A:$I,4,FALSE)</f>
        <v>1</v>
      </c>
      <c r="M821" s="39">
        <f t="shared" si="163"/>
        <v>33.71</v>
      </c>
      <c r="N821" s="24">
        <v>15</v>
      </c>
      <c r="O821" s="26">
        <f t="shared" si="154"/>
        <v>2.2473333333333332</v>
      </c>
      <c r="P821" s="24">
        <v>1.1000000000000001</v>
      </c>
      <c r="Q821" s="24">
        <v>36</v>
      </c>
      <c r="R821" s="27">
        <f t="shared" si="155"/>
        <v>88.994399999999999</v>
      </c>
      <c r="S821" s="102">
        <f t="shared" si="157"/>
        <v>9.9000000000000005E-2</v>
      </c>
      <c r="T821" s="21">
        <f>VLOOKUP($A821,'2022-23 Salary &amp; Benefits'!$A:$I,5,FALSE)</f>
        <v>68937</v>
      </c>
      <c r="U821" s="21">
        <f>VLOOKUP($A821,'2022-23 Salary &amp; Benefits'!$A:$I,6,FALSE)</f>
        <v>72728</v>
      </c>
      <c r="V821" s="22">
        <f t="shared" si="158"/>
        <v>6824.76</v>
      </c>
      <c r="W821" s="22">
        <f t="shared" si="159"/>
        <v>375.30999999999949</v>
      </c>
      <c r="X821" s="22">
        <f>'2022-23 Salary &amp; Benefits'!$G$6</f>
        <v>12558.24</v>
      </c>
      <c r="Y821" s="23">
        <f>'2022-23 Salary &amp; Benefits'!$H$6</f>
        <v>0.2298</v>
      </c>
      <c r="Z821" s="23">
        <f>'2022-23 Salary &amp; Benefits'!$I$6</f>
        <v>0.22339999999999999</v>
      </c>
      <c r="AA821" s="22">
        <f t="shared" si="160"/>
        <v>2895.44</v>
      </c>
      <c r="AB821" s="22">
        <f t="shared" si="161"/>
        <v>120</v>
      </c>
      <c r="AC821" s="22">
        <f t="shared" si="162"/>
        <v>26.81</v>
      </c>
      <c r="AD821" s="22">
        <f t="shared" si="164"/>
        <v>146.81</v>
      </c>
      <c r="AE821" s="22">
        <f t="shared" si="165"/>
        <v>10242.32</v>
      </c>
      <c r="AF821" s="19" t="str">
        <f>VLOOKUP(C821,'2021-22 School Level AAFTE'!C:N,12,FALSE)</f>
        <v>No</v>
      </c>
    </row>
    <row r="822" spans="1:32" s="19" customFormat="1">
      <c r="A822" s="97" t="s">
        <v>2300</v>
      </c>
      <c r="B822" s="97" t="s">
        <v>326</v>
      </c>
      <c r="C822" s="95">
        <v>1934</v>
      </c>
      <c r="D822" s="95" t="s">
        <v>327</v>
      </c>
      <c r="E822" s="129">
        <f>VLOOKUP($C822,'2021-22 School Level AAFTE'!$C:$Z,11,FALSE)</f>
        <v>0.6629666666666667</v>
      </c>
      <c r="F822" s="129" t="str">
        <f>VLOOKUP($C822,'2021-22 School Level AAFTE'!$C:$Z,8,FALSE)</f>
        <v>Yes</v>
      </c>
      <c r="G822" s="129" t="str">
        <f>VLOOKUP($C822,'2021-22 School Level AAFTE'!$C:$Z,12,FALSE)</f>
        <v>No</v>
      </c>
      <c r="H822" s="127">
        <f>VLOOKUP($C822,'2021-22 School Level AAFTE'!$C:$I,7,FALSE)</f>
        <v>4.8499999999999996</v>
      </c>
      <c r="I822" s="112">
        <f>IFERROR(IF(OR(G822="yes",F822= "yes"),VLOOKUP(C822,Summary!$B:$J,6,0),0),0)</f>
        <v>0</v>
      </c>
      <c r="J822" s="111">
        <f t="shared" si="156"/>
        <v>4.8499999999999996</v>
      </c>
      <c r="K822" s="91">
        <f>VLOOKUP($A822,'2022-23 Salary &amp; Benefits'!$A:$I,3,FALSE)</f>
        <v>1</v>
      </c>
      <c r="L822" s="91">
        <f>VLOOKUP($A822,'2022-23 Salary &amp; Benefits'!$A:$I,4,FALSE)</f>
        <v>1</v>
      </c>
      <c r="M822" s="101">
        <f t="shared" si="163"/>
        <v>4.8499999999999996</v>
      </c>
      <c r="N822" s="24">
        <v>15</v>
      </c>
      <c r="O822" s="26">
        <f t="shared" si="154"/>
        <v>0.32333333333333331</v>
      </c>
      <c r="P822" s="24">
        <v>1.1000000000000001</v>
      </c>
      <c r="Q822" s="24">
        <v>36</v>
      </c>
      <c r="R822" s="27">
        <f t="shared" si="155"/>
        <v>12.804</v>
      </c>
      <c r="S822" s="102">
        <f t="shared" si="157"/>
        <v>1.4E-2</v>
      </c>
      <c r="T822" s="21">
        <f>VLOOKUP($A822,'2022-23 Salary &amp; Benefits'!$A:$I,5,FALSE)</f>
        <v>68937</v>
      </c>
      <c r="U822" s="21">
        <f>VLOOKUP($A822,'2022-23 Salary &amp; Benefits'!$A:$I,6,FALSE)</f>
        <v>72728</v>
      </c>
      <c r="V822" s="22">
        <f t="shared" si="158"/>
        <v>965.12</v>
      </c>
      <c r="W822" s="22">
        <f t="shared" si="159"/>
        <v>53.07000000000005</v>
      </c>
      <c r="X822" s="22">
        <f>'2022-23 Salary &amp; Benefits'!$G$6</f>
        <v>12558.24</v>
      </c>
      <c r="Y822" s="23">
        <f>'2022-23 Salary &amp; Benefits'!$H$6</f>
        <v>0.2298</v>
      </c>
      <c r="Z822" s="23">
        <f>'2022-23 Salary &amp; Benefits'!$I$6</f>
        <v>0.22339999999999999</v>
      </c>
      <c r="AA822" s="22">
        <f t="shared" si="160"/>
        <v>409.46</v>
      </c>
      <c r="AB822" s="22">
        <f t="shared" si="161"/>
        <v>16.97</v>
      </c>
      <c r="AC822" s="22">
        <f t="shared" si="162"/>
        <v>3.79</v>
      </c>
      <c r="AD822" s="22">
        <f t="shared" si="164"/>
        <v>20.759999999999998</v>
      </c>
      <c r="AE822" s="22">
        <f t="shared" si="165"/>
        <v>1448.41</v>
      </c>
      <c r="AF822" s="19" t="str">
        <f>VLOOKUP(C822,'2021-22 School Level AAFTE'!C:N,12,FALSE)</f>
        <v>No</v>
      </c>
    </row>
    <row r="823" spans="1:32" s="19" customFormat="1">
      <c r="A823" s="97" t="s">
        <v>2300</v>
      </c>
      <c r="B823" s="97" t="s">
        <v>326</v>
      </c>
      <c r="C823" s="95">
        <v>2266</v>
      </c>
      <c r="D823" s="95" t="s">
        <v>328</v>
      </c>
      <c r="E823" s="129">
        <f>VLOOKUP($C823,'2021-22 School Level AAFTE'!$C:$Z,11,FALSE)</f>
        <v>0.54786666666666672</v>
      </c>
      <c r="F823" s="129" t="str">
        <f>VLOOKUP($C823,'2021-22 School Level AAFTE'!$C:$Z,8,FALSE)</f>
        <v>Yes</v>
      </c>
      <c r="G823" s="129" t="str">
        <f>VLOOKUP($C823,'2021-22 School Level AAFTE'!$C:$Z,12,FALSE)</f>
        <v>No</v>
      </c>
      <c r="H823" s="127">
        <f>VLOOKUP($C823,'2021-22 School Level AAFTE'!$C:$I,7,FALSE)</f>
        <v>1398.25</v>
      </c>
      <c r="I823" s="112">
        <f>IFERROR(IF(OR(G823="yes",F823= "yes"),VLOOKUP(C823,Summary!$B:$J,6,0),0),0)</f>
        <v>0</v>
      </c>
      <c r="J823" s="111">
        <f t="shared" si="156"/>
        <v>1398.25</v>
      </c>
      <c r="K823" s="91">
        <f>VLOOKUP($A823,'2022-23 Salary &amp; Benefits'!$A:$I,3,FALSE)</f>
        <v>1</v>
      </c>
      <c r="L823" s="91">
        <f>VLOOKUP($A823,'2022-23 Salary &amp; Benefits'!$A:$I,4,FALSE)</f>
        <v>1</v>
      </c>
      <c r="M823" s="101">
        <f t="shared" si="163"/>
        <v>1398.25</v>
      </c>
      <c r="N823" s="24">
        <v>15</v>
      </c>
      <c r="O823" s="26">
        <f t="shared" si="154"/>
        <v>93.216666666666669</v>
      </c>
      <c r="P823" s="24">
        <v>1.1000000000000001</v>
      </c>
      <c r="Q823" s="24">
        <v>36</v>
      </c>
      <c r="R823" s="27">
        <f t="shared" si="155"/>
        <v>3691.38</v>
      </c>
      <c r="S823" s="102">
        <f t="shared" si="157"/>
        <v>4.1020000000000003</v>
      </c>
      <c r="T823" s="21">
        <f>VLOOKUP($A823,'2022-23 Salary &amp; Benefits'!$A:$I,5,FALSE)</f>
        <v>68937</v>
      </c>
      <c r="U823" s="21">
        <f>VLOOKUP($A823,'2022-23 Salary &amp; Benefits'!$A:$I,6,FALSE)</f>
        <v>72728</v>
      </c>
      <c r="V823" s="22">
        <f t="shared" si="158"/>
        <v>282779.57</v>
      </c>
      <c r="W823" s="22">
        <f t="shared" si="159"/>
        <v>15550.690000000002</v>
      </c>
      <c r="X823" s="22">
        <f>'2022-23 Salary &amp; Benefits'!$G$6</f>
        <v>12558.24</v>
      </c>
      <c r="Y823" s="23">
        <f>'2022-23 Salary &amp; Benefits'!$H$6</f>
        <v>0.2298</v>
      </c>
      <c r="Z823" s="23">
        <f>'2022-23 Salary &amp; Benefits'!$I$6</f>
        <v>0.22339999999999999</v>
      </c>
      <c r="AA823" s="22">
        <f t="shared" si="160"/>
        <v>119970.67</v>
      </c>
      <c r="AB823" s="22">
        <f t="shared" si="161"/>
        <v>4972.17</v>
      </c>
      <c r="AC823" s="22">
        <f t="shared" si="162"/>
        <v>1110.78</v>
      </c>
      <c r="AD823" s="22">
        <f t="shared" si="164"/>
        <v>6082.95</v>
      </c>
      <c r="AE823" s="22">
        <f t="shared" si="165"/>
        <v>424383.88</v>
      </c>
      <c r="AF823" s="19" t="str">
        <f>VLOOKUP(C823,'2021-22 School Level AAFTE'!C:N,12,FALSE)</f>
        <v>No</v>
      </c>
    </row>
    <row r="824" spans="1:32" s="19" customFormat="1">
      <c r="A824" s="97" t="s">
        <v>2300</v>
      </c>
      <c r="B824" s="97" t="s">
        <v>326</v>
      </c>
      <c r="C824" s="95">
        <v>2596</v>
      </c>
      <c r="D824" s="95" t="s">
        <v>329</v>
      </c>
      <c r="E824" s="129">
        <f>VLOOKUP($C824,'2021-22 School Level AAFTE'!$C:$Z,11,FALSE)</f>
        <v>0.33883333333333332</v>
      </c>
      <c r="F824" s="129" t="str">
        <f>VLOOKUP($C824,'2021-22 School Level AAFTE'!$C:$Z,8,FALSE)</f>
        <v>No</v>
      </c>
      <c r="G824" s="129" t="str">
        <f>VLOOKUP($C824,'2021-22 School Level AAFTE'!$C:$Z,12,FALSE)</f>
        <v>No</v>
      </c>
      <c r="H824" s="127">
        <f>VLOOKUP($C824,'2021-22 School Level AAFTE'!$C:$I,7,FALSE)</f>
        <v>161.41</v>
      </c>
      <c r="I824" s="112">
        <f>IFERROR(IF(OR(G824="yes",F824= "yes"),VLOOKUP(C824,Summary!$B:$J,6,0),0),0)</f>
        <v>0</v>
      </c>
      <c r="J824" s="111">
        <f t="shared" si="156"/>
        <v>0</v>
      </c>
      <c r="K824" s="91">
        <f>VLOOKUP($A824,'2022-23 Salary &amp; Benefits'!$A:$I,3,FALSE)</f>
        <v>1</v>
      </c>
      <c r="L824" s="91">
        <f>VLOOKUP($A824,'2022-23 Salary &amp; Benefits'!$A:$I,4,FALSE)</f>
        <v>1</v>
      </c>
      <c r="M824" s="101">
        <f t="shared" si="163"/>
        <v>0</v>
      </c>
      <c r="N824" s="24">
        <v>15</v>
      </c>
      <c r="O824" s="26">
        <f t="shared" si="154"/>
        <v>0</v>
      </c>
      <c r="P824" s="24">
        <v>1.1000000000000001</v>
      </c>
      <c r="Q824" s="24">
        <v>36</v>
      </c>
      <c r="R824" s="27">
        <f t="shared" si="155"/>
        <v>0</v>
      </c>
      <c r="S824" s="102">
        <f t="shared" si="157"/>
        <v>0</v>
      </c>
      <c r="T824" s="21">
        <f>VLOOKUP($A824,'2022-23 Salary &amp; Benefits'!$A:$I,5,FALSE)</f>
        <v>68937</v>
      </c>
      <c r="U824" s="21">
        <f>VLOOKUP($A824,'2022-23 Salary &amp; Benefits'!$A:$I,6,FALSE)</f>
        <v>72728</v>
      </c>
      <c r="V824" s="22">
        <f t="shared" si="158"/>
        <v>0</v>
      </c>
      <c r="W824" s="22">
        <f t="shared" si="159"/>
        <v>0</v>
      </c>
      <c r="X824" s="22">
        <f>'2022-23 Salary &amp; Benefits'!$G$6</f>
        <v>12558.24</v>
      </c>
      <c r="Y824" s="23">
        <f>'2022-23 Salary &amp; Benefits'!$H$6</f>
        <v>0.2298</v>
      </c>
      <c r="Z824" s="23">
        <f>'2022-23 Salary &amp; Benefits'!$I$6</f>
        <v>0.22339999999999999</v>
      </c>
      <c r="AA824" s="22">
        <f t="shared" si="160"/>
        <v>0</v>
      </c>
      <c r="AB824" s="22">
        <f t="shared" si="161"/>
        <v>0</v>
      </c>
      <c r="AC824" s="22">
        <f t="shared" si="162"/>
        <v>0</v>
      </c>
      <c r="AD824" s="22">
        <f t="shared" si="164"/>
        <v>0</v>
      </c>
      <c r="AE824" s="22">
        <f t="shared" si="165"/>
        <v>0</v>
      </c>
      <c r="AF824" s="19" t="str">
        <f>VLOOKUP(C824,'2021-22 School Level AAFTE'!C:N,12,FALSE)</f>
        <v>No</v>
      </c>
    </row>
    <row r="825" spans="1:32" s="19" customFormat="1">
      <c r="A825" s="97" t="s">
        <v>2300</v>
      </c>
      <c r="B825" s="97" t="s">
        <v>326</v>
      </c>
      <c r="C825" s="95">
        <v>2624</v>
      </c>
      <c r="D825" s="95" t="s">
        <v>330</v>
      </c>
      <c r="E825" s="129">
        <f>VLOOKUP($C825,'2021-22 School Level AAFTE'!$C:$Z,11,FALSE)</f>
        <v>0.82493333333333341</v>
      </c>
      <c r="F825" s="129" t="str">
        <f>VLOOKUP($C825,'2021-22 School Level AAFTE'!$C:$Z,8,FALSE)</f>
        <v>Yes</v>
      </c>
      <c r="G825" s="129" t="str">
        <f>VLOOKUP($C825,'2021-22 School Level AAFTE'!$C:$Z,12,FALSE)</f>
        <v>No</v>
      </c>
      <c r="H825" s="127">
        <f>VLOOKUP($C825,'2021-22 School Level AAFTE'!$C:$I,7,FALSE)</f>
        <v>329.48</v>
      </c>
      <c r="I825" s="112">
        <f>IFERROR(IF(OR(G825="yes",F825= "yes"),VLOOKUP(C825,Summary!$B:$J,6,0),0),0)</f>
        <v>0</v>
      </c>
      <c r="J825" s="111">
        <f t="shared" si="156"/>
        <v>329.48</v>
      </c>
      <c r="K825" s="91">
        <f>VLOOKUP($A825,'2022-23 Salary &amp; Benefits'!$A:$I,3,FALSE)</f>
        <v>1</v>
      </c>
      <c r="L825" s="91">
        <f>VLOOKUP($A825,'2022-23 Salary &amp; Benefits'!$A:$I,4,FALSE)</f>
        <v>1</v>
      </c>
      <c r="M825" s="101">
        <f t="shared" si="163"/>
        <v>329.48</v>
      </c>
      <c r="N825" s="24">
        <v>15</v>
      </c>
      <c r="O825" s="26">
        <f t="shared" si="154"/>
        <v>21.965333333333334</v>
      </c>
      <c r="P825" s="24">
        <v>1.1000000000000001</v>
      </c>
      <c r="Q825" s="24">
        <v>36</v>
      </c>
      <c r="R825" s="27">
        <f t="shared" si="155"/>
        <v>869.82720000000006</v>
      </c>
      <c r="S825" s="102">
        <f t="shared" si="157"/>
        <v>0.96599999999999997</v>
      </c>
      <c r="T825" s="21">
        <f>VLOOKUP($A825,'2022-23 Salary &amp; Benefits'!$A:$I,5,FALSE)</f>
        <v>68937</v>
      </c>
      <c r="U825" s="21">
        <f>VLOOKUP($A825,'2022-23 Salary &amp; Benefits'!$A:$I,6,FALSE)</f>
        <v>72728</v>
      </c>
      <c r="V825" s="22">
        <f t="shared" si="158"/>
        <v>66593.14</v>
      </c>
      <c r="W825" s="22">
        <f t="shared" si="159"/>
        <v>3662.1100000000006</v>
      </c>
      <c r="X825" s="22">
        <f>'2022-23 Salary &amp; Benefits'!$G$6</f>
        <v>12558.24</v>
      </c>
      <c r="Y825" s="23">
        <f>'2022-23 Salary &amp; Benefits'!$H$6</f>
        <v>0.2298</v>
      </c>
      <c r="Z825" s="23">
        <f>'2022-23 Salary &amp; Benefits'!$I$6</f>
        <v>0.22339999999999999</v>
      </c>
      <c r="AA825" s="22">
        <f t="shared" si="160"/>
        <v>28252.48</v>
      </c>
      <c r="AB825" s="22">
        <f t="shared" si="161"/>
        <v>1170.92</v>
      </c>
      <c r="AC825" s="22">
        <f t="shared" si="162"/>
        <v>261.58</v>
      </c>
      <c r="AD825" s="22">
        <f t="shared" si="164"/>
        <v>1432.5</v>
      </c>
      <c r="AE825" s="22">
        <f t="shared" si="165"/>
        <v>99940.23</v>
      </c>
      <c r="AF825" s="19" t="str">
        <f>VLOOKUP(C825,'2021-22 School Level AAFTE'!C:N,12,FALSE)</f>
        <v>No</v>
      </c>
    </row>
    <row r="826" spans="1:32" s="19" customFormat="1">
      <c r="A826" s="97" t="s">
        <v>2300</v>
      </c>
      <c r="B826" s="97" t="s">
        <v>326</v>
      </c>
      <c r="C826" s="95">
        <v>2913</v>
      </c>
      <c r="D826" s="95" t="s">
        <v>331</v>
      </c>
      <c r="E826" s="129">
        <f>VLOOKUP($C826,'2021-22 School Level AAFTE'!$C:$Z,11,FALSE)</f>
        <v>0.40329999999999999</v>
      </c>
      <c r="F826" s="129" t="str">
        <f>VLOOKUP($C826,'2021-22 School Level AAFTE'!$C:$Z,8,FALSE)</f>
        <v>No</v>
      </c>
      <c r="G826" s="129" t="str">
        <f>VLOOKUP($C826,'2021-22 School Level AAFTE'!$C:$Z,12,FALSE)</f>
        <v>No</v>
      </c>
      <c r="H826" s="127">
        <f>VLOOKUP($C826,'2021-22 School Level AAFTE'!$C:$I,7,FALSE)</f>
        <v>90.29</v>
      </c>
      <c r="I826" s="112">
        <f>IFERROR(IF(OR(G826="yes",F826= "yes"),VLOOKUP(C826,Summary!$B:$J,6,0),0),0)</f>
        <v>0</v>
      </c>
      <c r="J826" s="111">
        <f t="shared" si="156"/>
        <v>0</v>
      </c>
      <c r="K826" s="91">
        <f>VLOOKUP($A826,'2022-23 Salary &amp; Benefits'!$A:$I,3,FALSE)</f>
        <v>1</v>
      </c>
      <c r="L826" s="91">
        <f>VLOOKUP($A826,'2022-23 Salary &amp; Benefits'!$A:$I,4,FALSE)</f>
        <v>1</v>
      </c>
      <c r="M826" s="101">
        <f t="shared" si="163"/>
        <v>0</v>
      </c>
      <c r="N826" s="24">
        <v>15</v>
      </c>
      <c r="O826" s="26">
        <f t="shared" si="154"/>
        <v>0</v>
      </c>
      <c r="P826" s="24">
        <v>1.1000000000000001</v>
      </c>
      <c r="Q826" s="24">
        <v>36</v>
      </c>
      <c r="R826" s="27">
        <f t="shared" si="155"/>
        <v>0</v>
      </c>
      <c r="S826" s="102">
        <f t="shared" si="157"/>
        <v>0</v>
      </c>
      <c r="T826" s="21">
        <f>VLOOKUP($A826,'2022-23 Salary &amp; Benefits'!$A:$I,5,FALSE)</f>
        <v>68937</v>
      </c>
      <c r="U826" s="21">
        <f>VLOOKUP($A826,'2022-23 Salary &amp; Benefits'!$A:$I,6,FALSE)</f>
        <v>72728</v>
      </c>
      <c r="V826" s="22">
        <f t="shared" si="158"/>
        <v>0</v>
      </c>
      <c r="W826" s="22">
        <f t="shared" si="159"/>
        <v>0</v>
      </c>
      <c r="X826" s="22">
        <f>'2022-23 Salary &amp; Benefits'!$G$6</f>
        <v>12558.24</v>
      </c>
      <c r="Y826" s="23">
        <f>'2022-23 Salary &amp; Benefits'!$H$6</f>
        <v>0.2298</v>
      </c>
      <c r="Z826" s="23">
        <f>'2022-23 Salary &amp; Benefits'!$I$6</f>
        <v>0.22339999999999999</v>
      </c>
      <c r="AA826" s="22">
        <f t="shared" si="160"/>
        <v>0</v>
      </c>
      <c r="AB826" s="22">
        <f t="shared" si="161"/>
        <v>0</v>
      </c>
      <c r="AC826" s="22">
        <f t="shared" si="162"/>
        <v>0</v>
      </c>
      <c r="AD826" s="22">
        <f t="shared" si="164"/>
        <v>0</v>
      </c>
      <c r="AE826" s="22">
        <f t="shared" si="165"/>
        <v>0</v>
      </c>
      <c r="AF826" s="19" t="str">
        <f>VLOOKUP(C826,'2021-22 School Level AAFTE'!C:N,12,FALSE)</f>
        <v>No</v>
      </c>
    </row>
    <row r="827" spans="1:32" s="19" customFormat="1">
      <c r="A827" s="97" t="s">
        <v>2300</v>
      </c>
      <c r="B827" s="97" t="s">
        <v>326</v>
      </c>
      <c r="C827" s="95">
        <v>2916</v>
      </c>
      <c r="D827" s="95" t="s">
        <v>332</v>
      </c>
      <c r="E827" s="129">
        <f>VLOOKUP($C827,'2021-22 School Level AAFTE'!$C:$Z,11,FALSE)</f>
        <v>0.65</v>
      </c>
      <c r="F827" s="129" t="str">
        <f>VLOOKUP($C827,'2021-22 School Level AAFTE'!$C:$Z,8,FALSE)</f>
        <v>Yes</v>
      </c>
      <c r="G827" s="129" t="str">
        <f>VLOOKUP($C827,'2021-22 School Level AAFTE'!$C:$Z,12,FALSE)</f>
        <v>No</v>
      </c>
      <c r="H827" s="127">
        <f>VLOOKUP($C827,'2021-22 School Level AAFTE'!$C:$I,7,FALSE)</f>
        <v>527.66</v>
      </c>
      <c r="I827" s="112">
        <f>IFERROR(IF(OR(G827="yes",F827= "yes"),VLOOKUP(C827,Summary!$B:$J,6,0),0),0)</f>
        <v>0</v>
      </c>
      <c r="J827" s="111">
        <f t="shared" si="156"/>
        <v>527.66</v>
      </c>
      <c r="K827" s="91">
        <f>VLOOKUP($A827,'2022-23 Salary &amp; Benefits'!$A:$I,3,FALSE)</f>
        <v>1</v>
      </c>
      <c r="L827" s="91">
        <f>VLOOKUP($A827,'2022-23 Salary &amp; Benefits'!$A:$I,4,FALSE)</f>
        <v>1</v>
      </c>
      <c r="M827" s="101">
        <f t="shared" si="163"/>
        <v>527.66</v>
      </c>
      <c r="N827" s="24">
        <v>15</v>
      </c>
      <c r="O827" s="26">
        <f t="shared" si="154"/>
        <v>35.17733333333333</v>
      </c>
      <c r="P827" s="24">
        <v>1.1000000000000001</v>
      </c>
      <c r="Q827" s="24">
        <v>36</v>
      </c>
      <c r="R827" s="27">
        <f t="shared" si="155"/>
        <v>1393.0224000000001</v>
      </c>
      <c r="S827" s="102">
        <f t="shared" si="157"/>
        <v>1.548</v>
      </c>
      <c r="T827" s="21">
        <f>VLOOKUP($A827,'2022-23 Salary &amp; Benefits'!$A:$I,5,FALSE)</f>
        <v>68937</v>
      </c>
      <c r="U827" s="21">
        <f>VLOOKUP($A827,'2022-23 Salary &amp; Benefits'!$A:$I,6,FALSE)</f>
        <v>72728</v>
      </c>
      <c r="V827" s="22">
        <f t="shared" si="158"/>
        <v>106714.48</v>
      </c>
      <c r="W827" s="22">
        <f t="shared" si="159"/>
        <v>5868.4600000000064</v>
      </c>
      <c r="X827" s="22">
        <f>'2022-23 Salary &amp; Benefits'!$G$6</f>
        <v>12558.24</v>
      </c>
      <c r="Y827" s="23">
        <f>'2022-23 Salary &amp; Benefits'!$H$6</f>
        <v>0.2298</v>
      </c>
      <c r="Z827" s="23">
        <f>'2022-23 Salary &amp; Benefits'!$I$6</f>
        <v>0.22339999999999999</v>
      </c>
      <c r="AA827" s="22">
        <f t="shared" si="160"/>
        <v>45274.16</v>
      </c>
      <c r="AB827" s="22">
        <f t="shared" si="161"/>
        <v>1876.38</v>
      </c>
      <c r="AC827" s="22">
        <f t="shared" si="162"/>
        <v>419.18</v>
      </c>
      <c r="AD827" s="22">
        <f t="shared" si="164"/>
        <v>2295.56</v>
      </c>
      <c r="AE827" s="22">
        <f t="shared" si="165"/>
        <v>160152.66000000003</v>
      </c>
      <c r="AF827" s="19" t="str">
        <f>VLOOKUP(C827,'2021-22 School Level AAFTE'!C:N,12,FALSE)</f>
        <v>No</v>
      </c>
    </row>
    <row r="828" spans="1:32" s="19" customFormat="1">
      <c r="A828" s="97" t="s">
        <v>2300</v>
      </c>
      <c r="B828" s="97" t="s">
        <v>326</v>
      </c>
      <c r="C828" s="95">
        <v>3082</v>
      </c>
      <c r="D828" s="95" t="s">
        <v>333</v>
      </c>
      <c r="E828" s="129">
        <f>VLOOKUP($C828,'2021-22 School Level AAFTE'!$C:$Z,11,FALSE)</f>
        <v>0.54110000000000003</v>
      </c>
      <c r="F828" s="129" t="str">
        <f>VLOOKUP($C828,'2021-22 School Level AAFTE'!$C:$Z,8,FALSE)</f>
        <v>Yes</v>
      </c>
      <c r="G828" s="129" t="str">
        <f>VLOOKUP($C828,'2021-22 School Level AAFTE'!$C:$Z,12,FALSE)</f>
        <v>No</v>
      </c>
      <c r="H828" s="127">
        <f>VLOOKUP($C828,'2021-22 School Level AAFTE'!$C:$I,7,FALSE)</f>
        <v>401.88</v>
      </c>
      <c r="I828" s="112">
        <f>IFERROR(IF(OR(G828="yes",F828= "yes"),VLOOKUP(C828,Summary!$B:$J,6,0),0),0)</f>
        <v>0</v>
      </c>
      <c r="J828" s="111">
        <f t="shared" si="156"/>
        <v>401.88</v>
      </c>
      <c r="K828" s="91">
        <f>VLOOKUP($A828,'2022-23 Salary &amp; Benefits'!$A:$I,3,FALSE)</f>
        <v>1</v>
      </c>
      <c r="L828" s="91">
        <f>VLOOKUP($A828,'2022-23 Salary &amp; Benefits'!$A:$I,4,FALSE)</f>
        <v>1</v>
      </c>
      <c r="M828" s="39">
        <f t="shared" si="163"/>
        <v>401.88</v>
      </c>
      <c r="N828" s="24">
        <v>15</v>
      </c>
      <c r="O828" s="26">
        <f t="shared" si="154"/>
        <v>26.791999999999998</v>
      </c>
      <c r="P828" s="24">
        <v>1.1000000000000001</v>
      </c>
      <c r="Q828" s="24">
        <v>36</v>
      </c>
      <c r="R828" s="27">
        <f t="shared" si="155"/>
        <v>1060.9631999999999</v>
      </c>
      <c r="S828" s="102">
        <f t="shared" si="157"/>
        <v>1.179</v>
      </c>
      <c r="T828" s="21">
        <f>VLOOKUP($A828,'2022-23 Salary &amp; Benefits'!$A:$I,5,FALSE)</f>
        <v>68937</v>
      </c>
      <c r="U828" s="21">
        <f>VLOOKUP($A828,'2022-23 Salary &amp; Benefits'!$A:$I,6,FALSE)</f>
        <v>72728</v>
      </c>
      <c r="V828" s="22">
        <f t="shared" si="158"/>
        <v>81276.72</v>
      </c>
      <c r="W828" s="22">
        <f t="shared" si="159"/>
        <v>4469.5899999999965</v>
      </c>
      <c r="X828" s="22">
        <f>'2022-23 Salary &amp; Benefits'!$G$6</f>
        <v>12558.24</v>
      </c>
      <c r="Y828" s="23">
        <f>'2022-23 Salary &amp; Benefits'!$H$6</f>
        <v>0.2298</v>
      </c>
      <c r="Z828" s="23">
        <f>'2022-23 Salary &amp; Benefits'!$I$6</f>
        <v>0.22339999999999999</v>
      </c>
      <c r="AA828" s="22">
        <f t="shared" si="160"/>
        <v>34482.06</v>
      </c>
      <c r="AB828" s="22">
        <f t="shared" si="161"/>
        <v>1429.11</v>
      </c>
      <c r="AC828" s="22">
        <f t="shared" si="162"/>
        <v>319.26</v>
      </c>
      <c r="AD828" s="22">
        <f t="shared" si="164"/>
        <v>1748.37</v>
      </c>
      <c r="AE828" s="22">
        <f t="shared" si="165"/>
        <v>121976.73999999999</v>
      </c>
      <c r="AF828" s="19" t="str">
        <f>VLOOKUP(C828,'2021-22 School Level AAFTE'!C:N,12,FALSE)</f>
        <v>No</v>
      </c>
    </row>
    <row r="829" spans="1:32" s="19" customFormat="1">
      <c r="A829" s="97" t="s">
        <v>2300</v>
      </c>
      <c r="B829" s="97" t="s">
        <v>326</v>
      </c>
      <c r="C829" s="95">
        <v>3322</v>
      </c>
      <c r="D829" s="95" t="s">
        <v>334</v>
      </c>
      <c r="E829" s="129">
        <f>VLOOKUP($C829,'2021-22 School Level AAFTE'!$C:$Z,11,FALSE)</f>
        <v>0.59670000000000001</v>
      </c>
      <c r="F829" s="129" t="str">
        <f>VLOOKUP($C829,'2021-22 School Level AAFTE'!$C:$Z,8,FALSE)</f>
        <v>Yes</v>
      </c>
      <c r="G829" s="129" t="str">
        <f>VLOOKUP($C829,'2021-22 School Level AAFTE'!$C:$Z,12,FALSE)</f>
        <v>No</v>
      </c>
      <c r="H829" s="127">
        <f>VLOOKUP($C829,'2021-22 School Level AAFTE'!$C:$I,7,FALSE)</f>
        <v>557.32000000000005</v>
      </c>
      <c r="I829" s="112">
        <f>IFERROR(IF(OR(G829="yes",F829= "yes"),VLOOKUP(C829,Summary!$B:$J,6,0),0),0)</f>
        <v>0</v>
      </c>
      <c r="J829" s="111">
        <f t="shared" si="156"/>
        <v>557.32000000000005</v>
      </c>
      <c r="K829" s="91">
        <f>VLOOKUP($A829,'2022-23 Salary &amp; Benefits'!$A:$I,3,FALSE)</f>
        <v>1</v>
      </c>
      <c r="L829" s="91">
        <f>VLOOKUP($A829,'2022-23 Salary &amp; Benefits'!$A:$I,4,FALSE)</f>
        <v>1</v>
      </c>
      <c r="M829" s="101">
        <f t="shared" si="163"/>
        <v>557.32000000000005</v>
      </c>
      <c r="N829" s="24">
        <v>15</v>
      </c>
      <c r="O829" s="26">
        <f t="shared" si="154"/>
        <v>37.154666666666671</v>
      </c>
      <c r="P829" s="24">
        <v>1.1000000000000001</v>
      </c>
      <c r="Q829" s="24">
        <v>36</v>
      </c>
      <c r="R829" s="27">
        <f t="shared" si="155"/>
        <v>1471.3248000000003</v>
      </c>
      <c r="S829" s="102">
        <f t="shared" si="157"/>
        <v>1.635</v>
      </c>
      <c r="T829" s="21">
        <f>VLOOKUP($A829,'2022-23 Salary &amp; Benefits'!$A:$I,5,FALSE)</f>
        <v>68937</v>
      </c>
      <c r="U829" s="21">
        <f>VLOOKUP($A829,'2022-23 Salary &amp; Benefits'!$A:$I,6,FALSE)</f>
        <v>72728</v>
      </c>
      <c r="V829" s="22">
        <f t="shared" si="158"/>
        <v>112712</v>
      </c>
      <c r="W829" s="22">
        <f t="shared" si="159"/>
        <v>6198.2799999999988</v>
      </c>
      <c r="X829" s="22">
        <f>'2022-23 Salary &amp; Benefits'!$G$6</f>
        <v>12558.24</v>
      </c>
      <c r="Y829" s="23">
        <f>'2022-23 Salary &amp; Benefits'!$H$6</f>
        <v>0.2298</v>
      </c>
      <c r="Z829" s="23">
        <f>'2022-23 Salary &amp; Benefits'!$I$6</f>
        <v>0.22339999999999999</v>
      </c>
      <c r="AA829" s="22">
        <f t="shared" si="160"/>
        <v>47818.64</v>
      </c>
      <c r="AB829" s="22">
        <f t="shared" si="161"/>
        <v>1981.84</v>
      </c>
      <c r="AC829" s="22">
        <f t="shared" si="162"/>
        <v>442.74</v>
      </c>
      <c r="AD829" s="22">
        <f t="shared" si="164"/>
        <v>2424.58</v>
      </c>
      <c r="AE829" s="22">
        <f t="shared" si="165"/>
        <v>169153.5</v>
      </c>
      <c r="AF829" s="19" t="str">
        <f>VLOOKUP(C829,'2021-22 School Level AAFTE'!C:N,12,FALSE)</f>
        <v>No</v>
      </c>
    </row>
    <row r="830" spans="1:32" s="19" customFormat="1">
      <c r="A830" s="97" t="s">
        <v>2300</v>
      </c>
      <c r="B830" s="97" t="s">
        <v>326</v>
      </c>
      <c r="C830" s="95">
        <v>3323</v>
      </c>
      <c r="D830" s="95" t="s">
        <v>335</v>
      </c>
      <c r="E830" s="129">
        <f>VLOOKUP($C830,'2021-22 School Level AAFTE'!$C:$Z,11,FALSE)</f>
        <v>0.83293333333333341</v>
      </c>
      <c r="F830" s="129" t="str">
        <f>VLOOKUP($C830,'2021-22 School Level AAFTE'!$C:$Z,8,FALSE)</f>
        <v>Yes</v>
      </c>
      <c r="G830" s="129" t="str">
        <f>VLOOKUP($C830,'2021-22 School Level AAFTE'!$C:$Z,12,FALSE)</f>
        <v>No</v>
      </c>
      <c r="H830" s="127">
        <f>VLOOKUP($C830,'2021-22 School Level AAFTE'!$C:$I,7,FALSE)</f>
        <v>313.87</v>
      </c>
      <c r="I830" s="112">
        <f>IFERROR(IF(OR(G830="yes",F830= "yes"),VLOOKUP(C830,Summary!$B:$J,6,0),0),0)</f>
        <v>0</v>
      </c>
      <c r="J830" s="111">
        <f t="shared" si="156"/>
        <v>313.87</v>
      </c>
      <c r="K830" s="91">
        <f>VLOOKUP($A830,'2022-23 Salary &amp; Benefits'!$A:$I,3,FALSE)</f>
        <v>1</v>
      </c>
      <c r="L830" s="91">
        <f>VLOOKUP($A830,'2022-23 Salary &amp; Benefits'!$A:$I,4,FALSE)</f>
        <v>1</v>
      </c>
      <c r="M830" s="39">
        <f t="shared" si="163"/>
        <v>313.87</v>
      </c>
      <c r="N830" s="24">
        <v>15</v>
      </c>
      <c r="O830" s="26">
        <f t="shared" si="154"/>
        <v>20.924666666666667</v>
      </c>
      <c r="P830" s="24">
        <v>1.1000000000000001</v>
      </c>
      <c r="Q830" s="24">
        <v>36</v>
      </c>
      <c r="R830" s="27">
        <f t="shared" si="155"/>
        <v>828.61680000000013</v>
      </c>
      <c r="S830" s="102">
        <f t="shared" si="157"/>
        <v>0.92100000000000004</v>
      </c>
      <c r="T830" s="21">
        <f>VLOOKUP($A830,'2022-23 Salary &amp; Benefits'!$A:$I,5,FALSE)</f>
        <v>68937</v>
      </c>
      <c r="U830" s="21">
        <f>VLOOKUP($A830,'2022-23 Salary &amp; Benefits'!$A:$I,6,FALSE)</f>
        <v>72728</v>
      </c>
      <c r="V830" s="22">
        <f t="shared" si="158"/>
        <v>63490.98</v>
      </c>
      <c r="W830" s="22">
        <f t="shared" si="159"/>
        <v>3491.510000000002</v>
      </c>
      <c r="X830" s="22">
        <f>'2022-23 Salary &amp; Benefits'!$G$6</f>
        <v>12558.24</v>
      </c>
      <c r="Y830" s="23">
        <f>'2022-23 Salary &amp; Benefits'!$H$6</f>
        <v>0.2298</v>
      </c>
      <c r="Z830" s="23">
        <f>'2022-23 Salary &amp; Benefits'!$I$6</f>
        <v>0.22339999999999999</v>
      </c>
      <c r="AA830" s="22">
        <f t="shared" si="160"/>
        <v>26936.37</v>
      </c>
      <c r="AB830" s="22">
        <f t="shared" si="161"/>
        <v>1116.3699999999999</v>
      </c>
      <c r="AC830" s="22">
        <f t="shared" si="162"/>
        <v>249.4</v>
      </c>
      <c r="AD830" s="22">
        <f t="shared" si="164"/>
        <v>1365.77</v>
      </c>
      <c r="AE830" s="22">
        <f t="shared" si="165"/>
        <v>95284.630000000019</v>
      </c>
      <c r="AF830" s="19" t="str">
        <f>VLOOKUP(C830,'2021-22 School Level AAFTE'!C:N,12,FALSE)</f>
        <v>No</v>
      </c>
    </row>
    <row r="831" spans="1:32" s="19" customFormat="1">
      <c r="A831" s="97" t="s">
        <v>2300</v>
      </c>
      <c r="B831" s="97" t="s">
        <v>326</v>
      </c>
      <c r="C831" s="95">
        <v>5194</v>
      </c>
      <c r="D831" s="95" t="s">
        <v>336</v>
      </c>
      <c r="E831" s="129">
        <f>VLOOKUP($C831,'2021-22 School Level AAFTE'!$C:$Z,11,FALSE)</f>
        <v>0.54586666666666661</v>
      </c>
      <c r="F831" s="129" t="str">
        <f>VLOOKUP($C831,'2021-22 School Level AAFTE'!$C:$Z,8,FALSE)</f>
        <v>Yes</v>
      </c>
      <c r="G831" s="129" t="str">
        <f>VLOOKUP($C831,'2021-22 School Level AAFTE'!$C:$Z,12,FALSE)</f>
        <v>No</v>
      </c>
      <c r="H831" s="127">
        <f>VLOOKUP($C831,'2021-22 School Level AAFTE'!$C:$I,7,FALSE)</f>
        <v>246.53</v>
      </c>
      <c r="I831" s="112">
        <f>IFERROR(IF(OR(G831="yes",F831= "yes"),VLOOKUP(C831,Summary!$B:$J,6,0),0),0)</f>
        <v>0</v>
      </c>
      <c r="J831" s="111">
        <f t="shared" si="156"/>
        <v>246.53</v>
      </c>
      <c r="K831" s="91">
        <f>VLOOKUP($A831,'2022-23 Salary &amp; Benefits'!$A:$I,3,FALSE)</f>
        <v>1</v>
      </c>
      <c r="L831" s="91">
        <f>VLOOKUP($A831,'2022-23 Salary &amp; Benefits'!$A:$I,4,FALSE)</f>
        <v>1</v>
      </c>
      <c r="M831" s="101">
        <f t="shared" si="163"/>
        <v>246.53</v>
      </c>
      <c r="N831" s="24">
        <v>15</v>
      </c>
      <c r="O831" s="26">
        <f t="shared" si="154"/>
        <v>16.435333333333332</v>
      </c>
      <c r="P831" s="24">
        <v>1.1000000000000001</v>
      </c>
      <c r="Q831" s="24">
        <v>36</v>
      </c>
      <c r="R831" s="27">
        <f t="shared" si="155"/>
        <v>650.83920000000001</v>
      </c>
      <c r="S831" s="102">
        <f t="shared" si="157"/>
        <v>0.72299999999999998</v>
      </c>
      <c r="T831" s="21">
        <f>VLOOKUP($A831,'2022-23 Salary &amp; Benefits'!$A:$I,5,FALSE)</f>
        <v>68937</v>
      </c>
      <c r="U831" s="21">
        <f>VLOOKUP($A831,'2022-23 Salary &amp; Benefits'!$A:$I,6,FALSE)</f>
        <v>72728</v>
      </c>
      <c r="V831" s="22">
        <f t="shared" si="158"/>
        <v>49841.45</v>
      </c>
      <c r="W831" s="22">
        <f t="shared" si="159"/>
        <v>2740.8899999999994</v>
      </c>
      <c r="X831" s="22">
        <f>'2022-23 Salary &amp; Benefits'!$G$6</f>
        <v>12558.24</v>
      </c>
      <c r="Y831" s="23">
        <f>'2022-23 Salary &amp; Benefits'!$H$6</f>
        <v>0.2298</v>
      </c>
      <c r="Z831" s="23">
        <f>'2022-23 Salary &amp; Benefits'!$I$6</f>
        <v>0.22339999999999999</v>
      </c>
      <c r="AA831" s="22">
        <f t="shared" si="160"/>
        <v>21145.49</v>
      </c>
      <c r="AB831" s="22">
        <f t="shared" si="161"/>
        <v>876.37</v>
      </c>
      <c r="AC831" s="22">
        <f t="shared" si="162"/>
        <v>195.78</v>
      </c>
      <c r="AD831" s="22">
        <f t="shared" si="164"/>
        <v>1072.1500000000001</v>
      </c>
      <c r="AE831" s="22">
        <f t="shared" si="165"/>
        <v>74799.98</v>
      </c>
      <c r="AF831" s="19" t="str">
        <f>VLOOKUP(C831,'2021-22 School Level AAFTE'!C:N,12,FALSE)</f>
        <v>No</v>
      </c>
    </row>
    <row r="832" spans="1:32" s="19" customFormat="1">
      <c r="A832" s="97" t="s">
        <v>2300</v>
      </c>
      <c r="B832" s="97" t="s">
        <v>326</v>
      </c>
      <c r="C832" s="95">
        <v>5547</v>
      </c>
      <c r="D832" s="95" t="s">
        <v>2803</v>
      </c>
      <c r="E832" s="129">
        <f>VLOOKUP($C832,'2021-22 School Level AAFTE'!$C:$Z,11,FALSE)</f>
        <v>0.82273333333333332</v>
      </c>
      <c r="F832" s="129" t="str">
        <f>VLOOKUP($C832,'2021-22 School Level AAFTE'!$C:$Z,8,FALSE)</f>
        <v>Yes</v>
      </c>
      <c r="G832" s="129" t="str">
        <f>VLOOKUP($C832,'2021-22 School Level AAFTE'!$C:$Z,12,FALSE)</f>
        <v>No</v>
      </c>
      <c r="H832" s="127">
        <f>VLOOKUP($C832,'2021-22 School Level AAFTE'!$C:$I,7,FALSE)</f>
        <v>16.32</v>
      </c>
      <c r="I832" s="112">
        <f>IFERROR(IF(OR(G832="yes",F832= "yes"),VLOOKUP(C832,Summary!$B:$J,6,0),0),0)</f>
        <v>0</v>
      </c>
      <c r="J832" s="111">
        <f t="shared" si="156"/>
        <v>16.32</v>
      </c>
      <c r="K832" s="91">
        <f>VLOOKUP($A832,'2022-23 Salary &amp; Benefits'!$A:$I,3,FALSE)</f>
        <v>1</v>
      </c>
      <c r="L832" s="91">
        <f>VLOOKUP($A832,'2022-23 Salary &amp; Benefits'!$A:$I,4,FALSE)</f>
        <v>1</v>
      </c>
      <c r="M832" s="39">
        <f t="shared" si="163"/>
        <v>16.32</v>
      </c>
      <c r="N832" s="24">
        <v>15</v>
      </c>
      <c r="O832" s="26">
        <f t="shared" si="154"/>
        <v>1.0880000000000001</v>
      </c>
      <c r="P832" s="24">
        <v>1.1000000000000001</v>
      </c>
      <c r="Q832" s="24">
        <v>36</v>
      </c>
      <c r="R832" s="27">
        <f t="shared" si="155"/>
        <v>43.084800000000001</v>
      </c>
      <c r="S832" s="102">
        <f t="shared" si="157"/>
        <v>4.8000000000000001E-2</v>
      </c>
      <c r="T832" s="21">
        <f>VLOOKUP($A832,'2022-23 Salary &amp; Benefits'!$A:$I,5,FALSE)</f>
        <v>68937</v>
      </c>
      <c r="U832" s="21">
        <f>VLOOKUP($A832,'2022-23 Salary &amp; Benefits'!$A:$I,6,FALSE)</f>
        <v>72728</v>
      </c>
      <c r="V832" s="22">
        <f t="shared" si="158"/>
        <v>3308.98</v>
      </c>
      <c r="W832" s="22">
        <f t="shared" si="159"/>
        <v>181.96000000000004</v>
      </c>
      <c r="X832" s="22">
        <f>'2022-23 Salary &amp; Benefits'!$G$6</f>
        <v>12558.24</v>
      </c>
      <c r="Y832" s="23">
        <f>'2022-23 Salary &amp; Benefits'!$H$6</f>
        <v>0.2298</v>
      </c>
      <c r="Z832" s="23">
        <f>'2022-23 Salary &amp; Benefits'!$I$6</f>
        <v>0.22339999999999999</v>
      </c>
      <c r="AA832" s="22">
        <f t="shared" si="160"/>
        <v>1403.85</v>
      </c>
      <c r="AB832" s="22">
        <f t="shared" si="161"/>
        <v>58.18</v>
      </c>
      <c r="AC832" s="22">
        <f t="shared" si="162"/>
        <v>13</v>
      </c>
      <c r="AD832" s="22">
        <f t="shared" si="164"/>
        <v>71.180000000000007</v>
      </c>
      <c r="AE832" s="22">
        <f t="shared" si="165"/>
        <v>4965.97</v>
      </c>
      <c r="AF832" s="19" t="str">
        <f>VLOOKUP(C832,'2021-22 School Level AAFTE'!C:N,12,FALSE)</f>
        <v>No</v>
      </c>
    </row>
    <row r="833" spans="1:32" s="19" customFormat="1">
      <c r="A833" s="97" t="s">
        <v>2300</v>
      </c>
      <c r="B833" s="97" t="s">
        <v>326</v>
      </c>
      <c r="C833" s="95">
        <v>5675</v>
      </c>
      <c r="D833" s="95" t="s">
        <v>3021</v>
      </c>
      <c r="E833" s="129">
        <f>VLOOKUP($C833,'2021-22 School Level AAFTE'!$C:$Z,11,FALSE)</f>
        <v>0.60729999999999995</v>
      </c>
      <c r="F833" s="129" t="str">
        <f>VLOOKUP($C833,'2021-22 School Level AAFTE'!$C:$Z,8,FALSE)</f>
        <v>Yes</v>
      </c>
      <c r="G833" s="129" t="str">
        <f>VLOOKUP($C833,'2021-22 School Level AAFTE'!$C:$Z,12,FALSE)</f>
        <v>No</v>
      </c>
      <c r="H833" s="127">
        <f>VLOOKUP($C833,'2021-22 School Level AAFTE'!$C:$I,7,FALSE)</f>
        <v>761.71</v>
      </c>
      <c r="I833" s="112">
        <f>IFERROR(IF(OR(G833="yes",F833= "yes"),VLOOKUP(C833,Summary!$B:$J,6,0),0),0)</f>
        <v>0</v>
      </c>
      <c r="J833" s="111">
        <f t="shared" si="156"/>
        <v>761.71</v>
      </c>
      <c r="K833" s="91">
        <f>VLOOKUP($A833,'2022-23 Salary &amp; Benefits'!$A:$I,3,FALSE)</f>
        <v>1</v>
      </c>
      <c r="L833" s="91">
        <f>VLOOKUP($A833,'2022-23 Salary &amp; Benefits'!$A:$I,4,FALSE)</f>
        <v>1</v>
      </c>
      <c r="M833" s="101">
        <f t="shared" si="163"/>
        <v>761.71</v>
      </c>
      <c r="N833" s="24">
        <v>15</v>
      </c>
      <c r="O833" s="26">
        <f t="shared" si="154"/>
        <v>50.780666666666669</v>
      </c>
      <c r="P833" s="24">
        <v>1.1000000000000001</v>
      </c>
      <c r="Q833" s="24">
        <v>36</v>
      </c>
      <c r="R833" s="27">
        <f t="shared" si="155"/>
        <v>2010.9144000000003</v>
      </c>
      <c r="S833" s="102">
        <f t="shared" si="157"/>
        <v>2.234</v>
      </c>
      <c r="T833" s="21">
        <f>VLOOKUP($A833,'2022-23 Salary &amp; Benefits'!$A:$I,5,FALSE)</f>
        <v>68937</v>
      </c>
      <c r="U833" s="21">
        <f>VLOOKUP($A833,'2022-23 Salary &amp; Benefits'!$A:$I,6,FALSE)</f>
        <v>72728</v>
      </c>
      <c r="V833" s="22">
        <f t="shared" si="158"/>
        <v>154005.26</v>
      </c>
      <c r="W833" s="22">
        <f t="shared" si="159"/>
        <v>8469.0899999999965</v>
      </c>
      <c r="X833" s="22">
        <f>'2022-23 Salary &amp; Benefits'!$G$6</f>
        <v>12558.24</v>
      </c>
      <c r="Y833" s="23">
        <f>'2022-23 Salary &amp; Benefits'!$H$6</f>
        <v>0.2298</v>
      </c>
      <c r="Z833" s="23">
        <f>'2022-23 Salary &amp; Benefits'!$I$6</f>
        <v>0.22339999999999999</v>
      </c>
      <c r="AA833" s="22">
        <f t="shared" si="160"/>
        <v>65337.51</v>
      </c>
      <c r="AB833" s="22">
        <f t="shared" si="161"/>
        <v>2707.91</v>
      </c>
      <c r="AC833" s="22">
        <f t="shared" si="162"/>
        <v>604.95000000000005</v>
      </c>
      <c r="AD833" s="22">
        <f t="shared" si="164"/>
        <v>3312.8599999999997</v>
      </c>
      <c r="AE833" s="22">
        <f t="shared" si="165"/>
        <v>231124.72</v>
      </c>
      <c r="AF833" s="19" t="str">
        <f>VLOOKUP(C833,'2021-22 School Level AAFTE'!C:N,12,FALSE)</f>
        <v>No</v>
      </c>
    </row>
    <row r="834" spans="1:32" s="19" customFormat="1">
      <c r="A834" s="97" t="s">
        <v>2264</v>
      </c>
      <c r="B834" s="97" t="s">
        <v>33</v>
      </c>
      <c r="C834" s="95">
        <v>1884</v>
      </c>
      <c r="D834" s="95" t="s">
        <v>34</v>
      </c>
      <c r="E834" s="129">
        <f>VLOOKUP($C834,'2021-22 School Level AAFTE'!$C:$Z,11,FALSE)</f>
        <v>0.67106666666666681</v>
      </c>
      <c r="F834" s="129" t="str">
        <f>VLOOKUP($C834,'2021-22 School Level AAFTE'!$C:$Z,8,FALSE)</f>
        <v>Yes</v>
      </c>
      <c r="G834" s="129" t="str">
        <f>VLOOKUP($C834,'2021-22 School Level AAFTE'!$C:$Z,12,FALSE)</f>
        <v>No</v>
      </c>
      <c r="H834" s="127">
        <f>VLOOKUP($C834,'2021-22 School Level AAFTE'!$C:$I,7,FALSE)</f>
        <v>344.64</v>
      </c>
      <c r="I834" s="112">
        <f>IFERROR(IF(OR(G834="yes",F834= "yes"),VLOOKUP(C834,Summary!$B:$J,6,0),0),0)</f>
        <v>0</v>
      </c>
      <c r="J834" s="111">
        <f t="shared" si="156"/>
        <v>344.64</v>
      </c>
      <c r="K834" s="91">
        <f>VLOOKUP($A834,'2022-23 Salary &amp; Benefits'!$A:$I,3,FALSE)</f>
        <v>1</v>
      </c>
      <c r="L834" s="91">
        <f>VLOOKUP($A834,'2022-23 Salary &amp; Benefits'!$A:$I,4,FALSE)</f>
        <v>1</v>
      </c>
      <c r="M834" s="39">
        <f t="shared" si="163"/>
        <v>344.64</v>
      </c>
      <c r="N834" s="24">
        <v>15</v>
      </c>
      <c r="O834" s="26">
        <f t="shared" si="154"/>
        <v>22.975999999999999</v>
      </c>
      <c r="P834" s="24">
        <v>1.1000000000000001</v>
      </c>
      <c r="Q834" s="24">
        <v>36</v>
      </c>
      <c r="R834" s="27">
        <f t="shared" si="155"/>
        <v>909.84960000000001</v>
      </c>
      <c r="S834" s="102">
        <f t="shared" si="157"/>
        <v>1.0109999999999999</v>
      </c>
      <c r="T834" s="21">
        <f>VLOOKUP($A834,'2022-23 Salary &amp; Benefits'!$A:$I,5,FALSE)</f>
        <v>68937</v>
      </c>
      <c r="U834" s="21">
        <f>VLOOKUP($A834,'2022-23 Salary &amp; Benefits'!$A:$I,6,FALSE)</f>
        <v>72728</v>
      </c>
      <c r="V834" s="22">
        <f t="shared" si="158"/>
        <v>69695.31</v>
      </c>
      <c r="W834" s="22">
        <f t="shared" si="159"/>
        <v>3832.6999999999971</v>
      </c>
      <c r="X834" s="22">
        <f>'2022-23 Salary &amp; Benefits'!$G$6</f>
        <v>12558.24</v>
      </c>
      <c r="Y834" s="23">
        <f>'2022-23 Salary &amp; Benefits'!$H$6</f>
        <v>0.2298</v>
      </c>
      <c r="Z834" s="23">
        <f>'2022-23 Salary &amp; Benefits'!$I$6</f>
        <v>0.22339999999999999</v>
      </c>
      <c r="AA834" s="22">
        <f t="shared" si="160"/>
        <v>29568.59</v>
      </c>
      <c r="AB834" s="22">
        <f t="shared" si="161"/>
        <v>1225.47</v>
      </c>
      <c r="AC834" s="22">
        <f t="shared" si="162"/>
        <v>273.77</v>
      </c>
      <c r="AD834" s="22">
        <f t="shared" si="164"/>
        <v>1499.24</v>
      </c>
      <c r="AE834" s="22">
        <f t="shared" si="165"/>
        <v>104595.84</v>
      </c>
      <c r="AF834" s="19" t="str">
        <f>VLOOKUP(C834,'2021-22 School Level AAFTE'!C:N,12,FALSE)</f>
        <v>No</v>
      </c>
    </row>
    <row r="835" spans="1:32" s="19" customFormat="1">
      <c r="A835" s="97" t="s">
        <v>2264</v>
      </c>
      <c r="B835" s="97" t="s">
        <v>33</v>
      </c>
      <c r="C835" s="95">
        <v>1941</v>
      </c>
      <c r="D835" s="95" t="s">
        <v>35</v>
      </c>
      <c r="E835" s="129">
        <f>VLOOKUP($C835,'2021-22 School Level AAFTE'!$C:$Z,11,FALSE)</f>
        <v>0.29803333333333332</v>
      </c>
      <c r="F835" s="129" t="str">
        <f>VLOOKUP($C835,'2021-22 School Level AAFTE'!$C:$Z,8,FALSE)</f>
        <v>No</v>
      </c>
      <c r="G835" s="129" t="str">
        <f>VLOOKUP($C835,'2021-22 School Level AAFTE'!$C:$Z,12,FALSE)</f>
        <v>No</v>
      </c>
      <c r="H835" s="127">
        <f>VLOOKUP($C835,'2021-22 School Level AAFTE'!$C:$I,7,FALSE)</f>
        <v>621.17000000000007</v>
      </c>
      <c r="I835" s="112">
        <f>IFERROR(IF(OR(G835="yes",F835= "yes"),VLOOKUP(C835,Summary!$B:$J,6,0),0),0)</f>
        <v>0</v>
      </c>
      <c r="J835" s="111">
        <f t="shared" si="156"/>
        <v>0</v>
      </c>
      <c r="K835" s="91">
        <f>VLOOKUP($A835,'2022-23 Salary &amp; Benefits'!$A:$I,3,FALSE)</f>
        <v>1</v>
      </c>
      <c r="L835" s="91">
        <f>VLOOKUP($A835,'2022-23 Salary &amp; Benefits'!$A:$I,4,FALSE)</f>
        <v>1</v>
      </c>
      <c r="M835" s="101">
        <f t="shared" si="163"/>
        <v>0</v>
      </c>
      <c r="N835" s="24">
        <v>15</v>
      </c>
      <c r="O835" s="26">
        <f t="shared" si="154"/>
        <v>0</v>
      </c>
      <c r="P835" s="24">
        <v>1.1000000000000001</v>
      </c>
      <c r="Q835" s="24">
        <v>36</v>
      </c>
      <c r="R835" s="27">
        <f t="shared" si="155"/>
        <v>0</v>
      </c>
      <c r="S835" s="102">
        <f t="shared" si="157"/>
        <v>0</v>
      </c>
      <c r="T835" s="21">
        <f>VLOOKUP($A835,'2022-23 Salary &amp; Benefits'!$A:$I,5,FALSE)</f>
        <v>68937</v>
      </c>
      <c r="U835" s="21">
        <f>VLOOKUP($A835,'2022-23 Salary &amp; Benefits'!$A:$I,6,FALSE)</f>
        <v>72728</v>
      </c>
      <c r="V835" s="22">
        <f t="shared" si="158"/>
        <v>0</v>
      </c>
      <c r="W835" s="22">
        <f t="shared" si="159"/>
        <v>0</v>
      </c>
      <c r="X835" s="22">
        <f>'2022-23 Salary &amp; Benefits'!$G$6</f>
        <v>12558.24</v>
      </c>
      <c r="Y835" s="23">
        <f>'2022-23 Salary &amp; Benefits'!$H$6</f>
        <v>0.2298</v>
      </c>
      <c r="Z835" s="23">
        <f>'2022-23 Salary &amp; Benefits'!$I$6</f>
        <v>0.22339999999999999</v>
      </c>
      <c r="AA835" s="22">
        <f t="shared" si="160"/>
        <v>0</v>
      </c>
      <c r="AB835" s="22">
        <f t="shared" si="161"/>
        <v>0</v>
      </c>
      <c r="AC835" s="22">
        <f t="shared" si="162"/>
        <v>0</v>
      </c>
      <c r="AD835" s="22">
        <f t="shared" si="164"/>
        <v>0</v>
      </c>
      <c r="AE835" s="22">
        <f t="shared" si="165"/>
        <v>0</v>
      </c>
      <c r="AF835" s="19" t="str">
        <f>VLOOKUP(C835,'2021-22 School Level AAFTE'!C:N,12,FALSE)</f>
        <v>No</v>
      </c>
    </row>
    <row r="836" spans="1:32" s="19" customFormat="1">
      <c r="A836" s="97" t="s">
        <v>2264</v>
      </c>
      <c r="B836" s="97" t="s">
        <v>33</v>
      </c>
      <c r="C836" s="95">
        <v>2824</v>
      </c>
      <c r="D836" s="95" t="s">
        <v>36</v>
      </c>
      <c r="E836" s="129">
        <f>VLOOKUP($C836,'2021-22 School Level AAFTE'!$C:$Z,11,FALSE)</f>
        <v>0.84383333333333332</v>
      </c>
      <c r="F836" s="129" t="str">
        <f>VLOOKUP($C836,'2021-22 School Level AAFTE'!$C:$Z,8,FALSE)</f>
        <v>Yes</v>
      </c>
      <c r="G836" s="129" t="str">
        <f>VLOOKUP($C836,'2021-22 School Level AAFTE'!$C:$Z,12,FALSE)</f>
        <v>No</v>
      </c>
      <c r="H836" s="127">
        <f>VLOOKUP($C836,'2021-22 School Level AAFTE'!$C:$I,7,FALSE)</f>
        <v>472.57</v>
      </c>
      <c r="I836" s="112">
        <f>IFERROR(IF(OR(G836="yes",F836= "yes"),VLOOKUP(C836,Summary!$B:$J,6,0),0),0)</f>
        <v>0</v>
      </c>
      <c r="J836" s="111">
        <f t="shared" si="156"/>
        <v>472.57</v>
      </c>
      <c r="K836" s="91">
        <f>VLOOKUP($A836,'2022-23 Salary &amp; Benefits'!$A:$I,3,FALSE)</f>
        <v>1</v>
      </c>
      <c r="L836" s="91">
        <f>VLOOKUP($A836,'2022-23 Salary &amp; Benefits'!$A:$I,4,FALSE)</f>
        <v>1</v>
      </c>
      <c r="M836" s="39">
        <f t="shared" si="163"/>
        <v>472.57</v>
      </c>
      <c r="N836" s="24">
        <v>15</v>
      </c>
      <c r="O836" s="26">
        <f t="shared" si="154"/>
        <v>31.504666666666665</v>
      </c>
      <c r="P836" s="24">
        <v>1.1000000000000001</v>
      </c>
      <c r="Q836" s="24">
        <v>36</v>
      </c>
      <c r="R836" s="27">
        <f t="shared" si="155"/>
        <v>1247.5847999999999</v>
      </c>
      <c r="S836" s="102">
        <f t="shared" si="157"/>
        <v>1.3859999999999999</v>
      </c>
      <c r="T836" s="21">
        <f>VLOOKUP($A836,'2022-23 Salary &amp; Benefits'!$A:$I,5,FALSE)</f>
        <v>68937</v>
      </c>
      <c r="U836" s="21">
        <f>VLOOKUP($A836,'2022-23 Salary &amp; Benefits'!$A:$I,6,FALSE)</f>
        <v>72728</v>
      </c>
      <c r="V836" s="22">
        <f t="shared" si="158"/>
        <v>95546.68</v>
      </c>
      <c r="W836" s="22">
        <f t="shared" si="159"/>
        <v>5254.3300000000017</v>
      </c>
      <c r="X836" s="22">
        <f>'2022-23 Salary &amp; Benefits'!$G$6</f>
        <v>12558.24</v>
      </c>
      <c r="Y836" s="23">
        <f>'2022-23 Salary &amp; Benefits'!$H$6</f>
        <v>0.2298</v>
      </c>
      <c r="Z836" s="23">
        <f>'2022-23 Salary &amp; Benefits'!$I$6</f>
        <v>0.22339999999999999</v>
      </c>
      <c r="AA836" s="22">
        <f t="shared" si="160"/>
        <v>40536.17</v>
      </c>
      <c r="AB836" s="22">
        <f t="shared" si="161"/>
        <v>1680.02</v>
      </c>
      <c r="AC836" s="22">
        <f t="shared" si="162"/>
        <v>375.32</v>
      </c>
      <c r="AD836" s="22">
        <f t="shared" si="164"/>
        <v>2055.34</v>
      </c>
      <c r="AE836" s="22">
        <f t="shared" si="165"/>
        <v>143392.51999999999</v>
      </c>
      <c r="AF836" s="19" t="str">
        <f>VLOOKUP(C836,'2021-22 School Level AAFTE'!C:N,12,FALSE)</f>
        <v>No</v>
      </c>
    </row>
    <row r="837" spans="1:32" s="19" customFormat="1">
      <c r="A837" s="97" t="s">
        <v>2264</v>
      </c>
      <c r="B837" s="97" t="s">
        <v>33</v>
      </c>
      <c r="C837" s="95">
        <v>2825</v>
      </c>
      <c r="D837" s="95" t="s">
        <v>37</v>
      </c>
      <c r="E837" s="129">
        <f>VLOOKUP($C837,'2021-22 School Level AAFTE'!$C:$Z,11,FALSE)</f>
        <v>0.83740000000000003</v>
      </c>
      <c r="F837" s="129" t="str">
        <f>VLOOKUP($C837,'2021-22 School Level AAFTE'!$C:$Z,8,FALSE)</f>
        <v>Yes</v>
      </c>
      <c r="G837" s="129" t="str">
        <f>VLOOKUP($C837,'2021-22 School Level AAFTE'!$C:$Z,12,FALSE)</f>
        <v>No</v>
      </c>
      <c r="H837" s="127">
        <f>VLOOKUP($C837,'2021-22 School Level AAFTE'!$C:$I,7,FALSE)</f>
        <v>432.86</v>
      </c>
      <c r="I837" s="112">
        <f>IFERROR(IF(OR(G837="yes",F837= "yes"),VLOOKUP(C837,Summary!$B:$J,6,0),0),0)</f>
        <v>0</v>
      </c>
      <c r="J837" s="111">
        <f t="shared" si="156"/>
        <v>432.86</v>
      </c>
      <c r="K837" s="91">
        <f>VLOOKUP($A837,'2022-23 Salary &amp; Benefits'!$A:$I,3,FALSE)</f>
        <v>1</v>
      </c>
      <c r="L837" s="91">
        <f>VLOOKUP($A837,'2022-23 Salary &amp; Benefits'!$A:$I,4,FALSE)</f>
        <v>1</v>
      </c>
      <c r="M837" s="101">
        <f t="shared" si="163"/>
        <v>432.86</v>
      </c>
      <c r="N837" s="24">
        <v>15</v>
      </c>
      <c r="O837" s="26">
        <f t="shared" si="154"/>
        <v>28.857333333333333</v>
      </c>
      <c r="P837" s="24">
        <v>1.1000000000000001</v>
      </c>
      <c r="Q837" s="24">
        <v>36</v>
      </c>
      <c r="R837" s="27">
        <f t="shared" si="155"/>
        <v>1142.7504000000001</v>
      </c>
      <c r="S837" s="102">
        <f t="shared" si="157"/>
        <v>1.27</v>
      </c>
      <c r="T837" s="21">
        <f>VLOOKUP($A837,'2022-23 Salary &amp; Benefits'!$A:$I,5,FALSE)</f>
        <v>68937</v>
      </c>
      <c r="U837" s="21">
        <f>VLOOKUP($A837,'2022-23 Salary &amp; Benefits'!$A:$I,6,FALSE)</f>
        <v>72728</v>
      </c>
      <c r="V837" s="22">
        <f t="shared" si="158"/>
        <v>87549.99</v>
      </c>
      <c r="W837" s="22">
        <f t="shared" si="159"/>
        <v>4814.5699999999924</v>
      </c>
      <c r="X837" s="22">
        <f>'2022-23 Salary &amp; Benefits'!$G$6</f>
        <v>12558.24</v>
      </c>
      <c r="Y837" s="23">
        <f>'2022-23 Salary &amp; Benefits'!$H$6</f>
        <v>0.2298</v>
      </c>
      <c r="Z837" s="23">
        <f>'2022-23 Salary &amp; Benefits'!$I$6</f>
        <v>0.22339999999999999</v>
      </c>
      <c r="AA837" s="22">
        <f t="shared" si="160"/>
        <v>37143.53</v>
      </c>
      <c r="AB837" s="22">
        <f t="shared" si="161"/>
        <v>1539.41</v>
      </c>
      <c r="AC837" s="22">
        <f t="shared" si="162"/>
        <v>343.9</v>
      </c>
      <c r="AD837" s="22">
        <f t="shared" si="164"/>
        <v>1883.31</v>
      </c>
      <c r="AE837" s="22">
        <f t="shared" si="165"/>
        <v>131391.4</v>
      </c>
      <c r="AF837" s="19" t="str">
        <f>VLOOKUP(C837,'2021-22 School Level AAFTE'!C:N,12,FALSE)</f>
        <v>No</v>
      </c>
    </row>
    <row r="838" spans="1:32" s="19" customFormat="1">
      <c r="A838" s="97" t="s">
        <v>2264</v>
      </c>
      <c r="B838" s="97" t="s">
        <v>33</v>
      </c>
      <c r="C838" s="95">
        <v>2826</v>
      </c>
      <c r="D838" s="95" t="s">
        <v>38</v>
      </c>
      <c r="E838" s="129">
        <f>VLOOKUP($C838,'2021-22 School Level AAFTE'!$C:$Z,11,FALSE)</f>
        <v>0.68610000000000004</v>
      </c>
      <c r="F838" s="129" t="str">
        <f>VLOOKUP($C838,'2021-22 School Level AAFTE'!$C:$Z,8,FALSE)</f>
        <v>Yes</v>
      </c>
      <c r="G838" s="129" t="str">
        <f>VLOOKUP($C838,'2021-22 School Level AAFTE'!$C:$Z,12,FALSE)</f>
        <v>No</v>
      </c>
      <c r="H838" s="127">
        <f>VLOOKUP($C838,'2021-22 School Level AAFTE'!$C:$I,7,FALSE)</f>
        <v>1638.38</v>
      </c>
      <c r="I838" s="112">
        <f>IFERROR(IF(OR(G838="yes",F838= "yes"),VLOOKUP(C838,Summary!$B:$J,6,0),0),0)</f>
        <v>0</v>
      </c>
      <c r="J838" s="111">
        <f t="shared" si="156"/>
        <v>1638.38</v>
      </c>
      <c r="K838" s="91">
        <f>VLOOKUP($A838,'2022-23 Salary &amp; Benefits'!$A:$I,3,FALSE)</f>
        <v>1</v>
      </c>
      <c r="L838" s="91">
        <f>VLOOKUP($A838,'2022-23 Salary &amp; Benefits'!$A:$I,4,FALSE)</f>
        <v>1</v>
      </c>
      <c r="M838" s="101">
        <f t="shared" si="163"/>
        <v>1638.38</v>
      </c>
      <c r="N838" s="24">
        <v>15</v>
      </c>
      <c r="O838" s="26">
        <f t="shared" si="154"/>
        <v>109.22533333333334</v>
      </c>
      <c r="P838" s="24">
        <v>1.1000000000000001</v>
      </c>
      <c r="Q838" s="24">
        <v>36</v>
      </c>
      <c r="R838" s="27">
        <f t="shared" si="155"/>
        <v>4325.3232000000007</v>
      </c>
      <c r="S838" s="102">
        <f t="shared" si="157"/>
        <v>4.806</v>
      </c>
      <c r="T838" s="21">
        <f>VLOOKUP($A838,'2022-23 Salary &amp; Benefits'!$A:$I,5,FALSE)</f>
        <v>68937</v>
      </c>
      <c r="U838" s="21">
        <f>VLOOKUP($A838,'2022-23 Salary &amp; Benefits'!$A:$I,6,FALSE)</f>
        <v>72728</v>
      </c>
      <c r="V838" s="22">
        <f t="shared" si="158"/>
        <v>331311.21999999997</v>
      </c>
      <c r="W838" s="22">
        <f t="shared" si="159"/>
        <v>18219.550000000047</v>
      </c>
      <c r="X838" s="22">
        <f>'2022-23 Salary &amp; Benefits'!$G$6</f>
        <v>12558.24</v>
      </c>
      <c r="Y838" s="23">
        <f>'2022-23 Salary &amp; Benefits'!$H$6</f>
        <v>0.2298</v>
      </c>
      <c r="Z838" s="23">
        <f>'2022-23 Salary &amp; Benefits'!$I$6</f>
        <v>0.22339999999999999</v>
      </c>
      <c r="AA838" s="22">
        <f t="shared" si="160"/>
        <v>140560.47</v>
      </c>
      <c r="AB838" s="22">
        <f t="shared" si="161"/>
        <v>5825.51</v>
      </c>
      <c r="AC838" s="22">
        <f t="shared" si="162"/>
        <v>1301.42</v>
      </c>
      <c r="AD838" s="22">
        <f t="shared" si="164"/>
        <v>7126.93</v>
      </c>
      <c r="AE838" s="22">
        <f t="shared" si="165"/>
        <v>497218.17</v>
      </c>
      <c r="AF838" s="19" t="str">
        <f>VLOOKUP(C838,'2021-22 School Level AAFTE'!C:N,12,FALSE)</f>
        <v>No</v>
      </c>
    </row>
    <row r="839" spans="1:32" s="19" customFormat="1">
      <c r="A839" s="97" t="s">
        <v>2264</v>
      </c>
      <c r="B839" s="97" t="s">
        <v>33</v>
      </c>
      <c r="C839" s="95">
        <v>3077</v>
      </c>
      <c r="D839" s="95" t="s">
        <v>39</v>
      </c>
      <c r="E839" s="129">
        <f>VLOOKUP($C839,'2021-22 School Level AAFTE'!$C:$Z,11,FALSE)</f>
        <v>0.75550000000000006</v>
      </c>
      <c r="F839" s="129" t="str">
        <f>VLOOKUP($C839,'2021-22 School Level AAFTE'!$C:$Z,8,FALSE)</f>
        <v>Yes</v>
      </c>
      <c r="G839" s="129" t="str">
        <f>VLOOKUP($C839,'2021-22 School Level AAFTE'!$C:$Z,12,FALSE)</f>
        <v>No</v>
      </c>
      <c r="H839" s="127">
        <f>VLOOKUP($C839,'2021-22 School Level AAFTE'!$C:$I,7,FALSE)</f>
        <v>415.29</v>
      </c>
      <c r="I839" s="112">
        <f>IFERROR(IF(OR(G839="yes",F839= "yes"),VLOOKUP(C839,Summary!$B:$J,6,0),0),0)</f>
        <v>0</v>
      </c>
      <c r="J839" s="111">
        <f t="shared" si="156"/>
        <v>415.29</v>
      </c>
      <c r="K839" s="91">
        <f>VLOOKUP($A839,'2022-23 Salary &amp; Benefits'!$A:$I,3,FALSE)</f>
        <v>1</v>
      </c>
      <c r="L839" s="91">
        <f>VLOOKUP($A839,'2022-23 Salary &amp; Benefits'!$A:$I,4,FALSE)</f>
        <v>1</v>
      </c>
      <c r="M839" s="101">
        <f t="shared" si="163"/>
        <v>415.29</v>
      </c>
      <c r="N839" s="24">
        <v>15</v>
      </c>
      <c r="O839" s="26">
        <f t="shared" si="154"/>
        <v>27.686</v>
      </c>
      <c r="P839" s="24">
        <v>1.1000000000000001</v>
      </c>
      <c r="Q839" s="24">
        <v>36</v>
      </c>
      <c r="R839" s="27">
        <f t="shared" si="155"/>
        <v>1096.3656000000001</v>
      </c>
      <c r="S839" s="102">
        <f t="shared" si="157"/>
        <v>1.218</v>
      </c>
      <c r="T839" s="21">
        <f>VLOOKUP($A839,'2022-23 Salary &amp; Benefits'!$A:$I,5,FALSE)</f>
        <v>68937</v>
      </c>
      <c r="U839" s="21">
        <f>VLOOKUP($A839,'2022-23 Salary &amp; Benefits'!$A:$I,6,FALSE)</f>
        <v>72728</v>
      </c>
      <c r="V839" s="22">
        <f t="shared" si="158"/>
        <v>83965.27</v>
      </c>
      <c r="W839" s="22">
        <f t="shared" si="159"/>
        <v>4617.429999999993</v>
      </c>
      <c r="X839" s="22">
        <f>'2022-23 Salary &amp; Benefits'!$G$6</f>
        <v>12558.24</v>
      </c>
      <c r="Y839" s="23">
        <f>'2022-23 Salary &amp; Benefits'!$H$6</f>
        <v>0.2298</v>
      </c>
      <c r="Z839" s="23">
        <f>'2022-23 Salary &amp; Benefits'!$I$6</f>
        <v>0.22339999999999999</v>
      </c>
      <c r="AA839" s="22">
        <f t="shared" si="160"/>
        <v>35622.69</v>
      </c>
      <c r="AB839" s="22">
        <f t="shared" si="161"/>
        <v>1476.38</v>
      </c>
      <c r="AC839" s="22">
        <f t="shared" si="162"/>
        <v>329.82</v>
      </c>
      <c r="AD839" s="22">
        <f t="shared" si="164"/>
        <v>1806.2</v>
      </c>
      <c r="AE839" s="22">
        <f t="shared" si="165"/>
        <v>126011.59</v>
      </c>
      <c r="AF839" s="19" t="str">
        <f>VLOOKUP(C839,'2021-22 School Level AAFTE'!C:N,12,FALSE)</f>
        <v>No</v>
      </c>
    </row>
    <row r="840" spans="1:32" s="19" customFormat="1">
      <c r="A840" s="137" t="s">
        <v>2264</v>
      </c>
      <c r="B840" s="97" t="s">
        <v>33</v>
      </c>
      <c r="C840" s="138">
        <v>3144</v>
      </c>
      <c r="D840" s="56" t="s">
        <v>40</v>
      </c>
      <c r="E840" s="129">
        <f>VLOOKUP($C840,'2021-22 School Level AAFTE'!$C:$Z,11,FALSE)</f>
        <v>0.72746666666666682</v>
      </c>
      <c r="F840" s="129" t="str">
        <f>VLOOKUP($C840,'2021-22 School Level AAFTE'!$C:$Z,8,FALSE)</f>
        <v>Yes</v>
      </c>
      <c r="G840" s="129" t="str">
        <f>VLOOKUP($C840,'2021-22 School Level AAFTE'!$C:$Z,12,FALSE)</f>
        <v>No</v>
      </c>
      <c r="H840" s="127">
        <f>VLOOKUP($C840,'2021-22 School Level AAFTE'!$C:$I,7,FALSE)</f>
        <v>384.71</v>
      </c>
      <c r="I840" s="112">
        <f>IFERROR(IF(OR(G840="yes",F840= "yes"),VLOOKUP(C840,Summary!$B:$J,6,0),0),0)</f>
        <v>0</v>
      </c>
      <c r="J840" s="111">
        <f t="shared" si="156"/>
        <v>384.71</v>
      </c>
      <c r="K840" s="91">
        <f>VLOOKUP($A840,'2022-23 Salary &amp; Benefits'!$A:$I,3,FALSE)</f>
        <v>1</v>
      </c>
      <c r="L840" s="91">
        <f>VLOOKUP($A840,'2022-23 Salary &amp; Benefits'!$A:$I,4,FALSE)</f>
        <v>1</v>
      </c>
      <c r="M840" s="39">
        <f t="shared" si="163"/>
        <v>384.71</v>
      </c>
      <c r="N840" s="24">
        <v>15</v>
      </c>
      <c r="O840" s="26">
        <f t="shared" si="154"/>
        <v>25.647333333333332</v>
      </c>
      <c r="P840" s="24">
        <v>1.1000000000000001</v>
      </c>
      <c r="Q840" s="24">
        <v>36</v>
      </c>
      <c r="R840" s="27">
        <f t="shared" si="155"/>
        <v>1015.6344</v>
      </c>
      <c r="S840" s="102">
        <f t="shared" si="157"/>
        <v>1.1279999999999999</v>
      </c>
      <c r="T840" s="21">
        <f>VLOOKUP($A840,'2022-23 Salary &amp; Benefits'!$A:$I,5,FALSE)</f>
        <v>68937</v>
      </c>
      <c r="U840" s="21">
        <f>VLOOKUP($A840,'2022-23 Salary &amp; Benefits'!$A:$I,6,FALSE)</f>
        <v>72728</v>
      </c>
      <c r="V840" s="22">
        <f t="shared" si="158"/>
        <v>77760.94</v>
      </c>
      <c r="W840" s="22">
        <f t="shared" si="159"/>
        <v>4276.2399999999907</v>
      </c>
      <c r="X840" s="22">
        <f>'2022-23 Salary &amp; Benefits'!$G$6</f>
        <v>12558.24</v>
      </c>
      <c r="Y840" s="23">
        <f>'2022-23 Salary &amp; Benefits'!$H$6</f>
        <v>0.2298</v>
      </c>
      <c r="Z840" s="23">
        <f>'2022-23 Salary &amp; Benefits'!$I$6</f>
        <v>0.22339999999999999</v>
      </c>
      <c r="AA840" s="22">
        <f t="shared" si="160"/>
        <v>32990.47</v>
      </c>
      <c r="AB840" s="22">
        <f t="shared" si="161"/>
        <v>1367.29</v>
      </c>
      <c r="AC840" s="22">
        <f t="shared" si="162"/>
        <v>305.45</v>
      </c>
      <c r="AD840" s="22">
        <f t="shared" si="164"/>
        <v>1672.74</v>
      </c>
      <c r="AE840" s="22">
        <f t="shared" si="165"/>
        <v>116700.39</v>
      </c>
      <c r="AF840" s="19" t="str">
        <f>VLOOKUP(C840,'2021-22 School Level AAFTE'!C:N,12,FALSE)</f>
        <v>No</v>
      </c>
    </row>
    <row r="841" spans="1:32" s="19" customFormat="1">
      <c r="A841" s="97" t="s">
        <v>2264</v>
      </c>
      <c r="B841" s="97" t="s">
        <v>33</v>
      </c>
      <c r="C841" s="95">
        <v>3267</v>
      </c>
      <c r="D841" s="95" t="s">
        <v>41</v>
      </c>
      <c r="E841" s="129">
        <f>VLOOKUP($C841,'2021-22 School Level AAFTE'!$C:$Z,11,FALSE)</f>
        <v>0.81176666666666675</v>
      </c>
      <c r="F841" s="129" t="str">
        <f>VLOOKUP($C841,'2021-22 School Level AAFTE'!$C:$Z,8,FALSE)</f>
        <v>Yes</v>
      </c>
      <c r="G841" s="129" t="str">
        <f>VLOOKUP($C841,'2021-22 School Level AAFTE'!$C:$Z,12,FALSE)</f>
        <v>No</v>
      </c>
      <c r="H841" s="127">
        <f>VLOOKUP($C841,'2021-22 School Level AAFTE'!$C:$I,7,FALSE)</f>
        <v>761.48</v>
      </c>
      <c r="I841" s="112">
        <f>IFERROR(IF(OR(G841="yes",F841= "yes"),VLOOKUP(C841,Summary!$B:$J,6,0),0),0)</f>
        <v>0</v>
      </c>
      <c r="J841" s="111">
        <f t="shared" si="156"/>
        <v>761.48</v>
      </c>
      <c r="K841" s="91">
        <f>VLOOKUP($A841,'2022-23 Salary &amp; Benefits'!$A:$I,3,FALSE)</f>
        <v>1</v>
      </c>
      <c r="L841" s="91">
        <f>VLOOKUP($A841,'2022-23 Salary &amp; Benefits'!$A:$I,4,FALSE)</f>
        <v>1</v>
      </c>
      <c r="M841" s="39">
        <f t="shared" si="163"/>
        <v>761.48</v>
      </c>
      <c r="N841" s="24">
        <v>15</v>
      </c>
      <c r="O841" s="26">
        <f t="shared" si="154"/>
        <v>50.765333333333338</v>
      </c>
      <c r="P841" s="24">
        <v>1.1000000000000001</v>
      </c>
      <c r="Q841" s="24">
        <v>36</v>
      </c>
      <c r="R841" s="27">
        <f t="shared" si="155"/>
        <v>2010.3072000000002</v>
      </c>
      <c r="S841" s="102">
        <f t="shared" si="157"/>
        <v>2.234</v>
      </c>
      <c r="T841" s="21">
        <f>VLOOKUP($A841,'2022-23 Salary &amp; Benefits'!$A:$I,5,FALSE)</f>
        <v>68937</v>
      </c>
      <c r="U841" s="21">
        <f>VLOOKUP($A841,'2022-23 Salary &amp; Benefits'!$A:$I,6,FALSE)</f>
        <v>72728</v>
      </c>
      <c r="V841" s="22">
        <f t="shared" si="158"/>
        <v>154005.26</v>
      </c>
      <c r="W841" s="22">
        <f t="shared" si="159"/>
        <v>8469.0899999999965</v>
      </c>
      <c r="X841" s="22">
        <f>'2022-23 Salary &amp; Benefits'!$G$6</f>
        <v>12558.24</v>
      </c>
      <c r="Y841" s="23">
        <f>'2022-23 Salary &amp; Benefits'!$H$6</f>
        <v>0.2298</v>
      </c>
      <c r="Z841" s="23">
        <f>'2022-23 Salary &amp; Benefits'!$I$6</f>
        <v>0.22339999999999999</v>
      </c>
      <c r="AA841" s="22">
        <f t="shared" si="160"/>
        <v>65337.51</v>
      </c>
      <c r="AB841" s="22">
        <f t="shared" si="161"/>
        <v>2707.91</v>
      </c>
      <c r="AC841" s="22">
        <f t="shared" si="162"/>
        <v>604.95000000000005</v>
      </c>
      <c r="AD841" s="22">
        <f t="shared" si="164"/>
        <v>3312.8599999999997</v>
      </c>
      <c r="AE841" s="22">
        <f t="shared" si="165"/>
        <v>231124.72</v>
      </c>
      <c r="AF841" s="19" t="str">
        <f>VLOOKUP(C841,'2021-22 School Level AAFTE'!C:N,12,FALSE)</f>
        <v>No</v>
      </c>
    </row>
    <row r="842" spans="1:32" s="19" customFormat="1">
      <c r="A842" s="97" t="s">
        <v>2264</v>
      </c>
      <c r="B842" s="97" t="s">
        <v>33</v>
      </c>
      <c r="C842" s="95">
        <v>3315</v>
      </c>
      <c r="D842" s="95" t="s">
        <v>42</v>
      </c>
      <c r="E842" s="129">
        <f>VLOOKUP($C842,'2021-22 School Level AAFTE'!$C:$Z,11,FALSE)</f>
        <v>0.78166666666666673</v>
      </c>
      <c r="F842" s="129" t="str">
        <f>VLOOKUP($C842,'2021-22 School Level AAFTE'!$C:$Z,8,FALSE)</f>
        <v>Yes</v>
      </c>
      <c r="G842" s="129" t="str">
        <f>VLOOKUP($C842,'2021-22 School Level AAFTE'!$C:$Z,12,FALSE)</f>
        <v>No</v>
      </c>
      <c r="H842" s="127">
        <f>VLOOKUP($C842,'2021-22 School Level AAFTE'!$C:$I,7,FALSE)</f>
        <v>333.57</v>
      </c>
      <c r="I842" s="112">
        <f>IFERROR(IF(OR(G842="yes",F842= "yes"),VLOOKUP(C842,Summary!$B:$J,6,0),0),0)</f>
        <v>0</v>
      </c>
      <c r="J842" s="111">
        <f t="shared" si="156"/>
        <v>333.57</v>
      </c>
      <c r="K842" s="91">
        <f>VLOOKUP($A842,'2022-23 Salary &amp; Benefits'!$A:$I,3,FALSE)</f>
        <v>1</v>
      </c>
      <c r="L842" s="91">
        <f>VLOOKUP($A842,'2022-23 Salary &amp; Benefits'!$A:$I,4,FALSE)</f>
        <v>1</v>
      </c>
      <c r="M842" s="101">
        <f t="shared" si="163"/>
        <v>333.57</v>
      </c>
      <c r="N842" s="24">
        <v>15</v>
      </c>
      <c r="O842" s="26">
        <f t="shared" ref="O842:O905" si="166">IF(M842="no",0,M842/N842)</f>
        <v>22.238</v>
      </c>
      <c r="P842" s="24">
        <v>1.1000000000000001</v>
      </c>
      <c r="Q842" s="24">
        <v>36</v>
      </c>
      <c r="R842" s="27">
        <f t="shared" ref="R842:R905" si="167">IF(M842="no",0,O842*P842*Q842)</f>
        <v>880.62480000000005</v>
      </c>
      <c r="S842" s="102">
        <f t="shared" si="157"/>
        <v>0.97799999999999998</v>
      </c>
      <c r="T842" s="21">
        <f>VLOOKUP($A842,'2022-23 Salary &amp; Benefits'!$A:$I,5,FALSE)</f>
        <v>68937</v>
      </c>
      <c r="U842" s="21">
        <f>VLOOKUP($A842,'2022-23 Salary &amp; Benefits'!$A:$I,6,FALSE)</f>
        <v>72728</v>
      </c>
      <c r="V842" s="22">
        <f t="shared" si="158"/>
        <v>67420.39</v>
      </c>
      <c r="W842" s="22">
        <f t="shared" si="159"/>
        <v>3707.5899999999965</v>
      </c>
      <c r="X842" s="22">
        <f>'2022-23 Salary &amp; Benefits'!$G$6</f>
        <v>12558.24</v>
      </c>
      <c r="Y842" s="23">
        <f>'2022-23 Salary &amp; Benefits'!$H$6</f>
        <v>0.2298</v>
      </c>
      <c r="Z842" s="23">
        <f>'2022-23 Salary &amp; Benefits'!$I$6</f>
        <v>0.22339999999999999</v>
      </c>
      <c r="AA842" s="22">
        <f t="shared" si="160"/>
        <v>28603.439999999999</v>
      </c>
      <c r="AB842" s="22">
        <f t="shared" si="161"/>
        <v>1185.47</v>
      </c>
      <c r="AC842" s="22">
        <f t="shared" si="162"/>
        <v>264.83</v>
      </c>
      <c r="AD842" s="22">
        <f t="shared" si="164"/>
        <v>1450.3</v>
      </c>
      <c r="AE842" s="22">
        <f t="shared" si="165"/>
        <v>101181.72</v>
      </c>
      <c r="AF842" s="19" t="str">
        <f>VLOOKUP(C842,'2021-22 School Level AAFTE'!C:N,12,FALSE)</f>
        <v>No</v>
      </c>
    </row>
    <row r="843" spans="1:32" s="19" customFormat="1">
      <c r="A843" s="97" t="s">
        <v>2264</v>
      </c>
      <c r="B843" s="97" t="s">
        <v>33</v>
      </c>
      <c r="C843" s="95">
        <v>3369</v>
      </c>
      <c r="D843" s="95" t="s">
        <v>43</v>
      </c>
      <c r="E843" s="129">
        <f>VLOOKUP($C843,'2021-22 School Level AAFTE'!$C:$Z,11,FALSE)</f>
        <v>0.67996666666666661</v>
      </c>
      <c r="F843" s="129" t="str">
        <f>VLOOKUP($C843,'2021-22 School Level AAFTE'!$C:$Z,8,FALSE)</f>
        <v>Yes</v>
      </c>
      <c r="G843" s="129" t="str">
        <f>VLOOKUP($C843,'2021-22 School Level AAFTE'!$C:$Z,12,FALSE)</f>
        <v>No</v>
      </c>
      <c r="H843" s="127">
        <f>VLOOKUP($C843,'2021-22 School Level AAFTE'!$C:$I,7,FALSE)</f>
        <v>355.14</v>
      </c>
      <c r="I843" s="112">
        <f>IFERROR(IF(OR(G843="yes",F843= "yes"),VLOOKUP(C843,Summary!$B:$J,6,0),0),0)</f>
        <v>0</v>
      </c>
      <c r="J843" s="111">
        <f t="shared" ref="J843:J906" si="168">IF(OR(G843="yes",F843= "yes"), H843,0)</f>
        <v>355.14</v>
      </c>
      <c r="K843" s="91">
        <f>VLOOKUP($A843,'2022-23 Salary &amp; Benefits'!$A:$I,3,FALSE)</f>
        <v>1</v>
      </c>
      <c r="L843" s="91">
        <f>VLOOKUP($A843,'2022-23 Salary &amp; Benefits'!$A:$I,4,FALSE)</f>
        <v>1</v>
      </c>
      <c r="M843" s="39">
        <f t="shared" si="163"/>
        <v>355.14</v>
      </c>
      <c r="N843" s="24">
        <v>15</v>
      </c>
      <c r="O843" s="26">
        <f t="shared" si="166"/>
        <v>23.675999999999998</v>
      </c>
      <c r="P843" s="24">
        <v>1.1000000000000001</v>
      </c>
      <c r="Q843" s="24">
        <v>36</v>
      </c>
      <c r="R843" s="27">
        <f t="shared" si="167"/>
        <v>937.56960000000004</v>
      </c>
      <c r="S843" s="102">
        <f t="shared" ref="S843:S906" si="169">ROUND(IF(M843="no",0,R843/900),3)</f>
        <v>1.042</v>
      </c>
      <c r="T843" s="21">
        <f>VLOOKUP($A843,'2022-23 Salary &amp; Benefits'!$A:$I,5,FALSE)</f>
        <v>68937</v>
      </c>
      <c r="U843" s="21">
        <f>VLOOKUP($A843,'2022-23 Salary &amp; Benefits'!$A:$I,6,FALSE)</f>
        <v>72728</v>
      </c>
      <c r="V843" s="22">
        <f t="shared" ref="V843:V906" si="170">ROUND($K843*$T843*$S843,2)</f>
        <v>71832.350000000006</v>
      </c>
      <c r="W843" s="22">
        <f t="shared" ref="W843:W906" si="171">ROUND($L843*$U843*$S843,2)-V843</f>
        <v>3950.2299999999959</v>
      </c>
      <c r="X843" s="22">
        <f>'2022-23 Salary &amp; Benefits'!$G$6</f>
        <v>12558.24</v>
      </c>
      <c r="Y843" s="23">
        <f>'2022-23 Salary &amp; Benefits'!$H$6</f>
        <v>0.2298</v>
      </c>
      <c r="Z843" s="23">
        <f>'2022-23 Salary &amp; Benefits'!$I$6</f>
        <v>0.22339999999999999</v>
      </c>
      <c r="AA843" s="22">
        <f t="shared" ref="AA843:AA906" si="172">ROUND(V843*Y843+W843*Z843+S843*X843,2)</f>
        <v>30475.24</v>
      </c>
      <c r="AB843" s="22">
        <f t="shared" ref="AB843:AB906" si="173">ROUND(($U843*$L843*$S843/180*3),2)</f>
        <v>1263.04</v>
      </c>
      <c r="AC843" s="22">
        <f t="shared" ref="AC843:AC906" si="174">ROUND(AB843*Z843,2)</f>
        <v>282.16000000000003</v>
      </c>
      <c r="AD843" s="22">
        <f t="shared" si="164"/>
        <v>1545.2</v>
      </c>
      <c r="AE843" s="22">
        <f t="shared" si="165"/>
        <v>107803.02</v>
      </c>
      <c r="AF843" s="19" t="str">
        <f>VLOOKUP(C843,'2021-22 School Level AAFTE'!C:N,12,FALSE)</f>
        <v>No</v>
      </c>
    </row>
    <row r="844" spans="1:32" s="19" customFormat="1">
      <c r="A844" s="97" t="s">
        <v>2264</v>
      </c>
      <c r="B844" s="97" t="s">
        <v>33</v>
      </c>
      <c r="C844" s="95">
        <v>3472</v>
      </c>
      <c r="D844" s="95" t="s">
        <v>44</v>
      </c>
      <c r="E844" s="129">
        <f>VLOOKUP($C844,'2021-22 School Level AAFTE'!$C:$Z,11,FALSE)</f>
        <v>0.88463333333333338</v>
      </c>
      <c r="F844" s="129" t="str">
        <f>VLOOKUP($C844,'2021-22 School Level AAFTE'!$C:$Z,8,FALSE)</f>
        <v>Yes</v>
      </c>
      <c r="G844" s="129" t="str">
        <f>VLOOKUP($C844,'2021-22 School Level AAFTE'!$C:$Z,12,FALSE)</f>
        <v>No</v>
      </c>
      <c r="H844" s="127">
        <f>VLOOKUP($C844,'2021-22 School Level AAFTE'!$C:$I,7,FALSE)</f>
        <v>708.51</v>
      </c>
      <c r="I844" s="112">
        <f>IFERROR(IF(OR(G844="yes",F844= "yes"),VLOOKUP(C844,Summary!$B:$J,6,0),0),0)</f>
        <v>0</v>
      </c>
      <c r="J844" s="111">
        <f t="shared" si="168"/>
        <v>708.51</v>
      </c>
      <c r="K844" s="91">
        <f>VLOOKUP($A844,'2022-23 Salary &amp; Benefits'!$A:$I,3,FALSE)</f>
        <v>1</v>
      </c>
      <c r="L844" s="91">
        <f>VLOOKUP($A844,'2022-23 Salary &amp; Benefits'!$A:$I,4,FALSE)</f>
        <v>1</v>
      </c>
      <c r="M844" s="39">
        <f t="shared" si="163"/>
        <v>708.51</v>
      </c>
      <c r="N844" s="24">
        <v>15</v>
      </c>
      <c r="O844" s="26">
        <f t="shared" si="166"/>
        <v>47.234000000000002</v>
      </c>
      <c r="P844" s="24">
        <v>1.1000000000000001</v>
      </c>
      <c r="Q844" s="24">
        <v>36</v>
      </c>
      <c r="R844" s="27">
        <f t="shared" si="167"/>
        <v>1870.4664000000002</v>
      </c>
      <c r="S844" s="102">
        <f t="shared" si="169"/>
        <v>2.0779999999999998</v>
      </c>
      <c r="T844" s="21">
        <f>VLOOKUP($A844,'2022-23 Salary &amp; Benefits'!$A:$I,5,FALSE)</f>
        <v>68937</v>
      </c>
      <c r="U844" s="21">
        <f>VLOOKUP($A844,'2022-23 Salary &amp; Benefits'!$A:$I,6,FALSE)</f>
        <v>72728</v>
      </c>
      <c r="V844" s="22">
        <f t="shared" si="170"/>
        <v>143251.09</v>
      </c>
      <c r="W844" s="22">
        <f t="shared" si="171"/>
        <v>7877.6900000000023</v>
      </c>
      <c r="X844" s="22">
        <f>'2022-23 Salary &amp; Benefits'!$G$6</f>
        <v>12558.24</v>
      </c>
      <c r="Y844" s="23">
        <f>'2022-23 Salary &amp; Benefits'!$H$6</f>
        <v>0.2298</v>
      </c>
      <c r="Z844" s="23">
        <f>'2022-23 Salary &amp; Benefits'!$I$6</f>
        <v>0.22339999999999999</v>
      </c>
      <c r="AA844" s="22">
        <f t="shared" si="172"/>
        <v>60775</v>
      </c>
      <c r="AB844" s="22">
        <f t="shared" si="173"/>
        <v>2518.81</v>
      </c>
      <c r="AC844" s="22">
        <f t="shared" si="174"/>
        <v>562.70000000000005</v>
      </c>
      <c r="AD844" s="22">
        <f t="shared" si="164"/>
        <v>3081.51</v>
      </c>
      <c r="AE844" s="22">
        <f t="shared" si="165"/>
        <v>214985.29</v>
      </c>
      <c r="AF844" s="19" t="str">
        <f>VLOOKUP(C844,'2021-22 School Level AAFTE'!C:N,12,FALSE)</f>
        <v>No</v>
      </c>
    </row>
    <row r="845" spans="1:32" s="19" customFormat="1">
      <c r="A845" s="97" t="s">
        <v>2264</v>
      </c>
      <c r="B845" s="97" t="s">
        <v>33</v>
      </c>
      <c r="C845" s="95">
        <v>3731</v>
      </c>
      <c r="D845" s="95" t="s">
        <v>45</v>
      </c>
      <c r="E845" s="129">
        <f>VLOOKUP($C845,'2021-22 School Level AAFTE'!$C:$Z,11,FALSE)</f>
        <v>0.40773333333333328</v>
      </c>
      <c r="F845" s="129" t="str">
        <f>VLOOKUP($C845,'2021-22 School Level AAFTE'!$C:$Z,8,FALSE)</f>
        <v>No</v>
      </c>
      <c r="G845" s="129" t="str">
        <f>VLOOKUP($C845,'2021-22 School Level AAFTE'!$C:$Z,12,FALSE)</f>
        <v>No</v>
      </c>
      <c r="H845" s="127">
        <f>VLOOKUP($C845,'2021-22 School Level AAFTE'!$C:$I,7,FALSE)</f>
        <v>1733.23</v>
      </c>
      <c r="I845" s="112">
        <f>IFERROR(IF(OR(G845="yes",F845= "yes"),VLOOKUP(C845,Summary!$B:$J,6,0),0),0)</f>
        <v>0</v>
      </c>
      <c r="J845" s="111">
        <f t="shared" si="168"/>
        <v>0</v>
      </c>
      <c r="K845" s="91">
        <f>VLOOKUP($A845,'2022-23 Salary &amp; Benefits'!$A:$I,3,FALSE)</f>
        <v>1</v>
      </c>
      <c r="L845" s="91">
        <f>VLOOKUP($A845,'2022-23 Salary &amp; Benefits'!$A:$I,4,FALSE)</f>
        <v>1</v>
      </c>
      <c r="M845" s="39">
        <f t="shared" si="163"/>
        <v>0</v>
      </c>
      <c r="N845" s="24">
        <v>15</v>
      </c>
      <c r="O845" s="26">
        <f t="shared" si="166"/>
        <v>0</v>
      </c>
      <c r="P845" s="24">
        <v>1.1000000000000001</v>
      </c>
      <c r="Q845" s="24">
        <v>36</v>
      </c>
      <c r="R845" s="27">
        <f t="shared" si="167"/>
        <v>0</v>
      </c>
      <c r="S845" s="102">
        <f t="shared" si="169"/>
        <v>0</v>
      </c>
      <c r="T845" s="21">
        <f>VLOOKUP($A845,'2022-23 Salary &amp; Benefits'!$A:$I,5,FALSE)</f>
        <v>68937</v>
      </c>
      <c r="U845" s="21">
        <f>VLOOKUP($A845,'2022-23 Salary &amp; Benefits'!$A:$I,6,FALSE)</f>
        <v>72728</v>
      </c>
      <c r="V845" s="22">
        <f t="shared" si="170"/>
        <v>0</v>
      </c>
      <c r="W845" s="22">
        <f t="shared" si="171"/>
        <v>0</v>
      </c>
      <c r="X845" s="22">
        <f>'2022-23 Salary &amp; Benefits'!$G$6</f>
        <v>12558.24</v>
      </c>
      <c r="Y845" s="23">
        <f>'2022-23 Salary &amp; Benefits'!$H$6</f>
        <v>0.2298</v>
      </c>
      <c r="Z845" s="23">
        <f>'2022-23 Salary &amp; Benefits'!$I$6</f>
        <v>0.22339999999999999</v>
      </c>
      <c r="AA845" s="22">
        <f t="shared" si="172"/>
        <v>0</v>
      </c>
      <c r="AB845" s="22">
        <f t="shared" si="173"/>
        <v>0</v>
      </c>
      <c r="AC845" s="22">
        <f t="shared" si="174"/>
        <v>0</v>
      </c>
      <c r="AD845" s="22">
        <f t="shared" si="164"/>
        <v>0</v>
      </c>
      <c r="AE845" s="22">
        <f t="shared" si="165"/>
        <v>0</v>
      </c>
      <c r="AF845" s="19" t="str">
        <f>VLOOKUP(C845,'2021-22 School Level AAFTE'!C:N,12,FALSE)</f>
        <v>No</v>
      </c>
    </row>
    <row r="846" spans="1:32" s="19" customFormat="1">
      <c r="A846" s="97" t="s">
        <v>2264</v>
      </c>
      <c r="B846" s="97" t="s">
        <v>33</v>
      </c>
      <c r="C846" s="95">
        <v>4028</v>
      </c>
      <c r="D846" s="95" t="s">
        <v>46</v>
      </c>
      <c r="E846" s="129">
        <f>VLOOKUP($C846,'2021-22 School Level AAFTE'!$C:$Z,11,FALSE)</f>
        <v>0.26256666666666667</v>
      </c>
      <c r="F846" s="129" t="str">
        <f>VLOOKUP($C846,'2021-22 School Level AAFTE'!$C:$Z,8,FALSE)</f>
        <v>No</v>
      </c>
      <c r="G846" s="129" t="str">
        <f>VLOOKUP($C846,'2021-22 School Level AAFTE'!$C:$Z,12,FALSE)</f>
        <v>No</v>
      </c>
      <c r="H846" s="127">
        <f>VLOOKUP($C846,'2021-22 School Level AAFTE'!$C:$I,7,FALSE)</f>
        <v>852.89</v>
      </c>
      <c r="I846" s="112">
        <f>IFERROR(IF(OR(G846="yes",F846= "yes"),VLOOKUP(C846,Summary!$B:$J,6,0),0),0)</f>
        <v>0</v>
      </c>
      <c r="J846" s="111">
        <f t="shared" si="168"/>
        <v>0</v>
      </c>
      <c r="K846" s="91">
        <f>VLOOKUP($A846,'2022-23 Salary &amp; Benefits'!$A:$I,3,FALSE)</f>
        <v>1</v>
      </c>
      <c r="L846" s="91">
        <f>VLOOKUP($A846,'2022-23 Salary &amp; Benefits'!$A:$I,4,FALSE)</f>
        <v>1</v>
      </c>
      <c r="M846" s="101">
        <f t="shared" si="163"/>
        <v>0</v>
      </c>
      <c r="N846" s="24">
        <v>15</v>
      </c>
      <c r="O846" s="26">
        <f t="shared" si="166"/>
        <v>0</v>
      </c>
      <c r="P846" s="24">
        <v>1.1000000000000001</v>
      </c>
      <c r="Q846" s="24">
        <v>36</v>
      </c>
      <c r="R846" s="27">
        <f t="shared" si="167"/>
        <v>0</v>
      </c>
      <c r="S846" s="102">
        <f t="shared" si="169"/>
        <v>0</v>
      </c>
      <c r="T846" s="21">
        <f>VLOOKUP($A846,'2022-23 Salary &amp; Benefits'!$A:$I,5,FALSE)</f>
        <v>68937</v>
      </c>
      <c r="U846" s="21">
        <f>VLOOKUP($A846,'2022-23 Salary &amp; Benefits'!$A:$I,6,FALSE)</f>
        <v>72728</v>
      </c>
      <c r="V846" s="22">
        <f t="shared" si="170"/>
        <v>0</v>
      </c>
      <c r="W846" s="22">
        <f t="shared" si="171"/>
        <v>0</v>
      </c>
      <c r="X846" s="22">
        <f>'2022-23 Salary &amp; Benefits'!$G$6</f>
        <v>12558.24</v>
      </c>
      <c r="Y846" s="23">
        <f>'2022-23 Salary &amp; Benefits'!$H$6</f>
        <v>0.2298</v>
      </c>
      <c r="Z846" s="23">
        <f>'2022-23 Salary &amp; Benefits'!$I$6</f>
        <v>0.22339999999999999</v>
      </c>
      <c r="AA846" s="22">
        <f t="shared" si="172"/>
        <v>0</v>
      </c>
      <c r="AB846" s="22">
        <f t="shared" si="173"/>
        <v>0</v>
      </c>
      <c r="AC846" s="22">
        <f t="shared" si="174"/>
        <v>0</v>
      </c>
      <c r="AD846" s="22">
        <f t="shared" si="164"/>
        <v>0</v>
      </c>
      <c r="AE846" s="22">
        <f t="shared" si="165"/>
        <v>0</v>
      </c>
      <c r="AF846" s="19" t="str">
        <f>VLOOKUP(C846,'2021-22 School Level AAFTE'!C:N,12,FALSE)</f>
        <v>No</v>
      </c>
    </row>
    <row r="847" spans="1:32" s="19" customFormat="1">
      <c r="A847" s="97" t="s">
        <v>2264</v>
      </c>
      <c r="B847" s="97" t="s">
        <v>33</v>
      </c>
      <c r="C847" s="95">
        <v>4072</v>
      </c>
      <c r="D847" s="95" t="s">
        <v>47</v>
      </c>
      <c r="E847" s="129">
        <f>VLOOKUP($C847,'2021-22 School Level AAFTE'!$C:$Z,11,FALSE)</f>
        <v>0.65056666666666674</v>
      </c>
      <c r="F847" s="129" t="str">
        <f>VLOOKUP($C847,'2021-22 School Level AAFTE'!$C:$Z,8,FALSE)</f>
        <v>Yes</v>
      </c>
      <c r="G847" s="129" t="str">
        <f>VLOOKUP($C847,'2021-22 School Level AAFTE'!$C:$Z,12,FALSE)</f>
        <v>No</v>
      </c>
      <c r="H847" s="127">
        <f>VLOOKUP($C847,'2021-22 School Level AAFTE'!$C:$I,7,FALSE)</f>
        <v>398.79</v>
      </c>
      <c r="I847" s="112">
        <f>IFERROR(IF(OR(G847="yes",F847= "yes"),VLOOKUP(C847,Summary!$B:$J,6,0),0),0)</f>
        <v>0</v>
      </c>
      <c r="J847" s="111">
        <f t="shared" si="168"/>
        <v>398.79</v>
      </c>
      <c r="K847" s="91">
        <f>VLOOKUP($A847,'2022-23 Salary &amp; Benefits'!$A:$I,3,FALSE)</f>
        <v>1</v>
      </c>
      <c r="L847" s="91">
        <f>VLOOKUP($A847,'2022-23 Salary &amp; Benefits'!$A:$I,4,FALSE)</f>
        <v>1</v>
      </c>
      <c r="M847" s="101">
        <f t="shared" si="163"/>
        <v>398.79</v>
      </c>
      <c r="N847" s="24">
        <v>15</v>
      </c>
      <c r="O847" s="26">
        <f t="shared" si="166"/>
        <v>26.586000000000002</v>
      </c>
      <c r="P847" s="24">
        <v>1.1000000000000001</v>
      </c>
      <c r="Q847" s="24">
        <v>36</v>
      </c>
      <c r="R847" s="27">
        <f t="shared" si="167"/>
        <v>1052.8056000000001</v>
      </c>
      <c r="S847" s="102">
        <f t="shared" si="169"/>
        <v>1.17</v>
      </c>
      <c r="T847" s="21">
        <f>VLOOKUP($A847,'2022-23 Salary &amp; Benefits'!$A:$I,5,FALSE)</f>
        <v>68937</v>
      </c>
      <c r="U847" s="21">
        <f>VLOOKUP($A847,'2022-23 Salary &amp; Benefits'!$A:$I,6,FALSE)</f>
        <v>72728</v>
      </c>
      <c r="V847" s="22">
        <f t="shared" si="170"/>
        <v>80656.289999999994</v>
      </c>
      <c r="W847" s="22">
        <f t="shared" si="171"/>
        <v>4435.4700000000012</v>
      </c>
      <c r="X847" s="22">
        <f>'2022-23 Salary &amp; Benefits'!$G$6</f>
        <v>12558.24</v>
      </c>
      <c r="Y847" s="23">
        <f>'2022-23 Salary &amp; Benefits'!$H$6</f>
        <v>0.2298</v>
      </c>
      <c r="Z847" s="23">
        <f>'2022-23 Salary &amp; Benefits'!$I$6</f>
        <v>0.22339999999999999</v>
      </c>
      <c r="AA847" s="22">
        <f t="shared" si="172"/>
        <v>34218.839999999997</v>
      </c>
      <c r="AB847" s="22">
        <f t="shared" si="173"/>
        <v>1418.2</v>
      </c>
      <c r="AC847" s="22">
        <f t="shared" si="174"/>
        <v>316.83</v>
      </c>
      <c r="AD847" s="22">
        <f t="shared" si="164"/>
        <v>1735.03</v>
      </c>
      <c r="AE847" s="22">
        <f t="shared" si="165"/>
        <v>121045.62999999999</v>
      </c>
      <c r="AF847" s="19" t="str">
        <f>VLOOKUP(C847,'2021-22 School Level AAFTE'!C:N,12,FALSE)</f>
        <v>No</v>
      </c>
    </row>
    <row r="848" spans="1:32" s="19" customFormat="1">
      <c r="A848" s="97" t="s">
        <v>2264</v>
      </c>
      <c r="B848" s="97" t="s">
        <v>33</v>
      </c>
      <c r="C848" s="95">
        <v>4073</v>
      </c>
      <c r="D848" s="95" t="s">
        <v>48</v>
      </c>
      <c r="E848" s="129">
        <f>VLOOKUP($C848,'2021-22 School Level AAFTE'!$C:$Z,11,FALSE)</f>
        <v>0.62390000000000001</v>
      </c>
      <c r="F848" s="129" t="str">
        <f>VLOOKUP($C848,'2021-22 School Level AAFTE'!$C:$Z,8,FALSE)</f>
        <v>Yes</v>
      </c>
      <c r="G848" s="129" t="str">
        <f>VLOOKUP($C848,'2021-22 School Level AAFTE'!$C:$Z,12,FALSE)</f>
        <v>No</v>
      </c>
      <c r="H848" s="127">
        <f>VLOOKUP($C848,'2021-22 School Level AAFTE'!$C:$I,7,FALSE)</f>
        <v>430.43</v>
      </c>
      <c r="I848" s="112">
        <f>IFERROR(IF(OR(G848="yes",F848= "yes"),VLOOKUP(C848,Summary!$B:$J,6,0),0),0)</f>
        <v>0</v>
      </c>
      <c r="J848" s="111">
        <f t="shared" si="168"/>
        <v>430.43</v>
      </c>
      <c r="K848" s="91">
        <f>VLOOKUP($A848,'2022-23 Salary &amp; Benefits'!$A:$I,3,FALSE)</f>
        <v>1</v>
      </c>
      <c r="L848" s="91">
        <f>VLOOKUP($A848,'2022-23 Salary &amp; Benefits'!$A:$I,4,FALSE)</f>
        <v>1</v>
      </c>
      <c r="M848" s="101">
        <f t="shared" si="163"/>
        <v>430.43</v>
      </c>
      <c r="N848" s="24">
        <v>15</v>
      </c>
      <c r="O848" s="26">
        <f t="shared" si="166"/>
        <v>28.695333333333334</v>
      </c>
      <c r="P848" s="24">
        <v>1.1000000000000001</v>
      </c>
      <c r="Q848" s="24">
        <v>36</v>
      </c>
      <c r="R848" s="27">
        <f t="shared" si="167"/>
        <v>1136.3352000000002</v>
      </c>
      <c r="S848" s="102">
        <f t="shared" si="169"/>
        <v>1.2629999999999999</v>
      </c>
      <c r="T848" s="21">
        <f>VLOOKUP($A848,'2022-23 Salary &amp; Benefits'!$A:$I,5,FALSE)</f>
        <v>68937</v>
      </c>
      <c r="U848" s="21">
        <f>VLOOKUP($A848,'2022-23 Salary &amp; Benefits'!$A:$I,6,FALSE)</f>
        <v>72728</v>
      </c>
      <c r="V848" s="22">
        <f t="shared" si="170"/>
        <v>87067.43</v>
      </c>
      <c r="W848" s="22">
        <f t="shared" si="171"/>
        <v>4788.0300000000134</v>
      </c>
      <c r="X848" s="22">
        <f>'2022-23 Salary &amp; Benefits'!$G$6</f>
        <v>12558.24</v>
      </c>
      <c r="Y848" s="23">
        <f>'2022-23 Salary &amp; Benefits'!$H$6</f>
        <v>0.2298</v>
      </c>
      <c r="Z848" s="23">
        <f>'2022-23 Salary &amp; Benefits'!$I$6</f>
        <v>0.22339999999999999</v>
      </c>
      <c r="AA848" s="22">
        <f t="shared" si="172"/>
        <v>36938.800000000003</v>
      </c>
      <c r="AB848" s="22">
        <f t="shared" si="173"/>
        <v>1530.92</v>
      </c>
      <c r="AC848" s="22">
        <f t="shared" si="174"/>
        <v>342.01</v>
      </c>
      <c r="AD848" s="22">
        <f t="shared" si="164"/>
        <v>1872.93</v>
      </c>
      <c r="AE848" s="22">
        <f t="shared" si="165"/>
        <v>130667.19</v>
      </c>
      <c r="AF848" s="19" t="str">
        <f>VLOOKUP(C848,'2021-22 School Level AAFTE'!C:N,12,FALSE)</f>
        <v>No</v>
      </c>
    </row>
    <row r="849" spans="1:32" s="19" customFormat="1">
      <c r="A849" s="97" t="s">
        <v>2264</v>
      </c>
      <c r="B849" s="97" t="s">
        <v>33</v>
      </c>
      <c r="C849" s="95">
        <v>4118</v>
      </c>
      <c r="D849" s="95" t="s">
        <v>2784</v>
      </c>
      <c r="E849" s="129">
        <f>VLOOKUP($C849,'2021-22 School Level AAFTE'!$C:$Z,11,FALSE)</f>
        <v>0.23710000000000001</v>
      </c>
      <c r="F849" s="129" t="str">
        <f>VLOOKUP($C849,'2021-22 School Level AAFTE'!$C:$Z,8,FALSE)</f>
        <v>No</v>
      </c>
      <c r="G849" s="129" t="str">
        <f>VLOOKUP($C849,'2021-22 School Level AAFTE'!$C:$Z,12,FALSE)</f>
        <v>No</v>
      </c>
      <c r="H849" s="127">
        <f>VLOOKUP($C849,'2021-22 School Level AAFTE'!$C:$I,7,FALSE)</f>
        <v>428.75</v>
      </c>
      <c r="I849" s="112">
        <f>IFERROR(IF(OR(G849="yes",F849= "yes"),VLOOKUP(C849,Summary!$B:$J,6,0),0),0)</f>
        <v>0</v>
      </c>
      <c r="J849" s="111">
        <f t="shared" si="168"/>
        <v>0</v>
      </c>
      <c r="K849" s="91">
        <f>VLOOKUP($A849,'2022-23 Salary &amp; Benefits'!$A:$I,3,FALSE)</f>
        <v>1</v>
      </c>
      <c r="L849" s="91">
        <f>VLOOKUP($A849,'2022-23 Salary &amp; Benefits'!$A:$I,4,FALSE)</f>
        <v>1</v>
      </c>
      <c r="M849" s="39">
        <f t="shared" si="163"/>
        <v>0</v>
      </c>
      <c r="N849" s="24">
        <v>15</v>
      </c>
      <c r="O849" s="26">
        <f t="shared" si="166"/>
        <v>0</v>
      </c>
      <c r="P849" s="24">
        <v>1.1000000000000001</v>
      </c>
      <c r="Q849" s="24">
        <v>36</v>
      </c>
      <c r="R849" s="27">
        <f t="shared" si="167"/>
        <v>0</v>
      </c>
      <c r="S849" s="102">
        <f t="shared" si="169"/>
        <v>0</v>
      </c>
      <c r="T849" s="21">
        <f>VLOOKUP($A849,'2022-23 Salary &amp; Benefits'!$A:$I,5,FALSE)</f>
        <v>68937</v>
      </c>
      <c r="U849" s="21">
        <f>VLOOKUP($A849,'2022-23 Salary &amp; Benefits'!$A:$I,6,FALSE)</f>
        <v>72728</v>
      </c>
      <c r="V849" s="22">
        <f t="shared" si="170"/>
        <v>0</v>
      </c>
      <c r="W849" s="22">
        <f t="shared" si="171"/>
        <v>0</v>
      </c>
      <c r="X849" s="22">
        <f>'2022-23 Salary &amp; Benefits'!$G$6</f>
        <v>12558.24</v>
      </c>
      <c r="Y849" s="23">
        <f>'2022-23 Salary &amp; Benefits'!$H$6</f>
        <v>0.2298</v>
      </c>
      <c r="Z849" s="23">
        <f>'2022-23 Salary &amp; Benefits'!$I$6</f>
        <v>0.22339999999999999</v>
      </c>
      <c r="AA849" s="22">
        <f t="shared" si="172"/>
        <v>0</v>
      </c>
      <c r="AB849" s="22">
        <f t="shared" si="173"/>
        <v>0</v>
      </c>
      <c r="AC849" s="22">
        <f t="shared" si="174"/>
        <v>0</v>
      </c>
      <c r="AD849" s="22">
        <f t="shared" si="164"/>
        <v>0</v>
      </c>
      <c r="AE849" s="22">
        <f t="shared" si="165"/>
        <v>0</v>
      </c>
      <c r="AF849" s="19" t="str">
        <f>VLOOKUP(C849,'2021-22 School Level AAFTE'!C:N,12,FALSE)</f>
        <v>No</v>
      </c>
    </row>
    <row r="850" spans="1:32" s="19" customFormat="1">
      <c r="A850" s="97" t="s">
        <v>2264</v>
      </c>
      <c r="B850" s="97" t="s">
        <v>33</v>
      </c>
      <c r="C850" s="95">
        <v>4136</v>
      </c>
      <c r="D850" s="95" t="s">
        <v>49</v>
      </c>
      <c r="E850" s="129">
        <f>VLOOKUP($C850,'2021-22 School Level AAFTE'!$C:$Z,11,FALSE)</f>
        <v>0.53276666666666672</v>
      </c>
      <c r="F850" s="129" t="str">
        <f>VLOOKUP($C850,'2021-22 School Level AAFTE'!$C:$Z,8,FALSE)</f>
        <v>Yes</v>
      </c>
      <c r="G850" s="129" t="str">
        <f>VLOOKUP($C850,'2021-22 School Level AAFTE'!$C:$Z,12,FALSE)</f>
        <v>No</v>
      </c>
      <c r="H850" s="127">
        <f>VLOOKUP($C850,'2021-22 School Level AAFTE'!$C:$I,7,FALSE)</f>
        <v>384.55</v>
      </c>
      <c r="I850" s="112">
        <f>IFERROR(IF(OR(G850="yes",F850= "yes"),VLOOKUP(C850,Summary!$B:$J,6,0),0),0)</f>
        <v>0</v>
      </c>
      <c r="J850" s="111">
        <f t="shared" si="168"/>
        <v>384.55</v>
      </c>
      <c r="K850" s="91">
        <f>VLOOKUP($A850,'2022-23 Salary &amp; Benefits'!$A:$I,3,FALSE)</f>
        <v>1</v>
      </c>
      <c r="L850" s="91">
        <f>VLOOKUP($A850,'2022-23 Salary &amp; Benefits'!$A:$I,4,FALSE)</f>
        <v>1</v>
      </c>
      <c r="M850" s="101">
        <f t="shared" si="163"/>
        <v>384.55</v>
      </c>
      <c r="N850" s="24">
        <v>15</v>
      </c>
      <c r="O850" s="26">
        <f t="shared" si="166"/>
        <v>25.636666666666667</v>
      </c>
      <c r="P850" s="24">
        <v>1.1000000000000001</v>
      </c>
      <c r="Q850" s="24">
        <v>36</v>
      </c>
      <c r="R850" s="27">
        <f t="shared" si="167"/>
        <v>1015.2120000000001</v>
      </c>
      <c r="S850" s="102">
        <f t="shared" si="169"/>
        <v>1.1279999999999999</v>
      </c>
      <c r="T850" s="21">
        <f>VLOOKUP($A850,'2022-23 Salary &amp; Benefits'!$A:$I,5,FALSE)</f>
        <v>68937</v>
      </c>
      <c r="U850" s="21">
        <f>VLOOKUP($A850,'2022-23 Salary &amp; Benefits'!$A:$I,6,FALSE)</f>
        <v>72728</v>
      </c>
      <c r="V850" s="22">
        <f t="shared" si="170"/>
        <v>77760.94</v>
      </c>
      <c r="W850" s="22">
        <f t="shared" si="171"/>
        <v>4276.2399999999907</v>
      </c>
      <c r="X850" s="22">
        <f>'2022-23 Salary &amp; Benefits'!$G$6</f>
        <v>12558.24</v>
      </c>
      <c r="Y850" s="23">
        <f>'2022-23 Salary &amp; Benefits'!$H$6</f>
        <v>0.2298</v>
      </c>
      <c r="Z850" s="23">
        <f>'2022-23 Salary &amp; Benefits'!$I$6</f>
        <v>0.22339999999999999</v>
      </c>
      <c r="AA850" s="22">
        <f t="shared" si="172"/>
        <v>32990.47</v>
      </c>
      <c r="AB850" s="22">
        <f t="shared" si="173"/>
        <v>1367.29</v>
      </c>
      <c r="AC850" s="22">
        <f t="shared" si="174"/>
        <v>305.45</v>
      </c>
      <c r="AD850" s="22">
        <f t="shared" si="164"/>
        <v>1672.74</v>
      </c>
      <c r="AE850" s="22">
        <f t="shared" si="165"/>
        <v>116700.39</v>
      </c>
      <c r="AF850" s="19" t="str">
        <f>VLOOKUP(C850,'2021-22 School Level AAFTE'!C:N,12,FALSE)</f>
        <v>No</v>
      </c>
    </row>
    <row r="851" spans="1:32" s="19" customFormat="1">
      <c r="A851" s="97" t="s">
        <v>2264</v>
      </c>
      <c r="B851" s="97" t="s">
        <v>33</v>
      </c>
      <c r="C851" s="95">
        <v>4181</v>
      </c>
      <c r="D851" s="95" t="s">
        <v>50</v>
      </c>
      <c r="E851" s="129">
        <f>VLOOKUP($C851,'2021-22 School Level AAFTE'!$C:$Z,11,FALSE)</f>
        <v>0.58760000000000001</v>
      </c>
      <c r="F851" s="129" t="str">
        <f>VLOOKUP($C851,'2021-22 School Level AAFTE'!$C:$Z,8,FALSE)</f>
        <v>Yes</v>
      </c>
      <c r="G851" s="129" t="str">
        <f>VLOOKUP($C851,'2021-22 School Level AAFTE'!$C:$Z,12,FALSE)</f>
        <v>No</v>
      </c>
      <c r="H851" s="127">
        <f>VLOOKUP($C851,'2021-22 School Level AAFTE'!$C:$I,7,FALSE)</f>
        <v>444.42</v>
      </c>
      <c r="I851" s="112">
        <f>IFERROR(IF(OR(G851="yes",F851= "yes"),VLOOKUP(C851,Summary!$B:$J,6,0),0),0)</f>
        <v>0</v>
      </c>
      <c r="J851" s="111">
        <f t="shared" si="168"/>
        <v>444.42</v>
      </c>
      <c r="K851" s="91">
        <f>VLOOKUP($A851,'2022-23 Salary &amp; Benefits'!$A:$I,3,FALSE)</f>
        <v>1</v>
      </c>
      <c r="L851" s="91">
        <f>VLOOKUP($A851,'2022-23 Salary &amp; Benefits'!$A:$I,4,FALSE)</f>
        <v>1</v>
      </c>
      <c r="M851" s="101">
        <f t="shared" si="163"/>
        <v>444.42</v>
      </c>
      <c r="N851" s="24">
        <v>15</v>
      </c>
      <c r="O851" s="26">
        <f t="shared" si="166"/>
        <v>29.628</v>
      </c>
      <c r="P851" s="24">
        <v>1.1000000000000001</v>
      </c>
      <c r="Q851" s="24">
        <v>36</v>
      </c>
      <c r="R851" s="27">
        <f t="shared" si="167"/>
        <v>1173.2688000000001</v>
      </c>
      <c r="S851" s="102">
        <f t="shared" si="169"/>
        <v>1.304</v>
      </c>
      <c r="T851" s="21">
        <f>VLOOKUP($A851,'2022-23 Salary &amp; Benefits'!$A:$I,5,FALSE)</f>
        <v>68937</v>
      </c>
      <c r="U851" s="21">
        <f>VLOOKUP($A851,'2022-23 Salary &amp; Benefits'!$A:$I,6,FALSE)</f>
        <v>72728</v>
      </c>
      <c r="V851" s="22">
        <f t="shared" si="170"/>
        <v>89893.85</v>
      </c>
      <c r="W851" s="22">
        <f t="shared" si="171"/>
        <v>4943.4599999999919</v>
      </c>
      <c r="X851" s="22">
        <f>'2022-23 Salary &amp; Benefits'!$G$6</f>
        <v>12558.24</v>
      </c>
      <c r="Y851" s="23">
        <f>'2022-23 Salary &amp; Benefits'!$H$6</f>
        <v>0.2298</v>
      </c>
      <c r="Z851" s="23">
        <f>'2022-23 Salary &amp; Benefits'!$I$6</f>
        <v>0.22339999999999999</v>
      </c>
      <c r="AA851" s="22">
        <f t="shared" si="172"/>
        <v>38137.919999999998</v>
      </c>
      <c r="AB851" s="22">
        <f t="shared" si="173"/>
        <v>1580.62</v>
      </c>
      <c r="AC851" s="22">
        <f t="shared" si="174"/>
        <v>353.11</v>
      </c>
      <c r="AD851" s="22">
        <f t="shared" si="164"/>
        <v>1933.73</v>
      </c>
      <c r="AE851" s="22">
        <f t="shared" si="165"/>
        <v>134908.96</v>
      </c>
      <c r="AF851" s="19" t="str">
        <f>VLOOKUP(C851,'2021-22 School Level AAFTE'!C:N,12,FALSE)</f>
        <v>No</v>
      </c>
    </row>
    <row r="852" spans="1:32" s="19" customFormat="1">
      <c r="A852" s="97" t="s">
        <v>2264</v>
      </c>
      <c r="B852" s="97" t="s">
        <v>33</v>
      </c>
      <c r="C852" s="95">
        <v>4202</v>
      </c>
      <c r="D852" s="95" t="s">
        <v>51</v>
      </c>
      <c r="E852" s="129">
        <f>VLOOKUP($C852,'2021-22 School Level AAFTE'!$C:$Z,11,FALSE)</f>
        <v>0.56259999999999999</v>
      </c>
      <c r="F852" s="129" t="str">
        <f>VLOOKUP($C852,'2021-22 School Level AAFTE'!$C:$Z,8,FALSE)</f>
        <v>Yes</v>
      </c>
      <c r="G852" s="129" t="str">
        <f>VLOOKUP($C852,'2021-22 School Level AAFTE'!$C:$Z,12,FALSE)</f>
        <v>No</v>
      </c>
      <c r="H852" s="127">
        <f>VLOOKUP($C852,'2021-22 School Level AAFTE'!$C:$I,7,FALSE)</f>
        <v>518.29999999999995</v>
      </c>
      <c r="I852" s="112">
        <f>IFERROR(IF(OR(G852="yes",F852= "yes"),VLOOKUP(C852,Summary!$B:$J,6,0),0),0)</f>
        <v>0</v>
      </c>
      <c r="J852" s="111">
        <f t="shared" si="168"/>
        <v>518.29999999999995</v>
      </c>
      <c r="K852" s="91">
        <f>VLOOKUP($A852,'2022-23 Salary &amp; Benefits'!$A:$I,3,FALSE)</f>
        <v>1</v>
      </c>
      <c r="L852" s="91">
        <f>VLOOKUP($A852,'2022-23 Salary &amp; Benefits'!$A:$I,4,FALSE)</f>
        <v>1</v>
      </c>
      <c r="M852" s="101">
        <f t="shared" si="163"/>
        <v>518.29999999999995</v>
      </c>
      <c r="N852" s="24">
        <v>15</v>
      </c>
      <c r="O852" s="26">
        <f t="shared" si="166"/>
        <v>34.553333333333327</v>
      </c>
      <c r="P852" s="24">
        <v>1.1000000000000001</v>
      </c>
      <c r="Q852" s="24">
        <v>36</v>
      </c>
      <c r="R852" s="27">
        <f t="shared" si="167"/>
        <v>1368.3119999999999</v>
      </c>
      <c r="S852" s="102">
        <f t="shared" si="169"/>
        <v>1.52</v>
      </c>
      <c r="T852" s="21">
        <f>VLOOKUP($A852,'2022-23 Salary &amp; Benefits'!$A:$I,5,FALSE)</f>
        <v>68937</v>
      </c>
      <c r="U852" s="21">
        <f>VLOOKUP($A852,'2022-23 Salary &amp; Benefits'!$A:$I,6,FALSE)</f>
        <v>72728</v>
      </c>
      <c r="V852" s="22">
        <f t="shared" si="170"/>
        <v>104784.24</v>
      </c>
      <c r="W852" s="22">
        <f t="shared" si="171"/>
        <v>5762.3199999999924</v>
      </c>
      <c r="X852" s="22">
        <f>'2022-23 Salary &amp; Benefits'!$G$6</f>
        <v>12558.24</v>
      </c>
      <c r="Y852" s="23">
        <f>'2022-23 Salary &amp; Benefits'!$H$6</f>
        <v>0.2298</v>
      </c>
      <c r="Z852" s="23">
        <f>'2022-23 Salary &amp; Benefits'!$I$6</f>
        <v>0.22339999999999999</v>
      </c>
      <c r="AA852" s="22">
        <f t="shared" si="172"/>
        <v>44455.25</v>
      </c>
      <c r="AB852" s="22">
        <f t="shared" si="173"/>
        <v>1842.44</v>
      </c>
      <c r="AC852" s="22">
        <f t="shared" si="174"/>
        <v>411.6</v>
      </c>
      <c r="AD852" s="22">
        <f t="shared" si="164"/>
        <v>2254.04</v>
      </c>
      <c r="AE852" s="22">
        <f t="shared" si="165"/>
        <v>157255.85</v>
      </c>
      <c r="AF852" s="19" t="str">
        <f>VLOOKUP(C852,'2021-22 School Level AAFTE'!C:N,12,FALSE)</f>
        <v>No</v>
      </c>
    </row>
    <row r="853" spans="1:32" s="19" customFormat="1">
      <c r="A853" s="97" t="s">
        <v>2264</v>
      </c>
      <c r="B853" s="97" t="s">
        <v>33</v>
      </c>
      <c r="C853" s="95">
        <v>4418</v>
      </c>
      <c r="D853" s="95" t="s">
        <v>52</v>
      </c>
      <c r="E853" s="129">
        <f>VLOOKUP($C853,'2021-22 School Level AAFTE'!$C:$Z,11,FALSE)</f>
        <v>0.9130666666666668</v>
      </c>
      <c r="F853" s="129" t="str">
        <f>VLOOKUP($C853,'2021-22 School Level AAFTE'!$C:$Z,8,FALSE)</f>
        <v>Yes</v>
      </c>
      <c r="G853" s="129" t="str">
        <f>VLOOKUP($C853,'2021-22 School Level AAFTE'!$C:$Z,12,FALSE)</f>
        <v>No</v>
      </c>
      <c r="H853" s="127">
        <f>VLOOKUP($C853,'2021-22 School Level AAFTE'!$C:$I,7,FALSE)</f>
        <v>646.86</v>
      </c>
      <c r="I853" s="112">
        <f>IFERROR(IF(OR(G853="yes",F853= "yes"),VLOOKUP(C853,Summary!$B:$J,6,0),0),0)</f>
        <v>0</v>
      </c>
      <c r="J853" s="111">
        <f t="shared" si="168"/>
        <v>646.86</v>
      </c>
      <c r="K853" s="91">
        <f>VLOOKUP($A853,'2022-23 Salary &amp; Benefits'!$A:$I,3,FALSE)</f>
        <v>1</v>
      </c>
      <c r="L853" s="91">
        <f>VLOOKUP($A853,'2022-23 Salary &amp; Benefits'!$A:$I,4,FALSE)</f>
        <v>1</v>
      </c>
      <c r="M853" s="39">
        <f t="shared" si="163"/>
        <v>646.86</v>
      </c>
      <c r="N853" s="24">
        <v>15</v>
      </c>
      <c r="O853" s="26">
        <f t="shared" si="166"/>
        <v>43.124000000000002</v>
      </c>
      <c r="P853" s="24">
        <v>1.1000000000000001</v>
      </c>
      <c r="Q853" s="24">
        <v>36</v>
      </c>
      <c r="R853" s="27">
        <f t="shared" si="167"/>
        <v>1707.7104000000002</v>
      </c>
      <c r="S853" s="102">
        <f t="shared" si="169"/>
        <v>1.897</v>
      </c>
      <c r="T853" s="21">
        <f>VLOOKUP($A853,'2022-23 Salary &amp; Benefits'!$A:$I,5,FALSE)</f>
        <v>68937</v>
      </c>
      <c r="U853" s="21">
        <f>VLOOKUP($A853,'2022-23 Salary &amp; Benefits'!$A:$I,6,FALSE)</f>
        <v>72728</v>
      </c>
      <c r="V853" s="22">
        <f t="shared" si="170"/>
        <v>130773.49</v>
      </c>
      <c r="W853" s="22">
        <f t="shared" si="171"/>
        <v>7191.5299999999843</v>
      </c>
      <c r="X853" s="22">
        <f>'2022-23 Salary &amp; Benefits'!$G$6</f>
        <v>12558.24</v>
      </c>
      <c r="Y853" s="23">
        <f>'2022-23 Salary &amp; Benefits'!$H$6</f>
        <v>0.2298</v>
      </c>
      <c r="Z853" s="23">
        <f>'2022-23 Salary &amp; Benefits'!$I$6</f>
        <v>0.22339999999999999</v>
      </c>
      <c r="AA853" s="22">
        <f t="shared" si="172"/>
        <v>55481.32</v>
      </c>
      <c r="AB853" s="22">
        <f t="shared" si="173"/>
        <v>2299.42</v>
      </c>
      <c r="AC853" s="22">
        <f t="shared" si="174"/>
        <v>513.69000000000005</v>
      </c>
      <c r="AD853" s="22">
        <f t="shared" si="164"/>
        <v>2813.11</v>
      </c>
      <c r="AE853" s="22">
        <f t="shared" si="165"/>
        <v>196259.44999999995</v>
      </c>
      <c r="AF853" s="19" t="str">
        <f>VLOOKUP(C853,'2021-22 School Level AAFTE'!C:N,12,FALSE)</f>
        <v>No</v>
      </c>
    </row>
    <row r="854" spans="1:32" s="19" customFormat="1">
      <c r="A854" s="97" t="s">
        <v>2264</v>
      </c>
      <c r="B854" s="97" t="s">
        <v>33</v>
      </c>
      <c r="C854" s="95">
        <v>4429</v>
      </c>
      <c r="D854" s="95" t="s">
        <v>53</v>
      </c>
      <c r="E854" s="129">
        <f>VLOOKUP($C854,'2021-22 School Level AAFTE'!$C:$Z,11,FALSE)</f>
        <v>0.58683333333333332</v>
      </c>
      <c r="F854" s="129" t="str">
        <f>VLOOKUP($C854,'2021-22 School Level AAFTE'!$C:$Z,8,FALSE)</f>
        <v>Yes</v>
      </c>
      <c r="G854" s="129" t="str">
        <f>VLOOKUP($C854,'2021-22 School Level AAFTE'!$C:$Z,12,FALSE)</f>
        <v>No</v>
      </c>
      <c r="H854" s="127">
        <f>VLOOKUP($C854,'2021-22 School Level AAFTE'!$C:$I,7,FALSE)</f>
        <v>794.37</v>
      </c>
      <c r="I854" s="112">
        <f>IFERROR(IF(OR(G854="yes",F854= "yes"),VLOOKUP(C854,Summary!$B:$J,6,0),0),0)</f>
        <v>0</v>
      </c>
      <c r="J854" s="111">
        <f t="shared" si="168"/>
        <v>794.37</v>
      </c>
      <c r="K854" s="91">
        <f>VLOOKUP($A854,'2022-23 Salary &amp; Benefits'!$A:$I,3,FALSE)</f>
        <v>1</v>
      </c>
      <c r="L854" s="91">
        <f>VLOOKUP($A854,'2022-23 Salary &amp; Benefits'!$A:$I,4,FALSE)</f>
        <v>1</v>
      </c>
      <c r="M854" s="39">
        <f t="shared" si="163"/>
        <v>794.37</v>
      </c>
      <c r="N854" s="24">
        <v>15</v>
      </c>
      <c r="O854" s="26">
        <f t="shared" si="166"/>
        <v>52.957999999999998</v>
      </c>
      <c r="P854" s="24">
        <v>1.1000000000000001</v>
      </c>
      <c r="Q854" s="24">
        <v>36</v>
      </c>
      <c r="R854" s="27">
        <f t="shared" si="167"/>
        <v>2097.1368000000002</v>
      </c>
      <c r="S854" s="102">
        <f t="shared" si="169"/>
        <v>2.33</v>
      </c>
      <c r="T854" s="21">
        <f>VLOOKUP($A854,'2022-23 Salary &amp; Benefits'!$A:$I,5,FALSE)</f>
        <v>68937</v>
      </c>
      <c r="U854" s="21">
        <f>VLOOKUP($A854,'2022-23 Salary &amp; Benefits'!$A:$I,6,FALSE)</f>
        <v>72728</v>
      </c>
      <c r="V854" s="22">
        <f t="shared" si="170"/>
        <v>160623.21</v>
      </c>
      <c r="W854" s="22">
        <f t="shared" si="171"/>
        <v>8833.0299999999988</v>
      </c>
      <c r="X854" s="22">
        <f>'2022-23 Salary &amp; Benefits'!$G$6</f>
        <v>12558.24</v>
      </c>
      <c r="Y854" s="23">
        <f>'2022-23 Salary &amp; Benefits'!$H$6</f>
        <v>0.2298</v>
      </c>
      <c r="Z854" s="23">
        <f>'2022-23 Salary &amp; Benefits'!$I$6</f>
        <v>0.22339999999999999</v>
      </c>
      <c r="AA854" s="22">
        <f t="shared" si="172"/>
        <v>68145.210000000006</v>
      </c>
      <c r="AB854" s="22">
        <f t="shared" si="173"/>
        <v>2824.27</v>
      </c>
      <c r="AC854" s="22">
        <f t="shared" si="174"/>
        <v>630.94000000000005</v>
      </c>
      <c r="AD854" s="22">
        <f t="shared" si="164"/>
        <v>3455.21</v>
      </c>
      <c r="AE854" s="22">
        <f t="shared" si="165"/>
        <v>241056.65999999997</v>
      </c>
      <c r="AF854" s="19" t="str">
        <f>VLOOKUP(C854,'2021-22 School Level AAFTE'!C:N,12,FALSE)</f>
        <v>No</v>
      </c>
    </row>
    <row r="855" spans="1:32" s="19" customFormat="1">
      <c r="A855" s="97" t="s">
        <v>2264</v>
      </c>
      <c r="B855" s="97" t="s">
        <v>33</v>
      </c>
      <c r="C855" s="95">
        <v>4446</v>
      </c>
      <c r="D855" s="95" t="s">
        <v>54</v>
      </c>
      <c r="E855" s="129">
        <f>VLOOKUP($C855,'2021-22 School Level AAFTE'!$C:$Z,11,FALSE)</f>
        <v>0.32356666666666672</v>
      </c>
      <c r="F855" s="129" t="str">
        <f>VLOOKUP($C855,'2021-22 School Level AAFTE'!$C:$Z,8,FALSE)</f>
        <v>No</v>
      </c>
      <c r="G855" s="129" t="str">
        <f>VLOOKUP($C855,'2021-22 School Level AAFTE'!$C:$Z,12,FALSE)</f>
        <v>No</v>
      </c>
      <c r="H855" s="127">
        <f>VLOOKUP($C855,'2021-22 School Level AAFTE'!$C:$I,7,FALSE)</f>
        <v>373.86</v>
      </c>
      <c r="I855" s="112">
        <f>IFERROR(IF(OR(G855="yes",F855= "yes"),VLOOKUP(C855,Summary!$B:$J,6,0),0),0)</f>
        <v>0</v>
      </c>
      <c r="J855" s="111">
        <f t="shared" si="168"/>
        <v>0</v>
      </c>
      <c r="K855" s="91">
        <f>VLOOKUP($A855,'2022-23 Salary &amp; Benefits'!$A:$I,3,FALSE)</f>
        <v>1</v>
      </c>
      <c r="L855" s="91">
        <f>VLOOKUP($A855,'2022-23 Salary &amp; Benefits'!$A:$I,4,FALSE)</f>
        <v>1</v>
      </c>
      <c r="M855" s="101">
        <f t="shared" si="163"/>
        <v>0</v>
      </c>
      <c r="N855" s="24">
        <v>15</v>
      </c>
      <c r="O855" s="26">
        <f t="shared" si="166"/>
        <v>0</v>
      </c>
      <c r="P855" s="24">
        <v>1.1000000000000001</v>
      </c>
      <c r="Q855" s="24">
        <v>36</v>
      </c>
      <c r="R855" s="27">
        <f t="shared" si="167"/>
        <v>0</v>
      </c>
      <c r="S855" s="102">
        <f t="shared" si="169"/>
        <v>0</v>
      </c>
      <c r="T855" s="21">
        <f>VLOOKUP($A855,'2022-23 Salary &amp; Benefits'!$A:$I,5,FALSE)</f>
        <v>68937</v>
      </c>
      <c r="U855" s="21">
        <f>VLOOKUP($A855,'2022-23 Salary &amp; Benefits'!$A:$I,6,FALSE)</f>
        <v>72728</v>
      </c>
      <c r="V855" s="22">
        <f t="shared" si="170"/>
        <v>0</v>
      </c>
      <c r="W855" s="22">
        <f t="shared" si="171"/>
        <v>0</v>
      </c>
      <c r="X855" s="22">
        <f>'2022-23 Salary &amp; Benefits'!$G$6</f>
        <v>12558.24</v>
      </c>
      <c r="Y855" s="23">
        <f>'2022-23 Salary &amp; Benefits'!$H$6</f>
        <v>0.2298</v>
      </c>
      <c r="Z855" s="23">
        <f>'2022-23 Salary &amp; Benefits'!$I$6</f>
        <v>0.22339999999999999</v>
      </c>
      <c r="AA855" s="22">
        <f t="shared" si="172"/>
        <v>0</v>
      </c>
      <c r="AB855" s="22">
        <f t="shared" si="173"/>
        <v>0</v>
      </c>
      <c r="AC855" s="22">
        <f t="shared" si="174"/>
        <v>0</v>
      </c>
      <c r="AD855" s="22">
        <f t="shared" si="164"/>
        <v>0</v>
      </c>
      <c r="AE855" s="22">
        <f t="shared" si="165"/>
        <v>0</v>
      </c>
      <c r="AF855" s="19" t="str">
        <f>VLOOKUP(C855,'2021-22 School Level AAFTE'!C:N,12,FALSE)</f>
        <v>No</v>
      </c>
    </row>
    <row r="856" spans="1:32" s="19" customFormat="1">
      <c r="A856" s="97" t="s">
        <v>2264</v>
      </c>
      <c r="B856" s="97" t="s">
        <v>33</v>
      </c>
      <c r="C856" s="95">
        <v>4484</v>
      </c>
      <c r="D856" s="95" t="s">
        <v>55</v>
      </c>
      <c r="E856" s="129">
        <f>VLOOKUP($C856,'2021-22 School Level AAFTE'!$C:$Z,11,FALSE)</f>
        <v>0.52736666666666665</v>
      </c>
      <c r="F856" s="129" t="str">
        <f>VLOOKUP($C856,'2021-22 School Level AAFTE'!$C:$Z,8,FALSE)</f>
        <v>Yes</v>
      </c>
      <c r="G856" s="129" t="str">
        <f>VLOOKUP($C856,'2021-22 School Level AAFTE'!$C:$Z,12,FALSE)</f>
        <v>No</v>
      </c>
      <c r="H856" s="127">
        <f>VLOOKUP($C856,'2021-22 School Level AAFTE'!$C:$I,7,FALSE)</f>
        <v>1621.93</v>
      </c>
      <c r="I856" s="112">
        <f>IFERROR(IF(OR(G856="yes",F856= "yes"),VLOOKUP(C856,Summary!$B:$J,6,0),0),0)</f>
        <v>0</v>
      </c>
      <c r="J856" s="111">
        <f t="shared" si="168"/>
        <v>1621.93</v>
      </c>
      <c r="K856" s="91">
        <f>VLOOKUP($A856,'2022-23 Salary &amp; Benefits'!$A:$I,3,FALSE)</f>
        <v>1</v>
      </c>
      <c r="L856" s="91">
        <f>VLOOKUP($A856,'2022-23 Salary &amp; Benefits'!$A:$I,4,FALSE)</f>
        <v>1</v>
      </c>
      <c r="M856" s="101">
        <f t="shared" si="163"/>
        <v>1621.93</v>
      </c>
      <c r="N856" s="24">
        <v>15</v>
      </c>
      <c r="O856" s="26">
        <f t="shared" si="166"/>
        <v>108.12866666666667</v>
      </c>
      <c r="P856" s="24">
        <v>1.1000000000000001</v>
      </c>
      <c r="Q856" s="24">
        <v>36</v>
      </c>
      <c r="R856" s="27">
        <f t="shared" si="167"/>
        <v>4281.8952000000008</v>
      </c>
      <c r="S856" s="102">
        <f t="shared" si="169"/>
        <v>4.758</v>
      </c>
      <c r="T856" s="21">
        <f>VLOOKUP($A856,'2022-23 Salary &amp; Benefits'!$A:$I,5,FALSE)</f>
        <v>68937</v>
      </c>
      <c r="U856" s="21">
        <f>VLOOKUP($A856,'2022-23 Salary &amp; Benefits'!$A:$I,6,FALSE)</f>
        <v>72728</v>
      </c>
      <c r="V856" s="22">
        <f t="shared" si="170"/>
        <v>328002.25</v>
      </c>
      <c r="W856" s="22">
        <f t="shared" si="171"/>
        <v>18037.570000000007</v>
      </c>
      <c r="X856" s="22">
        <f>'2022-23 Salary &amp; Benefits'!$G$6</f>
        <v>12558.24</v>
      </c>
      <c r="Y856" s="23">
        <f>'2022-23 Salary &amp; Benefits'!$H$6</f>
        <v>0.2298</v>
      </c>
      <c r="Z856" s="23">
        <f>'2022-23 Salary &amp; Benefits'!$I$6</f>
        <v>0.22339999999999999</v>
      </c>
      <c r="AA856" s="22">
        <f t="shared" si="172"/>
        <v>139156.62</v>
      </c>
      <c r="AB856" s="22">
        <f t="shared" si="173"/>
        <v>5767.33</v>
      </c>
      <c r="AC856" s="22">
        <f t="shared" si="174"/>
        <v>1288.42</v>
      </c>
      <c r="AD856" s="22">
        <f t="shared" si="164"/>
        <v>7055.75</v>
      </c>
      <c r="AE856" s="22">
        <f t="shared" si="165"/>
        <v>492252.19</v>
      </c>
      <c r="AF856" s="19" t="str">
        <f>VLOOKUP(C856,'2021-22 School Level AAFTE'!C:N,12,FALSE)</f>
        <v>No</v>
      </c>
    </row>
    <row r="857" spans="1:32" s="19" customFormat="1">
      <c r="A857" s="97" t="s">
        <v>2264</v>
      </c>
      <c r="B857" s="97" t="s">
        <v>33</v>
      </c>
      <c r="C857" s="95">
        <v>5106</v>
      </c>
      <c r="D857" s="95" t="s">
        <v>56</v>
      </c>
      <c r="E857" s="129">
        <f>VLOOKUP($C857,'2021-22 School Level AAFTE'!$C:$Z,11,FALSE)</f>
        <v>0.66766666666666652</v>
      </c>
      <c r="F857" s="129" t="str">
        <f>VLOOKUP($C857,'2021-22 School Level AAFTE'!$C:$Z,8,FALSE)</f>
        <v>Yes</v>
      </c>
      <c r="G857" s="129" t="str">
        <f>VLOOKUP($C857,'2021-22 School Level AAFTE'!$C:$Z,12,FALSE)</f>
        <v>No</v>
      </c>
      <c r="H857" s="127">
        <f>VLOOKUP($C857,'2021-22 School Level AAFTE'!$C:$I,7,FALSE)</f>
        <v>51.09</v>
      </c>
      <c r="I857" s="112">
        <f>IFERROR(IF(OR(G857="yes",F857= "yes"),VLOOKUP(C857,Summary!$B:$J,6,0),0),0)</f>
        <v>0</v>
      </c>
      <c r="J857" s="111">
        <f t="shared" si="168"/>
        <v>51.09</v>
      </c>
      <c r="K857" s="91">
        <f>VLOOKUP($A857,'2022-23 Salary &amp; Benefits'!$A:$I,3,FALSE)</f>
        <v>1</v>
      </c>
      <c r="L857" s="91">
        <f>VLOOKUP($A857,'2022-23 Salary &amp; Benefits'!$A:$I,4,FALSE)</f>
        <v>1</v>
      </c>
      <c r="M857" s="101">
        <f t="shared" si="163"/>
        <v>51.09</v>
      </c>
      <c r="N857" s="24">
        <v>15</v>
      </c>
      <c r="O857" s="26">
        <f t="shared" si="166"/>
        <v>3.4060000000000001</v>
      </c>
      <c r="P857" s="24">
        <v>1.1000000000000001</v>
      </c>
      <c r="Q857" s="24">
        <v>36</v>
      </c>
      <c r="R857" s="27">
        <f t="shared" si="167"/>
        <v>134.8776</v>
      </c>
      <c r="S857" s="102">
        <f t="shared" si="169"/>
        <v>0.15</v>
      </c>
      <c r="T857" s="21">
        <f>VLOOKUP($A857,'2022-23 Salary &amp; Benefits'!$A:$I,5,FALSE)</f>
        <v>68937</v>
      </c>
      <c r="U857" s="21">
        <f>VLOOKUP($A857,'2022-23 Salary &amp; Benefits'!$A:$I,6,FALSE)</f>
        <v>72728</v>
      </c>
      <c r="V857" s="22">
        <f t="shared" si="170"/>
        <v>10340.549999999999</v>
      </c>
      <c r="W857" s="22">
        <f t="shared" si="171"/>
        <v>568.65000000000146</v>
      </c>
      <c r="X857" s="22">
        <f>'2022-23 Salary &amp; Benefits'!$G$6</f>
        <v>12558.24</v>
      </c>
      <c r="Y857" s="23">
        <f>'2022-23 Salary &amp; Benefits'!$H$6</f>
        <v>0.2298</v>
      </c>
      <c r="Z857" s="23">
        <f>'2022-23 Salary &amp; Benefits'!$I$6</f>
        <v>0.22339999999999999</v>
      </c>
      <c r="AA857" s="22">
        <f t="shared" si="172"/>
        <v>4387.03</v>
      </c>
      <c r="AB857" s="22">
        <f t="shared" si="173"/>
        <v>181.82</v>
      </c>
      <c r="AC857" s="22">
        <f t="shared" si="174"/>
        <v>40.619999999999997</v>
      </c>
      <c r="AD857" s="22">
        <f t="shared" si="164"/>
        <v>222.44</v>
      </c>
      <c r="AE857" s="22">
        <f t="shared" si="165"/>
        <v>15518.67</v>
      </c>
      <c r="AF857" s="19" t="str">
        <f>VLOOKUP(C857,'2021-22 School Level AAFTE'!C:N,12,FALSE)</f>
        <v>No</v>
      </c>
    </row>
    <row r="858" spans="1:32" s="19" customFormat="1">
      <c r="A858" s="97" t="s">
        <v>2264</v>
      </c>
      <c r="B858" s="97" t="s">
        <v>33</v>
      </c>
      <c r="C858" s="95">
        <v>5220</v>
      </c>
      <c r="D858" s="95" t="s">
        <v>57</v>
      </c>
      <c r="E858" s="129">
        <f>VLOOKUP($C858,'2021-22 School Level AAFTE'!$C:$Z,11,FALSE)</f>
        <v>0.16456666666666667</v>
      </c>
      <c r="F858" s="129" t="str">
        <f>VLOOKUP($C858,'2021-22 School Level AAFTE'!$C:$Z,8,FALSE)</f>
        <v>No</v>
      </c>
      <c r="G858" s="129" t="str">
        <f>VLOOKUP($C858,'2021-22 School Level AAFTE'!$C:$Z,12,FALSE)</f>
        <v>No</v>
      </c>
      <c r="H858" s="127">
        <f>VLOOKUP($C858,'2021-22 School Level AAFTE'!$C:$I,7,FALSE)</f>
        <v>434.93</v>
      </c>
      <c r="I858" s="112">
        <f>IFERROR(IF(OR(G858="yes",F858= "yes"),VLOOKUP(C858,Summary!$B:$J,6,0),0),0)</f>
        <v>0</v>
      </c>
      <c r="J858" s="111">
        <f t="shared" si="168"/>
        <v>0</v>
      </c>
      <c r="K858" s="91">
        <f>VLOOKUP($A858,'2022-23 Salary &amp; Benefits'!$A:$I,3,FALSE)</f>
        <v>1</v>
      </c>
      <c r="L858" s="91">
        <f>VLOOKUP($A858,'2022-23 Salary &amp; Benefits'!$A:$I,4,FALSE)</f>
        <v>1</v>
      </c>
      <c r="M858" s="101">
        <f t="shared" si="163"/>
        <v>0</v>
      </c>
      <c r="N858" s="24">
        <v>15</v>
      </c>
      <c r="O858" s="26">
        <f t="shared" si="166"/>
        <v>0</v>
      </c>
      <c r="P858" s="24">
        <v>1.1000000000000001</v>
      </c>
      <c r="Q858" s="24">
        <v>36</v>
      </c>
      <c r="R858" s="27">
        <f t="shared" si="167"/>
        <v>0</v>
      </c>
      <c r="S858" s="102">
        <f t="shared" si="169"/>
        <v>0</v>
      </c>
      <c r="T858" s="21">
        <f>VLOOKUP($A858,'2022-23 Salary &amp; Benefits'!$A:$I,5,FALSE)</f>
        <v>68937</v>
      </c>
      <c r="U858" s="21">
        <f>VLOOKUP($A858,'2022-23 Salary &amp; Benefits'!$A:$I,6,FALSE)</f>
        <v>72728</v>
      </c>
      <c r="V858" s="22">
        <f t="shared" si="170"/>
        <v>0</v>
      </c>
      <c r="W858" s="22">
        <f t="shared" si="171"/>
        <v>0</v>
      </c>
      <c r="X858" s="22">
        <f>'2022-23 Salary &amp; Benefits'!$G$6</f>
        <v>12558.24</v>
      </c>
      <c r="Y858" s="23">
        <f>'2022-23 Salary &amp; Benefits'!$H$6</f>
        <v>0.2298</v>
      </c>
      <c r="Z858" s="23">
        <f>'2022-23 Salary &amp; Benefits'!$I$6</f>
        <v>0.22339999999999999</v>
      </c>
      <c r="AA858" s="22">
        <f t="shared" si="172"/>
        <v>0</v>
      </c>
      <c r="AB858" s="22">
        <f t="shared" si="173"/>
        <v>0</v>
      </c>
      <c r="AC858" s="22">
        <f t="shared" si="174"/>
        <v>0</v>
      </c>
      <c r="AD858" s="22">
        <f t="shared" si="164"/>
        <v>0</v>
      </c>
      <c r="AE858" s="22">
        <f t="shared" si="165"/>
        <v>0</v>
      </c>
      <c r="AF858" s="19" t="str">
        <f>VLOOKUP(C858,'2021-22 School Level AAFTE'!C:N,12,FALSE)</f>
        <v>No</v>
      </c>
    </row>
    <row r="859" spans="1:32" s="19" customFormat="1">
      <c r="A859" s="97" t="s">
        <v>2264</v>
      </c>
      <c r="B859" s="97" t="s">
        <v>33</v>
      </c>
      <c r="C859" s="95">
        <v>5438</v>
      </c>
      <c r="D859" s="95" t="s">
        <v>58</v>
      </c>
      <c r="E859" s="129">
        <f>VLOOKUP($C859,'2021-22 School Level AAFTE'!$C:$Z,11,FALSE)</f>
        <v>0.36509999999999998</v>
      </c>
      <c r="F859" s="129" t="str">
        <f>VLOOKUP($C859,'2021-22 School Level AAFTE'!$C:$Z,8,FALSE)</f>
        <v>No</v>
      </c>
      <c r="G859" s="129" t="str">
        <f>VLOOKUP($C859,'2021-22 School Level AAFTE'!$C:$Z,12,FALSE)</f>
        <v>No</v>
      </c>
      <c r="H859" s="127">
        <f>VLOOKUP($C859,'2021-22 School Level AAFTE'!$C:$I,7,FALSE)</f>
        <v>560.23</v>
      </c>
      <c r="I859" s="112">
        <f>IFERROR(IF(OR(G859="yes",F859= "yes"),VLOOKUP(C859,Summary!$B:$J,6,0),0),0)</f>
        <v>0</v>
      </c>
      <c r="J859" s="111">
        <f t="shared" si="168"/>
        <v>0</v>
      </c>
      <c r="K859" s="91">
        <f>VLOOKUP($A859,'2022-23 Salary &amp; Benefits'!$A:$I,3,FALSE)</f>
        <v>1</v>
      </c>
      <c r="L859" s="91">
        <f>VLOOKUP($A859,'2022-23 Salary &amp; Benefits'!$A:$I,4,FALSE)</f>
        <v>1</v>
      </c>
      <c r="M859" s="101">
        <f t="shared" si="163"/>
        <v>0</v>
      </c>
      <c r="N859" s="24">
        <v>15</v>
      </c>
      <c r="O859" s="26">
        <f t="shared" si="166"/>
        <v>0</v>
      </c>
      <c r="P859" s="24">
        <v>1.1000000000000001</v>
      </c>
      <c r="Q859" s="24">
        <v>36</v>
      </c>
      <c r="R859" s="27">
        <f t="shared" si="167"/>
        <v>0</v>
      </c>
      <c r="S859" s="102">
        <f t="shared" si="169"/>
        <v>0</v>
      </c>
      <c r="T859" s="21">
        <f>VLOOKUP($A859,'2022-23 Salary &amp; Benefits'!$A:$I,5,FALSE)</f>
        <v>68937</v>
      </c>
      <c r="U859" s="21">
        <f>VLOOKUP($A859,'2022-23 Salary &amp; Benefits'!$A:$I,6,FALSE)</f>
        <v>72728</v>
      </c>
      <c r="V859" s="22">
        <f t="shared" si="170"/>
        <v>0</v>
      </c>
      <c r="W859" s="22">
        <f t="shared" si="171"/>
        <v>0</v>
      </c>
      <c r="X859" s="22">
        <f>'2022-23 Salary &amp; Benefits'!$G$6</f>
        <v>12558.24</v>
      </c>
      <c r="Y859" s="23">
        <f>'2022-23 Salary &amp; Benefits'!$H$6</f>
        <v>0.2298</v>
      </c>
      <c r="Z859" s="23">
        <f>'2022-23 Salary &amp; Benefits'!$I$6</f>
        <v>0.22339999999999999</v>
      </c>
      <c r="AA859" s="22">
        <f t="shared" si="172"/>
        <v>0</v>
      </c>
      <c r="AB859" s="22">
        <f t="shared" si="173"/>
        <v>0</v>
      </c>
      <c r="AC859" s="22">
        <f t="shared" si="174"/>
        <v>0</v>
      </c>
      <c r="AD859" s="22">
        <f t="shared" si="164"/>
        <v>0</v>
      </c>
      <c r="AE859" s="22">
        <f t="shared" si="165"/>
        <v>0</v>
      </c>
      <c r="AF859" s="19" t="str">
        <f>VLOOKUP(C859,'2021-22 School Level AAFTE'!C:N,12,FALSE)</f>
        <v>No</v>
      </c>
    </row>
    <row r="860" spans="1:32" s="19" customFormat="1">
      <c r="A860" s="97" t="s">
        <v>2264</v>
      </c>
      <c r="B860" s="97" t="s">
        <v>33</v>
      </c>
      <c r="C860" s="95">
        <v>5439</v>
      </c>
      <c r="D860" s="95" t="s">
        <v>59</v>
      </c>
      <c r="E860" s="129">
        <f>VLOOKUP($C860,'2021-22 School Level AAFTE'!$C:$Z,11,FALSE)</f>
        <v>0.49416666666666664</v>
      </c>
      <c r="F860" s="129" t="str">
        <f>VLOOKUP($C860,'2021-22 School Level AAFTE'!$C:$Z,8,FALSE)</f>
        <v>Yes</v>
      </c>
      <c r="G860" s="129" t="str">
        <f>VLOOKUP($C860,'2021-22 School Level AAFTE'!$C:$Z,12,FALSE)</f>
        <v>No</v>
      </c>
      <c r="H860" s="127">
        <f>VLOOKUP($C860,'2021-22 School Level AAFTE'!$C:$I,7,FALSE)</f>
        <v>839.42</v>
      </c>
      <c r="I860" s="112">
        <f>IFERROR(IF(OR(G860="yes",F860= "yes"),VLOOKUP(C860,Summary!$B:$J,6,0),0),0)</f>
        <v>0</v>
      </c>
      <c r="J860" s="111">
        <f t="shared" si="168"/>
        <v>839.42</v>
      </c>
      <c r="K860" s="91">
        <f>VLOOKUP($A860,'2022-23 Salary &amp; Benefits'!$A:$I,3,FALSE)</f>
        <v>1</v>
      </c>
      <c r="L860" s="91">
        <f>VLOOKUP($A860,'2022-23 Salary &amp; Benefits'!$A:$I,4,FALSE)</f>
        <v>1</v>
      </c>
      <c r="M860" s="101">
        <f t="shared" si="163"/>
        <v>839.42</v>
      </c>
      <c r="N860" s="24">
        <v>15</v>
      </c>
      <c r="O860" s="26">
        <f t="shared" si="166"/>
        <v>55.961333333333329</v>
      </c>
      <c r="P860" s="24">
        <v>1.1000000000000001</v>
      </c>
      <c r="Q860" s="24">
        <v>36</v>
      </c>
      <c r="R860" s="27">
        <f t="shared" si="167"/>
        <v>2216.0688</v>
      </c>
      <c r="S860" s="102">
        <f t="shared" si="169"/>
        <v>2.4620000000000002</v>
      </c>
      <c r="T860" s="21">
        <f>VLOOKUP($A860,'2022-23 Salary &amp; Benefits'!$A:$I,5,FALSE)</f>
        <v>68937</v>
      </c>
      <c r="U860" s="21">
        <f>VLOOKUP($A860,'2022-23 Salary &amp; Benefits'!$A:$I,6,FALSE)</f>
        <v>72728</v>
      </c>
      <c r="V860" s="22">
        <f t="shared" si="170"/>
        <v>169722.89</v>
      </c>
      <c r="W860" s="22">
        <f t="shared" si="171"/>
        <v>9333.4499999999825</v>
      </c>
      <c r="X860" s="22">
        <f>'2022-23 Salary &amp; Benefits'!$G$6</f>
        <v>12558.24</v>
      </c>
      <c r="Y860" s="23">
        <f>'2022-23 Salary &amp; Benefits'!$H$6</f>
        <v>0.2298</v>
      </c>
      <c r="Z860" s="23">
        <f>'2022-23 Salary &amp; Benefits'!$I$6</f>
        <v>0.22339999999999999</v>
      </c>
      <c r="AA860" s="22">
        <f t="shared" si="172"/>
        <v>72005.8</v>
      </c>
      <c r="AB860" s="22">
        <f t="shared" si="173"/>
        <v>2984.27</v>
      </c>
      <c r="AC860" s="22">
        <f t="shared" si="174"/>
        <v>666.69</v>
      </c>
      <c r="AD860" s="22">
        <f t="shared" si="164"/>
        <v>3650.96</v>
      </c>
      <c r="AE860" s="22">
        <f t="shared" si="165"/>
        <v>254713.09999999998</v>
      </c>
      <c r="AF860" s="19" t="str">
        <f>VLOOKUP(C860,'2021-22 School Level AAFTE'!C:N,12,FALSE)</f>
        <v>No</v>
      </c>
    </row>
    <row r="861" spans="1:32" s="19" customFormat="1">
      <c r="A861" s="97" t="s">
        <v>2264</v>
      </c>
      <c r="B861" s="97" t="s">
        <v>33</v>
      </c>
      <c r="C861" s="95">
        <v>5520</v>
      </c>
      <c r="D861" s="95" t="s">
        <v>2793</v>
      </c>
      <c r="E861" s="129">
        <f>VLOOKUP($C861,'2021-22 School Level AAFTE'!$C:$Z,11,FALSE)</f>
        <v>0.23963333333333334</v>
      </c>
      <c r="F861" s="129" t="str">
        <f>VLOOKUP($C861,'2021-22 School Level AAFTE'!$C:$Z,8,FALSE)</f>
        <v>No</v>
      </c>
      <c r="G861" s="129" t="str">
        <f>VLOOKUP($C861,'2021-22 School Level AAFTE'!$C:$Z,12,FALSE)</f>
        <v>No</v>
      </c>
      <c r="H861" s="127">
        <f>VLOOKUP($C861,'2021-22 School Level AAFTE'!$C:$I,7,FALSE)</f>
        <v>744.77</v>
      </c>
      <c r="I861" s="112">
        <f>IFERROR(IF(OR(G861="yes",F861= "yes"),VLOOKUP(C861,Summary!$B:$J,6,0),0),0)</f>
        <v>0</v>
      </c>
      <c r="J861" s="111">
        <f t="shared" si="168"/>
        <v>0</v>
      </c>
      <c r="K861" s="91">
        <f>VLOOKUP($A861,'2022-23 Salary &amp; Benefits'!$A:$I,3,FALSE)</f>
        <v>1</v>
      </c>
      <c r="L861" s="91">
        <f>VLOOKUP($A861,'2022-23 Salary &amp; Benefits'!$A:$I,4,FALSE)</f>
        <v>1</v>
      </c>
      <c r="M861" s="101">
        <f t="shared" si="163"/>
        <v>0</v>
      </c>
      <c r="N861" s="24">
        <v>15</v>
      </c>
      <c r="O861" s="26">
        <f t="shared" si="166"/>
        <v>0</v>
      </c>
      <c r="P861" s="24">
        <v>1.1000000000000001</v>
      </c>
      <c r="Q861" s="24">
        <v>36</v>
      </c>
      <c r="R861" s="27">
        <f t="shared" si="167"/>
        <v>0</v>
      </c>
      <c r="S861" s="102">
        <f t="shared" si="169"/>
        <v>0</v>
      </c>
      <c r="T861" s="21">
        <f>VLOOKUP($A861,'2022-23 Salary &amp; Benefits'!$A:$I,5,FALSE)</f>
        <v>68937</v>
      </c>
      <c r="U861" s="21">
        <f>VLOOKUP($A861,'2022-23 Salary &amp; Benefits'!$A:$I,6,FALSE)</f>
        <v>72728</v>
      </c>
      <c r="V861" s="22">
        <f t="shared" si="170"/>
        <v>0</v>
      </c>
      <c r="W861" s="22">
        <f t="shared" si="171"/>
        <v>0</v>
      </c>
      <c r="X861" s="22">
        <f>'2022-23 Salary &amp; Benefits'!$G$6</f>
        <v>12558.24</v>
      </c>
      <c r="Y861" s="23">
        <f>'2022-23 Salary &amp; Benefits'!$H$6</f>
        <v>0.2298</v>
      </c>
      <c r="Z861" s="23">
        <f>'2022-23 Salary &amp; Benefits'!$I$6</f>
        <v>0.22339999999999999</v>
      </c>
      <c r="AA861" s="22">
        <f t="shared" si="172"/>
        <v>0</v>
      </c>
      <c r="AB861" s="22">
        <f t="shared" si="173"/>
        <v>0</v>
      </c>
      <c r="AC861" s="22">
        <f t="shared" si="174"/>
        <v>0</v>
      </c>
      <c r="AD861" s="22">
        <f t="shared" si="164"/>
        <v>0</v>
      </c>
      <c r="AE861" s="22">
        <f t="shared" si="165"/>
        <v>0</v>
      </c>
      <c r="AF861" s="19" t="str">
        <f>VLOOKUP(C861,'2021-22 School Level AAFTE'!C:N,12,FALSE)</f>
        <v>No</v>
      </c>
    </row>
    <row r="862" spans="1:32" s="19" customFormat="1">
      <c r="A862" s="97" t="s">
        <v>2264</v>
      </c>
      <c r="B862" s="97" t="s">
        <v>33</v>
      </c>
      <c r="C862" s="95">
        <v>5521</v>
      </c>
      <c r="D862" s="95" t="s">
        <v>2794</v>
      </c>
      <c r="E862" s="129">
        <f>VLOOKUP($C862,'2021-22 School Level AAFTE'!$C:$Z,11,FALSE)</f>
        <v>0.65303333333333347</v>
      </c>
      <c r="F862" s="129" t="str">
        <f>VLOOKUP($C862,'2021-22 School Level AAFTE'!$C:$Z,8,FALSE)</f>
        <v>Yes</v>
      </c>
      <c r="G862" s="129" t="str">
        <f>VLOOKUP($C862,'2021-22 School Level AAFTE'!$C:$Z,12,FALSE)</f>
        <v>No</v>
      </c>
      <c r="H862" s="127">
        <f>VLOOKUP($C862,'2021-22 School Level AAFTE'!$C:$I,7,FALSE)</f>
        <v>574.42999999999995</v>
      </c>
      <c r="I862" s="112">
        <f>IFERROR(IF(OR(G862="yes",F862= "yes"),VLOOKUP(C862,Summary!$B:$J,6,0),0),0)</f>
        <v>0</v>
      </c>
      <c r="J862" s="111">
        <f t="shared" si="168"/>
        <v>574.42999999999995</v>
      </c>
      <c r="K862" s="91">
        <f>VLOOKUP($A862,'2022-23 Salary &amp; Benefits'!$A:$I,3,FALSE)</f>
        <v>1</v>
      </c>
      <c r="L862" s="91">
        <f>VLOOKUP($A862,'2022-23 Salary &amp; Benefits'!$A:$I,4,FALSE)</f>
        <v>1</v>
      </c>
      <c r="M862" s="39">
        <f t="shared" si="163"/>
        <v>574.42999999999995</v>
      </c>
      <c r="N862" s="24">
        <v>15</v>
      </c>
      <c r="O862" s="26">
        <f t="shared" si="166"/>
        <v>38.295333333333332</v>
      </c>
      <c r="P862" s="24">
        <v>1.1000000000000001</v>
      </c>
      <c r="Q862" s="24">
        <v>36</v>
      </c>
      <c r="R862" s="27">
        <f t="shared" si="167"/>
        <v>1516.4952000000001</v>
      </c>
      <c r="S862" s="102">
        <f t="shared" si="169"/>
        <v>1.6850000000000001</v>
      </c>
      <c r="T862" s="21">
        <f>VLOOKUP($A862,'2022-23 Salary &amp; Benefits'!$A:$I,5,FALSE)</f>
        <v>68937</v>
      </c>
      <c r="U862" s="21">
        <f>VLOOKUP($A862,'2022-23 Salary &amp; Benefits'!$A:$I,6,FALSE)</f>
        <v>72728</v>
      </c>
      <c r="V862" s="22">
        <f t="shared" si="170"/>
        <v>116158.85</v>
      </c>
      <c r="W862" s="22">
        <f t="shared" si="171"/>
        <v>6387.8299999999872</v>
      </c>
      <c r="X862" s="22">
        <f>'2022-23 Salary &amp; Benefits'!$G$6</f>
        <v>12558.24</v>
      </c>
      <c r="Y862" s="23">
        <f>'2022-23 Salary &amp; Benefits'!$H$6</f>
        <v>0.2298</v>
      </c>
      <c r="Z862" s="23">
        <f>'2022-23 Salary &amp; Benefits'!$I$6</f>
        <v>0.22339999999999999</v>
      </c>
      <c r="AA862" s="22">
        <f t="shared" si="172"/>
        <v>49280.98</v>
      </c>
      <c r="AB862" s="22">
        <f t="shared" si="173"/>
        <v>2042.44</v>
      </c>
      <c r="AC862" s="22">
        <f t="shared" si="174"/>
        <v>456.28</v>
      </c>
      <c r="AD862" s="22">
        <f t="shared" si="164"/>
        <v>2498.7200000000003</v>
      </c>
      <c r="AE862" s="22">
        <f t="shared" si="165"/>
        <v>174326.38</v>
      </c>
      <c r="AF862" s="19" t="str">
        <f>VLOOKUP(C862,'2021-22 School Level AAFTE'!C:N,12,FALSE)</f>
        <v>No</v>
      </c>
    </row>
    <row r="863" spans="1:32" s="19" customFormat="1">
      <c r="A863" s="97" t="s">
        <v>2365</v>
      </c>
      <c r="B863" s="97" t="s">
        <v>939</v>
      </c>
      <c r="C863" s="95">
        <v>1807</v>
      </c>
      <c r="D863" s="95" t="s">
        <v>2785</v>
      </c>
      <c r="E863" s="129">
        <f>VLOOKUP($C863,'2021-22 School Level AAFTE'!$C:$Z,11,FALSE)</f>
        <v>0</v>
      </c>
      <c r="F863" s="129" t="str">
        <f>VLOOKUP($C863,'2021-22 School Level AAFTE'!$C:$Z,8,FALSE)</f>
        <v>No</v>
      </c>
      <c r="G863" s="129" t="str">
        <f>VLOOKUP($C863,'2021-22 School Level AAFTE'!$C:$Z,12,FALSE)</f>
        <v>No</v>
      </c>
      <c r="H863" s="127">
        <f>VLOOKUP($C863,'2021-22 School Level AAFTE'!$C:$I,7,FALSE)</f>
        <v>5.71</v>
      </c>
      <c r="I863" s="112">
        <f>IFERROR(IF(OR(G863="yes",F863= "yes"),VLOOKUP(C863,Summary!$B:$J,6,0),0),0)</f>
        <v>0</v>
      </c>
      <c r="J863" s="111">
        <f t="shared" si="168"/>
        <v>0</v>
      </c>
      <c r="K863" s="91">
        <f>VLOOKUP($A863,'2022-23 Salary &amp; Benefits'!$A:$I,3,FALSE)</f>
        <v>1.18</v>
      </c>
      <c r="L863" s="91">
        <f>VLOOKUP($A863,'2022-23 Salary &amp; Benefits'!$A:$I,4,FALSE)</f>
        <v>1.18</v>
      </c>
      <c r="M863" s="39">
        <f t="shared" si="163"/>
        <v>0</v>
      </c>
      <c r="N863" s="24">
        <v>15</v>
      </c>
      <c r="O863" s="26">
        <f t="shared" si="166"/>
        <v>0</v>
      </c>
      <c r="P863" s="24">
        <v>1.1000000000000001</v>
      </c>
      <c r="Q863" s="24">
        <v>36</v>
      </c>
      <c r="R863" s="27">
        <f t="shared" si="167"/>
        <v>0</v>
      </c>
      <c r="S863" s="102">
        <f t="shared" si="169"/>
        <v>0</v>
      </c>
      <c r="T863" s="21">
        <f>VLOOKUP($A863,'2022-23 Salary &amp; Benefits'!$A:$I,5,FALSE)</f>
        <v>68937</v>
      </c>
      <c r="U863" s="21">
        <f>VLOOKUP($A863,'2022-23 Salary &amp; Benefits'!$A:$I,6,FALSE)</f>
        <v>72728</v>
      </c>
      <c r="V863" s="22">
        <f t="shared" si="170"/>
        <v>0</v>
      </c>
      <c r="W863" s="22">
        <f t="shared" si="171"/>
        <v>0</v>
      </c>
      <c r="X863" s="22">
        <f>'2022-23 Salary &amp; Benefits'!$G$6</f>
        <v>12558.24</v>
      </c>
      <c r="Y863" s="23">
        <f>'2022-23 Salary &amp; Benefits'!$H$6</f>
        <v>0.2298</v>
      </c>
      <c r="Z863" s="23">
        <f>'2022-23 Salary &amp; Benefits'!$I$6</f>
        <v>0.22339999999999999</v>
      </c>
      <c r="AA863" s="22">
        <f t="shared" si="172"/>
        <v>0</v>
      </c>
      <c r="AB863" s="22">
        <f t="shared" si="173"/>
        <v>0</v>
      </c>
      <c r="AC863" s="22">
        <f t="shared" si="174"/>
        <v>0</v>
      </c>
      <c r="AD863" s="22">
        <f t="shared" si="164"/>
        <v>0</v>
      </c>
      <c r="AE863" s="22">
        <f t="shared" si="165"/>
        <v>0</v>
      </c>
      <c r="AF863" s="19" t="str">
        <f>VLOOKUP(C863,'2021-22 School Level AAFTE'!C:N,12,FALSE)</f>
        <v>No</v>
      </c>
    </row>
    <row r="864" spans="1:32" s="19" customFormat="1">
      <c r="A864" s="97" t="s">
        <v>2365</v>
      </c>
      <c r="B864" s="97" t="s">
        <v>939</v>
      </c>
      <c r="C864" s="95">
        <v>2565</v>
      </c>
      <c r="D864" s="95" t="s">
        <v>940</v>
      </c>
      <c r="E864" s="129">
        <f>VLOOKUP($C864,'2021-22 School Level AAFTE'!$C:$Z,11,FALSE)</f>
        <v>0.45433333333333331</v>
      </c>
      <c r="F864" s="129" t="str">
        <f>VLOOKUP($C864,'2021-22 School Level AAFTE'!$C:$Z,8,FALSE)</f>
        <v>No</v>
      </c>
      <c r="G864" s="129" t="str">
        <f>VLOOKUP($C864,'2021-22 School Level AAFTE'!$C:$Z,12,FALSE)</f>
        <v>No</v>
      </c>
      <c r="H864" s="127">
        <f>VLOOKUP($C864,'2021-22 School Level AAFTE'!$C:$I,7,FALSE)</f>
        <v>494.45</v>
      </c>
      <c r="I864" s="112">
        <f>IFERROR(IF(OR(G864="yes",F864= "yes"),VLOOKUP(C864,Summary!$B:$J,6,0),0),0)</f>
        <v>0</v>
      </c>
      <c r="J864" s="111">
        <f t="shared" si="168"/>
        <v>0</v>
      </c>
      <c r="K864" s="91">
        <f>VLOOKUP($A864,'2022-23 Salary &amp; Benefits'!$A:$I,3,FALSE)</f>
        <v>1.18</v>
      </c>
      <c r="L864" s="91">
        <f>VLOOKUP($A864,'2022-23 Salary &amp; Benefits'!$A:$I,4,FALSE)</f>
        <v>1.18</v>
      </c>
      <c r="M864" s="39">
        <f t="shared" si="163"/>
        <v>0</v>
      </c>
      <c r="N864" s="24">
        <v>15</v>
      </c>
      <c r="O864" s="26">
        <f t="shared" si="166"/>
        <v>0</v>
      </c>
      <c r="P864" s="24">
        <v>1.1000000000000001</v>
      </c>
      <c r="Q864" s="24">
        <v>36</v>
      </c>
      <c r="R864" s="27">
        <f t="shared" si="167"/>
        <v>0</v>
      </c>
      <c r="S864" s="102">
        <f t="shared" si="169"/>
        <v>0</v>
      </c>
      <c r="T864" s="21">
        <f>VLOOKUP($A864,'2022-23 Salary &amp; Benefits'!$A:$I,5,FALSE)</f>
        <v>68937</v>
      </c>
      <c r="U864" s="21">
        <f>VLOOKUP($A864,'2022-23 Salary &amp; Benefits'!$A:$I,6,FALSE)</f>
        <v>72728</v>
      </c>
      <c r="V864" s="22">
        <f t="shared" si="170"/>
        <v>0</v>
      </c>
      <c r="W864" s="22">
        <f t="shared" si="171"/>
        <v>0</v>
      </c>
      <c r="X864" s="22">
        <f>'2022-23 Salary &amp; Benefits'!$G$6</f>
        <v>12558.24</v>
      </c>
      <c r="Y864" s="23">
        <f>'2022-23 Salary &amp; Benefits'!$H$6</f>
        <v>0.2298</v>
      </c>
      <c r="Z864" s="23">
        <f>'2022-23 Salary &amp; Benefits'!$I$6</f>
        <v>0.22339999999999999</v>
      </c>
      <c r="AA864" s="22">
        <f t="shared" si="172"/>
        <v>0</v>
      </c>
      <c r="AB864" s="22">
        <f t="shared" si="173"/>
        <v>0</v>
      </c>
      <c r="AC864" s="22">
        <f t="shared" si="174"/>
        <v>0</v>
      </c>
      <c r="AD864" s="22">
        <f t="shared" si="164"/>
        <v>0</v>
      </c>
      <c r="AE864" s="22">
        <f t="shared" si="165"/>
        <v>0</v>
      </c>
      <c r="AF864" s="19" t="str">
        <f>VLOOKUP(C864,'2021-22 School Level AAFTE'!C:N,12,FALSE)</f>
        <v>No</v>
      </c>
    </row>
    <row r="865" spans="1:32" s="19" customFormat="1">
      <c r="A865" s="97" t="s">
        <v>2365</v>
      </c>
      <c r="B865" s="97" t="s">
        <v>939</v>
      </c>
      <c r="C865" s="95">
        <v>2797</v>
      </c>
      <c r="D865" s="95" t="s">
        <v>941</v>
      </c>
      <c r="E865" s="129">
        <f>VLOOKUP($C865,'2021-22 School Level AAFTE'!$C:$Z,11,FALSE)</f>
        <v>0.70546666666666669</v>
      </c>
      <c r="F865" s="129" t="str">
        <f>VLOOKUP($C865,'2021-22 School Level AAFTE'!$C:$Z,8,FALSE)</f>
        <v>Yes</v>
      </c>
      <c r="G865" s="129" t="str">
        <f>VLOOKUP($C865,'2021-22 School Level AAFTE'!$C:$Z,12,FALSE)</f>
        <v>No</v>
      </c>
      <c r="H865" s="127">
        <f>VLOOKUP($C865,'2021-22 School Level AAFTE'!$C:$I,7,FALSE)</f>
        <v>2036.95</v>
      </c>
      <c r="I865" s="112">
        <f>IFERROR(IF(OR(G865="yes",F865= "yes"),VLOOKUP(C865,Summary!$B:$J,6,0),0),0)</f>
        <v>0</v>
      </c>
      <c r="J865" s="111">
        <f t="shared" si="168"/>
        <v>2036.95</v>
      </c>
      <c r="K865" s="91">
        <f>VLOOKUP($A865,'2022-23 Salary &amp; Benefits'!$A:$I,3,FALSE)</f>
        <v>1.18</v>
      </c>
      <c r="L865" s="91">
        <f>VLOOKUP($A865,'2022-23 Salary &amp; Benefits'!$A:$I,4,FALSE)</f>
        <v>1.18</v>
      </c>
      <c r="M865" s="39">
        <f t="shared" si="163"/>
        <v>2036.95</v>
      </c>
      <c r="N865" s="24">
        <v>15</v>
      </c>
      <c r="O865" s="26">
        <f t="shared" si="166"/>
        <v>135.79666666666668</v>
      </c>
      <c r="P865" s="24">
        <v>1.1000000000000001</v>
      </c>
      <c r="Q865" s="24">
        <v>36</v>
      </c>
      <c r="R865" s="27">
        <f t="shared" si="167"/>
        <v>5377.5480000000007</v>
      </c>
      <c r="S865" s="102">
        <f t="shared" si="169"/>
        <v>5.9749999999999996</v>
      </c>
      <c r="T865" s="21">
        <f>VLOOKUP($A865,'2022-23 Salary &amp; Benefits'!$A:$I,5,FALSE)</f>
        <v>68937</v>
      </c>
      <c r="U865" s="21">
        <f>VLOOKUP($A865,'2022-23 Salary &amp; Benefits'!$A:$I,6,FALSE)</f>
        <v>72728</v>
      </c>
      <c r="V865" s="22">
        <f t="shared" si="170"/>
        <v>486040.32000000001</v>
      </c>
      <c r="W865" s="22">
        <f t="shared" si="171"/>
        <v>26728.440000000002</v>
      </c>
      <c r="X865" s="22">
        <f>'2022-23 Salary &amp; Benefits'!$G$6</f>
        <v>12558.24</v>
      </c>
      <c r="Y865" s="23">
        <f>'2022-23 Salary &amp; Benefits'!$H$6</f>
        <v>0.2298</v>
      </c>
      <c r="Z865" s="23">
        <f>'2022-23 Salary &amp; Benefits'!$I$6</f>
        <v>0.22339999999999999</v>
      </c>
      <c r="AA865" s="22">
        <f t="shared" si="172"/>
        <v>192698.68</v>
      </c>
      <c r="AB865" s="22">
        <f t="shared" si="173"/>
        <v>8546.15</v>
      </c>
      <c r="AC865" s="22">
        <f t="shared" si="174"/>
        <v>1909.21</v>
      </c>
      <c r="AD865" s="22">
        <f t="shared" si="164"/>
        <v>10455.36</v>
      </c>
      <c r="AE865" s="22">
        <f t="shared" si="165"/>
        <v>715922.79999999993</v>
      </c>
      <c r="AF865" s="19" t="str">
        <f>VLOOKUP(C865,'2021-22 School Level AAFTE'!C:N,12,FALSE)</f>
        <v>No</v>
      </c>
    </row>
    <row r="866" spans="1:32" s="19" customFormat="1">
      <c r="A866" s="97" t="s">
        <v>2365</v>
      </c>
      <c r="B866" s="97" t="s">
        <v>939</v>
      </c>
      <c r="C866" s="95">
        <v>2851</v>
      </c>
      <c r="D866" s="95" t="s">
        <v>942</v>
      </c>
      <c r="E866" s="129">
        <f>VLOOKUP($C866,'2021-22 School Level AAFTE'!$C:$Z,11,FALSE)</f>
        <v>0.73563333333333336</v>
      </c>
      <c r="F866" s="129" t="str">
        <f>VLOOKUP($C866,'2021-22 School Level AAFTE'!$C:$Z,8,FALSE)</f>
        <v>Yes</v>
      </c>
      <c r="G866" s="129" t="str">
        <f>VLOOKUP($C866,'2021-22 School Level AAFTE'!$C:$Z,12,FALSE)</f>
        <v>No</v>
      </c>
      <c r="H866" s="127">
        <f>VLOOKUP($C866,'2021-22 School Level AAFTE'!$C:$I,7,FALSE)</f>
        <v>458.14</v>
      </c>
      <c r="I866" s="112">
        <f>IFERROR(IF(OR(G866="yes",F866= "yes"),VLOOKUP(C866,Summary!$B:$J,6,0),0),0)</f>
        <v>0</v>
      </c>
      <c r="J866" s="111">
        <f t="shared" si="168"/>
        <v>458.14</v>
      </c>
      <c r="K866" s="91">
        <f>VLOOKUP($A866,'2022-23 Salary &amp; Benefits'!$A:$I,3,FALSE)</f>
        <v>1.18</v>
      </c>
      <c r="L866" s="91">
        <f>VLOOKUP($A866,'2022-23 Salary &amp; Benefits'!$A:$I,4,FALSE)</f>
        <v>1.18</v>
      </c>
      <c r="M866" s="39">
        <f t="shared" si="163"/>
        <v>458.14</v>
      </c>
      <c r="N866" s="24">
        <v>15</v>
      </c>
      <c r="O866" s="26">
        <f t="shared" si="166"/>
        <v>30.542666666666666</v>
      </c>
      <c r="P866" s="24">
        <v>1.1000000000000001</v>
      </c>
      <c r="Q866" s="24">
        <v>36</v>
      </c>
      <c r="R866" s="27">
        <f t="shared" si="167"/>
        <v>1209.4895999999999</v>
      </c>
      <c r="S866" s="102">
        <f t="shared" si="169"/>
        <v>1.3440000000000001</v>
      </c>
      <c r="T866" s="21">
        <f>VLOOKUP($A866,'2022-23 Salary &amp; Benefits'!$A:$I,5,FALSE)</f>
        <v>68937</v>
      </c>
      <c r="U866" s="21">
        <f>VLOOKUP($A866,'2022-23 Salary &amp; Benefits'!$A:$I,6,FALSE)</f>
        <v>72728</v>
      </c>
      <c r="V866" s="22">
        <f t="shared" si="170"/>
        <v>109328.57</v>
      </c>
      <c r="W866" s="22">
        <f t="shared" si="171"/>
        <v>6012.2199999999866</v>
      </c>
      <c r="X866" s="22">
        <f>'2022-23 Salary &amp; Benefits'!$G$6</f>
        <v>12558.24</v>
      </c>
      <c r="Y866" s="23">
        <f>'2022-23 Salary &amp; Benefits'!$H$6</f>
        <v>0.2298</v>
      </c>
      <c r="Z866" s="23">
        <f>'2022-23 Salary &amp; Benefits'!$I$6</f>
        <v>0.22339999999999999</v>
      </c>
      <c r="AA866" s="22">
        <f t="shared" si="172"/>
        <v>43345.11</v>
      </c>
      <c r="AB866" s="22">
        <f t="shared" si="173"/>
        <v>1922.35</v>
      </c>
      <c r="AC866" s="22">
        <f t="shared" si="174"/>
        <v>429.45</v>
      </c>
      <c r="AD866" s="22">
        <f t="shared" si="164"/>
        <v>2351.7999999999997</v>
      </c>
      <c r="AE866" s="22">
        <f t="shared" si="165"/>
        <v>161037.69999999995</v>
      </c>
      <c r="AF866" s="19" t="str">
        <f>VLOOKUP(C866,'2021-22 School Level AAFTE'!C:N,12,FALSE)</f>
        <v>No</v>
      </c>
    </row>
    <row r="867" spans="1:32" s="19" customFormat="1">
      <c r="A867" s="97" t="s">
        <v>2365</v>
      </c>
      <c r="B867" s="97" t="s">
        <v>939</v>
      </c>
      <c r="C867" s="95">
        <v>3233</v>
      </c>
      <c r="D867" s="95" t="s">
        <v>943</v>
      </c>
      <c r="E867" s="129">
        <f>VLOOKUP($C867,'2021-22 School Level AAFTE'!$C:$Z,11,FALSE)</f>
        <v>0.57423333333333337</v>
      </c>
      <c r="F867" s="129" t="str">
        <f>VLOOKUP($C867,'2021-22 School Level AAFTE'!$C:$Z,8,FALSE)</f>
        <v>Yes</v>
      </c>
      <c r="G867" s="129" t="str">
        <f>VLOOKUP($C867,'2021-22 School Level AAFTE'!$C:$Z,12,FALSE)</f>
        <v>No</v>
      </c>
      <c r="H867" s="127">
        <f>VLOOKUP($C867,'2021-22 School Level AAFTE'!$C:$I,7,FALSE)</f>
        <v>567.30999999999995</v>
      </c>
      <c r="I867" s="112">
        <f>IFERROR(IF(OR(G867="yes",F867= "yes"),VLOOKUP(C867,Summary!$B:$J,6,0),0),0)</f>
        <v>0</v>
      </c>
      <c r="J867" s="111">
        <f t="shared" si="168"/>
        <v>567.30999999999995</v>
      </c>
      <c r="K867" s="91">
        <f>VLOOKUP($A867,'2022-23 Salary &amp; Benefits'!$A:$I,3,FALSE)</f>
        <v>1.18</v>
      </c>
      <c r="L867" s="91">
        <f>VLOOKUP($A867,'2022-23 Salary &amp; Benefits'!$A:$I,4,FALSE)</f>
        <v>1.18</v>
      </c>
      <c r="M867" s="39">
        <f t="shared" si="163"/>
        <v>567.30999999999995</v>
      </c>
      <c r="N867" s="24">
        <v>15</v>
      </c>
      <c r="O867" s="26">
        <f t="shared" si="166"/>
        <v>37.820666666666661</v>
      </c>
      <c r="P867" s="24">
        <v>1.1000000000000001</v>
      </c>
      <c r="Q867" s="24">
        <v>36</v>
      </c>
      <c r="R867" s="27">
        <f t="shared" si="167"/>
        <v>1497.6984</v>
      </c>
      <c r="S867" s="102">
        <f t="shared" si="169"/>
        <v>1.6639999999999999</v>
      </c>
      <c r="T867" s="21">
        <f>VLOOKUP($A867,'2022-23 Salary &amp; Benefits'!$A:$I,5,FALSE)</f>
        <v>68937</v>
      </c>
      <c r="U867" s="21">
        <f>VLOOKUP($A867,'2022-23 Salary &amp; Benefits'!$A:$I,6,FALSE)</f>
        <v>72728</v>
      </c>
      <c r="V867" s="22">
        <f t="shared" si="170"/>
        <v>135359.18</v>
      </c>
      <c r="W867" s="22">
        <f t="shared" si="171"/>
        <v>7443.7000000000116</v>
      </c>
      <c r="X867" s="22">
        <f>'2022-23 Salary &amp; Benefits'!$G$6</f>
        <v>12558.24</v>
      </c>
      <c r="Y867" s="23">
        <f>'2022-23 Salary &amp; Benefits'!$H$6</f>
        <v>0.2298</v>
      </c>
      <c r="Z867" s="23">
        <f>'2022-23 Salary &amp; Benefits'!$I$6</f>
        <v>0.22339999999999999</v>
      </c>
      <c r="AA867" s="22">
        <f t="shared" si="172"/>
        <v>53665.37</v>
      </c>
      <c r="AB867" s="22">
        <f t="shared" si="173"/>
        <v>2380.0500000000002</v>
      </c>
      <c r="AC867" s="22">
        <f t="shared" si="174"/>
        <v>531.70000000000005</v>
      </c>
      <c r="AD867" s="22">
        <f t="shared" si="164"/>
        <v>2911.75</v>
      </c>
      <c r="AE867" s="22">
        <f t="shared" si="165"/>
        <v>199380</v>
      </c>
      <c r="AF867" s="19" t="str">
        <f>VLOOKUP(C867,'2021-22 School Level AAFTE'!C:N,12,FALSE)</f>
        <v>No</v>
      </c>
    </row>
    <row r="868" spans="1:32" s="19" customFormat="1">
      <c r="A868" s="97" t="s">
        <v>2365</v>
      </c>
      <c r="B868" s="97" t="s">
        <v>939</v>
      </c>
      <c r="C868" s="95">
        <v>3388</v>
      </c>
      <c r="D868" s="95" t="s">
        <v>944</v>
      </c>
      <c r="E868" s="129">
        <f>VLOOKUP($C868,'2021-22 School Level AAFTE'!$C:$Z,11,FALSE)</f>
        <v>0.50436666666666674</v>
      </c>
      <c r="F868" s="129" t="str">
        <f>VLOOKUP($C868,'2021-22 School Level AAFTE'!$C:$Z,8,FALSE)</f>
        <v>Yes</v>
      </c>
      <c r="G868" s="129" t="str">
        <f>VLOOKUP($C868,'2021-22 School Level AAFTE'!$C:$Z,12,FALSE)</f>
        <v>No</v>
      </c>
      <c r="H868" s="127">
        <f>VLOOKUP($C868,'2021-22 School Level AAFTE'!$C:$I,7,FALSE)</f>
        <v>601.86</v>
      </c>
      <c r="I868" s="112">
        <f>IFERROR(IF(OR(G868="yes",F868= "yes"),VLOOKUP(C868,Summary!$B:$J,6,0),0),0)</f>
        <v>0</v>
      </c>
      <c r="J868" s="111">
        <f t="shared" si="168"/>
        <v>601.86</v>
      </c>
      <c r="K868" s="91">
        <f>VLOOKUP($A868,'2022-23 Salary &amp; Benefits'!$A:$I,3,FALSE)</f>
        <v>1.18</v>
      </c>
      <c r="L868" s="91">
        <f>VLOOKUP($A868,'2022-23 Salary &amp; Benefits'!$A:$I,4,FALSE)</f>
        <v>1.18</v>
      </c>
      <c r="M868" s="39">
        <f t="shared" si="163"/>
        <v>601.86</v>
      </c>
      <c r="N868" s="24">
        <v>15</v>
      </c>
      <c r="O868" s="26">
        <f t="shared" si="166"/>
        <v>40.124000000000002</v>
      </c>
      <c r="P868" s="24">
        <v>1.1000000000000001</v>
      </c>
      <c r="Q868" s="24">
        <v>36</v>
      </c>
      <c r="R868" s="27">
        <f t="shared" si="167"/>
        <v>1588.9104000000002</v>
      </c>
      <c r="S868" s="102">
        <f t="shared" si="169"/>
        <v>1.7649999999999999</v>
      </c>
      <c r="T868" s="21">
        <f>VLOOKUP($A868,'2022-23 Salary &amp; Benefits'!$A:$I,5,FALSE)</f>
        <v>68937</v>
      </c>
      <c r="U868" s="21">
        <f>VLOOKUP($A868,'2022-23 Salary &amp; Benefits'!$A:$I,6,FALSE)</f>
        <v>72728</v>
      </c>
      <c r="V868" s="22">
        <f t="shared" si="170"/>
        <v>143575.09</v>
      </c>
      <c r="W868" s="22">
        <f t="shared" si="171"/>
        <v>7895.5199999999895</v>
      </c>
      <c r="X868" s="22">
        <f>'2022-23 Salary &amp; Benefits'!$G$6</f>
        <v>12558.24</v>
      </c>
      <c r="Y868" s="23">
        <f>'2022-23 Salary &amp; Benefits'!$H$6</f>
        <v>0.2298</v>
      </c>
      <c r="Z868" s="23">
        <f>'2022-23 Salary &amp; Benefits'!$I$6</f>
        <v>0.22339999999999999</v>
      </c>
      <c r="AA868" s="22">
        <f t="shared" si="172"/>
        <v>56922.71</v>
      </c>
      <c r="AB868" s="22">
        <f t="shared" si="173"/>
        <v>2524.5100000000002</v>
      </c>
      <c r="AC868" s="22">
        <f t="shared" si="174"/>
        <v>563.98</v>
      </c>
      <c r="AD868" s="22">
        <f t="shared" si="164"/>
        <v>3088.4900000000002</v>
      </c>
      <c r="AE868" s="22">
        <f t="shared" si="165"/>
        <v>211481.80999999997</v>
      </c>
      <c r="AF868" s="19" t="str">
        <f>VLOOKUP(C868,'2021-22 School Level AAFTE'!C:N,12,FALSE)</f>
        <v>No</v>
      </c>
    </row>
    <row r="869" spans="1:32" s="19" customFormat="1">
      <c r="A869" s="97" t="s">
        <v>2365</v>
      </c>
      <c r="B869" s="97" t="s">
        <v>939</v>
      </c>
      <c r="C869" s="95">
        <v>3389</v>
      </c>
      <c r="D869" s="95" t="s">
        <v>945</v>
      </c>
      <c r="E869" s="129">
        <f>VLOOKUP($C869,'2021-22 School Level AAFTE'!$C:$Z,11,FALSE)</f>
        <v>0.76716666666666666</v>
      </c>
      <c r="F869" s="129" t="str">
        <f>VLOOKUP($C869,'2021-22 School Level AAFTE'!$C:$Z,8,FALSE)</f>
        <v>Yes</v>
      </c>
      <c r="G869" s="129" t="str">
        <f>VLOOKUP($C869,'2021-22 School Level AAFTE'!$C:$Z,12,FALSE)</f>
        <v>No</v>
      </c>
      <c r="H869" s="127">
        <f>VLOOKUP($C869,'2021-22 School Level AAFTE'!$C:$I,7,FALSE)</f>
        <v>547.29</v>
      </c>
      <c r="I869" s="112">
        <f>IFERROR(IF(OR(G869="yes",F869= "yes"),VLOOKUP(C869,Summary!$B:$J,6,0),0),0)</f>
        <v>0</v>
      </c>
      <c r="J869" s="111">
        <f t="shared" si="168"/>
        <v>547.29</v>
      </c>
      <c r="K869" s="91">
        <f>VLOOKUP($A869,'2022-23 Salary &amp; Benefits'!$A:$I,3,FALSE)</f>
        <v>1.18</v>
      </c>
      <c r="L869" s="91">
        <f>VLOOKUP($A869,'2022-23 Salary &amp; Benefits'!$A:$I,4,FALSE)</f>
        <v>1.18</v>
      </c>
      <c r="M869" s="39">
        <f t="shared" si="163"/>
        <v>547.29</v>
      </c>
      <c r="N869" s="24">
        <v>15</v>
      </c>
      <c r="O869" s="26">
        <f t="shared" si="166"/>
        <v>36.485999999999997</v>
      </c>
      <c r="P869" s="24">
        <v>1.1000000000000001</v>
      </c>
      <c r="Q869" s="24">
        <v>36</v>
      </c>
      <c r="R869" s="27">
        <f t="shared" si="167"/>
        <v>1444.8455999999999</v>
      </c>
      <c r="S869" s="102">
        <f t="shared" si="169"/>
        <v>1.605</v>
      </c>
      <c r="T869" s="21">
        <f>VLOOKUP($A869,'2022-23 Salary &amp; Benefits'!$A:$I,5,FALSE)</f>
        <v>68937</v>
      </c>
      <c r="U869" s="21">
        <f>VLOOKUP($A869,'2022-23 Salary &amp; Benefits'!$A:$I,6,FALSE)</f>
        <v>72728</v>
      </c>
      <c r="V869" s="22">
        <f t="shared" si="170"/>
        <v>130559.78</v>
      </c>
      <c r="W869" s="22">
        <f t="shared" si="171"/>
        <v>7179.7799999999988</v>
      </c>
      <c r="X869" s="22">
        <f>'2022-23 Salary &amp; Benefits'!$G$6</f>
        <v>12558.24</v>
      </c>
      <c r="Y869" s="23">
        <f>'2022-23 Salary &amp; Benefits'!$H$6</f>
        <v>0.2298</v>
      </c>
      <c r="Z869" s="23">
        <f>'2022-23 Salary &amp; Benefits'!$I$6</f>
        <v>0.22339999999999999</v>
      </c>
      <c r="AA869" s="22">
        <f t="shared" si="172"/>
        <v>51762.58</v>
      </c>
      <c r="AB869" s="22">
        <f t="shared" si="173"/>
        <v>2295.66</v>
      </c>
      <c r="AC869" s="22">
        <f t="shared" si="174"/>
        <v>512.85</v>
      </c>
      <c r="AD869" s="22">
        <f t="shared" si="164"/>
        <v>2808.5099999999998</v>
      </c>
      <c r="AE869" s="22">
        <f t="shared" si="165"/>
        <v>192310.65</v>
      </c>
      <c r="AF869" s="19" t="str">
        <f>VLOOKUP(C869,'2021-22 School Level AAFTE'!C:N,12,FALSE)</f>
        <v>No</v>
      </c>
    </row>
    <row r="870" spans="1:32" s="19" customFormat="1">
      <c r="A870" s="97" t="s">
        <v>2365</v>
      </c>
      <c r="B870" s="97" t="s">
        <v>939</v>
      </c>
      <c r="C870" s="95">
        <v>3491</v>
      </c>
      <c r="D870" s="95" t="s">
        <v>946</v>
      </c>
      <c r="E870" s="129">
        <f>VLOOKUP($C870,'2021-22 School Level AAFTE'!$C:$Z,11,FALSE)</f>
        <v>0.67266666666666675</v>
      </c>
      <c r="F870" s="129" t="str">
        <f>VLOOKUP($C870,'2021-22 School Level AAFTE'!$C:$Z,8,FALSE)</f>
        <v>Yes</v>
      </c>
      <c r="G870" s="129" t="str">
        <f>VLOOKUP($C870,'2021-22 School Level AAFTE'!$C:$Z,12,FALSE)</f>
        <v>No</v>
      </c>
      <c r="H870" s="127">
        <f>VLOOKUP($C870,'2021-22 School Level AAFTE'!$C:$I,7,FALSE)</f>
        <v>345.65</v>
      </c>
      <c r="I870" s="112">
        <f>IFERROR(IF(OR(G870="yes",F870= "yes"),VLOOKUP(C870,Summary!$B:$J,6,0),0),0)</f>
        <v>0</v>
      </c>
      <c r="J870" s="111">
        <f t="shared" si="168"/>
        <v>345.65</v>
      </c>
      <c r="K870" s="91">
        <f>VLOOKUP($A870,'2022-23 Salary &amp; Benefits'!$A:$I,3,FALSE)</f>
        <v>1.18</v>
      </c>
      <c r="L870" s="91">
        <f>VLOOKUP($A870,'2022-23 Salary &amp; Benefits'!$A:$I,4,FALSE)</f>
        <v>1.18</v>
      </c>
      <c r="M870" s="39">
        <f t="shared" si="163"/>
        <v>345.65</v>
      </c>
      <c r="N870" s="24">
        <v>15</v>
      </c>
      <c r="O870" s="26">
        <f t="shared" si="166"/>
        <v>23.043333333333333</v>
      </c>
      <c r="P870" s="24">
        <v>1.1000000000000001</v>
      </c>
      <c r="Q870" s="24">
        <v>36</v>
      </c>
      <c r="R870" s="27">
        <f t="shared" si="167"/>
        <v>912.51600000000008</v>
      </c>
      <c r="S870" s="102">
        <f t="shared" si="169"/>
        <v>1.014</v>
      </c>
      <c r="T870" s="21">
        <f>VLOOKUP($A870,'2022-23 Salary &amp; Benefits'!$A:$I,5,FALSE)</f>
        <v>68937</v>
      </c>
      <c r="U870" s="21">
        <f>VLOOKUP($A870,'2022-23 Salary &amp; Benefits'!$A:$I,6,FALSE)</f>
        <v>72728</v>
      </c>
      <c r="V870" s="22">
        <f t="shared" si="170"/>
        <v>82484.5</v>
      </c>
      <c r="W870" s="22">
        <f t="shared" si="171"/>
        <v>4536.0099999999948</v>
      </c>
      <c r="X870" s="22">
        <f>'2022-23 Salary &amp; Benefits'!$G$6</f>
        <v>12558.24</v>
      </c>
      <c r="Y870" s="23">
        <f>'2022-23 Salary &amp; Benefits'!$H$6</f>
        <v>0.2298</v>
      </c>
      <c r="Z870" s="23">
        <f>'2022-23 Salary &amp; Benefits'!$I$6</f>
        <v>0.22339999999999999</v>
      </c>
      <c r="AA870" s="22">
        <f t="shared" si="172"/>
        <v>32702.34</v>
      </c>
      <c r="AB870" s="22">
        <f t="shared" si="173"/>
        <v>1450.34</v>
      </c>
      <c r="AC870" s="22">
        <f t="shared" si="174"/>
        <v>324.01</v>
      </c>
      <c r="AD870" s="22">
        <f t="shared" si="164"/>
        <v>1774.35</v>
      </c>
      <c r="AE870" s="22">
        <f t="shared" si="165"/>
        <v>121497.2</v>
      </c>
      <c r="AF870" s="19" t="str">
        <f>VLOOKUP(C870,'2021-22 School Level AAFTE'!C:N,12,FALSE)</f>
        <v>No</v>
      </c>
    </row>
    <row r="871" spans="1:32" s="19" customFormat="1">
      <c r="A871" s="97" t="s">
        <v>2365</v>
      </c>
      <c r="B871" s="97" t="s">
        <v>939</v>
      </c>
      <c r="C871" s="95">
        <v>3550</v>
      </c>
      <c r="D871" s="95" t="s">
        <v>947</v>
      </c>
      <c r="E871" s="129">
        <f>VLOOKUP($C871,'2021-22 School Level AAFTE'!$C:$Z,11,FALSE)</f>
        <v>0.29853333333333332</v>
      </c>
      <c r="F871" s="129" t="str">
        <f>VLOOKUP($C871,'2021-22 School Level AAFTE'!$C:$Z,8,FALSE)</f>
        <v>No</v>
      </c>
      <c r="G871" s="129" t="str">
        <f>VLOOKUP($C871,'2021-22 School Level AAFTE'!$C:$Z,12,FALSE)</f>
        <v>No</v>
      </c>
      <c r="H871" s="127">
        <f>VLOOKUP($C871,'2021-22 School Level AAFTE'!$C:$I,7,FALSE)</f>
        <v>482.24</v>
      </c>
      <c r="I871" s="112">
        <f>IFERROR(IF(OR(G871="yes",F871= "yes"),VLOOKUP(C871,Summary!$B:$J,6,0),0),0)</f>
        <v>0</v>
      </c>
      <c r="J871" s="111">
        <f t="shared" si="168"/>
        <v>0</v>
      </c>
      <c r="K871" s="91">
        <f>VLOOKUP($A871,'2022-23 Salary &amp; Benefits'!$A:$I,3,FALSE)</f>
        <v>1.18</v>
      </c>
      <c r="L871" s="91">
        <f>VLOOKUP($A871,'2022-23 Salary &amp; Benefits'!$A:$I,4,FALSE)</f>
        <v>1.18</v>
      </c>
      <c r="M871" s="39">
        <f t="shared" si="163"/>
        <v>0</v>
      </c>
      <c r="N871" s="24">
        <v>15</v>
      </c>
      <c r="O871" s="26">
        <f t="shared" si="166"/>
        <v>0</v>
      </c>
      <c r="P871" s="24">
        <v>1.1000000000000001</v>
      </c>
      <c r="Q871" s="24">
        <v>36</v>
      </c>
      <c r="R871" s="27">
        <f t="shared" si="167"/>
        <v>0</v>
      </c>
      <c r="S871" s="102">
        <f t="shared" si="169"/>
        <v>0</v>
      </c>
      <c r="T871" s="21">
        <f>VLOOKUP($A871,'2022-23 Salary &amp; Benefits'!$A:$I,5,FALSE)</f>
        <v>68937</v>
      </c>
      <c r="U871" s="21">
        <f>VLOOKUP($A871,'2022-23 Salary &amp; Benefits'!$A:$I,6,FALSE)</f>
        <v>72728</v>
      </c>
      <c r="V871" s="22">
        <f t="shared" si="170"/>
        <v>0</v>
      </c>
      <c r="W871" s="22">
        <f t="shared" si="171"/>
        <v>0</v>
      </c>
      <c r="X871" s="22">
        <f>'2022-23 Salary &amp; Benefits'!$G$6</f>
        <v>12558.24</v>
      </c>
      <c r="Y871" s="23">
        <f>'2022-23 Salary &amp; Benefits'!$H$6</f>
        <v>0.2298</v>
      </c>
      <c r="Z871" s="23">
        <f>'2022-23 Salary &amp; Benefits'!$I$6</f>
        <v>0.22339999999999999</v>
      </c>
      <c r="AA871" s="22">
        <f t="shared" si="172"/>
        <v>0</v>
      </c>
      <c r="AB871" s="22">
        <f t="shared" si="173"/>
        <v>0</v>
      </c>
      <c r="AC871" s="22">
        <f t="shared" si="174"/>
        <v>0</v>
      </c>
      <c r="AD871" s="22">
        <f t="shared" si="164"/>
        <v>0</v>
      </c>
      <c r="AE871" s="22">
        <f t="shared" si="165"/>
        <v>0</v>
      </c>
      <c r="AF871" s="19" t="str">
        <f>VLOOKUP(C871,'2021-22 School Level AAFTE'!C:N,12,FALSE)</f>
        <v>No</v>
      </c>
    </row>
    <row r="872" spans="1:32" s="19" customFormat="1">
      <c r="A872" s="97" t="s">
        <v>2365</v>
      </c>
      <c r="B872" s="97" t="s">
        <v>939</v>
      </c>
      <c r="C872" s="95">
        <v>3593</v>
      </c>
      <c r="D872" s="95" t="s">
        <v>948</v>
      </c>
      <c r="E872" s="129">
        <f>VLOOKUP($C872,'2021-22 School Level AAFTE'!$C:$Z,11,FALSE)</f>
        <v>0.69793333333333329</v>
      </c>
      <c r="F872" s="129" t="str">
        <f>VLOOKUP($C872,'2021-22 School Level AAFTE'!$C:$Z,8,FALSE)</f>
        <v>Yes</v>
      </c>
      <c r="G872" s="129" t="str">
        <f>VLOOKUP($C872,'2021-22 School Level AAFTE'!$C:$Z,12,FALSE)</f>
        <v>No</v>
      </c>
      <c r="H872" s="127">
        <f>VLOOKUP($C872,'2021-22 School Level AAFTE'!$C:$I,7,FALSE)</f>
        <v>382.4</v>
      </c>
      <c r="I872" s="112">
        <f>IFERROR(IF(OR(G872="yes",F872= "yes"),VLOOKUP(C872,Summary!$B:$J,6,0),0),0)</f>
        <v>0</v>
      </c>
      <c r="J872" s="111">
        <f t="shared" si="168"/>
        <v>382.4</v>
      </c>
      <c r="K872" s="91">
        <f>VLOOKUP($A872,'2022-23 Salary &amp; Benefits'!$A:$I,3,FALSE)</f>
        <v>1.18</v>
      </c>
      <c r="L872" s="91">
        <f>VLOOKUP($A872,'2022-23 Salary &amp; Benefits'!$A:$I,4,FALSE)</f>
        <v>1.18</v>
      </c>
      <c r="M872" s="39">
        <f t="shared" si="163"/>
        <v>382.4</v>
      </c>
      <c r="N872" s="24">
        <v>15</v>
      </c>
      <c r="O872" s="26">
        <f t="shared" si="166"/>
        <v>25.493333333333332</v>
      </c>
      <c r="P872" s="24">
        <v>1.1000000000000001</v>
      </c>
      <c r="Q872" s="24">
        <v>36</v>
      </c>
      <c r="R872" s="27">
        <f t="shared" si="167"/>
        <v>1009.5360000000001</v>
      </c>
      <c r="S872" s="102">
        <f t="shared" si="169"/>
        <v>1.1220000000000001</v>
      </c>
      <c r="T872" s="21">
        <f>VLOOKUP($A872,'2022-23 Salary &amp; Benefits'!$A:$I,5,FALSE)</f>
        <v>68937</v>
      </c>
      <c r="U872" s="21">
        <f>VLOOKUP($A872,'2022-23 Salary &amp; Benefits'!$A:$I,6,FALSE)</f>
        <v>72728</v>
      </c>
      <c r="V872" s="22">
        <f t="shared" si="170"/>
        <v>91269.83</v>
      </c>
      <c r="W872" s="22">
        <f t="shared" si="171"/>
        <v>5019.1300000000047</v>
      </c>
      <c r="X872" s="22">
        <f>'2022-23 Salary &amp; Benefits'!$G$6</f>
        <v>12558.24</v>
      </c>
      <c r="Y872" s="23">
        <f>'2022-23 Salary &amp; Benefits'!$H$6</f>
        <v>0.2298</v>
      </c>
      <c r="Z872" s="23">
        <f>'2022-23 Salary &amp; Benefits'!$I$6</f>
        <v>0.22339999999999999</v>
      </c>
      <c r="AA872" s="22">
        <f t="shared" si="172"/>
        <v>36185.43</v>
      </c>
      <c r="AB872" s="22">
        <f t="shared" si="173"/>
        <v>1604.82</v>
      </c>
      <c r="AC872" s="22">
        <f t="shared" si="174"/>
        <v>358.52</v>
      </c>
      <c r="AD872" s="22">
        <f t="shared" si="164"/>
        <v>1963.34</v>
      </c>
      <c r="AE872" s="22">
        <f t="shared" si="165"/>
        <v>134437.73000000001</v>
      </c>
      <c r="AF872" s="19" t="str">
        <f>VLOOKUP(C872,'2021-22 School Level AAFTE'!C:N,12,FALSE)</f>
        <v>No</v>
      </c>
    </row>
    <row r="873" spans="1:32" s="19" customFormat="1">
      <c r="A873" s="97" t="s">
        <v>2365</v>
      </c>
      <c r="B873" s="97" t="s">
        <v>939</v>
      </c>
      <c r="C873" s="95">
        <v>3640</v>
      </c>
      <c r="D873" s="95" t="s">
        <v>949</v>
      </c>
      <c r="E873" s="129">
        <f>VLOOKUP($C873,'2021-22 School Level AAFTE'!$C:$Z,11,FALSE)</f>
        <v>0.33706666666666663</v>
      </c>
      <c r="F873" s="129" t="str">
        <f>VLOOKUP($C873,'2021-22 School Level AAFTE'!$C:$Z,8,FALSE)</f>
        <v>No</v>
      </c>
      <c r="G873" s="129" t="str">
        <f>VLOOKUP($C873,'2021-22 School Level AAFTE'!$C:$Z,12,FALSE)</f>
        <v>No</v>
      </c>
      <c r="H873" s="127">
        <f>VLOOKUP($C873,'2021-22 School Level AAFTE'!$C:$I,7,FALSE)</f>
        <v>2054.69</v>
      </c>
      <c r="I873" s="112">
        <f>IFERROR(IF(OR(G873="yes",F873= "yes"),VLOOKUP(C873,Summary!$B:$J,6,0),0),0)</f>
        <v>0</v>
      </c>
      <c r="J873" s="111">
        <f t="shared" si="168"/>
        <v>0</v>
      </c>
      <c r="K873" s="91">
        <f>VLOOKUP($A873,'2022-23 Salary &amp; Benefits'!$A:$I,3,FALSE)</f>
        <v>1.18</v>
      </c>
      <c r="L873" s="91">
        <f>VLOOKUP($A873,'2022-23 Salary &amp; Benefits'!$A:$I,4,FALSE)</f>
        <v>1.18</v>
      </c>
      <c r="M873" s="39">
        <f t="shared" ref="M873:M933" si="175">IF(I873&gt;0,I873,J873)</f>
        <v>0</v>
      </c>
      <c r="N873" s="24">
        <v>15</v>
      </c>
      <c r="O873" s="26">
        <f t="shared" si="166"/>
        <v>0</v>
      </c>
      <c r="P873" s="24">
        <v>1.1000000000000001</v>
      </c>
      <c r="Q873" s="24">
        <v>36</v>
      </c>
      <c r="R873" s="27">
        <f t="shared" si="167"/>
        <v>0</v>
      </c>
      <c r="S873" s="102">
        <f t="shared" si="169"/>
        <v>0</v>
      </c>
      <c r="T873" s="21">
        <f>VLOOKUP($A873,'2022-23 Salary &amp; Benefits'!$A:$I,5,FALSE)</f>
        <v>68937</v>
      </c>
      <c r="U873" s="21">
        <f>VLOOKUP($A873,'2022-23 Salary &amp; Benefits'!$A:$I,6,FALSE)</f>
        <v>72728</v>
      </c>
      <c r="V873" s="22">
        <f t="shared" si="170"/>
        <v>0</v>
      </c>
      <c r="W873" s="22">
        <f t="shared" si="171"/>
        <v>0</v>
      </c>
      <c r="X873" s="22">
        <f>'2022-23 Salary &amp; Benefits'!$G$6</f>
        <v>12558.24</v>
      </c>
      <c r="Y873" s="23">
        <f>'2022-23 Salary &amp; Benefits'!$H$6</f>
        <v>0.2298</v>
      </c>
      <c r="Z873" s="23">
        <f>'2022-23 Salary &amp; Benefits'!$I$6</f>
        <v>0.22339999999999999</v>
      </c>
      <c r="AA873" s="22">
        <f t="shared" si="172"/>
        <v>0</v>
      </c>
      <c r="AB873" s="22">
        <f t="shared" si="173"/>
        <v>0</v>
      </c>
      <c r="AC873" s="22">
        <f t="shared" si="174"/>
        <v>0</v>
      </c>
      <c r="AD873" s="22">
        <f t="shared" ref="AD873:AD933" si="176">SUM(AB873:AC873)</f>
        <v>0</v>
      </c>
      <c r="AE873" s="22">
        <f t="shared" ref="AE873:AE933" si="177">SUM(AA873,V873:W873,AD873)</f>
        <v>0</v>
      </c>
      <c r="AF873" s="19" t="str">
        <f>VLOOKUP(C873,'2021-22 School Level AAFTE'!C:N,12,FALSE)</f>
        <v>No</v>
      </c>
    </row>
    <row r="874" spans="1:32" s="19" customFormat="1">
      <c r="A874" s="97" t="s">
        <v>2365</v>
      </c>
      <c r="B874" s="97" t="s">
        <v>939</v>
      </c>
      <c r="C874" s="95">
        <v>3676</v>
      </c>
      <c r="D874" s="95" t="s">
        <v>950</v>
      </c>
      <c r="E874" s="129">
        <f>VLOOKUP($C874,'2021-22 School Level AAFTE'!$C:$Z,11,FALSE)</f>
        <v>0.48283333333333339</v>
      </c>
      <c r="F874" s="129" t="str">
        <f>VLOOKUP($C874,'2021-22 School Level AAFTE'!$C:$Z,8,FALSE)</f>
        <v>No</v>
      </c>
      <c r="G874" s="129" t="str">
        <f>VLOOKUP($C874,'2021-22 School Level AAFTE'!$C:$Z,12,FALSE)</f>
        <v>No</v>
      </c>
      <c r="H874" s="127">
        <f>VLOOKUP($C874,'2021-22 School Level AAFTE'!$C:$I,7,FALSE)</f>
        <v>206.43</v>
      </c>
      <c r="I874" s="112">
        <f>IFERROR(IF(OR(G874="yes",F874= "yes"),VLOOKUP(C874,Summary!$B:$J,6,0),0),0)</f>
        <v>0</v>
      </c>
      <c r="J874" s="111">
        <f t="shared" si="168"/>
        <v>0</v>
      </c>
      <c r="K874" s="91">
        <f>VLOOKUP($A874,'2022-23 Salary &amp; Benefits'!$A:$I,3,FALSE)</f>
        <v>1.18</v>
      </c>
      <c r="L874" s="91">
        <f>VLOOKUP($A874,'2022-23 Salary &amp; Benefits'!$A:$I,4,FALSE)</f>
        <v>1.18</v>
      </c>
      <c r="M874" s="101">
        <f t="shared" si="175"/>
        <v>0</v>
      </c>
      <c r="N874" s="24">
        <v>15</v>
      </c>
      <c r="O874" s="26">
        <f t="shared" si="166"/>
        <v>0</v>
      </c>
      <c r="P874" s="24">
        <v>1.1000000000000001</v>
      </c>
      <c r="Q874" s="24">
        <v>36</v>
      </c>
      <c r="R874" s="27">
        <f t="shared" si="167"/>
        <v>0</v>
      </c>
      <c r="S874" s="102">
        <f t="shared" si="169"/>
        <v>0</v>
      </c>
      <c r="T874" s="21">
        <f>VLOOKUP($A874,'2022-23 Salary &amp; Benefits'!$A:$I,5,FALSE)</f>
        <v>68937</v>
      </c>
      <c r="U874" s="21">
        <f>VLOOKUP($A874,'2022-23 Salary &amp; Benefits'!$A:$I,6,FALSE)</f>
        <v>72728</v>
      </c>
      <c r="V874" s="22">
        <f t="shared" si="170"/>
        <v>0</v>
      </c>
      <c r="W874" s="22">
        <f t="shared" si="171"/>
        <v>0</v>
      </c>
      <c r="X874" s="22">
        <f>'2022-23 Salary &amp; Benefits'!$G$6</f>
        <v>12558.24</v>
      </c>
      <c r="Y874" s="23">
        <f>'2022-23 Salary &amp; Benefits'!$H$6</f>
        <v>0.2298</v>
      </c>
      <c r="Z874" s="23">
        <f>'2022-23 Salary &amp; Benefits'!$I$6</f>
        <v>0.22339999999999999</v>
      </c>
      <c r="AA874" s="22">
        <f t="shared" si="172"/>
        <v>0</v>
      </c>
      <c r="AB874" s="22">
        <f t="shared" si="173"/>
        <v>0</v>
      </c>
      <c r="AC874" s="22">
        <f t="shared" si="174"/>
        <v>0</v>
      </c>
      <c r="AD874" s="22">
        <f t="shared" si="176"/>
        <v>0</v>
      </c>
      <c r="AE874" s="22">
        <f t="shared" si="177"/>
        <v>0</v>
      </c>
      <c r="AF874" s="19" t="str">
        <f>VLOOKUP(C874,'2021-22 School Level AAFTE'!C:N,12,FALSE)</f>
        <v>No</v>
      </c>
    </row>
    <row r="875" spans="1:32" s="19" customFormat="1">
      <c r="A875" s="97" t="s">
        <v>2365</v>
      </c>
      <c r="B875" s="97" t="s">
        <v>939</v>
      </c>
      <c r="C875" s="95">
        <v>3677</v>
      </c>
      <c r="D875" s="95" t="s">
        <v>951</v>
      </c>
      <c r="E875" s="129">
        <f>VLOOKUP($C875,'2021-22 School Level AAFTE'!$C:$Z,11,FALSE)</f>
        <v>0.68763333333333332</v>
      </c>
      <c r="F875" s="129" t="str">
        <f>VLOOKUP($C875,'2021-22 School Level AAFTE'!$C:$Z,8,FALSE)</f>
        <v>Yes</v>
      </c>
      <c r="G875" s="129" t="str">
        <f>VLOOKUP($C875,'2021-22 School Level AAFTE'!$C:$Z,12,FALSE)</f>
        <v>No</v>
      </c>
      <c r="H875" s="127">
        <f>VLOOKUP($C875,'2021-22 School Level AAFTE'!$C:$I,7,FALSE)</f>
        <v>355.57</v>
      </c>
      <c r="I875" s="112">
        <f>IFERROR(IF(OR(G875="yes",F875= "yes"),VLOOKUP(C875,Summary!$B:$J,6,0),0),0)</f>
        <v>0</v>
      </c>
      <c r="J875" s="111">
        <f t="shared" si="168"/>
        <v>355.57</v>
      </c>
      <c r="K875" s="91">
        <f>VLOOKUP($A875,'2022-23 Salary &amp; Benefits'!$A:$I,3,FALSE)</f>
        <v>1.18</v>
      </c>
      <c r="L875" s="91">
        <f>VLOOKUP($A875,'2022-23 Salary &amp; Benefits'!$A:$I,4,FALSE)</f>
        <v>1.18</v>
      </c>
      <c r="M875" s="101">
        <f t="shared" si="175"/>
        <v>355.57</v>
      </c>
      <c r="N875" s="24">
        <v>15</v>
      </c>
      <c r="O875" s="26">
        <f t="shared" si="166"/>
        <v>23.704666666666665</v>
      </c>
      <c r="P875" s="24">
        <v>1.1000000000000001</v>
      </c>
      <c r="Q875" s="24">
        <v>36</v>
      </c>
      <c r="R875" s="27">
        <f t="shared" si="167"/>
        <v>938.70479999999998</v>
      </c>
      <c r="S875" s="102">
        <f t="shared" si="169"/>
        <v>1.0429999999999999</v>
      </c>
      <c r="T875" s="21">
        <f>VLOOKUP($A875,'2022-23 Salary &amp; Benefits'!$A:$I,5,FALSE)</f>
        <v>68937</v>
      </c>
      <c r="U875" s="21">
        <f>VLOOKUP($A875,'2022-23 Salary &amp; Benefits'!$A:$I,6,FALSE)</f>
        <v>72728</v>
      </c>
      <c r="V875" s="22">
        <f t="shared" si="170"/>
        <v>84843.520000000004</v>
      </c>
      <c r="W875" s="22">
        <f t="shared" si="171"/>
        <v>4665.7399999999907</v>
      </c>
      <c r="X875" s="22">
        <f>'2022-23 Salary &amp; Benefits'!$G$6</f>
        <v>12558.24</v>
      </c>
      <c r="Y875" s="23">
        <f>'2022-23 Salary &amp; Benefits'!$H$6</f>
        <v>0.2298</v>
      </c>
      <c r="Z875" s="23">
        <f>'2022-23 Salary &amp; Benefits'!$I$6</f>
        <v>0.22339999999999999</v>
      </c>
      <c r="AA875" s="22">
        <f t="shared" si="172"/>
        <v>33637.61</v>
      </c>
      <c r="AB875" s="22">
        <f t="shared" si="173"/>
        <v>1491.82</v>
      </c>
      <c r="AC875" s="22">
        <f t="shared" si="174"/>
        <v>333.27</v>
      </c>
      <c r="AD875" s="22">
        <f t="shared" si="176"/>
        <v>1825.09</v>
      </c>
      <c r="AE875" s="22">
        <f t="shared" si="177"/>
        <v>124971.95999999999</v>
      </c>
      <c r="AF875" s="19" t="str">
        <f>VLOOKUP(C875,'2021-22 School Level AAFTE'!C:N,12,FALSE)</f>
        <v>No</v>
      </c>
    </row>
    <row r="876" spans="1:32" s="19" customFormat="1">
      <c r="A876" s="97" t="s">
        <v>2365</v>
      </c>
      <c r="B876" s="97" t="s">
        <v>939</v>
      </c>
      <c r="C876" s="95">
        <v>3678</v>
      </c>
      <c r="D876" s="95" t="s">
        <v>952</v>
      </c>
      <c r="E876" s="129">
        <f>VLOOKUP($C876,'2021-22 School Level AAFTE'!$C:$Z,11,FALSE)</f>
        <v>0.33533333333333332</v>
      </c>
      <c r="F876" s="129" t="str">
        <f>VLOOKUP($C876,'2021-22 School Level AAFTE'!$C:$Z,8,FALSE)</f>
        <v>No</v>
      </c>
      <c r="G876" s="129" t="str">
        <f>VLOOKUP($C876,'2021-22 School Level AAFTE'!$C:$Z,12,FALSE)</f>
        <v>No</v>
      </c>
      <c r="H876" s="127">
        <f>VLOOKUP($C876,'2021-22 School Level AAFTE'!$C:$I,7,FALSE)</f>
        <v>331.69</v>
      </c>
      <c r="I876" s="112">
        <f>IFERROR(IF(OR(G876="yes",F876= "yes"),VLOOKUP(C876,Summary!$B:$J,6,0),0),0)</f>
        <v>0</v>
      </c>
      <c r="J876" s="111">
        <f t="shared" si="168"/>
        <v>0</v>
      </c>
      <c r="K876" s="91">
        <f>VLOOKUP($A876,'2022-23 Salary &amp; Benefits'!$A:$I,3,FALSE)</f>
        <v>1.18</v>
      </c>
      <c r="L876" s="91">
        <f>VLOOKUP($A876,'2022-23 Salary &amp; Benefits'!$A:$I,4,FALSE)</f>
        <v>1.18</v>
      </c>
      <c r="M876" s="101">
        <f t="shared" si="175"/>
        <v>0</v>
      </c>
      <c r="N876" s="24">
        <v>15</v>
      </c>
      <c r="O876" s="26">
        <f t="shared" si="166"/>
        <v>0</v>
      </c>
      <c r="P876" s="24">
        <v>1.1000000000000001</v>
      </c>
      <c r="Q876" s="24">
        <v>36</v>
      </c>
      <c r="R876" s="27">
        <f t="shared" si="167"/>
        <v>0</v>
      </c>
      <c r="S876" s="102">
        <f t="shared" si="169"/>
        <v>0</v>
      </c>
      <c r="T876" s="21">
        <f>VLOOKUP($A876,'2022-23 Salary &amp; Benefits'!$A:$I,5,FALSE)</f>
        <v>68937</v>
      </c>
      <c r="U876" s="21">
        <f>VLOOKUP($A876,'2022-23 Salary &amp; Benefits'!$A:$I,6,FALSE)</f>
        <v>72728</v>
      </c>
      <c r="V876" s="22">
        <f t="shared" si="170"/>
        <v>0</v>
      </c>
      <c r="W876" s="22">
        <f t="shared" si="171"/>
        <v>0</v>
      </c>
      <c r="X876" s="22">
        <f>'2022-23 Salary &amp; Benefits'!$G$6</f>
        <v>12558.24</v>
      </c>
      <c r="Y876" s="23">
        <f>'2022-23 Salary &amp; Benefits'!$H$6</f>
        <v>0.2298</v>
      </c>
      <c r="Z876" s="23">
        <f>'2022-23 Salary &amp; Benefits'!$I$6</f>
        <v>0.22339999999999999</v>
      </c>
      <c r="AA876" s="22">
        <f t="shared" si="172"/>
        <v>0</v>
      </c>
      <c r="AB876" s="22">
        <f t="shared" si="173"/>
        <v>0</v>
      </c>
      <c r="AC876" s="22">
        <f t="shared" si="174"/>
        <v>0</v>
      </c>
      <c r="AD876" s="22">
        <f t="shared" si="176"/>
        <v>0</v>
      </c>
      <c r="AE876" s="22">
        <f t="shared" si="177"/>
        <v>0</v>
      </c>
      <c r="AF876" s="19" t="str">
        <f>VLOOKUP(C876,'2021-22 School Level AAFTE'!C:N,12,FALSE)</f>
        <v>No</v>
      </c>
    </row>
    <row r="877" spans="1:32" s="19" customFormat="1">
      <c r="A877" s="97" t="s">
        <v>2365</v>
      </c>
      <c r="B877" s="97" t="s">
        <v>939</v>
      </c>
      <c r="C877" s="95">
        <v>3707</v>
      </c>
      <c r="D877" s="95" t="s">
        <v>953</v>
      </c>
      <c r="E877" s="129">
        <f>VLOOKUP($C877,'2021-22 School Level AAFTE'!$C:$Z,11,FALSE)</f>
        <v>0.44823333333333332</v>
      </c>
      <c r="F877" s="129" t="str">
        <f>VLOOKUP($C877,'2021-22 School Level AAFTE'!$C:$Z,8,FALSE)</f>
        <v>No</v>
      </c>
      <c r="G877" s="129" t="str">
        <f>VLOOKUP($C877,'2021-22 School Level AAFTE'!$C:$Z,12,FALSE)</f>
        <v>No</v>
      </c>
      <c r="H877" s="127">
        <f>VLOOKUP($C877,'2021-22 School Level AAFTE'!$C:$I,7,FALSE)</f>
        <v>333.29</v>
      </c>
      <c r="I877" s="112">
        <f>IFERROR(IF(OR(G877="yes",F877= "yes"),VLOOKUP(C877,Summary!$B:$J,6,0),0),0)</f>
        <v>0</v>
      </c>
      <c r="J877" s="111">
        <f t="shared" si="168"/>
        <v>0</v>
      </c>
      <c r="K877" s="91">
        <f>VLOOKUP($A877,'2022-23 Salary &amp; Benefits'!$A:$I,3,FALSE)</f>
        <v>1.18</v>
      </c>
      <c r="L877" s="91">
        <f>VLOOKUP($A877,'2022-23 Salary &amp; Benefits'!$A:$I,4,FALSE)</f>
        <v>1.18</v>
      </c>
      <c r="M877" s="101">
        <f t="shared" si="175"/>
        <v>0</v>
      </c>
      <c r="N877" s="24">
        <v>15</v>
      </c>
      <c r="O877" s="26">
        <f t="shared" si="166"/>
        <v>0</v>
      </c>
      <c r="P877" s="24">
        <v>1.1000000000000001</v>
      </c>
      <c r="Q877" s="24">
        <v>36</v>
      </c>
      <c r="R877" s="27">
        <f t="shared" si="167"/>
        <v>0</v>
      </c>
      <c r="S877" s="102">
        <f t="shared" si="169"/>
        <v>0</v>
      </c>
      <c r="T877" s="21">
        <f>VLOOKUP($A877,'2022-23 Salary &amp; Benefits'!$A:$I,5,FALSE)</f>
        <v>68937</v>
      </c>
      <c r="U877" s="21">
        <f>VLOOKUP($A877,'2022-23 Salary &amp; Benefits'!$A:$I,6,FALSE)</f>
        <v>72728</v>
      </c>
      <c r="V877" s="22">
        <f t="shared" si="170"/>
        <v>0</v>
      </c>
      <c r="W877" s="22">
        <f t="shared" si="171"/>
        <v>0</v>
      </c>
      <c r="X877" s="22">
        <f>'2022-23 Salary &amp; Benefits'!$G$6</f>
        <v>12558.24</v>
      </c>
      <c r="Y877" s="23">
        <f>'2022-23 Salary &amp; Benefits'!$H$6</f>
        <v>0.2298</v>
      </c>
      <c r="Z877" s="23">
        <f>'2022-23 Salary &amp; Benefits'!$I$6</f>
        <v>0.22339999999999999</v>
      </c>
      <c r="AA877" s="22">
        <f t="shared" si="172"/>
        <v>0</v>
      </c>
      <c r="AB877" s="22">
        <f t="shared" si="173"/>
        <v>0</v>
      </c>
      <c r="AC877" s="22">
        <f t="shared" si="174"/>
        <v>0</v>
      </c>
      <c r="AD877" s="22">
        <f t="shared" si="176"/>
        <v>0</v>
      </c>
      <c r="AE877" s="22">
        <f t="shared" si="177"/>
        <v>0</v>
      </c>
      <c r="AF877" s="19" t="str">
        <f>VLOOKUP(C877,'2021-22 School Level AAFTE'!C:N,12,FALSE)</f>
        <v>No</v>
      </c>
    </row>
    <row r="878" spans="1:32" s="19" customFormat="1">
      <c r="A878" s="97" t="s">
        <v>2365</v>
      </c>
      <c r="B878" s="97" t="s">
        <v>939</v>
      </c>
      <c r="C878" s="95">
        <v>3708</v>
      </c>
      <c r="D878" s="95" t="s">
        <v>954</v>
      </c>
      <c r="E878" s="129">
        <f>VLOOKUP($C878,'2021-22 School Level AAFTE'!$C:$Z,11,FALSE)</f>
        <v>0.25669999999999998</v>
      </c>
      <c r="F878" s="129" t="str">
        <f>VLOOKUP($C878,'2021-22 School Level AAFTE'!$C:$Z,8,FALSE)</f>
        <v>No</v>
      </c>
      <c r="G878" s="129" t="str">
        <f>VLOOKUP($C878,'2021-22 School Level AAFTE'!$C:$Z,12,FALSE)</f>
        <v>No</v>
      </c>
      <c r="H878" s="127">
        <f>VLOOKUP($C878,'2021-22 School Level AAFTE'!$C:$I,7,FALSE)</f>
        <v>365.78</v>
      </c>
      <c r="I878" s="112">
        <f>IFERROR(IF(OR(G878="yes",F878= "yes"),VLOOKUP(C878,Summary!$B:$J,6,0),0),0)</f>
        <v>0</v>
      </c>
      <c r="J878" s="111">
        <f t="shared" si="168"/>
        <v>0</v>
      </c>
      <c r="K878" s="91">
        <f>VLOOKUP($A878,'2022-23 Salary &amp; Benefits'!$A:$I,3,FALSE)</f>
        <v>1.18</v>
      </c>
      <c r="L878" s="91">
        <f>VLOOKUP($A878,'2022-23 Salary &amp; Benefits'!$A:$I,4,FALSE)</f>
        <v>1.18</v>
      </c>
      <c r="M878" s="101">
        <f t="shared" si="175"/>
        <v>0</v>
      </c>
      <c r="N878" s="24">
        <v>15</v>
      </c>
      <c r="O878" s="26">
        <f t="shared" si="166"/>
        <v>0</v>
      </c>
      <c r="P878" s="24">
        <v>1.1000000000000001</v>
      </c>
      <c r="Q878" s="24">
        <v>36</v>
      </c>
      <c r="R878" s="27">
        <f t="shared" si="167"/>
        <v>0</v>
      </c>
      <c r="S878" s="102">
        <f t="shared" si="169"/>
        <v>0</v>
      </c>
      <c r="T878" s="21">
        <f>VLOOKUP($A878,'2022-23 Salary &amp; Benefits'!$A:$I,5,FALSE)</f>
        <v>68937</v>
      </c>
      <c r="U878" s="21">
        <f>VLOOKUP($A878,'2022-23 Salary &amp; Benefits'!$A:$I,6,FALSE)</f>
        <v>72728</v>
      </c>
      <c r="V878" s="22">
        <f t="shared" si="170"/>
        <v>0</v>
      </c>
      <c r="W878" s="22">
        <f t="shared" si="171"/>
        <v>0</v>
      </c>
      <c r="X878" s="22">
        <f>'2022-23 Salary &amp; Benefits'!$G$6</f>
        <v>12558.24</v>
      </c>
      <c r="Y878" s="23">
        <f>'2022-23 Salary &amp; Benefits'!$H$6</f>
        <v>0.2298</v>
      </c>
      <c r="Z878" s="23">
        <f>'2022-23 Salary &amp; Benefits'!$I$6</f>
        <v>0.22339999999999999</v>
      </c>
      <c r="AA878" s="22">
        <f t="shared" si="172"/>
        <v>0</v>
      </c>
      <c r="AB878" s="22">
        <f t="shared" si="173"/>
        <v>0</v>
      </c>
      <c r="AC878" s="22">
        <f t="shared" si="174"/>
        <v>0</v>
      </c>
      <c r="AD878" s="22">
        <f t="shared" si="176"/>
        <v>0</v>
      </c>
      <c r="AE878" s="22">
        <f t="shared" si="177"/>
        <v>0</v>
      </c>
      <c r="AF878" s="19" t="str">
        <f>VLOOKUP(C878,'2021-22 School Level AAFTE'!C:N,12,FALSE)</f>
        <v>No</v>
      </c>
    </row>
    <row r="879" spans="1:32" s="19" customFormat="1">
      <c r="A879" s="97" t="s">
        <v>2365</v>
      </c>
      <c r="B879" s="97" t="s">
        <v>939</v>
      </c>
      <c r="C879" s="95">
        <v>3764</v>
      </c>
      <c r="D879" s="95" t="s">
        <v>955</v>
      </c>
      <c r="E879" s="129">
        <f>VLOOKUP($C879,'2021-22 School Level AAFTE'!$C:$Z,11,FALSE)</f>
        <v>0.58233333333333337</v>
      </c>
      <c r="F879" s="129" t="str">
        <f>VLOOKUP($C879,'2021-22 School Level AAFTE'!$C:$Z,8,FALSE)</f>
        <v>Yes</v>
      </c>
      <c r="G879" s="129" t="str">
        <f>VLOOKUP($C879,'2021-22 School Level AAFTE'!$C:$Z,12,FALSE)</f>
        <v>No</v>
      </c>
      <c r="H879" s="127">
        <f>VLOOKUP($C879,'2021-22 School Level AAFTE'!$C:$I,7,FALSE)</f>
        <v>633.63</v>
      </c>
      <c r="I879" s="112">
        <f>IFERROR(IF(OR(G879="yes",F879= "yes"),VLOOKUP(C879,Summary!$B:$J,6,0),0),0)</f>
        <v>0</v>
      </c>
      <c r="J879" s="111">
        <f t="shared" si="168"/>
        <v>633.63</v>
      </c>
      <c r="K879" s="91">
        <f>VLOOKUP($A879,'2022-23 Salary &amp; Benefits'!$A:$I,3,FALSE)</f>
        <v>1.18</v>
      </c>
      <c r="L879" s="91">
        <f>VLOOKUP($A879,'2022-23 Salary &amp; Benefits'!$A:$I,4,FALSE)</f>
        <v>1.18</v>
      </c>
      <c r="M879" s="39">
        <f t="shared" si="175"/>
        <v>633.63</v>
      </c>
      <c r="N879" s="24">
        <v>15</v>
      </c>
      <c r="O879" s="26">
        <f t="shared" si="166"/>
        <v>42.241999999999997</v>
      </c>
      <c r="P879" s="24">
        <v>1.1000000000000001</v>
      </c>
      <c r="Q879" s="24">
        <v>36</v>
      </c>
      <c r="R879" s="27">
        <f t="shared" si="167"/>
        <v>1672.7832000000001</v>
      </c>
      <c r="S879" s="102">
        <f t="shared" si="169"/>
        <v>1.859</v>
      </c>
      <c r="T879" s="21">
        <f>VLOOKUP($A879,'2022-23 Salary &amp; Benefits'!$A:$I,5,FALSE)</f>
        <v>68937</v>
      </c>
      <c r="U879" s="21">
        <f>VLOOKUP($A879,'2022-23 Salary &amp; Benefits'!$A:$I,6,FALSE)</f>
        <v>72728</v>
      </c>
      <c r="V879" s="22">
        <f t="shared" si="170"/>
        <v>151221.57999999999</v>
      </c>
      <c r="W879" s="22">
        <f t="shared" si="171"/>
        <v>8316.0200000000186</v>
      </c>
      <c r="X879" s="22">
        <f>'2022-23 Salary &amp; Benefits'!$G$6</f>
        <v>12558.24</v>
      </c>
      <c r="Y879" s="23">
        <f>'2022-23 Salary &amp; Benefits'!$H$6</f>
        <v>0.2298</v>
      </c>
      <c r="Z879" s="23">
        <f>'2022-23 Salary &amp; Benefits'!$I$6</f>
        <v>0.22339999999999999</v>
      </c>
      <c r="AA879" s="22">
        <f t="shared" si="172"/>
        <v>59954.29</v>
      </c>
      <c r="AB879" s="22">
        <f t="shared" si="173"/>
        <v>2658.96</v>
      </c>
      <c r="AC879" s="22">
        <f t="shared" si="174"/>
        <v>594.01</v>
      </c>
      <c r="AD879" s="22">
        <f t="shared" si="176"/>
        <v>3252.9700000000003</v>
      </c>
      <c r="AE879" s="22">
        <f t="shared" si="177"/>
        <v>222744.86000000002</v>
      </c>
      <c r="AF879" s="19" t="str">
        <f>VLOOKUP(C879,'2021-22 School Level AAFTE'!C:N,12,FALSE)</f>
        <v>No</v>
      </c>
    </row>
    <row r="880" spans="1:32" s="19" customFormat="1">
      <c r="A880" s="97" t="s">
        <v>2365</v>
      </c>
      <c r="B880" s="97" t="s">
        <v>939</v>
      </c>
      <c r="C880" s="95">
        <v>4126</v>
      </c>
      <c r="D880" s="95" t="s">
        <v>956</v>
      </c>
      <c r="E880" s="129">
        <f>VLOOKUP($C880,'2021-22 School Level AAFTE'!$C:$Z,11,FALSE)</f>
        <v>0.32956666666666662</v>
      </c>
      <c r="F880" s="129" t="str">
        <f>VLOOKUP($C880,'2021-22 School Level AAFTE'!$C:$Z,8,FALSE)</f>
        <v>No</v>
      </c>
      <c r="G880" s="129" t="str">
        <f>VLOOKUP($C880,'2021-22 School Level AAFTE'!$C:$Z,12,FALSE)</f>
        <v>No</v>
      </c>
      <c r="H880" s="127">
        <f>VLOOKUP($C880,'2021-22 School Level AAFTE'!$C:$I,7,FALSE)</f>
        <v>439.58</v>
      </c>
      <c r="I880" s="112">
        <f>IFERROR(IF(OR(G880="yes",F880= "yes"),VLOOKUP(C880,Summary!$B:$J,6,0),0),0)</f>
        <v>0</v>
      </c>
      <c r="J880" s="111">
        <f t="shared" si="168"/>
        <v>0</v>
      </c>
      <c r="K880" s="91">
        <f>VLOOKUP($A880,'2022-23 Salary &amp; Benefits'!$A:$I,3,FALSE)</f>
        <v>1.18</v>
      </c>
      <c r="L880" s="91">
        <f>VLOOKUP($A880,'2022-23 Salary &amp; Benefits'!$A:$I,4,FALSE)</f>
        <v>1.18</v>
      </c>
      <c r="M880" s="39">
        <f t="shared" si="175"/>
        <v>0</v>
      </c>
      <c r="N880" s="24">
        <v>15</v>
      </c>
      <c r="O880" s="26">
        <f t="shared" si="166"/>
        <v>0</v>
      </c>
      <c r="P880" s="24">
        <v>1.1000000000000001</v>
      </c>
      <c r="Q880" s="24">
        <v>36</v>
      </c>
      <c r="R880" s="27">
        <f t="shared" si="167"/>
        <v>0</v>
      </c>
      <c r="S880" s="102">
        <f t="shared" si="169"/>
        <v>0</v>
      </c>
      <c r="T880" s="21">
        <f>VLOOKUP($A880,'2022-23 Salary &amp; Benefits'!$A:$I,5,FALSE)</f>
        <v>68937</v>
      </c>
      <c r="U880" s="21">
        <f>VLOOKUP($A880,'2022-23 Salary &amp; Benefits'!$A:$I,6,FALSE)</f>
        <v>72728</v>
      </c>
      <c r="V880" s="22">
        <f t="shared" si="170"/>
        <v>0</v>
      </c>
      <c r="W880" s="22">
        <f t="shared" si="171"/>
        <v>0</v>
      </c>
      <c r="X880" s="22">
        <f>'2022-23 Salary &amp; Benefits'!$G$6</f>
        <v>12558.24</v>
      </c>
      <c r="Y880" s="23">
        <f>'2022-23 Salary &amp; Benefits'!$H$6</f>
        <v>0.2298</v>
      </c>
      <c r="Z880" s="23">
        <f>'2022-23 Salary &amp; Benefits'!$I$6</f>
        <v>0.22339999999999999</v>
      </c>
      <c r="AA880" s="22">
        <f t="shared" si="172"/>
        <v>0</v>
      </c>
      <c r="AB880" s="22">
        <f t="shared" si="173"/>
        <v>0</v>
      </c>
      <c r="AC880" s="22">
        <f t="shared" si="174"/>
        <v>0</v>
      </c>
      <c r="AD880" s="22">
        <f t="shared" si="176"/>
        <v>0</v>
      </c>
      <c r="AE880" s="22">
        <f t="shared" si="177"/>
        <v>0</v>
      </c>
      <c r="AF880" s="19" t="str">
        <f>VLOOKUP(C880,'2021-22 School Level AAFTE'!C:N,12,FALSE)</f>
        <v>No</v>
      </c>
    </row>
    <row r="881" spans="1:32" s="19" customFormat="1">
      <c r="A881" s="97" t="s">
        <v>2365</v>
      </c>
      <c r="B881" s="97" t="s">
        <v>939</v>
      </c>
      <c r="C881" s="95">
        <v>4127</v>
      </c>
      <c r="D881" s="95" t="s">
        <v>957</v>
      </c>
      <c r="E881" s="129">
        <f>VLOOKUP($C881,'2021-22 School Level AAFTE'!$C:$Z,11,FALSE)</f>
        <v>0.41716666666666669</v>
      </c>
      <c r="F881" s="129" t="str">
        <f>VLOOKUP($C881,'2021-22 School Level AAFTE'!$C:$Z,8,FALSE)</f>
        <v>No</v>
      </c>
      <c r="G881" s="129" t="str">
        <f>VLOOKUP($C881,'2021-22 School Level AAFTE'!$C:$Z,12,FALSE)</f>
        <v>No</v>
      </c>
      <c r="H881" s="127">
        <f>VLOOKUP($C881,'2021-22 School Level AAFTE'!$C:$I,7,FALSE)</f>
        <v>587.27</v>
      </c>
      <c r="I881" s="112">
        <f>IFERROR(IF(OR(G881="yes",F881= "yes"),VLOOKUP(C881,Summary!$B:$J,6,0),0),0)</f>
        <v>0</v>
      </c>
      <c r="J881" s="111">
        <f t="shared" si="168"/>
        <v>0</v>
      </c>
      <c r="K881" s="91">
        <f>VLOOKUP($A881,'2022-23 Salary &amp; Benefits'!$A:$I,3,FALSE)</f>
        <v>1.18</v>
      </c>
      <c r="L881" s="91">
        <f>VLOOKUP($A881,'2022-23 Salary &amp; Benefits'!$A:$I,4,FALSE)</f>
        <v>1.18</v>
      </c>
      <c r="M881" s="39">
        <f t="shared" si="175"/>
        <v>0</v>
      </c>
      <c r="N881" s="24">
        <v>15</v>
      </c>
      <c r="O881" s="26">
        <f t="shared" si="166"/>
        <v>0</v>
      </c>
      <c r="P881" s="24">
        <v>1.1000000000000001</v>
      </c>
      <c r="Q881" s="24">
        <v>36</v>
      </c>
      <c r="R881" s="27">
        <f t="shared" si="167"/>
        <v>0</v>
      </c>
      <c r="S881" s="102">
        <f t="shared" si="169"/>
        <v>0</v>
      </c>
      <c r="T881" s="21">
        <f>VLOOKUP($A881,'2022-23 Salary &amp; Benefits'!$A:$I,5,FALSE)</f>
        <v>68937</v>
      </c>
      <c r="U881" s="21">
        <f>VLOOKUP($A881,'2022-23 Salary &amp; Benefits'!$A:$I,6,FALSE)</f>
        <v>72728</v>
      </c>
      <c r="V881" s="22">
        <f t="shared" si="170"/>
        <v>0</v>
      </c>
      <c r="W881" s="22">
        <f t="shared" si="171"/>
        <v>0</v>
      </c>
      <c r="X881" s="22">
        <f>'2022-23 Salary &amp; Benefits'!$G$6</f>
        <v>12558.24</v>
      </c>
      <c r="Y881" s="23">
        <f>'2022-23 Salary &amp; Benefits'!$H$6</f>
        <v>0.2298</v>
      </c>
      <c r="Z881" s="23">
        <f>'2022-23 Salary &amp; Benefits'!$I$6</f>
        <v>0.22339999999999999</v>
      </c>
      <c r="AA881" s="22">
        <f t="shared" si="172"/>
        <v>0</v>
      </c>
      <c r="AB881" s="22">
        <f t="shared" si="173"/>
        <v>0</v>
      </c>
      <c r="AC881" s="22">
        <f t="shared" si="174"/>
        <v>0</v>
      </c>
      <c r="AD881" s="22">
        <f t="shared" si="176"/>
        <v>0</v>
      </c>
      <c r="AE881" s="22">
        <f t="shared" si="177"/>
        <v>0</v>
      </c>
      <c r="AF881" s="19" t="str">
        <f>VLOOKUP(C881,'2021-22 School Level AAFTE'!C:N,12,FALSE)</f>
        <v>No</v>
      </c>
    </row>
    <row r="882" spans="1:32" s="19" customFormat="1">
      <c r="A882" s="97" t="s">
        <v>2365</v>
      </c>
      <c r="B882" s="97" t="s">
        <v>939</v>
      </c>
      <c r="C882" s="95">
        <v>4128</v>
      </c>
      <c r="D882" s="95" t="s">
        <v>958</v>
      </c>
      <c r="E882" s="129">
        <f>VLOOKUP($C882,'2021-22 School Level AAFTE'!$C:$Z,11,FALSE)</f>
        <v>0.40293333333333337</v>
      </c>
      <c r="F882" s="129" t="str">
        <f>VLOOKUP($C882,'2021-22 School Level AAFTE'!$C:$Z,8,FALSE)</f>
        <v>No</v>
      </c>
      <c r="G882" s="129" t="str">
        <f>VLOOKUP($C882,'2021-22 School Level AAFTE'!$C:$Z,12,FALSE)</f>
        <v>No</v>
      </c>
      <c r="H882" s="127">
        <f>VLOOKUP($C882,'2021-22 School Level AAFTE'!$C:$I,7,FALSE)</f>
        <v>1808.54</v>
      </c>
      <c r="I882" s="112">
        <f>IFERROR(IF(OR(G882="yes",F882= "yes"),VLOOKUP(C882,Summary!$B:$J,6,0),0),0)</f>
        <v>0</v>
      </c>
      <c r="J882" s="111">
        <f t="shared" si="168"/>
        <v>0</v>
      </c>
      <c r="K882" s="91">
        <f>VLOOKUP($A882,'2022-23 Salary &amp; Benefits'!$A:$I,3,FALSE)</f>
        <v>1.18</v>
      </c>
      <c r="L882" s="91">
        <f>VLOOKUP($A882,'2022-23 Salary &amp; Benefits'!$A:$I,4,FALSE)</f>
        <v>1.18</v>
      </c>
      <c r="M882" s="101">
        <f t="shared" si="175"/>
        <v>0</v>
      </c>
      <c r="N882" s="24">
        <v>15</v>
      </c>
      <c r="O882" s="26">
        <f t="shared" si="166"/>
        <v>0</v>
      </c>
      <c r="P882" s="24">
        <v>1.1000000000000001</v>
      </c>
      <c r="Q882" s="24">
        <v>36</v>
      </c>
      <c r="R882" s="27">
        <f t="shared" si="167"/>
        <v>0</v>
      </c>
      <c r="S882" s="102">
        <f t="shared" si="169"/>
        <v>0</v>
      </c>
      <c r="T882" s="21">
        <f>VLOOKUP($A882,'2022-23 Salary &amp; Benefits'!$A:$I,5,FALSE)</f>
        <v>68937</v>
      </c>
      <c r="U882" s="21">
        <f>VLOOKUP($A882,'2022-23 Salary &amp; Benefits'!$A:$I,6,FALSE)</f>
        <v>72728</v>
      </c>
      <c r="V882" s="22">
        <f t="shared" si="170"/>
        <v>0</v>
      </c>
      <c r="W882" s="22">
        <f t="shared" si="171"/>
        <v>0</v>
      </c>
      <c r="X882" s="22">
        <f>'2022-23 Salary &amp; Benefits'!$G$6</f>
        <v>12558.24</v>
      </c>
      <c r="Y882" s="23">
        <f>'2022-23 Salary &amp; Benefits'!$H$6</f>
        <v>0.2298</v>
      </c>
      <c r="Z882" s="23">
        <f>'2022-23 Salary &amp; Benefits'!$I$6</f>
        <v>0.22339999999999999</v>
      </c>
      <c r="AA882" s="22">
        <f t="shared" si="172"/>
        <v>0</v>
      </c>
      <c r="AB882" s="22">
        <f t="shared" si="173"/>
        <v>0</v>
      </c>
      <c r="AC882" s="22">
        <f t="shared" si="174"/>
        <v>0</v>
      </c>
      <c r="AD882" s="22">
        <f t="shared" si="176"/>
        <v>0</v>
      </c>
      <c r="AE882" s="22">
        <f t="shared" si="177"/>
        <v>0</v>
      </c>
      <c r="AF882" s="19" t="str">
        <f>VLOOKUP(C882,'2021-22 School Level AAFTE'!C:N,12,FALSE)</f>
        <v>No</v>
      </c>
    </row>
    <row r="883" spans="1:32" s="19" customFormat="1">
      <c r="A883" s="97" t="s">
        <v>2365</v>
      </c>
      <c r="B883" s="97" t="s">
        <v>939</v>
      </c>
      <c r="C883" s="95">
        <v>4293</v>
      </c>
      <c r="D883" s="95" t="s">
        <v>959</v>
      </c>
      <c r="E883" s="129">
        <f>VLOOKUP($C883,'2021-22 School Level AAFTE'!$C:$Z,11,FALSE)</f>
        <v>0.15233333333333335</v>
      </c>
      <c r="F883" s="129" t="str">
        <f>VLOOKUP($C883,'2021-22 School Level AAFTE'!$C:$Z,8,FALSE)</f>
        <v>No</v>
      </c>
      <c r="G883" s="129" t="str">
        <f>VLOOKUP($C883,'2021-22 School Level AAFTE'!$C:$Z,12,FALSE)</f>
        <v>No</v>
      </c>
      <c r="H883" s="127">
        <f>VLOOKUP($C883,'2021-22 School Level AAFTE'!$C:$I,7,FALSE)</f>
        <v>474.01</v>
      </c>
      <c r="I883" s="112">
        <f>IFERROR(IF(OR(G883="yes",F883= "yes"),VLOOKUP(C883,Summary!$B:$J,6,0),0),0)</f>
        <v>0</v>
      </c>
      <c r="J883" s="111">
        <f t="shared" si="168"/>
        <v>0</v>
      </c>
      <c r="K883" s="91">
        <f>VLOOKUP($A883,'2022-23 Salary &amp; Benefits'!$A:$I,3,FALSE)</f>
        <v>1.18</v>
      </c>
      <c r="L883" s="91">
        <f>VLOOKUP($A883,'2022-23 Salary &amp; Benefits'!$A:$I,4,FALSE)</f>
        <v>1.18</v>
      </c>
      <c r="M883" s="101">
        <f t="shared" si="175"/>
        <v>0</v>
      </c>
      <c r="N883" s="24">
        <v>15</v>
      </c>
      <c r="O883" s="26">
        <f t="shared" si="166"/>
        <v>0</v>
      </c>
      <c r="P883" s="24">
        <v>1.1000000000000001</v>
      </c>
      <c r="Q883" s="24">
        <v>36</v>
      </c>
      <c r="R883" s="27">
        <f t="shared" si="167"/>
        <v>0</v>
      </c>
      <c r="S883" s="102">
        <f t="shared" si="169"/>
        <v>0</v>
      </c>
      <c r="T883" s="21">
        <f>VLOOKUP($A883,'2022-23 Salary &amp; Benefits'!$A:$I,5,FALSE)</f>
        <v>68937</v>
      </c>
      <c r="U883" s="21">
        <f>VLOOKUP($A883,'2022-23 Salary &amp; Benefits'!$A:$I,6,FALSE)</f>
        <v>72728</v>
      </c>
      <c r="V883" s="22">
        <f t="shared" si="170"/>
        <v>0</v>
      </c>
      <c r="W883" s="22">
        <f t="shared" si="171"/>
        <v>0</v>
      </c>
      <c r="X883" s="22">
        <f>'2022-23 Salary &amp; Benefits'!$G$6</f>
        <v>12558.24</v>
      </c>
      <c r="Y883" s="23">
        <f>'2022-23 Salary &amp; Benefits'!$H$6</f>
        <v>0.2298</v>
      </c>
      <c r="Z883" s="23">
        <f>'2022-23 Salary &amp; Benefits'!$I$6</f>
        <v>0.22339999999999999</v>
      </c>
      <c r="AA883" s="22">
        <f t="shared" si="172"/>
        <v>0</v>
      </c>
      <c r="AB883" s="22">
        <f t="shared" si="173"/>
        <v>0</v>
      </c>
      <c r="AC883" s="22">
        <f t="shared" si="174"/>
        <v>0</v>
      </c>
      <c r="AD883" s="22">
        <f t="shared" si="176"/>
        <v>0</v>
      </c>
      <c r="AE883" s="22">
        <f t="shared" si="177"/>
        <v>0</v>
      </c>
      <c r="AF883" s="19" t="str">
        <f>VLOOKUP(C883,'2021-22 School Level AAFTE'!C:N,12,FALSE)</f>
        <v>No</v>
      </c>
    </row>
    <row r="884" spans="1:32" s="19" customFormat="1">
      <c r="A884" s="97" t="s">
        <v>2365</v>
      </c>
      <c r="B884" s="97" t="s">
        <v>939</v>
      </c>
      <c r="C884" s="95">
        <v>4294</v>
      </c>
      <c r="D884" s="95" t="s">
        <v>960</v>
      </c>
      <c r="E884" s="129">
        <f>VLOOKUP($C884,'2021-22 School Level AAFTE'!$C:$Z,11,FALSE)</f>
        <v>0.53663333333333341</v>
      </c>
      <c r="F884" s="129" t="str">
        <f>VLOOKUP($C884,'2021-22 School Level AAFTE'!$C:$Z,8,FALSE)</f>
        <v>Yes</v>
      </c>
      <c r="G884" s="129" t="str">
        <f>VLOOKUP($C884,'2021-22 School Level AAFTE'!$C:$Z,12,FALSE)</f>
        <v>No</v>
      </c>
      <c r="H884" s="127">
        <f>VLOOKUP($C884,'2021-22 School Level AAFTE'!$C:$I,7,FALSE)</f>
        <v>568</v>
      </c>
      <c r="I884" s="112">
        <f>IFERROR(IF(OR(G884="yes",F884= "yes"),VLOOKUP(C884,Summary!$B:$J,6,0),0),0)</f>
        <v>0</v>
      </c>
      <c r="J884" s="111">
        <f t="shared" si="168"/>
        <v>568</v>
      </c>
      <c r="K884" s="91">
        <f>VLOOKUP($A884,'2022-23 Salary &amp; Benefits'!$A:$I,3,FALSE)</f>
        <v>1.18</v>
      </c>
      <c r="L884" s="91">
        <f>VLOOKUP($A884,'2022-23 Salary &amp; Benefits'!$A:$I,4,FALSE)</f>
        <v>1.18</v>
      </c>
      <c r="M884" s="39">
        <f t="shared" si="175"/>
        <v>568</v>
      </c>
      <c r="N884" s="24">
        <v>15</v>
      </c>
      <c r="O884" s="26">
        <f t="shared" si="166"/>
        <v>37.866666666666667</v>
      </c>
      <c r="P884" s="24">
        <v>1.1000000000000001</v>
      </c>
      <c r="Q884" s="24">
        <v>36</v>
      </c>
      <c r="R884" s="27">
        <f t="shared" si="167"/>
        <v>1499.52</v>
      </c>
      <c r="S884" s="102">
        <f t="shared" si="169"/>
        <v>1.6659999999999999</v>
      </c>
      <c r="T884" s="21">
        <f>VLOOKUP($A884,'2022-23 Salary &amp; Benefits'!$A:$I,5,FALSE)</f>
        <v>68937</v>
      </c>
      <c r="U884" s="21">
        <f>VLOOKUP($A884,'2022-23 Salary &amp; Benefits'!$A:$I,6,FALSE)</f>
        <v>72728</v>
      </c>
      <c r="V884" s="22">
        <f t="shared" si="170"/>
        <v>135521.87</v>
      </c>
      <c r="W884" s="22">
        <f t="shared" si="171"/>
        <v>7452.6499999999942</v>
      </c>
      <c r="X884" s="22">
        <f>'2022-23 Salary &amp; Benefits'!$G$6</f>
        <v>12558.24</v>
      </c>
      <c r="Y884" s="23">
        <f>'2022-23 Salary &amp; Benefits'!$H$6</f>
        <v>0.2298</v>
      </c>
      <c r="Z884" s="23">
        <f>'2022-23 Salary &amp; Benefits'!$I$6</f>
        <v>0.22339999999999999</v>
      </c>
      <c r="AA884" s="22">
        <f t="shared" si="172"/>
        <v>53729.88</v>
      </c>
      <c r="AB884" s="22">
        <f t="shared" si="173"/>
        <v>2382.91</v>
      </c>
      <c r="AC884" s="22">
        <f t="shared" si="174"/>
        <v>532.34</v>
      </c>
      <c r="AD884" s="22">
        <f t="shared" si="176"/>
        <v>2915.25</v>
      </c>
      <c r="AE884" s="22">
        <f t="shared" si="177"/>
        <v>199619.65</v>
      </c>
      <c r="AF884" s="19" t="str">
        <f>VLOOKUP(C884,'2021-22 School Level AAFTE'!C:N,12,FALSE)</f>
        <v>No</v>
      </c>
    </row>
    <row r="885" spans="1:32" s="19" customFormat="1">
      <c r="A885" s="97" t="s">
        <v>2365</v>
      </c>
      <c r="B885" s="97" t="s">
        <v>939</v>
      </c>
      <c r="C885" s="95">
        <v>4301</v>
      </c>
      <c r="D885" s="95" t="s">
        <v>961</v>
      </c>
      <c r="E885" s="129">
        <f>VLOOKUP($C885,'2021-22 School Level AAFTE'!$C:$Z,11,FALSE)</f>
        <v>0.38929999999999998</v>
      </c>
      <c r="F885" s="129" t="str">
        <f>VLOOKUP($C885,'2021-22 School Level AAFTE'!$C:$Z,8,FALSE)</f>
        <v>No</v>
      </c>
      <c r="G885" s="129" t="str">
        <f>VLOOKUP($C885,'2021-22 School Level AAFTE'!$C:$Z,12,FALSE)</f>
        <v>No</v>
      </c>
      <c r="H885" s="127">
        <f>VLOOKUP($C885,'2021-22 School Level AAFTE'!$C:$I,7,FALSE)</f>
        <v>408.57</v>
      </c>
      <c r="I885" s="112">
        <f>IFERROR(IF(OR(G885="yes",F885= "yes"),VLOOKUP(C885,Summary!$B:$J,6,0),0),0)</f>
        <v>0</v>
      </c>
      <c r="J885" s="111">
        <f t="shared" si="168"/>
        <v>0</v>
      </c>
      <c r="K885" s="91">
        <f>VLOOKUP($A885,'2022-23 Salary &amp; Benefits'!$A:$I,3,FALSE)</f>
        <v>1.18</v>
      </c>
      <c r="L885" s="91">
        <f>VLOOKUP($A885,'2022-23 Salary &amp; Benefits'!$A:$I,4,FALSE)</f>
        <v>1.18</v>
      </c>
      <c r="M885" s="39">
        <f t="shared" si="175"/>
        <v>0</v>
      </c>
      <c r="N885" s="24">
        <v>15</v>
      </c>
      <c r="O885" s="26">
        <f t="shared" si="166"/>
        <v>0</v>
      </c>
      <c r="P885" s="24">
        <v>1.1000000000000001</v>
      </c>
      <c r="Q885" s="24">
        <v>36</v>
      </c>
      <c r="R885" s="27">
        <f t="shared" si="167"/>
        <v>0</v>
      </c>
      <c r="S885" s="102">
        <f t="shared" si="169"/>
        <v>0</v>
      </c>
      <c r="T885" s="21">
        <f>VLOOKUP($A885,'2022-23 Salary &amp; Benefits'!$A:$I,5,FALSE)</f>
        <v>68937</v>
      </c>
      <c r="U885" s="21">
        <f>VLOOKUP($A885,'2022-23 Salary &amp; Benefits'!$A:$I,6,FALSE)</f>
        <v>72728</v>
      </c>
      <c r="V885" s="22">
        <f t="shared" si="170"/>
        <v>0</v>
      </c>
      <c r="W885" s="22">
        <f t="shared" si="171"/>
        <v>0</v>
      </c>
      <c r="X885" s="22">
        <f>'2022-23 Salary &amp; Benefits'!$G$6</f>
        <v>12558.24</v>
      </c>
      <c r="Y885" s="23">
        <f>'2022-23 Salary &amp; Benefits'!$H$6</f>
        <v>0.2298</v>
      </c>
      <c r="Z885" s="23">
        <f>'2022-23 Salary &amp; Benefits'!$I$6</f>
        <v>0.22339999999999999</v>
      </c>
      <c r="AA885" s="22">
        <f t="shared" si="172"/>
        <v>0</v>
      </c>
      <c r="AB885" s="22">
        <f t="shared" si="173"/>
        <v>0</v>
      </c>
      <c r="AC885" s="22">
        <f t="shared" si="174"/>
        <v>0</v>
      </c>
      <c r="AD885" s="22">
        <f t="shared" si="176"/>
        <v>0</v>
      </c>
      <c r="AE885" s="22">
        <f t="shared" si="177"/>
        <v>0</v>
      </c>
      <c r="AF885" s="19" t="str">
        <f>VLOOKUP(C885,'2021-22 School Level AAFTE'!C:N,12,FALSE)</f>
        <v>No</v>
      </c>
    </row>
    <row r="886" spans="1:32" s="19" customFormat="1">
      <c r="A886" s="97" t="s">
        <v>2365</v>
      </c>
      <c r="B886" s="97" t="s">
        <v>939</v>
      </c>
      <c r="C886" s="95">
        <v>4345</v>
      </c>
      <c r="D886" s="95" t="s">
        <v>962</v>
      </c>
      <c r="E886" s="129">
        <f>VLOOKUP($C886,'2021-22 School Level AAFTE'!$C:$Z,11,FALSE)</f>
        <v>0.51169999999999993</v>
      </c>
      <c r="F886" s="129" t="str">
        <f>VLOOKUP($C886,'2021-22 School Level AAFTE'!$C:$Z,8,FALSE)</f>
        <v>Yes</v>
      </c>
      <c r="G886" s="129" t="str">
        <f>VLOOKUP($C886,'2021-22 School Level AAFTE'!$C:$Z,12,FALSE)</f>
        <v>No</v>
      </c>
      <c r="H886" s="127">
        <f>VLOOKUP($C886,'2021-22 School Level AAFTE'!$C:$I,7,FALSE)</f>
        <v>392.29</v>
      </c>
      <c r="I886" s="112">
        <f>IFERROR(IF(OR(G886="yes",F886= "yes"),VLOOKUP(C886,Summary!$B:$J,6,0),0),0)</f>
        <v>0</v>
      </c>
      <c r="J886" s="111">
        <f t="shared" si="168"/>
        <v>392.29</v>
      </c>
      <c r="K886" s="91">
        <f>VLOOKUP($A886,'2022-23 Salary &amp; Benefits'!$A:$I,3,FALSE)</f>
        <v>1.18</v>
      </c>
      <c r="L886" s="91">
        <f>VLOOKUP($A886,'2022-23 Salary &amp; Benefits'!$A:$I,4,FALSE)</f>
        <v>1.18</v>
      </c>
      <c r="M886" s="39">
        <f t="shared" si="175"/>
        <v>392.29</v>
      </c>
      <c r="N886" s="24">
        <v>15</v>
      </c>
      <c r="O886" s="26">
        <f t="shared" si="166"/>
        <v>26.152666666666669</v>
      </c>
      <c r="P886" s="24">
        <v>1.1000000000000001</v>
      </c>
      <c r="Q886" s="24">
        <v>36</v>
      </c>
      <c r="R886" s="27">
        <f t="shared" si="167"/>
        <v>1035.6456000000003</v>
      </c>
      <c r="S886" s="102">
        <f t="shared" si="169"/>
        <v>1.151</v>
      </c>
      <c r="T886" s="21">
        <f>VLOOKUP($A886,'2022-23 Salary &amp; Benefits'!$A:$I,5,FALSE)</f>
        <v>68937</v>
      </c>
      <c r="U886" s="21">
        <f>VLOOKUP($A886,'2022-23 Salary &amp; Benefits'!$A:$I,6,FALSE)</f>
        <v>72728</v>
      </c>
      <c r="V886" s="22">
        <f t="shared" si="170"/>
        <v>93628.85</v>
      </c>
      <c r="W886" s="22">
        <f t="shared" si="171"/>
        <v>5148.8699999999953</v>
      </c>
      <c r="X886" s="22">
        <f>'2022-23 Salary &amp; Benefits'!$G$6</f>
        <v>12558.24</v>
      </c>
      <c r="Y886" s="23">
        <f>'2022-23 Salary &amp; Benefits'!$H$6</f>
        <v>0.2298</v>
      </c>
      <c r="Z886" s="23">
        <f>'2022-23 Salary &amp; Benefits'!$I$6</f>
        <v>0.22339999999999999</v>
      </c>
      <c r="AA886" s="22">
        <f t="shared" si="172"/>
        <v>37120.699999999997</v>
      </c>
      <c r="AB886" s="22">
        <f t="shared" si="173"/>
        <v>1646.3</v>
      </c>
      <c r="AC886" s="22">
        <f t="shared" si="174"/>
        <v>367.78</v>
      </c>
      <c r="AD886" s="22">
        <f t="shared" si="176"/>
        <v>2014.08</v>
      </c>
      <c r="AE886" s="22">
        <f t="shared" si="177"/>
        <v>137912.49999999997</v>
      </c>
      <c r="AF886" s="19" t="str">
        <f>VLOOKUP(C886,'2021-22 School Level AAFTE'!C:N,12,FALSE)</f>
        <v>No</v>
      </c>
    </row>
    <row r="887" spans="1:32" s="19" customFormat="1">
      <c r="A887" s="97" t="s">
        <v>2365</v>
      </c>
      <c r="B887" s="97" t="s">
        <v>939</v>
      </c>
      <c r="C887" s="95">
        <v>4353</v>
      </c>
      <c r="D887" s="95" t="s">
        <v>963</v>
      </c>
      <c r="E887" s="129">
        <f>VLOOKUP($C887,'2021-22 School Level AAFTE'!$C:$Z,11,FALSE)</f>
        <v>0.23393333333333333</v>
      </c>
      <c r="F887" s="129" t="str">
        <f>VLOOKUP($C887,'2021-22 School Level AAFTE'!$C:$Z,8,FALSE)</f>
        <v>No</v>
      </c>
      <c r="G887" s="129" t="str">
        <f>VLOOKUP($C887,'2021-22 School Level AAFTE'!$C:$Z,12,FALSE)</f>
        <v>No</v>
      </c>
      <c r="H887" s="127">
        <f>VLOOKUP($C887,'2021-22 School Level AAFTE'!$C:$I,7,FALSE)</f>
        <v>433.15</v>
      </c>
      <c r="I887" s="112">
        <f>IFERROR(IF(OR(G887="yes",F887= "yes"),VLOOKUP(C887,Summary!$B:$J,6,0),0),0)</f>
        <v>0</v>
      </c>
      <c r="J887" s="111">
        <f t="shared" si="168"/>
        <v>0</v>
      </c>
      <c r="K887" s="91">
        <f>VLOOKUP($A887,'2022-23 Salary &amp; Benefits'!$A:$I,3,FALSE)</f>
        <v>1.18</v>
      </c>
      <c r="L887" s="91">
        <f>VLOOKUP($A887,'2022-23 Salary &amp; Benefits'!$A:$I,4,FALSE)</f>
        <v>1.18</v>
      </c>
      <c r="M887" s="39">
        <f t="shared" si="175"/>
        <v>0</v>
      </c>
      <c r="N887" s="24">
        <v>15</v>
      </c>
      <c r="O887" s="26">
        <f t="shared" si="166"/>
        <v>0</v>
      </c>
      <c r="P887" s="24">
        <v>1.1000000000000001</v>
      </c>
      <c r="Q887" s="24">
        <v>36</v>
      </c>
      <c r="R887" s="27">
        <f t="shared" si="167"/>
        <v>0</v>
      </c>
      <c r="S887" s="102">
        <f t="shared" si="169"/>
        <v>0</v>
      </c>
      <c r="T887" s="21">
        <f>VLOOKUP($A887,'2022-23 Salary &amp; Benefits'!$A:$I,5,FALSE)</f>
        <v>68937</v>
      </c>
      <c r="U887" s="21">
        <f>VLOOKUP($A887,'2022-23 Salary &amp; Benefits'!$A:$I,6,FALSE)</f>
        <v>72728</v>
      </c>
      <c r="V887" s="22">
        <f t="shared" si="170"/>
        <v>0</v>
      </c>
      <c r="W887" s="22">
        <f t="shared" si="171"/>
        <v>0</v>
      </c>
      <c r="X887" s="22">
        <f>'2022-23 Salary &amp; Benefits'!$G$6</f>
        <v>12558.24</v>
      </c>
      <c r="Y887" s="23">
        <f>'2022-23 Salary &amp; Benefits'!$H$6</f>
        <v>0.2298</v>
      </c>
      <c r="Z887" s="23">
        <f>'2022-23 Salary &amp; Benefits'!$I$6</f>
        <v>0.22339999999999999</v>
      </c>
      <c r="AA887" s="22">
        <f t="shared" si="172"/>
        <v>0</v>
      </c>
      <c r="AB887" s="22">
        <f t="shared" si="173"/>
        <v>0</v>
      </c>
      <c r="AC887" s="22">
        <f t="shared" si="174"/>
        <v>0</v>
      </c>
      <c r="AD887" s="22">
        <f t="shared" si="176"/>
        <v>0</v>
      </c>
      <c r="AE887" s="22">
        <f t="shared" si="177"/>
        <v>0</v>
      </c>
      <c r="AF887" s="19" t="str">
        <f>VLOOKUP(C887,'2021-22 School Level AAFTE'!C:N,12,FALSE)</f>
        <v>No</v>
      </c>
    </row>
    <row r="888" spans="1:32" s="19" customFormat="1">
      <c r="A888" s="97" t="s">
        <v>2365</v>
      </c>
      <c r="B888" s="97" t="s">
        <v>939</v>
      </c>
      <c r="C888" s="95">
        <v>4356</v>
      </c>
      <c r="D888" s="95" t="s">
        <v>964</v>
      </c>
      <c r="E888" s="129">
        <f>VLOOKUP($C888,'2021-22 School Level AAFTE'!$C:$Z,11,FALSE)</f>
        <v>0.72430000000000005</v>
      </c>
      <c r="F888" s="129" t="str">
        <f>VLOOKUP($C888,'2021-22 School Level AAFTE'!$C:$Z,8,FALSE)</f>
        <v>Yes</v>
      </c>
      <c r="G888" s="129" t="str">
        <f>VLOOKUP($C888,'2021-22 School Level AAFTE'!$C:$Z,12,FALSE)</f>
        <v>No</v>
      </c>
      <c r="H888" s="127">
        <f>VLOOKUP($C888,'2021-22 School Level AAFTE'!$C:$I,7,FALSE)</f>
        <v>465.3</v>
      </c>
      <c r="I888" s="112">
        <f>IFERROR(IF(OR(G888="yes",F888= "yes"),VLOOKUP(C888,Summary!$B:$J,6,0),0),0)</f>
        <v>0</v>
      </c>
      <c r="J888" s="111">
        <f t="shared" si="168"/>
        <v>465.3</v>
      </c>
      <c r="K888" s="91">
        <f>VLOOKUP($A888,'2022-23 Salary &amp; Benefits'!$A:$I,3,FALSE)</f>
        <v>1.18</v>
      </c>
      <c r="L888" s="91">
        <f>VLOOKUP($A888,'2022-23 Salary &amp; Benefits'!$A:$I,4,FALSE)</f>
        <v>1.18</v>
      </c>
      <c r="M888" s="39">
        <f t="shared" si="175"/>
        <v>465.3</v>
      </c>
      <c r="N888" s="24">
        <v>15</v>
      </c>
      <c r="O888" s="26">
        <f t="shared" si="166"/>
        <v>31.02</v>
      </c>
      <c r="P888" s="24">
        <v>1.1000000000000001</v>
      </c>
      <c r="Q888" s="24">
        <v>36</v>
      </c>
      <c r="R888" s="27">
        <f t="shared" si="167"/>
        <v>1228.3920000000001</v>
      </c>
      <c r="S888" s="102">
        <f t="shared" si="169"/>
        <v>1.365</v>
      </c>
      <c r="T888" s="21">
        <f>VLOOKUP($A888,'2022-23 Salary &amp; Benefits'!$A:$I,5,FALSE)</f>
        <v>68937</v>
      </c>
      <c r="U888" s="21">
        <f>VLOOKUP($A888,'2022-23 Salary &amp; Benefits'!$A:$I,6,FALSE)</f>
        <v>72728</v>
      </c>
      <c r="V888" s="22">
        <f t="shared" si="170"/>
        <v>111036.83</v>
      </c>
      <c r="W888" s="22">
        <f t="shared" si="171"/>
        <v>6106.1600000000035</v>
      </c>
      <c r="X888" s="22">
        <f>'2022-23 Salary &amp; Benefits'!$G$6</f>
        <v>12558.24</v>
      </c>
      <c r="Y888" s="23">
        <f>'2022-23 Salary &amp; Benefits'!$H$6</f>
        <v>0.2298</v>
      </c>
      <c r="Z888" s="23">
        <f>'2022-23 Salary &amp; Benefits'!$I$6</f>
        <v>0.22339999999999999</v>
      </c>
      <c r="AA888" s="22">
        <f t="shared" si="172"/>
        <v>44022.38</v>
      </c>
      <c r="AB888" s="22">
        <f t="shared" si="173"/>
        <v>1952.38</v>
      </c>
      <c r="AC888" s="22">
        <f t="shared" si="174"/>
        <v>436.16</v>
      </c>
      <c r="AD888" s="22">
        <f t="shared" si="176"/>
        <v>2388.54</v>
      </c>
      <c r="AE888" s="22">
        <f t="shared" si="177"/>
        <v>163553.91</v>
      </c>
      <c r="AF888" s="19" t="str">
        <f>VLOOKUP(C888,'2021-22 School Level AAFTE'!C:N,12,FALSE)</f>
        <v>No</v>
      </c>
    </row>
    <row r="889" spans="1:32" s="19" customFormat="1">
      <c r="A889" s="97" t="s">
        <v>2365</v>
      </c>
      <c r="B889" s="97" t="s">
        <v>939</v>
      </c>
      <c r="C889" s="95">
        <v>4413</v>
      </c>
      <c r="D889" s="95" t="s">
        <v>965</v>
      </c>
      <c r="E889" s="129">
        <f>VLOOKUP($C889,'2021-22 School Level AAFTE'!$C:$Z,11,FALSE)</f>
        <v>0.77349999999999997</v>
      </c>
      <c r="F889" s="129" t="str">
        <f>VLOOKUP($C889,'2021-22 School Level AAFTE'!$C:$Z,8,FALSE)</f>
        <v>Yes</v>
      </c>
      <c r="G889" s="129" t="str">
        <f>VLOOKUP($C889,'2021-22 School Level AAFTE'!$C:$Z,12,FALSE)</f>
        <v>No</v>
      </c>
      <c r="H889" s="127">
        <f>VLOOKUP($C889,'2021-22 School Level AAFTE'!$C:$I,7,FALSE)</f>
        <v>460.57</v>
      </c>
      <c r="I889" s="112">
        <f>IFERROR(IF(OR(G889="yes",F889= "yes"),VLOOKUP(C889,Summary!$B:$J,6,0),0),0)</f>
        <v>0</v>
      </c>
      <c r="J889" s="111">
        <f t="shared" si="168"/>
        <v>460.57</v>
      </c>
      <c r="K889" s="91">
        <f>VLOOKUP($A889,'2022-23 Salary &amp; Benefits'!$A:$I,3,FALSE)</f>
        <v>1.18</v>
      </c>
      <c r="L889" s="91">
        <f>VLOOKUP($A889,'2022-23 Salary &amp; Benefits'!$A:$I,4,FALSE)</f>
        <v>1.18</v>
      </c>
      <c r="M889" s="39">
        <f t="shared" si="175"/>
        <v>460.57</v>
      </c>
      <c r="N889" s="24">
        <v>15</v>
      </c>
      <c r="O889" s="26">
        <f t="shared" si="166"/>
        <v>30.704666666666665</v>
      </c>
      <c r="P889" s="24">
        <v>1.1000000000000001</v>
      </c>
      <c r="Q889" s="24">
        <v>36</v>
      </c>
      <c r="R889" s="27">
        <f t="shared" si="167"/>
        <v>1215.9048</v>
      </c>
      <c r="S889" s="102">
        <f t="shared" si="169"/>
        <v>1.351</v>
      </c>
      <c r="T889" s="21">
        <f>VLOOKUP($A889,'2022-23 Salary &amp; Benefits'!$A:$I,5,FALSE)</f>
        <v>68937</v>
      </c>
      <c r="U889" s="21">
        <f>VLOOKUP($A889,'2022-23 Salary &amp; Benefits'!$A:$I,6,FALSE)</f>
        <v>72728</v>
      </c>
      <c r="V889" s="22">
        <f t="shared" si="170"/>
        <v>109897.99</v>
      </c>
      <c r="W889" s="22">
        <f t="shared" si="171"/>
        <v>6043.5299999999988</v>
      </c>
      <c r="X889" s="22">
        <f>'2022-23 Salary &amp; Benefits'!$G$6</f>
        <v>12558.24</v>
      </c>
      <c r="Y889" s="23">
        <f>'2022-23 Salary &amp; Benefits'!$H$6</f>
        <v>0.2298</v>
      </c>
      <c r="Z889" s="23">
        <f>'2022-23 Salary &amp; Benefits'!$I$6</f>
        <v>0.22339999999999999</v>
      </c>
      <c r="AA889" s="22">
        <f t="shared" si="172"/>
        <v>43570.86</v>
      </c>
      <c r="AB889" s="22">
        <f t="shared" si="173"/>
        <v>1932.36</v>
      </c>
      <c r="AC889" s="22">
        <f t="shared" si="174"/>
        <v>431.69</v>
      </c>
      <c r="AD889" s="22">
        <f t="shared" si="176"/>
        <v>2364.0499999999997</v>
      </c>
      <c r="AE889" s="22">
        <f t="shared" si="177"/>
        <v>161876.43</v>
      </c>
      <c r="AF889" s="19" t="str">
        <f>VLOOKUP(C889,'2021-22 School Level AAFTE'!C:N,12,FALSE)</f>
        <v>No</v>
      </c>
    </row>
    <row r="890" spans="1:32" s="19" customFormat="1">
      <c r="A890" s="97" t="s">
        <v>2365</v>
      </c>
      <c r="B890" s="97" t="s">
        <v>939</v>
      </c>
      <c r="C890" s="95">
        <v>4420</v>
      </c>
      <c r="D890" s="95" t="s">
        <v>966</v>
      </c>
      <c r="E890" s="129">
        <f>VLOOKUP($C890,'2021-22 School Level AAFTE'!$C:$Z,11,FALSE)</f>
        <v>0.35546666666666665</v>
      </c>
      <c r="F890" s="129" t="str">
        <f>VLOOKUP($C890,'2021-22 School Level AAFTE'!$C:$Z,8,FALSE)</f>
        <v>No</v>
      </c>
      <c r="G890" s="129" t="str">
        <f>VLOOKUP($C890,'2021-22 School Level AAFTE'!$C:$Z,12,FALSE)</f>
        <v>No</v>
      </c>
      <c r="H890" s="127">
        <f>VLOOKUP($C890,'2021-22 School Level AAFTE'!$C:$I,7,FALSE)</f>
        <v>588.77</v>
      </c>
      <c r="I890" s="112">
        <f>IFERROR(IF(OR(G890="yes",F890= "yes"),VLOOKUP(C890,Summary!$B:$J,6,0),0),0)</f>
        <v>0</v>
      </c>
      <c r="J890" s="111">
        <f t="shared" si="168"/>
        <v>0</v>
      </c>
      <c r="K890" s="91">
        <f>VLOOKUP($A890,'2022-23 Salary &amp; Benefits'!$A:$I,3,FALSE)</f>
        <v>1.18</v>
      </c>
      <c r="L890" s="91">
        <f>VLOOKUP($A890,'2022-23 Salary &amp; Benefits'!$A:$I,4,FALSE)</f>
        <v>1.18</v>
      </c>
      <c r="M890" s="101">
        <f t="shared" si="175"/>
        <v>0</v>
      </c>
      <c r="N890" s="24">
        <v>15</v>
      </c>
      <c r="O890" s="26">
        <f t="shared" si="166"/>
        <v>0</v>
      </c>
      <c r="P890" s="24">
        <v>1.1000000000000001</v>
      </c>
      <c r="Q890" s="24">
        <v>36</v>
      </c>
      <c r="R890" s="27">
        <f t="shared" si="167"/>
        <v>0</v>
      </c>
      <c r="S890" s="102">
        <f t="shared" si="169"/>
        <v>0</v>
      </c>
      <c r="T890" s="21">
        <f>VLOOKUP($A890,'2022-23 Salary &amp; Benefits'!$A:$I,5,FALSE)</f>
        <v>68937</v>
      </c>
      <c r="U890" s="21">
        <f>VLOOKUP($A890,'2022-23 Salary &amp; Benefits'!$A:$I,6,FALSE)</f>
        <v>72728</v>
      </c>
      <c r="V890" s="22">
        <f t="shared" si="170"/>
        <v>0</v>
      </c>
      <c r="W890" s="22">
        <f t="shared" si="171"/>
        <v>0</v>
      </c>
      <c r="X890" s="22">
        <f>'2022-23 Salary &amp; Benefits'!$G$6</f>
        <v>12558.24</v>
      </c>
      <c r="Y890" s="23">
        <f>'2022-23 Salary &amp; Benefits'!$H$6</f>
        <v>0.2298</v>
      </c>
      <c r="Z890" s="23">
        <f>'2022-23 Salary &amp; Benefits'!$I$6</f>
        <v>0.22339999999999999</v>
      </c>
      <c r="AA890" s="22">
        <f t="shared" si="172"/>
        <v>0</v>
      </c>
      <c r="AB890" s="22">
        <f t="shared" si="173"/>
        <v>0</v>
      </c>
      <c r="AC890" s="22">
        <f t="shared" si="174"/>
        <v>0</v>
      </c>
      <c r="AD890" s="22">
        <f t="shared" si="176"/>
        <v>0</v>
      </c>
      <c r="AE890" s="22">
        <f t="shared" si="177"/>
        <v>0</v>
      </c>
      <c r="AF890" s="19" t="str">
        <f>VLOOKUP(C890,'2021-22 School Level AAFTE'!C:N,12,FALSE)</f>
        <v>No</v>
      </c>
    </row>
    <row r="891" spans="1:32" s="19" customFormat="1">
      <c r="A891" s="97" t="s">
        <v>2365</v>
      </c>
      <c r="B891" s="97" t="s">
        <v>939</v>
      </c>
      <c r="C891" s="95">
        <v>4440</v>
      </c>
      <c r="D891" s="95" t="s">
        <v>967</v>
      </c>
      <c r="E891" s="129">
        <f>VLOOKUP($C891,'2021-22 School Level AAFTE'!$C:$Z,11,FALSE)</f>
        <v>0.47773333333333334</v>
      </c>
      <c r="F891" s="129" t="str">
        <f>VLOOKUP($C891,'2021-22 School Level AAFTE'!$C:$Z,8,FALSE)</f>
        <v>No</v>
      </c>
      <c r="G891" s="129" t="str">
        <f>VLOOKUP($C891,'2021-22 School Level AAFTE'!$C:$Z,12,FALSE)</f>
        <v>No</v>
      </c>
      <c r="H891" s="127">
        <f>VLOOKUP($C891,'2021-22 School Level AAFTE'!$C:$I,7,FALSE)</f>
        <v>597.76</v>
      </c>
      <c r="I891" s="112">
        <f>IFERROR(IF(OR(G891="yes",F891= "yes"),VLOOKUP(C891,Summary!$B:$J,6,0),0),0)</f>
        <v>0</v>
      </c>
      <c r="J891" s="111">
        <f t="shared" si="168"/>
        <v>0</v>
      </c>
      <c r="K891" s="91">
        <f>VLOOKUP($A891,'2022-23 Salary &amp; Benefits'!$A:$I,3,FALSE)</f>
        <v>1.18</v>
      </c>
      <c r="L891" s="91">
        <f>VLOOKUP($A891,'2022-23 Salary &amp; Benefits'!$A:$I,4,FALSE)</f>
        <v>1.18</v>
      </c>
      <c r="M891" s="101">
        <f t="shared" si="175"/>
        <v>0</v>
      </c>
      <c r="N891" s="24">
        <v>15</v>
      </c>
      <c r="O891" s="26">
        <f t="shared" si="166"/>
        <v>0</v>
      </c>
      <c r="P891" s="24">
        <v>1.1000000000000001</v>
      </c>
      <c r="Q891" s="24">
        <v>36</v>
      </c>
      <c r="R891" s="27">
        <f t="shared" si="167"/>
        <v>0</v>
      </c>
      <c r="S891" s="102">
        <f t="shared" si="169"/>
        <v>0</v>
      </c>
      <c r="T891" s="21">
        <f>VLOOKUP($A891,'2022-23 Salary &amp; Benefits'!$A:$I,5,FALSE)</f>
        <v>68937</v>
      </c>
      <c r="U891" s="21">
        <f>VLOOKUP($A891,'2022-23 Salary &amp; Benefits'!$A:$I,6,FALSE)</f>
        <v>72728</v>
      </c>
      <c r="V891" s="22">
        <f t="shared" si="170"/>
        <v>0</v>
      </c>
      <c r="W891" s="22">
        <f t="shared" si="171"/>
        <v>0</v>
      </c>
      <c r="X891" s="22">
        <f>'2022-23 Salary &amp; Benefits'!$G$6</f>
        <v>12558.24</v>
      </c>
      <c r="Y891" s="23">
        <f>'2022-23 Salary &amp; Benefits'!$H$6</f>
        <v>0.2298</v>
      </c>
      <c r="Z891" s="23">
        <f>'2022-23 Salary &amp; Benefits'!$I$6</f>
        <v>0.22339999999999999</v>
      </c>
      <c r="AA891" s="22">
        <f t="shared" si="172"/>
        <v>0</v>
      </c>
      <c r="AB891" s="22">
        <f t="shared" si="173"/>
        <v>0</v>
      </c>
      <c r="AC891" s="22">
        <f t="shared" si="174"/>
        <v>0</v>
      </c>
      <c r="AD891" s="22">
        <f t="shared" si="176"/>
        <v>0</v>
      </c>
      <c r="AE891" s="22">
        <f t="shared" si="177"/>
        <v>0</v>
      </c>
      <c r="AF891" s="19" t="str">
        <f>VLOOKUP(C891,'2021-22 School Level AAFTE'!C:N,12,FALSE)</f>
        <v>No</v>
      </c>
    </row>
    <row r="892" spans="1:32" s="19" customFormat="1">
      <c r="A892" s="97" t="s">
        <v>2365</v>
      </c>
      <c r="B892" s="97" t="s">
        <v>939</v>
      </c>
      <c r="C892" s="95">
        <v>4465</v>
      </c>
      <c r="D892" s="95" t="s">
        <v>968</v>
      </c>
      <c r="E892" s="129">
        <f>VLOOKUP($C892,'2021-22 School Level AAFTE'!$C:$Z,11,FALSE)</f>
        <v>0.68403333333333338</v>
      </c>
      <c r="F892" s="129" t="str">
        <f>VLOOKUP($C892,'2021-22 School Level AAFTE'!$C:$Z,8,FALSE)</f>
        <v>Yes</v>
      </c>
      <c r="G892" s="129" t="str">
        <f>VLOOKUP($C892,'2021-22 School Level AAFTE'!$C:$Z,12,FALSE)</f>
        <v>No</v>
      </c>
      <c r="H892" s="127">
        <f>VLOOKUP($C892,'2021-22 School Level AAFTE'!$C:$I,7,FALSE)</f>
        <v>315.16000000000003</v>
      </c>
      <c r="I892" s="112">
        <f>IFERROR(IF(OR(G892="yes",F892= "yes"),VLOOKUP(C892,Summary!$B:$J,6,0),0),0)</f>
        <v>0</v>
      </c>
      <c r="J892" s="111">
        <f t="shared" si="168"/>
        <v>315.16000000000003</v>
      </c>
      <c r="K892" s="91">
        <f>VLOOKUP($A892,'2022-23 Salary &amp; Benefits'!$A:$I,3,FALSE)</f>
        <v>1.18</v>
      </c>
      <c r="L892" s="91">
        <f>VLOOKUP($A892,'2022-23 Salary &amp; Benefits'!$A:$I,4,FALSE)</f>
        <v>1.18</v>
      </c>
      <c r="M892" s="101">
        <f t="shared" si="175"/>
        <v>315.16000000000003</v>
      </c>
      <c r="N892" s="24">
        <v>15</v>
      </c>
      <c r="O892" s="26">
        <f t="shared" si="166"/>
        <v>21.010666666666669</v>
      </c>
      <c r="P892" s="24">
        <v>1.1000000000000001</v>
      </c>
      <c r="Q892" s="24">
        <v>36</v>
      </c>
      <c r="R892" s="27">
        <f t="shared" si="167"/>
        <v>832.02240000000018</v>
      </c>
      <c r="S892" s="102">
        <f t="shared" si="169"/>
        <v>0.92400000000000004</v>
      </c>
      <c r="T892" s="21">
        <f>VLOOKUP($A892,'2022-23 Salary &amp; Benefits'!$A:$I,5,FALSE)</f>
        <v>68937</v>
      </c>
      <c r="U892" s="21">
        <f>VLOOKUP($A892,'2022-23 Salary &amp; Benefits'!$A:$I,6,FALSE)</f>
        <v>72728</v>
      </c>
      <c r="V892" s="22">
        <f t="shared" si="170"/>
        <v>75163.39</v>
      </c>
      <c r="W892" s="22">
        <f t="shared" si="171"/>
        <v>4133.3999999999942</v>
      </c>
      <c r="X892" s="22">
        <f>'2022-23 Salary &amp; Benefits'!$G$6</f>
        <v>12558.24</v>
      </c>
      <c r="Y892" s="23">
        <f>'2022-23 Salary &amp; Benefits'!$H$6</f>
        <v>0.2298</v>
      </c>
      <c r="Z892" s="23">
        <f>'2022-23 Salary &amp; Benefits'!$I$6</f>
        <v>0.22339999999999999</v>
      </c>
      <c r="AA892" s="22">
        <f t="shared" si="172"/>
        <v>29799.759999999998</v>
      </c>
      <c r="AB892" s="22">
        <f t="shared" si="173"/>
        <v>1321.61</v>
      </c>
      <c r="AC892" s="22">
        <f t="shared" si="174"/>
        <v>295.25</v>
      </c>
      <c r="AD892" s="22">
        <f t="shared" si="176"/>
        <v>1616.86</v>
      </c>
      <c r="AE892" s="22">
        <f t="shared" si="177"/>
        <v>110713.40999999999</v>
      </c>
      <c r="AF892" s="19" t="str">
        <f>VLOOKUP(C892,'2021-22 School Level AAFTE'!C:N,12,FALSE)</f>
        <v>No</v>
      </c>
    </row>
    <row r="893" spans="1:32" s="19" customFormat="1">
      <c r="A893" s="97" t="s">
        <v>2365</v>
      </c>
      <c r="B893" s="97" t="s">
        <v>939</v>
      </c>
      <c r="C893" s="95">
        <v>4466</v>
      </c>
      <c r="D893" s="95" t="s">
        <v>969</v>
      </c>
      <c r="E893" s="129">
        <f>VLOOKUP($C893,'2021-22 School Level AAFTE'!$C:$Z,11,FALSE)</f>
        <v>0.21789999999999998</v>
      </c>
      <c r="F893" s="129" t="str">
        <f>VLOOKUP($C893,'2021-22 School Level AAFTE'!$C:$Z,8,FALSE)</f>
        <v>No</v>
      </c>
      <c r="G893" s="129" t="str">
        <f>VLOOKUP($C893,'2021-22 School Level AAFTE'!$C:$Z,12,FALSE)</f>
        <v>No</v>
      </c>
      <c r="H893" s="127">
        <f>VLOOKUP($C893,'2021-22 School Level AAFTE'!$C:$I,7,FALSE)</f>
        <v>402.71</v>
      </c>
      <c r="I893" s="112">
        <f>IFERROR(IF(OR(G893="yes",F893= "yes"),VLOOKUP(C893,Summary!$B:$J,6,0),0),0)</f>
        <v>0</v>
      </c>
      <c r="J893" s="111">
        <f t="shared" si="168"/>
        <v>0</v>
      </c>
      <c r="K893" s="91">
        <f>VLOOKUP($A893,'2022-23 Salary &amp; Benefits'!$A:$I,3,FALSE)</f>
        <v>1.18</v>
      </c>
      <c r="L893" s="91">
        <f>VLOOKUP($A893,'2022-23 Salary &amp; Benefits'!$A:$I,4,FALSE)</f>
        <v>1.18</v>
      </c>
      <c r="M893" s="101">
        <f t="shared" si="175"/>
        <v>0</v>
      </c>
      <c r="N893" s="24">
        <v>15</v>
      </c>
      <c r="O893" s="26">
        <f t="shared" si="166"/>
        <v>0</v>
      </c>
      <c r="P893" s="24">
        <v>1.1000000000000001</v>
      </c>
      <c r="Q893" s="24">
        <v>36</v>
      </c>
      <c r="R893" s="27">
        <f t="shared" si="167"/>
        <v>0</v>
      </c>
      <c r="S893" s="102">
        <f t="shared" si="169"/>
        <v>0</v>
      </c>
      <c r="T893" s="21">
        <f>VLOOKUP($A893,'2022-23 Salary &amp; Benefits'!$A:$I,5,FALSE)</f>
        <v>68937</v>
      </c>
      <c r="U893" s="21">
        <f>VLOOKUP($A893,'2022-23 Salary &amp; Benefits'!$A:$I,6,FALSE)</f>
        <v>72728</v>
      </c>
      <c r="V893" s="22">
        <f t="shared" si="170"/>
        <v>0</v>
      </c>
      <c r="W893" s="22">
        <f t="shared" si="171"/>
        <v>0</v>
      </c>
      <c r="X893" s="22">
        <f>'2022-23 Salary &amp; Benefits'!$G$6</f>
        <v>12558.24</v>
      </c>
      <c r="Y893" s="23">
        <f>'2022-23 Salary &amp; Benefits'!$H$6</f>
        <v>0.2298</v>
      </c>
      <c r="Z893" s="23">
        <f>'2022-23 Salary &amp; Benefits'!$I$6</f>
        <v>0.22339999999999999</v>
      </c>
      <c r="AA893" s="22">
        <f t="shared" si="172"/>
        <v>0</v>
      </c>
      <c r="AB893" s="22">
        <f t="shared" si="173"/>
        <v>0</v>
      </c>
      <c r="AC893" s="22">
        <f t="shared" si="174"/>
        <v>0</v>
      </c>
      <c r="AD893" s="22">
        <f t="shared" si="176"/>
        <v>0</v>
      </c>
      <c r="AE893" s="22">
        <f t="shared" si="177"/>
        <v>0</v>
      </c>
      <c r="AF893" s="19" t="str">
        <f>VLOOKUP(C893,'2021-22 School Level AAFTE'!C:N,12,FALSE)</f>
        <v>No</v>
      </c>
    </row>
    <row r="894" spans="1:32" s="19" customFormat="1">
      <c r="A894" s="97" t="s">
        <v>2365</v>
      </c>
      <c r="B894" s="97" t="s">
        <v>939</v>
      </c>
      <c r="C894" s="95">
        <v>4485</v>
      </c>
      <c r="D894" s="95" t="s">
        <v>970</v>
      </c>
      <c r="E894" s="129">
        <f>VLOOKUP($C894,'2021-22 School Level AAFTE'!$C:$Z,11,FALSE)</f>
        <v>0.30279999999999996</v>
      </c>
      <c r="F894" s="129" t="str">
        <f>VLOOKUP($C894,'2021-22 School Level AAFTE'!$C:$Z,8,FALSE)</f>
        <v>No</v>
      </c>
      <c r="G894" s="129" t="str">
        <f>VLOOKUP($C894,'2021-22 School Level AAFTE'!$C:$Z,12,FALSE)</f>
        <v>No</v>
      </c>
      <c r="H894" s="127">
        <f>VLOOKUP($C894,'2021-22 School Level AAFTE'!$C:$I,7,FALSE)</f>
        <v>564.66999999999996</v>
      </c>
      <c r="I894" s="112">
        <f>IFERROR(IF(OR(G894="yes",F894= "yes"),VLOOKUP(C894,Summary!$B:$J,6,0),0),0)</f>
        <v>0</v>
      </c>
      <c r="J894" s="111">
        <f t="shared" si="168"/>
        <v>0</v>
      </c>
      <c r="K894" s="91">
        <f>VLOOKUP($A894,'2022-23 Salary &amp; Benefits'!$A:$I,3,FALSE)</f>
        <v>1.18</v>
      </c>
      <c r="L894" s="91">
        <f>VLOOKUP($A894,'2022-23 Salary &amp; Benefits'!$A:$I,4,FALSE)</f>
        <v>1.18</v>
      </c>
      <c r="M894" s="101">
        <f t="shared" si="175"/>
        <v>0</v>
      </c>
      <c r="N894" s="24">
        <v>15</v>
      </c>
      <c r="O894" s="26">
        <f t="shared" si="166"/>
        <v>0</v>
      </c>
      <c r="P894" s="24">
        <v>1.1000000000000001</v>
      </c>
      <c r="Q894" s="24">
        <v>36</v>
      </c>
      <c r="R894" s="27">
        <f t="shared" si="167"/>
        <v>0</v>
      </c>
      <c r="S894" s="102">
        <f t="shared" si="169"/>
        <v>0</v>
      </c>
      <c r="T894" s="21">
        <f>VLOOKUP($A894,'2022-23 Salary &amp; Benefits'!$A:$I,5,FALSE)</f>
        <v>68937</v>
      </c>
      <c r="U894" s="21">
        <f>VLOOKUP($A894,'2022-23 Salary &amp; Benefits'!$A:$I,6,FALSE)</f>
        <v>72728</v>
      </c>
      <c r="V894" s="22">
        <f t="shared" si="170"/>
        <v>0</v>
      </c>
      <c r="W894" s="22">
        <f t="shared" si="171"/>
        <v>0</v>
      </c>
      <c r="X894" s="22">
        <f>'2022-23 Salary &amp; Benefits'!$G$6</f>
        <v>12558.24</v>
      </c>
      <c r="Y894" s="23">
        <f>'2022-23 Salary &amp; Benefits'!$H$6</f>
        <v>0.2298</v>
      </c>
      <c r="Z894" s="23">
        <f>'2022-23 Salary &amp; Benefits'!$I$6</f>
        <v>0.22339999999999999</v>
      </c>
      <c r="AA894" s="22">
        <f t="shared" si="172"/>
        <v>0</v>
      </c>
      <c r="AB894" s="22">
        <f t="shared" si="173"/>
        <v>0</v>
      </c>
      <c r="AC894" s="22">
        <f t="shared" si="174"/>
        <v>0</v>
      </c>
      <c r="AD894" s="22">
        <f t="shared" si="176"/>
        <v>0</v>
      </c>
      <c r="AE894" s="22">
        <f t="shared" si="177"/>
        <v>0</v>
      </c>
      <c r="AF894" s="19" t="str">
        <f>VLOOKUP(C894,'2021-22 School Level AAFTE'!C:N,12,FALSE)</f>
        <v>No</v>
      </c>
    </row>
    <row r="895" spans="1:32" s="19" customFormat="1">
      <c r="A895" s="97" t="s">
        <v>2365</v>
      </c>
      <c r="B895" s="97" t="s">
        <v>939</v>
      </c>
      <c r="C895" s="95">
        <v>4489</v>
      </c>
      <c r="D895" s="95" t="s">
        <v>971</v>
      </c>
      <c r="E895" s="129">
        <f>VLOOKUP($C895,'2021-22 School Level AAFTE'!$C:$Z,11,FALSE)</f>
        <v>0.49286666666666673</v>
      </c>
      <c r="F895" s="129" t="str">
        <f>VLOOKUP($C895,'2021-22 School Level AAFTE'!$C:$Z,8,FALSE)</f>
        <v>No</v>
      </c>
      <c r="G895" s="129" t="str">
        <f>VLOOKUP($C895,'2021-22 School Level AAFTE'!$C:$Z,12,FALSE)</f>
        <v>No</v>
      </c>
      <c r="H895" s="127">
        <f>VLOOKUP($C895,'2021-22 School Level AAFTE'!$C:$I,7,FALSE)</f>
        <v>451.89</v>
      </c>
      <c r="I895" s="112">
        <f>IFERROR(IF(OR(G895="yes",F895= "yes"),VLOOKUP(C895,Summary!$B:$J,6,0),0),0)</f>
        <v>0</v>
      </c>
      <c r="J895" s="111">
        <f t="shared" si="168"/>
        <v>0</v>
      </c>
      <c r="K895" s="91">
        <f>VLOOKUP($A895,'2022-23 Salary &amp; Benefits'!$A:$I,3,FALSE)</f>
        <v>1.18</v>
      </c>
      <c r="L895" s="91">
        <f>VLOOKUP($A895,'2022-23 Salary &amp; Benefits'!$A:$I,4,FALSE)</f>
        <v>1.18</v>
      </c>
      <c r="M895" s="101">
        <f t="shared" si="175"/>
        <v>0</v>
      </c>
      <c r="N895" s="24">
        <v>15</v>
      </c>
      <c r="O895" s="26">
        <f t="shared" si="166"/>
        <v>0</v>
      </c>
      <c r="P895" s="24">
        <v>1.1000000000000001</v>
      </c>
      <c r="Q895" s="24">
        <v>36</v>
      </c>
      <c r="R895" s="27">
        <f t="shared" si="167"/>
        <v>0</v>
      </c>
      <c r="S895" s="102">
        <f t="shared" si="169"/>
        <v>0</v>
      </c>
      <c r="T895" s="21">
        <f>VLOOKUP($A895,'2022-23 Salary &amp; Benefits'!$A:$I,5,FALSE)</f>
        <v>68937</v>
      </c>
      <c r="U895" s="21">
        <f>VLOOKUP($A895,'2022-23 Salary &amp; Benefits'!$A:$I,6,FALSE)</f>
        <v>72728</v>
      </c>
      <c r="V895" s="22">
        <f t="shared" si="170"/>
        <v>0</v>
      </c>
      <c r="W895" s="22">
        <f t="shared" si="171"/>
        <v>0</v>
      </c>
      <c r="X895" s="22">
        <f>'2022-23 Salary &amp; Benefits'!$G$6</f>
        <v>12558.24</v>
      </c>
      <c r="Y895" s="23">
        <f>'2022-23 Salary &amp; Benefits'!$H$6</f>
        <v>0.2298</v>
      </c>
      <c r="Z895" s="23">
        <f>'2022-23 Salary &amp; Benefits'!$I$6</f>
        <v>0.22339999999999999</v>
      </c>
      <c r="AA895" s="22">
        <f t="shared" si="172"/>
        <v>0</v>
      </c>
      <c r="AB895" s="22">
        <f t="shared" si="173"/>
        <v>0</v>
      </c>
      <c r="AC895" s="22">
        <f t="shared" si="174"/>
        <v>0</v>
      </c>
      <c r="AD895" s="22">
        <f t="shared" si="176"/>
        <v>0</v>
      </c>
      <c r="AE895" s="22">
        <f t="shared" si="177"/>
        <v>0</v>
      </c>
      <c r="AF895" s="19" t="str">
        <f>VLOOKUP(C895,'2021-22 School Level AAFTE'!C:N,12,FALSE)</f>
        <v>No</v>
      </c>
    </row>
    <row r="896" spans="1:32" s="19" customFormat="1">
      <c r="A896" s="97" t="s">
        <v>2365</v>
      </c>
      <c r="B896" s="97" t="s">
        <v>939</v>
      </c>
      <c r="C896" s="95">
        <v>4492</v>
      </c>
      <c r="D896" s="95" t="s">
        <v>972</v>
      </c>
      <c r="E896" s="129">
        <f>VLOOKUP($C896,'2021-22 School Level AAFTE'!$C:$Z,11,FALSE)</f>
        <v>0.43759999999999999</v>
      </c>
      <c r="F896" s="129" t="str">
        <f>VLOOKUP($C896,'2021-22 School Level AAFTE'!$C:$Z,8,FALSE)</f>
        <v>No</v>
      </c>
      <c r="G896" s="129" t="str">
        <f>VLOOKUP($C896,'2021-22 School Level AAFTE'!$C:$Z,12,FALSE)</f>
        <v>No</v>
      </c>
      <c r="H896" s="127">
        <f>VLOOKUP($C896,'2021-22 School Level AAFTE'!$C:$I,7,FALSE)</f>
        <v>1483.8700000000001</v>
      </c>
      <c r="I896" s="112">
        <f>IFERROR(IF(OR(G896="yes",F896= "yes"),VLOOKUP(C896,Summary!$B:$J,6,0),0),0)</f>
        <v>0</v>
      </c>
      <c r="J896" s="111">
        <f t="shared" si="168"/>
        <v>0</v>
      </c>
      <c r="K896" s="91">
        <f>VLOOKUP($A896,'2022-23 Salary &amp; Benefits'!$A:$I,3,FALSE)</f>
        <v>1.18</v>
      </c>
      <c r="L896" s="91">
        <f>VLOOKUP($A896,'2022-23 Salary &amp; Benefits'!$A:$I,4,FALSE)</f>
        <v>1.18</v>
      </c>
      <c r="M896" s="101">
        <f t="shared" si="175"/>
        <v>0</v>
      </c>
      <c r="N896" s="24">
        <v>15</v>
      </c>
      <c r="O896" s="26">
        <f t="shared" si="166"/>
        <v>0</v>
      </c>
      <c r="P896" s="24">
        <v>1.1000000000000001</v>
      </c>
      <c r="Q896" s="24">
        <v>36</v>
      </c>
      <c r="R896" s="27">
        <f t="shared" si="167"/>
        <v>0</v>
      </c>
      <c r="S896" s="102">
        <f t="shared" si="169"/>
        <v>0</v>
      </c>
      <c r="T896" s="21">
        <f>VLOOKUP($A896,'2022-23 Salary &amp; Benefits'!$A:$I,5,FALSE)</f>
        <v>68937</v>
      </c>
      <c r="U896" s="21">
        <f>VLOOKUP($A896,'2022-23 Salary &amp; Benefits'!$A:$I,6,FALSE)</f>
        <v>72728</v>
      </c>
      <c r="V896" s="22">
        <f t="shared" si="170"/>
        <v>0</v>
      </c>
      <c r="W896" s="22">
        <f t="shared" si="171"/>
        <v>0</v>
      </c>
      <c r="X896" s="22">
        <f>'2022-23 Salary &amp; Benefits'!$G$6</f>
        <v>12558.24</v>
      </c>
      <c r="Y896" s="23">
        <f>'2022-23 Salary &amp; Benefits'!$H$6</f>
        <v>0.2298</v>
      </c>
      <c r="Z896" s="23">
        <f>'2022-23 Salary &amp; Benefits'!$I$6</f>
        <v>0.22339999999999999</v>
      </c>
      <c r="AA896" s="22">
        <f t="shared" si="172"/>
        <v>0</v>
      </c>
      <c r="AB896" s="22">
        <f t="shared" si="173"/>
        <v>0</v>
      </c>
      <c r="AC896" s="22">
        <f t="shared" si="174"/>
        <v>0</v>
      </c>
      <c r="AD896" s="22">
        <f t="shared" si="176"/>
        <v>0</v>
      </c>
      <c r="AE896" s="22">
        <f t="shared" si="177"/>
        <v>0</v>
      </c>
      <c r="AF896" s="19" t="str">
        <f>VLOOKUP(C896,'2021-22 School Level AAFTE'!C:N,12,FALSE)</f>
        <v>No</v>
      </c>
    </row>
    <row r="897" spans="1:32" s="19" customFormat="1">
      <c r="A897" s="97" t="s">
        <v>2365</v>
      </c>
      <c r="B897" s="97" t="s">
        <v>939</v>
      </c>
      <c r="C897" s="95">
        <v>4520</v>
      </c>
      <c r="D897" s="95" t="s">
        <v>973</v>
      </c>
      <c r="E897" s="129">
        <f>VLOOKUP($C897,'2021-22 School Level AAFTE'!$C:$Z,11,FALSE)</f>
        <v>0.72270000000000001</v>
      </c>
      <c r="F897" s="129" t="str">
        <f>VLOOKUP($C897,'2021-22 School Level AAFTE'!$C:$Z,8,FALSE)</f>
        <v>Yes</v>
      </c>
      <c r="G897" s="129" t="str">
        <f>VLOOKUP($C897,'2021-22 School Level AAFTE'!$C:$Z,12,FALSE)</f>
        <v>No</v>
      </c>
      <c r="H897" s="127">
        <f>VLOOKUP($C897,'2021-22 School Level AAFTE'!$C:$I,7,FALSE)</f>
        <v>601.71</v>
      </c>
      <c r="I897" s="112">
        <f>IFERROR(IF(OR(G897="yes",F897= "yes"),VLOOKUP(C897,Summary!$B:$J,6,0),0),0)</f>
        <v>0</v>
      </c>
      <c r="J897" s="111">
        <f t="shared" si="168"/>
        <v>601.71</v>
      </c>
      <c r="K897" s="91">
        <f>VLOOKUP($A897,'2022-23 Salary &amp; Benefits'!$A:$I,3,FALSE)</f>
        <v>1.18</v>
      </c>
      <c r="L897" s="91">
        <f>VLOOKUP($A897,'2022-23 Salary &amp; Benefits'!$A:$I,4,FALSE)</f>
        <v>1.18</v>
      </c>
      <c r="M897" s="101">
        <f t="shared" si="175"/>
        <v>601.71</v>
      </c>
      <c r="N897" s="24">
        <v>15</v>
      </c>
      <c r="O897" s="26">
        <f t="shared" si="166"/>
        <v>40.114000000000004</v>
      </c>
      <c r="P897" s="24">
        <v>1.1000000000000001</v>
      </c>
      <c r="Q897" s="24">
        <v>36</v>
      </c>
      <c r="R897" s="27">
        <f t="shared" si="167"/>
        <v>1588.5144000000003</v>
      </c>
      <c r="S897" s="102">
        <f t="shared" si="169"/>
        <v>1.7649999999999999</v>
      </c>
      <c r="T897" s="21">
        <f>VLOOKUP($A897,'2022-23 Salary &amp; Benefits'!$A:$I,5,FALSE)</f>
        <v>68937</v>
      </c>
      <c r="U897" s="21">
        <f>VLOOKUP($A897,'2022-23 Salary &amp; Benefits'!$A:$I,6,FALSE)</f>
        <v>72728</v>
      </c>
      <c r="V897" s="22">
        <f t="shared" si="170"/>
        <v>143575.09</v>
      </c>
      <c r="W897" s="22">
        <f t="shared" si="171"/>
        <v>7895.5199999999895</v>
      </c>
      <c r="X897" s="22">
        <f>'2022-23 Salary &amp; Benefits'!$G$6</f>
        <v>12558.24</v>
      </c>
      <c r="Y897" s="23">
        <f>'2022-23 Salary &amp; Benefits'!$H$6</f>
        <v>0.2298</v>
      </c>
      <c r="Z897" s="23">
        <f>'2022-23 Salary &amp; Benefits'!$I$6</f>
        <v>0.22339999999999999</v>
      </c>
      <c r="AA897" s="22">
        <f t="shared" si="172"/>
        <v>56922.71</v>
      </c>
      <c r="AB897" s="22">
        <f t="shared" si="173"/>
        <v>2524.5100000000002</v>
      </c>
      <c r="AC897" s="22">
        <f t="shared" si="174"/>
        <v>563.98</v>
      </c>
      <c r="AD897" s="22">
        <f t="shared" si="176"/>
        <v>3088.4900000000002</v>
      </c>
      <c r="AE897" s="22">
        <f t="shared" si="177"/>
        <v>211481.80999999997</v>
      </c>
      <c r="AF897" s="19" t="str">
        <f>VLOOKUP(C897,'2021-22 School Level AAFTE'!C:N,12,FALSE)</f>
        <v>No</v>
      </c>
    </row>
    <row r="898" spans="1:32" s="19" customFormat="1">
      <c r="A898" s="56" t="s">
        <v>2365</v>
      </c>
      <c r="B898" s="97" t="s">
        <v>939</v>
      </c>
      <c r="C898" s="95">
        <v>4545</v>
      </c>
      <c r="D898" s="56" t="s">
        <v>974</v>
      </c>
      <c r="E898" s="129">
        <f>VLOOKUP($C898,'2021-22 School Level AAFTE'!$C:$Z,11,FALSE)</f>
        <v>0.4733</v>
      </c>
      <c r="F898" s="129" t="str">
        <f>VLOOKUP($C898,'2021-22 School Level AAFTE'!$C:$Z,8,FALSE)</f>
        <v>No</v>
      </c>
      <c r="G898" s="129" t="str">
        <f>VLOOKUP($C898,'2021-22 School Level AAFTE'!$C:$Z,12,FALSE)</f>
        <v>No</v>
      </c>
      <c r="H898" s="127">
        <f>VLOOKUP($C898,'2021-22 School Level AAFTE'!$C:$I,7,FALSE)</f>
        <v>406.62</v>
      </c>
      <c r="I898" s="112">
        <f>IFERROR(IF(OR(G898="yes",F898= "yes"),VLOOKUP(C898,Summary!$B:$J,6,0),0),0)</f>
        <v>0</v>
      </c>
      <c r="J898" s="111">
        <f t="shared" si="168"/>
        <v>0</v>
      </c>
      <c r="K898" s="91">
        <f>VLOOKUP($A898,'2022-23 Salary &amp; Benefits'!$A:$I,3,FALSE)</f>
        <v>1.18</v>
      </c>
      <c r="L898" s="91">
        <f>VLOOKUP($A898,'2022-23 Salary &amp; Benefits'!$A:$I,4,FALSE)</f>
        <v>1.18</v>
      </c>
      <c r="M898" s="101">
        <f t="shared" si="175"/>
        <v>0</v>
      </c>
      <c r="N898" s="24">
        <v>15</v>
      </c>
      <c r="O898" s="26">
        <f t="shared" si="166"/>
        <v>0</v>
      </c>
      <c r="P898" s="24">
        <v>1.1000000000000001</v>
      </c>
      <c r="Q898" s="24">
        <v>36</v>
      </c>
      <c r="R898" s="27">
        <f t="shared" si="167"/>
        <v>0</v>
      </c>
      <c r="S898" s="102">
        <f t="shared" si="169"/>
        <v>0</v>
      </c>
      <c r="T898" s="21">
        <f>VLOOKUP($A898,'2022-23 Salary &amp; Benefits'!$A:$I,5,FALSE)</f>
        <v>68937</v>
      </c>
      <c r="U898" s="21">
        <f>VLOOKUP($A898,'2022-23 Salary &amp; Benefits'!$A:$I,6,FALSE)</f>
        <v>72728</v>
      </c>
      <c r="V898" s="22">
        <f t="shared" si="170"/>
        <v>0</v>
      </c>
      <c r="W898" s="22">
        <f t="shared" si="171"/>
        <v>0</v>
      </c>
      <c r="X898" s="22">
        <f>'2022-23 Salary &amp; Benefits'!$G$6</f>
        <v>12558.24</v>
      </c>
      <c r="Y898" s="23">
        <f>'2022-23 Salary &amp; Benefits'!$H$6</f>
        <v>0.2298</v>
      </c>
      <c r="Z898" s="23">
        <f>'2022-23 Salary &amp; Benefits'!$I$6</f>
        <v>0.22339999999999999</v>
      </c>
      <c r="AA898" s="22">
        <f t="shared" si="172"/>
        <v>0</v>
      </c>
      <c r="AB898" s="22">
        <f t="shared" si="173"/>
        <v>0</v>
      </c>
      <c r="AC898" s="22">
        <f t="shared" si="174"/>
        <v>0</v>
      </c>
      <c r="AD898" s="22">
        <f t="shared" si="176"/>
        <v>0</v>
      </c>
      <c r="AE898" s="22">
        <f t="shared" si="177"/>
        <v>0</v>
      </c>
      <c r="AF898" s="19" t="str">
        <f>VLOOKUP(C898,'2021-22 School Level AAFTE'!C:N,12,FALSE)</f>
        <v>No</v>
      </c>
    </row>
    <row r="899" spans="1:32" s="19" customFormat="1">
      <c r="A899" s="97" t="s">
        <v>2365</v>
      </c>
      <c r="B899" s="97" t="s">
        <v>939</v>
      </c>
      <c r="C899" s="95">
        <v>4581</v>
      </c>
      <c r="D899" s="95" t="s">
        <v>975</v>
      </c>
      <c r="E899" s="129">
        <f>VLOOKUP($C899,'2021-22 School Level AAFTE'!$C:$Z,11,FALSE)</f>
        <v>0.70653333333333335</v>
      </c>
      <c r="F899" s="129" t="str">
        <f>VLOOKUP($C899,'2021-22 School Level AAFTE'!$C:$Z,8,FALSE)</f>
        <v>Yes</v>
      </c>
      <c r="G899" s="129" t="str">
        <f>VLOOKUP($C899,'2021-22 School Level AAFTE'!$C:$Z,12,FALSE)</f>
        <v>No</v>
      </c>
      <c r="H899" s="127">
        <f>VLOOKUP($C899,'2021-22 School Level AAFTE'!$C:$I,7,FALSE)</f>
        <v>526.29</v>
      </c>
      <c r="I899" s="112">
        <f>IFERROR(IF(OR(G899="yes",F899= "yes"),VLOOKUP(C899,Summary!$B:$J,6,0),0),0)</f>
        <v>0</v>
      </c>
      <c r="J899" s="111">
        <f t="shared" si="168"/>
        <v>526.29</v>
      </c>
      <c r="K899" s="91">
        <f>VLOOKUP($A899,'2022-23 Salary &amp; Benefits'!$A:$I,3,FALSE)</f>
        <v>1.18</v>
      </c>
      <c r="L899" s="91">
        <f>VLOOKUP($A899,'2022-23 Salary &amp; Benefits'!$A:$I,4,FALSE)</f>
        <v>1.18</v>
      </c>
      <c r="M899" s="101">
        <f t="shared" si="175"/>
        <v>526.29</v>
      </c>
      <c r="N899" s="24">
        <v>15</v>
      </c>
      <c r="O899" s="26">
        <f t="shared" si="166"/>
        <v>35.085999999999999</v>
      </c>
      <c r="P899" s="24">
        <v>1.1000000000000001</v>
      </c>
      <c r="Q899" s="24">
        <v>36</v>
      </c>
      <c r="R899" s="27">
        <f t="shared" si="167"/>
        <v>1389.4056</v>
      </c>
      <c r="S899" s="102">
        <f t="shared" si="169"/>
        <v>1.544</v>
      </c>
      <c r="T899" s="21">
        <f>VLOOKUP($A899,'2022-23 Salary &amp; Benefits'!$A:$I,5,FALSE)</f>
        <v>68937</v>
      </c>
      <c r="U899" s="21">
        <f>VLOOKUP($A899,'2022-23 Salary &amp; Benefits'!$A:$I,6,FALSE)</f>
        <v>72728</v>
      </c>
      <c r="V899" s="22">
        <f t="shared" si="170"/>
        <v>125597.7</v>
      </c>
      <c r="W899" s="22">
        <f t="shared" si="171"/>
        <v>6906.9000000000087</v>
      </c>
      <c r="X899" s="22">
        <f>'2022-23 Salary &amp; Benefits'!$G$6</f>
        <v>12558.24</v>
      </c>
      <c r="Y899" s="23">
        <f>'2022-23 Salary &amp; Benefits'!$H$6</f>
        <v>0.2298</v>
      </c>
      <c r="Z899" s="23">
        <f>'2022-23 Salary &amp; Benefits'!$I$6</f>
        <v>0.22339999999999999</v>
      </c>
      <c r="AA899" s="22">
        <f t="shared" si="172"/>
        <v>49795.28</v>
      </c>
      <c r="AB899" s="22">
        <f t="shared" si="173"/>
        <v>2208.41</v>
      </c>
      <c r="AC899" s="22">
        <f t="shared" si="174"/>
        <v>493.36</v>
      </c>
      <c r="AD899" s="22">
        <f t="shared" si="176"/>
        <v>2701.77</v>
      </c>
      <c r="AE899" s="22">
        <f t="shared" si="177"/>
        <v>185001.65</v>
      </c>
      <c r="AF899" s="19" t="str">
        <f>VLOOKUP(C899,'2021-22 School Level AAFTE'!C:N,12,FALSE)</f>
        <v>No</v>
      </c>
    </row>
    <row r="900" spans="1:32" s="19" customFormat="1">
      <c r="A900" s="97" t="s">
        <v>2365</v>
      </c>
      <c r="B900" s="97" t="s">
        <v>939</v>
      </c>
      <c r="C900" s="95">
        <v>5016</v>
      </c>
      <c r="D900" s="95" t="s">
        <v>976</v>
      </c>
      <c r="E900" s="129">
        <f>VLOOKUP($C900,'2021-22 School Level AAFTE'!$C:$Z,11,FALSE)</f>
        <v>0.74440000000000006</v>
      </c>
      <c r="F900" s="129" t="str">
        <f>VLOOKUP($C900,'2021-22 School Level AAFTE'!$C:$Z,8,FALSE)</f>
        <v>Yes</v>
      </c>
      <c r="G900" s="129" t="str">
        <f>VLOOKUP($C900,'2021-22 School Level AAFTE'!$C:$Z,12,FALSE)</f>
        <v>No</v>
      </c>
      <c r="H900" s="127">
        <f>VLOOKUP($C900,'2021-22 School Level AAFTE'!$C:$I,7,FALSE)</f>
        <v>833.69</v>
      </c>
      <c r="I900" s="112">
        <f>IFERROR(IF(OR(G900="yes",F900= "yes"),VLOOKUP(C900,Summary!$B:$J,6,0),0),0)</f>
        <v>0</v>
      </c>
      <c r="J900" s="111">
        <f t="shared" si="168"/>
        <v>833.69</v>
      </c>
      <c r="K900" s="91">
        <f>VLOOKUP($A900,'2022-23 Salary &amp; Benefits'!$A:$I,3,FALSE)</f>
        <v>1.18</v>
      </c>
      <c r="L900" s="91">
        <f>VLOOKUP($A900,'2022-23 Salary &amp; Benefits'!$A:$I,4,FALSE)</f>
        <v>1.18</v>
      </c>
      <c r="M900" s="101">
        <f t="shared" si="175"/>
        <v>833.69</v>
      </c>
      <c r="N900" s="24">
        <v>15</v>
      </c>
      <c r="O900" s="26">
        <f t="shared" si="166"/>
        <v>55.579333333333338</v>
      </c>
      <c r="P900" s="24">
        <v>1.1000000000000001</v>
      </c>
      <c r="Q900" s="24">
        <v>36</v>
      </c>
      <c r="R900" s="27">
        <f t="shared" si="167"/>
        <v>2200.9416000000001</v>
      </c>
      <c r="S900" s="102">
        <f t="shared" si="169"/>
        <v>2.4449999999999998</v>
      </c>
      <c r="T900" s="21">
        <f>VLOOKUP($A900,'2022-23 Salary &amp; Benefits'!$A:$I,5,FALSE)</f>
        <v>68937</v>
      </c>
      <c r="U900" s="21">
        <f>VLOOKUP($A900,'2022-23 Salary &amp; Benefits'!$A:$I,6,FALSE)</f>
        <v>72728</v>
      </c>
      <c r="V900" s="22">
        <f t="shared" si="170"/>
        <v>198890.14</v>
      </c>
      <c r="W900" s="22">
        <f t="shared" si="171"/>
        <v>10937.409999999974</v>
      </c>
      <c r="X900" s="22">
        <f>'2022-23 Salary &amp; Benefits'!$G$6</f>
        <v>12558.24</v>
      </c>
      <c r="Y900" s="23">
        <f>'2022-23 Salary &amp; Benefits'!$H$6</f>
        <v>0.2298</v>
      </c>
      <c r="Z900" s="23">
        <f>'2022-23 Salary &amp; Benefits'!$I$6</f>
        <v>0.22339999999999999</v>
      </c>
      <c r="AA900" s="22">
        <f t="shared" si="172"/>
        <v>78853.27</v>
      </c>
      <c r="AB900" s="22">
        <f t="shared" si="173"/>
        <v>3497.13</v>
      </c>
      <c r="AC900" s="22">
        <f t="shared" si="174"/>
        <v>781.26</v>
      </c>
      <c r="AD900" s="22">
        <f t="shared" si="176"/>
        <v>4278.3900000000003</v>
      </c>
      <c r="AE900" s="22">
        <f t="shared" si="177"/>
        <v>292959.21000000002</v>
      </c>
      <c r="AF900" s="19" t="str">
        <f>VLOOKUP(C900,'2021-22 School Level AAFTE'!C:N,12,FALSE)</f>
        <v>No</v>
      </c>
    </row>
    <row r="901" spans="1:32" s="19" customFormat="1">
      <c r="A901" s="97" t="s">
        <v>2365</v>
      </c>
      <c r="B901" s="97" t="s">
        <v>939</v>
      </c>
      <c r="C901" s="95">
        <v>5178</v>
      </c>
      <c r="D901" s="95" t="s">
        <v>655</v>
      </c>
      <c r="E901" s="129">
        <f>VLOOKUP($C901,'2021-22 School Level AAFTE'!$C:$Z,11,FALSE)</f>
        <v>0.68853333333333333</v>
      </c>
      <c r="F901" s="129" t="str">
        <f>VLOOKUP($C901,'2021-22 School Level AAFTE'!$C:$Z,8,FALSE)</f>
        <v>Yes</v>
      </c>
      <c r="G901" s="129" t="str">
        <f>VLOOKUP($C901,'2021-22 School Level AAFTE'!$C:$Z,12,FALSE)</f>
        <v>No</v>
      </c>
      <c r="H901" s="127">
        <f>VLOOKUP($C901,'2021-22 School Level AAFTE'!$C:$I,7,FALSE)</f>
        <v>518.39</v>
      </c>
      <c r="I901" s="112">
        <f>IFERROR(IF(OR(G901="yes",F901= "yes"),VLOOKUP(C901,Summary!$B:$J,6,0),0),0)</f>
        <v>0</v>
      </c>
      <c r="J901" s="111">
        <f t="shared" si="168"/>
        <v>518.39</v>
      </c>
      <c r="K901" s="91">
        <f>VLOOKUP($A901,'2022-23 Salary &amp; Benefits'!$A:$I,3,FALSE)</f>
        <v>1.18</v>
      </c>
      <c r="L901" s="91">
        <f>VLOOKUP($A901,'2022-23 Salary &amp; Benefits'!$A:$I,4,FALSE)</f>
        <v>1.18</v>
      </c>
      <c r="M901" s="101">
        <f t="shared" si="175"/>
        <v>518.39</v>
      </c>
      <c r="N901" s="24">
        <v>15</v>
      </c>
      <c r="O901" s="26">
        <f t="shared" si="166"/>
        <v>34.559333333333335</v>
      </c>
      <c r="P901" s="24">
        <v>1.1000000000000001</v>
      </c>
      <c r="Q901" s="24">
        <v>36</v>
      </c>
      <c r="R901" s="27">
        <f t="shared" si="167"/>
        <v>1368.5496000000001</v>
      </c>
      <c r="S901" s="102">
        <f t="shared" si="169"/>
        <v>1.5209999999999999</v>
      </c>
      <c r="T901" s="21">
        <f>VLOOKUP($A901,'2022-23 Salary &amp; Benefits'!$A:$I,5,FALSE)</f>
        <v>68937</v>
      </c>
      <c r="U901" s="21">
        <f>VLOOKUP($A901,'2022-23 Salary &amp; Benefits'!$A:$I,6,FALSE)</f>
        <v>72728</v>
      </c>
      <c r="V901" s="22">
        <f t="shared" si="170"/>
        <v>123726.75</v>
      </c>
      <c r="W901" s="22">
        <f t="shared" si="171"/>
        <v>6804.0099999999948</v>
      </c>
      <c r="X901" s="22">
        <f>'2022-23 Salary &amp; Benefits'!$G$6</f>
        <v>12558.24</v>
      </c>
      <c r="Y901" s="23">
        <f>'2022-23 Salary &amp; Benefits'!$H$6</f>
        <v>0.2298</v>
      </c>
      <c r="Z901" s="23">
        <f>'2022-23 Salary &amp; Benefits'!$I$6</f>
        <v>0.22339999999999999</v>
      </c>
      <c r="AA901" s="22">
        <f t="shared" si="172"/>
        <v>49053.51</v>
      </c>
      <c r="AB901" s="22">
        <f t="shared" si="173"/>
        <v>2175.5100000000002</v>
      </c>
      <c r="AC901" s="22">
        <f t="shared" si="174"/>
        <v>486.01</v>
      </c>
      <c r="AD901" s="22">
        <f t="shared" si="176"/>
        <v>2661.5200000000004</v>
      </c>
      <c r="AE901" s="22">
        <f t="shared" si="177"/>
        <v>182245.79</v>
      </c>
      <c r="AF901" s="19" t="str">
        <f>VLOOKUP(C901,'2021-22 School Level AAFTE'!C:N,12,FALSE)</f>
        <v>No</v>
      </c>
    </row>
    <row r="902" spans="1:32" s="19" customFormat="1">
      <c r="A902" s="97" t="s">
        <v>2365</v>
      </c>
      <c r="B902" s="97" t="s">
        <v>939</v>
      </c>
      <c r="C902" s="95">
        <v>5275</v>
      </c>
      <c r="D902" s="95" t="s">
        <v>977</v>
      </c>
      <c r="E902" s="129">
        <f>VLOOKUP($C902,'2021-22 School Level AAFTE'!$C:$Z,11,FALSE)</f>
        <v>0.55696666666666672</v>
      </c>
      <c r="F902" s="129" t="str">
        <f>VLOOKUP($C902,'2021-22 School Level AAFTE'!$C:$Z,8,FALSE)</f>
        <v>Yes</v>
      </c>
      <c r="G902" s="129" t="str">
        <f>VLOOKUP($C902,'2021-22 School Level AAFTE'!$C:$Z,12,FALSE)</f>
        <v>No</v>
      </c>
      <c r="H902" s="127">
        <f>VLOOKUP($C902,'2021-22 School Level AAFTE'!$C:$I,7,FALSE)</f>
        <v>203.32</v>
      </c>
      <c r="I902" s="112">
        <f>IFERROR(IF(OR(G902="yes",F902= "yes"),VLOOKUP(C902,Summary!$B:$J,6,0),0),0)</f>
        <v>0</v>
      </c>
      <c r="J902" s="111">
        <f t="shared" si="168"/>
        <v>203.32</v>
      </c>
      <c r="K902" s="91">
        <f>VLOOKUP($A902,'2022-23 Salary &amp; Benefits'!$A:$I,3,FALSE)</f>
        <v>1.18</v>
      </c>
      <c r="L902" s="91">
        <f>VLOOKUP($A902,'2022-23 Salary &amp; Benefits'!$A:$I,4,FALSE)</f>
        <v>1.18</v>
      </c>
      <c r="M902" s="39">
        <f t="shared" si="175"/>
        <v>203.32</v>
      </c>
      <c r="N902" s="24">
        <v>15</v>
      </c>
      <c r="O902" s="26">
        <f t="shared" si="166"/>
        <v>13.554666666666666</v>
      </c>
      <c r="P902" s="24">
        <v>1.1000000000000001</v>
      </c>
      <c r="Q902" s="24">
        <v>36</v>
      </c>
      <c r="R902" s="27">
        <f t="shared" si="167"/>
        <v>536.76480000000004</v>
      </c>
      <c r="S902" s="102">
        <f t="shared" si="169"/>
        <v>0.59599999999999997</v>
      </c>
      <c r="T902" s="21">
        <f>VLOOKUP($A902,'2022-23 Salary &amp; Benefits'!$A:$I,5,FALSE)</f>
        <v>68937</v>
      </c>
      <c r="U902" s="21">
        <f>VLOOKUP($A902,'2022-23 Salary &amp; Benefits'!$A:$I,6,FALSE)</f>
        <v>72728</v>
      </c>
      <c r="V902" s="22">
        <f t="shared" si="170"/>
        <v>48482.01</v>
      </c>
      <c r="W902" s="22">
        <f t="shared" si="171"/>
        <v>2666.1399999999994</v>
      </c>
      <c r="X902" s="22">
        <f>'2022-23 Salary &amp; Benefits'!$G$6</f>
        <v>12558.24</v>
      </c>
      <c r="Y902" s="23">
        <f>'2022-23 Salary &amp; Benefits'!$H$6</f>
        <v>0.2298</v>
      </c>
      <c r="Z902" s="23">
        <f>'2022-23 Salary &amp; Benefits'!$I$6</f>
        <v>0.22339999999999999</v>
      </c>
      <c r="AA902" s="22">
        <f t="shared" si="172"/>
        <v>19221.490000000002</v>
      </c>
      <c r="AB902" s="22">
        <f t="shared" si="173"/>
        <v>852.47</v>
      </c>
      <c r="AC902" s="22">
        <f t="shared" si="174"/>
        <v>190.44</v>
      </c>
      <c r="AD902" s="22">
        <f t="shared" si="176"/>
        <v>1042.9100000000001</v>
      </c>
      <c r="AE902" s="22">
        <f t="shared" si="177"/>
        <v>71412.55</v>
      </c>
      <c r="AF902" s="19" t="str">
        <f>VLOOKUP(C902,'2021-22 School Level AAFTE'!C:N,12,FALSE)</f>
        <v>No</v>
      </c>
    </row>
    <row r="903" spans="1:32" s="19" customFormat="1">
      <c r="A903" s="97" t="s">
        <v>2365</v>
      </c>
      <c r="B903" s="97" t="s">
        <v>939</v>
      </c>
      <c r="C903" s="95">
        <v>5440</v>
      </c>
      <c r="D903" s="95" t="s">
        <v>978</v>
      </c>
      <c r="E903" s="129">
        <f>VLOOKUP($C903,'2021-22 School Level AAFTE'!$C:$Z,11,FALSE)</f>
        <v>0.60960000000000003</v>
      </c>
      <c r="F903" s="129" t="str">
        <f>VLOOKUP($C903,'2021-22 School Level AAFTE'!$C:$Z,8,FALSE)</f>
        <v>Yes</v>
      </c>
      <c r="G903" s="129" t="str">
        <f>VLOOKUP($C903,'2021-22 School Level AAFTE'!$C:$Z,12,FALSE)</f>
        <v>No</v>
      </c>
      <c r="H903" s="127">
        <f>VLOOKUP($C903,'2021-22 School Level AAFTE'!$C:$I,7,FALSE)</f>
        <v>73.709999999999994</v>
      </c>
      <c r="I903" s="112">
        <f>IFERROR(IF(OR(G903="yes",F903= "yes"),VLOOKUP(C903,Summary!$B:$J,6,0),0),0)</f>
        <v>0</v>
      </c>
      <c r="J903" s="111">
        <f t="shared" si="168"/>
        <v>73.709999999999994</v>
      </c>
      <c r="K903" s="91">
        <f>VLOOKUP($A903,'2022-23 Salary &amp; Benefits'!$A:$I,3,FALSE)</f>
        <v>1.18</v>
      </c>
      <c r="L903" s="91">
        <f>VLOOKUP($A903,'2022-23 Salary &amp; Benefits'!$A:$I,4,FALSE)</f>
        <v>1.18</v>
      </c>
      <c r="M903" s="39">
        <f t="shared" si="175"/>
        <v>73.709999999999994</v>
      </c>
      <c r="N903" s="24">
        <v>15</v>
      </c>
      <c r="O903" s="26">
        <f t="shared" si="166"/>
        <v>4.9139999999999997</v>
      </c>
      <c r="P903" s="24">
        <v>1.1000000000000001</v>
      </c>
      <c r="Q903" s="24">
        <v>36</v>
      </c>
      <c r="R903" s="27">
        <f t="shared" si="167"/>
        <v>194.59440000000001</v>
      </c>
      <c r="S903" s="102">
        <f t="shared" si="169"/>
        <v>0.216</v>
      </c>
      <c r="T903" s="21">
        <f>VLOOKUP($A903,'2022-23 Salary &amp; Benefits'!$A:$I,5,FALSE)</f>
        <v>68937</v>
      </c>
      <c r="U903" s="21">
        <f>VLOOKUP($A903,'2022-23 Salary &amp; Benefits'!$A:$I,6,FALSE)</f>
        <v>72728</v>
      </c>
      <c r="V903" s="22">
        <f t="shared" si="170"/>
        <v>17570.66</v>
      </c>
      <c r="W903" s="22">
        <f t="shared" si="171"/>
        <v>966.25</v>
      </c>
      <c r="X903" s="22">
        <f>'2022-23 Salary &amp; Benefits'!$G$6</f>
        <v>12558.24</v>
      </c>
      <c r="Y903" s="23">
        <f>'2022-23 Salary &amp; Benefits'!$H$6</f>
        <v>0.2298</v>
      </c>
      <c r="Z903" s="23">
        <f>'2022-23 Salary &amp; Benefits'!$I$6</f>
        <v>0.22339999999999999</v>
      </c>
      <c r="AA903" s="22">
        <f t="shared" si="172"/>
        <v>6966.18</v>
      </c>
      <c r="AB903" s="22">
        <f t="shared" si="173"/>
        <v>308.95</v>
      </c>
      <c r="AC903" s="22">
        <f t="shared" si="174"/>
        <v>69.02</v>
      </c>
      <c r="AD903" s="22">
        <f t="shared" si="176"/>
        <v>377.96999999999997</v>
      </c>
      <c r="AE903" s="22">
        <f t="shared" si="177"/>
        <v>25881.06</v>
      </c>
      <c r="AF903" s="19" t="str">
        <f>VLOOKUP(C903,'2021-22 School Level AAFTE'!C:N,12,FALSE)</f>
        <v>No</v>
      </c>
    </row>
    <row r="904" spans="1:32" s="19" customFormat="1">
      <c r="A904" s="97" t="s">
        <v>2365</v>
      </c>
      <c r="B904" s="97" t="s">
        <v>939</v>
      </c>
      <c r="C904" s="95">
        <v>5676</v>
      </c>
      <c r="D904" s="95" t="s">
        <v>3022</v>
      </c>
      <c r="E904" s="129">
        <f>VLOOKUP($C904,'2021-22 School Level AAFTE'!$C:$Z,11,FALSE)</f>
        <v>0.37290000000000001</v>
      </c>
      <c r="F904" s="129" t="str">
        <f>VLOOKUP($C904,'2021-22 School Level AAFTE'!$C:$Z,8,FALSE)</f>
        <v>No</v>
      </c>
      <c r="G904" s="129" t="str">
        <f>VLOOKUP($C904,'2021-22 School Level AAFTE'!$C:$Z,12,FALSE)</f>
        <v>No</v>
      </c>
      <c r="H904" s="127">
        <f>VLOOKUP($C904,'2021-22 School Level AAFTE'!$C:$I,7,FALSE)</f>
        <v>302.58</v>
      </c>
      <c r="I904" s="112">
        <f>IFERROR(IF(OR(G904="yes",F904= "yes"),VLOOKUP(C904,Summary!$B:$J,6,0),0),0)</f>
        <v>0</v>
      </c>
      <c r="J904" s="111">
        <f t="shared" si="168"/>
        <v>0</v>
      </c>
      <c r="K904" s="91">
        <f>VLOOKUP($A904,'2022-23 Salary &amp; Benefits'!$A:$I,3,FALSE)</f>
        <v>1.18</v>
      </c>
      <c r="L904" s="91">
        <f>VLOOKUP($A904,'2022-23 Salary &amp; Benefits'!$A:$I,4,FALSE)</f>
        <v>1.18</v>
      </c>
      <c r="M904" s="39">
        <f t="shared" si="175"/>
        <v>0</v>
      </c>
      <c r="N904" s="24">
        <v>15</v>
      </c>
      <c r="O904" s="26">
        <f t="shared" si="166"/>
        <v>0</v>
      </c>
      <c r="P904" s="24">
        <v>1.1000000000000001</v>
      </c>
      <c r="Q904" s="24">
        <v>36</v>
      </c>
      <c r="R904" s="27">
        <f t="shared" si="167"/>
        <v>0</v>
      </c>
      <c r="S904" s="102">
        <f t="shared" si="169"/>
        <v>0</v>
      </c>
      <c r="T904" s="21">
        <f>VLOOKUP($A904,'2022-23 Salary &amp; Benefits'!$A:$I,5,FALSE)</f>
        <v>68937</v>
      </c>
      <c r="U904" s="21">
        <f>VLOOKUP($A904,'2022-23 Salary &amp; Benefits'!$A:$I,6,FALSE)</f>
        <v>72728</v>
      </c>
      <c r="V904" s="22">
        <f t="shared" si="170"/>
        <v>0</v>
      </c>
      <c r="W904" s="22">
        <f t="shared" si="171"/>
        <v>0</v>
      </c>
      <c r="X904" s="22">
        <f>'2022-23 Salary &amp; Benefits'!$G$6</f>
        <v>12558.24</v>
      </c>
      <c r="Y904" s="23">
        <f>'2022-23 Salary &amp; Benefits'!$H$6</f>
        <v>0.2298</v>
      </c>
      <c r="Z904" s="23">
        <f>'2022-23 Salary &amp; Benefits'!$I$6</f>
        <v>0.22339999999999999</v>
      </c>
      <c r="AA904" s="22">
        <f t="shared" si="172"/>
        <v>0</v>
      </c>
      <c r="AB904" s="22">
        <f t="shared" si="173"/>
        <v>0</v>
      </c>
      <c r="AC904" s="22">
        <f t="shared" si="174"/>
        <v>0</v>
      </c>
      <c r="AD904" s="22">
        <f t="shared" si="176"/>
        <v>0</v>
      </c>
      <c r="AE904" s="22">
        <f t="shared" si="177"/>
        <v>0</v>
      </c>
      <c r="AF904" s="19" t="str">
        <f>VLOOKUP(C904,'2021-22 School Level AAFTE'!C:N,12,FALSE)</f>
        <v>No</v>
      </c>
    </row>
    <row r="905" spans="1:32" s="19" customFormat="1">
      <c r="A905" s="97" t="s">
        <v>2365</v>
      </c>
      <c r="B905" s="97" t="s">
        <v>939</v>
      </c>
      <c r="C905" s="95">
        <v>5677</v>
      </c>
      <c r="D905" s="95" t="s">
        <v>3023</v>
      </c>
      <c r="E905" s="129">
        <f>VLOOKUP($C905,'2021-22 School Level AAFTE'!$C:$Z,11,FALSE)</f>
        <v>0.7026</v>
      </c>
      <c r="F905" s="129" t="str">
        <f>VLOOKUP($C905,'2021-22 School Level AAFTE'!$C:$Z,8,FALSE)</f>
        <v>Yes</v>
      </c>
      <c r="G905" s="129" t="str">
        <f>VLOOKUP($C905,'2021-22 School Level AAFTE'!$C:$Z,12,FALSE)</f>
        <v>No</v>
      </c>
      <c r="H905" s="127">
        <f>VLOOKUP($C905,'2021-22 School Level AAFTE'!$C:$I,7,FALSE)</f>
        <v>569.73</v>
      </c>
      <c r="I905" s="112">
        <f>IFERROR(IF(OR(G905="yes",F905= "yes"),VLOOKUP(C905,Summary!$B:$J,6,0),0),0)</f>
        <v>0</v>
      </c>
      <c r="J905" s="111">
        <f t="shared" si="168"/>
        <v>569.73</v>
      </c>
      <c r="K905" s="91">
        <f>VLOOKUP($A905,'2022-23 Salary &amp; Benefits'!$A:$I,3,FALSE)</f>
        <v>1.18</v>
      </c>
      <c r="L905" s="91">
        <f>VLOOKUP($A905,'2022-23 Salary &amp; Benefits'!$A:$I,4,FALSE)</f>
        <v>1.18</v>
      </c>
      <c r="M905" s="39">
        <f t="shared" si="175"/>
        <v>569.73</v>
      </c>
      <c r="N905" s="24">
        <v>15</v>
      </c>
      <c r="O905" s="26">
        <f t="shared" si="166"/>
        <v>37.981999999999999</v>
      </c>
      <c r="P905" s="24">
        <v>1.1000000000000001</v>
      </c>
      <c r="Q905" s="24">
        <v>36</v>
      </c>
      <c r="R905" s="27">
        <f t="shared" si="167"/>
        <v>1504.0871999999999</v>
      </c>
      <c r="S905" s="102">
        <f t="shared" si="169"/>
        <v>1.671</v>
      </c>
      <c r="T905" s="21">
        <f>VLOOKUP($A905,'2022-23 Salary &amp; Benefits'!$A:$I,5,FALSE)</f>
        <v>68937</v>
      </c>
      <c r="U905" s="21">
        <f>VLOOKUP($A905,'2022-23 Salary &amp; Benefits'!$A:$I,6,FALSE)</f>
        <v>72728</v>
      </c>
      <c r="V905" s="22">
        <f t="shared" si="170"/>
        <v>135928.6</v>
      </c>
      <c r="W905" s="22">
        <f t="shared" si="171"/>
        <v>7475.0199999999895</v>
      </c>
      <c r="X905" s="22">
        <f>'2022-23 Salary &amp; Benefits'!$G$6</f>
        <v>12558.24</v>
      </c>
      <c r="Y905" s="23">
        <f>'2022-23 Salary &amp; Benefits'!$H$6</f>
        <v>0.2298</v>
      </c>
      <c r="Z905" s="23">
        <f>'2022-23 Salary &amp; Benefits'!$I$6</f>
        <v>0.22339999999999999</v>
      </c>
      <c r="AA905" s="22">
        <f t="shared" si="172"/>
        <v>53891.13</v>
      </c>
      <c r="AB905" s="22">
        <f t="shared" si="173"/>
        <v>2390.06</v>
      </c>
      <c r="AC905" s="22">
        <f t="shared" si="174"/>
        <v>533.94000000000005</v>
      </c>
      <c r="AD905" s="22">
        <f t="shared" si="176"/>
        <v>2924</v>
      </c>
      <c r="AE905" s="22">
        <f t="shared" si="177"/>
        <v>200218.75</v>
      </c>
      <c r="AF905" s="19" t="str">
        <f>VLOOKUP(C905,'2021-22 School Level AAFTE'!C:N,12,FALSE)</f>
        <v>No</v>
      </c>
    </row>
    <row r="906" spans="1:32" s="19" customFormat="1">
      <c r="A906" s="97" t="s">
        <v>2514</v>
      </c>
      <c r="B906" s="97" t="s">
        <v>1959</v>
      </c>
      <c r="C906" s="95">
        <v>2385</v>
      </c>
      <c r="D906" s="95" t="s">
        <v>1960</v>
      </c>
      <c r="E906" s="129">
        <f>VLOOKUP($C906,'2021-22 School Level AAFTE'!$C:$Z,11,FALSE)</f>
        <v>0.57650000000000001</v>
      </c>
      <c r="F906" s="129" t="str">
        <f>VLOOKUP($C906,'2021-22 School Level AAFTE'!$C:$Z,8,FALSE)</f>
        <v>Yes</v>
      </c>
      <c r="G906" s="129" t="str">
        <f>VLOOKUP($C906,'2021-22 School Level AAFTE'!$C:$Z,12,FALSE)</f>
        <v>No</v>
      </c>
      <c r="H906" s="127">
        <f>VLOOKUP($C906,'2021-22 School Level AAFTE'!$C:$I,7,FALSE)</f>
        <v>269.86</v>
      </c>
      <c r="I906" s="112">
        <f>IFERROR(IF(OR(G906="yes",F906= "yes"),VLOOKUP(C906,Summary!$B:$J,6,0),0),0)</f>
        <v>0</v>
      </c>
      <c r="J906" s="111">
        <f t="shared" si="168"/>
        <v>269.86</v>
      </c>
      <c r="K906" s="91">
        <f>VLOOKUP($A906,'2022-23 Salary &amp; Benefits'!$A:$I,3,FALSE)</f>
        <v>1</v>
      </c>
      <c r="L906" s="91">
        <f>VLOOKUP($A906,'2022-23 Salary &amp; Benefits'!$A:$I,4,FALSE)</f>
        <v>1.04</v>
      </c>
      <c r="M906" s="39">
        <f t="shared" si="175"/>
        <v>269.86</v>
      </c>
      <c r="N906" s="24">
        <v>15</v>
      </c>
      <c r="O906" s="26">
        <f t="shared" ref="O906:O969" si="178">IF(M906="no",0,M906/N906)</f>
        <v>17.990666666666666</v>
      </c>
      <c r="P906" s="24">
        <v>1.1000000000000001</v>
      </c>
      <c r="Q906" s="24">
        <v>36</v>
      </c>
      <c r="R906" s="27">
        <f t="shared" ref="R906:R969" si="179">IF(M906="no",0,O906*P906*Q906)</f>
        <v>712.43040000000008</v>
      </c>
      <c r="S906" s="102">
        <f t="shared" si="169"/>
        <v>0.79200000000000004</v>
      </c>
      <c r="T906" s="21">
        <f>VLOOKUP($A906,'2022-23 Salary &amp; Benefits'!$A:$I,5,FALSE)</f>
        <v>68937</v>
      </c>
      <c r="U906" s="21">
        <f>VLOOKUP($A906,'2022-23 Salary &amp; Benefits'!$A:$I,6,FALSE)</f>
        <v>72728</v>
      </c>
      <c r="V906" s="22">
        <f t="shared" si="170"/>
        <v>54598.1</v>
      </c>
      <c r="W906" s="22">
        <f t="shared" si="171"/>
        <v>5306.5</v>
      </c>
      <c r="X906" s="22">
        <f>'2022-23 Salary &amp; Benefits'!$G$6</f>
        <v>12558.24</v>
      </c>
      <c r="Y906" s="23">
        <f>'2022-23 Salary &amp; Benefits'!$H$6</f>
        <v>0.2298</v>
      </c>
      <c r="Z906" s="23">
        <f>'2022-23 Salary &amp; Benefits'!$I$6</f>
        <v>0.22339999999999999</v>
      </c>
      <c r="AA906" s="22">
        <f t="shared" si="172"/>
        <v>23678.240000000002</v>
      </c>
      <c r="AB906" s="22">
        <f t="shared" si="173"/>
        <v>998.41</v>
      </c>
      <c r="AC906" s="22">
        <f t="shared" si="174"/>
        <v>223.04</v>
      </c>
      <c r="AD906" s="22">
        <f t="shared" si="176"/>
        <v>1221.45</v>
      </c>
      <c r="AE906" s="22">
        <f t="shared" si="177"/>
        <v>84804.29</v>
      </c>
      <c r="AF906" s="19" t="str">
        <f>VLOOKUP(C906,'2021-22 School Level AAFTE'!C:N,12,FALSE)</f>
        <v>No</v>
      </c>
    </row>
    <row r="907" spans="1:32" s="19" customFormat="1">
      <c r="A907" s="97" t="s">
        <v>2514</v>
      </c>
      <c r="B907" s="97" t="s">
        <v>1959</v>
      </c>
      <c r="C907" s="95">
        <v>3198</v>
      </c>
      <c r="D907" s="95" t="s">
        <v>1961</v>
      </c>
      <c r="E907" s="129">
        <f>VLOOKUP($C907,'2021-22 School Level AAFTE'!$C:$Z,11,FALSE)</f>
        <v>0.6081333333333333</v>
      </c>
      <c r="F907" s="129" t="str">
        <f>VLOOKUP($C907,'2021-22 School Level AAFTE'!$C:$Z,8,FALSE)</f>
        <v>Yes</v>
      </c>
      <c r="G907" s="129" t="str">
        <f>VLOOKUP($C907,'2021-22 School Level AAFTE'!$C:$Z,12,FALSE)</f>
        <v>No</v>
      </c>
      <c r="H907" s="127">
        <f>VLOOKUP($C907,'2021-22 School Level AAFTE'!$C:$I,7,FALSE)</f>
        <v>219.57</v>
      </c>
      <c r="I907" s="112">
        <f>IFERROR(IF(OR(G907="yes",F907= "yes"),VLOOKUP(C907,Summary!$B:$J,6,0),0),0)</f>
        <v>0</v>
      </c>
      <c r="J907" s="111">
        <f t="shared" ref="J907:J970" si="180">IF(OR(G907="yes",F907= "yes"), H907,0)</f>
        <v>219.57</v>
      </c>
      <c r="K907" s="91">
        <f>VLOOKUP($A907,'2022-23 Salary &amp; Benefits'!$A:$I,3,FALSE)</f>
        <v>1</v>
      </c>
      <c r="L907" s="91">
        <f>VLOOKUP($A907,'2022-23 Salary &amp; Benefits'!$A:$I,4,FALSE)</f>
        <v>1.04</v>
      </c>
      <c r="M907" s="39">
        <f t="shared" si="175"/>
        <v>219.57</v>
      </c>
      <c r="N907" s="24">
        <v>15</v>
      </c>
      <c r="O907" s="26">
        <f t="shared" si="178"/>
        <v>14.638</v>
      </c>
      <c r="P907" s="24">
        <v>1.1000000000000001</v>
      </c>
      <c r="Q907" s="24">
        <v>36</v>
      </c>
      <c r="R907" s="27">
        <f t="shared" si="179"/>
        <v>579.66480000000001</v>
      </c>
      <c r="S907" s="102">
        <f t="shared" ref="S907:S970" si="181">ROUND(IF(M907="no",0,R907/900),3)</f>
        <v>0.64400000000000002</v>
      </c>
      <c r="T907" s="21">
        <f>VLOOKUP($A907,'2022-23 Salary &amp; Benefits'!$A:$I,5,FALSE)</f>
        <v>68937</v>
      </c>
      <c r="U907" s="21">
        <f>VLOOKUP($A907,'2022-23 Salary &amp; Benefits'!$A:$I,6,FALSE)</f>
        <v>72728</v>
      </c>
      <c r="V907" s="22">
        <f t="shared" ref="V907:V970" si="182">ROUND($K907*$T907*$S907,2)</f>
        <v>44395.43</v>
      </c>
      <c r="W907" s="22">
        <f t="shared" ref="W907:W970" si="183">ROUND($L907*$U907*$S907,2)-V907</f>
        <v>4314.8799999999974</v>
      </c>
      <c r="X907" s="22">
        <f>'2022-23 Salary &amp; Benefits'!$G$6</f>
        <v>12558.24</v>
      </c>
      <c r="Y907" s="23">
        <f>'2022-23 Salary &amp; Benefits'!$H$6</f>
        <v>0.2298</v>
      </c>
      <c r="Z907" s="23">
        <f>'2022-23 Salary &amp; Benefits'!$I$6</f>
        <v>0.22339999999999999</v>
      </c>
      <c r="AA907" s="22">
        <f t="shared" ref="AA907:AA970" si="184">ROUND(V907*Y907+W907*Z907+S907*X907,2)</f>
        <v>19253.52</v>
      </c>
      <c r="AB907" s="22">
        <f t="shared" ref="AB907:AB970" si="185">ROUND(($U907*$L907*$S907/180*3),2)</f>
        <v>811.84</v>
      </c>
      <c r="AC907" s="22">
        <f t="shared" ref="AC907:AC970" si="186">ROUND(AB907*Z907,2)</f>
        <v>181.37</v>
      </c>
      <c r="AD907" s="22">
        <f t="shared" si="176"/>
        <v>993.21</v>
      </c>
      <c r="AE907" s="22">
        <f t="shared" si="177"/>
        <v>68957.039999999994</v>
      </c>
      <c r="AF907" s="19" t="str">
        <f>VLOOKUP(C907,'2021-22 School Level AAFTE'!C:N,12,FALSE)</f>
        <v>No</v>
      </c>
    </row>
    <row r="908" spans="1:32" s="19" customFormat="1">
      <c r="A908" s="97" t="s">
        <v>2514</v>
      </c>
      <c r="B908" s="97" t="s">
        <v>1959</v>
      </c>
      <c r="C908" s="95">
        <v>4206</v>
      </c>
      <c r="D908" s="95" t="s">
        <v>1962</v>
      </c>
      <c r="E908" s="129">
        <f>VLOOKUP($C908,'2021-22 School Level AAFTE'!$C:$Z,11,FALSE)</f>
        <v>0.56290000000000007</v>
      </c>
      <c r="F908" s="129" t="str">
        <f>VLOOKUP($C908,'2021-22 School Level AAFTE'!$C:$Z,8,FALSE)</f>
        <v>Yes</v>
      </c>
      <c r="G908" s="129" t="str">
        <f>VLOOKUP($C908,'2021-22 School Level AAFTE'!$C:$Z,12,FALSE)</f>
        <v>No</v>
      </c>
      <c r="H908" s="127">
        <f>VLOOKUP($C908,'2021-22 School Level AAFTE'!$C:$I,7,FALSE)</f>
        <v>234.69</v>
      </c>
      <c r="I908" s="112">
        <f>IFERROR(IF(OR(G908="yes",F908= "yes"),VLOOKUP(C908,Summary!$B:$J,6,0),0),0)</f>
        <v>0</v>
      </c>
      <c r="J908" s="111">
        <f t="shared" si="180"/>
        <v>234.69</v>
      </c>
      <c r="K908" s="91">
        <f>VLOOKUP($A908,'2022-23 Salary &amp; Benefits'!$A:$I,3,FALSE)</f>
        <v>1</v>
      </c>
      <c r="L908" s="91">
        <f>VLOOKUP($A908,'2022-23 Salary &amp; Benefits'!$A:$I,4,FALSE)</f>
        <v>1.04</v>
      </c>
      <c r="M908" s="39">
        <f t="shared" si="175"/>
        <v>234.69</v>
      </c>
      <c r="N908" s="24">
        <v>15</v>
      </c>
      <c r="O908" s="26">
        <f t="shared" si="178"/>
        <v>15.645999999999999</v>
      </c>
      <c r="P908" s="24">
        <v>1.1000000000000001</v>
      </c>
      <c r="Q908" s="24">
        <v>36</v>
      </c>
      <c r="R908" s="27">
        <f t="shared" si="179"/>
        <v>619.58159999999998</v>
      </c>
      <c r="S908" s="102">
        <f t="shared" si="181"/>
        <v>0.68799999999999994</v>
      </c>
      <c r="T908" s="21">
        <f>VLOOKUP($A908,'2022-23 Salary &amp; Benefits'!$A:$I,5,FALSE)</f>
        <v>68937</v>
      </c>
      <c r="U908" s="21">
        <f>VLOOKUP($A908,'2022-23 Salary &amp; Benefits'!$A:$I,6,FALSE)</f>
        <v>72728</v>
      </c>
      <c r="V908" s="22">
        <f t="shared" si="182"/>
        <v>47428.66</v>
      </c>
      <c r="W908" s="22">
        <f t="shared" si="183"/>
        <v>4609.679999999993</v>
      </c>
      <c r="X908" s="22">
        <f>'2022-23 Salary &amp; Benefits'!$G$6</f>
        <v>12558.24</v>
      </c>
      <c r="Y908" s="23">
        <f>'2022-23 Salary &amp; Benefits'!$H$6</f>
        <v>0.2298</v>
      </c>
      <c r="Z908" s="23">
        <f>'2022-23 Salary &amp; Benefits'!$I$6</f>
        <v>0.22339999999999999</v>
      </c>
      <c r="AA908" s="22">
        <f t="shared" si="184"/>
        <v>20568.98</v>
      </c>
      <c r="AB908" s="22">
        <f t="shared" si="185"/>
        <v>867.31</v>
      </c>
      <c r="AC908" s="22">
        <f t="shared" si="186"/>
        <v>193.76</v>
      </c>
      <c r="AD908" s="22">
        <f t="shared" si="176"/>
        <v>1061.07</v>
      </c>
      <c r="AE908" s="22">
        <f t="shared" si="177"/>
        <v>73668.39</v>
      </c>
      <c r="AF908" s="19" t="str">
        <f>VLOOKUP(C908,'2021-22 School Level AAFTE'!C:N,12,FALSE)</f>
        <v>No</v>
      </c>
    </row>
    <row r="909" spans="1:32" s="19" customFormat="1">
      <c r="A909" s="97" t="s">
        <v>2514</v>
      </c>
      <c r="B909" s="97" t="s">
        <v>1959</v>
      </c>
      <c r="C909" s="95">
        <v>5180</v>
      </c>
      <c r="D909" s="95" t="s">
        <v>1963</v>
      </c>
      <c r="E909" s="129">
        <f>VLOOKUP($C909,'2021-22 School Level AAFTE'!$C:$Z,11,FALSE)</f>
        <v>0.26763333333333333</v>
      </c>
      <c r="F909" s="129" t="str">
        <f>VLOOKUP($C909,'2021-22 School Level AAFTE'!$C:$Z,8,FALSE)</f>
        <v>No</v>
      </c>
      <c r="G909" s="129" t="str">
        <f>VLOOKUP($C909,'2021-22 School Level AAFTE'!$C:$Z,12,FALSE)</f>
        <v>No</v>
      </c>
      <c r="H909" s="127">
        <f>VLOOKUP($C909,'2021-22 School Level AAFTE'!$C:$I,7,FALSE)</f>
        <v>321.54000000000002</v>
      </c>
      <c r="I909" s="112">
        <f>IFERROR(IF(OR(G909="yes",F909= "yes"),VLOOKUP(C909,Summary!$B:$J,6,0),0),0)</f>
        <v>0</v>
      </c>
      <c r="J909" s="111">
        <f t="shared" si="180"/>
        <v>0</v>
      </c>
      <c r="K909" s="91">
        <f>VLOOKUP($A909,'2022-23 Salary &amp; Benefits'!$A:$I,3,FALSE)</f>
        <v>1</v>
      </c>
      <c r="L909" s="91">
        <f>VLOOKUP($A909,'2022-23 Salary &amp; Benefits'!$A:$I,4,FALSE)</f>
        <v>1.04</v>
      </c>
      <c r="M909" s="39">
        <f t="shared" si="175"/>
        <v>0</v>
      </c>
      <c r="N909" s="24">
        <v>15</v>
      </c>
      <c r="O909" s="26">
        <f t="shared" si="178"/>
        <v>0</v>
      </c>
      <c r="P909" s="24">
        <v>1.1000000000000001</v>
      </c>
      <c r="Q909" s="24">
        <v>36</v>
      </c>
      <c r="R909" s="27">
        <f t="shared" si="179"/>
        <v>0</v>
      </c>
      <c r="S909" s="102">
        <f t="shared" si="181"/>
        <v>0</v>
      </c>
      <c r="T909" s="21">
        <f>VLOOKUP($A909,'2022-23 Salary &amp; Benefits'!$A:$I,5,FALSE)</f>
        <v>68937</v>
      </c>
      <c r="U909" s="21">
        <f>VLOOKUP($A909,'2022-23 Salary &amp; Benefits'!$A:$I,6,FALSE)</f>
        <v>72728</v>
      </c>
      <c r="V909" s="22">
        <f t="shared" si="182"/>
        <v>0</v>
      </c>
      <c r="W909" s="22">
        <f t="shared" si="183"/>
        <v>0</v>
      </c>
      <c r="X909" s="22">
        <f>'2022-23 Salary &amp; Benefits'!$G$6</f>
        <v>12558.24</v>
      </c>
      <c r="Y909" s="23">
        <f>'2022-23 Salary &amp; Benefits'!$H$6</f>
        <v>0.2298</v>
      </c>
      <c r="Z909" s="23">
        <f>'2022-23 Salary &amp; Benefits'!$I$6</f>
        <v>0.22339999999999999</v>
      </c>
      <c r="AA909" s="22">
        <f t="shared" si="184"/>
        <v>0</v>
      </c>
      <c r="AB909" s="22">
        <f t="shared" si="185"/>
        <v>0</v>
      </c>
      <c r="AC909" s="22">
        <f t="shared" si="186"/>
        <v>0</v>
      </c>
      <c r="AD909" s="22">
        <f t="shared" si="176"/>
        <v>0</v>
      </c>
      <c r="AE909" s="22">
        <f t="shared" si="177"/>
        <v>0</v>
      </c>
      <c r="AF909" s="19" t="str">
        <f>VLOOKUP(C909,'2021-22 School Level AAFTE'!C:N,12,FALSE)</f>
        <v>No</v>
      </c>
    </row>
    <row r="910" spans="1:32" s="19" customFormat="1">
      <c r="A910" s="97" t="s">
        <v>2266</v>
      </c>
      <c r="B910" s="97" t="s">
        <v>62</v>
      </c>
      <c r="C910" s="95">
        <v>2759</v>
      </c>
      <c r="D910" s="95" t="s">
        <v>63</v>
      </c>
      <c r="E910" s="129">
        <f>VLOOKUP($C910,'2021-22 School Level AAFTE'!$C:$Z,11,FALSE)</f>
        <v>0.64746666666666675</v>
      </c>
      <c r="F910" s="129" t="str">
        <f>VLOOKUP($C910,'2021-22 School Level AAFTE'!$C:$Z,8,FALSE)</f>
        <v>Yes</v>
      </c>
      <c r="G910" s="129" t="str">
        <f>VLOOKUP($C910,'2021-22 School Level AAFTE'!$C:$Z,12,FALSE)</f>
        <v>No</v>
      </c>
      <c r="H910" s="127">
        <f>VLOOKUP($C910,'2021-22 School Level AAFTE'!$C:$I,7,FALSE)</f>
        <v>317.86</v>
      </c>
      <c r="I910" s="112">
        <f>IFERROR(IF(OR(G910="yes",F910= "yes"),VLOOKUP(C910,Summary!$B:$J,6,0),0),0)</f>
        <v>0</v>
      </c>
      <c r="J910" s="111">
        <f t="shared" si="180"/>
        <v>317.86</v>
      </c>
      <c r="K910" s="91">
        <f>VLOOKUP($A910,'2022-23 Salary &amp; Benefits'!$A:$I,3,FALSE)</f>
        <v>1</v>
      </c>
      <c r="L910" s="91">
        <f>VLOOKUP($A910,'2022-23 Salary &amp; Benefits'!$A:$I,4,FALSE)</f>
        <v>1</v>
      </c>
      <c r="M910" s="39">
        <f t="shared" si="175"/>
        <v>317.86</v>
      </c>
      <c r="N910" s="24">
        <v>15</v>
      </c>
      <c r="O910" s="26">
        <f t="shared" si="178"/>
        <v>21.190666666666669</v>
      </c>
      <c r="P910" s="24">
        <v>1.1000000000000001</v>
      </c>
      <c r="Q910" s="24">
        <v>36</v>
      </c>
      <c r="R910" s="27">
        <f t="shared" si="179"/>
        <v>839.1504000000001</v>
      </c>
      <c r="S910" s="102">
        <f t="shared" si="181"/>
        <v>0.93200000000000005</v>
      </c>
      <c r="T910" s="21">
        <f>VLOOKUP($A910,'2022-23 Salary &amp; Benefits'!$A:$I,5,FALSE)</f>
        <v>68937</v>
      </c>
      <c r="U910" s="21">
        <f>VLOOKUP($A910,'2022-23 Salary &amp; Benefits'!$A:$I,6,FALSE)</f>
        <v>72728</v>
      </c>
      <c r="V910" s="22">
        <f t="shared" si="182"/>
        <v>64249.279999999999</v>
      </c>
      <c r="W910" s="22">
        <f t="shared" si="183"/>
        <v>3533.2200000000012</v>
      </c>
      <c r="X910" s="22">
        <f>'2022-23 Salary &amp; Benefits'!$G$6</f>
        <v>12558.24</v>
      </c>
      <c r="Y910" s="23">
        <f>'2022-23 Salary &amp; Benefits'!$H$6</f>
        <v>0.2298</v>
      </c>
      <c r="Z910" s="23">
        <f>'2022-23 Salary &amp; Benefits'!$I$6</f>
        <v>0.22339999999999999</v>
      </c>
      <c r="AA910" s="22">
        <f t="shared" si="184"/>
        <v>27258.09</v>
      </c>
      <c r="AB910" s="22">
        <f t="shared" si="185"/>
        <v>1129.71</v>
      </c>
      <c r="AC910" s="22">
        <f t="shared" si="186"/>
        <v>252.38</v>
      </c>
      <c r="AD910" s="22">
        <f t="shared" si="176"/>
        <v>1382.0900000000001</v>
      </c>
      <c r="AE910" s="22">
        <f t="shared" si="177"/>
        <v>96422.68</v>
      </c>
      <c r="AF910" s="19" t="str">
        <f>VLOOKUP(C910,'2021-22 School Level AAFTE'!C:N,12,FALSE)</f>
        <v>No</v>
      </c>
    </row>
    <row r="911" spans="1:32" s="19" customFormat="1">
      <c r="A911" s="97" t="s">
        <v>2266</v>
      </c>
      <c r="B911" s="97" t="s">
        <v>62</v>
      </c>
      <c r="C911" s="95">
        <v>2904</v>
      </c>
      <c r="D911" s="95" t="s">
        <v>64</v>
      </c>
      <c r="E911" s="129">
        <f>VLOOKUP($C911,'2021-22 School Level AAFTE'!$C:$Z,11,FALSE)</f>
        <v>0.68096666666666661</v>
      </c>
      <c r="F911" s="129" t="str">
        <f>VLOOKUP($C911,'2021-22 School Level AAFTE'!$C:$Z,8,FALSE)</f>
        <v>Yes</v>
      </c>
      <c r="G911" s="129" t="str">
        <f>VLOOKUP($C911,'2021-22 School Level AAFTE'!$C:$Z,12,FALSE)</f>
        <v>No</v>
      </c>
      <c r="H911" s="127">
        <f>VLOOKUP($C911,'2021-22 School Level AAFTE'!$C:$I,7,FALSE)</f>
        <v>397.26000000000005</v>
      </c>
      <c r="I911" s="112">
        <f>IFERROR(IF(OR(G911="yes",F911= "yes"),VLOOKUP(C911,Summary!$B:$J,6,0),0),0)</f>
        <v>0</v>
      </c>
      <c r="J911" s="111">
        <f t="shared" si="180"/>
        <v>397.26000000000005</v>
      </c>
      <c r="K911" s="91">
        <f>VLOOKUP($A911,'2022-23 Salary &amp; Benefits'!$A:$I,3,FALSE)</f>
        <v>1</v>
      </c>
      <c r="L911" s="91">
        <f>VLOOKUP($A911,'2022-23 Salary &amp; Benefits'!$A:$I,4,FALSE)</f>
        <v>1</v>
      </c>
      <c r="M911" s="39">
        <f t="shared" si="175"/>
        <v>397.26000000000005</v>
      </c>
      <c r="N911" s="24">
        <v>15</v>
      </c>
      <c r="O911" s="26">
        <f t="shared" si="178"/>
        <v>26.484000000000002</v>
      </c>
      <c r="P911" s="24">
        <v>1.1000000000000001</v>
      </c>
      <c r="Q911" s="24">
        <v>36</v>
      </c>
      <c r="R911" s="27">
        <f t="shared" si="179"/>
        <v>1048.7664000000002</v>
      </c>
      <c r="S911" s="102">
        <f t="shared" si="181"/>
        <v>1.165</v>
      </c>
      <c r="T911" s="21">
        <f>VLOOKUP($A911,'2022-23 Salary &amp; Benefits'!$A:$I,5,FALSE)</f>
        <v>68937</v>
      </c>
      <c r="U911" s="21">
        <f>VLOOKUP($A911,'2022-23 Salary &amp; Benefits'!$A:$I,6,FALSE)</f>
        <v>72728</v>
      </c>
      <c r="V911" s="22">
        <f t="shared" si="182"/>
        <v>80311.61</v>
      </c>
      <c r="W911" s="22">
        <f t="shared" si="183"/>
        <v>4416.5099999999948</v>
      </c>
      <c r="X911" s="22">
        <f>'2022-23 Salary &amp; Benefits'!$G$6</f>
        <v>12558.24</v>
      </c>
      <c r="Y911" s="23">
        <f>'2022-23 Salary &amp; Benefits'!$H$6</f>
        <v>0.2298</v>
      </c>
      <c r="Z911" s="23">
        <f>'2022-23 Salary &amp; Benefits'!$I$6</f>
        <v>0.22339999999999999</v>
      </c>
      <c r="AA911" s="22">
        <f t="shared" si="184"/>
        <v>34072.61</v>
      </c>
      <c r="AB911" s="22">
        <f t="shared" si="185"/>
        <v>1412.14</v>
      </c>
      <c r="AC911" s="22">
        <f t="shared" si="186"/>
        <v>315.47000000000003</v>
      </c>
      <c r="AD911" s="22">
        <f t="shared" si="176"/>
        <v>1727.6100000000001</v>
      </c>
      <c r="AE911" s="22">
        <f t="shared" si="177"/>
        <v>120528.34</v>
      </c>
      <c r="AF911" s="19" t="str">
        <f>VLOOKUP(C911,'2021-22 School Level AAFTE'!C:N,12,FALSE)</f>
        <v>No</v>
      </c>
    </row>
    <row r="912" spans="1:32" s="19" customFormat="1">
      <c r="A912" s="97" t="s">
        <v>2266</v>
      </c>
      <c r="B912" s="97" t="s">
        <v>62</v>
      </c>
      <c r="C912" s="95">
        <v>3961</v>
      </c>
      <c r="D912" s="95" t="s">
        <v>65</v>
      </c>
      <c r="E912" s="129">
        <f>VLOOKUP($C912,'2021-22 School Level AAFTE'!$C:$Z,11,FALSE)</f>
        <v>0.74239999999999995</v>
      </c>
      <c r="F912" s="129" t="str">
        <f>VLOOKUP($C912,'2021-22 School Level AAFTE'!$C:$Z,8,FALSE)</f>
        <v>Yes</v>
      </c>
      <c r="G912" s="129" t="str">
        <f>VLOOKUP($C912,'2021-22 School Level AAFTE'!$C:$Z,12,FALSE)</f>
        <v>No</v>
      </c>
      <c r="H912" s="127">
        <f>VLOOKUP($C912,'2021-22 School Level AAFTE'!$C:$I,7,FALSE)</f>
        <v>334.49</v>
      </c>
      <c r="I912" s="112">
        <f>IFERROR(IF(OR(G912="yes",F912= "yes"),VLOOKUP(C912,Summary!$B:$J,6,0),0),0)</f>
        <v>0</v>
      </c>
      <c r="J912" s="111">
        <f t="shared" si="180"/>
        <v>334.49</v>
      </c>
      <c r="K912" s="91">
        <f>VLOOKUP($A912,'2022-23 Salary &amp; Benefits'!$A:$I,3,FALSE)</f>
        <v>1</v>
      </c>
      <c r="L912" s="91">
        <f>VLOOKUP($A912,'2022-23 Salary &amp; Benefits'!$A:$I,4,FALSE)</f>
        <v>1</v>
      </c>
      <c r="M912" s="39">
        <f t="shared" si="175"/>
        <v>334.49</v>
      </c>
      <c r="N912" s="24">
        <v>15</v>
      </c>
      <c r="O912" s="26">
        <f t="shared" si="178"/>
        <v>22.299333333333333</v>
      </c>
      <c r="P912" s="24">
        <v>1.1000000000000001</v>
      </c>
      <c r="Q912" s="24">
        <v>36</v>
      </c>
      <c r="R912" s="27">
        <f t="shared" si="179"/>
        <v>883.05360000000007</v>
      </c>
      <c r="S912" s="102">
        <f t="shared" si="181"/>
        <v>0.98099999999999998</v>
      </c>
      <c r="T912" s="21">
        <f>VLOOKUP($A912,'2022-23 Salary &amp; Benefits'!$A:$I,5,FALSE)</f>
        <v>68937</v>
      </c>
      <c r="U912" s="21">
        <f>VLOOKUP($A912,'2022-23 Salary &amp; Benefits'!$A:$I,6,FALSE)</f>
        <v>72728</v>
      </c>
      <c r="V912" s="22">
        <f t="shared" si="182"/>
        <v>67627.199999999997</v>
      </c>
      <c r="W912" s="22">
        <f t="shared" si="183"/>
        <v>3718.9700000000012</v>
      </c>
      <c r="X912" s="22">
        <f>'2022-23 Salary &amp; Benefits'!$G$6</f>
        <v>12558.24</v>
      </c>
      <c r="Y912" s="23">
        <f>'2022-23 Salary &amp; Benefits'!$H$6</f>
        <v>0.2298</v>
      </c>
      <c r="Z912" s="23">
        <f>'2022-23 Salary &amp; Benefits'!$I$6</f>
        <v>0.22339999999999999</v>
      </c>
      <c r="AA912" s="22">
        <f t="shared" si="184"/>
        <v>28691.18</v>
      </c>
      <c r="AB912" s="22">
        <f t="shared" si="185"/>
        <v>1189.0999999999999</v>
      </c>
      <c r="AC912" s="22">
        <f t="shared" si="186"/>
        <v>265.64</v>
      </c>
      <c r="AD912" s="22">
        <f t="shared" si="176"/>
        <v>1454.7399999999998</v>
      </c>
      <c r="AE912" s="22">
        <f t="shared" si="177"/>
        <v>101492.09000000001</v>
      </c>
      <c r="AF912" s="19" t="str">
        <f>VLOOKUP(C912,'2021-22 School Level AAFTE'!C:N,12,FALSE)</f>
        <v>No</v>
      </c>
    </row>
    <row r="913" spans="1:32" s="19" customFormat="1">
      <c r="A913" s="97" t="s">
        <v>2266</v>
      </c>
      <c r="B913" s="97" t="s">
        <v>62</v>
      </c>
      <c r="C913" s="95">
        <v>4217</v>
      </c>
      <c r="D913" s="95" t="s">
        <v>66</v>
      </c>
      <c r="E913" s="129">
        <f>VLOOKUP($C913,'2021-22 School Level AAFTE'!$C:$Z,11,FALSE)</f>
        <v>0.75146666666666662</v>
      </c>
      <c r="F913" s="129" t="str">
        <f>VLOOKUP($C913,'2021-22 School Level AAFTE'!$C:$Z,8,FALSE)</f>
        <v>Yes</v>
      </c>
      <c r="G913" s="129" t="str">
        <f>VLOOKUP($C913,'2021-22 School Level AAFTE'!$C:$Z,12,FALSE)</f>
        <v>No</v>
      </c>
      <c r="H913" s="127">
        <f>VLOOKUP($C913,'2021-22 School Level AAFTE'!$C:$I,7,FALSE)</f>
        <v>345.86</v>
      </c>
      <c r="I913" s="112">
        <f>IFERROR(IF(OR(G913="yes",F913= "yes"),VLOOKUP(C913,Summary!$B:$J,6,0),0),0)</f>
        <v>0</v>
      </c>
      <c r="J913" s="111">
        <f t="shared" si="180"/>
        <v>345.86</v>
      </c>
      <c r="K913" s="91">
        <f>VLOOKUP($A913,'2022-23 Salary &amp; Benefits'!$A:$I,3,FALSE)</f>
        <v>1</v>
      </c>
      <c r="L913" s="91">
        <f>VLOOKUP($A913,'2022-23 Salary &amp; Benefits'!$A:$I,4,FALSE)</f>
        <v>1</v>
      </c>
      <c r="M913" s="39">
        <f t="shared" si="175"/>
        <v>345.86</v>
      </c>
      <c r="N913" s="24">
        <v>15</v>
      </c>
      <c r="O913" s="26">
        <f t="shared" si="178"/>
        <v>23.057333333333336</v>
      </c>
      <c r="P913" s="24">
        <v>1.1000000000000001</v>
      </c>
      <c r="Q913" s="24">
        <v>36</v>
      </c>
      <c r="R913" s="27">
        <f t="shared" si="179"/>
        <v>913.07040000000018</v>
      </c>
      <c r="S913" s="102">
        <f t="shared" si="181"/>
        <v>1.0149999999999999</v>
      </c>
      <c r="T913" s="21">
        <f>VLOOKUP($A913,'2022-23 Salary &amp; Benefits'!$A:$I,5,FALSE)</f>
        <v>68937</v>
      </c>
      <c r="U913" s="21">
        <f>VLOOKUP($A913,'2022-23 Salary &amp; Benefits'!$A:$I,6,FALSE)</f>
        <v>72728</v>
      </c>
      <c r="V913" s="22">
        <f t="shared" si="182"/>
        <v>69971.06</v>
      </c>
      <c r="W913" s="22">
        <f t="shared" si="183"/>
        <v>3847.8600000000006</v>
      </c>
      <c r="X913" s="22">
        <f>'2022-23 Salary &amp; Benefits'!$G$6</f>
        <v>12558.24</v>
      </c>
      <c r="Y913" s="23">
        <f>'2022-23 Salary &amp; Benefits'!$H$6</f>
        <v>0.2298</v>
      </c>
      <c r="Z913" s="23">
        <f>'2022-23 Salary &amp; Benefits'!$I$6</f>
        <v>0.22339999999999999</v>
      </c>
      <c r="AA913" s="22">
        <f t="shared" si="184"/>
        <v>29685.58</v>
      </c>
      <c r="AB913" s="22">
        <f t="shared" si="185"/>
        <v>1230.32</v>
      </c>
      <c r="AC913" s="22">
        <f t="shared" si="186"/>
        <v>274.85000000000002</v>
      </c>
      <c r="AD913" s="22">
        <f t="shared" si="176"/>
        <v>1505.17</v>
      </c>
      <c r="AE913" s="22">
        <f t="shared" si="177"/>
        <v>105009.67</v>
      </c>
      <c r="AF913" s="19" t="str">
        <f>VLOOKUP(C913,'2021-22 School Level AAFTE'!C:N,12,FALSE)</f>
        <v>No</v>
      </c>
    </row>
    <row r="914" spans="1:32" s="19" customFormat="1">
      <c r="A914" s="97" t="s">
        <v>2381</v>
      </c>
      <c r="B914" s="97" t="s">
        <v>1095</v>
      </c>
      <c r="C914" s="95">
        <v>2569</v>
      </c>
      <c r="D914" s="95" t="s">
        <v>1096</v>
      </c>
      <c r="E914" s="129">
        <f>VLOOKUP($C914,'2021-22 School Level AAFTE'!$C:$Z,11,FALSE)</f>
        <v>0.46173333333333333</v>
      </c>
      <c r="F914" s="129" t="str">
        <f>VLOOKUP($C914,'2021-22 School Level AAFTE'!$C:$Z,8,FALSE)</f>
        <v>No</v>
      </c>
      <c r="G914" s="129" t="str">
        <f>VLOOKUP($C914,'2021-22 School Level AAFTE'!$C:$Z,12,FALSE)</f>
        <v>No</v>
      </c>
      <c r="H914" s="127">
        <f>VLOOKUP($C914,'2021-22 School Level AAFTE'!$C:$I,7,FALSE)</f>
        <v>251.29</v>
      </c>
      <c r="I914" s="112">
        <f>IFERROR(IF(OR(G914="yes",F914= "yes"),VLOOKUP(C914,Summary!$B:$J,6,0),0),0)</f>
        <v>0</v>
      </c>
      <c r="J914" s="111">
        <f t="shared" si="180"/>
        <v>0</v>
      </c>
      <c r="K914" s="91">
        <f>VLOOKUP($A914,'2022-23 Salary &amp; Benefits'!$A:$I,3,FALSE)</f>
        <v>1</v>
      </c>
      <c r="L914" s="91">
        <f>VLOOKUP($A914,'2022-23 Salary &amp; Benefits'!$A:$I,4,FALSE)</f>
        <v>1</v>
      </c>
      <c r="M914" s="39">
        <f t="shared" si="175"/>
        <v>0</v>
      </c>
      <c r="N914" s="24">
        <v>15</v>
      </c>
      <c r="O914" s="26">
        <f t="shared" si="178"/>
        <v>0</v>
      </c>
      <c r="P914" s="24">
        <v>1.1000000000000001</v>
      </c>
      <c r="Q914" s="24">
        <v>36</v>
      </c>
      <c r="R914" s="27">
        <f t="shared" si="179"/>
        <v>0</v>
      </c>
      <c r="S914" s="102">
        <f t="shared" si="181"/>
        <v>0</v>
      </c>
      <c r="T914" s="21">
        <f>VLOOKUP($A914,'2022-23 Salary &amp; Benefits'!$A:$I,5,FALSE)</f>
        <v>68937</v>
      </c>
      <c r="U914" s="21">
        <f>VLOOKUP($A914,'2022-23 Salary &amp; Benefits'!$A:$I,6,FALSE)</f>
        <v>72728</v>
      </c>
      <c r="V914" s="22">
        <f t="shared" si="182"/>
        <v>0</v>
      </c>
      <c r="W914" s="22">
        <f t="shared" si="183"/>
        <v>0</v>
      </c>
      <c r="X914" s="22">
        <f>'2022-23 Salary &amp; Benefits'!$G$6</f>
        <v>12558.24</v>
      </c>
      <c r="Y914" s="23">
        <f>'2022-23 Salary &amp; Benefits'!$H$6</f>
        <v>0.2298</v>
      </c>
      <c r="Z914" s="23">
        <f>'2022-23 Salary &amp; Benefits'!$I$6</f>
        <v>0.22339999999999999</v>
      </c>
      <c r="AA914" s="22">
        <f t="shared" si="184"/>
        <v>0</v>
      </c>
      <c r="AB914" s="22">
        <f t="shared" si="185"/>
        <v>0</v>
      </c>
      <c r="AC914" s="22">
        <f t="shared" si="186"/>
        <v>0</v>
      </c>
      <c r="AD914" s="22">
        <f t="shared" si="176"/>
        <v>0</v>
      </c>
      <c r="AE914" s="22">
        <f t="shared" si="177"/>
        <v>0</v>
      </c>
      <c r="AF914" s="19" t="str">
        <f>VLOOKUP(C914,'2021-22 School Level AAFTE'!C:N,12,FALSE)</f>
        <v>No</v>
      </c>
    </row>
    <row r="915" spans="1:32" s="19" customFormat="1">
      <c r="A915" s="97" t="s">
        <v>2381</v>
      </c>
      <c r="B915" s="97" t="s">
        <v>1095</v>
      </c>
      <c r="C915" s="95">
        <v>2766</v>
      </c>
      <c r="D915" s="95" t="s">
        <v>1097</v>
      </c>
      <c r="E915" s="129">
        <f>VLOOKUP($C915,'2021-22 School Level AAFTE'!$C:$Z,11,FALSE)</f>
        <v>0.46379999999999999</v>
      </c>
      <c r="F915" s="129" t="str">
        <f>VLOOKUP($C915,'2021-22 School Level AAFTE'!$C:$Z,8,FALSE)</f>
        <v>No</v>
      </c>
      <c r="G915" s="129" t="str">
        <f>VLOOKUP($C915,'2021-22 School Level AAFTE'!$C:$Z,12,FALSE)</f>
        <v>No</v>
      </c>
      <c r="H915" s="127">
        <f>VLOOKUP($C915,'2021-22 School Level AAFTE'!$C:$I,7,FALSE)</f>
        <v>327.84000000000003</v>
      </c>
      <c r="I915" s="112">
        <f>IFERROR(IF(OR(G915="yes",F915= "yes"),VLOOKUP(C915,Summary!$B:$J,6,0),0),0)</f>
        <v>0</v>
      </c>
      <c r="J915" s="111">
        <f t="shared" si="180"/>
        <v>0</v>
      </c>
      <c r="K915" s="91">
        <f>VLOOKUP($A915,'2022-23 Salary &amp; Benefits'!$A:$I,3,FALSE)</f>
        <v>1</v>
      </c>
      <c r="L915" s="91">
        <f>VLOOKUP($A915,'2022-23 Salary &amp; Benefits'!$A:$I,4,FALSE)</f>
        <v>1</v>
      </c>
      <c r="M915" s="39">
        <f t="shared" si="175"/>
        <v>0</v>
      </c>
      <c r="N915" s="24">
        <v>15</v>
      </c>
      <c r="O915" s="26">
        <f t="shared" si="178"/>
        <v>0</v>
      </c>
      <c r="P915" s="24">
        <v>1.1000000000000001</v>
      </c>
      <c r="Q915" s="24">
        <v>36</v>
      </c>
      <c r="R915" s="27">
        <f t="shared" si="179"/>
        <v>0</v>
      </c>
      <c r="S915" s="102">
        <f t="shared" si="181"/>
        <v>0</v>
      </c>
      <c r="T915" s="21">
        <f>VLOOKUP($A915,'2022-23 Salary &amp; Benefits'!$A:$I,5,FALSE)</f>
        <v>68937</v>
      </c>
      <c r="U915" s="21">
        <f>VLOOKUP($A915,'2022-23 Salary &amp; Benefits'!$A:$I,6,FALSE)</f>
        <v>72728</v>
      </c>
      <c r="V915" s="22">
        <f t="shared" si="182"/>
        <v>0</v>
      </c>
      <c r="W915" s="22">
        <f t="shared" si="183"/>
        <v>0</v>
      </c>
      <c r="X915" s="22">
        <f>'2022-23 Salary &amp; Benefits'!$G$6</f>
        <v>12558.24</v>
      </c>
      <c r="Y915" s="23">
        <f>'2022-23 Salary &amp; Benefits'!$H$6</f>
        <v>0.2298</v>
      </c>
      <c r="Z915" s="23">
        <f>'2022-23 Salary &amp; Benefits'!$I$6</f>
        <v>0.22339999999999999</v>
      </c>
      <c r="AA915" s="22">
        <f t="shared" si="184"/>
        <v>0</v>
      </c>
      <c r="AB915" s="22">
        <f t="shared" si="185"/>
        <v>0</v>
      </c>
      <c r="AC915" s="22">
        <f t="shared" si="186"/>
        <v>0</v>
      </c>
      <c r="AD915" s="22">
        <f t="shared" si="176"/>
        <v>0</v>
      </c>
      <c r="AE915" s="22">
        <f t="shared" si="177"/>
        <v>0</v>
      </c>
      <c r="AF915" s="19" t="str">
        <f>VLOOKUP(C915,'2021-22 School Level AAFTE'!C:N,12,FALSE)</f>
        <v>No</v>
      </c>
    </row>
    <row r="916" spans="1:32" s="19" customFormat="1">
      <c r="A916" s="97" t="s">
        <v>2388</v>
      </c>
      <c r="B916" s="97" t="s">
        <v>1116</v>
      </c>
      <c r="C916" s="95">
        <v>3494</v>
      </c>
      <c r="D916" s="95" t="s">
        <v>1117</v>
      </c>
      <c r="E916" s="129">
        <f>VLOOKUP($C916,'2021-22 School Level AAFTE'!$C:$Z,11,FALSE)</f>
        <v>0.50873333333333326</v>
      </c>
      <c r="F916" s="129" t="str">
        <f>VLOOKUP($C916,'2021-22 School Level AAFTE'!$C:$Z,8,FALSE)</f>
        <v>Yes</v>
      </c>
      <c r="G916" s="129" t="str">
        <f>VLOOKUP($C916,'2021-22 School Level AAFTE'!$C:$Z,12,FALSE)</f>
        <v>No</v>
      </c>
      <c r="H916" s="127">
        <f>VLOOKUP($C916,'2021-22 School Level AAFTE'!$C:$I,7,FALSE)</f>
        <v>93.59</v>
      </c>
      <c r="I916" s="112">
        <f>IFERROR(IF(OR(G916="yes",F916= "yes"),VLOOKUP(C916,Summary!$B:$J,6,0),0),0)</f>
        <v>0</v>
      </c>
      <c r="J916" s="111">
        <f t="shared" si="180"/>
        <v>93.59</v>
      </c>
      <c r="K916" s="91">
        <f>VLOOKUP($A916,'2022-23 Salary &amp; Benefits'!$A:$I,3,FALSE)</f>
        <v>1</v>
      </c>
      <c r="L916" s="91">
        <f>VLOOKUP($A916,'2022-23 Salary &amp; Benefits'!$A:$I,4,FALSE)</f>
        <v>1.04</v>
      </c>
      <c r="M916" s="39">
        <f t="shared" si="175"/>
        <v>93.59</v>
      </c>
      <c r="N916" s="24">
        <v>15</v>
      </c>
      <c r="O916" s="26">
        <f t="shared" si="178"/>
        <v>6.2393333333333336</v>
      </c>
      <c r="P916" s="24">
        <v>1.1000000000000001</v>
      </c>
      <c r="Q916" s="24">
        <v>36</v>
      </c>
      <c r="R916" s="27">
        <f t="shared" si="179"/>
        <v>247.07760000000005</v>
      </c>
      <c r="S916" s="102">
        <f t="shared" si="181"/>
        <v>0.27500000000000002</v>
      </c>
      <c r="T916" s="21">
        <f>VLOOKUP($A916,'2022-23 Salary &amp; Benefits'!$A:$I,5,FALSE)</f>
        <v>68937</v>
      </c>
      <c r="U916" s="21">
        <f>VLOOKUP($A916,'2022-23 Salary &amp; Benefits'!$A:$I,6,FALSE)</f>
        <v>72728</v>
      </c>
      <c r="V916" s="22">
        <f t="shared" si="182"/>
        <v>18957.68</v>
      </c>
      <c r="W916" s="22">
        <f t="shared" si="183"/>
        <v>1842.5299999999988</v>
      </c>
      <c r="X916" s="22">
        <f>'2022-23 Salary &amp; Benefits'!$G$6</f>
        <v>12558.24</v>
      </c>
      <c r="Y916" s="23">
        <f>'2022-23 Salary &amp; Benefits'!$H$6</f>
        <v>0.2298</v>
      </c>
      <c r="Z916" s="23">
        <f>'2022-23 Salary &amp; Benefits'!$I$6</f>
        <v>0.22339999999999999</v>
      </c>
      <c r="AA916" s="22">
        <f t="shared" si="184"/>
        <v>8221.61</v>
      </c>
      <c r="AB916" s="22">
        <f t="shared" si="185"/>
        <v>346.67</v>
      </c>
      <c r="AC916" s="22">
        <f t="shared" si="186"/>
        <v>77.45</v>
      </c>
      <c r="AD916" s="22">
        <f t="shared" si="176"/>
        <v>424.12</v>
      </c>
      <c r="AE916" s="22">
        <f t="shared" si="177"/>
        <v>29445.94</v>
      </c>
      <c r="AF916" s="19" t="str">
        <f>VLOOKUP(C916,'2021-22 School Level AAFTE'!C:N,12,FALSE)</f>
        <v>No</v>
      </c>
    </row>
    <row r="917" spans="1:32" s="28" customFormat="1">
      <c r="A917" s="97" t="s">
        <v>2464</v>
      </c>
      <c r="B917" s="97" t="s">
        <v>1569</v>
      </c>
      <c r="C917" s="95">
        <v>2276</v>
      </c>
      <c r="D917" s="95" t="s">
        <v>1570</v>
      </c>
      <c r="E917" s="129">
        <f>VLOOKUP($C917,'2021-22 School Level AAFTE'!$C:$Z,11,FALSE)</f>
        <v>0.5159666666666668</v>
      </c>
      <c r="F917" s="129" t="str">
        <f>VLOOKUP($C917,'2021-22 School Level AAFTE'!$C:$Z,8,FALSE)</f>
        <v>Yes</v>
      </c>
      <c r="G917" s="129" t="str">
        <f>VLOOKUP($C917,'2021-22 School Level AAFTE'!$C:$Z,12,FALSE)</f>
        <v>No</v>
      </c>
      <c r="H917" s="127">
        <f>VLOOKUP($C917,'2021-22 School Level AAFTE'!$C:$I,7,FALSE)</f>
        <v>211.16</v>
      </c>
      <c r="I917" s="112">
        <f>IFERROR(IF(OR(G917="yes",F917= "yes"),VLOOKUP(C917,Summary!$B:$J,6,0),0),0)</f>
        <v>0</v>
      </c>
      <c r="J917" s="111">
        <f t="shared" si="180"/>
        <v>211.16</v>
      </c>
      <c r="K917" s="91">
        <f>VLOOKUP($A917,'2022-23 Salary &amp; Benefits'!$A:$I,3,FALSE)</f>
        <v>1.1200000000000001</v>
      </c>
      <c r="L917" s="91">
        <f>VLOOKUP($A917,'2022-23 Salary &amp; Benefits'!$A:$I,4,FALSE)</f>
        <v>1.1600000000000001</v>
      </c>
      <c r="M917" s="39">
        <f t="shared" si="175"/>
        <v>211.16</v>
      </c>
      <c r="N917" s="24">
        <v>15</v>
      </c>
      <c r="O917" s="26">
        <f t="shared" si="178"/>
        <v>14.077333333333334</v>
      </c>
      <c r="P917" s="24">
        <v>1.1000000000000001</v>
      </c>
      <c r="Q917" s="24">
        <v>36</v>
      </c>
      <c r="R917" s="27">
        <f t="shared" si="179"/>
        <v>557.46240000000012</v>
      </c>
      <c r="S917" s="102">
        <f t="shared" si="181"/>
        <v>0.61899999999999999</v>
      </c>
      <c r="T917" s="21">
        <f>VLOOKUP($A917,'2022-23 Salary &amp; Benefits'!$A:$I,5,FALSE)</f>
        <v>68937</v>
      </c>
      <c r="U917" s="21">
        <f>VLOOKUP($A917,'2022-23 Salary &amp; Benefits'!$A:$I,6,FALSE)</f>
        <v>72728</v>
      </c>
      <c r="V917" s="22">
        <f t="shared" si="182"/>
        <v>47792.639999999999</v>
      </c>
      <c r="W917" s="22">
        <f t="shared" si="183"/>
        <v>4428.9700000000012</v>
      </c>
      <c r="X917" s="22">
        <f>'2022-23 Salary &amp; Benefits'!$G$6</f>
        <v>12558.24</v>
      </c>
      <c r="Y917" s="23">
        <f>'2022-23 Salary &amp; Benefits'!$H$6</f>
        <v>0.2298</v>
      </c>
      <c r="Z917" s="23">
        <f>'2022-23 Salary &amp; Benefits'!$I$6</f>
        <v>0.22339999999999999</v>
      </c>
      <c r="AA917" s="22">
        <f t="shared" si="184"/>
        <v>19745.73</v>
      </c>
      <c r="AB917" s="22">
        <f t="shared" si="185"/>
        <v>870.36</v>
      </c>
      <c r="AC917" s="22">
        <f t="shared" si="186"/>
        <v>194.44</v>
      </c>
      <c r="AD917" s="22">
        <f t="shared" si="176"/>
        <v>1064.8</v>
      </c>
      <c r="AE917" s="22">
        <f t="shared" si="177"/>
        <v>73032.14</v>
      </c>
      <c r="AF917" s="19" t="str">
        <f>VLOOKUP(C917,'2021-22 School Level AAFTE'!C:N,12,FALSE)</f>
        <v>No</v>
      </c>
    </row>
    <row r="918" spans="1:32" s="19" customFormat="1">
      <c r="A918" s="97" t="s">
        <v>2464</v>
      </c>
      <c r="B918" s="97" t="s">
        <v>1569</v>
      </c>
      <c r="C918" s="95">
        <v>2522</v>
      </c>
      <c r="D918" s="95" t="s">
        <v>1571</v>
      </c>
      <c r="E918" s="129">
        <f>VLOOKUP($C918,'2021-22 School Level AAFTE'!$C:$Z,11,FALSE)</f>
        <v>0.54640000000000011</v>
      </c>
      <c r="F918" s="129" t="str">
        <f>VLOOKUP($C918,'2021-22 School Level AAFTE'!$C:$Z,8,FALSE)</f>
        <v>Yes</v>
      </c>
      <c r="G918" s="129" t="str">
        <f>VLOOKUP($C918,'2021-22 School Level AAFTE'!$C:$Z,12,FALSE)</f>
        <v>No</v>
      </c>
      <c r="H918" s="127">
        <f>VLOOKUP($C918,'2021-22 School Level AAFTE'!$C:$I,7,FALSE)</f>
        <v>229</v>
      </c>
      <c r="I918" s="112">
        <f>IFERROR(IF(OR(G918="yes",F918= "yes"),VLOOKUP(C918,Summary!$B:$J,6,0),0),0)</f>
        <v>0</v>
      </c>
      <c r="J918" s="111">
        <f t="shared" si="180"/>
        <v>229</v>
      </c>
      <c r="K918" s="91">
        <f>VLOOKUP($A918,'2022-23 Salary &amp; Benefits'!$A:$I,3,FALSE)</f>
        <v>1.1200000000000001</v>
      </c>
      <c r="L918" s="91">
        <f>VLOOKUP($A918,'2022-23 Salary &amp; Benefits'!$A:$I,4,FALSE)</f>
        <v>1.1600000000000001</v>
      </c>
      <c r="M918" s="39">
        <f t="shared" si="175"/>
        <v>229</v>
      </c>
      <c r="N918" s="24">
        <v>15</v>
      </c>
      <c r="O918" s="26">
        <f t="shared" si="178"/>
        <v>15.266666666666667</v>
      </c>
      <c r="P918" s="24">
        <v>1.1000000000000001</v>
      </c>
      <c r="Q918" s="24">
        <v>36</v>
      </c>
      <c r="R918" s="27">
        <f t="shared" si="179"/>
        <v>604.56000000000017</v>
      </c>
      <c r="S918" s="102">
        <f t="shared" si="181"/>
        <v>0.67200000000000004</v>
      </c>
      <c r="T918" s="21">
        <f>VLOOKUP($A918,'2022-23 Salary &amp; Benefits'!$A:$I,5,FALSE)</f>
        <v>68937</v>
      </c>
      <c r="U918" s="21">
        <f>VLOOKUP($A918,'2022-23 Salary &amp; Benefits'!$A:$I,6,FALSE)</f>
        <v>72728</v>
      </c>
      <c r="V918" s="22">
        <f t="shared" si="182"/>
        <v>51884.74</v>
      </c>
      <c r="W918" s="22">
        <f t="shared" si="183"/>
        <v>4808.1900000000023</v>
      </c>
      <c r="X918" s="22">
        <f>'2022-23 Salary &amp; Benefits'!$G$6</f>
        <v>12558.24</v>
      </c>
      <c r="Y918" s="23">
        <f>'2022-23 Salary &amp; Benefits'!$H$6</f>
        <v>0.2298</v>
      </c>
      <c r="Z918" s="23">
        <f>'2022-23 Salary &amp; Benefits'!$I$6</f>
        <v>0.22339999999999999</v>
      </c>
      <c r="AA918" s="22">
        <f t="shared" si="184"/>
        <v>21436.400000000001</v>
      </c>
      <c r="AB918" s="22">
        <f t="shared" si="185"/>
        <v>944.88</v>
      </c>
      <c r="AC918" s="22">
        <f t="shared" si="186"/>
        <v>211.09</v>
      </c>
      <c r="AD918" s="22">
        <f t="shared" si="176"/>
        <v>1155.97</v>
      </c>
      <c r="AE918" s="22">
        <f t="shared" si="177"/>
        <v>79285.3</v>
      </c>
      <c r="AF918" s="19" t="str">
        <f>VLOOKUP(C918,'2021-22 School Level AAFTE'!C:N,12,FALSE)</f>
        <v>No</v>
      </c>
    </row>
    <row r="919" spans="1:32" s="19" customFormat="1">
      <c r="A919" s="97" t="s">
        <v>2464</v>
      </c>
      <c r="B919" s="97" t="s">
        <v>1569</v>
      </c>
      <c r="C919" s="95">
        <v>3900</v>
      </c>
      <c r="D919" s="95" t="s">
        <v>1572</v>
      </c>
      <c r="E919" s="129">
        <f>VLOOKUP($C919,'2021-22 School Level AAFTE'!$C:$Z,11,FALSE)</f>
        <v>0.62863333333333338</v>
      </c>
      <c r="F919" s="129" t="str">
        <f>VLOOKUP($C919,'2021-22 School Level AAFTE'!$C:$Z,8,FALSE)</f>
        <v>Yes</v>
      </c>
      <c r="G919" s="129" t="str">
        <f>VLOOKUP($C919,'2021-22 School Level AAFTE'!$C:$Z,12,FALSE)</f>
        <v>No</v>
      </c>
      <c r="H919" s="127">
        <f>VLOOKUP($C919,'2021-22 School Level AAFTE'!$C:$I,7,FALSE)</f>
        <v>132.01</v>
      </c>
      <c r="I919" s="112">
        <f>IFERROR(IF(OR(G919="yes",F919= "yes"),VLOOKUP(C919,Summary!$B:$J,6,0),0),0)</f>
        <v>0</v>
      </c>
      <c r="J919" s="111">
        <f t="shared" si="180"/>
        <v>132.01</v>
      </c>
      <c r="K919" s="91">
        <f>VLOOKUP($A919,'2022-23 Salary &amp; Benefits'!$A:$I,3,FALSE)</f>
        <v>1.1200000000000001</v>
      </c>
      <c r="L919" s="91">
        <f>VLOOKUP($A919,'2022-23 Salary &amp; Benefits'!$A:$I,4,FALSE)</f>
        <v>1.1600000000000001</v>
      </c>
      <c r="M919" s="39">
        <f t="shared" si="175"/>
        <v>132.01</v>
      </c>
      <c r="N919" s="24">
        <v>15</v>
      </c>
      <c r="O919" s="26">
        <f t="shared" si="178"/>
        <v>8.8006666666666664</v>
      </c>
      <c r="P919" s="24">
        <v>1.1000000000000001</v>
      </c>
      <c r="Q919" s="24">
        <v>36</v>
      </c>
      <c r="R919" s="27">
        <f t="shared" si="179"/>
        <v>348.50640000000004</v>
      </c>
      <c r="S919" s="102">
        <f t="shared" si="181"/>
        <v>0.38700000000000001</v>
      </c>
      <c r="T919" s="21">
        <f>VLOOKUP($A919,'2022-23 Salary &amp; Benefits'!$A:$I,5,FALSE)</f>
        <v>68937</v>
      </c>
      <c r="U919" s="21">
        <f>VLOOKUP($A919,'2022-23 Salary &amp; Benefits'!$A:$I,6,FALSE)</f>
        <v>72728</v>
      </c>
      <c r="V919" s="22">
        <f t="shared" si="182"/>
        <v>29880.05</v>
      </c>
      <c r="W919" s="22">
        <f t="shared" si="183"/>
        <v>2769</v>
      </c>
      <c r="X919" s="22">
        <f>'2022-23 Salary &amp; Benefits'!$G$6</f>
        <v>12558.24</v>
      </c>
      <c r="Y919" s="23">
        <f>'2022-23 Salary &amp; Benefits'!$H$6</f>
        <v>0.2298</v>
      </c>
      <c r="Z919" s="23">
        <f>'2022-23 Salary &amp; Benefits'!$I$6</f>
        <v>0.22339999999999999</v>
      </c>
      <c r="AA919" s="22">
        <f t="shared" si="184"/>
        <v>12345.07</v>
      </c>
      <c r="AB919" s="22">
        <f t="shared" si="185"/>
        <v>544.15</v>
      </c>
      <c r="AC919" s="22">
        <f t="shared" si="186"/>
        <v>121.56</v>
      </c>
      <c r="AD919" s="22">
        <f t="shared" si="176"/>
        <v>665.71</v>
      </c>
      <c r="AE919" s="22">
        <f t="shared" si="177"/>
        <v>45659.829999999994</v>
      </c>
      <c r="AF919" s="19" t="str">
        <f>VLOOKUP(C919,'2021-22 School Level AAFTE'!C:N,12,FALSE)</f>
        <v>No</v>
      </c>
    </row>
    <row r="920" spans="1:32" s="19" customFormat="1">
      <c r="A920" s="97" t="s">
        <v>2285</v>
      </c>
      <c r="B920" s="97" t="s">
        <v>206</v>
      </c>
      <c r="C920" s="95">
        <v>2558</v>
      </c>
      <c r="D920" s="95" t="s">
        <v>207</v>
      </c>
      <c r="E920" s="129">
        <f>VLOOKUP($C920,'2021-22 School Level AAFTE'!$C:$Z,11,FALSE)</f>
        <v>0.24243333333333336</v>
      </c>
      <c r="F920" s="129" t="str">
        <f>VLOOKUP($C920,'2021-22 School Level AAFTE'!$C:$Z,8,FALSE)</f>
        <v>No</v>
      </c>
      <c r="G920" s="129" t="str">
        <f>VLOOKUP($C920,'2021-22 School Level AAFTE'!$C:$Z,12,FALSE)</f>
        <v>No</v>
      </c>
      <c r="H920" s="127">
        <f>VLOOKUP($C920,'2021-22 School Level AAFTE'!$C:$I,7,FALSE)</f>
        <v>697.15</v>
      </c>
      <c r="I920" s="112">
        <f>IFERROR(IF(OR(G920="yes",F920= "yes"),VLOOKUP(C920,Summary!$B:$J,6,0),0),0)</f>
        <v>0</v>
      </c>
      <c r="J920" s="111">
        <f t="shared" si="180"/>
        <v>0</v>
      </c>
      <c r="K920" s="91">
        <f>VLOOKUP($A920,'2022-23 Salary &amp; Benefits'!$A:$I,3,FALSE)</f>
        <v>1.06</v>
      </c>
      <c r="L920" s="91">
        <f>VLOOKUP($A920,'2022-23 Salary &amp; Benefits'!$A:$I,4,FALSE)</f>
        <v>1.1000000000000001</v>
      </c>
      <c r="M920" s="39">
        <f t="shared" si="175"/>
        <v>0</v>
      </c>
      <c r="N920" s="24">
        <v>15</v>
      </c>
      <c r="O920" s="26">
        <f t="shared" si="178"/>
        <v>0</v>
      </c>
      <c r="P920" s="24">
        <v>1.1000000000000001</v>
      </c>
      <c r="Q920" s="24">
        <v>36</v>
      </c>
      <c r="R920" s="27">
        <f t="shared" si="179"/>
        <v>0</v>
      </c>
      <c r="S920" s="102">
        <f t="shared" si="181"/>
        <v>0</v>
      </c>
      <c r="T920" s="21">
        <f>VLOOKUP($A920,'2022-23 Salary &amp; Benefits'!$A:$I,5,FALSE)</f>
        <v>68937</v>
      </c>
      <c r="U920" s="21">
        <f>VLOOKUP($A920,'2022-23 Salary &amp; Benefits'!$A:$I,6,FALSE)</f>
        <v>72728</v>
      </c>
      <c r="V920" s="22">
        <f t="shared" si="182"/>
        <v>0</v>
      </c>
      <c r="W920" s="22">
        <f t="shared" si="183"/>
        <v>0</v>
      </c>
      <c r="X920" s="22">
        <f>'2022-23 Salary &amp; Benefits'!$G$6</f>
        <v>12558.24</v>
      </c>
      <c r="Y920" s="23">
        <f>'2022-23 Salary &amp; Benefits'!$H$6</f>
        <v>0.2298</v>
      </c>
      <c r="Z920" s="23">
        <f>'2022-23 Salary &amp; Benefits'!$I$6</f>
        <v>0.22339999999999999</v>
      </c>
      <c r="AA920" s="22">
        <f t="shared" si="184"/>
        <v>0</v>
      </c>
      <c r="AB920" s="22">
        <f t="shared" si="185"/>
        <v>0</v>
      </c>
      <c r="AC920" s="22">
        <f t="shared" si="186"/>
        <v>0</v>
      </c>
      <c r="AD920" s="22">
        <f t="shared" si="176"/>
        <v>0</v>
      </c>
      <c r="AE920" s="22">
        <f t="shared" si="177"/>
        <v>0</v>
      </c>
      <c r="AF920" s="19" t="str">
        <f>VLOOKUP(C920,'2021-22 School Level AAFTE'!C:N,12,FALSE)</f>
        <v>No</v>
      </c>
    </row>
    <row r="921" spans="1:32" s="19" customFormat="1">
      <c r="A921" s="97" t="s">
        <v>2285</v>
      </c>
      <c r="B921" s="97" t="s">
        <v>206</v>
      </c>
      <c r="C921" s="95">
        <v>3371</v>
      </c>
      <c r="D921" s="95" t="s">
        <v>208</v>
      </c>
      <c r="E921" s="129">
        <f>VLOOKUP($C921,'2021-22 School Level AAFTE'!$C:$Z,11,FALSE)</f>
        <v>0.24126666666666666</v>
      </c>
      <c r="F921" s="129" t="str">
        <f>VLOOKUP($C921,'2021-22 School Level AAFTE'!$C:$Z,8,FALSE)</f>
        <v>No</v>
      </c>
      <c r="G921" s="129" t="str">
        <f>VLOOKUP($C921,'2021-22 School Level AAFTE'!$C:$Z,12,FALSE)</f>
        <v>No</v>
      </c>
      <c r="H921" s="127">
        <f>VLOOKUP($C921,'2021-22 School Level AAFTE'!$C:$I,7,FALSE)</f>
        <v>409.3</v>
      </c>
      <c r="I921" s="112">
        <f>IFERROR(IF(OR(G921="yes",F921= "yes"),VLOOKUP(C921,Summary!$B:$J,6,0),0),0)</f>
        <v>0</v>
      </c>
      <c r="J921" s="111">
        <f t="shared" si="180"/>
        <v>0</v>
      </c>
      <c r="K921" s="91">
        <f>VLOOKUP($A921,'2022-23 Salary &amp; Benefits'!$A:$I,3,FALSE)</f>
        <v>1.06</v>
      </c>
      <c r="L921" s="91">
        <f>VLOOKUP($A921,'2022-23 Salary &amp; Benefits'!$A:$I,4,FALSE)</f>
        <v>1.1000000000000001</v>
      </c>
      <c r="M921" s="39">
        <f t="shared" si="175"/>
        <v>0</v>
      </c>
      <c r="N921" s="24">
        <v>15</v>
      </c>
      <c r="O921" s="26">
        <f t="shared" si="178"/>
        <v>0</v>
      </c>
      <c r="P921" s="24">
        <v>1.1000000000000001</v>
      </c>
      <c r="Q921" s="24">
        <v>36</v>
      </c>
      <c r="R921" s="27">
        <f t="shared" si="179"/>
        <v>0</v>
      </c>
      <c r="S921" s="102">
        <f t="shared" si="181"/>
        <v>0</v>
      </c>
      <c r="T921" s="21">
        <f>VLOOKUP($A921,'2022-23 Salary &amp; Benefits'!$A:$I,5,FALSE)</f>
        <v>68937</v>
      </c>
      <c r="U921" s="21">
        <f>VLOOKUP($A921,'2022-23 Salary &amp; Benefits'!$A:$I,6,FALSE)</f>
        <v>72728</v>
      </c>
      <c r="V921" s="22">
        <f t="shared" si="182"/>
        <v>0</v>
      </c>
      <c r="W921" s="22">
        <f t="shared" si="183"/>
        <v>0</v>
      </c>
      <c r="X921" s="22">
        <f>'2022-23 Salary &amp; Benefits'!$G$6</f>
        <v>12558.24</v>
      </c>
      <c r="Y921" s="23">
        <f>'2022-23 Salary &amp; Benefits'!$H$6</f>
        <v>0.2298</v>
      </c>
      <c r="Z921" s="23">
        <f>'2022-23 Salary &amp; Benefits'!$I$6</f>
        <v>0.22339999999999999</v>
      </c>
      <c r="AA921" s="22">
        <f t="shared" si="184"/>
        <v>0</v>
      </c>
      <c r="AB921" s="22">
        <f t="shared" si="185"/>
        <v>0</v>
      </c>
      <c r="AC921" s="22">
        <f t="shared" si="186"/>
        <v>0</v>
      </c>
      <c r="AD921" s="22">
        <f t="shared" si="176"/>
        <v>0</v>
      </c>
      <c r="AE921" s="22">
        <f t="shared" si="177"/>
        <v>0</v>
      </c>
      <c r="AF921" s="19" t="str">
        <f>VLOOKUP(C921,'2021-22 School Level AAFTE'!C:N,12,FALSE)</f>
        <v>No</v>
      </c>
    </row>
    <row r="922" spans="1:32" s="19" customFormat="1">
      <c r="A922" s="97" t="s">
        <v>2285</v>
      </c>
      <c r="B922" s="97" t="s">
        <v>206</v>
      </c>
      <c r="C922" s="95">
        <v>4431</v>
      </c>
      <c r="D922" s="95" t="s">
        <v>209</v>
      </c>
      <c r="E922" s="129">
        <f>VLOOKUP($C922,'2021-22 School Level AAFTE'!$C:$Z,11,FALSE)</f>
        <v>0.21766666666666667</v>
      </c>
      <c r="F922" s="129" t="str">
        <f>VLOOKUP($C922,'2021-22 School Level AAFTE'!$C:$Z,8,FALSE)</f>
        <v>No</v>
      </c>
      <c r="G922" s="129" t="str">
        <f>VLOOKUP($C922,'2021-22 School Level AAFTE'!$C:$Z,12,FALSE)</f>
        <v>No</v>
      </c>
      <c r="H922" s="127">
        <f>VLOOKUP($C922,'2021-22 School Level AAFTE'!$C:$I,7,FALSE)</f>
        <v>480.83</v>
      </c>
      <c r="I922" s="112">
        <f>IFERROR(IF(OR(G922="yes",F922= "yes"),VLOOKUP(C922,Summary!$B:$J,6,0),0),0)</f>
        <v>0</v>
      </c>
      <c r="J922" s="111">
        <f t="shared" si="180"/>
        <v>0</v>
      </c>
      <c r="K922" s="91">
        <f>VLOOKUP($A922,'2022-23 Salary &amp; Benefits'!$A:$I,3,FALSE)</f>
        <v>1.06</v>
      </c>
      <c r="L922" s="91">
        <f>VLOOKUP($A922,'2022-23 Salary &amp; Benefits'!$A:$I,4,FALSE)</f>
        <v>1.1000000000000001</v>
      </c>
      <c r="M922" s="39">
        <f t="shared" si="175"/>
        <v>0</v>
      </c>
      <c r="N922" s="24">
        <v>15</v>
      </c>
      <c r="O922" s="26">
        <f t="shared" si="178"/>
        <v>0</v>
      </c>
      <c r="P922" s="24">
        <v>1.1000000000000001</v>
      </c>
      <c r="Q922" s="24">
        <v>36</v>
      </c>
      <c r="R922" s="27">
        <f t="shared" si="179"/>
        <v>0</v>
      </c>
      <c r="S922" s="102">
        <f t="shared" si="181"/>
        <v>0</v>
      </c>
      <c r="T922" s="21">
        <f>VLOOKUP($A922,'2022-23 Salary &amp; Benefits'!$A:$I,5,FALSE)</f>
        <v>68937</v>
      </c>
      <c r="U922" s="21">
        <f>VLOOKUP($A922,'2022-23 Salary &amp; Benefits'!$A:$I,6,FALSE)</f>
        <v>72728</v>
      </c>
      <c r="V922" s="22">
        <f t="shared" si="182"/>
        <v>0</v>
      </c>
      <c r="W922" s="22">
        <f t="shared" si="183"/>
        <v>0</v>
      </c>
      <c r="X922" s="22">
        <f>'2022-23 Salary &amp; Benefits'!$G$6</f>
        <v>12558.24</v>
      </c>
      <c r="Y922" s="23">
        <f>'2022-23 Salary &amp; Benefits'!$H$6</f>
        <v>0.2298</v>
      </c>
      <c r="Z922" s="23">
        <f>'2022-23 Salary &amp; Benefits'!$I$6</f>
        <v>0.22339999999999999</v>
      </c>
      <c r="AA922" s="22">
        <f t="shared" si="184"/>
        <v>0</v>
      </c>
      <c r="AB922" s="22">
        <f t="shared" si="185"/>
        <v>0</v>
      </c>
      <c r="AC922" s="22">
        <f t="shared" si="186"/>
        <v>0</v>
      </c>
      <c r="AD922" s="22">
        <f t="shared" si="176"/>
        <v>0</v>
      </c>
      <c r="AE922" s="22">
        <f t="shared" si="177"/>
        <v>0</v>
      </c>
      <c r="AF922" s="19" t="str">
        <f>VLOOKUP(C922,'2021-22 School Level AAFTE'!C:N,12,FALSE)</f>
        <v>No</v>
      </c>
    </row>
    <row r="923" spans="1:32" s="19" customFormat="1">
      <c r="A923" s="97" t="s">
        <v>2285</v>
      </c>
      <c r="B923" s="97" t="s">
        <v>206</v>
      </c>
      <c r="C923" s="95">
        <v>5326</v>
      </c>
      <c r="D923" s="95" t="s">
        <v>210</v>
      </c>
      <c r="E923" s="129">
        <f>VLOOKUP($C923,'2021-22 School Level AAFTE'!$C:$Z,11,FALSE)</f>
        <v>0.16973333333333332</v>
      </c>
      <c r="F923" s="129" t="str">
        <f>VLOOKUP($C923,'2021-22 School Level AAFTE'!$C:$Z,8,FALSE)</f>
        <v>No</v>
      </c>
      <c r="G923" s="129" t="str">
        <f>VLOOKUP($C923,'2021-22 School Level AAFTE'!$C:$Z,12,FALSE)</f>
        <v>No</v>
      </c>
      <c r="H923" s="127">
        <f>VLOOKUP($C923,'2021-22 School Level AAFTE'!$C:$I,7,FALSE)</f>
        <v>85.35</v>
      </c>
      <c r="I923" s="112">
        <f>IFERROR(IF(OR(G923="yes",F923= "yes"),VLOOKUP(C923,Summary!$B:$J,6,0),0),0)</f>
        <v>0</v>
      </c>
      <c r="J923" s="111">
        <f t="shared" si="180"/>
        <v>0</v>
      </c>
      <c r="K923" s="91">
        <f>VLOOKUP($A923,'2022-23 Salary &amp; Benefits'!$A:$I,3,FALSE)</f>
        <v>1.06</v>
      </c>
      <c r="L923" s="91">
        <f>VLOOKUP($A923,'2022-23 Salary &amp; Benefits'!$A:$I,4,FALSE)</f>
        <v>1.1000000000000001</v>
      </c>
      <c r="M923" s="39">
        <f t="shared" si="175"/>
        <v>0</v>
      </c>
      <c r="N923" s="24">
        <v>15</v>
      </c>
      <c r="O923" s="26">
        <f t="shared" si="178"/>
        <v>0</v>
      </c>
      <c r="P923" s="24">
        <v>1.1000000000000001</v>
      </c>
      <c r="Q923" s="24">
        <v>36</v>
      </c>
      <c r="R923" s="27">
        <f t="shared" si="179"/>
        <v>0</v>
      </c>
      <c r="S923" s="102">
        <f t="shared" si="181"/>
        <v>0</v>
      </c>
      <c r="T923" s="21">
        <f>VLOOKUP($A923,'2022-23 Salary &amp; Benefits'!$A:$I,5,FALSE)</f>
        <v>68937</v>
      </c>
      <c r="U923" s="21">
        <f>VLOOKUP($A923,'2022-23 Salary &amp; Benefits'!$A:$I,6,FALSE)</f>
        <v>72728</v>
      </c>
      <c r="V923" s="22">
        <f t="shared" si="182"/>
        <v>0</v>
      </c>
      <c r="W923" s="22">
        <f t="shared" si="183"/>
        <v>0</v>
      </c>
      <c r="X923" s="22">
        <f>'2022-23 Salary &amp; Benefits'!$G$6</f>
        <v>12558.24</v>
      </c>
      <c r="Y923" s="23">
        <f>'2022-23 Salary &amp; Benefits'!$H$6</f>
        <v>0.2298</v>
      </c>
      <c r="Z923" s="23">
        <f>'2022-23 Salary &amp; Benefits'!$I$6</f>
        <v>0.22339999999999999</v>
      </c>
      <c r="AA923" s="22">
        <f t="shared" si="184"/>
        <v>0</v>
      </c>
      <c r="AB923" s="22">
        <f t="shared" si="185"/>
        <v>0</v>
      </c>
      <c r="AC923" s="22">
        <f t="shared" si="186"/>
        <v>0</v>
      </c>
      <c r="AD923" s="22">
        <f t="shared" si="176"/>
        <v>0</v>
      </c>
      <c r="AE923" s="22">
        <f t="shared" si="177"/>
        <v>0</v>
      </c>
      <c r="AF923" s="19" t="str">
        <f>VLOOKUP(C923,'2021-22 School Level AAFTE'!C:N,12,FALSE)</f>
        <v>No</v>
      </c>
    </row>
    <row r="924" spans="1:32" s="19" customFormat="1">
      <c r="A924" s="137" t="s">
        <v>2540</v>
      </c>
      <c r="B924" s="97" t="s">
        <v>2130</v>
      </c>
      <c r="C924" s="138">
        <v>2087</v>
      </c>
      <c r="D924" s="56" t="s">
        <v>2131</v>
      </c>
      <c r="E924" s="129">
        <f>VLOOKUP($C924,'2021-22 School Level AAFTE'!$C:$Z,11,FALSE)</f>
        <v>0.48303333333333337</v>
      </c>
      <c r="F924" s="129" t="str">
        <f>VLOOKUP($C924,'2021-22 School Level AAFTE'!$C:$Z,8,FALSE)</f>
        <v>No</v>
      </c>
      <c r="G924" s="129" t="str">
        <f>VLOOKUP($C924,'2021-22 School Level AAFTE'!$C:$Z,12,FALSE)</f>
        <v>No</v>
      </c>
      <c r="H924" s="127">
        <f>VLOOKUP($C924,'2021-22 School Level AAFTE'!$C:$I,7,FALSE)</f>
        <v>37.43</v>
      </c>
      <c r="I924" s="112">
        <f>IFERROR(IF(OR(G924="yes",F924= "yes"),VLOOKUP(C924,Summary!$B:$J,6,0),0),0)</f>
        <v>0</v>
      </c>
      <c r="J924" s="111">
        <f t="shared" si="180"/>
        <v>0</v>
      </c>
      <c r="K924" s="91">
        <f>VLOOKUP($A924,'2022-23 Salary &amp; Benefits'!$A:$I,3,FALSE)</f>
        <v>1</v>
      </c>
      <c r="L924" s="91">
        <f>VLOOKUP($A924,'2022-23 Salary &amp; Benefits'!$A:$I,4,FALSE)</f>
        <v>1.04</v>
      </c>
      <c r="M924" s="39">
        <f t="shared" si="175"/>
        <v>0</v>
      </c>
      <c r="N924" s="24">
        <v>15</v>
      </c>
      <c r="O924" s="26">
        <f t="shared" si="178"/>
        <v>0</v>
      </c>
      <c r="P924" s="24">
        <v>1.1000000000000001</v>
      </c>
      <c r="Q924" s="24">
        <v>36</v>
      </c>
      <c r="R924" s="27">
        <f t="shared" si="179"/>
        <v>0</v>
      </c>
      <c r="S924" s="102">
        <f t="shared" si="181"/>
        <v>0</v>
      </c>
      <c r="T924" s="21">
        <f>VLOOKUP($A924,'2022-23 Salary &amp; Benefits'!$A:$I,5,FALSE)</f>
        <v>68937</v>
      </c>
      <c r="U924" s="21">
        <f>VLOOKUP($A924,'2022-23 Salary &amp; Benefits'!$A:$I,6,FALSE)</f>
        <v>72728</v>
      </c>
      <c r="V924" s="22">
        <f t="shared" si="182"/>
        <v>0</v>
      </c>
      <c r="W924" s="22">
        <f t="shared" si="183"/>
        <v>0</v>
      </c>
      <c r="X924" s="22">
        <f>'2022-23 Salary &amp; Benefits'!$G$6</f>
        <v>12558.24</v>
      </c>
      <c r="Y924" s="23">
        <f>'2022-23 Salary &amp; Benefits'!$H$6</f>
        <v>0.2298</v>
      </c>
      <c r="Z924" s="23">
        <f>'2022-23 Salary &amp; Benefits'!$I$6</f>
        <v>0.22339999999999999</v>
      </c>
      <c r="AA924" s="22">
        <f t="shared" si="184"/>
        <v>0</v>
      </c>
      <c r="AB924" s="22">
        <f t="shared" si="185"/>
        <v>0</v>
      </c>
      <c r="AC924" s="22">
        <f t="shared" si="186"/>
        <v>0</v>
      </c>
      <c r="AD924" s="22">
        <f t="shared" si="176"/>
        <v>0</v>
      </c>
      <c r="AE924" s="22">
        <f t="shared" si="177"/>
        <v>0</v>
      </c>
      <c r="AF924" s="19" t="str">
        <f>VLOOKUP(C924,'2021-22 School Level AAFTE'!C:N,12,FALSE)</f>
        <v>No</v>
      </c>
    </row>
    <row r="925" spans="1:32" s="19" customFormat="1">
      <c r="A925" s="97" t="s">
        <v>2540</v>
      </c>
      <c r="B925" s="97" t="s">
        <v>2130</v>
      </c>
      <c r="C925" s="95">
        <v>2088</v>
      </c>
      <c r="D925" s="95" t="s">
        <v>2132</v>
      </c>
      <c r="E925" s="129">
        <f>VLOOKUP($C925,'2021-22 School Level AAFTE'!$C:$Z,11,FALSE)</f>
        <v>0.3177666666666667</v>
      </c>
      <c r="F925" s="129" t="str">
        <f>VLOOKUP($C925,'2021-22 School Level AAFTE'!$C:$Z,8,FALSE)</f>
        <v>No</v>
      </c>
      <c r="G925" s="129" t="str">
        <f>VLOOKUP($C925,'2021-22 School Level AAFTE'!$C:$Z,12,FALSE)</f>
        <v>No</v>
      </c>
      <c r="H925" s="127">
        <f>VLOOKUP($C925,'2021-22 School Level AAFTE'!$C:$I,7,FALSE)</f>
        <v>42.86</v>
      </c>
      <c r="I925" s="112">
        <f>IFERROR(IF(OR(G925="yes",F925= "yes"),VLOOKUP(C925,Summary!$B:$J,6,0),0),0)</f>
        <v>0</v>
      </c>
      <c r="J925" s="111">
        <f t="shared" si="180"/>
        <v>0</v>
      </c>
      <c r="K925" s="91">
        <f>VLOOKUP($A925,'2022-23 Salary &amp; Benefits'!$A:$I,3,FALSE)</f>
        <v>1</v>
      </c>
      <c r="L925" s="91">
        <f>VLOOKUP($A925,'2022-23 Salary &amp; Benefits'!$A:$I,4,FALSE)</f>
        <v>1.04</v>
      </c>
      <c r="M925" s="39">
        <f t="shared" si="175"/>
        <v>0</v>
      </c>
      <c r="N925" s="24">
        <v>15</v>
      </c>
      <c r="O925" s="26">
        <f t="shared" si="178"/>
        <v>0</v>
      </c>
      <c r="P925" s="24">
        <v>1.1000000000000001</v>
      </c>
      <c r="Q925" s="24">
        <v>36</v>
      </c>
      <c r="R925" s="27">
        <f t="shared" si="179"/>
        <v>0</v>
      </c>
      <c r="S925" s="102">
        <f t="shared" si="181"/>
        <v>0</v>
      </c>
      <c r="T925" s="21">
        <f>VLOOKUP($A925,'2022-23 Salary &amp; Benefits'!$A:$I,5,FALSE)</f>
        <v>68937</v>
      </c>
      <c r="U925" s="21">
        <f>VLOOKUP($A925,'2022-23 Salary &amp; Benefits'!$A:$I,6,FALSE)</f>
        <v>72728</v>
      </c>
      <c r="V925" s="22">
        <f t="shared" si="182"/>
        <v>0</v>
      </c>
      <c r="W925" s="22">
        <f t="shared" si="183"/>
        <v>0</v>
      </c>
      <c r="X925" s="22">
        <f>'2022-23 Salary &amp; Benefits'!$G$6</f>
        <v>12558.24</v>
      </c>
      <c r="Y925" s="23">
        <f>'2022-23 Salary &amp; Benefits'!$H$6</f>
        <v>0.2298</v>
      </c>
      <c r="Z925" s="23">
        <f>'2022-23 Salary &amp; Benefits'!$I$6</f>
        <v>0.22339999999999999</v>
      </c>
      <c r="AA925" s="22">
        <f t="shared" si="184"/>
        <v>0</v>
      </c>
      <c r="AB925" s="22">
        <f t="shared" si="185"/>
        <v>0</v>
      </c>
      <c r="AC925" s="22">
        <f t="shared" si="186"/>
        <v>0</v>
      </c>
      <c r="AD925" s="22">
        <f t="shared" si="176"/>
        <v>0</v>
      </c>
      <c r="AE925" s="22">
        <f t="shared" si="177"/>
        <v>0</v>
      </c>
      <c r="AF925" s="19" t="str">
        <f>VLOOKUP(C925,'2021-22 School Level AAFTE'!C:N,12,FALSE)</f>
        <v>No</v>
      </c>
    </row>
    <row r="926" spans="1:32" s="19" customFormat="1">
      <c r="A926" s="97" t="s">
        <v>2273</v>
      </c>
      <c r="B926" s="97" t="s">
        <v>105</v>
      </c>
      <c r="C926" s="95">
        <v>1940</v>
      </c>
      <c r="D926" s="95" t="s">
        <v>106</v>
      </c>
      <c r="E926" s="129">
        <f>VLOOKUP($C926,'2021-22 School Level AAFTE'!$C:$Z,11,FALSE)</f>
        <v>0.68603333333333338</v>
      </c>
      <c r="F926" s="129" t="str">
        <f>VLOOKUP($C926,'2021-22 School Level AAFTE'!$C:$Z,8,FALSE)</f>
        <v>Yes</v>
      </c>
      <c r="G926" s="129" t="str">
        <f>VLOOKUP($C926,'2021-22 School Level AAFTE'!$C:$Z,12,FALSE)</f>
        <v>No</v>
      </c>
      <c r="H926" s="127">
        <f>VLOOKUP($C926,'2021-22 School Level AAFTE'!$C:$I,7,FALSE)</f>
        <v>25.29</v>
      </c>
      <c r="I926" s="112">
        <f>IFERROR(IF(OR(G926="yes",F926= "yes"),VLOOKUP(C926,Summary!$B:$J,6,0),0),0)</f>
        <v>0</v>
      </c>
      <c r="J926" s="111">
        <f t="shared" si="180"/>
        <v>25.29</v>
      </c>
      <c r="K926" s="91">
        <f>VLOOKUP($A926,'2022-23 Salary &amp; Benefits'!$A:$I,3,FALSE)</f>
        <v>1</v>
      </c>
      <c r="L926" s="91">
        <f>VLOOKUP($A926,'2022-23 Salary &amp; Benefits'!$A:$I,4,FALSE)</f>
        <v>1</v>
      </c>
      <c r="M926" s="101">
        <f t="shared" si="175"/>
        <v>25.29</v>
      </c>
      <c r="N926" s="24">
        <v>15</v>
      </c>
      <c r="O926" s="26">
        <f t="shared" si="178"/>
        <v>1.6859999999999999</v>
      </c>
      <c r="P926" s="24">
        <v>1.1000000000000001</v>
      </c>
      <c r="Q926" s="24">
        <v>36</v>
      </c>
      <c r="R926" s="27">
        <f t="shared" si="179"/>
        <v>66.765600000000006</v>
      </c>
      <c r="S926" s="102">
        <f t="shared" si="181"/>
        <v>7.3999999999999996E-2</v>
      </c>
      <c r="T926" s="21">
        <f>VLOOKUP($A926,'2022-23 Salary &amp; Benefits'!$A:$I,5,FALSE)</f>
        <v>68937</v>
      </c>
      <c r="U926" s="21">
        <f>VLOOKUP($A926,'2022-23 Salary &amp; Benefits'!$A:$I,6,FALSE)</f>
        <v>72728</v>
      </c>
      <c r="V926" s="22">
        <f t="shared" si="182"/>
        <v>5101.34</v>
      </c>
      <c r="W926" s="22">
        <f t="shared" si="183"/>
        <v>280.52999999999975</v>
      </c>
      <c r="X926" s="22">
        <f>'2022-23 Salary &amp; Benefits'!$G$6</f>
        <v>12558.24</v>
      </c>
      <c r="Y926" s="23">
        <f>'2022-23 Salary &amp; Benefits'!$H$6</f>
        <v>0.2298</v>
      </c>
      <c r="Z926" s="23">
        <f>'2022-23 Salary &amp; Benefits'!$I$6</f>
        <v>0.22339999999999999</v>
      </c>
      <c r="AA926" s="22">
        <f t="shared" si="184"/>
        <v>2164.27</v>
      </c>
      <c r="AB926" s="22">
        <f t="shared" si="185"/>
        <v>89.7</v>
      </c>
      <c r="AC926" s="22">
        <f t="shared" si="186"/>
        <v>20.04</v>
      </c>
      <c r="AD926" s="22">
        <f t="shared" si="176"/>
        <v>109.74000000000001</v>
      </c>
      <c r="AE926" s="22">
        <f t="shared" si="177"/>
        <v>7655.88</v>
      </c>
      <c r="AF926" s="19" t="str">
        <f>VLOOKUP(C926,'2021-22 School Level AAFTE'!C:N,12,FALSE)</f>
        <v>No</v>
      </c>
    </row>
    <row r="927" spans="1:32" s="19" customFormat="1">
      <c r="A927" s="97" t="s">
        <v>2273</v>
      </c>
      <c r="B927" s="97" t="s">
        <v>105</v>
      </c>
      <c r="C927" s="95">
        <v>2317</v>
      </c>
      <c r="D927" s="95" t="s">
        <v>107</v>
      </c>
      <c r="E927" s="129">
        <f>VLOOKUP($C927,'2021-22 School Level AAFTE'!$C:$Z,11,FALSE)</f>
        <v>0.63576666666666659</v>
      </c>
      <c r="F927" s="129" t="str">
        <f>VLOOKUP($C927,'2021-22 School Level AAFTE'!$C:$Z,8,FALSE)</f>
        <v>Yes</v>
      </c>
      <c r="G927" s="129" t="str">
        <f>VLOOKUP($C927,'2021-22 School Level AAFTE'!$C:$Z,12,FALSE)</f>
        <v>No</v>
      </c>
      <c r="H927" s="127">
        <f>VLOOKUP($C927,'2021-22 School Level AAFTE'!$C:$I,7,FALSE)</f>
        <v>305.97000000000003</v>
      </c>
      <c r="I927" s="112">
        <f>IFERROR(IF(OR(G927="yes",F927= "yes"),VLOOKUP(C927,Summary!$B:$J,6,0),0),0)</f>
        <v>0</v>
      </c>
      <c r="J927" s="111">
        <f t="shared" si="180"/>
        <v>305.97000000000003</v>
      </c>
      <c r="K927" s="91">
        <f>VLOOKUP($A927,'2022-23 Salary &amp; Benefits'!$A:$I,3,FALSE)</f>
        <v>1</v>
      </c>
      <c r="L927" s="91">
        <f>VLOOKUP($A927,'2022-23 Salary &amp; Benefits'!$A:$I,4,FALSE)</f>
        <v>1</v>
      </c>
      <c r="M927" s="39">
        <f t="shared" si="175"/>
        <v>305.97000000000003</v>
      </c>
      <c r="N927" s="24">
        <v>15</v>
      </c>
      <c r="O927" s="26">
        <f t="shared" si="178"/>
        <v>20.398000000000003</v>
      </c>
      <c r="P927" s="24">
        <v>1.1000000000000001</v>
      </c>
      <c r="Q927" s="24">
        <v>36</v>
      </c>
      <c r="R927" s="27">
        <f t="shared" si="179"/>
        <v>807.76080000000024</v>
      </c>
      <c r="S927" s="102">
        <f t="shared" si="181"/>
        <v>0.89800000000000002</v>
      </c>
      <c r="T927" s="21">
        <f>VLOOKUP($A927,'2022-23 Salary &amp; Benefits'!$A:$I,5,FALSE)</f>
        <v>68937</v>
      </c>
      <c r="U927" s="21">
        <f>VLOOKUP($A927,'2022-23 Salary &amp; Benefits'!$A:$I,6,FALSE)</f>
        <v>72728</v>
      </c>
      <c r="V927" s="22">
        <f t="shared" si="182"/>
        <v>61905.43</v>
      </c>
      <c r="W927" s="22">
        <f t="shared" si="183"/>
        <v>3404.3099999999977</v>
      </c>
      <c r="X927" s="22">
        <f>'2022-23 Salary &amp; Benefits'!$G$6</f>
        <v>12558.24</v>
      </c>
      <c r="Y927" s="23">
        <f>'2022-23 Salary &amp; Benefits'!$H$6</f>
        <v>0.2298</v>
      </c>
      <c r="Z927" s="23">
        <f>'2022-23 Salary &amp; Benefits'!$I$6</f>
        <v>0.22339999999999999</v>
      </c>
      <c r="AA927" s="22">
        <f t="shared" si="184"/>
        <v>26263.69</v>
      </c>
      <c r="AB927" s="22">
        <f t="shared" si="185"/>
        <v>1088.5</v>
      </c>
      <c r="AC927" s="22">
        <f t="shared" si="186"/>
        <v>243.17</v>
      </c>
      <c r="AD927" s="22">
        <f t="shared" si="176"/>
        <v>1331.67</v>
      </c>
      <c r="AE927" s="22">
        <f t="shared" si="177"/>
        <v>92905.099999999991</v>
      </c>
      <c r="AF927" s="19" t="str">
        <f>VLOOKUP(C927,'2021-22 School Level AAFTE'!C:N,12,FALSE)</f>
        <v>No</v>
      </c>
    </row>
    <row r="928" spans="1:32" s="19" customFormat="1">
      <c r="A928" s="97" t="s">
        <v>2273</v>
      </c>
      <c r="B928" s="97" t="s">
        <v>105</v>
      </c>
      <c r="C928" s="95">
        <v>2689</v>
      </c>
      <c r="D928" s="95" t="s">
        <v>108</v>
      </c>
      <c r="E928" s="129">
        <f>VLOOKUP($C928,'2021-22 School Level AAFTE'!$C:$Z,11,FALSE)</f>
        <v>0.6001333333333333</v>
      </c>
      <c r="F928" s="129" t="str">
        <f>VLOOKUP($C928,'2021-22 School Level AAFTE'!$C:$Z,8,FALSE)</f>
        <v>Yes</v>
      </c>
      <c r="G928" s="129" t="str">
        <f>VLOOKUP($C928,'2021-22 School Level AAFTE'!$C:$Z,12,FALSE)</f>
        <v>No</v>
      </c>
      <c r="H928" s="127">
        <f>VLOOKUP($C928,'2021-22 School Level AAFTE'!$C:$I,7,FALSE)</f>
        <v>493.58</v>
      </c>
      <c r="I928" s="112">
        <f>IFERROR(IF(OR(G928="yes",F928= "yes"),VLOOKUP(C928,Summary!$B:$J,6,0),0),0)</f>
        <v>0</v>
      </c>
      <c r="J928" s="111">
        <f t="shared" si="180"/>
        <v>493.58</v>
      </c>
      <c r="K928" s="91">
        <f>VLOOKUP($A928,'2022-23 Salary &amp; Benefits'!$A:$I,3,FALSE)</f>
        <v>1</v>
      </c>
      <c r="L928" s="91">
        <f>VLOOKUP($A928,'2022-23 Salary &amp; Benefits'!$A:$I,4,FALSE)</f>
        <v>1</v>
      </c>
      <c r="M928" s="39">
        <f t="shared" si="175"/>
        <v>493.58</v>
      </c>
      <c r="N928" s="24">
        <v>15</v>
      </c>
      <c r="O928" s="26">
        <f t="shared" si="178"/>
        <v>32.905333333333331</v>
      </c>
      <c r="P928" s="24">
        <v>1.1000000000000001</v>
      </c>
      <c r="Q928" s="24">
        <v>36</v>
      </c>
      <c r="R928" s="27">
        <f t="shared" si="179"/>
        <v>1303.0512000000001</v>
      </c>
      <c r="S928" s="102">
        <f t="shared" si="181"/>
        <v>1.448</v>
      </c>
      <c r="T928" s="21">
        <f>VLOOKUP($A928,'2022-23 Salary &amp; Benefits'!$A:$I,5,FALSE)</f>
        <v>68937</v>
      </c>
      <c r="U928" s="21">
        <f>VLOOKUP($A928,'2022-23 Salary &amp; Benefits'!$A:$I,6,FALSE)</f>
        <v>72728</v>
      </c>
      <c r="V928" s="22">
        <f t="shared" si="182"/>
        <v>99820.78</v>
      </c>
      <c r="W928" s="22">
        <f t="shared" si="183"/>
        <v>5489.3600000000006</v>
      </c>
      <c r="X928" s="22">
        <f>'2022-23 Salary &amp; Benefits'!$G$6</f>
        <v>12558.24</v>
      </c>
      <c r="Y928" s="23">
        <f>'2022-23 Salary &amp; Benefits'!$H$6</f>
        <v>0.2298</v>
      </c>
      <c r="Z928" s="23">
        <f>'2022-23 Salary &amp; Benefits'!$I$6</f>
        <v>0.22339999999999999</v>
      </c>
      <c r="AA928" s="22">
        <f t="shared" si="184"/>
        <v>42349.47</v>
      </c>
      <c r="AB928" s="22">
        <f t="shared" si="185"/>
        <v>1755.17</v>
      </c>
      <c r="AC928" s="22">
        <f t="shared" si="186"/>
        <v>392.1</v>
      </c>
      <c r="AD928" s="22">
        <f t="shared" si="176"/>
        <v>2147.27</v>
      </c>
      <c r="AE928" s="22">
        <f t="shared" si="177"/>
        <v>149806.87999999998</v>
      </c>
      <c r="AF928" s="19" t="str">
        <f>VLOOKUP(C928,'2021-22 School Level AAFTE'!C:N,12,FALSE)</f>
        <v>No</v>
      </c>
    </row>
    <row r="929" spans="1:32" s="19" customFormat="1">
      <c r="A929" s="97" t="s">
        <v>2273</v>
      </c>
      <c r="B929" s="97" t="s">
        <v>105</v>
      </c>
      <c r="C929" s="95">
        <v>3861</v>
      </c>
      <c r="D929" s="95" t="s">
        <v>109</v>
      </c>
      <c r="E929" s="129">
        <f>VLOOKUP($C929,'2021-22 School Level AAFTE'!$C:$Z,11,FALSE)</f>
        <v>0</v>
      </c>
      <c r="F929" s="129" t="str">
        <f>VLOOKUP($C929,'2021-22 School Level AAFTE'!$C:$Z,8,FALSE)</f>
        <v>No</v>
      </c>
      <c r="G929" s="129" t="str">
        <f>VLOOKUP($C929,'2021-22 School Level AAFTE'!$C:$Z,12,FALSE)</f>
        <v>No</v>
      </c>
      <c r="H929" s="127">
        <f>VLOOKUP($C929,'2021-22 School Level AAFTE'!$C:$I,7,FALSE)</f>
        <v>4</v>
      </c>
      <c r="I929" s="112">
        <f>IFERROR(IF(OR(G929="yes",F929= "yes"),VLOOKUP(C929,Summary!$B:$J,6,0),0),0)</f>
        <v>0</v>
      </c>
      <c r="J929" s="111">
        <f t="shared" si="180"/>
        <v>0</v>
      </c>
      <c r="K929" s="91">
        <f>VLOOKUP($A929,'2022-23 Salary &amp; Benefits'!$A:$I,3,FALSE)</f>
        <v>1</v>
      </c>
      <c r="L929" s="91">
        <f>VLOOKUP($A929,'2022-23 Salary &amp; Benefits'!$A:$I,4,FALSE)</f>
        <v>1</v>
      </c>
      <c r="M929" s="101">
        <f t="shared" si="175"/>
        <v>0</v>
      </c>
      <c r="N929" s="24">
        <v>15</v>
      </c>
      <c r="O929" s="26">
        <f t="shared" si="178"/>
        <v>0</v>
      </c>
      <c r="P929" s="24">
        <v>1.1000000000000001</v>
      </c>
      <c r="Q929" s="24">
        <v>36</v>
      </c>
      <c r="R929" s="27">
        <f t="shared" si="179"/>
        <v>0</v>
      </c>
      <c r="S929" s="102">
        <f t="shared" si="181"/>
        <v>0</v>
      </c>
      <c r="T929" s="21">
        <f>VLOOKUP($A929,'2022-23 Salary &amp; Benefits'!$A:$I,5,FALSE)</f>
        <v>68937</v>
      </c>
      <c r="U929" s="21">
        <f>VLOOKUP($A929,'2022-23 Salary &amp; Benefits'!$A:$I,6,FALSE)</f>
        <v>72728</v>
      </c>
      <c r="V929" s="22">
        <f t="shared" si="182"/>
        <v>0</v>
      </c>
      <c r="W929" s="22">
        <f t="shared" si="183"/>
        <v>0</v>
      </c>
      <c r="X929" s="22">
        <f>'2022-23 Salary &amp; Benefits'!$G$6</f>
        <v>12558.24</v>
      </c>
      <c r="Y929" s="23">
        <f>'2022-23 Salary &amp; Benefits'!$H$6</f>
        <v>0.2298</v>
      </c>
      <c r="Z929" s="23">
        <f>'2022-23 Salary &amp; Benefits'!$I$6</f>
        <v>0.22339999999999999</v>
      </c>
      <c r="AA929" s="22">
        <f t="shared" si="184"/>
        <v>0</v>
      </c>
      <c r="AB929" s="22">
        <f t="shared" si="185"/>
        <v>0</v>
      </c>
      <c r="AC929" s="22">
        <f t="shared" si="186"/>
        <v>0</v>
      </c>
      <c r="AD929" s="22">
        <f t="shared" si="176"/>
        <v>0</v>
      </c>
      <c r="AE929" s="22">
        <f t="shared" si="177"/>
        <v>0</v>
      </c>
      <c r="AF929" s="19" t="str">
        <f>VLOOKUP(C929,'2021-22 School Level AAFTE'!C:N,12,FALSE)</f>
        <v>No</v>
      </c>
    </row>
    <row r="930" spans="1:32" s="19" customFormat="1">
      <c r="A930" s="97" t="s">
        <v>2273</v>
      </c>
      <c r="B930" s="97" t="s">
        <v>105</v>
      </c>
      <c r="C930" s="95">
        <v>4260</v>
      </c>
      <c r="D930" s="95" t="s">
        <v>110</v>
      </c>
      <c r="E930" s="129">
        <f>VLOOKUP($C930,'2021-22 School Level AAFTE'!$C:$Z,11,FALSE)</f>
        <v>0.53389999999999993</v>
      </c>
      <c r="F930" s="129" t="str">
        <f>VLOOKUP($C930,'2021-22 School Level AAFTE'!$C:$Z,8,FALSE)</f>
        <v>Yes</v>
      </c>
      <c r="G930" s="129" t="str">
        <f>VLOOKUP($C930,'2021-22 School Level AAFTE'!$C:$Z,12,FALSE)</f>
        <v>No</v>
      </c>
      <c r="H930" s="127">
        <f>VLOOKUP($C930,'2021-22 School Level AAFTE'!$C:$I,7,FALSE)</f>
        <v>426.45</v>
      </c>
      <c r="I930" s="112">
        <f>IFERROR(IF(OR(G930="yes",F930= "yes"),VLOOKUP(C930,Summary!$B:$J,6,0),0),0)</f>
        <v>0</v>
      </c>
      <c r="J930" s="111">
        <f t="shared" si="180"/>
        <v>426.45</v>
      </c>
      <c r="K930" s="91">
        <f>VLOOKUP($A930,'2022-23 Salary &amp; Benefits'!$A:$I,3,FALSE)</f>
        <v>1</v>
      </c>
      <c r="L930" s="91">
        <f>VLOOKUP($A930,'2022-23 Salary &amp; Benefits'!$A:$I,4,FALSE)</f>
        <v>1</v>
      </c>
      <c r="M930" s="39">
        <f t="shared" si="175"/>
        <v>426.45</v>
      </c>
      <c r="N930" s="24">
        <v>15</v>
      </c>
      <c r="O930" s="26">
        <f t="shared" si="178"/>
        <v>28.43</v>
      </c>
      <c r="P930" s="24">
        <v>1.1000000000000001</v>
      </c>
      <c r="Q930" s="24">
        <v>36</v>
      </c>
      <c r="R930" s="27">
        <f t="shared" si="179"/>
        <v>1125.8280000000002</v>
      </c>
      <c r="S930" s="102">
        <f t="shared" si="181"/>
        <v>1.2509999999999999</v>
      </c>
      <c r="T930" s="21">
        <f>VLOOKUP($A930,'2022-23 Salary &amp; Benefits'!$A:$I,5,FALSE)</f>
        <v>68937</v>
      </c>
      <c r="U930" s="21">
        <f>VLOOKUP($A930,'2022-23 Salary &amp; Benefits'!$A:$I,6,FALSE)</f>
        <v>72728</v>
      </c>
      <c r="V930" s="22">
        <f t="shared" si="182"/>
        <v>86240.19</v>
      </c>
      <c r="W930" s="22">
        <f t="shared" si="183"/>
        <v>4742.5399999999936</v>
      </c>
      <c r="X930" s="22">
        <f>'2022-23 Salary &amp; Benefits'!$G$6</f>
        <v>12558.24</v>
      </c>
      <c r="Y930" s="23">
        <f>'2022-23 Salary &amp; Benefits'!$H$6</f>
        <v>0.2298</v>
      </c>
      <c r="Z930" s="23">
        <f>'2022-23 Salary &amp; Benefits'!$I$6</f>
        <v>0.22339999999999999</v>
      </c>
      <c r="AA930" s="22">
        <f t="shared" si="184"/>
        <v>36587.839999999997</v>
      </c>
      <c r="AB930" s="22">
        <f t="shared" si="185"/>
        <v>1516.38</v>
      </c>
      <c r="AC930" s="22">
        <f t="shared" si="186"/>
        <v>338.76</v>
      </c>
      <c r="AD930" s="22">
        <f t="shared" si="176"/>
        <v>1855.14</v>
      </c>
      <c r="AE930" s="22">
        <f t="shared" si="177"/>
        <v>129425.70999999999</v>
      </c>
      <c r="AF930" s="19" t="str">
        <f>VLOOKUP(C930,'2021-22 School Level AAFTE'!C:N,12,FALSE)</f>
        <v>No</v>
      </c>
    </row>
    <row r="931" spans="1:32" s="19" customFormat="1">
      <c r="A931" s="97" t="s">
        <v>2473</v>
      </c>
      <c r="B931" s="97" t="s">
        <v>1618</v>
      </c>
      <c r="C931" s="95">
        <v>1753</v>
      </c>
      <c r="D931" s="95" t="s">
        <v>1619</v>
      </c>
      <c r="E931" s="129">
        <f>VLOOKUP($C931,'2021-22 School Level AAFTE'!$C:$Z,11,FALSE)</f>
        <v>0.13490000000000002</v>
      </c>
      <c r="F931" s="129" t="str">
        <f>VLOOKUP($C931,'2021-22 School Level AAFTE'!$C:$Z,8,FALSE)</f>
        <v>No</v>
      </c>
      <c r="G931" s="129" t="str">
        <f>VLOOKUP($C931,'2021-22 School Level AAFTE'!$C:$Z,12,FALSE)</f>
        <v>No</v>
      </c>
      <c r="H931" s="127">
        <f>VLOOKUP($C931,'2021-22 School Level AAFTE'!$C:$I,7,FALSE)</f>
        <v>180.9</v>
      </c>
      <c r="I931" s="112">
        <f>IFERROR(IF(OR(G931="yes",F931= "yes"),VLOOKUP(C931,Summary!$B:$J,6,0),0),0)</f>
        <v>0</v>
      </c>
      <c r="J931" s="111">
        <f t="shared" si="180"/>
        <v>0</v>
      </c>
      <c r="K931" s="91">
        <f>VLOOKUP($A931,'2022-23 Salary &amp; Benefits'!$A:$I,3,FALSE)</f>
        <v>1.18</v>
      </c>
      <c r="L931" s="91">
        <f>VLOOKUP($A931,'2022-23 Salary &amp; Benefits'!$A:$I,4,FALSE)</f>
        <v>1.18</v>
      </c>
      <c r="M931" s="39">
        <f t="shared" si="175"/>
        <v>0</v>
      </c>
      <c r="N931" s="24">
        <v>15</v>
      </c>
      <c r="O931" s="26">
        <f t="shared" si="178"/>
        <v>0</v>
      </c>
      <c r="P931" s="24">
        <v>1.1000000000000001</v>
      </c>
      <c r="Q931" s="24">
        <v>36</v>
      </c>
      <c r="R931" s="27">
        <f t="shared" si="179"/>
        <v>0</v>
      </c>
      <c r="S931" s="102">
        <f t="shared" si="181"/>
        <v>0</v>
      </c>
      <c r="T931" s="21">
        <f>VLOOKUP($A931,'2022-23 Salary &amp; Benefits'!$A:$I,5,FALSE)</f>
        <v>68937</v>
      </c>
      <c r="U931" s="21">
        <f>VLOOKUP($A931,'2022-23 Salary &amp; Benefits'!$A:$I,6,FALSE)</f>
        <v>72728</v>
      </c>
      <c r="V931" s="22">
        <f t="shared" si="182"/>
        <v>0</v>
      </c>
      <c r="W931" s="22">
        <f t="shared" si="183"/>
        <v>0</v>
      </c>
      <c r="X931" s="22">
        <f>'2022-23 Salary &amp; Benefits'!$G$6</f>
        <v>12558.24</v>
      </c>
      <c r="Y931" s="23">
        <f>'2022-23 Salary &amp; Benefits'!$H$6</f>
        <v>0.2298</v>
      </c>
      <c r="Z931" s="23">
        <f>'2022-23 Salary &amp; Benefits'!$I$6</f>
        <v>0.22339999999999999</v>
      </c>
      <c r="AA931" s="22">
        <f t="shared" si="184"/>
        <v>0</v>
      </c>
      <c r="AB931" s="22">
        <f t="shared" si="185"/>
        <v>0</v>
      </c>
      <c r="AC931" s="22">
        <f t="shared" si="186"/>
        <v>0</v>
      </c>
      <c r="AD931" s="22">
        <f t="shared" si="176"/>
        <v>0</v>
      </c>
      <c r="AE931" s="22">
        <f t="shared" si="177"/>
        <v>0</v>
      </c>
      <c r="AF931" s="19" t="str">
        <f>VLOOKUP(C931,'2021-22 School Level AAFTE'!C:N,12,FALSE)</f>
        <v>No</v>
      </c>
    </row>
    <row r="932" spans="1:32" s="19" customFormat="1">
      <c r="A932" s="97" t="s">
        <v>2473</v>
      </c>
      <c r="B932" s="97" t="s">
        <v>1618</v>
      </c>
      <c r="C932" s="95">
        <v>2426</v>
      </c>
      <c r="D932" s="95" t="s">
        <v>1620</v>
      </c>
      <c r="E932" s="129">
        <f>VLOOKUP($C932,'2021-22 School Level AAFTE'!$C:$Z,11,FALSE)</f>
        <v>0.23250000000000001</v>
      </c>
      <c r="F932" s="129" t="str">
        <f>VLOOKUP($C932,'2021-22 School Level AAFTE'!$C:$Z,8,FALSE)</f>
        <v>No</v>
      </c>
      <c r="G932" s="129" t="str">
        <f>VLOOKUP($C932,'2021-22 School Level AAFTE'!$C:$Z,12,FALSE)</f>
        <v>No</v>
      </c>
      <c r="H932" s="127">
        <f>VLOOKUP($C932,'2021-22 School Level AAFTE'!$C:$I,7,FALSE)</f>
        <v>2020.91</v>
      </c>
      <c r="I932" s="112">
        <f>IFERROR(IF(OR(G932="yes",F932= "yes"),VLOOKUP(C932,Summary!$B:$J,6,0),0),0)</f>
        <v>0</v>
      </c>
      <c r="J932" s="111">
        <f t="shared" si="180"/>
        <v>0</v>
      </c>
      <c r="K932" s="91">
        <f>VLOOKUP($A932,'2022-23 Salary &amp; Benefits'!$A:$I,3,FALSE)</f>
        <v>1.18</v>
      </c>
      <c r="L932" s="91">
        <f>VLOOKUP($A932,'2022-23 Salary &amp; Benefits'!$A:$I,4,FALSE)</f>
        <v>1.18</v>
      </c>
      <c r="M932" s="39">
        <f t="shared" si="175"/>
        <v>0</v>
      </c>
      <c r="N932" s="24">
        <v>15</v>
      </c>
      <c r="O932" s="26">
        <f t="shared" si="178"/>
        <v>0</v>
      </c>
      <c r="P932" s="24">
        <v>1.1000000000000001</v>
      </c>
      <c r="Q932" s="24">
        <v>36</v>
      </c>
      <c r="R932" s="27">
        <f t="shared" si="179"/>
        <v>0</v>
      </c>
      <c r="S932" s="102">
        <f t="shared" si="181"/>
        <v>0</v>
      </c>
      <c r="T932" s="21">
        <f>VLOOKUP($A932,'2022-23 Salary &amp; Benefits'!$A:$I,5,FALSE)</f>
        <v>68937</v>
      </c>
      <c r="U932" s="21">
        <f>VLOOKUP($A932,'2022-23 Salary &amp; Benefits'!$A:$I,6,FALSE)</f>
        <v>72728</v>
      </c>
      <c r="V932" s="22">
        <f t="shared" si="182"/>
        <v>0</v>
      </c>
      <c r="W932" s="22">
        <f t="shared" si="183"/>
        <v>0</v>
      </c>
      <c r="X932" s="22">
        <f>'2022-23 Salary &amp; Benefits'!$G$6</f>
        <v>12558.24</v>
      </c>
      <c r="Y932" s="23">
        <f>'2022-23 Salary &amp; Benefits'!$H$6</f>
        <v>0.2298</v>
      </c>
      <c r="Z932" s="23">
        <f>'2022-23 Salary &amp; Benefits'!$I$6</f>
        <v>0.22339999999999999</v>
      </c>
      <c r="AA932" s="22">
        <f t="shared" si="184"/>
        <v>0</v>
      </c>
      <c r="AB932" s="22">
        <f t="shared" si="185"/>
        <v>0</v>
      </c>
      <c r="AC932" s="22">
        <f t="shared" si="186"/>
        <v>0</v>
      </c>
      <c r="AD932" s="22">
        <f t="shared" si="176"/>
        <v>0</v>
      </c>
      <c r="AE932" s="22">
        <f t="shared" si="177"/>
        <v>0</v>
      </c>
      <c r="AF932" s="19" t="str">
        <f>VLOOKUP(C932,'2021-22 School Level AAFTE'!C:N,12,FALSE)</f>
        <v>No</v>
      </c>
    </row>
    <row r="933" spans="1:32" s="19" customFormat="1">
      <c r="A933" s="97" t="s">
        <v>2473</v>
      </c>
      <c r="B933" s="97" t="s">
        <v>1618</v>
      </c>
      <c r="C933" s="95">
        <v>2884</v>
      </c>
      <c r="D933" s="95" t="s">
        <v>1621</v>
      </c>
      <c r="E933" s="129">
        <f>VLOOKUP($C933,'2021-22 School Level AAFTE'!$C:$Z,11,FALSE)</f>
        <v>0.26026666666666665</v>
      </c>
      <c r="F933" s="129" t="str">
        <f>VLOOKUP($C933,'2021-22 School Level AAFTE'!$C:$Z,8,FALSE)</f>
        <v>No</v>
      </c>
      <c r="G933" s="129" t="str">
        <f>VLOOKUP($C933,'2021-22 School Level AAFTE'!$C:$Z,12,FALSE)</f>
        <v>No</v>
      </c>
      <c r="H933" s="127">
        <f>VLOOKUP($C933,'2021-22 School Level AAFTE'!$C:$I,7,FALSE)</f>
        <v>474.52</v>
      </c>
      <c r="I933" s="112">
        <f>IFERROR(IF(OR(G933="yes",F933= "yes"),VLOOKUP(C933,Summary!$B:$J,6,0),0),0)</f>
        <v>0</v>
      </c>
      <c r="J933" s="111">
        <f t="shared" si="180"/>
        <v>0</v>
      </c>
      <c r="K933" s="91">
        <f>VLOOKUP($A933,'2022-23 Salary &amp; Benefits'!$A:$I,3,FALSE)</f>
        <v>1.18</v>
      </c>
      <c r="L933" s="91">
        <f>VLOOKUP($A933,'2022-23 Salary &amp; Benefits'!$A:$I,4,FALSE)</f>
        <v>1.18</v>
      </c>
      <c r="M933" s="39">
        <f t="shared" si="175"/>
        <v>0</v>
      </c>
      <c r="N933" s="24">
        <v>15</v>
      </c>
      <c r="O933" s="26">
        <f t="shared" si="178"/>
        <v>0</v>
      </c>
      <c r="P933" s="24">
        <v>1.1000000000000001</v>
      </c>
      <c r="Q933" s="24">
        <v>36</v>
      </c>
      <c r="R933" s="27">
        <f t="shared" si="179"/>
        <v>0</v>
      </c>
      <c r="S933" s="102">
        <f t="shared" si="181"/>
        <v>0</v>
      </c>
      <c r="T933" s="21">
        <f>VLOOKUP($A933,'2022-23 Salary &amp; Benefits'!$A:$I,5,FALSE)</f>
        <v>68937</v>
      </c>
      <c r="U933" s="21">
        <f>VLOOKUP($A933,'2022-23 Salary &amp; Benefits'!$A:$I,6,FALSE)</f>
        <v>72728</v>
      </c>
      <c r="V933" s="22">
        <f t="shared" si="182"/>
        <v>0</v>
      </c>
      <c r="W933" s="22">
        <f t="shared" si="183"/>
        <v>0</v>
      </c>
      <c r="X933" s="22">
        <f>'2022-23 Salary &amp; Benefits'!$G$6</f>
        <v>12558.24</v>
      </c>
      <c r="Y933" s="23">
        <f>'2022-23 Salary &amp; Benefits'!$H$6</f>
        <v>0.2298</v>
      </c>
      <c r="Z933" s="23">
        <f>'2022-23 Salary &amp; Benefits'!$I$6</f>
        <v>0.22339999999999999</v>
      </c>
      <c r="AA933" s="22">
        <f t="shared" si="184"/>
        <v>0</v>
      </c>
      <c r="AB933" s="22">
        <f t="shared" si="185"/>
        <v>0</v>
      </c>
      <c r="AC933" s="22">
        <f t="shared" si="186"/>
        <v>0</v>
      </c>
      <c r="AD933" s="22">
        <f t="shared" si="176"/>
        <v>0</v>
      </c>
      <c r="AE933" s="22">
        <f t="shared" si="177"/>
        <v>0</v>
      </c>
      <c r="AF933" s="19" t="str">
        <f>VLOOKUP(C933,'2021-22 School Level AAFTE'!C:N,12,FALSE)</f>
        <v>No</v>
      </c>
    </row>
    <row r="934" spans="1:32" s="19" customFormat="1">
      <c r="A934" s="97" t="s">
        <v>2473</v>
      </c>
      <c r="B934" s="97" t="s">
        <v>1618</v>
      </c>
      <c r="C934" s="95">
        <v>2885</v>
      </c>
      <c r="D934" s="95" t="s">
        <v>1622</v>
      </c>
      <c r="E934" s="129">
        <f>VLOOKUP($C934,'2021-22 School Level AAFTE'!$C:$Z,11,FALSE)</f>
        <v>0.20780000000000001</v>
      </c>
      <c r="F934" s="129" t="str">
        <f>VLOOKUP($C934,'2021-22 School Level AAFTE'!$C:$Z,8,FALSE)</f>
        <v>No</v>
      </c>
      <c r="G934" s="129" t="str">
        <f>VLOOKUP($C934,'2021-22 School Level AAFTE'!$C:$Z,12,FALSE)</f>
        <v>No</v>
      </c>
      <c r="H934" s="127">
        <f>VLOOKUP($C934,'2021-22 School Level AAFTE'!$C:$I,7,FALSE)</f>
        <v>761.17</v>
      </c>
      <c r="I934" s="112">
        <f>IFERROR(IF(OR(G934="yes",F934= "yes"),VLOOKUP(C934,Summary!$B:$J,6,0),0),0)</f>
        <v>0</v>
      </c>
      <c r="J934" s="111">
        <f t="shared" si="180"/>
        <v>0</v>
      </c>
      <c r="K934" s="91">
        <f>VLOOKUP($A934,'2022-23 Salary &amp; Benefits'!$A:$I,3,FALSE)</f>
        <v>1.18</v>
      </c>
      <c r="L934" s="91">
        <f>VLOOKUP($A934,'2022-23 Salary &amp; Benefits'!$A:$I,4,FALSE)</f>
        <v>1.18</v>
      </c>
      <c r="M934" s="39">
        <f t="shared" ref="M934:M996" si="187">IF(I934&gt;0,I934,J934)</f>
        <v>0</v>
      </c>
      <c r="N934" s="24">
        <v>15</v>
      </c>
      <c r="O934" s="26">
        <f t="shared" si="178"/>
        <v>0</v>
      </c>
      <c r="P934" s="24">
        <v>1.1000000000000001</v>
      </c>
      <c r="Q934" s="24">
        <v>36</v>
      </c>
      <c r="R934" s="27">
        <f t="shared" si="179"/>
        <v>0</v>
      </c>
      <c r="S934" s="102">
        <f t="shared" si="181"/>
        <v>0</v>
      </c>
      <c r="T934" s="21">
        <f>VLOOKUP($A934,'2022-23 Salary &amp; Benefits'!$A:$I,5,FALSE)</f>
        <v>68937</v>
      </c>
      <c r="U934" s="21">
        <f>VLOOKUP($A934,'2022-23 Salary &amp; Benefits'!$A:$I,6,FALSE)</f>
        <v>72728</v>
      </c>
      <c r="V934" s="22">
        <f t="shared" si="182"/>
        <v>0</v>
      </c>
      <c r="W934" s="22">
        <f t="shared" si="183"/>
        <v>0</v>
      </c>
      <c r="X934" s="22">
        <f>'2022-23 Salary &amp; Benefits'!$G$6</f>
        <v>12558.24</v>
      </c>
      <c r="Y934" s="23">
        <f>'2022-23 Salary &amp; Benefits'!$H$6</f>
        <v>0.2298</v>
      </c>
      <c r="Z934" s="23">
        <f>'2022-23 Salary &amp; Benefits'!$I$6</f>
        <v>0.22339999999999999</v>
      </c>
      <c r="AA934" s="22">
        <f t="shared" si="184"/>
        <v>0</v>
      </c>
      <c r="AB934" s="22">
        <f t="shared" si="185"/>
        <v>0</v>
      </c>
      <c r="AC934" s="22">
        <f t="shared" si="186"/>
        <v>0</v>
      </c>
      <c r="AD934" s="22">
        <f t="shared" ref="AD934:AD996" si="188">SUM(AB934:AC934)</f>
        <v>0</v>
      </c>
      <c r="AE934" s="22">
        <f t="shared" ref="AE934:AE996" si="189">SUM(AA934,V934:W934,AD934)</f>
        <v>0</v>
      </c>
      <c r="AF934" s="19" t="str">
        <f>VLOOKUP(C934,'2021-22 School Level AAFTE'!C:N,12,FALSE)</f>
        <v>No</v>
      </c>
    </row>
    <row r="935" spans="1:32" s="19" customFormat="1">
      <c r="A935" s="97" t="s">
        <v>2473</v>
      </c>
      <c r="B935" s="97" t="s">
        <v>1618</v>
      </c>
      <c r="C935" s="95">
        <v>3408</v>
      </c>
      <c r="D935" s="95" t="s">
        <v>1623</v>
      </c>
      <c r="E935" s="129">
        <f>VLOOKUP($C935,'2021-22 School Level AAFTE'!$C:$Z,11,FALSE)</f>
        <v>0.26013333333333333</v>
      </c>
      <c r="F935" s="129" t="str">
        <f>VLOOKUP($C935,'2021-22 School Level AAFTE'!$C:$Z,8,FALSE)</f>
        <v>No</v>
      </c>
      <c r="G935" s="129" t="str">
        <f>VLOOKUP($C935,'2021-22 School Level AAFTE'!$C:$Z,12,FALSE)</f>
        <v>No</v>
      </c>
      <c r="H935" s="127">
        <f>VLOOKUP($C935,'2021-22 School Level AAFTE'!$C:$I,7,FALSE)</f>
        <v>665.5</v>
      </c>
      <c r="I935" s="112">
        <f>IFERROR(IF(OR(G935="yes",F935= "yes"),VLOOKUP(C935,Summary!$B:$J,6,0),0),0)</f>
        <v>0</v>
      </c>
      <c r="J935" s="111">
        <f t="shared" si="180"/>
        <v>0</v>
      </c>
      <c r="K935" s="91">
        <f>VLOOKUP($A935,'2022-23 Salary &amp; Benefits'!$A:$I,3,FALSE)</f>
        <v>1.18</v>
      </c>
      <c r="L935" s="91">
        <f>VLOOKUP($A935,'2022-23 Salary &amp; Benefits'!$A:$I,4,FALSE)</f>
        <v>1.18</v>
      </c>
      <c r="M935" s="39">
        <f t="shared" si="187"/>
        <v>0</v>
      </c>
      <c r="N935" s="24">
        <v>15</v>
      </c>
      <c r="O935" s="26">
        <f t="shared" si="178"/>
        <v>0</v>
      </c>
      <c r="P935" s="24">
        <v>1.1000000000000001</v>
      </c>
      <c r="Q935" s="24">
        <v>36</v>
      </c>
      <c r="R935" s="27">
        <f t="shared" si="179"/>
        <v>0</v>
      </c>
      <c r="S935" s="102">
        <f t="shared" si="181"/>
        <v>0</v>
      </c>
      <c r="T935" s="21">
        <f>VLOOKUP($A935,'2022-23 Salary &amp; Benefits'!$A:$I,5,FALSE)</f>
        <v>68937</v>
      </c>
      <c r="U935" s="21">
        <f>VLOOKUP($A935,'2022-23 Salary &amp; Benefits'!$A:$I,6,FALSE)</f>
        <v>72728</v>
      </c>
      <c r="V935" s="22">
        <f t="shared" si="182"/>
        <v>0</v>
      </c>
      <c r="W935" s="22">
        <f t="shared" si="183"/>
        <v>0</v>
      </c>
      <c r="X935" s="22">
        <f>'2022-23 Salary &amp; Benefits'!$G$6</f>
        <v>12558.24</v>
      </c>
      <c r="Y935" s="23">
        <f>'2022-23 Salary &amp; Benefits'!$H$6</f>
        <v>0.2298</v>
      </c>
      <c r="Z935" s="23">
        <f>'2022-23 Salary &amp; Benefits'!$I$6</f>
        <v>0.22339999999999999</v>
      </c>
      <c r="AA935" s="22">
        <f t="shared" si="184"/>
        <v>0</v>
      </c>
      <c r="AB935" s="22">
        <f t="shared" si="185"/>
        <v>0</v>
      </c>
      <c r="AC935" s="22">
        <f t="shared" si="186"/>
        <v>0</v>
      </c>
      <c r="AD935" s="22">
        <f t="shared" si="188"/>
        <v>0</v>
      </c>
      <c r="AE935" s="22">
        <f t="shared" si="189"/>
        <v>0</v>
      </c>
      <c r="AF935" s="19" t="str">
        <f>VLOOKUP(C935,'2021-22 School Level AAFTE'!C:N,12,FALSE)</f>
        <v>No</v>
      </c>
    </row>
    <row r="936" spans="1:32" s="19" customFormat="1">
      <c r="A936" s="97" t="s">
        <v>2473</v>
      </c>
      <c r="B936" s="97" t="s">
        <v>1618</v>
      </c>
      <c r="C936" s="95">
        <v>3753</v>
      </c>
      <c r="D936" s="95" t="s">
        <v>660</v>
      </c>
      <c r="E936" s="129">
        <f>VLOOKUP($C936,'2021-22 School Level AAFTE'!$C:$Z,11,FALSE)</f>
        <v>0.22199999999999998</v>
      </c>
      <c r="F936" s="129" t="str">
        <f>VLOOKUP($C936,'2021-22 School Level AAFTE'!$C:$Z,8,FALSE)</f>
        <v>No</v>
      </c>
      <c r="G936" s="129" t="str">
        <f>VLOOKUP($C936,'2021-22 School Level AAFTE'!$C:$Z,12,FALSE)</f>
        <v>No</v>
      </c>
      <c r="H936" s="127">
        <f>VLOOKUP($C936,'2021-22 School Level AAFTE'!$C:$I,7,FALSE)</f>
        <v>683.86</v>
      </c>
      <c r="I936" s="112">
        <f>IFERROR(IF(OR(G936="yes",F936= "yes"),VLOOKUP(C936,Summary!$B:$J,6,0),0),0)</f>
        <v>0</v>
      </c>
      <c r="J936" s="111">
        <f t="shared" si="180"/>
        <v>0</v>
      </c>
      <c r="K936" s="91">
        <f>VLOOKUP($A936,'2022-23 Salary &amp; Benefits'!$A:$I,3,FALSE)</f>
        <v>1.18</v>
      </c>
      <c r="L936" s="91">
        <f>VLOOKUP($A936,'2022-23 Salary &amp; Benefits'!$A:$I,4,FALSE)</f>
        <v>1.18</v>
      </c>
      <c r="M936" s="39">
        <f t="shared" si="187"/>
        <v>0</v>
      </c>
      <c r="N936" s="24">
        <v>15</v>
      </c>
      <c r="O936" s="26">
        <f t="shared" si="178"/>
        <v>0</v>
      </c>
      <c r="P936" s="24">
        <v>1.1000000000000001</v>
      </c>
      <c r="Q936" s="24">
        <v>36</v>
      </c>
      <c r="R936" s="27">
        <f t="shared" si="179"/>
        <v>0</v>
      </c>
      <c r="S936" s="102">
        <f t="shared" si="181"/>
        <v>0</v>
      </c>
      <c r="T936" s="21">
        <f>VLOOKUP($A936,'2022-23 Salary &amp; Benefits'!$A:$I,5,FALSE)</f>
        <v>68937</v>
      </c>
      <c r="U936" s="21">
        <f>VLOOKUP($A936,'2022-23 Salary &amp; Benefits'!$A:$I,6,FALSE)</f>
        <v>72728</v>
      </c>
      <c r="V936" s="22">
        <f t="shared" si="182"/>
        <v>0</v>
      </c>
      <c r="W936" s="22">
        <f t="shared" si="183"/>
        <v>0</v>
      </c>
      <c r="X936" s="22">
        <f>'2022-23 Salary &amp; Benefits'!$G$6</f>
        <v>12558.24</v>
      </c>
      <c r="Y936" s="23">
        <f>'2022-23 Salary &amp; Benefits'!$H$6</f>
        <v>0.2298</v>
      </c>
      <c r="Z936" s="23">
        <f>'2022-23 Salary &amp; Benefits'!$I$6</f>
        <v>0.22339999999999999</v>
      </c>
      <c r="AA936" s="22">
        <f t="shared" si="184"/>
        <v>0</v>
      </c>
      <c r="AB936" s="22">
        <f t="shared" si="185"/>
        <v>0</v>
      </c>
      <c r="AC936" s="22">
        <f t="shared" si="186"/>
        <v>0</v>
      </c>
      <c r="AD936" s="22">
        <f t="shared" si="188"/>
        <v>0</v>
      </c>
      <c r="AE936" s="22">
        <f t="shared" si="189"/>
        <v>0</v>
      </c>
      <c r="AF936" s="19" t="str">
        <f>VLOOKUP(C936,'2021-22 School Level AAFTE'!C:N,12,FALSE)</f>
        <v>No</v>
      </c>
    </row>
    <row r="937" spans="1:32" s="19" customFormat="1">
      <c r="A937" s="97" t="s">
        <v>2473</v>
      </c>
      <c r="B937" s="97" t="s">
        <v>1618</v>
      </c>
      <c r="C937" s="95">
        <v>4139</v>
      </c>
      <c r="D937" s="95" t="s">
        <v>1624</v>
      </c>
      <c r="E937" s="129">
        <f>VLOOKUP($C937,'2021-22 School Level AAFTE'!$C:$Z,11,FALSE)</f>
        <v>0.27150000000000002</v>
      </c>
      <c r="F937" s="129" t="str">
        <f>VLOOKUP($C937,'2021-22 School Level AAFTE'!$C:$Z,8,FALSE)</f>
        <v>No</v>
      </c>
      <c r="G937" s="129" t="str">
        <f>VLOOKUP($C937,'2021-22 School Level AAFTE'!$C:$Z,12,FALSE)</f>
        <v>No</v>
      </c>
      <c r="H937" s="127">
        <f>VLOOKUP($C937,'2021-22 School Level AAFTE'!$C:$I,7,FALSE)</f>
        <v>756.72</v>
      </c>
      <c r="I937" s="112">
        <f>IFERROR(IF(OR(G937="yes",F937= "yes"),VLOOKUP(C937,Summary!$B:$J,6,0),0),0)</f>
        <v>0</v>
      </c>
      <c r="J937" s="111">
        <f t="shared" si="180"/>
        <v>0</v>
      </c>
      <c r="K937" s="91">
        <f>VLOOKUP($A937,'2022-23 Salary &amp; Benefits'!$A:$I,3,FALSE)</f>
        <v>1.18</v>
      </c>
      <c r="L937" s="91">
        <f>VLOOKUP($A937,'2022-23 Salary &amp; Benefits'!$A:$I,4,FALSE)</f>
        <v>1.18</v>
      </c>
      <c r="M937" s="39">
        <f t="shared" si="187"/>
        <v>0</v>
      </c>
      <c r="N937" s="24">
        <v>15</v>
      </c>
      <c r="O937" s="26">
        <f t="shared" si="178"/>
        <v>0</v>
      </c>
      <c r="P937" s="24">
        <v>1.1000000000000001</v>
      </c>
      <c r="Q937" s="24">
        <v>36</v>
      </c>
      <c r="R937" s="27">
        <f t="shared" si="179"/>
        <v>0</v>
      </c>
      <c r="S937" s="102">
        <f t="shared" si="181"/>
        <v>0</v>
      </c>
      <c r="T937" s="21">
        <f>VLOOKUP($A937,'2022-23 Salary &amp; Benefits'!$A:$I,5,FALSE)</f>
        <v>68937</v>
      </c>
      <c r="U937" s="21">
        <f>VLOOKUP($A937,'2022-23 Salary &amp; Benefits'!$A:$I,6,FALSE)</f>
        <v>72728</v>
      </c>
      <c r="V937" s="22">
        <f t="shared" si="182"/>
        <v>0</v>
      </c>
      <c r="W937" s="22">
        <f t="shared" si="183"/>
        <v>0</v>
      </c>
      <c r="X937" s="22">
        <f>'2022-23 Salary &amp; Benefits'!$G$6</f>
        <v>12558.24</v>
      </c>
      <c r="Y937" s="23">
        <f>'2022-23 Salary &amp; Benefits'!$H$6</f>
        <v>0.2298</v>
      </c>
      <c r="Z937" s="23">
        <f>'2022-23 Salary &amp; Benefits'!$I$6</f>
        <v>0.22339999999999999</v>
      </c>
      <c r="AA937" s="22">
        <f t="shared" si="184"/>
        <v>0</v>
      </c>
      <c r="AB937" s="22">
        <f t="shared" si="185"/>
        <v>0</v>
      </c>
      <c r="AC937" s="22">
        <f t="shared" si="186"/>
        <v>0</v>
      </c>
      <c r="AD937" s="22">
        <f t="shared" si="188"/>
        <v>0</v>
      </c>
      <c r="AE937" s="22">
        <f t="shared" si="189"/>
        <v>0</v>
      </c>
      <c r="AF937" s="19" t="str">
        <f>VLOOKUP(C937,'2021-22 School Level AAFTE'!C:N,12,FALSE)</f>
        <v>No</v>
      </c>
    </row>
    <row r="938" spans="1:32" s="19" customFormat="1">
      <c r="A938" s="56" t="s">
        <v>2473</v>
      </c>
      <c r="B938" s="97" t="s">
        <v>1618</v>
      </c>
      <c r="C938" s="95">
        <v>4391</v>
      </c>
      <c r="D938" s="56" t="s">
        <v>1114</v>
      </c>
      <c r="E938" s="129">
        <f>VLOOKUP($C938,'2021-22 School Level AAFTE'!$C:$Z,11,FALSE)</f>
        <v>0.19239999999999999</v>
      </c>
      <c r="F938" s="129" t="str">
        <f>VLOOKUP($C938,'2021-22 School Level AAFTE'!$C:$Z,8,FALSE)</f>
        <v>No</v>
      </c>
      <c r="G938" s="129" t="str">
        <f>VLOOKUP($C938,'2021-22 School Level AAFTE'!$C:$Z,12,FALSE)</f>
        <v>No</v>
      </c>
      <c r="H938" s="127">
        <f>VLOOKUP($C938,'2021-22 School Level AAFTE'!$C:$I,7,FALSE)</f>
        <v>582.76</v>
      </c>
      <c r="I938" s="112">
        <f>IFERROR(IF(OR(G938="yes",F938= "yes"),VLOOKUP(C938,Summary!$B:$J,6,0),0),0)</f>
        <v>0</v>
      </c>
      <c r="J938" s="111">
        <f t="shared" si="180"/>
        <v>0</v>
      </c>
      <c r="K938" s="91">
        <f>VLOOKUP($A938,'2022-23 Salary &amp; Benefits'!$A:$I,3,FALSE)</f>
        <v>1.18</v>
      </c>
      <c r="L938" s="91">
        <f>VLOOKUP($A938,'2022-23 Salary &amp; Benefits'!$A:$I,4,FALSE)</f>
        <v>1.18</v>
      </c>
      <c r="M938" s="101">
        <f t="shared" si="187"/>
        <v>0</v>
      </c>
      <c r="N938" s="24">
        <v>15</v>
      </c>
      <c r="O938" s="26">
        <f t="shared" si="178"/>
        <v>0</v>
      </c>
      <c r="P938" s="24">
        <v>1.1000000000000001</v>
      </c>
      <c r="Q938" s="24">
        <v>36</v>
      </c>
      <c r="R938" s="27">
        <f t="shared" si="179"/>
        <v>0</v>
      </c>
      <c r="S938" s="102">
        <f t="shared" si="181"/>
        <v>0</v>
      </c>
      <c r="T938" s="21">
        <f>VLOOKUP($A938,'2022-23 Salary &amp; Benefits'!$A:$I,5,FALSE)</f>
        <v>68937</v>
      </c>
      <c r="U938" s="21">
        <f>VLOOKUP($A938,'2022-23 Salary &amp; Benefits'!$A:$I,6,FALSE)</f>
        <v>72728</v>
      </c>
      <c r="V938" s="22">
        <f t="shared" si="182"/>
        <v>0</v>
      </c>
      <c r="W938" s="22">
        <f t="shared" si="183"/>
        <v>0</v>
      </c>
      <c r="X938" s="22">
        <f>'2022-23 Salary &amp; Benefits'!$G$6</f>
        <v>12558.24</v>
      </c>
      <c r="Y938" s="23">
        <f>'2022-23 Salary &amp; Benefits'!$H$6</f>
        <v>0.2298</v>
      </c>
      <c r="Z938" s="23">
        <f>'2022-23 Salary &amp; Benefits'!$I$6</f>
        <v>0.22339999999999999</v>
      </c>
      <c r="AA938" s="22">
        <f t="shared" si="184"/>
        <v>0</v>
      </c>
      <c r="AB938" s="22">
        <f t="shared" si="185"/>
        <v>0</v>
      </c>
      <c r="AC938" s="22">
        <f t="shared" si="186"/>
        <v>0</v>
      </c>
      <c r="AD938" s="22">
        <f t="shared" si="188"/>
        <v>0</v>
      </c>
      <c r="AE938" s="22">
        <f t="shared" si="189"/>
        <v>0</v>
      </c>
      <c r="AF938" s="19" t="str">
        <f>VLOOKUP(C938,'2021-22 School Level AAFTE'!C:N,12,FALSE)</f>
        <v>No</v>
      </c>
    </row>
    <row r="939" spans="1:32" s="19" customFormat="1">
      <c r="A939" s="97" t="s">
        <v>2473</v>
      </c>
      <c r="B939" s="97" t="s">
        <v>1618</v>
      </c>
      <c r="C939" s="95">
        <v>4392</v>
      </c>
      <c r="D939" s="95" t="s">
        <v>1625</v>
      </c>
      <c r="E939" s="129">
        <f>VLOOKUP($C939,'2021-22 School Level AAFTE'!$C:$Z,11,FALSE)</f>
        <v>0.25600000000000001</v>
      </c>
      <c r="F939" s="129" t="str">
        <f>VLOOKUP($C939,'2021-22 School Level AAFTE'!$C:$Z,8,FALSE)</f>
        <v>No</v>
      </c>
      <c r="G939" s="129" t="str">
        <f>VLOOKUP($C939,'2021-22 School Level AAFTE'!$C:$Z,12,FALSE)</f>
        <v>No</v>
      </c>
      <c r="H939" s="127">
        <f>VLOOKUP($C939,'2021-22 School Level AAFTE'!$C:$I,7,FALSE)</f>
        <v>526.73</v>
      </c>
      <c r="I939" s="112">
        <f>IFERROR(IF(OR(G939="yes",F939= "yes"),VLOOKUP(C939,Summary!$B:$J,6,0),0),0)</f>
        <v>0</v>
      </c>
      <c r="J939" s="111">
        <f t="shared" si="180"/>
        <v>0</v>
      </c>
      <c r="K939" s="91">
        <f>VLOOKUP($A939,'2022-23 Salary &amp; Benefits'!$A:$I,3,FALSE)</f>
        <v>1.18</v>
      </c>
      <c r="L939" s="91">
        <f>VLOOKUP($A939,'2022-23 Salary &amp; Benefits'!$A:$I,4,FALSE)</f>
        <v>1.18</v>
      </c>
      <c r="M939" s="39">
        <f t="shared" si="187"/>
        <v>0</v>
      </c>
      <c r="N939" s="24">
        <v>15</v>
      </c>
      <c r="O939" s="26">
        <f t="shared" si="178"/>
        <v>0</v>
      </c>
      <c r="P939" s="24">
        <v>1.1000000000000001</v>
      </c>
      <c r="Q939" s="24">
        <v>36</v>
      </c>
      <c r="R939" s="27">
        <f t="shared" si="179"/>
        <v>0</v>
      </c>
      <c r="S939" s="102">
        <f t="shared" si="181"/>
        <v>0</v>
      </c>
      <c r="T939" s="21">
        <f>VLOOKUP($A939,'2022-23 Salary &amp; Benefits'!$A:$I,5,FALSE)</f>
        <v>68937</v>
      </c>
      <c r="U939" s="21">
        <f>VLOOKUP($A939,'2022-23 Salary &amp; Benefits'!$A:$I,6,FALSE)</f>
        <v>72728</v>
      </c>
      <c r="V939" s="22">
        <f t="shared" si="182"/>
        <v>0</v>
      </c>
      <c r="W939" s="22">
        <f t="shared" si="183"/>
        <v>0</v>
      </c>
      <c r="X939" s="22">
        <f>'2022-23 Salary &amp; Benefits'!$G$6</f>
        <v>12558.24</v>
      </c>
      <c r="Y939" s="23">
        <f>'2022-23 Salary &amp; Benefits'!$H$6</f>
        <v>0.2298</v>
      </c>
      <c r="Z939" s="23">
        <f>'2022-23 Salary &amp; Benefits'!$I$6</f>
        <v>0.22339999999999999</v>
      </c>
      <c r="AA939" s="22">
        <f t="shared" si="184"/>
        <v>0</v>
      </c>
      <c r="AB939" s="22">
        <f t="shared" si="185"/>
        <v>0</v>
      </c>
      <c r="AC939" s="22">
        <f t="shared" si="186"/>
        <v>0</v>
      </c>
      <c r="AD939" s="22">
        <f t="shared" si="188"/>
        <v>0</v>
      </c>
      <c r="AE939" s="22">
        <f t="shared" si="189"/>
        <v>0</v>
      </c>
      <c r="AF939" s="19" t="str">
        <f>VLOOKUP(C939,'2021-22 School Level AAFTE'!C:N,12,FALSE)</f>
        <v>No</v>
      </c>
    </row>
    <row r="940" spans="1:32" s="19" customFormat="1">
      <c r="A940" s="97" t="s">
        <v>2473</v>
      </c>
      <c r="B940" s="97" t="s">
        <v>1618</v>
      </c>
      <c r="C940" s="95">
        <v>4534</v>
      </c>
      <c r="D940" s="95" t="s">
        <v>26</v>
      </c>
      <c r="E940" s="129">
        <f>VLOOKUP($C940,'2021-22 School Level AAFTE'!$C:$Z,11,FALSE)</f>
        <v>0.20203333333333337</v>
      </c>
      <c r="F940" s="129" t="str">
        <f>VLOOKUP($C940,'2021-22 School Level AAFTE'!$C:$Z,8,FALSE)</f>
        <v>No</v>
      </c>
      <c r="G940" s="129" t="str">
        <f>VLOOKUP($C940,'2021-22 School Level AAFTE'!$C:$Z,12,FALSE)</f>
        <v>No</v>
      </c>
      <c r="H940" s="127">
        <f>VLOOKUP($C940,'2021-22 School Level AAFTE'!$C:$I,7,FALSE)</f>
        <v>608.1</v>
      </c>
      <c r="I940" s="112">
        <f>IFERROR(IF(OR(G940="yes",F940= "yes"),VLOOKUP(C940,Summary!$B:$J,6,0),0),0)</f>
        <v>0</v>
      </c>
      <c r="J940" s="111">
        <f t="shared" si="180"/>
        <v>0</v>
      </c>
      <c r="K940" s="91">
        <f>VLOOKUP($A940,'2022-23 Salary &amp; Benefits'!$A:$I,3,FALSE)</f>
        <v>1.18</v>
      </c>
      <c r="L940" s="91">
        <f>VLOOKUP($A940,'2022-23 Salary &amp; Benefits'!$A:$I,4,FALSE)</f>
        <v>1.18</v>
      </c>
      <c r="M940" s="39">
        <f t="shared" si="187"/>
        <v>0</v>
      </c>
      <c r="N940" s="24">
        <v>15</v>
      </c>
      <c r="O940" s="26">
        <f t="shared" si="178"/>
        <v>0</v>
      </c>
      <c r="P940" s="24">
        <v>1.1000000000000001</v>
      </c>
      <c r="Q940" s="24">
        <v>36</v>
      </c>
      <c r="R940" s="27">
        <f t="shared" si="179"/>
        <v>0</v>
      </c>
      <c r="S940" s="102">
        <f t="shared" si="181"/>
        <v>0</v>
      </c>
      <c r="T940" s="21">
        <f>VLOOKUP($A940,'2022-23 Salary &amp; Benefits'!$A:$I,5,FALSE)</f>
        <v>68937</v>
      </c>
      <c r="U940" s="21">
        <f>VLOOKUP($A940,'2022-23 Salary &amp; Benefits'!$A:$I,6,FALSE)</f>
        <v>72728</v>
      </c>
      <c r="V940" s="22">
        <f t="shared" si="182"/>
        <v>0</v>
      </c>
      <c r="W940" s="22">
        <f t="shared" si="183"/>
        <v>0</v>
      </c>
      <c r="X940" s="22">
        <f>'2022-23 Salary &amp; Benefits'!$G$6</f>
        <v>12558.24</v>
      </c>
      <c r="Y940" s="23">
        <f>'2022-23 Salary &amp; Benefits'!$H$6</f>
        <v>0.2298</v>
      </c>
      <c r="Z940" s="23">
        <f>'2022-23 Salary &amp; Benefits'!$I$6</f>
        <v>0.22339999999999999</v>
      </c>
      <c r="AA940" s="22">
        <f t="shared" si="184"/>
        <v>0</v>
      </c>
      <c r="AB940" s="22">
        <f t="shared" si="185"/>
        <v>0</v>
      </c>
      <c r="AC940" s="22">
        <f t="shared" si="186"/>
        <v>0</v>
      </c>
      <c r="AD940" s="22">
        <f t="shared" si="188"/>
        <v>0</v>
      </c>
      <c r="AE940" s="22">
        <f t="shared" si="189"/>
        <v>0</v>
      </c>
      <c r="AF940" s="19" t="str">
        <f>VLOOKUP(C940,'2021-22 School Level AAFTE'!C:N,12,FALSE)</f>
        <v>No</v>
      </c>
    </row>
    <row r="941" spans="1:32" s="19" customFormat="1">
      <c r="A941" s="97" t="s">
        <v>2473</v>
      </c>
      <c r="B941" s="97" t="s">
        <v>1618</v>
      </c>
      <c r="C941" s="95">
        <v>5099</v>
      </c>
      <c r="D941" s="95" t="s">
        <v>1626</v>
      </c>
      <c r="E941" s="129">
        <f>VLOOKUP($C941,'2021-22 School Level AAFTE'!$C:$Z,11,FALSE)</f>
        <v>0.26930000000000004</v>
      </c>
      <c r="F941" s="129" t="str">
        <f>VLOOKUP($C941,'2021-22 School Level AAFTE'!$C:$Z,8,FALSE)</f>
        <v>No</v>
      </c>
      <c r="G941" s="129" t="str">
        <f>VLOOKUP($C941,'2021-22 School Level AAFTE'!$C:$Z,12,FALSE)</f>
        <v>No</v>
      </c>
      <c r="H941" s="127">
        <f>VLOOKUP($C941,'2021-22 School Level AAFTE'!$C:$I,7,FALSE)</f>
        <v>1506.03</v>
      </c>
      <c r="I941" s="112">
        <f>IFERROR(IF(OR(G941="yes",F941= "yes"),VLOOKUP(C941,Summary!$B:$J,6,0),0),0)</f>
        <v>0</v>
      </c>
      <c r="J941" s="111">
        <f t="shared" si="180"/>
        <v>0</v>
      </c>
      <c r="K941" s="91">
        <f>VLOOKUP($A941,'2022-23 Salary &amp; Benefits'!$A:$I,3,FALSE)</f>
        <v>1.18</v>
      </c>
      <c r="L941" s="91">
        <f>VLOOKUP($A941,'2022-23 Salary &amp; Benefits'!$A:$I,4,FALSE)</f>
        <v>1.18</v>
      </c>
      <c r="M941" s="39">
        <f t="shared" si="187"/>
        <v>0</v>
      </c>
      <c r="N941" s="24">
        <v>15</v>
      </c>
      <c r="O941" s="26">
        <f t="shared" si="178"/>
        <v>0</v>
      </c>
      <c r="P941" s="24">
        <v>1.1000000000000001</v>
      </c>
      <c r="Q941" s="24">
        <v>36</v>
      </c>
      <c r="R941" s="27">
        <f t="shared" si="179"/>
        <v>0</v>
      </c>
      <c r="S941" s="102">
        <f t="shared" si="181"/>
        <v>0</v>
      </c>
      <c r="T941" s="21">
        <f>VLOOKUP($A941,'2022-23 Salary &amp; Benefits'!$A:$I,5,FALSE)</f>
        <v>68937</v>
      </c>
      <c r="U941" s="21">
        <f>VLOOKUP($A941,'2022-23 Salary &amp; Benefits'!$A:$I,6,FALSE)</f>
        <v>72728</v>
      </c>
      <c r="V941" s="22">
        <f t="shared" si="182"/>
        <v>0</v>
      </c>
      <c r="W941" s="22">
        <f t="shared" si="183"/>
        <v>0</v>
      </c>
      <c r="X941" s="22">
        <f>'2022-23 Salary &amp; Benefits'!$G$6</f>
        <v>12558.24</v>
      </c>
      <c r="Y941" s="23">
        <f>'2022-23 Salary &amp; Benefits'!$H$6</f>
        <v>0.2298</v>
      </c>
      <c r="Z941" s="23">
        <f>'2022-23 Salary &amp; Benefits'!$I$6</f>
        <v>0.22339999999999999</v>
      </c>
      <c r="AA941" s="22">
        <f t="shared" si="184"/>
        <v>0</v>
      </c>
      <c r="AB941" s="22">
        <f t="shared" si="185"/>
        <v>0</v>
      </c>
      <c r="AC941" s="22">
        <f t="shared" si="186"/>
        <v>0</v>
      </c>
      <c r="AD941" s="22">
        <f t="shared" si="188"/>
        <v>0</v>
      </c>
      <c r="AE941" s="22">
        <f t="shared" si="189"/>
        <v>0</v>
      </c>
      <c r="AF941" s="19" t="str">
        <f>VLOOKUP(C941,'2021-22 School Level AAFTE'!C:N,12,FALSE)</f>
        <v>No</v>
      </c>
    </row>
    <row r="942" spans="1:32" s="19" customFormat="1">
      <c r="A942" s="97" t="s">
        <v>2473</v>
      </c>
      <c r="B942" s="97" t="s">
        <v>1618</v>
      </c>
      <c r="C942" s="95">
        <v>5477</v>
      </c>
      <c r="D942" s="95" t="s">
        <v>2804</v>
      </c>
      <c r="E942" s="129">
        <f>VLOOKUP($C942,'2021-22 School Level AAFTE'!$C:$Z,11,FALSE)</f>
        <v>0.26216666666666666</v>
      </c>
      <c r="F942" s="129" t="str">
        <f>VLOOKUP($C942,'2021-22 School Level AAFTE'!$C:$Z,8,FALSE)</f>
        <v>No</v>
      </c>
      <c r="G942" s="129" t="str">
        <f>VLOOKUP($C942,'2021-22 School Level AAFTE'!$C:$Z,12,FALSE)</f>
        <v>No</v>
      </c>
      <c r="H942" s="127">
        <f>VLOOKUP($C942,'2021-22 School Level AAFTE'!$C:$I,7,FALSE)</f>
        <v>514.75</v>
      </c>
      <c r="I942" s="112">
        <f>IFERROR(IF(OR(G942="yes",F942= "yes"),VLOOKUP(C942,Summary!$B:$J,6,0),0),0)</f>
        <v>0</v>
      </c>
      <c r="J942" s="111">
        <f t="shared" si="180"/>
        <v>0</v>
      </c>
      <c r="K942" s="91">
        <f>VLOOKUP($A942,'2022-23 Salary &amp; Benefits'!$A:$I,3,FALSE)</f>
        <v>1.18</v>
      </c>
      <c r="L942" s="91">
        <f>VLOOKUP($A942,'2022-23 Salary &amp; Benefits'!$A:$I,4,FALSE)</f>
        <v>1.18</v>
      </c>
      <c r="M942" s="101">
        <f t="shared" si="187"/>
        <v>0</v>
      </c>
      <c r="N942" s="24">
        <v>15</v>
      </c>
      <c r="O942" s="26">
        <f t="shared" si="178"/>
        <v>0</v>
      </c>
      <c r="P942" s="24">
        <v>1.1000000000000001</v>
      </c>
      <c r="Q942" s="24">
        <v>36</v>
      </c>
      <c r="R942" s="27">
        <f t="shared" si="179"/>
        <v>0</v>
      </c>
      <c r="S942" s="102">
        <f t="shared" si="181"/>
        <v>0</v>
      </c>
      <c r="T942" s="21">
        <f>VLOOKUP($A942,'2022-23 Salary &amp; Benefits'!$A:$I,5,FALSE)</f>
        <v>68937</v>
      </c>
      <c r="U942" s="21">
        <f>VLOOKUP($A942,'2022-23 Salary &amp; Benefits'!$A:$I,6,FALSE)</f>
        <v>72728</v>
      </c>
      <c r="V942" s="22">
        <f t="shared" si="182"/>
        <v>0</v>
      </c>
      <c r="W942" s="22">
        <f t="shared" si="183"/>
        <v>0</v>
      </c>
      <c r="X942" s="22">
        <f>'2022-23 Salary &amp; Benefits'!$G$6</f>
        <v>12558.24</v>
      </c>
      <c r="Y942" s="23">
        <f>'2022-23 Salary &amp; Benefits'!$H$6</f>
        <v>0.2298</v>
      </c>
      <c r="Z942" s="23">
        <f>'2022-23 Salary &amp; Benefits'!$I$6</f>
        <v>0.22339999999999999</v>
      </c>
      <c r="AA942" s="22">
        <f t="shared" si="184"/>
        <v>0</v>
      </c>
      <c r="AB942" s="22">
        <f t="shared" si="185"/>
        <v>0</v>
      </c>
      <c r="AC942" s="22">
        <f t="shared" si="186"/>
        <v>0</v>
      </c>
      <c r="AD942" s="22">
        <f t="shared" si="188"/>
        <v>0</v>
      </c>
      <c r="AE942" s="22">
        <f t="shared" si="189"/>
        <v>0</v>
      </c>
      <c r="AF942" s="19" t="str">
        <f>VLOOKUP(C942,'2021-22 School Level AAFTE'!C:N,12,FALSE)</f>
        <v>No</v>
      </c>
    </row>
    <row r="943" spans="1:32" s="19" customFormat="1">
      <c r="A943" s="97" t="s">
        <v>2364</v>
      </c>
      <c r="B943" s="97" t="s">
        <v>888</v>
      </c>
      <c r="C943" s="95">
        <v>1649</v>
      </c>
      <c r="D943" s="95" t="s">
        <v>889</v>
      </c>
      <c r="E943" s="129">
        <f>VLOOKUP($C943,'2021-22 School Level AAFTE'!$C:$Z,11,FALSE)</f>
        <v>0.11116666666666668</v>
      </c>
      <c r="F943" s="129" t="str">
        <f>VLOOKUP($C943,'2021-22 School Level AAFTE'!$C:$Z,8,FALSE)</f>
        <v>No</v>
      </c>
      <c r="G943" s="129" t="str">
        <f>VLOOKUP($C943,'2021-22 School Level AAFTE'!$C:$Z,12,FALSE)</f>
        <v>No</v>
      </c>
      <c r="H943" s="127">
        <f>VLOOKUP($C943,'2021-22 School Level AAFTE'!$C:$I,7,FALSE)</f>
        <v>41.7</v>
      </c>
      <c r="I943" s="112">
        <f>IFERROR(IF(OR(G943="yes",F943= "yes"),VLOOKUP(C943,Summary!$B:$J,6,0),0),0)</f>
        <v>0</v>
      </c>
      <c r="J943" s="111">
        <f t="shared" si="180"/>
        <v>0</v>
      </c>
      <c r="K943" s="91">
        <f>VLOOKUP($A943,'2022-23 Salary &amp; Benefits'!$A:$I,3,FALSE)</f>
        <v>1.18</v>
      </c>
      <c r="L943" s="91">
        <f>VLOOKUP($A943,'2022-23 Salary &amp; Benefits'!$A:$I,4,FALSE)</f>
        <v>1.18</v>
      </c>
      <c r="M943" s="101">
        <f t="shared" si="187"/>
        <v>0</v>
      </c>
      <c r="N943" s="24">
        <v>15</v>
      </c>
      <c r="O943" s="26">
        <f t="shared" si="178"/>
        <v>0</v>
      </c>
      <c r="P943" s="24">
        <v>1.1000000000000001</v>
      </c>
      <c r="Q943" s="24">
        <v>36</v>
      </c>
      <c r="R943" s="27">
        <f t="shared" si="179"/>
        <v>0</v>
      </c>
      <c r="S943" s="102">
        <f t="shared" si="181"/>
        <v>0</v>
      </c>
      <c r="T943" s="21">
        <f>VLOOKUP($A943,'2022-23 Salary &amp; Benefits'!$A:$I,5,FALSE)</f>
        <v>68937</v>
      </c>
      <c r="U943" s="21">
        <f>VLOOKUP($A943,'2022-23 Salary &amp; Benefits'!$A:$I,6,FALSE)</f>
        <v>72728</v>
      </c>
      <c r="V943" s="22">
        <f t="shared" si="182"/>
        <v>0</v>
      </c>
      <c r="W943" s="22">
        <f t="shared" si="183"/>
        <v>0</v>
      </c>
      <c r="X943" s="22">
        <f>'2022-23 Salary &amp; Benefits'!$G$6</f>
        <v>12558.24</v>
      </c>
      <c r="Y943" s="23">
        <f>'2022-23 Salary &amp; Benefits'!$H$6</f>
        <v>0.2298</v>
      </c>
      <c r="Z943" s="23">
        <f>'2022-23 Salary &amp; Benefits'!$I$6</f>
        <v>0.22339999999999999</v>
      </c>
      <c r="AA943" s="22">
        <f t="shared" si="184"/>
        <v>0</v>
      </c>
      <c r="AB943" s="22">
        <f t="shared" si="185"/>
        <v>0</v>
      </c>
      <c r="AC943" s="22">
        <f t="shared" si="186"/>
        <v>0</v>
      </c>
      <c r="AD943" s="22">
        <f t="shared" si="188"/>
        <v>0</v>
      </c>
      <c r="AE943" s="22">
        <f t="shared" si="189"/>
        <v>0</v>
      </c>
      <c r="AF943" s="19" t="str">
        <f>VLOOKUP(C943,'2021-22 School Level AAFTE'!C:N,12,FALSE)</f>
        <v>No</v>
      </c>
    </row>
    <row r="944" spans="1:32" s="19" customFormat="1">
      <c r="A944" s="97" t="s">
        <v>2364</v>
      </c>
      <c r="B944" s="97" t="s">
        <v>888</v>
      </c>
      <c r="C944" s="95">
        <v>1658</v>
      </c>
      <c r="D944" s="95" t="s">
        <v>890</v>
      </c>
      <c r="E944" s="129">
        <f>VLOOKUP($C944,'2021-22 School Level AAFTE'!$C:$Z,11,FALSE)</f>
        <v>4.2833333333333334E-2</v>
      </c>
      <c r="F944" s="129" t="str">
        <f>VLOOKUP($C944,'2021-22 School Level AAFTE'!$C:$Z,8,FALSE)</f>
        <v>No</v>
      </c>
      <c r="G944" s="129" t="str">
        <f>VLOOKUP($C944,'2021-22 School Level AAFTE'!$C:$Z,12,FALSE)</f>
        <v>No</v>
      </c>
      <c r="H944" s="127">
        <f>VLOOKUP($C944,'2021-22 School Level AAFTE'!$C:$I,7,FALSE)</f>
        <v>68</v>
      </c>
      <c r="I944" s="112">
        <f>IFERROR(IF(OR(G944="yes",F944= "yes"),VLOOKUP(C944,Summary!$B:$J,6,0),0),0)</f>
        <v>0</v>
      </c>
      <c r="J944" s="111">
        <f t="shared" si="180"/>
        <v>0</v>
      </c>
      <c r="K944" s="91">
        <f>VLOOKUP($A944,'2022-23 Salary &amp; Benefits'!$A:$I,3,FALSE)</f>
        <v>1.18</v>
      </c>
      <c r="L944" s="91">
        <f>VLOOKUP($A944,'2022-23 Salary &amp; Benefits'!$A:$I,4,FALSE)</f>
        <v>1.18</v>
      </c>
      <c r="M944" s="39">
        <f t="shared" si="187"/>
        <v>0</v>
      </c>
      <c r="N944" s="24">
        <v>15</v>
      </c>
      <c r="O944" s="26">
        <f t="shared" si="178"/>
        <v>0</v>
      </c>
      <c r="P944" s="24">
        <v>1.1000000000000001</v>
      </c>
      <c r="Q944" s="24">
        <v>36</v>
      </c>
      <c r="R944" s="27">
        <f t="shared" si="179"/>
        <v>0</v>
      </c>
      <c r="S944" s="102">
        <f t="shared" si="181"/>
        <v>0</v>
      </c>
      <c r="T944" s="21">
        <f>VLOOKUP($A944,'2022-23 Salary &amp; Benefits'!$A:$I,5,FALSE)</f>
        <v>68937</v>
      </c>
      <c r="U944" s="21">
        <f>VLOOKUP($A944,'2022-23 Salary &amp; Benefits'!$A:$I,6,FALSE)</f>
        <v>72728</v>
      </c>
      <c r="V944" s="22">
        <f t="shared" si="182"/>
        <v>0</v>
      </c>
      <c r="W944" s="22">
        <f t="shared" si="183"/>
        <v>0</v>
      </c>
      <c r="X944" s="22">
        <f>'2022-23 Salary &amp; Benefits'!$G$6</f>
        <v>12558.24</v>
      </c>
      <c r="Y944" s="23">
        <f>'2022-23 Salary &amp; Benefits'!$H$6</f>
        <v>0.2298</v>
      </c>
      <c r="Z944" s="23">
        <f>'2022-23 Salary &amp; Benefits'!$I$6</f>
        <v>0.22339999999999999</v>
      </c>
      <c r="AA944" s="22">
        <f t="shared" si="184"/>
        <v>0</v>
      </c>
      <c r="AB944" s="22">
        <f t="shared" si="185"/>
        <v>0</v>
      </c>
      <c r="AC944" s="22">
        <f t="shared" si="186"/>
        <v>0</v>
      </c>
      <c r="AD944" s="22">
        <f t="shared" si="188"/>
        <v>0</v>
      </c>
      <c r="AE944" s="22">
        <f t="shared" si="189"/>
        <v>0</v>
      </c>
      <c r="AF944" s="19" t="str">
        <f>VLOOKUP(C944,'2021-22 School Level AAFTE'!C:N,12,FALSE)</f>
        <v>No</v>
      </c>
    </row>
    <row r="945" spans="1:32" s="19" customFormat="1">
      <c r="A945" s="97" t="s">
        <v>2364</v>
      </c>
      <c r="B945" s="97" t="s">
        <v>888</v>
      </c>
      <c r="C945" s="95">
        <v>1687</v>
      </c>
      <c r="D945" s="95" t="s">
        <v>891</v>
      </c>
      <c r="E945" s="129">
        <f>VLOOKUP($C945,'2021-22 School Level AAFTE'!$C:$Z,11,FALSE)</f>
        <v>0.02</v>
      </c>
      <c r="F945" s="129" t="str">
        <f>VLOOKUP($C945,'2021-22 School Level AAFTE'!$C:$Z,8,FALSE)</f>
        <v>No</v>
      </c>
      <c r="G945" s="129" t="str">
        <f>VLOOKUP($C945,'2021-22 School Level AAFTE'!$C:$Z,12,FALSE)</f>
        <v>No</v>
      </c>
      <c r="H945" s="127">
        <f>VLOOKUP($C945,'2021-22 School Level AAFTE'!$C:$I,7,FALSE)</f>
        <v>59.71</v>
      </c>
      <c r="I945" s="112">
        <f>IFERROR(IF(OR(G945="yes",F945= "yes"),VLOOKUP(C945,Summary!$B:$J,6,0),0),0)</f>
        <v>0</v>
      </c>
      <c r="J945" s="111">
        <f t="shared" si="180"/>
        <v>0</v>
      </c>
      <c r="K945" s="91">
        <f>VLOOKUP($A945,'2022-23 Salary &amp; Benefits'!$A:$I,3,FALSE)</f>
        <v>1.18</v>
      </c>
      <c r="L945" s="91">
        <f>VLOOKUP($A945,'2022-23 Salary &amp; Benefits'!$A:$I,4,FALSE)</f>
        <v>1.18</v>
      </c>
      <c r="M945" s="39">
        <f t="shared" si="187"/>
        <v>0</v>
      </c>
      <c r="N945" s="24">
        <v>15</v>
      </c>
      <c r="O945" s="26">
        <f t="shared" si="178"/>
        <v>0</v>
      </c>
      <c r="P945" s="24">
        <v>1.1000000000000001</v>
      </c>
      <c r="Q945" s="24">
        <v>36</v>
      </c>
      <c r="R945" s="27">
        <f t="shared" si="179"/>
        <v>0</v>
      </c>
      <c r="S945" s="102">
        <f t="shared" si="181"/>
        <v>0</v>
      </c>
      <c r="T945" s="21">
        <f>VLOOKUP($A945,'2022-23 Salary &amp; Benefits'!$A:$I,5,FALSE)</f>
        <v>68937</v>
      </c>
      <c r="U945" s="21">
        <f>VLOOKUP($A945,'2022-23 Salary &amp; Benefits'!$A:$I,6,FALSE)</f>
        <v>72728</v>
      </c>
      <c r="V945" s="22">
        <f t="shared" si="182"/>
        <v>0</v>
      </c>
      <c r="W945" s="22">
        <f t="shared" si="183"/>
        <v>0</v>
      </c>
      <c r="X945" s="22">
        <f>'2022-23 Salary &amp; Benefits'!$G$6</f>
        <v>12558.24</v>
      </c>
      <c r="Y945" s="23">
        <f>'2022-23 Salary &amp; Benefits'!$H$6</f>
        <v>0.2298</v>
      </c>
      <c r="Z945" s="23">
        <f>'2022-23 Salary &amp; Benefits'!$I$6</f>
        <v>0.22339999999999999</v>
      </c>
      <c r="AA945" s="22">
        <f t="shared" si="184"/>
        <v>0</v>
      </c>
      <c r="AB945" s="22">
        <f t="shared" si="185"/>
        <v>0</v>
      </c>
      <c r="AC945" s="22">
        <f t="shared" si="186"/>
        <v>0</v>
      </c>
      <c r="AD945" s="22">
        <f t="shared" si="188"/>
        <v>0</v>
      </c>
      <c r="AE945" s="22">
        <f t="shared" si="189"/>
        <v>0</v>
      </c>
      <c r="AF945" s="19" t="str">
        <f>VLOOKUP(C945,'2021-22 School Level AAFTE'!C:N,12,FALSE)</f>
        <v>No</v>
      </c>
    </row>
    <row r="946" spans="1:32" s="19" customFormat="1">
      <c r="A946" s="97" t="s">
        <v>2364</v>
      </c>
      <c r="B946" s="97" t="s">
        <v>888</v>
      </c>
      <c r="C946" s="95">
        <v>1688</v>
      </c>
      <c r="D946" s="95" t="s">
        <v>892</v>
      </c>
      <c r="E946" s="129">
        <f>VLOOKUP($C946,'2021-22 School Level AAFTE'!$C:$Z,11,FALSE)</f>
        <v>6.7733333333333326E-2</v>
      </c>
      <c r="F946" s="129" t="str">
        <f>VLOOKUP($C946,'2021-22 School Level AAFTE'!$C:$Z,8,FALSE)</f>
        <v>No</v>
      </c>
      <c r="G946" s="129" t="str">
        <f>VLOOKUP($C946,'2021-22 School Level AAFTE'!$C:$Z,12,FALSE)</f>
        <v>No</v>
      </c>
      <c r="H946" s="127">
        <f>VLOOKUP($C946,'2021-22 School Level AAFTE'!$C:$I,7,FALSE)</f>
        <v>65.67</v>
      </c>
      <c r="I946" s="112">
        <f>IFERROR(IF(OR(G946="yes",F946= "yes"),VLOOKUP(C946,Summary!$B:$J,6,0),0),0)</f>
        <v>0</v>
      </c>
      <c r="J946" s="111">
        <f t="shared" si="180"/>
        <v>0</v>
      </c>
      <c r="K946" s="91">
        <f>VLOOKUP($A946,'2022-23 Salary &amp; Benefits'!$A:$I,3,FALSE)</f>
        <v>1.18</v>
      </c>
      <c r="L946" s="91">
        <f>VLOOKUP($A946,'2022-23 Salary &amp; Benefits'!$A:$I,4,FALSE)</f>
        <v>1.18</v>
      </c>
      <c r="M946" s="39">
        <f t="shared" si="187"/>
        <v>0</v>
      </c>
      <c r="N946" s="24">
        <v>15</v>
      </c>
      <c r="O946" s="26">
        <f t="shared" si="178"/>
        <v>0</v>
      </c>
      <c r="P946" s="24">
        <v>1.1000000000000001</v>
      </c>
      <c r="Q946" s="24">
        <v>36</v>
      </c>
      <c r="R946" s="27">
        <f t="shared" si="179"/>
        <v>0</v>
      </c>
      <c r="S946" s="102">
        <f t="shared" si="181"/>
        <v>0</v>
      </c>
      <c r="T946" s="21">
        <f>VLOOKUP($A946,'2022-23 Salary &amp; Benefits'!$A:$I,5,FALSE)</f>
        <v>68937</v>
      </c>
      <c r="U946" s="21">
        <f>VLOOKUP($A946,'2022-23 Salary &amp; Benefits'!$A:$I,6,FALSE)</f>
        <v>72728</v>
      </c>
      <c r="V946" s="22">
        <f t="shared" si="182"/>
        <v>0</v>
      </c>
      <c r="W946" s="22">
        <f t="shared" si="183"/>
        <v>0</v>
      </c>
      <c r="X946" s="22">
        <f>'2022-23 Salary &amp; Benefits'!$G$6</f>
        <v>12558.24</v>
      </c>
      <c r="Y946" s="23">
        <f>'2022-23 Salary &amp; Benefits'!$H$6</f>
        <v>0.2298</v>
      </c>
      <c r="Z946" s="23">
        <f>'2022-23 Salary &amp; Benefits'!$I$6</f>
        <v>0.22339999999999999</v>
      </c>
      <c r="AA946" s="22">
        <f t="shared" si="184"/>
        <v>0</v>
      </c>
      <c r="AB946" s="22">
        <f t="shared" si="185"/>
        <v>0</v>
      </c>
      <c r="AC946" s="22">
        <f t="shared" si="186"/>
        <v>0</v>
      </c>
      <c r="AD946" s="22">
        <f t="shared" si="188"/>
        <v>0</v>
      </c>
      <c r="AE946" s="22">
        <f t="shared" si="189"/>
        <v>0</v>
      </c>
      <c r="AF946" s="19" t="str">
        <f>VLOOKUP(C946,'2021-22 School Level AAFTE'!C:N,12,FALSE)</f>
        <v>No</v>
      </c>
    </row>
    <row r="947" spans="1:32" s="19" customFormat="1">
      <c r="A947" s="97" t="s">
        <v>2364</v>
      </c>
      <c r="B947" s="97" t="s">
        <v>888</v>
      </c>
      <c r="C947" s="95">
        <v>1706</v>
      </c>
      <c r="D947" s="95" t="s">
        <v>893</v>
      </c>
      <c r="E947" s="129">
        <f>VLOOKUP($C947,'2021-22 School Level AAFTE'!$C:$Z,11,FALSE)</f>
        <v>2.2799999999999997E-2</v>
      </c>
      <c r="F947" s="129" t="str">
        <f>VLOOKUP($C947,'2021-22 School Level AAFTE'!$C:$Z,8,FALSE)</f>
        <v>No</v>
      </c>
      <c r="G947" s="129" t="str">
        <f>VLOOKUP($C947,'2021-22 School Level AAFTE'!$C:$Z,12,FALSE)</f>
        <v>No</v>
      </c>
      <c r="H947" s="127">
        <f>VLOOKUP($C947,'2021-22 School Level AAFTE'!$C:$I,7,FALSE)</f>
        <v>429.18</v>
      </c>
      <c r="I947" s="112">
        <f>IFERROR(IF(OR(G947="yes",F947= "yes"),VLOOKUP(C947,Summary!$B:$J,6,0),0),0)</f>
        <v>0</v>
      </c>
      <c r="J947" s="111">
        <f t="shared" si="180"/>
        <v>0</v>
      </c>
      <c r="K947" s="91">
        <f>VLOOKUP($A947,'2022-23 Salary &amp; Benefits'!$A:$I,3,FALSE)</f>
        <v>1.18</v>
      </c>
      <c r="L947" s="91">
        <f>VLOOKUP($A947,'2022-23 Salary &amp; Benefits'!$A:$I,4,FALSE)</f>
        <v>1.18</v>
      </c>
      <c r="M947" s="39">
        <f t="shared" si="187"/>
        <v>0</v>
      </c>
      <c r="N947" s="24">
        <v>15</v>
      </c>
      <c r="O947" s="26">
        <f t="shared" si="178"/>
        <v>0</v>
      </c>
      <c r="P947" s="24">
        <v>1.1000000000000001</v>
      </c>
      <c r="Q947" s="24">
        <v>36</v>
      </c>
      <c r="R947" s="27">
        <f t="shared" si="179"/>
        <v>0</v>
      </c>
      <c r="S947" s="102">
        <f t="shared" si="181"/>
        <v>0</v>
      </c>
      <c r="T947" s="21">
        <f>VLOOKUP($A947,'2022-23 Salary &amp; Benefits'!$A:$I,5,FALSE)</f>
        <v>68937</v>
      </c>
      <c r="U947" s="21">
        <f>VLOOKUP($A947,'2022-23 Salary &amp; Benefits'!$A:$I,6,FALSE)</f>
        <v>72728</v>
      </c>
      <c r="V947" s="22">
        <f t="shared" si="182"/>
        <v>0</v>
      </c>
      <c r="W947" s="22">
        <f t="shared" si="183"/>
        <v>0</v>
      </c>
      <c r="X947" s="22">
        <f>'2022-23 Salary &amp; Benefits'!$G$6</f>
        <v>12558.24</v>
      </c>
      <c r="Y947" s="23">
        <f>'2022-23 Salary &amp; Benefits'!$H$6</f>
        <v>0.2298</v>
      </c>
      <c r="Z947" s="23">
        <f>'2022-23 Salary &amp; Benefits'!$I$6</f>
        <v>0.22339999999999999</v>
      </c>
      <c r="AA947" s="22">
        <f t="shared" si="184"/>
        <v>0</v>
      </c>
      <c r="AB947" s="22">
        <f t="shared" si="185"/>
        <v>0</v>
      </c>
      <c r="AC947" s="22">
        <f t="shared" si="186"/>
        <v>0</v>
      </c>
      <c r="AD947" s="22">
        <f t="shared" si="188"/>
        <v>0</v>
      </c>
      <c r="AE947" s="22">
        <f t="shared" si="189"/>
        <v>0</v>
      </c>
      <c r="AF947" s="19" t="str">
        <f>VLOOKUP(C947,'2021-22 School Level AAFTE'!C:N,12,FALSE)</f>
        <v>No</v>
      </c>
    </row>
    <row r="948" spans="1:32" s="19" customFormat="1">
      <c r="A948" s="97" t="s">
        <v>2364</v>
      </c>
      <c r="B948" s="97" t="s">
        <v>888</v>
      </c>
      <c r="C948" s="95">
        <v>1800</v>
      </c>
      <c r="D948" s="95" t="s">
        <v>894</v>
      </c>
      <c r="E948" s="129">
        <f>VLOOKUP($C948,'2021-22 School Level AAFTE'!$C:$Z,11,FALSE)</f>
        <v>3.8300000000000001E-2</v>
      </c>
      <c r="F948" s="129" t="str">
        <f>VLOOKUP($C948,'2021-22 School Level AAFTE'!$C:$Z,8,FALSE)</f>
        <v>No</v>
      </c>
      <c r="G948" s="129" t="str">
        <f>VLOOKUP($C948,'2021-22 School Level AAFTE'!$C:$Z,12,FALSE)</f>
        <v>No</v>
      </c>
      <c r="H948" s="127">
        <f>VLOOKUP($C948,'2021-22 School Level AAFTE'!$C:$I,7,FALSE)</f>
        <v>139.13999999999999</v>
      </c>
      <c r="I948" s="112">
        <f>IFERROR(IF(OR(G948="yes",F948= "yes"),VLOOKUP(C948,Summary!$B:$J,6,0),0),0)</f>
        <v>0</v>
      </c>
      <c r="J948" s="111">
        <f t="shared" si="180"/>
        <v>0</v>
      </c>
      <c r="K948" s="91">
        <f>VLOOKUP($A948,'2022-23 Salary &amp; Benefits'!$A:$I,3,FALSE)</f>
        <v>1.18</v>
      </c>
      <c r="L948" s="91">
        <f>VLOOKUP($A948,'2022-23 Salary &amp; Benefits'!$A:$I,4,FALSE)</f>
        <v>1.18</v>
      </c>
      <c r="M948" s="39">
        <f t="shared" si="187"/>
        <v>0</v>
      </c>
      <c r="N948" s="24">
        <v>15</v>
      </c>
      <c r="O948" s="26">
        <f t="shared" si="178"/>
        <v>0</v>
      </c>
      <c r="P948" s="24">
        <v>1.1000000000000001</v>
      </c>
      <c r="Q948" s="24">
        <v>36</v>
      </c>
      <c r="R948" s="27">
        <f t="shared" si="179"/>
        <v>0</v>
      </c>
      <c r="S948" s="102">
        <f t="shared" si="181"/>
        <v>0</v>
      </c>
      <c r="T948" s="21">
        <f>VLOOKUP($A948,'2022-23 Salary &amp; Benefits'!$A:$I,5,FALSE)</f>
        <v>68937</v>
      </c>
      <c r="U948" s="21">
        <f>VLOOKUP($A948,'2022-23 Salary &amp; Benefits'!$A:$I,6,FALSE)</f>
        <v>72728</v>
      </c>
      <c r="V948" s="22">
        <f t="shared" si="182"/>
        <v>0</v>
      </c>
      <c r="W948" s="22">
        <f t="shared" si="183"/>
        <v>0</v>
      </c>
      <c r="X948" s="22">
        <f>'2022-23 Salary &amp; Benefits'!$G$6</f>
        <v>12558.24</v>
      </c>
      <c r="Y948" s="23">
        <f>'2022-23 Salary &amp; Benefits'!$H$6</f>
        <v>0.2298</v>
      </c>
      <c r="Z948" s="23">
        <f>'2022-23 Salary &amp; Benefits'!$I$6</f>
        <v>0.22339999999999999</v>
      </c>
      <c r="AA948" s="22">
        <f t="shared" si="184"/>
        <v>0</v>
      </c>
      <c r="AB948" s="22">
        <f t="shared" si="185"/>
        <v>0</v>
      </c>
      <c r="AC948" s="22">
        <f t="shared" si="186"/>
        <v>0</v>
      </c>
      <c r="AD948" s="22">
        <f t="shared" si="188"/>
        <v>0</v>
      </c>
      <c r="AE948" s="22">
        <f t="shared" si="189"/>
        <v>0</v>
      </c>
      <c r="AF948" s="19" t="str">
        <f>VLOOKUP(C948,'2021-22 School Level AAFTE'!C:N,12,FALSE)</f>
        <v>No</v>
      </c>
    </row>
    <row r="949" spans="1:32" s="19" customFormat="1">
      <c r="A949" s="97" t="s">
        <v>2364</v>
      </c>
      <c r="B949" s="97" t="s">
        <v>888</v>
      </c>
      <c r="C949" s="95">
        <v>1804</v>
      </c>
      <c r="D949" s="95" t="s">
        <v>895</v>
      </c>
      <c r="E949" s="129">
        <f>VLOOKUP($C949,'2021-22 School Level AAFTE'!$C:$Z,11,FALSE)</f>
        <v>0.33516666666666667</v>
      </c>
      <c r="F949" s="129" t="str">
        <f>VLOOKUP($C949,'2021-22 School Level AAFTE'!$C:$Z,8,FALSE)</f>
        <v>No</v>
      </c>
      <c r="G949" s="129" t="str">
        <f>VLOOKUP($C949,'2021-22 School Level AAFTE'!$C:$Z,12,FALSE)</f>
        <v>No</v>
      </c>
      <c r="H949" s="127">
        <f>VLOOKUP($C949,'2021-22 School Level AAFTE'!$C:$I,7,FALSE)</f>
        <v>22.43</v>
      </c>
      <c r="I949" s="112">
        <f>IFERROR(IF(OR(G949="yes",F949= "yes"),VLOOKUP(C949,Summary!$B:$J,6,0),0),0)</f>
        <v>0</v>
      </c>
      <c r="J949" s="111">
        <f t="shared" si="180"/>
        <v>0</v>
      </c>
      <c r="K949" s="91">
        <f>VLOOKUP($A949,'2022-23 Salary &amp; Benefits'!$A:$I,3,FALSE)</f>
        <v>1.18</v>
      </c>
      <c r="L949" s="91">
        <f>VLOOKUP($A949,'2022-23 Salary &amp; Benefits'!$A:$I,4,FALSE)</f>
        <v>1.18</v>
      </c>
      <c r="M949" s="101">
        <f t="shared" si="187"/>
        <v>0</v>
      </c>
      <c r="N949" s="24">
        <v>15</v>
      </c>
      <c r="O949" s="26">
        <f t="shared" si="178"/>
        <v>0</v>
      </c>
      <c r="P949" s="24">
        <v>1.1000000000000001</v>
      </c>
      <c r="Q949" s="24">
        <v>36</v>
      </c>
      <c r="R949" s="27">
        <f t="shared" si="179"/>
        <v>0</v>
      </c>
      <c r="S949" s="102">
        <f t="shared" si="181"/>
        <v>0</v>
      </c>
      <c r="T949" s="21">
        <f>VLOOKUP($A949,'2022-23 Salary &amp; Benefits'!$A:$I,5,FALSE)</f>
        <v>68937</v>
      </c>
      <c r="U949" s="21">
        <f>VLOOKUP($A949,'2022-23 Salary &amp; Benefits'!$A:$I,6,FALSE)</f>
        <v>72728</v>
      </c>
      <c r="V949" s="22">
        <f t="shared" si="182"/>
        <v>0</v>
      </c>
      <c r="W949" s="22">
        <f t="shared" si="183"/>
        <v>0</v>
      </c>
      <c r="X949" s="22">
        <f>'2022-23 Salary &amp; Benefits'!$G$6</f>
        <v>12558.24</v>
      </c>
      <c r="Y949" s="23">
        <f>'2022-23 Salary &amp; Benefits'!$H$6</f>
        <v>0.2298</v>
      </c>
      <c r="Z949" s="23">
        <f>'2022-23 Salary &amp; Benefits'!$I$6</f>
        <v>0.22339999999999999</v>
      </c>
      <c r="AA949" s="22">
        <f t="shared" si="184"/>
        <v>0</v>
      </c>
      <c r="AB949" s="22">
        <f t="shared" si="185"/>
        <v>0</v>
      </c>
      <c r="AC949" s="22">
        <f t="shared" si="186"/>
        <v>0</v>
      </c>
      <c r="AD949" s="22">
        <f t="shared" si="188"/>
        <v>0</v>
      </c>
      <c r="AE949" s="22">
        <f t="shared" si="189"/>
        <v>0</v>
      </c>
      <c r="AF949" s="19" t="str">
        <f>VLOOKUP(C949,'2021-22 School Level AAFTE'!C:N,12,FALSE)</f>
        <v>No</v>
      </c>
    </row>
    <row r="950" spans="1:32" s="19" customFormat="1">
      <c r="A950" s="97" t="s">
        <v>2364</v>
      </c>
      <c r="B950" s="97" t="s">
        <v>888</v>
      </c>
      <c r="C950" s="95">
        <v>1975</v>
      </c>
      <c r="D950" s="95" t="s">
        <v>896</v>
      </c>
      <c r="E950" s="129">
        <f>VLOOKUP($C950,'2021-22 School Level AAFTE'!$C:$Z,11,FALSE)</f>
        <v>3.7366666666666666E-2</v>
      </c>
      <c r="F950" s="129" t="str">
        <f>VLOOKUP($C950,'2021-22 School Level AAFTE'!$C:$Z,8,FALSE)</f>
        <v>No</v>
      </c>
      <c r="G950" s="129" t="str">
        <f>VLOOKUP($C950,'2021-22 School Level AAFTE'!$C:$Z,12,FALSE)</f>
        <v>No</v>
      </c>
      <c r="H950" s="127">
        <f>VLOOKUP($C950,'2021-22 School Level AAFTE'!$C:$I,7,FALSE)</f>
        <v>89.14</v>
      </c>
      <c r="I950" s="112">
        <f>IFERROR(IF(OR(G950="yes",F950= "yes"),VLOOKUP(C950,Summary!$B:$J,6,0),0),0)</f>
        <v>0</v>
      </c>
      <c r="J950" s="111">
        <f t="shared" si="180"/>
        <v>0</v>
      </c>
      <c r="K950" s="91">
        <f>VLOOKUP($A950,'2022-23 Salary &amp; Benefits'!$A:$I,3,FALSE)</f>
        <v>1.18</v>
      </c>
      <c r="L950" s="91">
        <f>VLOOKUP($A950,'2022-23 Salary &amp; Benefits'!$A:$I,4,FALSE)</f>
        <v>1.18</v>
      </c>
      <c r="M950" s="101">
        <f t="shared" si="187"/>
        <v>0</v>
      </c>
      <c r="N950" s="24">
        <v>15</v>
      </c>
      <c r="O950" s="26">
        <f t="shared" si="178"/>
        <v>0</v>
      </c>
      <c r="P950" s="24">
        <v>1.1000000000000001</v>
      </c>
      <c r="Q950" s="24">
        <v>36</v>
      </c>
      <c r="R950" s="27">
        <f t="shared" si="179"/>
        <v>0</v>
      </c>
      <c r="S950" s="102">
        <f t="shared" si="181"/>
        <v>0</v>
      </c>
      <c r="T950" s="21">
        <f>VLOOKUP($A950,'2022-23 Salary &amp; Benefits'!$A:$I,5,FALSE)</f>
        <v>68937</v>
      </c>
      <c r="U950" s="21">
        <f>VLOOKUP($A950,'2022-23 Salary &amp; Benefits'!$A:$I,6,FALSE)</f>
        <v>72728</v>
      </c>
      <c r="V950" s="22">
        <f t="shared" si="182"/>
        <v>0</v>
      </c>
      <c r="W950" s="22">
        <f t="shared" si="183"/>
        <v>0</v>
      </c>
      <c r="X950" s="22">
        <f>'2022-23 Salary &amp; Benefits'!$G$6</f>
        <v>12558.24</v>
      </c>
      <c r="Y950" s="23">
        <f>'2022-23 Salary &amp; Benefits'!$H$6</f>
        <v>0.2298</v>
      </c>
      <c r="Z950" s="23">
        <f>'2022-23 Salary &amp; Benefits'!$I$6</f>
        <v>0.22339999999999999</v>
      </c>
      <c r="AA950" s="22">
        <f t="shared" si="184"/>
        <v>0</v>
      </c>
      <c r="AB950" s="22">
        <f t="shared" si="185"/>
        <v>0</v>
      </c>
      <c r="AC950" s="22">
        <f t="shared" si="186"/>
        <v>0</v>
      </c>
      <c r="AD950" s="22">
        <f t="shared" si="188"/>
        <v>0</v>
      </c>
      <c r="AE950" s="22">
        <f t="shared" si="189"/>
        <v>0</v>
      </c>
      <c r="AF950" s="19" t="str">
        <f>VLOOKUP(C950,'2021-22 School Level AAFTE'!C:N,12,FALSE)</f>
        <v>No</v>
      </c>
    </row>
    <row r="951" spans="1:32" s="19" customFormat="1">
      <c r="A951" s="97" t="s">
        <v>2364</v>
      </c>
      <c r="B951" s="97" t="s">
        <v>888</v>
      </c>
      <c r="C951" s="95">
        <v>2289</v>
      </c>
      <c r="D951" s="95" t="s">
        <v>897</v>
      </c>
      <c r="E951" s="129">
        <f>VLOOKUP($C951,'2021-22 School Level AAFTE'!$C:$Z,11,FALSE)</f>
        <v>0.17403333333333335</v>
      </c>
      <c r="F951" s="129" t="str">
        <f>VLOOKUP($C951,'2021-22 School Level AAFTE'!$C:$Z,8,FALSE)</f>
        <v>No</v>
      </c>
      <c r="G951" s="129" t="str">
        <f>VLOOKUP($C951,'2021-22 School Level AAFTE'!$C:$Z,12,FALSE)</f>
        <v>No</v>
      </c>
      <c r="H951" s="127">
        <f>VLOOKUP($C951,'2021-22 School Level AAFTE'!$C:$I,7,FALSE)</f>
        <v>532.29</v>
      </c>
      <c r="I951" s="112">
        <f>IFERROR(IF(OR(G951="yes",F951= "yes"),VLOOKUP(C951,Summary!$B:$J,6,0),0),0)</f>
        <v>0</v>
      </c>
      <c r="J951" s="111">
        <f t="shared" si="180"/>
        <v>0</v>
      </c>
      <c r="K951" s="91">
        <f>VLOOKUP($A951,'2022-23 Salary &amp; Benefits'!$A:$I,3,FALSE)</f>
        <v>1.18</v>
      </c>
      <c r="L951" s="91">
        <f>VLOOKUP($A951,'2022-23 Salary &amp; Benefits'!$A:$I,4,FALSE)</f>
        <v>1.18</v>
      </c>
      <c r="M951" s="39">
        <f t="shared" si="187"/>
        <v>0</v>
      </c>
      <c r="N951" s="24">
        <v>15</v>
      </c>
      <c r="O951" s="26">
        <f t="shared" si="178"/>
        <v>0</v>
      </c>
      <c r="P951" s="24">
        <v>1.1000000000000001</v>
      </c>
      <c r="Q951" s="24">
        <v>36</v>
      </c>
      <c r="R951" s="27">
        <f t="shared" si="179"/>
        <v>0</v>
      </c>
      <c r="S951" s="102">
        <f t="shared" si="181"/>
        <v>0</v>
      </c>
      <c r="T951" s="21">
        <f>VLOOKUP($A951,'2022-23 Salary &amp; Benefits'!$A:$I,5,FALSE)</f>
        <v>68937</v>
      </c>
      <c r="U951" s="21">
        <f>VLOOKUP($A951,'2022-23 Salary &amp; Benefits'!$A:$I,6,FALSE)</f>
        <v>72728</v>
      </c>
      <c r="V951" s="22">
        <f t="shared" si="182"/>
        <v>0</v>
      </c>
      <c r="W951" s="22">
        <f t="shared" si="183"/>
        <v>0</v>
      </c>
      <c r="X951" s="22">
        <f>'2022-23 Salary &amp; Benefits'!$G$6</f>
        <v>12558.24</v>
      </c>
      <c r="Y951" s="23">
        <f>'2022-23 Salary &amp; Benefits'!$H$6</f>
        <v>0.2298</v>
      </c>
      <c r="Z951" s="23">
        <f>'2022-23 Salary &amp; Benefits'!$I$6</f>
        <v>0.22339999999999999</v>
      </c>
      <c r="AA951" s="22">
        <f t="shared" si="184"/>
        <v>0</v>
      </c>
      <c r="AB951" s="22">
        <f t="shared" si="185"/>
        <v>0</v>
      </c>
      <c r="AC951" s="22">
        <f t="shared" si="186"/>
        <v>0</v>
      </c>
      <c r="AD951" s="22">
        <f t="shared" si="188"/>
        <v>0</v>
      </c>
      <c r="AE951" s="22">
        <f t="shared" si="189"/>
        <v>0</v>
      </c>
      <c r="AF951" s="19" t="str">
        <f>VLOOKUP(C951,'2021-22 School Level AAFTE'!C:N,12,FALSE)</f>
        <v>No</v>
      </c>
    </row>
    <row r="952" spans="1:32" s="19" customFormat="1">
      <c r="A952" s="97" t="s">
        <v>2364</v>
      </c>
      <c r="B952" s="97" t="s">
        <v>888</v>
      </c>
      <c r="C952" s="95">
        <v>2308</v>
      </c>
      <c r="D952" s="95" t="s">
        <v>898</v>
      </c>
      <c r="E952" s="129">
        <f>VLOOKUP($C952,'2021-22 School Level AAFTE'!$C:$Z,11,FALSE)</f>
        <v>9.6233333333333337E-2</v>
      </c>
      <c r="F952" s="129" t="str">
        <f>VLOOKUP($C952,'2021-22 School Level AAFTE'!$C:$Z,8,FALSE)</f>
        <v>No</v>
      </c>
      <c r="G952" s="129" t="str">
        <f>VLOOKUP($C952,'2021-22 School Level AAFTE'!$C:$Z,12,FALSE)</f>
        <v>No</v>
      </c>
      <c r="H952" s="127">
        <f>VLOOKUP($C952,'2021-22 School Level AAFTE'!$C:$I,7,FALSE)</f>
        <v>541.88</v>
      </c>
      <c r="I952" s="112">
        <f>IFERROR(IF(OR(G952="yes",F952= "yes"),VLOOKUP(C952,Summary!$B:$J,6,0),0),0)</f>
        <v>0</v>
      </c>
      <c r="J952" s="111">
        <f t="shared" si="180"/>
        <v>0</v>
      </c>
      <c r="K952" s="91">
        <f>VLOOKUP($A952,'2022-23 Salary &amp; Benefits'!$A:$I,3,FALSE)</f>
        <v>1.18</v>
      </c>
      <c r="L952" s="91">
        <f>VLOOKUP($A952,'2022-23 Salary &amp; Benefits'!$A:$I,4,FALSE)</f>
        <v>1.18</v>
      </c>
      <c r="M952" s="39">
        <f t="shared" si="187"/>
        <v>0</v>
      </c>
      <c r="N952" s="24">
        <v>15</v>
      </c>
      <c r="O952" s="26">
        <f t="shared" si="178"/>
        <v>0</v>
      </c>
      <c r="P952" s="24">
        <v>1.1000000000000001</v>
      </c>
      <c r="Q952" s="24">
        <v>36</v>
      </c>
      <c r="R952" s="27">
        <f t="shared" si="179"/>
        <v>0</v>
      </c>
      <c r="S952" s="102">
        <f t="shared" si="181"/>
        <v>0</v>
      </c>
      <c r="T952" s="21">
        <f>VLOOKUP($A952,'2022-23 Salary &amp; Benefits'!$A:$I,5,FALSE)</f>
        <v>68937</v>
      </c>
      <c r="U952" s="21">
        <f>VLOOKUP($A952,'2022-23 Salary &amp; Benefits'!$A:$I,6,FALSE)</f>
        <v>72728</v>
      </c>
      <c r="V952" s="22">
        <f t="shared" si="182"/>
        <v>0</v>
      </c>
      <c r="W952" s="22">
        <f t="shared" si="183"/>
        <v>0</v>
      </c>
      <c r="X952" s="22">
        <f>'2022-23 Salary &amp; Benefits'!$G$6</f>
        <v>12558.24</v>
      </c>
      <c r="Y952" s="23">
        <f>'2022-23 Salary &amp; Benefits'!$H$6</f>
        <v>0.2298</v>
      </c>
      <c r="Z952" s="23">
        <f>'2022-23 Salary &amp; Benefits'!$I$6</f>
        <v>0.22339999999999999</v>
      </c>
      <c r="AA952" s="22">
        <f t="shared" si="184"/>
        <v>0</v>
      </c>
      <c r="AB952" s="22">
        <f t="shared" si="185"/>
        <v>0</v>
      </c>
      <c r="AC952" s="22">
        <f t="shared" si="186"/>
        <v>0</v>
      </c>
      <c r="AD952" s="22">
        <f t="shared" si="188"/>
        <v>0</v>
      </c>
      <c r="AE952" s="22">
        <f t="shared" si="189"/>
        <v>0</v>
      </c>
      <c r="AF952" s="19" t="str">
        <f>VLOOKUP(C952,'2021-22 School Level AAFTE'!C:N,12,FALSE)</f>
        <v>No</v>
      </c>
    </row>
    <row r="953" spans="1:32" s="19" customFormat="1">
      <c r="A953" s="97" t="s">
        <v>2364</v>
      </c>
      <c r="B953" s="97" t="s">
        <v>888</v>
      </c>
      <c r="C953" s="95">
        <v>2739</v>
      </c>
      <c r="D953" s="95" t="s">
        <v>899</v>
      </c>
      <c r="E953" s="129">
        <f>VLOOKUP($C953,'2021-22 School Level AAFTE'!$C:$Z,11,FALSE)</f>
        <v>0.12136666666666666</v>
      </c>
      <c r="F953" s="129" t="str">
        <f>VLOOKUP($C953,'2021-22 School Level AAFTE'!$C:$Z,8,FALSE)</f>
        <v>No</v>
      </c>
      <c r="G953" s="129" t="str">
        <f>VLOOKUP($C953,'2021-22 School Level AAFTE'!$C:$Z,12,FALSE)</f>
        <v>No</v>
      </c>
      <c r="H953" s="127">
        <f>VLOOKUP($C953,'2021-22 School Level AAFTE'!$C:$I,7,FALSE)</f>
        <v>1883.16</v>
      </c>
      <c r="I953" s="112">
        <f>IFERROR(IF(OR(G953="yes",F953= "yes"),VLOOKUP(C953,Summary!$B:$J,6,0),0),0)</f>
        <v>0</v>
      </c>
      <c r="J953" s="111">
        <f t="shared" si="180"/>
        <v>0</v>
      </c>
      <c r="K953" s="91">
        <f>VLOOKUP($A953,'2022-23 Salary &amp; Benefits'!$A:$I,3,FALSE)</f>
        <v>1.18</v>
      </c>
      <c r="L953" s="91">
        <f>VLOOKUP($A953,'2022-23 Salary &amp; Benefits'!$A:$I,4,FALSE)</f>
        <v>1.18</v>
      </c>
      <c r="M953" s="39">
        <f t="shared" si="187"/>
        <v>0</v>
      </c>
      <c r="N953" s="24">
        <v>15</v>
      </c>
      <c r="O953" s="26">
        <f t="shared" si="178"/>
        <v>0</v>
      </c>
      <c r="P953" s="24">
        <v>1.1000000000000001</v>
      </c>
      <c r="Q953" s="24">
        <v>36</v>
      </c>
      <c r="R953" s="27">
        <f t="shared" si="179"/>
        <v>0</v>
      </c>
      <c r="S953" s="102">
        <f t="shared" si="181"/>
        <v>0</v>
      </c>
      <c r="T953" s="21">
        <f>VLOOKUP($A953,'2022-23 Salary &amp; Benefits'!$A:$I,5,FALSE)</f>
        <v>68937</v>
      </c>
      <c r="U953" s="21">
        <f>VLOOKUP($A953,'2022-23 Salary &amp; Benefits'!$A:$I,6,FALSE)</f>
        <v>72728</v>
      </c>
      <c r="V953" s="22">
        <f t="shared" si="182"/>
        <v>0</v>
      </c>
      <c r="W953" s="22">
        <f t="shared" si="183"/>
        <v>0</v>
      </c>
      <c r="X953" s="22">
        <f>'2022-23 Salary &amp; Benefits'!$G$6</f>
        <v>12558.24</v>
      </c>
      <c r="Y953" s="23">
        <f>'2022-23 Salary &amp; Benefits'!$H$6</f>
        <v>0.2298</v>
      </c>
      <c r="Z953" s="23">
        <f>'2022-23 Salary &amp; Benefits'!$I$6</f>
        <v>0.22339999999999999</v>
      </c>
      <c r="AA953" s="22">
        <f t="shared" si="184"/>
        <v>0</v>
      </c>
      <c r="AB953" s="22">
        <f t="shared" si="185"/>
        <v>0</v>
      </c>
      <c r="AC953" s="22">
        <f t="shared" si="186"/>
        <v>0</v>
      </c>
      <c r="AD953" s="22">
        <f t="shared" si="188"/>
        <v>0</v>
      </c>
      <c r="AE953" s="22">
        <f t="shared" si="189"/>
        <v>0</v>
      </c>
      <c r="AF953" s="19" t="str">
        <f>VLOOKUP(C953,'2021-22 School Level AAFTE'!C:N,12,FALSE)</f>
        <v>No</v>
      </c>
    </row>
    <row r="954" spans="1:32" s="19" customFormat="1">
      <c r="A954" s="97" t="s">
        <v>2364</v>
      </c>
      <c r="B954" s="97" t="s">
        <v>888</v>
      </c>
      <c r="C954" s="95">
        <v>2796</v>
      </c>
      <c r="D954" s="95" t="s">
        <v>900</v>
      </c>
      <c r="E954" s="129">
        <f>VLOOKUP($C954,'2021-22 School Level AAFTE'!$C:$Z,11,FALSE)</f>
        <v>0.18356666666666666</v>
      </c>
      <c r="F954" s="129" t="str">
        <f>VLOOKUP($C954,'2021-22 School Level AAFTE'!$C:$Z,8,FALSE)</f>
        <v>No</v>
      </c>
      <c r="G954" s="129" t="str">
        <f>VLOOKUP($C954,'2021-22 School Level AAFTE'!$C:$Z,12,FALSE)</f>
        <v>No</v>
      </c>
      <c r="H954" s="127">
        <f>VLOOKUP($C954,'2021-22 School Level AAFTE'!$C:$I,7,FALSE)</f>
        <v>286.83</v>
      </c>
      <c r="I954" s="112">
        <f>IFERROR(IF(OR(G954="yes",F954= "yes"),VLOOKUP(C954,Summary!$B:$J,6,0),0),0)</f>
        <v>0</v>
      </c>
      <c r="J954" s="111">
        <f t="shared" si="180"/>
        <v>0</v>
      </c>
      <c r="K954" s="91">
        <f>VLOOKUP($A954,'2022-23 Salary &amp; Benefits'!$A:$I,3,FALSE)</f>
        <v>1.18</v>
      </c>
      <c r="L954" s="91">
        <f>VLOOKUP($A954,'2022-23 Salary &amp; Benefits'!$A:$I,4,FALSE)</f>
        <v>1.18</v>
      </c>
      <c r="M954" s="39">
        <f t="shared" si="187"/>
        <v>0</v>
      </c>
      <c r="N954" s="24">
        <v>15</v>
      </c>
      <c r="O954" s="26">
        <f t="shared" si="178"/>
        <v>0</v>
      </c>
      <c r="P954" s="24">
        <v>1.1000000000000001</v>
      </c>
      <c r="Q954" s="24">
        <v>36</v>
      </c>
      <c r="R954" s="27">
        <f t="shared" si="179"/>
        <v>0</v>
      </c>
      <c r="S954" s="102">
        <f t="shared" si="181"/>
        <v>0</v>
      </c>
      <c r="T954" s="21">
        <f>VLOOKUP($A954,'2022-23 Salary &amp; Benefits'!$A:$I,5,FALSE)</f>
        <v>68937</v>
      </c>
      <c r="U954" s="21">
        <f>VLOOKUP($A954,'2022-23 Salary &amp; Benefits'!$A:$I,6,FALSE)</f>
        <v>72728</v>
      </c>
      <c r="V954" s="22">
        <f t="shared" si="182"/>
        <v>0</v>
      </c>
      <c r="W954" s="22">
        <f t="shared" si="183"/>
        <v>0</v>
      </c>
      <c r="X954" s="22">
        <f>'2022-23 Salary &amp; Benefits'!$G$6</f>
        <v>12558.24</v>
      </c>
      <c r="Y954" s="23">
        <f>'2022-23 Salary &amp; Benefits'!$H$6</f>
        <v>0.2298</v>
      </c>
      <c r="Z954" s="23">
        <f>'2022-23 Salary &amp; Benefits'!$I$6</f>
        <v>0.22339999999999999</v>
      </c>
      <c r="AA954" s="22">
        <f t="shared" si="184"/>
        <v>0</v>
      </c>
      <c r="AB954" s="22">
        <f t="shared" si="185"/>
        <v>0</v>
      </c>
      <c r="AC954" s="22">
        <f t="shared" si="186"/>
        <v>0</v>
      </c>
      <c r="AD954" s="22">
        <f t="shared" si="188"/>
        <v>0</v>
      </c>
      <c r="AE954" s="22">
        <f t="shared" si="189"/>
        <v>0</v>
      </c>
      <c r="AF954" s="19" t="str">
        <f>VLOOKUP(C954,'2021-22 School Level AAFTE'!C:N,12,FALSE)</f>
        <v>No</v>
      </c>
    </row>
    <row r="955" spans="1:32" s="19" customFormat="1">
      <c r="A955" s="97" t="s">
        <v>2364</v>
      </c>
      <c r="B955" s="97" t="s">
        <v>888</v>
      </c>
      <c r="C955" s="95">
        <v>2992</v>
      </c>
      <c r="D955" s="95" t="s">
        <v>901</v>
      </c>
      <c r="E955" s="129">
        <f>VLOOKUP($C955,'2021-22 School Level AAFTE'!$C:$Z,11,FALSE)</f>
        <v>0.17336666666666667</v>
      </c>
      <c r="F955" s="129" t="str">
        <f>VLOOKUP($C955,'2021-22 School Level AAFTE'!$C:$Z,8,FALSE)</f>
        <v>No</v>
      </c>
      <c r="G955" s="129" t="str">
        <f>VLOOKUP($C955,'2021-22 School Level AAFTE'!$C:$Z,12,FALSE)</f>
        <v>No</v>
      </c>
      <c r="H955" s="127">
        <f>VLOOKUP($C955,'2021-22 School Level AAFTE'!$C:$I,7,FALSE)</f>
        <v>440.71</v>
      </c>
      <c r="I955" s="112">
        <f>IFERROR(IF(OR(G955="yes",F955= "yes"),VLOOKUP(C955,Summary!$B:$J,6,0),0),0)</f>
        <v>0</v>
      </c>
      <c r="J955" s="111">
        <f t="shared" si="180"/>
        <v>0</v>
      </c>
      <c r="K955" s="91">
        <f>VLOOKUP($A955,'2022-23 Salary &amp; Benefits'!$A:$I,3,FALSE)</f>
        <v>1.18</v>
      </c>
      <c r="L955" s="91">
        <f>VLOOKUP($A955,'2022-23 Salary &amp; Benefits'!$A:$I,4,FALSE)</f>
        <v>1.18</v>
      </c>
      <c r="M955" s="39">
        <f t="shared" si="187"/>
        <v>0</v>
      </c>
      <c r="N955" s="24">
        <v>15</v>
      </c>
      <c r="O955" s="26">
        <f t="shared" si="178"/>
        <v>0</v>
      </c>
      <c r="P955" s="24">
        <v>1.1000000000000001</v>
      </c>
      <c r="Q955" s="24">
        <v>36</v>
      </c>
      <c r="R955" s="27">
        <f t="shared" si="179"/>
        <v>0</v>
      </c>
      <c r="S955" s="102">
        <f t="shared" si="181"/>
        <v>0</v>
      </c>
      <c r="T955" s="21">
        <f>VLOOKUP($A955,'2022-23 Salary &amp; Benefits'!$A:$I,5,FALSE)</f>
        <v>68937</v>
      </c>
      <c r="U955" s="21">
        <f>VLOOKUP($A955,'2022-23 Salary &amp; Benefits'!$A:$I,6,FALSE)</f>
        <v>72728</v>
      </c>
      <c r="V955" s="22">
        <f t="shared" si="182"/>
        <v>0</v>
      </c>
      <c r="W955" s="22">
        <f t="shared" si="183"/>
        <v>0</v>
      </c>
      <c r="X955" s="22">
        <f>'2022-23 Salary &amp; Benefits'!$G$6</f>
        <v>12558.24</v>
      </c>
      <c r="Y955" s="23">
        <f>'2022-23 Salary &amp; Benefits'!$H$6</f>
        <v>0.2298</v>
      </c>
      <c r="Z955" s="23">
        <f>'2022-23 Salary &amp; Benefits'!$I$6</f>
        <v>0.22339999999999999</v>
      </c>
      <c r="AA955" s="22">
        <f t="shared" si="184"/>
        <v>0</v>
      </c>
      <c r="AB955" s="22">
        <f t="shared" si="185"/>
        <v>0</v>
      </c>
      <c r="AC955" s="22">
        <f t="shared" si="186"/>
        <v>0</v>
      </c>
      <c r="AD955" s="22">
        <f t="shared" si="188"/>
        <v>0</v>
      </c>
      <c r="AE955" s="22">
        <f t="shared" si="189"/>
        <v>0</v>
      </c>
      <c r="AF955" s="19" t="str">
        <f>VLOOKUP(C955,'2021-22 School Level AAFTE'!C:N,12,FALSE)</f>
        <v>No</v>
      </c>
    </row>
    <row r="956" spans="1:32" s="19" customFormat="1">
      <c r="A956" s="97" t="s">
        <v>2364</v>
      </c>
      <c r="B956" s="97" t="s">
        <v>888</v>
      </c>
      <c r="C956" s="95">
        <v>3041</v>
      </c>
      <c r="D956" s="95" t="s">
        <v>902</v>
      </c>
      <c r="E956" s="129">
        <f>VLOOKUP($C956,'2021-22 School Level AAFTE'!$C:$Z,11,FALSE)</f>
        <v>0.12726666666666667</v>
      </c>
      <c r="F956" s="129" t="str">
        <f>VLOOKUP($C956,'2021-22 School Level AAFTE'!$C:$Z,8,FALSE)</f>
        <v>No</v>
      </c>
      <c r="G956" s="129" t="str">
        <f>VLOOKUP($C956,'2021-22 School Level AAFTE'!$C:$Z,12,FALSE)</f>
        <v>No</v>
      </c>
      <c r="H956" s="127">
        <f>VLOOKUP($C956,'2021-22 School Level AAFTE'!$C:$I,7,FALSE)</f>
        <v>448.31</v>
      </c>
      <c r="I956" s="112">
        <f>IFERROR(IF(OR(G956="yes",F956= "yes"),VLOOKUP(C956,Summary!$B:$J,6,0),0),0)</f>
        <v>0</v>
      </c>
      <c r="J956" s="111">
        <f t="shared" si="180"/>
        <v>0</v>
      </c>
      <c r="K956" s="91">
        <f>VLOOKUP($A956,'2022-23 Salary &amp; Benefits'!$A:$I,3,FALSE)</f>
        <v>1.18</v>
      </c>
      <c r="L956" s="91">
        <f>VLOOKUP($A956,'2022-23 Salary &amp; Benefits'!$A:$I,4,FALSE)</f>
        <v>1.18</v>
      </c>
      <c r="M956" s="39">
        <f t="shared" si="187"/>
        <v>0</v>
      </c>
      <c r="N956" s="24">
        <v>15</v>
      </c>
      <c r="O956" s="26">
        <f t="shared" si="178"/>
        <v>0</v>
      </c>
      <c r="P956" s="24">
        <v>1.1000000000000001</v>
      </c>
      <c r="Q956" s="24">
        <v>36</v>
      </c>
      <c r="R956" s="27">
        <f t="shared" si="179"/>
        <v>0</v>
      </c>
      <c r="S956" s="102">
        <f t="shared" si="181"/>
        <v>0</v>
      </c>
      <c r="T956" s="21">
        <f>VLOOKUP($A956,'2022-23 Salary &amp; Benefits'!$A:$I,5,FALSE)</f>
        <v>68937</v>
      </c>
      <c r="U956" s="21">
        <f>VLOOKUP($A956,'2022-23 Salary &amp; Benefits'!$A:$I,6,FALSE)</f>
        <v>72728</v>
      </c>
      <c r="V956" s="22">
        <f t="shared" si="182"/>
        <v>0</v>
      </c>
      <c r="W956" s="22">
        <f t="shared" si="183"/>
        <v>0</v>
      </c>
      <c r="X956" s="22">
        <f>'2022-23 Salary &amp; Benefits'!$G$6</f>
        <v>12558.24</v>
      </c>
      <c r="Y956" s="23">
        <f>'2022-23 Salary &amp; Benefits'!$H$6</f>
        <v>0.2298</v>
      </c>
      <c r="Z956" s="23">
        <f>'2022-23 Salary &amp; Benefits'!$I$6</f>
        <v>0.22339999999999999</v>
      </c>
      <c r="AA956" s="22">
        <f t="shared" si="184"/>
        <v>0</v>
      </c>
      <c r="AB956" s="22">
        <f t="shared" si="185"/>
        <v>0</v>
      </c>
      <c r="AC956" s="22">
        <f t="shared" si="186"/>
        <v>0</v>
      </c>
      <c r="AD956" s="22">
        <f t="shared" si="188"/>
        <v>0</v>
      </c>
      <c r="AE956" s="22">
        <f t="shared" si="189"/>
        <v>0</v>
      </c>
      <c r="AF956" s="19" t="str">
        <f>VLOOKUP(C956,'2021-22 School Level AAFTE'!C:N,12,FALSE)</f>
        <v>No</v>
      </c>
    </row>
    <row r="957" spans="1:32" s="19" customFormat="1">
      <c r="A957" s="97" t="s">
        <v>2364</v>
      </c>
      <c r="B957" s="97" t="s">
        <v>888</v>
      </c>
      <c r="C957" s="95">
        <v>3232</v>
      </c>
      <c r="D957" s="95" t="s">
        <v>903</v>
      </c>
      <c r="E957" s="129">
        <f>VLOOKUP($C957,'2021-22 School Level AAFTE'!$C:$Z,11,FALSE)</f>
        <v>0.13039999999999999</v>
      </c>
      <c r="F957" s="129" t="str">
        <f>VLOOKUP($C957,'2021-22 School Level AAFTE'!$C:$Z,8,FALSE)</f>
        <v>No</v>
      </c>
      <c r="G957" s="129" t="str">
        <f>VLOOKUP($C957,'2021-22 School Level AAFTE'!$C:$Z,12,FALSE)</f>
        <v>No</v>
      </c>
      <c r="H957" s="127">
        <f>VLOOKUP($C957,'2021-22 School Level AAFTE'!$C:$I,7,FALSE)</f>
        <v>952.94</v>
      </c>
      <c r="I957" s="112">
        <f>IFERROR(IF(OR(G957="yes",F957= "yes"),VLOOKUP(C957,Summary!$B:$J,6,0),0),0)</f>
        <v>0</v>
      </c>
      <c r="J957" s="111">
        <f t="shared" si="180"/>
        <v>0</v>
      </c>
      <c r="K957" s="91">
        <f>VLOOKUP($A957,'2022-23 Salary &amp; Benefits'!$A:$I,3,FALSE)</f>
        <v>1.18</v>
      </c>
      <c r="L957" s="91">
        <f>VLOOKUP($A957,'2022-23 Salary &amp; Benefits'!$A:$I,4,FALSE)</f>
        <v>1.18</v>
      </c>
      <c r="M957" s="39">
        <f t="shared" si="187"/>
        <v>0</v>
      </c>
      <c r="N957" s="24">
        <v>15</v>
      </c>
      <c r="O957" s="26">
        <f t="shared" si="178"/>
        <v>0</v>
      </c>
      <c r="P957" s="24">
        <v>1.1000000000000001</v>
      </c>
      <c r="Q957" s="24">
        <v>36</v>
      </c>
      <c r="R957" s="27">
        <f t="shared" si="179"/>
        <v>0</v>
      </c>
      <c r="S957" s="102">
        <f t="shared" si="181"/>
        <v>0</v>
      </c>
      <c r="T957" s="21">
        <f>VLOOKUP($A957,'2022-23 Salary &amp; Benefits'!$A:$I,5,FALSE)</f>
        <v>68937</v>
      </c>
      <c r="U957" s="21">
        <f>VLOOKUP($A957,'2022-23 Salary &amp; Benefits'!$A:$I,6,FALSE)</f>
        <v>72728</v>
      </c>
      <c r="V957" s="22">
        <f t="shared" si="182"/>
        <v>0</v>
      </c>
      <c r="W957" s="22">
        <f t="shared" si="183"/>
        <v>0</v>
      </c>
      <c r="X957" s="22">
        <f>'2022-23 Salary &amp; Benefits'!$G$6</f>
        <v>12558.24</v>
      </c>
      <c r="Y957" s="23">
        <f>'2022-23 Salary &amp; Benefits'!$H$6</f>
        <v>0.2298</v>
      </c>
      <c r="Z957" s="23">
        <f>'2022-23 Salary &amp; Benefits'!$I$6</f>
        <v>0.22339999999999999</v>
      </c>
      <c r="AA957" s="22">
        <f t="shared" si="184"/>
        <v>0</v>
      </c>
      <c r="AB957" s="22">
        <f t="shared" si="185"/>
        <v>0</v>
      </c>
      <c r="AC957" s="22">
        <f t="shared" si="186"/>
        <v>0</v>
      </c>
      <c r="AD957" s="22">
        <f t="shared" si="188"/>
        <v>0</v>
      </c>
      <c r="AE957" s="22">
        <f t="shared" si="189"/>
        <v>0</v>
      </c>
      <c r="AF957" s="19" t="str">
        <f>VLOOKUP(C957,'2021-22 School Level AAFTE'!C:N,12,FALSE)</f>
        <v>No</v>
      </c>
    </row>
    <row r="958" spans="1:32" s="19" customFormat="1">
      <c r="A958" s="97" t="s">
        <v>2364</v>
      </c>
      <c r="B958" s="97" t="s">
        <v>888</v>
      </c>
      <c r="C958" s="95">
        <v>3441</v>
      </c>
      <c r="D958" s="95" t="s">
        <v>904</v>
      </c>
      <c r="E958" s="129">
        <f>VLOOKUP($C958,'2021-22 School Level AAFTE'!$C:$Z,11,FALSE)</f>
        <v>0.11969999999999999</v>
      </c>
      <c r="F958" s="129" t="str">
        <f>VLOOKUP($C958,'2021-22 School Level AAFTE'!$C:$Z,8,FALSE)</f>
        <v>No</v>
      </c>
      <c r="G958" s="129" t="str">
        <f>VLOOKUP($C958,'2021-22 School Level AAFTE'!$C:$Z,12,FALSE)</f>
        <v>No</v>
      </c>
      <c r="H958" s="127">
        <f>VLOOKUP($C958,'2021-22 School Level AAFTE'!$C:$I,7,FALSE)</f>
        <v>617.5</v>
      </c>
      <c r="I958" s="112">
        <f>IFERROR(IF(OR(G958="yes",F958= "yes"),VLOOKUP(C958,Summary!$B:$J,6,0),0),0)</f>
        <v>0</v>
      </c>
      <c r="J958" s="111">
        <f t="shared" si="180"/>
        <v>0</v>
      </c>
      <c r="K958" s="91">
        <f>VLOOKUP($A958,'2022-23 Salary &amp; Benefits'!$A:$I,3,FALSE)</f>
        <v>1.18</v>
      </c>
      <c r="L958" s="91">
        <f>VLOOKUP($A958,'2022-23 Salary &amp; Benefits'!$A:$I,4,FALSE)</f>
        <v>1.18</v>
      </c>
      <c r="M958" s="39">
        <f t="shared" si="187"/>
        <v>0</v>
      </c>
      <c r="N958" s="24">
        <v>15</v>
      </c>
      <c r="O958" s="26">
        <f t="shared" si="178"/>
        <v>0</v>
      </c>
      <c r="P958" s="24">
        <v>1.1000000000000001</v>
      </c>
      <c r="Q958" s="24">
        <v>36</v>
      </c>
      <c r="R958" s="27">
        <f t="shared" si="179"/>
        <v>0</v>
      </c>
      <c r="S958" s="102">
        <f t="shared" si="181"/>
        <v>0</v>
      </c>
      <c r="T958" s="21">
        <f>VLOOKUP($A958,'2022-23 Salary &amp; Benefits'!$A:$I,5,FALSE)</f>
        <v>68937</v>
      </c>
      <c r="U958" s="21">
        <f>VLOOKUP($A958,'2022-23 Salary &amp; Benefits'!$A:$I,6,FALSE)</f>
        <v>72728</v>
      </c>
      <c r="V958" s="22">
        <f t="shared" si="182"/>
        <v>0</v>
      </c>
      <c r="W958" s="22">
        <f t="shared" si="183"/>
        <v>0</v>
      </c>
      <c r="X958" s="22">
        <f>'2022-23 Salary &amp; Benefits'!$G$6</f>
        <v>12558.24</v>
      </c>
      <c r="Y958" s="23">
        <f>'2022-23 Salary &amp; Benefits'!$H$6</f>
        <v>0.2298</v>
      </c>
      <c r="Z958" s="23">
        <f>'2022-23 Salary &amp; Benefits'!$I$6</f>
        <v>0.22339999999999999</v>
      </c>
      <c r="AA958" s="22">
        <f t="shared" si="184"/>
        <v>0</v>
      </c>
      <c r="AB958" s="22">
        <f t="shared" si="185"/>
        <v>0</v>
      </c>
      <c r="AC958" s="22">
        <f t="shared" si="186"/>
        <v>0</v>
      </c>
      <c r="AD958" s="22">
        <f t="shared" si="188"/>
        <v>0</v>
      </c>
      <c r="AE958" s="22">
        <f t="shared" si="189"/>
        <v>0</v>
      </c>
      <c r="AF958" s="19" t="str">
        <f>VLOOKUP(C958,'2021-22 School Level AAFTE'!C:N,12,FALSE)</f>
        <v>No</v>
      </c>
    </row>
    <row r="959" spans="1:32" s="19" customFormat="1">
      <c r="A959" s="97" t="s">
        <v>2364</v>
      </c>
      <c r="B959" s="97" t="s">
        <v>888</v>
      </c>
      <c r="C959" s="95">
        <v>3490</v>
      </c>
      <c r="D959" s="95" t="s">
        <v>905</v>
      </c>
      <c r="E959" s="129">
        <f>VLOOKUP($C959,'2021-22 School Level AAFTE'!$C:$Z,11,FALSE)</f>
        <v>9.6999999999999989E-2</v>
      </c>
      <c r="F959" s="129" t="str">
        <f>VLOOKUP($C959,'2021-22 School Level AAFTE'!$C:$Z,8,FALSE)</f>
        <v>No</v>
      </c>
      <c r="G959" s="129" t="str">
        <f>VLOOKUP($C959,'2021-22 School Level AAFTE'!$C:$Z,12,FALSE)</f>
        <v>No</v>
      </c>
      <c r="H959" s="127">
        <f>VLOOKUP($C959,'2021-22 School Level AAFTE'!$C:$I,7,FALSE)</f>
        <v>417.02</v>
      </c>
      <c r="I959" s="112">
        <f>IFERROR(IF(OR(G959="yes",F959= "yes"),VLOOKUP(C959,Summary!$B:$J,6,0),0),0)</f>
        <v>0</v>
      </c>
      <c r="J959" s="111">
        <f t="shared" si="180"/>
        <v>0</v>
      </c>
      <c r="K959" s="91">
        <f>VLOOKUP($A959,'2022-23 Salary &amp; Benefits'!$A:$I,3,FALSE)</f>
        <v>1.18</v>
      </c>
      <c r="L959" s="91">
        <f>VLOOKUP($A959,'2022-23 Salary &amp; Benefits'!$A:$I,4,FALSE)</f>
        <v>1.18</v>
      </c>
      <c r="M959" s="39">
        <f t="shared" si="187"/>
        <v>0</v>
      </c>
      <c r="N959" s="24">
        <v>15</v>
      </c>
      <c r="O959" s="26">
        <f t="shared" si="178"/>
        <v>0</v>
      </c>
      <c r="P959" s="24">
        <v>1.1000000000000001</v>
      </c>
      <c r="Q959" s="24">
        <v>36</v>
      </c>
      <c r="R959" s="27">
        <f t="shared" si="179"/>
        <v>0</v>
      </c>
      <c r="S959" s="102">
        <f t="shared" si="181"/>
        <v>0</v>
      </c>
      <c r="T959" s="21">
        <f>VLOOKUP($A959,'2022-23 Salary &amp; Benefits'!$A:$I,5,FALSE)</f>
        <v>68937</v>
      </c>
      <c r="U959" s="21">
        <f>VLOOKUP($A959,'2022-23 Salary &amp; Benefits'!$A:$I,6,FALSE)</f>
        <v>72728</v>
      </c>
      <c r="V959" s="22">
        <f t="shared" si="182"/>
        <v>0</v>
      </c>
      <c r="W959" s="22">
        <f t="shared" si="183"/>
        <v>0</v>
      </c>
      <c r="X959" s="22">
        <f>'2022-23 Salary &amp; Benefits'!$G$6</f>
        <v>12558.24</v>
      </c>
      <c r="Y959" s="23">
        <f>'2022-23 Salary &amp; Benefits'!$H$6</f>
        <v>0.2298</v>
      </c>
      <c r="Z959" s="23">
        <f>'2022-23 Salary &amp; Benefits'!$I$6</f>
        <v>0.22339999999999999</v>
      </c>
      <c r="AA959" s="22">
        <f t="shared" si="184"/>
        <v>0</v>
      </c>
      <c r="AB959" s="22">
        <f t="shared" si="185"/>
        <v>0</v>
      </c>
      <c r="AC959" s="22">
        <f t="shared" si="186"/>
        <v>0</v>
      </c>
      <c r="AD959" s="22">
        <f t="shared" si="188"/>
        <v>0</v>
      </c>
      <c r="AE959" s="22">
        <f t="shared" si="189"/>
        <v>0</v>
      </c>
      <c r="AF959" s="19" t="str">
        <f>VLOOKUP(C959,'2021-22 School Level AAFTE'!C:N,12,FALSE)</f>
        <v>No</v>
      </c>
    </row>
    <row r="960" spans="1:32" s="19" customFormat="1">
      <c r="A960" s="97" t="s">
        <v>2364</v>
      </c>
      <c r="B960" s="97" t="s">
        <v>888</v>
      </c>
      <c r="C960" s="95">
        <v>3528</v>
      </c>
      <c r="D960" s="95" t="s">
        <v>906</v>
      </c>
      <c r="E960" s="129">
        <f>VLOOKUP($C960,'2021-22 School Level AAFTE'!$C:$Z,11,FALSE)</f>
        <v>0.11699999999999999</v>
      </c>
      <c r="F960" s="129" t="str">
        <f>VLOOKUP($C960,'2021-22 School Level AAFTE'!$C:$Z,8,FALSE)</f>
        <v>No</v>
      </c>
      <c r="G960" s="129" t="str">
        <f>VLOOKUP($C960,'2021-22 School Level AAFTE'!$C:$Z,12,FALSE)</f>
        <v>No</v>
      </c>
      <c r="H960" s="127">
        <f>VLOOKUP($C960,'2021-22 School Level AAFTE'!$C:$I,7,FALSE)</f>
        <v>2110.1999999999998</v>
      </c>
      <c r="I960" s="112">
        <f>IFERROR(IF(OR(G960="yes",F960= "yes"),VLOOKUP(C960,Summary!$B:$J,6,0),0),0)</f>
        <v>0</v>
      </c>
      <c r="J960" s="111">
        <f t="shared" si="180"/>
        <v>0</v>
      </c>
      <c r="K960" s="91">
        <f>VLOOKUP($A960,'2022-23 Salary &amp; Benefits'!$A:$I,3,FALSE)</f>
        <v>1.18</v>
      </c>
      <c r="L960" s="91">
        <f>VLOOKUP($A960,'2022-23 Salary &amp; Benefits'!$A:$I,4,FALSE)</f>
        <v>1.18</v>
      </c>
      <c r="M960" s="39">
        <f t="shared" si="187"/>
        <v>0</v>
      </c>
      <c r="N960" s="24">
        <v>15</v>
      </c>
      <c r="O960" s="26">
        <f t="shared" si="178"/>
        <v>0</v>
      </c>
      <c r="P960" s="24">
        <v>1.1000000000000001</v>
      </c>
      <c r="Q960" s="24">
        <v>36</v>
      </c>
      <c r="R960" s="27">
        <f t="shared" si="179"/>
        <v>0</v>
      </c>
      <c r="S960" s="102">
        <f t="shared" si="181"/>
        <v>0</v>
      </c>
      <c r="T960" s="21">
        <f>VLOOKUP($A960,'2022-23 Salary &amp; Benefits'!$A:$I,5,FALSE)</f>
        <v>68937</v>
      </c>
      <c r="U960" s="21">
        <f>VLOOKUP($A960,'2022-23 Salary &amp; Benefits'!$A:$I,6,FALSE)</f>
        <v>72728</v>
      </c>
      <c r="V960" s="22">
        <f t="shared" si="182"/>
        <v>0</v>
      </c>
      <c r="W960" s="22">
        <f t="shared" si="183"/>
        <v>0</v>
      </c>
      <c r="X960" s="22">
        <f>'2022-23 Salary &amp; Benefits'!$G$6</f>
        <v>12558.24</v>
      </c>
      <c r="Y960" s="23">
        <f>'2022-23 Salary &amp; Benefits'!$H$6</f>
        <v>0.2298</v>
      </c>
      <c r="Z960" s="23">
        <f>'2022-23 Salary &amp; Benefits'!$I$6</f>
        <v>0.22339999999999999</v>
      </c>
      <c r="AA960" s="22">
        <f t="shared" si="184"/>
        <v>0</v>
      </c>
      <c r="AB960" s="22">
        <f t="shared" si="185"/>
        <v>0</v>
      </c>
      <c r="AC960" s="22">
        <f t="shared" si="186"/>
        <v>0</v>
      </c>
      <c r="AD960" s="22">
        <f t="shared" si="188"/>
        <v>0</v>
      </c>
      <c r="AE960" s="22">
        <f t="shared" si="189"/>
        <v>0</v>
      </c>
      <c r="AF960" s="19" t="str">
        <f>VLOOKUP(C960,'2021-22 School Level AAFTE'!C:N,12,FALSE)</f>
        <v>No</v>
      </c>
    </row>
    <row r="961" spans="1:32" s="19" customFormat="1">
      <c r="A961" s="97" t="s">
        <v>2364</v>
      </c>
      <c r="B961" s="97" t="s">
        <v>888</v>
      </c>
      <c r="C961" s="95">
        <v>3529</v>
      </c>
      <c r="D961" s="95" t="s">
        <v>907</v>
      </c>
      <c r="E961" s="129">
        <f>VLOOKUP($C961,'2021-22 School Level AAFTE'!$C:$Z,11,FALSE)</f>
        <v>3.7233333333333334E-2</v>
      </c>
      <c r="F961" s="129" t="str">
        <f>VLOOKUP($C961,'2021-22 School Level AAFTE'!$C:$Z,8,FALSE)</f>
        <v>No</v>
      </c>
      <c r="G961" s="129" t="str">
        <f>VLOOKUP($C961,'2021-22 School Level AAFTE'!$C:$Z,12,FALSE)</f>
        <v>No</v>
      </c>
      <c r="H961" s="127">
        <f>VLOOKUP($C961,'2021-22 School Level AAFTE'!$C:$I,7,FALSE)</f>
        <v>307.61</v>
      </c>
      <c r="I961" s="112">
        <f>IFERROR(IF(OR(G961="yes",F961= "yes"),VLOOKUP(C961,Summary!$B:$J,6,0),0),0)</f>
        <v>0</v>
      </c>
      <c r="J961" s="111">
        <f t="shared" si="180"/>
        <v>0</v>
      </c>
      <c r="K961" s="91">
        <f>VLOOKUP($A961,'2022-23 Salary &amp; Benefits'!$A:$I,3,FALSE)</f>
        <v>1.18</v>
      </c>
      <c r="L961" s="91">
        <f>VLOOKUP($A961,'2022-23 Salary &amp; Benefits'!$A:$I,4,FALSE)</f>
        <v>1.18</v>
      </c>
      <c r="M961" s="101">
        <f t="shared" si="187"/>
        <v>0</v>
      </c>
      <c r="N961" s="24">
        <v>15</v>
      </c>
      <c r="O961" s="26">
        <f t="shared" si="178"/>
        <v>0</v>
      </c>
      <c r="P961" s="24">
        <v>1.1000000000000001</v>
      </c>
      <c r="Q961" s="24">
        <v>36</v>
      </c>
      <c r="R961" s="27">
        <f t="shared" si="179"/>
        <v>0</v>
      </c>
      <c r="S961" s="102">
        <f t="shared" si="181"/>
        <v>0</v>
      </c>
      <c r="T961" s="21">
        <f>VLOOKUP($A961,'2022-23 Salary &amp; Benefits'!$A:$I,5,FALSE)</f>
        <v>68937</v>
      </c>
      <c r="U961" s="21">
        <f>VLOOKUP($A961,'2022-23 Salary &amp; Benefits'!$A:$I,6,FALSE)</f>
        <v>72728</v>
      </c>
      <c r="V961" s="22">
        <f t="shared" si="182"/>
        <v>0</v>
      </c>
      <c r="W961" s="22">
        <f t="shared" si="183"/>
        <v>0</v>
      </c>
      <c r="X961" s="22">
        <f>'2022-23 Salary &amp; Benefits'!$G$6</f>
        <v>12558.24</v>
      </c>
      <c r="Y961" s="23">
        <f>'2022-23 Salary &amp; Benefits'!$H$6</f>
        <v>0.2298</v>
      </c>
      <c r="Z961" s="23">
        <f>'2022-23 Salary &amp; Benefits'!$I$6</f>
        <v>0.22339999999999999</v>
      </c>
      <c r="AA961" s="22">
        <f t="shared" si="184"/>
        <v>0</v>
      </c>
      <c r="AB961" s="22">
        <f t="shared" si="185"/>
        <v>0</v>
      </c>
      <c r="AC961" s="22">
        <f t="shared" si="186"/>
        <v>0</v>
      </c>
      <c r="AD961" s="22">
        <f t="shared" si="188"/>
        <v>0</v>
      </c>
      <c r="AE961" s="22">
        <f t="shared" si="189"/>
        <v>0</v>
      </c>
      <c r="AF961" s="19" t="str">
        <f>VLOOKUP(C961,'2021-22 School Level AAFTE'!C:N,12,FALSE)</f>
        <v>No</v>
      </c>
    </row>
    <row r="962" spans="1:32" s="19" customFormat="1">
      <c r="A962" s="97" t="s">
        <v>2364</v>
      </c>
      <c r="B962" s="97" t="s">
        <v>888</v>
      </c>
      <c r="C962" s="95">
        <v>3548</v>
      </c>
      <c r="D962" s="95" t="s">
        <v>908</v>
      </c>
      <c r="E962" s="129">
        <f>VLOOKUP($C962,'2021-22 School Level AAFTE'!$C:$Z,11,FALSE)</f>
        <v>4.1066666666666661E-2</v>
      </c>
      <c r="F962" s="129" t="str">
        <f>VLOOKUP($C962,'2021-22 School Level AAFTE'!$C:$Z,8,FALSE)</f>
        <v>No</v>
      </c>
      <c r="G962" s="129" t="str">
        <f>VLOOKUP($C962,'2021-22 School Level AAFTE'!$C:$Z,12,FALSE)</f>
        <v>No</v>
      </c>
      <c r="H962" s="127">
        <f>VLOOKUP($C962,'2021-22 School Level AAFTE'!$C:$I,7,FALSE)</f>
        <v>460.97</v>
      </c>
      <c r="I962" s="112">
        <f>IFERROR(IF(OR(G962="yes",F962= "yes"),VLOOKUP(C962,Summary!$B:$J,6,0),0),0)</f>
        <v>0</v>
      </c>
      <c r="J962" s="111">
        <f t="shared" si="180"/>
        <v>0</v>
      </c>
      <c r="K962" s="91">
        <f>VLOOKUP($A962,'2022-23 Salary &amp; Benefits'!$A:$I,3,FALSE)</f>
        <v>1.18</v>
      </c>
      <c r="L962" s="91">
        <f>VLOOKUP($A962,'2022-23 Salary &amp; Benefits'!$A:$I,4,FALSE)</f>
        <v>1.18</v>
      </c>
      <c r="M962" s="101">
        <f t="shared" si="187"/>
        <v>0</v>
      </c>
      <c r="N962" s="24">
        <v>15</v>
      </c>
      <c r="O962" s="26">
        <f t="shared" si="178"/>
        <v>0</v>
      </c>
      <c r="P962" s="24">
        <v>1.1000000000000001</v>
      </c>
      <c r="Q962" s="24">
        <v>36</v>
      </c>
      <c r="R962" s="27">
        <f t="shared" si="179"/>
        <v>0</v>
      </c>
      <c r="S962" s="102">
        <f t="shared" si="181"/>
        <v>0</v>
      </c>
      <c r="T962" s="21">
        <f>VLOOKUP($A962,'2022-23 Salary &amp; Benefits'!$A:$I,5,FALSE)</f>
        <v>68937</v>
      </c>
      <c r="U962" s="21">
        <f>VLOOKUP($A962,'2022-23 Salary &amp; Benefits'!$A:$I,6,FALSE)</f>
        <v>72728</v>
      </c>
      <c r="V962" s="22">
        <f t="shared" si="182"/>
        <v>0</v>
      </c>
      <c r="W962" s="22">
        <f t="shared" si="183"/>
        <v>0</v>
      </c>
      <c r="X962" s="22">
        <f>'2022-23 Salary &amp; Benefits'!$G$6</f>
        <v>12558.24</v>
      </c>
      <c r="Y962" s="23">
        <f>'2022-23 Salary &amp; Benefits'!$H$6</f>
        <v>0.2298</v>
      </c>
      <c r="Z962" s="23">
        <f>'2022-23 Salary &amp; Benefits'!$I$6</f>
        <v>0.22339999999999999</v>
      </c>
      <c r="AA962" s="22">
        <f t="shared" si="184"/>
        <v>0</v>
      </c>
      <c r="AB962" s="22">
        <f t="shared" si="185"/>
        <v>0</v>
      </c>
      <c r="AC962" s="22">
        <f t="shared" si="186"/>
        <v>0</v>
      </c>
      <c r="AD962" s="22">
        <f t="shared" si="188"/>
        <v>0</v>
      </c>
      <c r="AE962" s="22">
        <f t="shared" si="189"/>
        <v>0</v>
      </c>
      <c r="AF962" s="19" t="str">
        <f>VLOOKUP(C962,'2021-22 School Level AAFTE'!C:N,12,FALSE)</f>
        <v>No</v>
      </c>
    </row>
    <row r="963" spans="1:32" s="19" customFormat="1">
      <c r="A963" s="97" t="s">
        <v>2364</v>
      </c>
      <c r="B963" s="97" t="s">
        <v>888</v>
      </c>
      <c r="C963" s="95">
        <v>3590</v>
      </c>
      <c r="D963" s="95" t="s">
        <v>909</v>
      </c>
      <c r="E963" s="129">
        <f>VLOOKUP($C963,'2021-22 School Level AAFTE'!$C:$Z,11,FALSE)</f>
        <v>0.16159999999999999</v>
      </c>
      <c r="F963" s="129" t="str">
        <f>VLOOKUP($C963,'2021-22 School Level AAFTE'!$C:$Z,8,FALSE)</f>
        <v>No</v>
      </c>
      <c r="G963" s="129" t="str">
        <f>VLOOKUP($C963,'2021-22 School Level AAFTE'!$C:$Z,12,FALSE)</f>
        <v>No</v>
      </c>
      <c r="H963" s="127">
        <f>VLOOKUP($C963,'2021-22 School Level AAFTE'!$C:$I,7,FALSE)</f>
        <v>665.77</v>
      </c>
      <c r="I963" s="112">
        <f>IFERROR(IF(OR(G963="yes",F963= "yes"),VLOOKUP(C963,Summary!$B:$J,6,0),0),0)</f>
        <v>0</v>
      </c>
      <c r="J963" s="111">
        <f t="shared" si="180"/>
        <v>0</v>
      </c>
      <c r="K963" s="91">
        <f>VLOOKUP($A963,'2022-23 Salary &amp; Benefits'!$A:$I,3,FALSE)</f>
        <v>1.18</v>
      </c>
      <c r="L963" s="91">
        <f>VLOOKUP($A963,'2022-23 Salary &amp; Benefits'!$A:$I,4,FALSE)</f>
        <v>1.18</v>
      </c>
      <c r="M963" s="101">
        <f t="shared" si="187"/>
        <v>0</v>
      </c>
      <c r="N963" s="24">
        <v>15</v>
      </c>
      <c r="O963" s="26">
        <f t="shared" si="178"/>
        <v>0</v>
      </c>
      <c r="P963" s="24">
        <v>1.1000000000000001</v>
      </c>
      <c r="Q963" s="24">
        <v>36</v>
      </c>
      <c r="R963" s="27">
        <f t="shared" si="179"/>
        <v>0</v>
      </c>
      <c r="S963" s="102">
        <f t="shared" si="181"/>
        <v>0</v>
      </c>
      <c r="T963" s="21">
        <f>VLOOKUP($A963,'2022-23 Salary &amp; Benefits'!$A:$I,5,FALSE)</f>
        <v>68937</v>
      </c>
      <c r="U963" s="21">
        <f>VLOOKUP($A963,'2022-23 Salary &amp; Benefits'!$A:$I,6,FALSE)</f>
        <v>72728</v>
      </c>
      <c r="V963" s="22">
        <f t="shared" si="182"/>
        <v>0</v>
      </c>
      <c r="W963" s="22">
        <f t="shared" si="183"/>
        <v>0</v>
      </c>
      <c r="X963" s="22">
        <f>'2022-23 Salary &amp; Benefits'!$G$6</f>
        <v>12558.24</v>
      </c>
      <c r="Y963" s="23">
        <f>'2022-23 Salary &amp; Benefits'!$H$6</f>
        <v>0.2298</v>
      </c>
      <c r="Z963" s="23">
        <f>'2022-23 Salary &amp; Benefits'!$I$6</f>
        <v>0.22339999999999999</v>
      </c>
      <c r="AA963" s="22">
        <f t="shared" si="184"/>
        <v>0</v>
      </c>
      <c r="AB963" s="22">
        <f t="shared" si="185"/>
        <v>0</v>
      </c>
      <c r="AC963" s="22">
        <f t="shared" si="186"/>
        <v>0</v>
      </c>
      <c r="AD963" s="22">
        <f t="shared" si="188"/>
        <v>0</v>
      </c>
      <c r="AE963" s="22">
        <f t="shared" si="189"/>
        <v>0</v>
      </c>
      <c r="AF963" s="19" t="str">
        <f>VLOOKUP(C963,'2021-22 School Level AAFTE'!C:N,12,FALSE)</f>
        <v>No</v>
      </c>
    </row>
    <row r="964" spans="1:32" s="19" customFormat="1">
      <c r="A964" s="97" t="s">
        <v>2364</v>
      </c>
      <c r="B964" s="97" t="s">
        <v>888</v>
      </c>
      <c r="C964" s="95">
        <v>3591</v>
      </c>
      <c r="D964" s="95" t="s">
        <v>139</v>
      </c>
      <c r="E964" s="129">
        <f>VLOOKUP($C964,'2021-22 School Level AAFTE'!$C:$Z,11,FALSE)</f>
        <v>5.4433333333333334E-2</v>
      </c>
      <c r="F964" s="129" t="str">
        <f>VLOOKUP($C964,'2021-22 School Level AAFTE'!$C:$Z,8,FALSE)</f>
        <v>No</v>
      </c>
      <c r="G964" s="129" t="str">
        <f>VLOOKUP($C964,'2021-22 School Level AAFTE'!$C:$Z,12,FALSE)</f>
        <v>No</v>
      </c>
      <c r="H964" s="127">
        <f>VLOOKUP($C964,'2021-22 School Level AAFTE'!$C:$I,7,FALSE)</f>
        <v>405.61</v>
      </c>
      <c r="I964" s="112">
        <f>IFERROR(IF(OR(G964="yes",F964= "yes"),VLOOKUP(C964,Summary!$B:$J,6,0),0),0)</f>
        <v>0</v>
      </c>
      <c r="J964" s="111">
        <f t="shared" si="180"/>
        <v>0</v>
      </c>
      <c r="K964" s="91">
        <f>VLOOKUP($A964,'2022-23 Salary &amp; Benefits'!$A:$I,3,FALSE)</f>
        <v>1.18</v>
      </c>
      <c r="L964" s="91">
        <f>VLOOKUP($A964,'2022-23 Salary &amp; Benefits'!$A:$I,4,FALSE)</f>
        <v>1.18</v>
      </c>
      <c r="M964" s="39">
        <f t="shared" si="187"/>
        <v>0</v>
      </c>
      <c r="N964" s="24">
        <v>15</v>
      </c>
      <c r="O964" s="26">
        <f t="shared" si="178"/>
        <v>0</v>
      </c>
      <c r="P964" s="24">
        <v>1.1000000000000001</v>
      </c>
      <c r="Q964" s="24">
        <v>36</v>
      </c>
      <c r="R964" s="27">
        <f t="shared" si="179"/>
        <v>0</v>
      </c>
      <c r="S964" s="102">
        <f t="shared" si="181"/>
        <v>0</v>
      </c>
      <c r="T964" s="21">
        <f>VLOOKUP($A964,'2022-23 Salary &amp; Benefits'!$A:$I,5,FALSE)</f>
        <v>68937</v>
      </c>
      <c r="U964" s="21">
        <f>VLOOKUP($A964,'2022-23 Salary &amp; Benefits'!$A:$I,6,FALSE)</f>
        <v>72728</v>
      </c>
      <c r="V964" s="22">
        <f t="shared" si="182"/>
        <v>0</v>
      </c>
      <c r="W964" s="22">
        <f t="shared" si="183"/>
        <v>0</v>
      </c>
      <c r="X964" s="22">
        <f>'2022-23 Salary &amp; Benefits'!$G$6</f>
        <v>12558.24</v>
      </c>
      <c r="Y964" s="23">
        <f>'2022-23 Salary &amp; Benefits'!$H$6</f>
        <v>0.2298</v>
      </c>
      <c r="Z964" s="23">
        <f>'2022-23 Salary &amp; Benefits'!$I$6</f>
        <v>0.22339999999999999</v>
      </c>
      <c r="AA964" s="22">
        <f t="shared" si="184"/>
        <v>0</v>
      </c>
      <c r="AB964" s="22">
        <f t="shared" si="185"/>
        <v>0</v>
      </c>
      <c r="AC964" s="22">
        <f t="shared" si="186"/>
        <v>0</v>
      </c>
      <c r="AD964" s="22">
        <f t="shared" si="188"/>
        <v>0</v>
      </c>
      <c r="AE964" s="22">
        <f t="shared" si="189"/>
        <v>0</v>
      </c>
      <c r="AF964" s="19" t="str">
        <f>VLOOKUP(C964,'2021-22 School Level AAFTE'!C:N,12,FALSE)</f>
        <v>No</v>
      </c>
    </row>
    <row r="965" spans="1:32" s="19" customFormat="1">
      <c r="A965" s="97" t="s">
        <v>2364</v>
      </c>
      <c r="B965" s="97" t="s">
        <v>888</v>
      </c>
      <c r="C965" s="95">
        <v>3592</v>
      </c>
      <c r="D965" s="95" t="s">
        <v>910</v>
      </c>
      <c r="E965" s="129">
        <f>VLOOKUP($C965,'2021-22 School Level AAFTE'!$C:$Z,11,FALSE)</f>
        <v>0.19026666666666667</v>
      </c>
      <c r="F965" s="129" t="str">
        <f>VLOOKUP($C965,'2021-22 School Level AAFTE'!$C:$Z,8,FALSE)</f>
        <v>No</v>
      </c>
      <c r="G965" s="129" t="str">
        <f>VLOOKUP($C965,'2021-22 School Level AAFTE'!$C:$Z,12,FALSE)</f>
        <v>No</v>
      </c>
      <c r="H965" s="127">
        <f>VLOOKUP($C965,'2021-22 School Level AAFTE'!$C:$I,7,FALSE)</f>
        <v>408.72</v>
      </c>
      <c r="I965" s="112">
        <f>IFERROR(IF(OR(G965="yes",F965= "yes"),VLOOKUP(C965,Summary!$B:$J,6,0),0),0)</f>
        <v>0</v>
      </c>
      <c r="J965" s="111">
        <f t="shared" si="180"/>
        <v>0</v>
      </c>
      <c r="K965" s="91">
        <f>VLOOKUP($A965,'2022-23 Salary &amp; Benefits'!$A:$I,3,FALSE)</f>
        <v>1.18</v>
      </c>
      <c r="L965" s="91">
        <f>VLOOKUP($A965,'2022-23 Salary &amp; Benefits'!$A:$I,4,FALSE)</f>
        <v>1.18</v>
      </c>
      <c r="M965" s="39">
        <f t="shared" si="187"/>
        <v>0</v>
      </c>
      <c r="N965" s="24">
        <v>15</v>
      </c>
      <c r="O965" s="26">
        <f t="shared" si="178"/>
        <v>0</v>
      </c>
      <c r="P965" s="24">
        <v>1.1000000000000001</v>
      </c>
      <c r="Q965" s="24">
        <v>36</v>
      </c>
      <c r="R965" s="27">
        <f t="shared" si="179"/>
        <v>0</v>
      </c>
      <c r="S965" s="102">
        <f t="shared" si="181"/>
        <v>0</v>
      </c>
      <c r="T965" s="21">
        <f>VLOOKUP($A965,'2022-23 Salary &amp; Benefits'!$A:$I,5,FALSE)</f>
        <v>68937</v>
      </c>
      <c r="U965" s="21">
        <f>VLOOKUP($A965,'2022-23 Salary &amp; Benefits'!$A:$I,6,FALSE)</f>
        <v>72728</v>
      </c>
      <c r="V965" s="22">
        <f t="shared" si="182"/>
        <v>0</v>
      </c>
      <c r="W965" s="22">
        <f t="shared" si="183"/>
        <v>0</v>
      </c>
      <c r="X965" s="22">
        <f>'2022-23 Salary &amp; Benefits'!$G$6</f>
        <v>12558.24</v>
      </c>
      <c r="Y965" s="23">
        <f>'2022-23 Salary &amp; Benefits'!$H$6</f>
        <v>0.2298</v>
      </c>
      <c r="Z965" s="23">
        <f>'2022-23 Salary &amp; Benefits'!$I$6</f>
        <v>0.22339999999999999</v>
      </c>
      <c r="AA965" s="22">
        <f t="shared" si="184"/>
        <v>0</v>
      </c>
      <c r="AB965" s="22">
        <f t="shared" si="185"/>
        <v>0</v>
      </c>
      <c r="AC965" s="22">
        <f t="shared" si="186"/>
        <v>0</v>
      </c>
      <c r="AD965" s="22">
        <f t="shared" si="188"/>
        <v>0</v>
      </c>
      <c r="AE965" s="22">
        <f t="shared" si="189"/>
        <v>0</v>
      </c>
      <c r="AF965" s="19" t="str">
        <f>VLOOKUP(C965,'2021-22 School Level AAFTE'!C:N,12,FALSE)</f>
        <v>No</v>
      </c>
    </row>
    <row r="966" spans="1:32" s="19" customFormat="1">
      <c r="A966" s="97" t="s">
        <v>2364</v>
      </c>
      <c r="B966" s="97" t="s">
        <v>888</v>
      </c>
      <c r="C966" s="95">
        <v>3675</v>
      </c>
      <c r="D966" s="95" t="s">
        <v>911</v>
      </c>
      <c r="E966" s="129">
        <f>VLOOKUP($C966,'2021-22 School Level AAFTE'!$C:$Z,11,FALSE)</f>
        <v>0.26233333333333331</v>
      </c>
      <c r="F966" s="129" t="str">
        <f>VLOOKUP($C966,'2021-22 School Level AAFTE'!$C:$Z,8,FALSE)</f>
        <v>No</v>
      </c>
      <c r="G966" s="129" t="str">
        <f>VLOOKUP($C966,'2021-22 School Level AAFTE'!$C:$Z,12,FALSE)</f>
        <v>No</v>
      </c>
      <c r="H966" s="127">
        <f>VLOOKUP($C966,'2021-22 School Level AAFTE'!$C:$I,7,FALSE)</f>
        <v>411.71</v>
      </c>
      <c r="I966" s="112">
        <f>IFERROR(IF(OR(G966="yes",F966= "yes"),VLOOKUP(C966,Summary!$B:$J,6,0),0),0)</f>
        <v>0</v>
      </c>
      <c r="J966" s="111">
        <f t="shared" si="180"/>
        <v>0</v>
      </c>
      <c r="K966" s="91">
        <f>VLOOKUP($A966,'2022-23 Salary &amp; Benefits'!$A:$I,3,FALSE)</f>
        <v>1.18</v>
      </c>
      <c r="L966" s="91">
        <f>VLOOKUP($A966,'2022-23 Salary &amp; Benefits'!$A:$I,4,FALSE)</f>
        <v>1.18</v>
      </c>
      <c r="M966" s="39">
        <f t="shared" si="187"/>
        <v>0</v>
      </c>
      <c r="N966" s="24">
        <v>15</v>
      </c>
      <c r="O966" s="26">
        <f t="shared" si="178"/>
        <v>0</v>
      </c>
      <c r="P966" s="24">
        <v>1.1000000000000001</v>
      </c>
      <c r="Q966" s="24">
        <v>36</v>
      </c>
      <c r="R966" s="27">
        <f t="shared" si="179"/>
        <v>0</v>
      </c>
      <c r="S966" s="102">
        <f t="shared" si="181"/>
        <v>0</v>
      </c>
      <c r="T966" s="21">
        <f>VLOOKUP($A966,'2022-23 Salary &amp; Benefits'!$A:$I,5,FALSE)</f>
        <v>68937</v>
      </c>
      <c r="U966" s="21">
        <f>VLOOKUP($A966,'2022-23 Salary &amp; Benefits'!$A:$I,6,FALSE)</f>
        <v>72728</v>
      </c>
      <c r="V966" s="22">
        <f t="shared" si="182"/>
        <v>0</v>
      </c>
      <c r="W966" s="22">
        <f t="shared" si="183"/>
        <v>0</v>
      </c>
      <c r="X966" s="22">
        <f>'2022-23 Salary &amp; Benefits'!$G$6</f>
        <v>12558.24</v>
      </c>
      <c r="Y966" s="23">
        <f>'2022-23 Salary &amp; Benefits'!$H$6</f>
        <v>0.2298</v>
      </c>
      <c r="Z966" s="23">
        <f>'2022-23 Salary &amp; Benefits'!$I$6</f>
        <v>0.22339999999999999</v>
      </c>
      <c r="AA966" s="22">
        <f t="shared" si="184"/>
        <v>0</v>
      </c>
      <c r="AB966" s="22">
        <f t="shared" si="185"/>
        <v>0</v>
      </c>
      <c r="AC966" s="22">
        <f t="shared" si="186"/>
        <v>0</v>
      </c>
      <c r="AD966" s="22">
        <f t="shared" si="188"/>
        <v>0</v>
      </c>
      <c r="AE966" s="22">
        <f t="shared" si="189"/>
        <v>0</v>
      </c>
      <c r="AF966" s="19" t="str">
        <f>VLOOKUP(C966,'2021-22 School Level AAFTE'!C:N,12,FALSE)</f>
        <v>No</v>
      </c>
    </row>
    <row r="967" spans="1:32" s="19" customFormat="1">
      <c r="A967" s="97" t="s">
        <v>2364</v>
      </c>
      <c r="B967" s="97" t="s">
        <v>888</v>
      </c>
      <c r="C967" s="95">
        <v>3703</v>
      </c>
      <c r="D967" s="95" t="s">
        <v>912</v>
      </c>
      <c r="E967" s="129">
        <f>VLOOKUP($C967,'2021-22 School Level AAFTE'!$C:$Z,11,FALSE)</f>
        <v>4.6533333333333336E-2</v>
      </c>
      <c r="F967" s="129" t="str">
        <f>VLOOKUP($C967,'2021-22 School Level AAFTE'!$C:$Z,8,FALSE)</f>
        <v>No</v>
      </c>
      <c r="G967" s="129" t="str">
        <f>VLOOKUP($C967,'2021-22 School Level AAFTE'!$C:$Z,12,FALSE)</f>
        <v>No</v>
      </c>
      <c r="H967" s="127">
        <f>VLOOKUP($C967,'2021-22 School Level AAFTE'!$C:$I,7,FALSE)</f>
        <v>589.29</v>
      </c>
      <c r="I967" s="112">
        <f>IFERROR(IF(OR(G967="yes",F967= "yes"),VLOOKUP(C967,Summary!$B:$J,6,0),0),0)</f>
        <v>0</v>
      </c>
      <c r="J967" s="111">
        <f t="shared" si="180"/>
        <v>0</v>
      </c>
      <c r="K967" s="91">
        <f>VLOOKUP($A967,'2022-23 Salary &amp; Benefits'!$A:$I,3,FALSE)</f>
        <v>1.18</v>
      </c>
      <c r="L967" s="91">
        <f>VLOOKUP($A967,'2022-23 Salary &amp; Benefits'!$A:$I,4,FALSE)</f>
        <v>1.18</v>
      </c>
      <c r="M967" s="101">
        <f t="shared" si="187"/>
        <v>0</v>
      </c>
      <c r="N967" s="24">
        <v>15</v>
      </c>
      <c r="O967" s="26">
        <f t="shared" si="178"/>
        <v>0</v>
      </c>
      <c r="P967" s="24">
        <v>1.1000000000000001</v>
      </c>
      <c r="Q967" s="24">
        <v>36</v>
      </c>
      <c r="R967" s="27">
        <f t="shared" si="179"/>
        <v>0</v>
      </c>
      <c r="S967" s="102">
        <f t="shared" si="181"/>
        <v>0</v>
      </c>
      <c r="T967" s="21">
        <f>VLOOKUP($A967,'2022-23 Salary &amp; Benefits'!$A:$I,5,FALSE)</f>
        <v>68937</v>
      </c>
      <c r="U967" s="21">
        <f>VLOOKUP($A967,'2022-23 Salary &amp; Benefits'!$A:$I,6,FALSE)</f>
        <v>72728</v>
      </c>
      <c r="V967" s="22">
        <f t="shared" si="182"/>
        <v>0</v>
      </c>
      <c r="W967" s="22">
        <f t="shared" si="183"/>
        <v>0</v>
      </c>
      <c r="X967" s="22">
        <f>'2022-23 Salary &amp; Benefits'!$G$6</f>
        <v>12558.24</v>
      </c>
      <c r="Y967" s="23">
        <f>'2022-23 Salary &amp; Benefits'!$H$6</f>
        <v>0.2298</v>
      </c>
      <c r="Z967" s="23">
        <f>'2022-23 Salary &amp; Benefits'!$I$6</f>
        <v>0.22339999999999999</v>
      </c>
      <c r="AA967" s="22">
        <f t="shared" si="184"/>
        <v>0</v>
      </c>
      <c r="AB967" s="22">
        <f t="shared" si="185"/>
        <v>0</v>
      </c>
      <c r="AC967" s="22">
        <f t="shared" si="186"/>
        <v>0</v>
      </c>
      <c r="AD967" s="22">
        <f t="shared" si="188"/>
        <v>0</v>
      </c>
      <c r="AE967" s="22">
        <f t="shared" si="189"/>
        <v>0</v>
      </c>
      <c r="AF967" s="19" t="str">
        <f>VLOOKUP(C967,'2021-22 School Level AAFTE'!C:N,12,FALSE)</f>
        <v>No</v>
      </c>
    </row>
    <row r="968" spans="1:32" s="19" customFormat="1">
      <c r="A968" s="97" t="s">
        <v>2364</v>
      </c>
      <c r="B968" s="97" t="s">
        <v>888</v>
      </c>
      <c r="C968" s="95">
        <v>3704</v>
      </c>
      <c r="D968" s="95" t="s">
        <v>913</v>
      </c>
      <c r="E968" s="129">
        <f>VLOOKUP($C968,'2021-22 School Level AAFTE'!$C:$Z,11,FALSE)</f>
        <v>0.19266666666666668</v>
      </c>
      <c r="F968" s="129" t="str">
        <f>VLOOKUP($C968,'2021-22 School Level AAFTE'!$C:$Z,8,FALSE)</f>
        <v>No</v>
      </c>
      <c r="G968" s="129" t="str">
        <f>VLOOKUP($C968,'2021-22 School Level AAFTE'!$C:$Z,12,FALSE)</f>
        <v>No</v>
      </c>
      <c r="H968" s="127">
        <f>VLOOKUP($C968,'2021-22 School Level AAFTE'!$C:$I,7,FALSE)</f>
        <v>299.83999999999997</v>
      </c>
      <c r="I968" s="112">
        <f>IFERROR(IF(OR(G968="yes",F968= "yes"),VLOOKUP(C968,Summary!$B:$J,6,0),0),0)</f>
        <v>0</v>
      </c>
      <c r="J968" s="111">
        <f t="shared" si="180"/>
        <v>0</v>
      </c>
      <c r="K968" s="91">
        <f>VLOOKUP($A968,'2022-23 Salary &amp; Benefits'!$A:$I,3,FALSE)</f>
        <v>1.18</v>
      </c>
      <c r="L968" s="91">
        <f>VLOOKUP($A968,'2022-23 Salary &amp; Benefits'!$A:$I,4,FALSE)</f>
        <v>1.18</v>
      </c>
      <c r="M968" s="101">
        <f t="shared" si="187"/>
        <v>0</v>
      </c>
      <c r="N968" s="24">
        <v>15</v>
      </c>
      <c r="O968" s="26">
        <f t="shared" si="178"/>
        <v>0</v>
      </c>
      <c r="P968" s="24">
        <v>1.1000000000000001</v>
      </c>
      <c r="Q968" s="24">
        <v>36</v>
      </c>
      <c r="R968" s="27">
        <f t="shared" si="179"/>
        <v>0</v>
      </c>
      <c r="S968" s="102">
        <f t="shared" si="181"/>
        <v>0</v>
      </c>
      <c r="T968" s="21">
        <f>VLOOKUP($A968,'2022-23 Salary &amp; Benefits'!$A:$I,5,FALSE)</f>
        <v>68937</v>
      </c>
      <c r="U968" s="21">
        <f>VLOOKUP($A968,'2022-23 Salary &amp; Benefits'!$A:$I,6,FALSE)</f>
        <v>72728</v>
      </c>
      <c r="V968" s="22">
        <f t="shared" si="182"/>
        <v>0</v>
      </c>
      <c r="W968" s="22">
        <f t="shared" si="183"/>
        <v>0</v>
      </c>
      <c r="X968" s="22">
        <f>'2022-23 Salary &amp; Benefits'!$G$6</f>
        <v>12558.24</v>
      </c>
      <c r="Y968" s="23">
        <f>'2022-23 Salary &amp; Benefits'!$H$6</f>
        <v>0.2298</v>
      </c>
      <c r="Z968" s="23">
        <f>'2022-23 Salary &amp; Benefits'!$I$6</f>
        <v>0.22339999999999999</v>
      </c>
      <c r="AA968" s="22">
        <f t="shared" si="184"/>
        <v>0</v>
      </c>
      <c r="AB968" s="22">
        <f t="shared" si="185"/>
        <v>0</v>
      </c>
      <c r="AC968" s="22">
        <f t="shared" si="186"/>
        <v>0</v>
      </c>
      <c r="AD968" s="22">
        <f t="shared" si="188"/>
        <v>0</v>
      </c>
      <c r="AE968" s="22">
        <f t="shared" si="189"/>
        <v>0</v>
      </c>
      <c r="AF968" s="19" t="str">
        <f>VLOOKUP(C968,'2021-22 School Level AAFTE'!C:N,12,FALSE)</f>
        <v>No</v>
      </c>
    </row>
    <row r="969" spans="1:32" s="19" customFormat="1">
      <c r="A969" s="97" t="s">
        <v>2364</v>
      </c>
      <c r="B969" s="97" t="s">
        <v>888</v>
      </c>
      <c r="C969" s="95">
        <v>3706</v>
      </c>
      <c r="D969" s="95" t="s">
        <v>914</v>
      </c>
      <c r="E969" s="129">
        <f>VLOOKUP($C969,'2021-22 School Level AAFTE'!$C:$Z,11,FALSE)</f>
        <v>0.12636666666666665</v>
      </c>
      <c r="F969" s="129" t="str">
        <f>VLOOKUP($C969,'2021-22 School Level AAFTE'!$C:$Z,8,FALSE)</f>
        <v>No</v>
      </c>
      <c r="G969" s="129" t="str">
        <f>VLOOKUP($C969,'2021-22 School Level AAFTE'!$C:$Z,12,FALSE)</f>
        <v>No</v>
      </c>
      <c r="H969" s="127">
        <f>VLOOKUP($C969,'2021-22 School Level AAFTE'!$C:$I,7,FALSE)</f>
        <v>937.76</v>
      </c>
      <c r="I969" s="112">
        <f>IFERROR(IF(OR(G969="yes",F969= "yes"),VLOOKUP(C969,Summary!$B:$J,6,0),0),0)</f>
        <v>0</v>
      </c>
      <c r="J969" s="111">
        <f t="shared" si="180"/>
        <v>0</v>
      </c>
      <c r="K969" s="91">
        <f>VLOOKUP($A969,'2022-23 Salary &amp; Benefits'!$A:$I,3,FALSE)</f>
        <v>1.18</v>
      </c>
      <c r="L969" s="91">
        <f>VLOOKUP($A969,'2022-23 Salary &amp; Benefits'!$A:$I,4,FALSE)</f>
        <v>1.18</v>
      </c>
      <c r="M969" s="101">
        <f t="shared" si="187"/>
        <v>0</v>
      </c>
      <c r="N969" s="24">
        <v>15</v>
      </c>
      <c r="O969" s="26">
        <f t="shared" si="178"/>
        <v>0</v>
      </c>
      <c r="P969" s="24">
        <v>1.1000000000000001</v>
      </c>
      <c r="Q969" s="24">
        <v>36</v>
      </c>
      <c r="R969" s="27">
        <f t="shared" si="179"/>
        <v>0</v>
      </c>
      <c r="S969" s="102">
        <f t="shared" si="181"/>
        <v>0</v>
      </c>
      <c r="T969" s="21">
        <f>VLOOKUP($A969,'2022-23 Salary &amp; Benefits'!$A:$I,5,FALSE)</f>
        <v>68937</v>
      </c>
      <c r="U969" s="21">
        <f>VLOOKUP($A969,'2022-23 Salary &amp; Benefits'!$A:$I,6,FALSE)</f>
        <v>72728</v>
      </c>
      <c r="V969" s="22">
        <f t="shared" si="182"/>
        <v>0</v>
      </c>
      <c r="W969" s="22">
        <f t="shared" si="183"/>
        <v>0</v>
      </c>
      <c r="X969" s="22">
        <f>'2022-23 Salary &amp; Benefits'!$G$6</f>
        <v>12558.24</v>
      </c>
      <c r="Y969" s="23">
        <f>'2022-23 Salary &amp; Benefits'!$H$6</f>
        <v>0.2298</v>
      </c>
      <c r="Z969" s="23">
        <f>'2022-23 Salary &amp; Benefits'!$I$6</f>
        <v>0.22339999999999999</v>
      </c>
      <c r="AA969" s="22">
        <f t="shared" si="184"/>
        <v>0</v>
      </c>
      <c r="AB969" s="22">
        <f t="shared" si="185"/>
        <v>0</v>
      </c>
      <c r="AC969" s="22">
        <f t="shared" si="186"/>
        <v>0</v>
      </c>
      <c r="AD969" s="22">
        <f t="shared" si="188"/>
        <v>0</v>
      </c>
      <c r="AE969" s="22">
        <f t="shared" si="189"/>
        <v>0</v>
      </c>
      <c r="AF969" s="19" t="str">
        <f>VLOOKUP(C969,'2021-22 School Level AAFTE'!C:N,12,FALSE)</f>
        <v>No</v>
      </c>
    </row>
    <row r="970" spans="1:32" s="19" customFormat="1">
      <c r="A970" s="97" t="s">
        <v>2364</v>
      </c>
      <c r="B970" s="97" t="s">
        <v>888</v>
      </c>
      <c r="C970" s="95">
        <v>3747</v>
      </c>
      <c r="D970" s="95" t="s">
        <v>915</v>
      </c>
      <c r="E970" s="129">
        <f>VLOOKUP($C970,'2021-22 School Level AAFTE'!$C:$Z,11,FALSE)</f>
        <v>6.246666666666667E-2</v>
      </c>
      <c r="F970" s="129" t="str">
        <f>VLOOKUP($C970,'2021-22 School Level AAFTE'!$C:$Z,8,FALSE)</f>
        <v>No</v>
      </c>
      <c r="G970" s="129" t="str">
        <f>VLOOKUP($C970,'2021-22 School Level AAFTE'!$C:$Z,12,FALSE)</f>
        <v>No</v>
      </c>
      <c r="H970" s="127">
        <f>VLOOKUP($C970,'2021-22 School Level AAFTE'!$C:$I,7,FALSE)</f>
        <v>380.5</v>
      </c>
      <c r="I970" s="112">
        <f>IFERROR(IF(OR(G970="yes",F970= "yes"),VLOOKUP(C970,Summary!$B:$J,6,0),0),0)</f>
        <v>0</v>
      </c>
      <c r="J970" s="111">
        <f t="shared" si="180"/>
        <v>0</v>
      </c>
      <c r="K970" s="91">
        <f>VLOOKUP($A970,'2022-23 Salary &amp; Benefits'!$A:$I,3,FALSE)</f>
        <v>1.18</v>
      </c>
      <c r="L970" s="91">
        <f>VLOOKUP($A970,'2022-23 Salary &amp; Benefits'!$A:$I,4,FALSE)</f>
        <v>1.18</v>
      </c>
      <c r="M970" s="101">
        <f t="shared" si="187"/>
        <v>0</v>
      </c>
      <c r="N970" s="24">
        <v>15</v>
      </c>
      <c r="O970" s="26">
        <f t="shared" ref="O970:O1033" si="190">IF(M970="no",0,M970/N970)</f>
        <v>0</v>
      </c>
      <c r="P970" s="24">
        <v>1.1000000000000001</v>
      </c>
      <c r="Q970" s="24">
        <v>36</v>
      </c>
      <c r="R970" s="27">
        <f t="shared" ref="R970:R1033" si="191">IF(M970="no",0,O970*P970*Q970)</f>
        <v>0</v>
      </c>
      <c r="S970" s="102">
        <f t="shared" si="181"/>
        <v>0</v>
      </c>
      <c r="T970" s="21">
        <f>VLOOKUP($A970,'2022-23 Salary &amp; Benefits'!$A:$I,5,FALSE)</f>
        <v>68937</v>
      </c>
      <c r="U970" s="21">
        <f>VLOOKUP($A970,'2022-23 Salary &amp; Benefits'!$A:$I,6,FALSE)</f>
        <v>72728</v>
      </c>
      <c r="V970" s="22">
        <f t="shared" si="182"/>
        <v>0</v>
      </c>
      <c r="W970" s="22">
        <f t="shared" si="183"/>
        <v>0</v>
      </c>
      <c r="X970" s="22">
        <f>'2022-23 Salary &amp; Benefits'!$G$6</f>
        <v>12558.24</v>
      </c>
      <c r="Y970" s="23">
        <f>'2022-23 Salary &amp; Benefits'!$H$6</f>
        <v>0.2298</v>
      </c>
      <c r="Z970" s="23">
        <f>'2022-23 Salary &amp; Benefits'!$I$6</f>
        <v>0.22339999999999999</v>
      </c>
      <c r="AA970" s="22">
        <f t="shared" si="184"/>
        <v>0</v>
      </c>
      <c r="AB970" s="22">
        <f t="shared" si="185"/>
        <v>0</v>
      </c>
      <c r="AC970" s="22">
        <f t="shared" si="186"/>
        <v>0</v>
      </c>
      <c r="AD970" s="22">
        <f t="shared" si="188"/>
        <v>0</v>
      </c>
      <c r="AE970" s="22">
        <f t="shared" si="189"/>
        <v>0</v>
      </c>
      <c r="AF970" s="19" t="str">
        <f>VLOOKUP(C970,'2021-22 School Level AAFTE'!C:N,12,FALSE)</f>
        <v>No</v>
      </c>
    </row>
    <row r="971" spans="1:32" s="19" customFormat="1">
      <c r="A971" s="97" t="s">
        <v>2364</v>
      </c>
      <c r="B971" s="97" t="s">
        <v>888</v>
      </c>
      <c r="C971" s="95">
        <v>3748</v>
      </c>
      <c r="D971" s="95" t="s">
        <v>916</v>
      </c>
      <c r="E971" s="129">
        <f>VLOOKUP($C971,'2021-22 School Level AAFTE'!$C:$Z,11,FALSE)</f>
        <v>0.29093333333333332</v>
      </c>
      <c r="F971" s="129" t="str">
        <f>VLOOKUP($C971,'2021-22 School Level AAFTE'!$C:$Z,8,FALSE)</f>
        <v>No</v>
      </c>
      <c r="G971" s="129" t="str">
        <f>VLOOKUP($C971,'2021-22 School Level AAFTE'!$C:$Z,12,FALSE)</f>
        <v>No</v>
      </c>
      <c r="H971" s="127">
        <f>VLOOKUP($C971,'2021-22 School Level AAFTE'!$C:$I,7,FALSE)</f>
        <v>338.71</v>
      </c>
      <c r="I971" s="112">
        <f>IFERROR(IF(OR(G971="yes",F971= "yes"),VLOOKUP(C971,Summary!$B:$J,6,0),0),0)</f>
        <v>0</v>
      </c>
      <c r="J971" s="111">
        <f t="shared" ref="J971:J1034" si="192">IF(OR(G971="yes",F971= "yes"), H971,0)</f>
        <v>0</v>
      </c>
      <c r="K971" s="91">
        <f>VLOOKUP($A971,'2022-23 Salary &amp; Benefits'!$A:$I,3,FALSE)</f>
        <v>1.18</v>
      </c>
      <c r="L971" s="91">
        <f>VLOOKUP($A971,'2022-23 Salary &amp; Benefits'!$A:$I,4,FALSE)</f>
        <v>1.18</v>
      </c>
      <c r="M971" s="39">
        <f t="shared" si="187"/>
        <v>0</v>
      </c>
      <c r="N971" s="24">
        <v>15</v>
      </c>
      <c r="O971" s="26">
        <f t="shared" si="190"/>
        <v>0</v>
      </c>
      <c r="P971" s="24">
        <v>1.1000000000000001</v>
      </c>
      <c r="Q971" s="24">
        <v>36</v>
      </c>
      <c r="R971" s="27">
        <f t="shared" si="191"/>
        <v>0</v>
      </c>
      <c r="S971" s="102">
        <f t="shared" ref="S971:S1034" si="193">ROUND(IF(M971="no",0,R971/900),3)</f>
        <v>0</v>
      </c>
      <c r="T971" s="21">
        <f>VLOOKUP($A971,'2022-23 Salary &amp; Benefits'!$A:$I,5,FALSE)</f>
        <v>68937</v>
      </c>
      <c r="U971" s="21">
        <f>VLOOKUP($A971,'2022-23 Salary &amp; Benefits'!$A:$I,6,FALSE)</f>
        <v>72728</v>
      </c>
      <c r="V971" s="22">
        <f t="shared" ref="V971:V1034" si="194">ROUND($K971*$T971*$S971,2)</f>
        <v>0</v>
      </c>
      <c r="W971" s="22">
        <f t="shared" ref="W971:W1034" si="195">ROUND($L971*$U971*$S971,2)-V971</f>
        <v>0</v>
      </c>
      <c r="X971" s="22">
        <f>'2022-23 Salary &amp; Benefits'!$G$6</f>
        <v>12558.24</v>
      </c>
      <c r="Y971" s="23">
        <f>'2022-23 Salary &amp; Benefits'!$H$6</f>
        <v>0.2298</v>
      </c>
      <c r="Z971" s="23">
        <f>'2022-23 Salary &amp; Benefits'!$I$6</f>
        <v>0.22339999999999999</v>
      </c>
      <c r="AA971" s="22">
        <f t="shared" ref="AA971:AA1034" si="196">ROUND(V971*Y971+W971*Z971+S971*X971,2)</f>
        <v>0</v>
      </c>
      <c r="AB971" s="22">
        <f t="shared" ref="AB971:AB1034" si="197">ROUND(($U971*$L971*$S971/180*3),2)</f>
        <v>0</v>
      </c>
      <c r="AC971" s="22">
        <f t="shared" ref="AC971:AC1034" si="198">ROUND(AB971*Z971,2)</f>
        <v>0</v>
      </c>
      <c r="AD971" s="22">
        <f t="shared" si="188"/>
        <v>0</v>
      </c>
      <c r="AE971" s="22">
        <f t="shared" si="189"/>
        <v>0</v>
      </c>
      <c r="AF971" s="19" t="str">
        <f>VLOOKUP(C971,'2021-22 School Level AAFTE'!C:N,12,FALSE)</f>
        <v>No</v>
      </c>
    </row>
    <row r="972" spans="1:32" s="19" customFormat="1">
      <c r="A972" s="97" t="s">
        <v>2364</v>
      </c>
      <c r="B972" s="97" t="s">
        <v>888</v>
      </c>
      <c r="C972" s="95">
        <v>3771</v>
      </c>
      <c r="D972" s="95" t="s">
        <v>917</v>
      </c>
      <c r="E972" s="129">
        <f>VLOOKUP($C972,'2021-22 School Level AAFTE'!$C:$Z,11,FALSE)</f>
        <v>0.20109999999999997</v>
      </c>
      <c r="F972" s="129" t="str">
        <f>VLOOKUP($C972,'2021-22 School Level AAFTE'!$C:$Z,8,FALSE)</f>
        <v>No</v>
      </c>
      <c r="G972" s="129" t="str">
        <f>VLOOKUP($C972,'2021-22 School Level AAFTE'!$C:$Z,12,FALSE)</f>
        <v>No</v>
      </c>
      <c r="H972" s="127">
        <f>VLOOKUP($C972,'2021-22 School Level AAFTE'!$C:$I,7,FALSE)</f>
        <v>1550.92</v>
      </c>
      <c r="I972" s="112">
        <f>IFERROR(IF(OR(G972="yes",F972= "yes"),VLOOKUP(C972,Summary!$B:$J,6,0),0),0)</f>
        <v>0</v>
      </c>
      <c r="J972" s="111">
        <f t="shared" si="192"/>
        <v>0</v>
      </c>
      <c r="K972" s="91">
        <f>VLOOKUP($A972,'2022-23 Salary &amp; Benefits'!$A:$I,3,FALSE)</f>
        <v>1.18</v>
      </c>
      <c r="L972" s="91">
        <f>VLOOKUP($A972,'2022-23 Salary &amp; Benefits'!$A:$I,4,FALSE)</f>
        <v>1.18</v>
      </c>
      <c r="M972" s="101">
        <f t="shared" si="187"/>
        <v>0</v>
      </c>
      <c r="N972" s="24">
        <v>15</v>
      </c>
      <c r="O972" s="26">
        <f t="shared" si="190"/>
        <v>0</v>
      </c>
      <c r="P972" s="24">
        <v>1.1000000000000001</v>
      </c>
      <c r="Q972" s="24">
        <v>36</v>
      </c>
      <c r="R972" s="27">
        <f t="shared" si="191"/>
        <v>0</v>
      </c>
      <c r="S972" s="102">
        <f t="shared" si="193"/>
        <v>0</v>
      </c>
      <c r="T972" s="21">
        <f>VLOOKUP($A972,'2022-23 Salary &amp; Benefits'!$A:$I,5,FALSE)</f>
        <v>68937</v>
      </c>
      <c r="U972" s="21">
        <f>VLOOKUP($A972,'2022-23 Salary &amp; Benefits'!$A:$I,6,FALSE)</f>
        <v>72728</v>
      </c>
      <c r="V972" s="22">
        <f t="shared" si="194"/>
        <v>0</v>
      </c>
      <c r="W972" s="22">
        <f t="shared" si="195"/>
        <v>0</v>
      </c>
      <c r="X972" s="22">
        <f>'2022-23 Salary &amp; Benefits'!$G$6</f>
        <v>12558.24</v>
      </c>
      <c r="Y972" s="23">
        <f>'2022-23 Salary &amp; Benefits'!$H$6</f>
        <v>0.2298</v>
      </c>
      <c r="Z972" s="23">
        <f>'2022-23 Salary &amp; Benefits'!$I$6</f>
        <v>0.22339999999999999</v>
      </c>
      <c r="AA972" s="22">
        <f t="shared" si="196"/>
        <v>0</v>
      </c>
      <c r="AB972" s="22">
        <f t="shared" si="197"/>
        <v>0</v>
      </c>
      <c r="AC972" s="22">
        <f t="shared" si="198"/>
        <v>0</v>
      </c>
      <c r="AD972" s="22">
        <f t="shared" si="188"/>
        <v>0</v>
      </c>
      <c r="AE972" s="22">
        <f t="shared" si="189"/>
        <v>0</v>
      </c>
      <c r="AF972" s="19" t="str">
        <f>VLOOKUP(C972,'2021-22 School Level AAFTE'!C:N,12,FALSE)</f>
        <v>No</v>
      </c>
    </row>
    <row r="973" spans="1:32" s="19" customFormat="1">
      <c r="A973" s="97" t="s">
        <v>2364</v>
      </c>
      <c r="B973" s="97" t="s">
        <v>888</v>
      </c>
      <c r="C973" s="95">
        <v>3855</v>
      </c>
      <c r="D973" s="95" t="s">
        <v>918</v>
      </c>
      <c r="E973" s="129">
        <f>VLOOKUP($C973,'2021-22 School Level AAFTE'!$C:$Z,11,FALSE)</f>
        <v>0.18520000000000003</v>
      </c>
      <c r="F973" s="129" t="str">
        <f>VLOOKUP($C973,'2021-22 School Level AAFTE'!$C:$Z,8,FALSE)</f>
        <v>No</v>
      </c>
      <c r="G973" s="129" t="str">
        <f>VLOOKUP($C973,'2021-22 School Level AAFTE'!$C:$Z,12,FALSE)</f>
        <v>No</v>
      </c>
      <c r="H973" s="127">
        <f>VLOOKUP($C973,'2021-22 School Level AAFTE'!$C:$I,7,FALSE)</f>
        <v>28.130000000000003</v>
      </c>
      <c r="I973" s="112">
        <f>IFERROR(IF(OR(G973="yes",F973= "yes"),VLOOKUP(C973,Summary!$B:$J,6,0),0),0)</f>
        <v>0</v>
      </c>
      <c r="J973" s="111">
        <f t="shared" si="192"/>
        <v>0</v>
      </c>
      <c r="K973" s="91">
        <f>VLOOKUP($A973,'2022-23 Salary &amp; Benefits'!$A:$I,3,FALSE)</f>
        <v>1.18</v>
      </c>
      <c r="L973" s="91">
        <f>VLOOKUP($A973,'2022-23 Salary &amp; Benefits'!$A:$I,4,FALSE)</f>
        <v>1.18</v>
      </c>
      <c r="M973" s="39">
        <f t="shared" si="187"/>
        <v>0</v>
      </c>
      <c r="N973" s="24">
        <v>15</v>
      </c>
      <c r="O973" s="26">
        <f t="shared" si="190"/>
        <v>0</v>
      </c>
      <c r="P973" s="24">
        <v>1.1000000000000001</v>
      </c>
      <c r="Q973" s="24">
        <v>36</v>
      </c>
      <c r="R973" s="27">
        <f t="shared" si="191"/>
        <v>0</v>
      </c>
      <c r="S973" s="102">
        <f t="shared" si="193"/>
        <v>0</v>
      </c>
      <c r="T973" s="21">
        <f>VLOOKUP($A973,'2022-23 Salary &amp; Benefits'!$A:$I,5,FALSE)</f>
        <v>68937</v>
      </c>
      <c r="U973" s="21">
        <f>VLOOKUP($A973,'2022-23 Salary &amp; Benefits'!$A:$I,6,FALSE)</f>
        <v>72728</v>
      </c>
      <c r="V973" s="22">
        <f t="shared" si="194"/>
        <v>0</v>
      </c>
      <c r="W973" s="22">
        <f t="shared" si="195"/>
        <v>0</v>
      </c>
      <c r="X973" s="22">
        <f>'2022-23 Salary &amp; Benefits'!$G$6</f>
        <v>12558.24</v>
      </c>
      <c r="Y973" s="23">
        <f>'2022-23 Salary &amp; Benefits'!$H$6</f>
        <v>0.2298</v>
      </c>
      <c r="Z973" s="23">
        <f>'2022-23 Salary &amp; Benefits'!$I$6</f>
        <v>0.22339999999999999</v>
      </c>
      <c r="AA973" s="22">
        <f t="shared" si="196"/>
        <v>0</v>
      </c>
      <c r="AB973" s="22">
        <f t="shared" si="197"/>
        <v>0</v>
      </c>
      <c r="AC973" s="22">
        <f t="shared" si="198"/>
        <v>0</v>
      </c>
      <c r="AD973" s="22">
        <f t="shared" si="188"/>
        <v>0</v>
      </c>
      <c r="AE973" s="22">
        <f t="shared" si="189"/>
        <v>0</v>
      </c>
      <c r="AF973" s="19" t="str">
        <f>VLOOKUP(C973,'2021-22 School Level AAFTE'!C:N,12,FALSE)</f>
        <v>No</v>
      </c>
    </row>
    <row r="974" spans="1:32" s="19" customFormat="1">
      <c r="A974" s="97" t="s">
        <v>2364</v>
      </c>
      <c r="B974" s="97" t="s">
        <v>888</v>
      </c>
      <c r="C974" s="95">
        <v>3856</v>
      </c>
      <c r="D974" s="95" t="s">
        <v>919</v>
      </c>
      <c r="E974" s="129">
        <f>VLOOKUP($C974,'2021-22 School Level AAFTE'!$C:$Z,11,FALSE)</f>
        <v>3.4133333333333335E-2</v>
      </c>
      <c r="F974" s="129" t="str">
        <f>VLOOKUP($C974,'2021-22 School Level AAFTE'!$C:$Z,8,FALSE)</f>
        <v>No</v>
      </c>
      <c r="G974" s="129" t="str">
        <f>VLOOKUP($C974,'2021-22 School Level AAFTE'!$C:$Z,12,FALSE)</f>
        <v>No</v>
      </c>
      <c r="H974" s="127">
        <f>VLOOKUP($C974,'2021-22 School Level AAFTE'!$C:$I,7,FALSE)</f>
        <v>66.86</v>
      </c>
      <c r="I974" s="112">
        <f>IFERROR(IF(OR(G974="yes",F974= "yes"),VLOOKUP(C974,Summary!$B:$J,6,0),0),0)</f>
        <v>0</v>
      </c>
      <c r="J974" s="111">
        <f t="shared" si="192"/>
        <v>0</v>
      </c>
      <c r="K974" s="91">
        <f>VLOOKUP($A974,'2022-23 Salary &amp; Benefits'!$A:$I,3,FALSE)</f>
        <v>1.18</v>
      </c>
      <c r="L974" s="91">
        <f>VLOOKUP($A974,'2022-23 Salary &amp; Benefits'!$A:$I,4,FALSE)</f>
        <v>1.18</v>
      </c>
      <c r="M974" s="101">
        <f t="shared" si="187"/>
        <v>0</v>
      </c>
      <c r="N974" s="24">
        <v>15</v>
      </c>
      <c r="O974" s="26">
        <f t="shared" si="190"/>
        <v>0</v>
      </c>
      <c r="P974" s="24">
        <v>1.1000000000000001</v>
      </c>
      <c r="Q974" s="24">
        <v>36</v>
      </c>
      <c r="R974" s="27">
        <f t="shared" si="191"/>
        <v>0</v>
      </c>
      <c r="S974" s="102">
        <f t="shared" si="193"/>
        <v>0</v>
      </c>
      <c r="T974" s="21">
        <f>VLOOKUP($A974,'2022-23 Salary &amp; Benefits'!$A:$I,5,FALSE)</f>
        <v>68937</v>
      </c>
      <c r="U974" s="21">
        <f>VLOOKUP($A974,'2022-23 Salary &amp; Benefits'!$A:$I,6,FALSE)</f>
        <v>72728</v>
      </c>
      <c r="V974" s="22">
        <f t="shared" si="194"/>
        <v>0</v>
      </c>
      <c r="W974" s="22">
        <f t="shared" si="195"/>
        <v>0</v>
      </c>
      <c r="X974" s="22">
        <f>'2022-23 Salary &amp; Benefits'!$G$6</f>
        <v>12558.24</v>
      </c>
      <c r="Y974" s="23">
        <f>'2022-23 Salary &amp; Benefits'!$H$6</f>
        <v>0.2298</v>
      </c>
      <c r="Z974" s="23">
        <f>'2022-23 Salary &amp; Benefits'!$I$6</f>
        <v>0.22339999999999999</v>
      </c>
      <c r="AA974" s="22">
        <f t="shared" si="196"/>
        <v>0</v>
      </c>
      <c r="AB974" s="22">
        <f t="shared" si="197"/>
        <v>0</v>
      </c>
      <c r="AC974" s="22">
        <f t="shared" si="198"/>
        <v>0</v>
      </c>
      <c r="AD974" s="22">
        <f t="shared" si="188"/>
        <v>0</v>
      </c>
      <c r="AE974" s="22">
        <f t="shared" si="189"/>
        <v>0</v>
      </c>
      <c r="AF974" s="19" t="str">
        <f>VLOOKUP(C974,'2021-22 School Level AAFTE'!C:N,12,FALSE)</f>
        <v>No</v>
      </c>
    </row>
    <row r="975" spans="1:32" s="19" customFormat="1">
      <c r="A975" s="97" t="s">
        <v>2364</v>
      </c>
      <c r="B975" s="97" t="s">
        <v>888</v>
      </c>
      <c r="C975" s="95">
        <v>3922</v>
      </c>
      <c r="D975" s="95" t="s">
        <v>920</v>
      </c>
      <c r="E975" s="129">
        <f>VLOOKUP($C975,'2021-22 School Level AAFTE'!$C:$Z,11,FALSE)</f>
        <v>0.2679333333333333</v>
      </c>
      <c r="F975" s="129" t="str">
        <f>VLOOKUP($C975,'2021-22 School Level AAFTE'!$C:$Z,8,FALSE)</f>
        <v>No</v>
      </c>
      <c r="G975" s="129" t="str">
        <f>VLOOKUP($C975,'2021-22 School Level AAFTE'!$C:$Z,12,FALSE)</f>
        <v>No</v>
      </c>
      <c r="H975" s="127">
        <f>VLOOKUP($C975,'2021-22 School Level AAFTE'!$C:$I,7,FALSE)</f>
        <v>619.23</v>
      </c>
      <c r="I975" s="112">
        <f>IFERROR(IF(OR(G975="yes",F975= "yes"),VLOOKUP(C975,Summary!$B:$J,6,0),0),0)</f>
        <v>0</v>
      </c>
      <c r="J975" s="111">
        <f t="shared" si="192"/>
        <v>0</v>
      </c>
      <c r="K975" s="91">
        <f>VLOOKUP($A975,'2022-23 Salary &amp; Benefits'!$A:$I,3,FALSE)</f>
        <v>1.18</v>
      </c>
      <c r="L975" s="91">
        <f>VLOOKUP($A975,'2022-23 Salary &amp; Benefits'!$A:$I,4,FALSE)</f>
        <v>1.18</v>
      </c>
      <c r="M975" s="101">
        <f t="shared" si="187"/>
        <v>0</v>
      </c>
      <c r="N975" s="24">
        <v>15</v>
      </c>
      <c r="O975" s="26">
        <f t="shared" si="190"/>
        <v>0</v>
      </c>
      <c r="P975" s="24">
        <v>1.1000000000000001</v>
      </c>
      <c r="Q975" s="24">
        <v>36</v>
      </c>
      <c r="R975" s="27">
        <f t="shared" si="191"/>
        <v>0</v>
      </c>
      <c r="S975" s="102">
        <f t="shared" si="193"/>
        <v>0</v>
      </c>
      <c r="T975" s="21">
        <f>VLOOKUP($A975,'2022-23 Salary &amp; Benefits'!$A:$I,5,FALSE)</f>
        <v>68937</v>
      </c>
      <c r="U975" s="21">
        <f>VLOOKUP($A975,'2022-23 Salary &amp; Benefits'!$A:$I,6,FALSE)</f>
        <v>72728</v>
      </c>
      <c r="V975" s="22">
        <f t="shared" si="194"/>
        <v>0</v>
      </c>
      <c r="W975" s="22">
        <f t="shared" si="195"/>
        <v>0</v>
      </c>
      <c r="X975" s="22">
        <f>'2022-23 Salary &amp; Benefits'!$G$6</f>
        <v>12558.24</v>
      </c>
      <c r="Y975" s="23">
        <f>'2022-23 Salary &amp; Benefits'!$H$6</f>
        <v>0.2298</v>
      </c>
      <c r="Z975" s="23">
        <f>'2022-23 Salary &amp; Benefits'!$I$6</f>
        <v>0.22339999999999999</v>
      </c>
      <c r="AA975" s="22">
        <f t="shared" si="196"/>
        <v>0</v>
      </c>
      <c r="AB975" s="22">
        <f t="shared" si="197"/>
        <v>0</v>
      </c>
      <c r="AC975" s="22">
        <f t="shared" si="198"/>
        <v>0</v>
      </c>
      <c r="AD975" s="22">
        <f t="shared" si="188"/>
        <v>0</v>
      </c>
      <c r="AE975" s="22">
        <f t="shared" si="189"/>
        <v>0</v>
      </c>
      <c r="AF975" s="19" t="str">
        <f>VLOOKUP(C975,'2021-22 School Level AAFTE'!C:N,12,FALSE)</f>
        <v>No</v>
      </c>
    </row>
    <row r="976" spans="1:32" s="19" customFormat="1">
      <c r="A976" s="97" t="s">
        <v>2364</v>
      </c>
      <c r="B976" s="97" t="s">
        <v>888</v>
      </c>
      <c r="C976" s="95">
        <v>3941</v>
      </c>
      <c r="D976" s="95" t="s">
        <v>921</v>
      </c>
      <c r="E976" s="129">
        <f>VLOOKUP($C976,'2021-22 School Level AAFTE'!$C:$Z,11,FALSE)</f>
        <v>3.676666666666667E-2</v>
      </c>
      <c r="F976" s="129" t="str">
        <f>VLOOKUP($C976,'2021-22 School Level AAFTE'!$C:$Z,8,FALSE)</f>
        <v>No</v>
      </c>
      <c r="G976" s="129" t="str">
        <f>VLOOKUP($C976,'2021-22 School Level AAFTE'!$C:$Z,12,FALSE)</f>
        <v>No</v>
      </c>
      <c r="H976" s="127">
        <f>VLOOKUP($C976,'2021-22 School Level AAFTE'!$C:$I,7,FALSE)</f>
        <v>581.14</v>
      </c>
      <c r="I976" s="112">
        <f>IFERROR(IF(OR(G976="yes",F976= "yes"),VLOOKUP(C976,Summary!$B:$J,6,0),0),0)</f>
        <v>0</v>
      </c>
      <c r="J976" s="111">
        <f t="shared" si="192"/>
        <v>0</v>
      </c>
      <c r="K976" s="91">
        <f>VLOOKUP($A976,'2022-23 Salary &amp; Benefits'!$A:$I,3,FALSE)</f>
        <v>1.18</v>
      </c>
      <c r="L976" s="91">
        <f>VLOOKUP($A976,'2022-23 Salary &amp; Benefits'!$A:$I,4,FALSE)</f>
        <v>1.18</v>
      </c>
      <c r="M976" s="39">
        <f t="shared" si="187"/>
        <v>0</v>
      </c>
      <c r="N976" s="24">
        <v>15</v>
      </c>
      <c r="O976" s="26">
        <f t="shared" si="190"/>
        <v>0</v>
      </c>
      <c r="P976" s="24">
        <v>1.1000000000000001</v>
      </c>
      <c r="Q976" s="24">
        <v>36</v>
      </c>
      <c r="R976" s="27">
        <f t="shared" si="191"/>
        <v>0</v>
      </c>
      <c r="S976" s="102">
        <f t="shared" si="193"/>
        <v>0</v>
      </c>
      <c r="T976" s="21">
        <f>VLOOKUP($A976,'2022-23 Salary &amp; Benefits'!$A:$I,5,FALSE)</f>
        <v>68937</v>
      </c>
      <c r="U976" s="21">
        <f>VLOOKUP($A976,'2022-23 Salary &amp; Benefits'!$A:$I,6,FALSE)</f>
        <v>72728</v>
      </c>
      <c r="V976" s="22">
        <f t="shared" si="194"/>
        <v>0</v>
      </c>
      <c r="W976" s="22">
        <f t="shared" si="195"/>
        <v>0</v>
      </c>
      <c r="X976" s="22">
        <f>'2022-23 Salary &amp; Benefits'!$G$6</f>
        <v>12558.24</v>
      </c>
      <c r="Y976" s="23">
        <f>'2022-23 Salary &amp; Benefits'!$H$6</f>
        <v>0.2298</v>
      </c>
      <c r="Z976" s="23">
        <f>'2022-23 Salary &amp; Benefits'!$I$6</f>
        <v>0.22339999999999999</v>
      </c>
      <c r="AA976" s="22">
        <f t="shared" si="196"/>
        <v>0</v>
      </c>
      <c r="AB976" s="22">
        <f t="shared" si="197"/>
        <v>0</v>
      </c>
      <c r="AC976" s="22">
        <f t="shared" si="198"/>
        <v>0</v>
      </c>
      <c r="AD976" s="22">
        <f t="shared" si="188"/>
        <v>0</v>
      </c>
      <c r="AE976" s="22">
        <f t="shared" si="189"/>
        <v>0</v>
      </c>
      <c r="AF976" s="19" t="str">
        <f>VLOOKUP(C976,'2021-22 School Level AAFTE'!C:N,12,FALSE)</f>
        <v>No</v>
      </c>
    </row>
    <row r="977" spans="1:32" s="19" customFormat="1">
      <c r="A977" s="97" t="s">
        <v>2364</v>
      </c>
      <c r="B977" s="97" t="s">
        <v>888</v>
      </c>
      <c r="C977" s="95">
        <v>4018</v>
      </c>
      <c r="D977" s="95" t="s">
        <v>922</v>
      </c>
      <c r="E977" s="129">
        <f>VLOOKUP($C977,'2021-22 School Level AAFTE'!$C:$Z,11,FALSE)</f>
        <v>6.6100000000000006E-2</v>
      </c>
      <c r="F977" s="129" t="str">
        <f>VLOOKUP($C977,'2021-22 School Level AAFTE'!$C:$Z,8,FALSE)</f>
        <v>No</v>
      </c>
      <c r="G977" s="129" t="str">
        <f>VLOOKUP($C977,'2021-22 School Level AAFTE'!$C:$Z,12,FALSE)</f>
        <v>No</v>
      </c>
      <c r="H977" s="127">
        <f>VLOOKUP($C977,'2021-22 School Level AAFTE'!$C:$I,7,FALSE)</f>
        <v>290.13</v>
      </c>
      <c r="I977" s="112">
        <f>IFERROR(IF(OR(G977="yes",F977= "yes"),VLOOKUP(C977,Summary!$B:$J,6,0),0),0)</f>
        <v>0</v>
      </c>
      <c r="J977" s="111">
        <f t="shared" si="192"/>
        <v>0</v>
      </c>
      <c r="K977" s="91">
        <f>VLOOKUP($A977,'2022-23 Salary &amp; Benefits'!$A:$I,3,FALSE)</f>
        <v>1.18</v>
      </c>
      <c r="L977" s="91">
        <f>VLOOKUP($A977,'2022-23 Salary &amp; Benefits'!$A:$I,4,FALSE)</f>
        <v>1.18</v>
      </c>
      <c r="M977" s="39">
        <f t="shared" si="187"/>
        <v>0</v>
      </c>
      <c r="N977" s="24">
        <v>15</v>
      </c>
      <c r="O977" s="26">
        <f t="shared" si="190"/>
        <v>0</v>
      </c>
      <c r="P977" s="24">
        <v>1.1000000000000001</v>
      </c>
      <c r="Q977" s="24">
        <v>36</v>
      </c>
      <c r="R977" s="27">
        <f t="shared" si="191"/>
        <v>0</v>
      </c>
      <c r="S977" s="102">
        <f t="shared" si="193"/>
        <v>0</v>
      </c>
      <c r="T977" s="21">
        <f>VLOOKUP($A977,'2022-23 Salary &amp; Benefits'!$A:$I,5,FALSE)</f>
        <v>68937</v>
      </c>
      <c r="U977" s="21">
        <f>VLOOKUP($A977,'2022-23 Salary &amp; Benefits'!$A:$I,6,FALSE)</f>
        <v>72728</v>
      </c>
      <c r="V977" s="22">
        <f t="shared" si="194"/>
        <v>0</v>
      </c>
      <c r="W977" s="22">
        <f t="shared" si="195"/>
        <v>0</v>
      </c>
      <c r="X977" s="22">
        <f>'2022-23 Salary &amp; Benefits'!$G$6</f>
        <v>12558.24</v>
      </c>
      <c r="Y977" s="23">
        <f>'2022-23 Salary &amp; Benefits'!$H$6</f>
        <v>0.2298</v>
      </c>
      <c r="Z977" s="23">
        <f>'2022-23 Salary &amp; Benefits'!$I$6</f>
        <v>0.22339999999999999</v>
      </c>
      <c r="AA977" s="22">
        <f t="shared" si="196"/>
        <v>0</v>
      </c>
      <c r="AB977" s="22">
        <f t="shared" si="197"/>
        <v>0</v>
      </c>
      <c r="AC977" s="22">
        <f t="shared" si="198"/>
        <v>0</v>
      </c>
      <c r="AD977" s="22">
        <f t="shared" si="188"/>
        <v>0</v>
      </c>
      <c r="AE977" s="22">
        <f t="shared" si="189"/>
        <v>0</v>
      </c>
      <c r="AF977" s="19" t="str">
        <f>VLOOKUP(C977,'2021-22 School Level AAFTE'!C:N,12,FALSE)</f>
        <v>No</v>
      </c>
    </row>
    <row r="978" spans="1:32" s="19" customFormat="1">
      <c r="A978" s="97" t="s">
        <v>2364</v>
      </c>
      <c r="B978" s="97" t="s">
        <v>888</v>
      </c>
      <c r="C978" s="95">
        <v>4096</v>
      </c>
      <c r="D978" s="95" t="s">
        <v>923</v>
      </c>
      <c r="E978" s="129">
        <f>VLOOKUP($C978,'2021-22 School Level AAFTE'!$C:$Z,11,FALSE)</f>
        <v>2.9833333333333333E-2</v>
      </c>
      <c r="F978" s="129" t="str">
        <f>VLOOKUP($C978,'2021-22 School Level AAFTE'!$C:$Z,8,FALSE)</f>
        <v>No</v>
      </c>
      <c r="G978" s="129" t="str">
        <f>VLOOKUP($C978,'2021-22 School Level AAFTE'!$C:$Z,12,FALSE)</f>
        <v>No</v>
      </c>
      <c r="H978" s="127">
        <f>VLOOKUP($C978,'2021-22 School Level AAFTE'!$C:$I,7,FALSE)</f>
        <v>594.16999999999996</v>
      </c>
      <c r="I978" s="112">
        <f>IFERROR(IF(OR(G978="yes",F978= "yes"),VLOOKUP(C978,Summary!$B:$J,6,0),0),0)</f>
        <v>0</v>
      </c>
      <c r="J978" s="111">
        <f t="shared" si="192"/>
        <v>0</v>
      </c>
      <c r="K978" s="91">
        <f>VLOOKUP($A978,'2022-23 Salary &amp; Benefits'!$A:$I,3,FALSE)</f>
        <v>1.18</v>
      </c>
      <c r="L978" s="91">
        <f>VLOOKUP($A978,'2022-23 Salary &amp; Benefits'!$A:$I,4,FALSE)</f>
        <v>1.18</v>
      </c>
      <c r="M978" s="101">
        <f t="shared" si="187"/>
        <v>0</v>
      </c>
      <c r="N978" s="24">
        <v>15</v>
      </c>
      <c r="O978" s="26">
        <f t="shared" si="190"/>
        <v>0</v>
      </c>
      <c r="P978" s="24">
        <v>1.1000000000000001</v>
      </c>
      <c r="Q978" s="24">
        <v>36</v>
      </c>
      <c r="R978" s="27">
        <f t="shared" si="191"/>
        <v>0</v>
      </c>
      <c r="S978" s="102">
        <f t="shared" si="193"/>
        <v>0</v>
      </c>
      <c r="T978" s="21">
        <f>VLOOKUP($A978,'2022-23 Salary &amp; Benefits'!$A:$I,5,FALSE)</f>
        <v>68937</v>
      </c>
      <c r="U978" s="21">
        <f>VLOOKUP($A978,'2022-23 Salary &amp; Benefits'!$A:$I,6,FALSE)</f>
        <v>72728</v>
      </c>
      <c r="V978" s="22">
        <f t="shared" si="194"/>
        <v>0</v>
      </c>
      <c r="W978" s="22">
        <f t="shared" si="195"/>
        <v>0</v>
      </c>
      <c r="X978" s="22">
        <f>'2022-23 Salary &amp; Benefits'!$G$6</f>
        <v>12558.24</v>
      </c>
      <c r="Y978" s="23">
        <f>'2022-23 Salary &amp; Benefits'!$H$6</f>
        <v>0.2298</v>
      </c>
      <c r="Z978" s="23">
        <f>'2022-23 Salary &amp; Benefits'!$I$6</f>
        <v>0.22339999999999999</v>
      </c>
      <c r="AA978" s="22">
        <f t="shared" si="196"/>
        <v>0</v>
      </c>
      <c r="AB978" s="22">
        <f t="shared" si="197"/>
        <v>0</v>
      </c>
      <c r="AC978" s="22">
        <f t="shared" si="198"/>
        <v>0</v>
      </c>
      <c r="AD978" s="22">
        <f t="shared" si="188"/>
        <v>0</v>
      </c>
      <c r="AE978" s="22">
        <f t="shared" si="189"/>
        <v>0</v>
      </c>
      <c r="AF978" s="19" t="str">
        <f>VLOOKUP(C978,'2021-22 School Level AAFTE'!C:N,12,FALSE)</f>
        <v>No</v>
      </c>
    </row>
    <row r="979" spans="1:32" s="19" customFormat="1">
      <c r="A979" s="97" t="s">
        <v>2364</v>
      </c>
      <c r="B979" s="97" t="s">
        <v>888</v>
      </c>
      <c r="C979" s="95">
        <v>4147</v>
      </c>
      <c r="D979" s="95" t="s">
        <v>924</v>
      </c>
      <c r="E979" s="129">
        <f>VLOOKUP($C979,'2021-22 School Level AAFTE'!$C:$Z,11,FALSE)</f>
        <v>5.6833333333333326E-2</v>
      </c>
      <c r="F979" s="129" t="str">
        <f>VLOOKUP($C979,'2021-22 School Level AAFTE'!$C:$Z,8,FALSE)</f>
        <v>No</v>
      </c>
      <c r="G979" s="129" t="str">
        <f>VLOOKUP($C979,'2021-22 School Level AAFTE'!$C:$Z,12,FALSE)</f>
        <v>No</v>
      </c>
      <c r="H979" s="127">
        <f>VLOOKUP($C979,'2021-22 School Level AAFTE'!$C:$I,7,FALSE)</f>
        <v>443.14</v>
      </c>
      <c r="I979" s="112">
        <f>IFERROR(IF(OR(G979="yes",F979= "yes"),VLOOKUP(C979,Summary!$B:$J,6,0),0),0)</f>
        <v>0</v>
      </c>
      <c r="J979" s="111">
        <f t="shared" si="192"/>
        <v>0</v>
      </c>
      <c r="K979" s="91">
        <f>VLOOKUP($A979,'2022-23 Salary &amp; Benefits'!$A:$I,3,FALSE)</f>
        <v>1.18</v>
      </c>
      <c r="L979" s="91">
        <f>VLOOKUP($A979,'2022-23 Salary &amp; Benefits'!$A:$I,4,FALSE)</f>
        <v>1.18</v>
      </c>
      <c r="M979" s="101">
        <f t="shared" si="187"/>
        <v>0</v>
      </c>
      <c r="N979" s="24">
        <v>15</v>
      </c>
      <c r="O979" s="26">
        <f t="shared" si="190"/>
        <v>0</v>
      </c>
      <c r="P979" s="24">
        <v>1.1000000000000001</v>
      </c>
      <c r="Q979" s="24">
        <v>36</v>
      </c>
      <c r="R979" s="27">
        <f t="shared" si="191"/>
        <v>0</v>
      </c>
      <c r="S979" s="102">
        <f t="shared" si="193"/>
        <v>0</v>
      </c>
      <c r="T979" s="21">
        <f>VLOOKUP($A979,'2022-23 Salary &amp; Benefits'!$A:$I,5,FALSE)</f>
        <v>68937</v>
      </c>
      <c r="U979" s="21">
        <f>VLOOKUP($A979,'2022-23 Salary &amp; Benefits'!$A:$I,6,FALSE)</f>
        <v>72728</v>
      </c>
      <c r="V979" s="22">
        <f t="shared" si="194"/>
        <v>0</v>
      </c>
      <c r="W979" s="22">
        <f t="shared" si="195"/>
        <v>0</v>
      </c>
      <c r="X979" s="22">
        <f>'2022-23 Salary &amp; Benefits'!$G$6</f>
        <v>12558.24</v>
      </c>
      <c r="Y979" s="23">
        <f>'2022-23 Salary &amp; Benefits'!$H$6</f>
        <v>0.2298</v>
      </c>
      <c r="Z979" s="23">
        <f>'2022-23 Salary &amp; Benefits'!$I$6</f>
        <v>0.22339999999999999</v>
      </c>
      <c r="AA979" s="22">
        <f t="shared" si="196"/>
        <v>0</v>
      </c>
      <c r="AB979" s="22">
        <f t="shared" si="197"/>
        <v>0</v>
      </c>
      <c r="AC979" s="22">
        <f t="shared" si="198"/>
        <v>0</v>
      </c>
      <c r="AD979" s="22">
        <f t="shared" si="188"/>
        <v>0</v>
      </c>
      <c r="AE979" s="22">
        <f t="shared" si="189"/>
        <v>0</v>
      </c>
      <c r="AF979" s="19" t="str">
        <f>VLOOKUP(C979,'2021-22 School Level AAFTE'!C:N,12,FALSE)</f>
        <v>No</v>
      </c>
    </row>
    <row r="980" spans="1:32" s="19" customFormat="1">
      <c r="A980" s="97" t="s">
        <v>2364</v>
      </c>
      <c r="B980" s="97" t="s">
        <v>888</v>
      </c>
      <c r="C980" s="95">
        <v>4148</v>
      </c>
      <c r="D980" s="95" t="s">
        <v>925</v>
      </c>
      <c r="E980" s="129">
        <f>VLOOKUP($C980,'2021-22 School Level AAFTE'!$C:$Z,11,FALSE)</f>
        <v>7.226666666666666E-2</v>
      </c>
      <c r="F980" s="129" t="str">
        <f>VLOOKUP($C980,'2021-22 School Level AAFTE'!$C:$Z,8,FALSE)</f>
        <v>No</v>
      </c>
      <c r="G980" s="129" t="str">
        <f>VLOOKUP($C980,'2021-22 School Level AAFTE'!$C:$Z,12,FALSE)</f>
        <v>No</v>
      </c>
      <c r="H980" s="127">
        <f>VLOOKUP($C980,'2021-22 School Level AAFTE'!$C:$I,7,FALSE)</f>
        <v>741.51</v>
      </c>
      <c r="I980" s="112">
        <f>IFERROR(IF(OR(G980="yes",F980= "yes"),VLOOKUP(C980,Summary!$B:$J,6,0),0),0)</f>
        <v>0</v>
      </c>
      <c r="J980" s="111">
        <f t="shared" si="192"/>
        <v>0</v>
      </c>
      <c r="K980" s="91">
        <f>VLOOKUP($A980,'2022-23 Salary &amp; Benefits'!$A:$I,3,FALSE)</f>
        <v>1.18</v>
      </c>
      <c r="L980" s="91">
        <f>VLOOKUP($A980,'2022-23 Salary &amp; Benefits'!$A:$I,4,FALSE)</f>
        <v>1.18</v>
      </c>
      <c r="M980" s="101">
        <f t="shared" si="187"/>
        <v>0</v>
      </c>
      <c r="N980" s="24">
        <v>15</v>
      </c>
      <c r="O980" s="26">
        <f t="shared" si="190"/>
        <v>0</v>
      </c>
      <c r="P980" s="24">
        <v>1.1000000000000001</v>
      </c>
      <c r="Q980" s="24">
        <v>36</v>
      </c>
      <c r="R980" s="27">
        <f t="shared" si="191"/>
        <v>0</v>
      </c>
      <c r="S980" s="102">
        <f t="shared" si="193"/>
        <v>0</v>
      </c>
      <c r="T980" s="21">
        <f>VLOOKUP($A980,'2022-23 Salary &amp; Benefits'!$A:$I,5,FALSE)</f>
        <v>68937</v>
      </c>
      <c r="U980" s="21">
        <f>VLOOKUP($A980,'2022-23 Salary &amp; Benefits'!$A:$I,6,FALSE)</f>
        <v>72728</v>
      </c>
      <c r="V980" s="22">
        <f t="shared" si="194"/>
        <v>0</v>
      </c>
      <c r="W980" s="22">
        <f t="shared" si="195"/>
        <v>0</v>
      </c>
      <c r="X980" s="22">
        <f>'2022-23 Salary &amp; Benefits'!$G$6</f>
        <v>12558.24</v>
      </c>
      <c r="Y980" s="23">
        <f>'2022-23 Salary &amp; Benefits'!$H$6</f>
        <v>0.2298</v>
      </c>
      <c r="Z980" s="23">
        <f>'2022-23 Salary &amp; Benefits'!$I$6</f>
        <v>0.22339999999999999</v>
      </c>
      <c r="AA980" s="22">
        <f t="shared" si="196"/>
        <v>0</v>
      </c>
      <c r="AB980" s="22">
        <f t="shared" si="197"/>
        <v>0</v>
      </c>
      <c r="AC980" s="22">
        <f t="shared" si="198"/>
        <v>0</v>
      </c>
      <c r="AD980" s="22">
        <f t="shared" si="188"/>
        <v>0</v>
      </c>
      <c r="AE980" s="22">
        <f t="shared" si="189"/>
        <v>0</v>
      </c>
      <c r="AF980" s="19" t="str">
        <f>VLOOKUP(C980,'2021-22 School Level AAFTE'!C:N,12,FALSE)</f>
        <v>No</v>
      </c>
    </row>
    <row r="981" spans="1:32" s="19" customFormat="1">
      <c r="A981" s="97" t="s">
        <v>2364</v>
      </c>
      <c r="B981" s="97" t="s">
        <v>888</v>
      </c>
      <c r="C981" s="95">
        <v>4167</v>
      </c>
      <c r="D981" s="95" t="s">
        <v>926</v>
      </c>
      <c r="E981" s="129">
        <f>VLOOKUP($C981,'2021-22 School Level AAFTE'!$C:$Z,11,FALSE)</f>
        <v>0</v>
      </c>
      <c r="F981" s="129" t="str">
        <f>VLOOKUP($C981,'2021-22 School Level AAFTE'!$C:$Z,8,FALSE)</f>
        <v>No</v>
      </c>
      <c r="G981" s="129" t="str">
        <f>VLOOKUP($C981,'2021-22 School Level AAFTE'!$C:$Z,12,FALSE)</f>
        <v>No</v>
      </c>
      <c r="H981" s="127">
        <f>VLOOKUP($C981,'2021-22 School Level AAFTE'!$C:$I,7,FALSE)</f>
        <v>88</v>
      </c>
      <c r="I981" s="112">
        <f>IFERROR(IF(OR(G981="yes",F981= "yes"),VLOOKUP(C981,Summary!$B:$J,6,0),0),0)</f>
        <v>0</v>
      </c>
      <c r="J981" s="111">
        <f t="shared" si="192"/>
        <v>0</v>
      </c>
      <c r="K981" s="91">
        <f>VLOOKUP($A981,'2022-23 Salary &amp; Benefits'!$A:$I,3,FALSE)</f>
        <v>1.18</v>
      </c>
      <c r="L981" s="91">
        <f>VLOOKUP($A981,'2022-23 Salary &amp; Benefits'!$A:$I,4,FALSE)</f>
        <v>1.18</v>
      </c>
      <c r="M981" s="101">
        <f t="shared" si="187"/>
        <v>0</v>
      </c>
      <c r="N981" s="24">
        <v>15</v>
      </c>
      <c r="O981" s="26">
        <f t="shared" si="190"/>
        <v>0</v>
      </c>
      <c r="P981" s="24">
        <v>1.1000000000000001</v>
      </c>
      <c r="Q981" s="24">
        <v>36</v>
      </c>
      <c r="R981" s="27">
        <f t="shared" si="191"/>
        <v>0</v>
      </c>
      <c r="S981" s="102">
        <f t="shared" si="193"/>
        <v>0</v>
      </c>
      <c r="T981" s="21">
        <f>VLOOKUP($A981,'2022-23 Salary &amp; Benefits'!$A:$I,5,FALSE)</f>
        <v>68937</v>
      </c>
      <c r="U981" s="21">
        <f>VLOOKUP($A981,'2022-23 Salary &amp; Benefits'!$A:$I,6,FALSE)</f>
        <v>72728</v>
      </c>
      <c r="V981" s="22">
        <f t="shared" si="194"/>
        <v>0</v>
      </c>
      <c r="W981" s="22">
        <f t="shared" si="195"/>
        <v>0</v>
      </c>
      <c r="X981" s="22">
        <f>'2022-23 Salary &amp; Benefits'!$G$6</f>
        <v>12558.24</v>
      </c>
      <c r="Y981" s="23">
        <f>'2022-23 Salary &amp; Benefits'!$H$6</f>
        <v>0.2298</v>
      </c>
      <c r="Z981" s="23">
        <f>'2022-23 Salary &amp; Benefits'!$I$6</f>
        <v>0.22339999999999999</v>
      </c>
      <c r="AA981" s="22">
        <f t="shared" si="196"/>
        <v>0</v>
      </c>
      <c r="AB981" s="22">
        <f t="shared" si="197"/>
        <v>0</v>
      </c>
      <c r="AC981" s="22">
        <f t="shared" si="198"/>
        <v>0</v>
      </c>
      <c r="AD981" s="22">
        <f t="shared" si="188"/>
        <v>0</v>
      </c>
      <c r="AE981" s="22">
        <f t="shared" si="189"/>
        <v>0</v>
      </c>
      <c r="AF981" s="19" t="str">
        <f>VLOOKUP(C981,'2021-22 School Level AAFTE'!C:N,12,FALSE)</f>
        <v>No</v>
      </c>
    </row>
    <row r="982" spans="1:32" s="19" customFormat="1">
      <c r="A982" s="97" t="s">
        <v>2364</v>
      </c>
      <c r="B982" s="97" t="s">
        <v>888</v>
      </c>
      <c r="C982" s="95">
        <v>4256</v>
      </c>
      <c r="D982" s="95" t="s">
        <v>927</v>
      </c>
      <c r="E982" s="129">
        <f>VLOOKUP($C982,'2021-22 School Level AAFTE'!$C:$Z,11,FALSE)</f>
        <v>3.0166666666666665E-2</v>
      </c>
      <c r="F982" s="129" t="str">
        <f>VLOOKUP($C982,'2021-22 School Level AAFTE'!$C:$Z,8,FALSE)</f>
        <v>No</v>
      </c>
      <c r="G982" s="129" t="str">
        <f>VLOOKUP($C982,'2021-22 School Level AAFTE'!$C:$Z,12,FALSE)</f>
        <v>No</v>
      </c>
      <c r="H982" s="127">
        <f>VLOOKUP($C982,'2021-22 School Level AAFTE'!$C:$I,7,FALSE)</f>
        <v>579.86</v>
      </c>
      <c r="I982" s="112">
        <f>IFERROR(IF(OR(G982="yes",F982= "yes"),VLOOKUP(C982,Summary!$B:$J,6,0),0),0)</f>
        <v>0</v>
      </c>
      <c r="J982" s="111">
        <f t="shared" si="192"/>
        <v>0</v>
      </c>
      <c r="K982" s="91">
        <f>VLOOKUP($A982,'2022-23 Salary &amp; Benefits'!$A:$I,3,FALSE)</f>
        <v>1.18</v>
      </c>
      <c r="L982" s="91">
        <f>VLOOKUP($A982,'2022-23 Salary &amp; Benefits'!$A:$I,4,FALSE)</f>
        <v>1.18</v>
      </c>
      <c r="M982" s="39">
        <f t="shared" si="187"/>
        <v>0</v>
      </c>
      <c r="N982" s="24">
        <v>15</v>
      </c>
      <c r="O982" s="26">
        <f t="shared" si="190"/>
        <v>0</v>
      </c>
      <c r="P982" s="24">
        <v>1.1000000000000001</v>
      </c>
      <c r="Q982" s="24">
        <v>36</v>
      </c>
      <c r="R982" s="27">
        <f t="shared" si="191"/>
        <v>0</v>
      </c>
      <c r="S982" s="102">
        <f t="shared" si="193"/>
        <v>0</v>
      </c>
      <c r="T982" s="21">
        <f>VLOOKUP($A982,'2022-23 Salary &amp; Benefits'!$A:$I,5,FALSE)</f>
        <v>68937</v>
      </c>
      <c r="U982" s="21">
        <f>VLOOKUP($A982,'2022-23 Salary &amp; Benefits'!$A:$I,6,FALSE)</f>
        <v>72728</v>
      </c>
      <c r="V982" s="22">
        <f t="shared" si="194"/>
        <v>0</v>
      </c>
      <c r="W982" s="22">
        <f t="shared" si="195"/>
        <v>0</v>
      </c>
      <c r="X982" s="22">
        <f>'2022-23 Salary &amp; Benefits'!$G$6</f>
        <v>12558.24</v>
      </c>
      <c r="Y982" s="23">
        <f>'2022-23 Salary &amp; Benefits'!$H$6</f>
        <v>0.2298</v>
      </c>
      <c r="Z982" s="23">
        <f>'2022-23 Salary &amp; Benefits'!$I$6</f>
        <v>0.22339999999999999</v>
      </c>
      <c r="AA982" s="22">
        <f t="shared" si="196"/>
        <v>0</v>
      </c>
      <c r="AB982" s="22">
        <f t="shared" si="197"/>
        <v>0</v>
      </c>
      <c r="AC982" s="22">
        <f t="shared" si="198"/>
        <v>0</v>
      </c>
      <c r="AD982" s="22">
        <f t="shared" si="188"/>
        <v>0</v>
      </c>
      <c r="AE982" s="22">
        <f t="shared" si="189"/>
        <v>0</v>
      </c>
      <c r="AF982" s="19" t="str">
        <f>VLOOKUP(C982,'2021-22 School Level AAFTE'!C:N,12,FALSE)</f>
        <v>No</v>
      </c>
    </row>
    <row r="983" spans="1:32" s="19" customFormat="1">
      <c r="A983" s="97" t="s">
        <v>2364</v>
      </c>
      <c r="B983" s="97" t="s">
        <v>888</v>
      </c>
      <c r="C983" s="95">
        <v>4302</v>
      </c>
      <c r="D983" s="95" t="s">
        <v>928</v>
      </c>
      <c r="E983" s="129">
        <f>VLOOKUP($C983,'2021-22 School Level AAFTE'!$C:$Z,11,FALSE)</f>
        <v>1.3766666666666665E-2</v>
      </c>
      <c r="F983" s="129" t="str">
        <f>VLOOKUP($C983,'2021-22 School Level AAFTE'!$C:$Z,8,FALSE)</f>
        <v>No</v>
      </c>
      <c r="G983" s="129" t="str">
        <f>VLOOKUP($C983,'2021-22 School Level AAFTE'!$C:$Z,12,FALSE)</f>
        <v>No</v>
      </c>
      <c r="H983" s="127">
        <f>VLOOKUP($C983,'2021-22 School Level AAFTE'!$C:$I,7,FALSE)</f>
        <v>609.86</v>
      </c>
      <c r="I983" s="112">
        <f>IFERROR(IF(OR(G983="yes",F983= "yes"),VLOOKUP(C983,Summary!$B:$J,6,0),0),0)</f>
        <v>0</v>
      </c>
      <c r="J983" s="111">
        <f t="shared" si="192"/>
        <v>0</v>
      </c>
      <c r="K983" s="91">
        <f>VLOOKUP($A983,'2022-23 Salary &amp; Benefits'!$A:$I,3,FALSE)</f>
        <v>1.18</v>
      </c>
      <c r="L983" s="91">
        <f>VLOOKUP($A983,'2022-23 Salary &amp; Benefits'!$A:$I,4,FALSE)</f>
        <v>1.18</v>
      </c>
      <c r="M983" s="39">
        <f t="shared" si="187"/>
        <v>0</v>
      </c>
      <c r="N983" s="24">
        <v>15</v>
      </c>
      <c r="O983" s="26">
        <f t="shared" si="190"/>
        <v>0</v>
      </c>
      <c r="P983" s="24">
        <v>1.1000000000000001</v>
      </c>
      <c r="Q983" s="24">
        <v>36</v>
      </c>
      <c r="R983" s="27">
        <f t="shared" si="191"/>
        <v>0</v>
      </c>
      <c r="S983" s="102">
        <f t="shared" si="193"/>
        <v>0</v>
      </c>
      <c r="T983" s="21">
        <f>VLOOKUP($A983,'2022-23 Salary &amp; Benefits'!$A:$I,5,FALSE)</f>
        <v>68937</v>
      </c>
      <c r="U983" s="21">
        <f>VLOOKUP($A983,'2022-23 Salary &amp; Benefits'!$A:$I,6,FALSE)</f>
        <v>72728</v>
      </c>
      <c r="V983" s="22">
        <f t="shared" si="194"/>
        <v>0</v>
      </c>
      <c r="W983" s="22">
        <f t="shared" si="195"/>
        <v>0</v>
      </c>
      <c r="X983" s="22">
        <f>'2022-23 Salary &amp; Benefits'!$G$6</f>
        <v>12558.24</v>
      </c>
      <c r="Y983" s="23">
        <f>'2022-23 Salary &amp; Benefits'!$H$6</f>
        <v>0.2298</v>
      </c>
      <c r="Z983" s="23">
        <f>'2022-23 Salary &amp; Benefits'!$I$6</f>
        <v>0.22339999999999999</v>
      </c>
      <c r="AA983" s="22">
        <f t="shared" si="196"/>
        <v>0</v>
      </c>
      <c r="AB983" s="22">
        <f t="shared" si="197"/>
        <v>0</v>
      </c>
      <c r="AC983" s="22">
        <f t="shared" si="198"/>
        <v>0</v>
      </c>
      <c r="AD983" s="22">
        <f t="shared" si="188"/>
        <v>0</v>
      </c>
      <c r="AE983" s="22">
        <f t="shared" si="189"/>
        <v>0</v>
      </c>
      <c r="AF983" s="19" t="str">
        <f>VLOOKUP(C983,'2021-22 School Level AAFTE'!C:N,12,FALSE)</f>
        <v>No</v>
      </c>
    </row>
    <row r="984" spans="1:32" s="19" customFormat="1">
      <c r="A984" s="97" t="s">
        <v>2364</v>
      </c>
      <c r="B984" s="97" t="s">
        <v>888</v>
      </c>
      <c r="C984" s="95">
        <v>4336</v>
      </c>
      <c r="D984" s="95" t="s">
        <v>929</v>
      </c>
      <c r="E984" s="129">
        <f>VLOOKUP($C984,'2021-22 School Level AAFTE'!$C:$Z,11,FALSE)</f>
        <v>2.6400000000000003E-2</v>
      </c>
      <c r="F984" s="129" t="str">
        <f>VLOOKUP($C984,'2021-22 School Level AAFTE'!$C:$Z,8,FALSE)</f>
        <v>No</v>
      </c>
      <c r="G984" s="129" t="str">
        <f>VLOOKUP($C984,'2021-22 School Level AAFTE'!$C:$Z,12,FALSE)</f>
        <v>No</v>
      </c>
      <c r="H984" s="127">
        <f>VLOOKUP($C984,'2021-22 School Level AAFTE'!$C:$I,7,FALSE)</f>
        <v>308.19</v>
      </c>
      <c r="I984" s="112">
        <f>IFERROR(IF(OR(G984="yes",F984= "yes"),VLOOKUP(C984,Summary!$B:$J,6,0),0),0)</f>
        <v>0</v>
      </c>
      <c r="J984" s="111">
        <f t="shared" si="192"/>
        <v>0</v>
      </c>
      <c r="K984" s="91">
        <f>VLOOKUP($A984,'2022-23 Salary &amp; Benefits'!$A:$I,3,FALSE)</f>
        <v>1.18</v>
      </c>
      <c r="L984" s="91">
        <f>VLOOKUP($A984,'2022-23 Salary &amp; Benefits'!$A:$I,4,FALSE)</f>
        <v>1.18</v>
      </c>
      <c r="M984" s="101">
        <f t="shared" si="187"/>
        <v>0</v>
      </c>
      <c r="N984" s="24">
        <v>15</v>
      </c>
      <c r="O984" s="26">
        <f t="shared" si="190"/>
        <v>0</v>
      </c>
      <c r="P984" s="24">
        <v>1.1000000000000001</v>
      </c>
      <c r="Q984" s="24">
        <v>36</v>
      </c>
      <c r="R984" s="27">
        <f t="shared" si="191"/>
        <v>0</v>
      </c>
      <c r="S984" s="102">
        <f t="shared" si="193"/>
        <v>0</v>
      </c>
      <c r="T984" s="21">
        <f>VLOOKUP($A984,'2022-23 Salary &amp; Benefits'!$A:$I,5,FALSE)</f>
        <v>68937</v>
      </c>
      <c r="U984" s="21">
        <f>VLOOKUP($A984,'2022-23 Salary &amp; Benefits'!$A:$I,6,FALSE)</f>
        <v>72728</v>
      </c>
      <c r="V984" s="22">
        <f t="shared" si="194"/>
        <v>0</v>
      </c>
      <c r="W984" s="22">
        <f t="shared" si="195"/>
        <v>0</v>
      </c>
      <c r="X984" s="22">
        <f>'2022-23 Salary &amp; Benefits'!$G$6</f>
        <v>12558.24</v>
      </c>
      <c r="Y984" s="23">
        <f>'2022-23 Salary &amp; Benefits'!$H$6</f>
        <v>0.2298</v>
      </c>
      <c r="Z984" s="23">
        <f>'2022-23 Salary &amp; Benefits'!$I$6</f>
        <v>0.22339999999999999</v>
      </c>
      <c r="AA984" s="22">
        <f t="shared" si="196"/>
        <v>0</v>
      </c>
      <c r="AB984" s="22">
        <f t="shared" si="197"/>
        <v>0</v>
      </c>
      <c r="AC984" s="22">
        <f t="shared" si="198"/>
        <v>0</v>
      </c>
      <c r="AD984" s="22">
        <f t="shared" si="188"/>
        <v>0</v>
      </c>
      <c r="AE984" s="22">
        <f t="shared" si="189"/>
        <v>0</v>
      </c>
      <c r="AF984" s="19" t="str">
        <f>VLOOKUP(C984,'2021-22 School Level AAFTE'!C:N,12,FALSE)</f>
        <v>No</v>
      </c>
    </row>
    <row r="985" spans="1:32" s="19" customFormat="1">
      <c r="A985" s="97" t="s">
        <v>2364</v>
      </c>
      <c r="B985" s="97" t="s">
        <v>888</v>
      </c>
      <c r="C985" s="95">
        <v>4354</v>
      </c>
      <c r="D985" s="95" t="s">
        <v>930</v>
      </c>
      <c r="E985" s="129">
        <f>VLOOKUP($C985,'2021-22 School Level AAFTE'!$C:$Z,11,FALSE)</f>
        <v>1.6899999999999998E-2</v>
      </c>
      <c r="F985" s="129" t="str">
        <f>VLOOKUP($C985,'2021-22 School Level AAFTE'!$C:$Z,8,FALSE)</f>
        <v>No</v>
      </c>
      <c r="G985" s="129" t="str">
        <f>VLOOKUP($C985,'2021-22 School Level AAFTE'!$C:$Z,12,FALSE)</f>
        <v>No</v>
      </c>
      <c r="H985" s="127">
        <f>VLOOKUP($C985,'2021-22 School Level AAFTE'!$C:$I,7,FALSE)</f>
        <v>483.43</v>
      </c>
      <c r="I985" s="112">
        <f>IFERROR(IF(OR(G985="yes",F985= "yes"),VLOOKUP(C985,Summary!$B:$J,6,0),0),0)</f>
        <v>0</v>
      </c>
      <c r="J985" s="111">
        <f t="shared" si="192"/>
        <v>0</v>
      </c>
      <c r="K985" s="91">
        <f>VLOOKUP($A985,'2022-23 Salary &amp; Benefits'!$A:$I,3,FALSE)</f>
        <v>1.18</v>
      </c>
      <c r="L985" s="91">
        <f>VLOOKUP($A985,'2022-23 Salary &amp; Benefits'!$A:$I,4,FALSE)</f>
        <v>1.18</v>
      </c>
      <c r="M985" s="39">
        <f t="shared" si="187"/>
        <v>0</v>
      </c>
      <c r="N985" s="24">
        <v>15</v>
      </c>
      <c r="O985" s="26">
        <f t="shared" si="190"/>
        <v>0</v>
      </c>
      <c r="P985" s="24">
        <v>1.1000000000000001</v>
      </c>
      <c r="Q985" s="24">
        <v>36</v>
      </c>
      <c r="R985" s="27">
        <f t="shared" si="191"/>
        <v>0</v>
      </c>
      <c r="S985" s="102">
        <f t="shared" si="193"/>
        <v>0</v>
      </c>
      <c r="T985" s="21">
        <f>VLOOKUP($A985,'2022-23 Salary &amp; Benefits'!$A:$I,5,FALSE)</f>
        <v>68937</v>
      </c>
      <c r="U985" s="21">
        <f>VLOOKUP($A985,'2022-23 Salary &amp; Benefits'!$A:$I,6,FALSE)</f>
        <v>72728</v>
      </c>
      <c r="V985" s="22">
        <f t="shared" si="194"/>
        <v>0</v>
      </c>
      <c r="W985" s="22">
        <f t="shared" si="195"/>
        <v>0</v>
      </c>
      <c r="X985" s="22">
        <f>'2022-23 Salary &amp; Benefits'!$G$6</f>
        <v>12558.24</v>
      </c>
      <c r="Y985" s="23">
        <f>'2022-23 Salary &amp; Benefits'!$H$6</f>
        <v>0.2298</v>
      </c>
      <c r="Z985" s="23">
        <f>'2022-23 Salary &amp; Benefits'!$I$6</f>
        <v>0.22339999999999999</v>
      </c>
      <c r="AA985" s="22">
        <f t="shared" si="196"/>
        <v>0</v>
      </c>
      <c r="AB985" s="22">
        <f t="shared" si="197"/>
        <v>0</v>
      </c>
      <c r="AC985" s="22">
        <f t="shared" si="198"/>
        <v>0</v>
      </c>
      <c r="AD985" s="22">
        <f t="shared" si="188"/>
        <v>0</v>
      </c>
      <c r="AE985" s="22">
        <f t="shared" si="189"/>
        <v>0</v>
      </c>
      <c r="AF985" s="19" t="str">
        <f>VLOOKUP(C985,'2021-22 School Level AAFTE'!C:N,12,FALSE)</f>
        <v>No</v>
      </c>
    </row>
    <row r="986" spans="1:32" s="19" customFormat="1">
      <c r="A986" s="97" t="s">
        <v>2364</v>
      </c>
      <c r="B986" s="97" t="s">
        <v>888</v>
      </c>
      <c r="C986" s="95">
        <v>4386</v>
      </c>
      <c r="D986" s="95" t="s">
        <v>931</v>
      </c>
      <c r="E986" s="129">
        <f>VLOOKUP($C986,'2021-22 School Level AAFTE'!$C:$Z,11,FALSE)</f>
        <v>3.203333333333333E-2</v>
      </c>
      <c r="F986" s="129" t="str">
        <f>VLOOKUP($C986,'2021-22 School Level AAFTE'!$C:$Z,8,FALSE)</f>
        <v>No</v>
      </c>
      <c r="G986" s="129" t="str">
        <f>VLOOKUP($C986,'2021-22 School Level AAFTE'!$C:$Z,12,FALSE)</f>
        <v>No</v>
      </c>
      <c r="H986" s="127">
        <f>VLOOKUP($C986,'2021-22 School Level AAFTE'!$C:$I,7,FALSE)</f>
        <v>1175.3699999999999</v>
      </c>
      <c r="I986" s="112">
        <f>IFERROR(IF(OR(G986="yes",F986= "yes"),VLOOKUP(C986,Summary!$B:$J,6,0),0),0)</f>
        <v>0</v>
      </c>
      <c r="J986" s="111">
        <f t="shared" si="192"/>
        <v>0</v>
      </c>
      <c r="K986" s="91">
        <f>VLOOKUP($A986,'2022-23 Salary &amp; Benefits'!$A:$I,3,FALSE)</f>
        <v>1.18</v>
      </c>
      <c r="L986" s="91">
        <f>VLOOKUP($A986,'2022-23 Salary &amp; Benefits'!$A:$I,4,FALSE)</f>
        <v>1.18</v>
      </c>
      <c r="M986" s="39">
        <f t="shared" si="187"/>
        <v>0</v>
      </c>
      <c r="N986" s="24">
        <v>15</v>
      </c>
      <c r="O986" s="26">
        <f t="shared" si="190"/>
        <v>0</v>
      </c>
      <c r="P986" s="24">
        <v>1.1000000000000001</v>
      </c>
      <c r="Q986" s="24">
        <v>36</v>
      </c>
      <c r="R986" s="27">
        <f t="shared" si="191"/>
        <v>0</v>
      </c>
      <c r="S986" s="102">
        <f t="shared" si="193"/>
        <v>0</v>
      </c>
      <c r="T986" s="21">
        <f>VLOOKUP($A986,'2022-23 Salary &amp; Benefits'!$A:$I,5,FALSE)</f>
        <v>68937</v>
      </c>
      <c r="U986" s="21">
        <f>VLOOKUP($A986,'2022-23 Salary &amp; Benefits'!$A:$I,6,FALSE)</f>
        <v>72728</v>
      </c>
      <c r="V986" s="22">
        <f t="shared" si="194"/>
        <v>0</v>
      </c>
      <c r="W986" s="22">
        <f t="shared" si="195"/>
        <v>0</v>
      </c>
      <c r="X986" s="22">
        <f>'2022-23 Salary &amp; Benefits'!$G$6</f>
        <v>12558.24</v>
      </c>
      <c r="Y986" s="23">
        <f>'2022-23 Salary &amp; Benefits'!$H$6</f>
        <v>0.2298</v>
      </c>
      <c r="Z986" s="23">
        <f>'2022-23 Salary &amp; Benefits'!$I$6</f>
        <v>0.22339999999999999</v>
      </c>
      <c r="AA986" s="22">
        <f t="shared" si="196"/>
        <v>0</v>
      </c>
      <c r="AB986" s="22">
        <f t="shared" si="197"/>
        <v>0</v>
      </c>
      <c r="AC986" s="22">
        <f t="shared" si="198"/>
        <v>0</v>
      </c>
      <c r="AD986" s="22">
        <f t="shared" si="188"/>
        <v>0</v>
      </c>
      <c r="AE986" s="22">
        <f t="shared" si="189"/>
        <v>0</v>
      </c>
      <c r="AF986" s="19" t="str">
        <f>VLOOKUP(C986,'2021-22 School Level AAFTE'!C:N,12,FALSE)</f>
        <v>No</v>
      </c>
    </row>
    <row r="987" spans="1:32" s="19" customFormat="1">
      <c r="A987" s="97" t="s">
        <v>2364</v>
      </c>
      <c r="B987" s="97" t="s">
        <v>888</v>
      </c>
      <c r="C987" s="95">
        <v>4424</v>
      </c>
      <c r="D987" s="95" t="s">
        <v>932</v>
      </c>
      <c r="E987" s="129">
        <f>VLOOKUP($C987,'2021-22 School Level AAFTE'!$C:$Z,11,FALSE)</f>
        <v>0.14673333333333335</v>
      </c>
      <c r="F987" s="129" t="str">
        <f>VLOOKUP($C987,'2021-22 School Level AAFTE'!$C:$Z,8,FALSE)</f>
        <v>No</v>
      </c>
      <c r="G987" s="129" t="str">
        <f>VLOOKUP($C987,'2021-22 School Level AAFTE'!$C:$Z,12,FALSE)</f>
        <v>No</v>
      </c>
      <c r="H987" s="127">
        <f>VLOOKUP($C987,'2021-22 School Level AAFTE'!$C:$I,7,FALSE)</f>
        <v>477.13</v>
      </c>
      <c r="I987" s="112">
        <f>IFERROR(IF(OR(G987="yes",F987= "yes"),VLOOKUP(C987,Summary!$B:$J,6,0),0),0)</f>
        <v>0</v>
      </c>
      <c r="J987" s="111">
        <f t="shared" si="192"/>
        <v>0</v>
      </c>
      <c r="K987" s="91">
        <f>VLOOKUP($A987,'2022-23 Salary &amp; Benefits'!$A:$I,3,FALSE)</f>
        <v>1.18</v>
      </c>
      <c r="L987" s="91">
        <f>VLOOKUP($A987,'2022-23 Salary &amp; Benefits'!$A:$I,4,FALSE)</f>
        <v>1.18</v>
      </c>
      <c r="M987" s="101">
        <f t="shared" si="187"/>
        <v>0</v>
      </c>
      <c r="N987" s="24">
        <v>15</v>
      </c>
      <c r="O987" s="26">
        <f t="shared" si="190"/>
        <v>0</v>
      </c>
      <c r="P987" s="24">
        <v>1.1000000000000001</v>
      </c>
      <c r="Q987" s="24">
        <v>36</v>
      </c>
      <c r="R987" s="27">
        <f t="shared" si="191"/>
        <v>0</v>
      </c>
      <c r="S987" s="102">
        <f t="shared" si="193"/>
        <v>0</v>
      </c>
      <c r="T987" s="21">
        <f>VLOOKUP($A987,'2022-23 Salary &amp; Benefits'!$A:$I,5,FALSE)</f>
        <v>68937</v>
      </c>
      <c r="U987" s="21">
        <f>VLOOKUP($A987,'2022-23 Salary &amp; Benefits'!$A:$I,6,FALSE)</f>
        <v>72728</v>
      </c>
      <c r="V987" s="22">
        <f t="shared" si="194"/>
        <v>0</v>
      </c>
      <c r="W987" s="22">
        <f t="shared" si="195"/>
        <v>0</v>
      </c>
      <c r="X987" s="22">
        <f>'2022-23 Salary &amp; Benefits'!$G$6</f>
        <v>12558.24</v>
      </c>
      <c r="Y987" s="23">
        <f>'2022-23 Salary &amp; Benefits'!$H$6</f>
        <v>0.2298</v>
      </c>
      <c r="Z987" s="23">
        <f>'2022-23 Salary &amp; Benefits'!$I$6</f>
        <v>0.22339999999999999</v>
      </c>
      <c r="AA987" s="22">
        <f t="shared" si="196"/>
        <v>0</v>
      </c>
      <c r="AB987" s="22">
        <f t="shared" si="197"/>
        <v>0</v>
      </c>
      <c r="AC987" s="22">
        <f t="shared" si="198"/>
        <v>0</v>
      </c>
      <c r="AD987" s="22">
        <f t="shared" si="188"/>
        <v>0</v>
      </c>
      <c r="AE987" s="22">
        <f t="shared" si="189"/>
        <v>0</v>
      </c>
      <c r="AF987" s="19" t="str">
        <f>VLOOKUP(C987,'2021-22 School Level AAFTE'!C:N,12,FALSE)</f>
        <v>No</v>
      </c>
    </row>
    <row r="988" spans="1:32" s="19" customFormat="1">
      <c r="A988" s="97" t="s">
        <v>2364</v>
      </c>
      <c r="B988" s="97" t="s">
        <v>888</v>
      </c>
      <c r="C988" s="95">
        <v>4439</v>
      </c>
      <c r="D988" s="95" t="s">
        <v>933</v>
      </c>
      <c r="E988" s="129">
        <f>VLOOKUP($C988,'2021-22 School Level AAFTE'!$C:$Z,11,FALSE)</f>
        <v>3.266666666666667E-2</v>
      </c>
      <c r="F988" s="129" t="str">
        <f>VLOOKUP($C988,'2021-22 School Level AAFTE'!$C:$Z,8,FALSE)</f>
        <v>No</v>
      </c>
      <c r="G988" s="129" t="str">
        <f>VLOOKUP($C988,'2021-22 School Level AAFTE'!$C:$Z,12,FALSE)</f>
        <v>No</v>
      </c>
      <c r="H988" s="127">
        <f>VLOOKUP($C988,'2021-22 School Level AAFTE'!$C:$I,7,FALSE)</f>
        <v>2250.1099999999997</v>
      </c>
      <c r="I988" s="112">
        <f>IFERROR(IF(OR(G988="yes",F988= "yes"),VLOOKUP(C988,Summary!$B:$J,6,0),0),0)</f>
        <v>0</v>
      </c>
      <c r="J988" s="111">
        <f t="shared" si="192"/>
        <v>0</v>
      </c>
      <c r="K988" s="91">
        <f>VLOOKUP($A988,'2022-23 Salary &amp; Benefits'!$A:$I,3,FALSE)</f>
        <v>1.18</v>
      </c>
      <c r="L988" s="91">
        <f>VLOOKUP($A988,'2022-23 Salary &amp; Benefits'!$A:$I,4,FALSE)</f>
        <v>1.18</v>
      </c>
      <c r="M988" s="101">
        <f t="shared" si="187"/>
        <v>0</v>
      </c>
      <c r="N988" s="24">
        <v>15</v>
      </c>
      <c r="O988" s="26">
        <f t="shared" si="190"/>
        <v>0</v>
      </c>
      <c r="P988" s="24">
        <v>1.1000000000000001</v>
      </c>
      <c r="Q988" s="24">
        <v>36</v>
      </c>
      <c r="R988" s="27">
        <f t="shared" si="191"/>
        <v>0</v>
      </c>
      <c r="S988" s="102">
        <f t="shared" si="193"/>
        <v>0</v>
      </c>
      <c r="T988" s="21">
        <f>VLOOKUP($A988,'2022-23 Salary &amp; Benefits'!$A:$I,5,FALSE)</f>
        <v>68937</v>
      </c>
      <c r="U988" s="21">
        <f>VLOOKUP($A988,'2022-23 Salary &amp; Benefits'!$A:$I,6,FALSE)</f>
        <v>72728</v>
      </c>
      <c r="V988" s="22">
        <f t="shared" si="194"/>
        <v>0</v>
      </c>
      <c r="W988" s="22">
        <f t="shared" si="195"/>
        <v>0</v>
      </c>
      <c r="X988" s="22">
        <f>'2022-23 Salary &amp; Benefits'!$G$6</f>
        <v>12558.24</v>
      </c>
      <c r="Y988" s="23">
        <f>'2022-23 Salary &amp; Benefits'!$H$6</f>
        <v>0.2298</v>
      </c>
      <c r="Z988" s="23">
        <f>'2022-23 Salary &amp; Benefits'!$I$6</f>
        <v>0.22339999999999999</v>
      </c>
      <c r="AA988" s="22">
        <f t="shared" si="196"/>
        <v>0</v>
      </c>
      <c r="AB988" s="22">
        <f t="shared" si="197"/>
        <v>0</v>
      </c>
      <c r="AC988" s="22">
        <f t="shared" si="198"/>
        <v>0</v>
      </c>
      <c r="AD988" s="22">
        <f t="shared" si="188"/>
        <v>0</v>
      </c>
      <c r="AE988" s="22">
        <f t="shared" si="189"/>
        <v>0</v>
      </c>
      <c r="AF988" s="19" t="str">
        <f>VLOOKUP(C988,'2021-22 School Level AAFTE'!C:N,12,FALSE)</f>
        <v>No</v>
      </c>
    </row>
    <row r="989" spans="1:32" s="19" customFormat="1">
      <c r="A989" s="97" t="s">
        <v>2364</v>
      </c>
      <c r="B989" s="97" t="s">
        <v>888</v>
      </c>
      <c r="C989" s="95">
        <v>4532</v>
      </c>
      <c r="D989" s="95" t="s">
        <v>934</v>
      </c>
      <c r="E989" s="129">
        <f>VLOOKUP($C989,'2021-22 School Level AAFTE'!$C:$Z,11,FALSE)</f>
        <v>1.5133333333333332E-2</v>
      </c>
      <c r="F989" s="129" t="str">
        <f>VLOOKUP($C989,'2021-22 School Level AAFTE'!$C:$Z,8,FALSE)</f>
        <v>No</v>
      </c>
      <c r="G989" s="129" t="str">
        <f>VLOOKUP($C989,'2021-22 School Level AAFTE'!$C:$Z,12,FALSE)</f>
        <v>No</v>
      </c>
      <c r="H989" s="127">
        <f>VLOOKUP($C989,'2021-22 School Level AAFTE'!$C:$I,7,FALSE)</f>
        <v>473.06</v>
      </c>
      <c r="I989" s="112">
        <f>IFERROR(IF(OR(G989="yes",F989= "yes"),VLOOKUP(C989,Summary!$B:$J,6,0),0),0)</f>
        <v>0</v>
      </c>
      <c r="J989" s="111">
        <f t="shared" si="192"/>
        <v>0</v>
      </c>
      <c r="K989" s="91">
        <f>VLOOKUP($A989,'2022-23 Salary &amp; Benefits'!$A:$I,3,FALSE)</f>
        <v>1.18</v>
      </c>
      <c r="L989" s="91">
        <f>VLOOKUP($A989,'2022-23 Salary &amp; Benefits'!$A:$I,4,FALSE)</f>
        <v>1.18</v>
      </c>
      <c r="M989" s="101">
        <f t="shared" si="187"/>
        <v>0</v>
      </c>
      <c r="N989" s="24">
        <v>15</v>
      </c>
      <c r="O989" s="26">
        <f t="shared" si="190"/>
        <v>0</v>
      </c>
      <c r="P989" s="24">
        <v>1.1000000000000001</v>
      </c>
      <c r="Q989" s="24">
        <v>36</v>
      </c>
      <c r="R989" s="27">
        <f t="shared" si="191"/>
        <v>0</v>
      </c>
      <c r="S989" s="102">
        <f t="shared" si="193"/>
        <v>0</v>
      </c>
      <c r="T989" s="21">
        <f>VLOOKUP($A989,'2022-23 Salary &amp; Benefits'!$A:$I,5,FALSE)</f>
        <v>68937</v>
      </c>
      <c r="U989" s="21">
        <f>VLOOKUP($A989,'2022-23 Salary &amp; Benefits'!$A:$I,6,FALSE)</f>
        <v>72728</v>
      </c>
      <c r="V989" s="22">
        <f t="shared" si="194"/>
        <v>0</v>
      </c>
      <c r="W989" s="22">
        <f t="shared" si="195"/>
        <v>0</v>
      </c>
      <c r="X989" s="22">
        <f>'2022-23 Salary &amp; Benefits'!$G$6</f>
        <v>12558.24</v>
      </c>
      <c r="Y989" s="23">
        <f>'2022-23 Salary &amp; Benefits'!$H$6</f>
        <v>0.2298</v>
      </c>
      <c r="Z989" s="23">
        <f>'2022-23 Salary &amp; Benefits'!$I$6</f>
        <v>0.22339999999999999</v>
      </c>
      <c r="AA989" s="22">
        <f t="shared" si="196"/>
        <v>0</v>
      </c>
      <c r="AB989" s="22">
        <f t="shared" si="197"/>
        <v>0</v>
      </c>
      <c r="AC989" s="22">
        <f t="shared" si="198"/>
        <v>0</v>
      </c>
      <c r="AD989" s="22">
        <f t="shared" si="188"/>
        <v>0</v>
      </c>
      <c r="AE989" s="22">
        <f t="shared" si="189"/>
        <v>0</v>
      </c>
      <c r="AF989" s="19" t="str">
        <f>VLOOKUP(C989,'2021-22 School Level AAFTE'!C:N,12,FALSE)</f>
        <v>No</v>
      </c>
    </row>
    <row r="990" spans="1:32" s="19" customFormat="1">
      <c r="A990" s="97" t="s">
        <v>2364</v>
      </c>
      <c r="B990" s="97" t="s">
        <v>888</v>
      </c>
      <c r="C990" s="95">
        <v>5053</v>
      </c>
      <c r="D990" s="95" t="s">
        <v>935</v>
      </c>
      <c r="E990" s="129">
        <f>VLOOKUP($C990,'2021-22 School Level AAFTE'!$C:$Z,11,FALSE)</f>
        <v>2.3533333333333333E-2</v>
      </c>
      <c r="F990" s="129" t="str">
        <f>VLOOKUP($C990,'2021-22 School Level AAFTE'!$C:$Z,8,FALSE)</f>
        <v>No</v>
      </c>
      <c r="G990" s="129" t="str">
        <f>VLOOKUP($C990,'2021-22 School Level AAFTE'!$C:$Z,12,FALSE)</f>
        <v>No</v>
      </c>
      <c r="H990" s="127">
        <f>VLOOKUP($C990,'2021-22 School Level AAFTE'!$C:$I,7,FALSE)</f>
        <v>540.98</v>
      </c>
      <c r="I990" s="112">
        <f>IFERROR(IF(OR(G990="yes",F990= "yes"),VLOOKUP(C990,Summary!$B:$J,6,0),0),0)</f>
        <v>0</v>
      </c>
      <c r="J990" s="111">
        <f t="shared" si="192"/>
        <v>0</v>
      </c>
      <c r="K990" s="91">
        <f>VLOOKUP($A990,'2022-23 Salary &amp; Benefits'!$A:$I,3,FALSE)</f>
        <v>1.18</v>
      </c>
      <c r="L990" s="91">
        <f>VLOOKUP($A990,'2022-23 Salary &amp; Benefits'!$A:$I,4,FALSE)</f>
        <v>1.18</v>
      </c>
      <c r="M990" s="101">
        <f t="shared" si="187"/>
        <v>0</v>
      </c>
      <c r="N990" s="24">
        <v>15</v>
      </c>
      <c r="O990" s="26">
        <f t="shared" si="190"/>
        <v>0</v>
      </c>
      <c r="P990" s="24">
        <v>1.1000000000000001</v>
      </c>
      <c r="Q990" s="24">
        <v>36</v>
      </c>
      <c r="R990" s="27">
        <f t="shared" si="191"/>
        <v>0</v>
      </c>
      <c r="S990" s="102">
        <f t="shared" si="193"/>
        <v>0</v>
      </c>
      <c r="T990" s="21">
        <f>VLOOKUP($A990,'2022-23 Salary &amp; Benefits'!$A:$I,5,FALSE)</f>
        <v>68937</v>
      </c>
      <c r="U990" s="21">
        <f>VLOOKUP($A990,'2022-23 Salary &amp; Benefits'!$A:$I,6,FALSE)</f>
        <v>72728</v>
      </c>
      <c r="V990" s="22">
        <f t="shared" si="194"/>
        <v>0</v>
      </c>
      <c r="W990" s="22">
        <f t="shared" si="195"/>
        <v>0</v>
      </c>
      <c r="X990" s="22">
        <f>'2022-23 Salary &amp; Benefits'!$G$6</f>
        <v>12558.24</v>
      </c>
      <c r="Y990" s="23">
        <f>'2022-23 Salary &amp; Benefits'!$H$6</f>
        <v>0.2298</v>
      </c>
      <c r="Z990" s="23">
        <f>'2022-23 Salary &amp; Benefits'!$I$6</f>
        <v>0.22339999999999999</v>
      </c>
      <c r="AA990" s="22">
        <f t="shared" si="196"/>
        <v>0</v>
      </c>
      <c r="AB990" s="22">
        <f t="shared" si="197"/>
        <v>0</v>
      </c>
      <c r="AC990" s="22">
        <f t="shared" si="198"/>
        <v>0</v>
      </c>
      <c r="AD990" s="22">
        <f t="shared" si="188"/>
        <v>0</v>
      </c>
      <c r="AE990" s="22">
        <f t="shared" si="189"/>
        <v>0</v>
      </c>
      <c r="AF990" s="19" t="str">
        <f>VLOOKUP(C990,'2021-22 School Level AAFTE'!C:N,12,FALSE)</f>
        <v>No</v>
      </c>
    </row>
    <row r="991" spans="1:32" s="19" customFormat="1">
      <c r="A991" s="97" t="s">
        <v>2364</v>
      </c>
      <c r="B991" s="97" t="s">
        <v>888</v>
      </c>
      <c r="C991" s="95">
        <v>5057</v>
      </c>
      <c r="D991" s="95" t="s">
        <v>936</v>
      </c>
      <c r="E991" s="129">
        <f>VLOOKUP($C991,'2021-22 School Level AAFTE'!$C:$Z,11,FALSE)</f>
        <v>6.1766666666666664E-2</v>
      </c>
      <c r="F991" s="129" t="str">
        <f>VLOOKUP($C991,'2021-22 School Level AAFTE'!$C:$Z,8,FALSE)</f>
        <v>No</v>
      </c>
      <c r="G991" s="129" t="str">
        <f>VLOOKUP($C991,'2021-22 School Level AAFTE'!$C:$Z,12,FALSE)</f>
        <v>No</v>
      </c>
      <c r="H991" s="127">
        <f>VLOOKUP($C991,'2021-22 School Level AAFTE'!$C:$I,7,FALSE)</f>
        <v>93.59</v>
      </c>
      <c r="I991" s="112">
        <f>IFERROR(IF(OR(G991="yes",F991= "yes"),VLOOKUP(C991,Summary!$B:$J,6,0),0),0)</f>
        <v>0</v>
      </c>
      <c r="J991" s="111">
        <f t="shared" si="192"/>
        <v>0</v>
      </c>
      <c r="K991" s="91">
        <f>VLOOKUP($A991,'2022-23 Salary &amp; Benefits'!$A:$I,3,FALSE)</f>
        <v>1.18</v>
      </c>
      <c r="L991" s="91">
        <f>VLOOKUP($A991,'2022-23 Salary &amp; Benefits'!$A:$I,4,FALSE)</f>
        <v>1.18</v>
      </c>
      <c r="M991" s="101">
        <f t="shared" si="187"/>
        <v>0</v>
      </c>
      <c r="N991" s="24">
        <v>15</v>
      </c>
      <c r="O991" s="26">
        <f t="shared" si="190"/>
        <v>0</v>
      </c>
      <c r="P991" s="24">
        <v>1.1000000000000001</v>
      </c>
      <c r="Q991" s="24">
        <v>36</v>
      </c>
      <c r="R991" s="27">
        <f t="shared" si="191"/>
        <v>0</v>
      </c>
      <c r="S991" s="102">
        <f t="shared" si="193"/>
        <v>0</v>
      </c>
      <c r="T991" s="21">
        <f>VLOOKUP($A991,'2022-23 Salary &amp; Benefits'!$A:$I,5,FALSE)</f>
        <v>68937</v>
      </c>
      <c r="U991" s="21">
        <f>VLOOKUP($A991,'2022-23 Salary &amp; Benefits'!$A:$I,6,FALSE)</f>
        <v>72728</v>
      </c>
      <c r="V991" s="22">
        <f t="shared" si="194"/>
        <v>0</v>
      </c>
      <c r="W991" s="22">
        <f t="shared" si="195"/>
        <v>0</v>
      </c>
      <c r="X991" s="22">
        <f>'2022-23 Salary &amp; Benefits'!$G$6</f>
        <v>12558.24</v>
      </c>
      <c r="Y991" s="23">
        <f>'2022-23 Salary &amp; Benefits'!$H$6</f>
        <v>0.2298</v>
      </c>
      <c r="Z991" s="23">
        <f>'2022-23 Salary &amp; Benefits'!$I$6</f>
        <v>0.22339999999999999</v>
      </c>
      <c r="AA991" s="22">
        <f t="shared" si="196"/>
        <v>0</v>
      </c>
      <c r="AB991" s="22">
        <f t="shared" si="197"/>
        <v>0</v>
      </c>
      <c r="AC991" s="22">
        <f t="shared" si="198"/>
        <v>0</v>
      </c>
      <c r="AD991" s="22">
        <f t="shared" si="188"/>
        <v>0</v>
      </c>
      <c r="AE991" s="22">
        <f t="shared" si="189"/>
        <v>0</v>
      </c>
      <c r="AF991" s="19" t="str">
        <f>VLOOKUP(C991,'2021-22 School Level AAFTE'!C:N,12,FALSE)</f>
        <v>No</v>
      </c>
    </row>
    <row r="992" spans="1:32" s="19" customFormat="1">
      <c r="A992" s="97" t="s">
        <v>2364</v>
      </c>
      <c r="B992" s="97" t="s">
        <v>888</v>
      </c>
      <c r="C992" s="95">
        <v>5139</v>
      </c>
      <c r="D992" s="95" t="s">
        <v>937</v>
      </c>
      <c r="E992" s="129">
        <f>VLOOKUP($C992,'2021-22 School Level AAFTE'!$C:$Z,11,FALSE)</f>
        <v>2.0933333333333332E-2</v>
      </c>
      <c r="F992" s="129" t="str">
        <f>VLOOKUP($C992,'2021-22 School Level AAFTE'!$C:$Z,8,FALSE)</f>
        <v>No</v>
      </c>
      <c r="G992" s="129" t="str">
        <f>VLOOKUP($C992,'2021-22 School Level AAFTE'!$C:$Z,12,FALSE)</f>
        <v>No</v>
      </c>
      <c r="H992" s="127">
        <f>VLOOKUP($C992,'2021-22 School Level AAFTE'!$C:$I,7,FALSE)</f>
        <v>449.36</v>
      </c>
      <c r="I992" s="112">
        <f>IFERROR(IF(OR(G992="yes",F992= "yes"),VLOOKUP(C992,Summary!$B:$J,6,0),0),0)</f>
        <v>0</v>
      </c>
      <c r="J992" s="111">
        <f t="shared" si="192"/>
        <v>0</v>
      </c>
      <c r="K992" s="91">
        <f>VLOOKUP($A992,'2022-23 Salary &amp; Benefits'!$A:$I,3,FALSE)</f>
        <v>1.18</v>
      </c>
      <c r="L992" s="91">
        <f>VLOOKUP($A992,'2022-23 Salary &amp; Benefits'!$A:$I,4,FALSE)</f>
        <v>1.18</v>
      </c>
      <c r="M992" s="39">
        <f t="shared" si="187"/>
        <v>0</v>
      </c>
      <c r="N992" s="24">
        <v>15</v>
      </c>
      <c r="O992" s="26">
        <f t="shared" si="190"/>
        <v>0</v>
      </c>
      <c r="P992" s="24">
        <v>1.1000000000000001</v>
      </c>
      <c r="Q992" s="24">
        <v>36</v>
      </c>
      <c r="R992" s="27">
        <f t="shared" si="191"/>
        <v>0</v>
      </c>
      <c r="S992" s="102">
        <f t="shared" si="193"/>
        <v>0</v>
      </c>
      <c r="T992" s="21">
        <f>VLOOKUP($A992,'2022-23 Salary &amp; Benefits'!$A:$I,5,FALSE)</f>
        <v>68937</v>
      </c>
      <c r="U992" s="21">
        <f>VLOOKUP($A992,'2022-23 Salary &amp; Benefits'!$A:$I,6,FALSE)</f>
        <v>72728</v>
      </c>
      <c r="V992" s="22">
        <f t="shared" si="194"/>
        <v>0</v>
      </c>
      <c r="W992" s="22">
        <f t="shared" si="195"/>
        <v>0</v>
      </c>
      <c r="X992" s="22">
        <f>'2022-23 Salary &amp; Benefits'!$G$6</f>
        <v>12558.24</v>
      </c>
      <c r="Y992" s="23">
        <f>'2022-23 Salary &amp; Benefits'!$H$6</f>
        <v>0.2298</v>
      </c>
      <c r="Z992" s="23">
        <f>'2022-23 Salary &amp; Benefits'!$I$6</f>
        <v>0.22339999999999999</v>
      </c>
      <c r="AA992" s="22">
        <f t="shared" si="196"/>
        <v>0</v>
      </c>
      <c r="AB992" s="22">
        <f t="shared" si="197"/>
        <v>0</v>
      </c>
      <c r="AC992" s="22">
        <f t="shared" si="198"/>
        <v>0</v>
      </c>
      <c r="AD992" s="22">
        <f t="shared" si="188"/>
        <v>0</v>
      </c>
      <c r="AE992" s="22">
        <f t="shared" si="189"/>
        <v>0</v>
      </c>
      <c r="AF992" s="19" t="str">
        <f>VLOOKUP(C992,'2021-22 School Level AAFTE'!C:N,12,FALSE)</f>
        <v>No</v>
      </c>
    </row>
    <row r="993" spans="1:32" s="19" customFormat="1">
      <c r="A993" s="97" t="s">
        <v>2364</v>
      </c>
      <c r="B993" s="97" t="s">
        <v>888</v>
      </c>
      <c r="C993" s="95">
        <v>5265</v>
      </c>
      <c r="D993" s="95" t="s">
        <v>938</v>
      </c>
      <c r="E993" s="129">
        <f>VLOOKUP($C993,'2021-22 School Level AAFTE'!$C:$Z,11,FALSE)</f>
        <v>1.8133333333333335E-2</v>
      </c>
      <c r="F993" s="129" t="str">
        <f>VLOOKUP($C993,'2021-22 School Level AAFTE'!$C:$Z,8,FALSE)</f>
        <v>No</v>
      </c>
      <c r="G993" s="129" t="str">
        <f>VLOOKUP($C993,'2021-22 School Level AAFTE'!$C:$Z,12,FALSE)</f>
        <v>No</v>
      </c>
      <c r="H993" s="127">
        <f>VLOOKUP($C993,'2021-22 School Level AAFTE'!$C:$I,7,FALSE)</f>
        <v>606.73</v>
      </c>
      <c r="I993" s="112">
        <f>IFERROR(IF(OR(G993="yes",F993= "yes"),VLOOKUP(C993,Summary!$B:$J,6,0),0),0)</f>
        <v>0</v>
      </c>
      <c r="J993" s="111">
        <f t="shared" si="192"/>
        <v>0</v>
      </c>
      <c r="K993" s="91">
        <f>VLOOKUP($A993,'2022-23 Salary &amp; Benefits'!$A:$I,3,FALSE)</f>
        <v>1.18</v>
      </c>
      <c r="L993" s="91">
        <f>VLOOKUP($A993,'2022-23 Salary &amp; Benefits'!$A:$I,4,FALSE)</f>
        <v>1.18</v>
      </c>
      <c r="M993" s="101">
        <f t="shared" si="187"/>
        <v>0</v>
      </c>
      <c r="N993" s="24">
        <v>15</v>
      </c>
      <c r="O993" s="26">
        <f t="shared" si="190"/>
        <v>0</v>
      </c>
      <c r="P993" s="24">
        <v>1.1000000000000001</v>
      </c>
      <c r="Q993" s="24">
        <v>36</v>
      </c>
      <c r="R993" s="27">
        <f t="shared" si="191"/>
        <v>0</v>
      </c>
      <c r="S993" s="102">
        <f t="shared" si="193"/>
        <v>0</v>
      </c>
      <c r="T993" s="21">
        <f>VLOOKUP($A993,'2022-23 Salary &amp; Benefits'!$A:$I,5,FALSE)</f>
        <v>68937</v>
      </c>
      <c r="U993" s="21">
        <f>VLOOKUP($A993,'2022-23 Salary &amp; Benefits'!$A:$I,6,FALSE)</f>
        <v>72728</v>
      </c>
      <c r="V993" s="22">
        <f t="shared" si="194"/>
        <v>0</v>
      </c>
      <c r="W993" s="22">
        <f t="shared" si="195"/>
        <v>0</v>
      </c>
      <c r="X993" s="22">
        <f>'2022-23 Salary &amp; Benefits'!$G$6</f>
        <v>12558.24</v>
      </c>
      <c r="Y993" s="23">
        <f>'2022-23 Salary &amp; Benefits'!$H$6</f>
        <v>0.2298</v>
      </c>
      <c r="Z993" s="23">
        <f>'2022-23 Salary &amp; Benefits'!$I$6</f>
        <v>0.22339999999999999</v>
      </c>
      <c r="AA993" s="22">
        <f t="shared" si="196"/>
        <v>0</v>
      </c>
      <c r="AB993" s="22">
        <f t="shared" si="197"/>
        <v>0</v>
      </c>
      <c r="AC993" s="22">
        <f t="shared" si="198"/>
        <v>0</v>
      </c>
      <c r="AD993" s="22">
        <f t="shared" si="188"/>
        <v>0</v>
      </c>
      <c r="AE993" s="22">
        <f t="shared" si="189"/>
        <v>0</v>
      </c>
      <c r="AF993" s="19" t="str">
        <f>VLOOKUP(C993,'2021-22 School Level AAFTE'!C:N,12,FALSE)</f>
        <v>No</v>
      </c>
    </row>
    <row r="994" spans="1:32" s="19" customFormat="1">
      <c r="A994" s="97" t="s">
        <v>2364</v>
      </c>
      <c r="B994" s="97" t="s">
        <v>888</v>
      </c>
      <c r="C994" s="95">
        <v>5511</v>
      </c>
      <c r="D994" s="95" t="s">
        <v>2805</v>
      </c>
      <c r="E994" s="129">
        <f>VLOOKUP($C994,'2021-22 School Level AAFTE'!$C:$Z,11,FALSE)</f>
        <v>0.14229999999999998</v>
      </c>
      <c r="F994" s="129" t="str">
        <f>VLOOKUP($C994,'2021-22 School Level AAFTE'!$C:$Z,8,FALSE)</f>
        <v>No</v>
      </c>
      <c r="G994" s="129" t="str">
        <f>VLOOKUP($C994,'2021-22 School Level AAFTE'!$C:$Z,12,FALSE)</f>
        <v>No</v>
      </c>
      <c r="H994" s="127">
        <f>VLOOKUP($C994,'2021-22 School Level AAFTE'!$C:$I,7,FALSE)</f>
        <v>515.94000000000005</v>
      </c>
      <c r="I994" s="112">
        <f>IFERROR(IF(OR(G994="yes",F994= "yes"),VLOOKUP(C994,Summary!$B:$J,6,0),0),0)</f>
        <v>0</v>
      </c>
      <c r="J994" s="111">
        <f t="shared" si="192"/>
        <v>0</v>
      </c>
      <c r="K994" s="91">
        <f>VLOOKUP($A994,'2022-23 Salary &amp; Benefits'!$A:$I,3,FALSE)</f>
        <v>1.18</v>
      </c>
      <c r="L994" s="91">
        <f>VLOOKUP($A994,'2022-23 Salary &amp; Benefits'!$A:$I,4,FALSE)</f>
        <v>1.18</v>
      </c>
      <c r="M994" s="101">
        <f t="shared" si="187"/>
        <v>0</v>
      </c>
      <c r="N994" s="24">
        <v>15</v>
      </c>
      <c r="O994" s="26">
        <f t="shared" si="190"/>
        <v>0</v>
      </c>
      <c r="P994" s="24">
        <v>1.1000000000000001</v>
      </c>
      <c r="Q994" s="24">
        <v>36</v>
      </c>
      <c r="R994" s="27">
        <f t="shared" si="191"/>
        <v>0</v>
      </c>
      <c r="S994" s="102">
        <f t="shared" si="193"/>
        <v>0</v>
      </c>
      <c r="T994" s="21">
        <f>VLOOKUP($A994,'2022-23 Salary &amp; Benefits'!$A:$I,5,FALSE)</f>
        <v>68937</v>
      </c>
      <c r="U994" s="21">
        <f>VLOOKUP($A994,'2022-23 Salary &amp; Benefits'!$A:$I,6,FALSE)</f>
        <v>72728</v>
      </c>
      <c r="V994" s="22">
        <f t="shared" si="194"/>
        <v>0</v>
      </c>
      <c r="W994" s="22">
        <f t="shared" si="195"/>
        <v>0</v>
      </c>
      <c r="X994" s="22">
        <f>'2022-23 Salary &amp; Benefits'!$G$6</f>
        <v>12558.24</v>
      </c>
      <c r="Y994" s="23">
        <f>'2022-23 Salary &amp; Benefits'!$H$6</f>
        <v>0.2298</v>
      </c>
      <c r="Z994" s="23">
        <f>'2022-23 Salary &amp; Benefits'!$I$6</f>
        <v>0.22339999999999999</v>
      </c>
      <c r="AA994" s="22">
        <f t="shared" si="196"/>
        <v>0</v>
      </c>
      <c r="AB994" s="22">
        <f t="shared" si="197"/>
        <v>0</v>
      </c>
      <c r="AC994" s="22">
        <f t="shared" si="198"/>
        <v>0</v>
      </c>
      <c r="AD994" s="22">
        <f t="shared" si="188"/>
        <v>0</v>
      </c>
      <c r="AE994" s="22">
        <f t="shared" si="189"/>
        <v>0</v>
      </c>
      <c r="AF994" s="19" t="str">
        <f>VLOOKUP(C994,'2021-22 School Level AAFTE'!C:N,12,FALSE)</f>
        <v>No</v>
      </c>
    </row>
    <row r="995" spans="1:32" s="19" customFormat="1">
      <c r="A995" s="97" t="s">
        <v>2364</v>
      </c>
      <c r="B995" s="97" t="s">
        <v>888</v>
      </c>
      <c r="C995" s="95">
        <v>5512</v>
      </c>
      <c r="D995" s="95" t="s">
        <v>2806</v>
      </c>
      <c r="E995" s="129">
        <f>VLOOKUP($C995,'2021-22 School Level AAFTE'!$C:$Z,11,FALSE)</f>
        <v>0.11509999999999999</v>
      </c>
      <c r="F995" s="129" t="str">
        <f>VLOOKUP($C995,'2021-22 School Level AAFTE'!$C:$Z,8,FALSE)</f>
        <v>No</v>
      </c>
      <c r="G995" s="129" t="str">
        <f>VLOOKUP($C995,'2021-22 School Level AAFTE'!$C:$Z,12,FALSE)</f>
        <v>No</v>
      </c>
      <c r="H995" s="127">
        <f>VLOOKUP($C995,'2021-22 School Level AAFTE'!$C:$I,7,FALSE)</f>
        <v>468.29</v>
      </c>
      <c r="I995" s="112">
        <f>IFERROR(IF(OR(G995="yes",F995= "yes"),VLOOKUP(C995,Summary!$B:$J,6,0),0),0)</f>
        <v>0</v>
      </c>
      <c r="J995" s="111">
        <f t="shared" si="192"/>
        <v>0</v>
      </c>
      <c r="K995" s="91">
        <f>VLOOKUP($A995,'2022-23 Salary &amp; Benefits'!$A:$I,3,FALSE)</f>
        <v>1.18</v>
      </c>
      <c r="L995" s="91">
        <f>VLOOKUP($A995,'2022-23 Salary &amp; Benefits'!$A:$I,4,FALSE)</f>
        <v>1.18</v>
      </c>
      <c r="M995" s="101">
        <f t="shared" si="187"/>
        <v>0</v>
      </c>
      <c r="N995" s="24">
        <v>15</v>
      </c>
      <c r="O995" s="26">
        <f t="shared" si="190"/>
        <v>0</v>
      </c>
      <c r="P995" s="24">
        <v>1.1000000000000001</v>
      </c>
      <c r="Q995" s="24">
        <v>36</v>
      </c>
      <c r="R995" s="27">
        <f t="shared" si="191"/>
        <v>0</v>
      </c>
      <c r="S995" s="102">
        <f t="shared" si="193"/>
        <v>0</v>
      </c>
      <c r="T995" s="21">
        <f>VLOOKUP($A995,'2022-23 Salary &amp; Benefits'!$A:$I,5,FALSE)</f>
        <v>68937</v>
      </c>
      <c r="U995" s="21">
        <f>VLOOKUP($A995,'2022-23 Salary &amp; Benefits'!$A:$I,6,FALSE)</f>
        <v>72728</v>
      </c>
      <c r="V995" s="22">
        <f t="shared" si="194"/>
        <v>0</v>
      </c>
      <c r="W995" s="22">
        <f t="shared" si="195"/>
        <v>0</v>
      </c>
      <c r="X995" s="22">
        <f>'2022-23 Salary &amp; Benefits'!$G$6</f>
        <v>12558.24</v>
      </c>
      <c r="Y995" s="23">
        <f>'2022-23 Salary &amp; Benefits'!$H$6</f>
        <v>0.2298</v>
      </c>
      <c r="Z995" s="23">
        <f>'2022-23 Salary &amp; Benefits'!$I$6</f>
        <v>0.22339999999999999</v>
      </c>
      <c r="AA995" s="22">
        <f t="shared" si="196"/>
        <v>0</v>
      </c>
      <c r="AB995" s="22">
        <f t="shared" si="197"/>
        <v>0</v>
      </c>
      <c r="AC995" s="22">
        <f t="shared" si="198"/>
        <v>0</v>
      </c>
      <c r="AD995" s="22">
        <f t="shared" si="188"/>
        <v>0</v>
      </c>
      <c r="AE995" s="22">
        <f t="shared" si="189"/>
        <v>0</v>
      </c>
      <c r="AF995" s="19" t="str">
        <f>VLOOKUP(C995,'2021-22 School Level AAFTE'!C:N,12,FALSE)</f>
        <v>No</v>
      </c>
    </row>
    <row r="996" spans="1:32" s="19" customFormat="1">
      <c r="A996" s="97" t="s">
        <v>2364</v>
      </c>
      <c r="B996" s="97" t="s">
        <v>888</v>
      </c>
      <c r="C996" s="95">
        <v>5597</v>
      </c>
      <c r="D996" s="95" t="s">
        <v>2828</v>
      </c>
      <c r="E996" s="129">
        <f>VLOOKUP($C996,'2021-22 School Level AAFTE'!$C:$Z,11,FALSE)</f>
        <v>7.3666666666666672E-2</v>
      </c>
      <c r="F996" s="129" t="str">
        <f>VLOOKUP($C996,'2021-22 School Level AAFTE'!$C:$Z,8,FALSE)</f>
        <v>No</v>
      </c>
      <c r="G996" s="129" t="str">
        <f>VLOOKUP($C996,'2021-22 School Level AAFTE'!$C:$Z,12,FALSE)</f>
        <v>No</v>
      </c>
      <c r="H996" s="127">
        <f>VLOOKUP($C996,'2021-22 School Level AAFTE'!$C:$I,7,FALSE)</f>
        <v>776.17</v>
      </c>
      <c r="I996" s="112">
        <f>IFERROR(IF(OR(G996="yes",F996= "yes"),VLOOKUP(C996,Summary!$B:$J,6,0),0),0)</f>
        <v>0</v>
      </c>
      <c r="J996" s="111">
        <f t="shared" si="192"/>
        <v>0</v>
      </c>
      <c r="K996" s="91">
        <f>VLOOKUP($A996,'2022-23 Salary &amp; Benefits'!$A:$I,3,FALSE)</f>
        <v>1.18</v>
      </c>
      <c r="L996" s="91">
        <f>VLOOKUP($A996,'2022-23 Salary &amp; Benefits'!$A:$I,4,FALSE)</f>
        <v>1.18</v>
      </c>
      <c r="M996" s="39">
        <f t="shared" si="187"/>
        <v>0</v>
      </c>
      <c r="N996" s="24">
        <v>15</v>
      </c>
      <c r="O996" s="26">
        <f t="shared" si="190"/>
        <v>0</v>
      </c>
      <c r="P996" s="24">
        <v>1.1000000000000001</v>
      </c>
      <c r="Q996" s="24">
        <v>36</v>
      </c>
      <c r="R996" s="27">
        <f t="shared" si="191"/>
        <v>0</v>
      </c>
      <c r="S996" s="102">
        <f t="shared" si="193"/>
        <v>0</v>
      </c>
      <c r="T996" s="21">
        <f>VLOOKUP($A996,'2022-23 Salary &amp; Benefits'!$A:$I,5,FALSE)</f>
        <v>68937</v>
      </c>
      <c r="U996" s="21">
        <f>VLOOKUP($A996,'2022-23 Salary &amp; Benefits'!$A:$I,6,FALSE)</f>
        <v>72728</v>
      </c>
      <c r="V996" s="22">
        <f t="shared" si="194"/>
        <v>0</v>
      </c>
      <c r="W996" s="22">
        <f t="shared" si="195"/>
        <v>0</v>
      </c>
      <c r="X996" s="22">
        <f>'2022-23 Salary &amp; Benefits'!$G$6</f>
        <v>12558.24</v>
      </c>
      <c r="Y996" s="23">
        <f>'2022-23 Salary &amp; Benefits'!$H$6</f>
        <v>0.2298</v>
      </c>
      <c r="Z996" s="23">
        <f>'2022-23 Salary &amp; Benefits'!$I$6</f>
        <v>0.22339999999999999</v>
      </c>
      <c r="AA996" s="22">
        <f t="shared" si="196"/>
        <v>0</v>
      </c>
      <c r="AB996" s="22">
        <f t="shared" si="197"/>
        <v>0</v>
      </c>
      <c r="AC996" s="22">
        <f t="shared" si="198"/>
        <v>0</v>
      </c>
      <c r="AD996" s="22">
        <f t="shared" si="188"/>
        <v>0</v>
      </c>
      <c r="AE996" s="22">
        <f t="shared" si="189"/>
        <v>0</v>
      </c>
      <c r="AF996" s="19" t="str">
        <f>VLOOKUP(C996,'2021-22 School Level AAFTE'!C:N,12,FALSE)</f>
        <v>No</v>
      </c>
    </row>
    <row r="997" spans="1:32" s="19" customFormat="1">
      <c r="A997" s="97" t="s">
        <v>2364</v>
      </c>
      <c r="B997" s="97" t="s">
        <v>888</v>
      </c>
      <c r="C997" s="95">
        <v>5678</v>
      </c>
      <c r="D997" s="95" t="s">
        <v>3024</v>
      </c>
      <c r="E997" s="129">
        <f>VLOOKUP($C997,'2021-22 School Level AAFTE'!$C:$Z,11,FALSE)</f>
        <v>7.2099999999999997E-2</v>
      </c>
      <c r="F997" s="129" t="str">
        <f>VLOOKUP($C997,'2021-22 School Level AAFTE'!$C:$Z,8,FALSE)</f>
        <v>No</v>
      </c>
      <c r="G997" s="129" t="str">
        <f>VLOOKUP($C997,'2021-22 School Level AAFTE'!$C:$Z,12,FALSE)</f>
        <v>No</v>
      </c>
      <c r="H997" s="127">
        <f>VLOOKUP($C997,'2021-22 School Level AAFTE'!$C:$I,7,FALSE)</f>
        <v>1104.47</v>
      </c>
      <c r="I997" s="112">
        <f>IFERROR(IF(OR(G997="yes",F997= "yes"),VLOOKUP(C997,Summary!$B:$J,6,0),0),0)</f>
        <v>0</v>
      </c>
      <c r="J997" s="111">
        <f t="shared" si="192"/>
        <v>0</v>
      </c>
      <c r="K997" s="91">
        <f>VLOOKUP($A997,'2022-23 Salary &amp; Benefits'!$A:$I,3,FALSE)</f>
        <v>1.18</v>
      </c>
      <c r="L997" s="91">
        <f>VLOOKUP($A997,'2022-23 Salary &amp; Benefits'!$A:$I,4,FALSE)</f>
        <v>1.18</v>
      </c>
      <c r="M997" s="101">
        <f t="shared" ref="M997:M1055" si="199">IF(I997&gt;0,I997,J997)</f>
        <v>0</v>
      </c>
      <c r="N997" s="24">
        <v>15</v>
      </c>
      <c r="O997" s="26">
        <f t="shared" si="190"/>
        <v>0</v>
      </c>
      <c r="P997" s="24">
        <v>1.1000000000000001</v>
      </c>
      <c r="Q997" s="24">
        <v>36</v>
      </c>
      <c r="R997" s="27">
        <f t="shared" si="191"/>
        <v>0</v>
      </c>
      <c r="S997" s="102">
        <f t="shared" si="193"/>
        <v>0</v>
      </c>
      <c r="T997" s="21">
        <f>VLOOKUP($A997,'2022-23 Salary &amp; Benefits'!$A:$I,5,FALSE)</f>
        <v>68937</v>
      </c>
      <c r="U997" s="21">
        <f>VLOOKUP($A997,'2022-23 Salary &amp; Benefits'!$A:$I,6,FALSE)</f>
        <v>72728</v>
      </c>
      <c r="V997" s="22">
        <f t="shared" si="194"/>
        <v>0</v>
      </c>
      <c r="W997" s="22">
        <f t="shared" si="195"/>
        <v>0</v>
      </c>
      <c r="X997" s="22">
        <f>'2022-23 Salary &amp; Benefits'!$G$6</f>
        <v>12558.24</v>
      </c>
      <c r="Y997" s="23">
        <f>'2022-23 Salary &amp; Benefits'!$H$6</f>
        <v>0.2298</v>
      </c>
      <c r="Z997" s="23">
        <f>'2022-23 Salary &amp; Benefits'!$I$6</f>
        <v>0.22339999999999999</v>
      </c>
      <c r="AA997" s="22">
        <f t="shared" si="196"/>
        <v>0</v>
      </c>
      <c r="AB997" s="22">
        <f t="shared" si="197"/>
        <v>0</v>
      </c>
      <c r="AC997" s="22">
        <f t="shared" si="198"/>
        <v>0</v>
      </c>
      <c r="AD997" s="22">
        <f t="shared" ref="AD997:AD1055" si="200">SUM(AB997:AC997)</f>
        <v>0</v>
      </c>
      <c r="AE997" s="22">
        <f t="shared" ref="AE997:AE1055" si="201">SUM(AA997,V997:W997,AD997)</f>
        <v>0</v>
      </c>
      <c r="AF997" s="19" t="str">
        <f>VLOOKUP(C997,'2021-22 School Level AAFTE'!C:N,12,FALSE)</f>
        <v>No</v>
      </c>
    </row>
    <row r="998" spans="1:32" s="19" customFormat="1">
      <c r="A998" s="97" t="s">
        <v>2364</v>
      </c>
      <c r="B998" s="97" t="s">
        <v>888</v>
      </c>
      <c r="C998" s="95">
        <v>5958</v>
      </c>
      <c r="D998" s="95" t="s">
        <v>2722</v>
      </c>
      <c r="E998" s="129">
        <f>VLOOKUP($C998,'2021-22 School Level AAFTE'!$C:$Z,11,FALSE)</f>
        <v>6.133333333333333E-2</v>
      </c>
      <c r="F998" s="129" t="str">
        <f>VLOOKUP($C998,'2021-22 School Level AAFTE'!$C:$Z,8,FALSE)</f>
        <v>No</v>
      </c>
      <c r="G998" s="129" t="str">
        <f>VLOOKUP($C998,'2021-22 School Level AAFTE'!$C:$Z,12,FALSE)</f>
        <v>No</v>
      </c>
      <c r="H998" s="127">
        <f>VLOOKUP($C998,'2021-22 School Level AAFTE'!$C:$I,7,FALSE)</f>
        <v>311.39999999999998</v>
      </c>
      <c r="I998" s="112">
        <f>IFERROR(IF(OR(G998="yes",F998= "yes"),VLOOKUP(C998,Summary!$B:$J,6,0),0),0)</f>
        <v>0</v>
      </c>
      <c r="J998" s="111">
        <f t="shared" si="192"/>
        <v>0</v>
      </c>
      <c r="K998" s="91">
        <f>VLOOKUP($A998,'2022-23 Salary &amp; Benefits'!$A:$I,3,FALSE)</f>
        <v>1.18</v>
      </c>
      <c r="L998" s="91">
        <f>VLOOKUP($A998,'2022-23 Salary &amp; Benefits'!$A:$I,4,FALSE)</f>
        <v>1.18</v>
      </c>
      <c r="M998" s="101">
        <f t="shared" si="199"/>
        <v>0</v>
      </c>
      <c r="N998" s="24">
        <v>15</v>
      </c>
      <c r="O998" s="26">
        <f t="shared" si="190"/>
        <v>0</v>
      </c>
      <c r="P998" s="24">
        <v>1.1000000000000001</v>
      </c>
      <c r="Q998" s="24">
        <v>36</v>
      </c>
      <c r="R998" s="27">
        <f t="shared" si="191"/>
        <v>0</v>
      </c>
      <c r="S998" s="102">
        <f t="shared" si="193"/>
        <v>0</v>
      </c>
      <c r="T998" s="21">
        <f>VLOOKUP($A998,'2022-23 Salary &amp; Benefits'!$A:$I,5,FALSE)</f>
        <v>68937</v>
      </c>
      <c r="U998" s="21">
        <f>VLOOKUP($A998,'2022-23 Salary &amp; Benefits'!$A:$I,6,FALSE)</f>
        <v>72728</v>
      </c>
      <c r="V998" s="22">
        <f t="shared" si="194"/>
        <v>0</v>
      </c>
      <c r="W998" s="22">
        <f t="shared" si="195"/>
        <v>0</v>
      </c>
      <c r="X998" s="22">
        <f>'2022-23 Salary &amp; Benefits'!$G$6</f>
        <v>12558.24</v>
      </c>
      <c r="Y998" s="23">
        <f>'2022-23 Salary &amp; Benefits'!$H$6</f>
        <v>0.2298</v>
      </c>
      <c r="Z998" s="23">
        <f>'2022-23 Salary &amp; Benefits'!$I$6</f>
        <v>0.22339999999999999</v>
      </c>
      <c r="AA998" s="22">
        <f t="shared" si="196"/>
        <v>0</v>
      </c>
      <c r="AB998" s="22">
        <f t="shared" si="197"/>
        <v>0</v>
      </c>
      <c r="AC998" s="22">
        <f t="shared" si="198"/>
        <v>0</v>
      </c>
      <c r="AD998" s="22">
        <f t="shared" si="200"/>
        <v>0</v>
      </c>
      <c r="AE998" s="22">
        <f t="shared" si="201"/>
        <v>0</v>
      </c>
      <c r="AF998" s="19" t="str">
        <f>VLOOKUP(C998,'2021-22 School Level AAFTE'!C:N,12,FALSE)</f>
        <v>No</v>
      </c>
    </row>
    <row r="999" spans="1:32" s="19" customFormat="1">
      <c r="A999" s="97" t="s">
        <v>2481</v>
      </c>
      <c r="B999" s="97" t="s">
        <v>1740</v>
      </c>
      <c r="C999" s="95">
        <v>3255</v>
      </c>
      <c r="D999" s="95" t="s">
        <v>1741</v>
      </c>
      <c r="E999" s="129">
        <f>VLOOKUP($C999,'2021-22 School Level AAFTE'!$C:$Z,11,FALSE)</f>
        <v>0.45460000000000006</v>
      </c>
      <c r="F999" s="129" t="str">
        <f>VLOOKUP($C999,'2021-22 School Level AAFTE'!$C:$Z,8,FALSE)</f>
        <v>No</v>
      </c>
      <c r="G999" s="129" t="str">
        <f>VLOOKUP($C999,'2021-22 School Level AAFTE'!$C:$Z,12,FALSE)</f>
        <v>No</v>
      </c>
      <c r="H999" s="127">
        <f>VLOOKUP($C999,'2021-22 School Level AAFTE'!$C:$I,7,FALSE)</f>
        <v>426.69</v>
      </c>
      <c r="I999" s="112">
        <f>IFERROR(IF(OR(G999="yes",F999= "yes"),VLOOKUP(C999,Summary!$B:$J,6,0),0),0)</f>
        <v>0</v>
      </c>
      <c r="J999" s="111">
        <f t="shared" si="192"/>
        <v>0</v>
      </c>
      <c r="K999" s="91">
        <f>VLOOKUP($A999,'2022-23 Salary &amp; Benefits'!$A:$I,3,FALSE)</f>
        <v>1.1499999999999999</v>
      </c>
      <c r="L999" s="91">
        <f>VLOOKUP($A999,'2022-23 Salary &amp; Benefits'!$A:$I,4,FALSE)</f>
        <v>1.1499999999999999</v>
      </c>
      <c r="M999" s="39">
        <f t="shared" si="199"/>
        <v>0</v>
      </c>
      <c r="N999" s="24">
        <v>15</v>
      </c>
      <c r="O999" s="26">
        <f t="shared" si="190"/>
        <v>0</v>
      </c>
      <c r="P999" s="24">
        <v>1.1000000000000001</v>
      </c>
      <c r="Q999" s="24">
        <v>36</v>
      </c>
      <c r="R999" s="27">
        <f t="shared" si="191"/>
        <v>0</v>
      </c>
      <c r="S999" s="102">
        <f t="shared" si="193"/>
        <v>0</v>
      </c>
      <c r="T999" s="21">
        <f>VLOOKUP($A999,'2022-23 Salary &amp; Benefits'!$A:$I,5,FALSE)</f>
        <v>68937</v>
      </c>
      <c r="U999" s="21">
        <f>VLOOKUP($A999,'2022-23 Salary &amp; Benefits'!$A:$I,6,FALSE)</f>
        <v>72728</v>
      </c>
      <c r="V999" s="22">
        <f t="shared" si="194"/>
        <v>0</v>
      </c>
      <c r="W999" s="22">
        <f t="shared" si="195"/>
        <v>0</v>
      </c>
      <c r="X999" s="22">
        <f>'2022-23 Salary &amp; Benefits'!$G$6</f>
        <v>12558.24</v>
      </c>
      <c r="Y999" s="23">
        <f>'2022-23 Salary &amp; Benefits'!$H$6</f>
        <v>0.2298</v>
      </c>
      <c r="Z999" s="23">
        <f>'2022-23 Salary &amp; Benefits'!$I$6</f>
        <v>0.22339999999999999</v>
      </c>
      <c r="AA999" s="22">
        <f t="shared" si="196"/>
        <v>0</v>
      </c>
      <c r="AB999" s="22">
        <f t="shared" si="197"/>
        <v>0</v>
      </c>
      <c r="AC999" s="22">
        <f t="shared" si="198"/>
        <v>0</v>
      </c>
      <c r="AD999" s="22">
        <f t="shared" si="200"/>
        <v>0</v>
      </c>
      <c r="AE999" s="22">
        <f t="shared" si="201"/>
        <v>0</v>
      </c>
      <c r="AF999" s="19" t="str">
        <f>VLOOKUP(C999,'2021-22 School Level AAFTE'!C:N,12,FALSE)</f>
        <v>No</v>
      </c>
    </row>
    <row r="1000" spans="1:32" s="19" customFormat="1">
      <c r="A1000" s="97" t="s">
        <v>2481</v>
      </c>
      <c r="B1000" s="97" t="s">
        <v>1740</v>
      </c>
      <c r="C1000" s="95">
        <v>3893</v>
      </c>
      <c r="D1000" s="95" t="s">
        <v>1742</v>
      </c>
      <c r="E1000" s="129">
        <f>VLOOKUP($C1000,'2021-22 School Level AAFTE'!$C:$Z,11,FALSE)</f>
        <v>0.42073333333333335</v>
      </c>
      <c r="F1000" s="129" t="str">
        <f>VLOOKUP($C1000,'2021-22 School Level AAFTE'!$C:$Z,8,FALSE)</f>
        <v>No</v>
      </c>
      <c r="G1000" s="129" t="str">
        <f>VLOOKUP($C1000,'2021-22 School Level AAFTE'!$C:$Z,12,FALSE)</f>
        <v>No</v>
      </c>
      <c r="H1000" s="127">
        <f>VLOOKUP($C1000,'2021-22 School Level AAFTE'!$C:$I,7,FALSE)</f>
        <v>582.16999999999996</v>
      </c>
      <c r="I1000" s="112">
        <f>IFERROR(IF(OR(G1000="yes",F1000= "yes"),VLOOKUP(C1000,Summary!$B:$J,6,0),0),0)</f>
        <v>0</v>
      </c>
      <c r="J1000" s="111">
        <f t="shared" si="192"/>
        <v>0</v>
      </c>
      <c r="K1000" s="91">
        <f>VLOOKUP($A1000,'2022-23 Salary &amp; Benefits'!$A:$I,3,FALSE)</f>
        <v>1.1499999999999999</v>
      </c>
      <c r="L1000" s="91">
        <f>VLOOKUP($A1000,'2022-23 Salary &amp; Benefits'!$A:$I,4,FALSE)</f>
        <v>1.1499999999999999</v>
      </c>
      <c r="M1000" s="39">
        <f t="shared" si="199"/>
        <v>0</v>
      </c>
      <c r="N1000" s="24">
        <v>15</v>
      </c>
      <c r="O1000" s="26">
        <f t="shared" si="190"/>
        <v>0</v>
      </c>
      <c r="P1000" s="24">
        <v>1.1000000000000001</v>
      </c>
      <c r="Q1000" s="24">
        <v>36</v>
      </c>
      <c r="R1000" s="27">
        <f t="shared" si="191"/>
        <v>0</v>
      </c>
      <c r="S1000" s="102">
        <f t="shared" si="193"/>
        <v>0</v>
      </c>
      <c r="T1000" s="21">
        <f>VLOOKUP($A1000,'2022-23 Salary &amp; Benefits'!$A:$I,5,FALSE)</f>
        <v>68937</v>
      </c>
      <c r="U1000" s="21">
        <f>VLOOKUP($A1000,'2022-23 Salary &amp; Benefits'!$A:$I,6,FALSE)</f>
        <v>72728</v>
      </c>
      <c r="V1000" s="22">
        <f t="shared" si="194"/>
        <v>0</v>
      </c>
      <c r="W1000" s="22">
        <f t="shared" si="195"/>
        <v>0</v>
      </c>
      <c r="X1000" s="22">
        <f>'2022-23 Salary &amp; Benefits'!$G$6</f>
        <v>12558.24</v>
      </c>
      <c r="Y1000" s="23">
        <f>'2022-23 Salary &amp; Benefits'!$H$6</f>
        <v>0.2298</v>
      </c>
      <c r="Z1000" s="23">
        <f>'2022-23 Salary &amp; Benefits'!$I$6</f>
        <v>0.22339999999999999</v>
      </c>
      <c r="AA1000" s="22">
        <f t="shared" si="196"/>
        <v>0</v>
      </c>
      <c r="AB1000" s="22">
        <f t="shared" si="197"/>
        <v>0</v>
      </c>
      <c r="AC1000" s="22">
        <f t="shared" si="198"/>
        <v>0</v>
      </c>
      <c r="AD1000" s="22">
        <f t="shared" si="200"/>
        <v>0</v>
      </c>
      <c r="AE1000" s="22">
        <f t="shared" si="201"/>
        <v>0</v>
      </c>
      <c r="AF1000" s="19" t="str">
        <f>VLOOKUP(C1000,'2021-22 School Level AAFTE'!C:N,12,FALSE)</f>
        <v>No</v>
      </c>
    </row>
    <row r="1001" spans="1:32" s="19" customFormat="1">
      <c r="A1001" s="97" t="s">
        <v>2481</v>
      </c>
      <c r="B1001" s="97" t="s">
        <v>1740</v>
      </c>
      <c r="C1001" s="95">
        <v>4204</v>
      </c>
      <c r="D1001" s="95" t="s">
        <v>1743</v>
      </c>
      <c r="E1001" s="129">
        <f>VLOOKUP($C1001,'2021-22 School Level AAFTE'!$C:$Z,11,FALSE)</f>
        <v>0.3508</v>
      </c>
      <c r="F1001" s="129" t="str">
        <f>VLOOKUP($C1001,'2021-22 School Level AAFTE'!$C:$Z,8,FALSE)</f>
        <v>No</v>
      </c>
      <c r="G1001" s="129" t="str">
        <f>VLOOKUP($C1001,'2021-22 School Level AAFTE'!$C:$Z,12,FALSE)</f>
        <v>No</v>
      </c>
      <c r="H1001" s="127">
        <f>VLOOKUP($C1001,'2021-22 School Level AAFTE'!$C:$I,7,FALSE)</f>
        <v>820.79</v>
      </c>
      <c r="I1001" s="112">
        <f>IFERROR(IF(OR(G1001="yes",F1001= "yes"),VLOOKUP(C1001,Summary!$B:$J,6,0),0),0)</f>
        <v>0</v>
      </c>
      <c r="J1001" s="111">
        <f t="shared" si="192"/>
        <v>0</v>
      </c>
      <c r="K1001" s="91">
        <f>VLOOKUP($A1001,'2022-23 Salary &amp; Benefits'!$A:$I,3,FALSE)</f>
        <v>1.1499999999999999</v>
      </c>
      <c r="L1001" s="91">
        <f>VLOOKUP($A1001,'2022-23 Salary &amp; Benefits'!$A:$I,4,FALSE)</f>
        <v>1.1499999999999999</v>
      </c>
      <c r="M1001" s="39">
        <f t="shared" si="199"/>
        <v>0</v>
      </c>
      <c r="N1001" s="24">
        <v>15</v>
      </c>
      <c r="O1001" s="26">
        <f t="shared" si="190"/>
        <v>0</v>
      </c>
      <c r="P1001" s="24">
        <v>1.1000000000000001</v>
      </c>
      <c r="Q1001" s="24">
        <v>36</v>
      </c>
      <c r="R1001" s="27">
        <f t="shared" si="191"/>
        <v>0</v>
      </c>
      <c r="S1001" s="102">
        <f t="shared" si="193"/>
        <v>0</v>
      </c>
      <c r="T1001" s="21">
        <f>VLOOKUP($A1001,'2022-23 Salary &amp; Benefits'!$A:$I,5,FALSE)</f>
        <v>68937</v>
      </c>
      <c r="U1001" s="21">
        <f>VLOOKUP($A1001,'2022-23 Salary &amp; Benefits'!$A:$I,6,FALSE)</f>
        <v>72728</v>
      </c>
      <c r="V1001" s="22">
        <f t="shared" si="194"/>
        <v>0</v>
      </c>
      <c r="W1001" s="22">
        <f t="shared" si="195"/>
        <v>0</v>
      </c>
      <c r="X1001" s="22">
        <f>'2022-23 Salary &amp; Benefits'!$G$6</f>
        <v>12558.24</v>
      </c>
      <c r="Y1001" s="23">
        <f>'2022-23 Salary &amp; Benefits'!$H$6</f>
        <v>0.2298</v>
      </c>
      <c r="Z1001" s="23">
        <f>'2022-23 Salary &amp; Benefits'!$I$6</f>
        <v>0.22339999999999999</v>
      </c>
      <c r="AA1001" s="22">
        <f t="shared" si="196"/>
        <v>0</v>
      </c>
      <c r="AB1001" s="22">
        <f t="shared" si="197"/>
        <v>0</v>
      </c>
      <c r="AC1001" s="22">
        <f t="shared" si="198"/>
        <v>0</v>
      </c>
      <c r="AD1001" s="22">
        <f t="shared" si="200"/>
        <v>0</v>
      </c>
      <c r="AE1001" s="22">
        <f t="shared" si="201"/>
        <v>0</v>
      </c>
      <c r="AF1001" s="19" t="str">
        <f>VLOOKUP(C1001,'2021-22 School Level AAFTE'!C:N,12,FALSE)</f>
        <v>No</v>
      </c>
    </row>
    <row r="1002" spans="1:32" s="19" customFormat="1">
      <c r="A1002" s="97" t="s">
        <v>2481</v>
      </c>
      <c r="B1002" s="97" t="s">
        <v>1740</v>
      </c>
      <c r="C1002" s="95">
        <v>4477</v>
      </c>
      <c r="D1002" s="95" t="s">
        <v>1744</v>
      </c>
      <c r="E1002" s="129">
        <f>VLOOKUP($C1002,'2021-22 School Level AAFTE'!$C:$Z,11,FALSE)</f>
        <v>0.45166666666666666</v>
      </c>
      <c r="F1002" s="129" t="str">
        <f>VLOOKUP($C1002,'2021-22 School Level AAFTE'!$C:$Z,8,FALSE)</f>
        <v>No</v>
      </c>
      <c r="G1002" s="129" t="str">
        <f>VLOOKUP($C1002,'2021-22 School Level AAFTE'!$C:$Z,12,FALSE)</f>
        <v>No</v>
      </c>
      <c r="H1002" s="127">
        <f>VLOOKUP($C1002,'2021-22 School Level AAFTE'!$C:$I,7,FALSE)</f>
        <v>329.33</v>
      </c>
      <c r="I1002" s="112">
        <f>IFERROR(IF(OR(G1002="yes",F1002= "yes"),VLOOKUP(C1002,Summary!$B:$J,6,0),0),0)</f>
        <v>0</v>
      </c>
      <c r="J1002" s="111">
        <f t="shared" si="192"/>
        <v>0</v>
      </c>
      <c r="K1002" s="91">
        <f>VLOOKUP($A1002,'2022-23 Salary &amp; Benefits'!$A:$I,3,FALSE)</f>
        <v>1.1499999999999999</v>
      </c>
      <c r="L1002" s="91">
        <f>VLOOKUP($A1002,'2022-23 Salary &amp; Benefits'!$A:$I,4,FALSE)</f>
        <v>1.1499999999999999</v>
      </c>
      <c r="M1002" s="39">
        <f t="shared" si="199"/>
        <v>0</v>
      </c>
      <c r="N1002" s="24">
        <v>15</v>
      </c>
      <c r="O1002" s="26">
        <f t="shared" si="190"/>
        <v>0</v>
      </c>
      <c r="P1002" s="24">
        <v>1.1000000000000001</v>
      </c>
      <c r="Q1002" s="24">
        <v>36</v>
      </c>
      <c r="R1002" s="27">
        <f t="shared" si="191"/>
        <v>0</v>
      </c>
      <c r="S1002" s="102">
        <f t="shared" si="193"/>
        <v>0</v>
      </c>
      <c r="T1002" s="21">
        <f>VLOOKUP($A1002,'2022-23 Salary &amp; Benefits'!$A:$I,5,FALSE)</f>
        <v>68937</v>
      </c>
      <c r="U1002" s="21">
        <f>VLOOKUP($A1002,'2022-23 Salary &amp; Benefits'!$A:$I,6,FALSE)</f>
        <v>72728</v>
      </c>
      <c r="V1002" s="22">
        <f t="shared" si="194"/>
        <v>0</v>
      </c>
      <c r="W1002" s="22">
        <f t="shared" si="195"/>
        <v>0</v>
      </c>
      <c r="X1002" s="22">
        <f>'2022-23 Salary &amp; Benefits'!$G$6</f>
        <v>12558.24</v>
      </c>
      <c r="Y1002" s="23">
        <f>'2022-23 Salary &amp; Benefits'!$H$6</f>
        <v>0.2298</v>
      </c>
      <c r="Z1002" s="23">
        <f>'2022-23 Salary &amp; Benefits'!$I$6</f>
        <v>0.22339999999999999</v>
      </c>
      <c r="AA1002" s="22">
        <f t="shared" si="196"/>
        <v>0</v>
      </c>
      <c r="AB1002" s="22">
        <f t="shared" si="197"/>
        <v>0</v>
      </c>
      <c r="AC1002" s="22">
        <f t="shared" si="198"/>
        <v>0</v>
      </c>
      <c r="AD1002" s="22">
        <f t="shared" si="200"/>
        <v>0</v>
      </c>
      <c r="AE1002" s="22">
        <f t="shared" si="201"/>
        <v>0</v>
      </c>
      <c r="AF1002" s="19" t="str">
        <f>VLOOKUP(C1002,'2021-22 School Level AAFTE'!C:N,12,FALSE)</f>
        <v>No</v>
      </c>
    </row>
    <row r="1003" spans="1:32" s="19" customFormat="1">
      <c r="A1003" s="97" t="s">
        <v>2481</v>
      </c>
      <c r="B1003" s="97" t="s">
        <v>1740</v>
      </c>
      <c r="C1003" s="95">
        <v>4576</v>
      </c>
      <c r="D1003" s="95" t="s">
        <v>1745</v>
      </c>
      <c r="E1003" s="129">
        <f>VLOOKUP($C1003,'2021-22 School Level AAFTE'!$C:$Z,11,FALSE)</f>
        <v>0.3715</v>
      </c>
      <c r="F1003" s="129" t="str">
        <f>VLOOKUP($C1003,'2021-22 School Level AAFTE'!$C:$Z,8,FALSE)</f>
        <v>No</v>
      </c>
      <c r="G1003" s="129" t="str">
        <f>VLOOKUP($C1003,'2021-22 School Level AAFTE'!$C:$Z,12,FALSE)</f>
        <v>No</v>
      </c>
      <c r="H1003" s="127">
        <f>VLOOKUP($C1003,'2021-22 School Level AAFTE'!$C:$I,7,FALSE)</f>
        <v>376.95</v>
      </c>
      <c r="I1003" s="112">
        <f>IFERROR(IF(OR(G1003="yes",F1003= "yes"),VLOOKUP(C1003,Summary!$B:$J,6,0),0),0)</f>
        <v>0</v>
      </c>
      <c r="J1003" s="111">
        <f t="shared" si="192"/>
        <v>0</v>
      </c>
      <c r="K1003" s="91">
        <f>VLOOKUP($A1003,'2022-23 Salary &amp; Benefits'!$A:$I,3,FALSE)</f>
        <v>1.1499999999999999</v>
      </c>
      <c r="L1003" s="91">
        <f>VLOOKUP($A1003,'2022-23 Salary &amp; Benefits'!$A:$I,4,FALSE)</f>
        <v>1.1499999999999999</v>
      </c>
      <c r="M1003" s="39">
        <f t="shared" si="199"/>
        <v>0</v>
      </c>
      <c r="N1003" s="24">
        <v>15</v>
      </c>
      <c r="O1003" s="26">
        <f t="shared" si="190"/>
        <v>0</v>
      </c>
      <c r="P1003" s="24">
        <v>1.1000000000000001</v>
      </c>
      <c r="Q1003" s="24">
        <v>36</v>
      </c>
      <c r="R1003" s="27">
        <f t="shared" si="191"/>
        <v>0</v>
      </c>
      <c r="S1003" s="102">
        <f t="shared" si="193"/>
        <v>0</v>
      </c>
      <c r="T1003" s="21">
        <f>VLOOKUP($A1003,'2022-23 Salary &amp; Benefits'!$A:$I,5,FALSE)</f>
        <v>68937</v>
      </c>
      <c r="U1003" s="21">
        <f>VLOOKUP($A1003,'2022-23 Salary &amp; Benefits'!$A:$I,6,FALSE)</f>
        <v>72728</v>
      </c>
      <c r="V1003" s="22">
        <f t="shared" si="194"/>
        <v>0</v>
      </c>
      <c r="W1003" s="22">
        <f t="shared" si="195"/>
        <v>0</v>
      </c>
      <c r="X1003" s="22">
        <f>'2022-23 Salary &amp; Benefits'!$G$6</f>
        <v>12558.24</v>
      </c>
      <c r="Y1003" s="23">
        <f>'2022-23 Salary &amp; Benefits'!$H$6</f>
        <v>0.2298</v>
      </c>
      <c r="Z1003" s="23">
        <f>'2022-23 Salary &amp; Benefits'!$I$6</f>
        <v>0.22339999999999999</v>
      </c>
      <c r="AA1003" s="22">
        <f t="shared" si="196"/>
        <v>0</v>
      </c>
      <c r="AB1003" s="22">
        <f t="shared" si="197"/>
        <v>0</v>
      </c>
      <c r="AC1003" s="22">
        <f t="shared" si="198"/>
        <v>0</v>
      </c>
      <c r="AD1003" s="22">
        <f t="shared" si="200"/>
        <v>0</v>
      </c>
      <c r="AE1003" s="22">
        <f t="shared" si="201"/>
        <v>0</v>
      </c>
      <c r="AF1003" s="19" t="str">
        <f>VLOOKUP(C1003,'2021-22 School Level AAFTE'!C:N,12,FALSE)</f>
        <v>No</v>
      </c>
    </row>
    <row r="1004" spans="1:32" s="19" customFormat="1">
      <c r="A1004" s="97" t="s">
        <v>2541</v>
      </c>
      <c r="B1004" s="97" t="s">
        <v>2133</v>
      </c>
      <c r="C1004" s="95">
        <v>3137</v>
      </c>
      <c r="D1004" s="95" t="s">
        <v>2134</v>
      </c>
      <c r="E1004" s="129">
        <f>VLOOKUP($C1004,'2021-22 School Level AAFTE'!$C:$Z,11,FALSE)</f>
        <v>0.57726666666666671</v>
      </c>
      <c r="F1004" s="129" t="str">
        <f>VLOOKUP($C1004,'2021-22 School Level AAFTE'!$C:$Z,8,FALSE)</f>
        <v>Yes</v>
      </c>
      <c r="G1004" s="129" t="str">
        <f>VLOOKUP($C1004,'2021-22 School Level AAFTE'!$C:$Z,12,FALSE)</f>
        <v>No</v>
      </c>
      <c r="H1004" s="127">
        <f>VLOOKUP($C1004,'2021-22 School Level AAFTE'!$C:$I,7,FALSE)</f>
        <v>36.29</v>
      </c>
      <c r="I1004" s="112">
        <f>IFERROR(IF(OR(G1004="yes",F1004= "yes"),VLOOKUP(C1004,Summary!$B:$J,6,0),0),0)</f>
        <v>0</v>
      </c>
      <c r="J1004" s="111">
        <f t="shared" si="192"/>
        <v>36.29</v>
      </c>
      <c r="K1004" s="91">
        <f>VLOOKUP($A1004,'2022-23 Salary &amp; Benefits'!$A:$I,3,FALSE)</f>
        <v>1</v>
      </c>
      <c r="L1004" s="91">
        <f>VLOOKUP($A1004,'2022-23 Salary &amp; Benefits'!$A:$I,4,FALSE)</f>
        <v>1</v>
      </c>
      <c r="M1004" s="39">
        <f t="shared" si="199"/>
        <v>36.29</v>
      </c>
      <c r="N1004" s="24">
        <v>15</v>
      </c>
      <c r="O1004" s="26">
        <f t="shared" si="190"/>
        <v>2.4193333333333333</v>
      </c>
      <c r="P1004" s="24">
        <v>1.1000000000000001</v>
      </c>
      <c r="Q1004" s="24">
        <v>36</v>
      </c>
      <c r="R1004" s="27">
        <f t="shared" si="191"/>
        <v>95.805599999999998</v>
      </c>
      <c r="S1004" s="102">
        <f t="shared" si="193"/>
        <v>0.106</v>
      </c>
      <c r="T1004" s="21">
        <f>VLOOKUP($A1004,'2022-23 Salary &amp; Benefits'!$A:$I,5,FALSE)</f>
        <v>68937</v>
      </c>
      <c r="U1004" s="21">
        <f>VLOOKUP($A1004,'2022-23 Salary &amp; Benefits'!$A:$I,6,FALSE)</f>
        <v>72728</v>
      </c>
      <c r="V1004" s="22">
        <f t="shared" si="194"/>
        <v>7307.32</v>
      </c>
      <c r="W1004" s="22">
        <f t="shared" si="195"/>
        <v>401.85000000000036</v>
      </c>
      <c r="X1004" s="22">
        <f>'2022-23 Salary &amp; Benefits'!$G$6</f>
        <v>12558.24</v>
      </c>
      <c r="Y1004" s="23">
        <f>'2022-23 Salary &amp; Benefits'!$H$6</f>
        <v>0.2298</v>
      </c>
      <c r="Z1004" s="23">
        <f>'2022-23 Salary &amp; Benefits'!$I$6</f>
        <v>0.22339999999999999</v>
      </c>
      <c r="AA1004" s="22">
        <f t="shared" si="196"/>
        <v>3100.17</v>
      </c>
      <c r="AB1004" s="22">
        <f t="shared" si="197"/>
        <v>128.49</v>
      </c>
      <c r="AC1004" s="22">
        <f t="shared" si="198"/>
        <v>28.7</v>
      </c>
      <c r="AD1004" s="22">
        <f t="shared" si="200"/>
        <v>157.19</v>
      </c>
      <c r="AE1004" s="22">
        <f t="shared" si="201"/>
        <v>10966.53</v>
      </c>
      <c r="AF1004" s="19" t="str">
        <f>VLOOKUP(C1004,'2021-22 School Level AAFTE'!C:N,12,FALSE)</f>
        <v>No</v>
      </c>
    </row>
    <row r="1005" spans="1:32" s="19" customFormat="1">
      <c r="A1005" s="97" t="s">
        <v>2496</v>
      </c>
      <c r="B1005" s="97" t="s">
        <v>1895</v>
      </c>
      <c r="C1005" s="95">
        <v>3416</v>
      </c>
      <c r="D1005" s="95" t="s">
        <v>1896</v>
      </c>
      <c r="E1005" s="129">
        <f>VLOOKUP($C1005,'2021-22 School Level AAFTE'!$C:$Z,11,FALSE)</f>
        <v>0.27046666666666669</v>
      </c>
      <c r="F1005" s="129" t="str">
        <f>VLOOKUP($C1005,'2021-22 School Level AAFTE'!$C:$Z,8,FALSE)</f>
        <v>No</v>
      </c>
      <c r="G1005" s="129" t="str">
        <f>VLOOKUP($C1005,'2021-22 School Level AAFTE'!$C:$Z,12,FALSE)</f>
        <v>No</v>
      </c>
      <c r="H1005" s="127">
        <f>VLOOKUP($C1005,'2021-22 School Level AAFTE'!$C:$I,7,FALSE)</f>
        <v>176.12</v>
      </c>
      <c r="I1005" s="112">
        <f>IFERROR(IF(OR(G1005="yes",F1005= "yes"),VLOOKUP(C1005,Summary!$B:$J,6,0),0),0)</f>
        <v>0</v>
      </c>
      <c r="J1005" s="111">
        <f t="shared" si="192"/>
        <v>0</v>
      </c>
      <c r="K1005" s="91">
        <f>VLOOKUP($A1005,'2022-23 Salary &amp; Benefits'!$A:$I,3,FALSE)</f>
        <v>1</v>
      </c>
      <c r="L1005" s="91">
        <f>VLOOKUP($A1005,'2022-23 Salary &amp; Benefits'!$A:$I,4,FALSE)</f>
        <v>1</v>
      </c>
      <c r="M1005" s="39">
        <f t="shared" si="199"/>
        <v>0</v>
      </c>
      <c r="N1005" s="24">
        <v>15</v>
      </c>
      <c r="O1005" s="26">
        <f t="shared" si="190"/>
        <v>0</v>
      </c>
      <c r="P1005" s="24">
        <v>1.1000000000000001</v>
      </c>
      <c r="Q1005" s="24">
        <v>36</v>
      </c>
      <c r="R1005" s="27">
        <f t="shared" si="191"/>
        <v>0</v>
      </c>
      <c r="S1005" s="102">
        <f t="shared" si="193"/>
        <v>0</v>
      </c>
      <c r="T1005" s="21">
        <f>VLOOKUP($A1005,'2022-23 Salary &amp; Benefits'!$A:$I,5,FALSE)</f>
        <v>68937</v>
      </c>
      <c r="U1005" s="21">
        <f>VLOOKUP($A1005,'2022-23 Salary &amp; Benefits'!$A:$I,6,FALSE)</f>
        <v>72728</v>
      </c>
      <c r="V1005" s="22">
        <f t="shared" si="194"/>
        <v>0</v>
      </c>
      <c r="W1005" s="22">
        <f t="shared" si="195"/>
        <v>0</v>
      </c>
      <c r="X1005" s="22">
        <f>'2022-23 Salary &amp; Benefits'!$G$6</f>
        <v>12558.24</v>
      </c>
      <c r="Y1005" s="23">
        <f>'2022-23 Salary &amp; Benefits'!$H$6</f>
        <v>0.2298</v>
      </c>
      <c r="Z1005" s="23">
        <f>'2022-23 Salary &amp; Benefits'!$I$6</f>
        <v>0.22339999999999999</v>
      </c>
      <c r="AA1005" s="22">
        <f t="shared" si="196"/>
        <v>0</v>
      </c>
      <c r="AB1005" s="22">
        <f t="shared" si="197"/>
        <v>0</v>
      </c>
      <c r="AC1005" s="22">
        <f t="shared" si="198"/>
        <v>0</v>
      </c>
      <c r="AD1005" s="22">
        <f t="shared" si="200"/>
        <v>0</v>
      </c>
      <c r="AE1005" s="22">
        <f t="shared" si="201"/>
        <v>0</v>
      </c>
      <c r="AF1005" s="19" t="str">
        <f>VLOOKUP(C1005,'2021-22 School Level AAFTE'!C:N,12,FALSE)</f>
        <v>No</v>
      </c>
    </row>
    <row r="1006" spans="1:32" s="19" customFormat="1">
      <c r="A1006" s="97" t="s">
        <v>2496</v>
      </c>
      <c r="B1006" s="97" t="s">
        <v>1895</v>
      </c>
      <c r="C1006" s="95">
        <v>4226</v>
      </c>
      <c r="D1006" s="95" t="s">
        <v>1897</v>
      </c>
      <c r="E1006" s="129">
        <f>VLOOKUP($C1006,'2021-22 School Level AAFTE'!$C:$Z,11,FALSE)</f>
        <v>0.32503333333333334</v>
      </c>
      <c r="F1006" s="129" t="str">
        <f>VLOOKUP($C1006,'2021-22 School Level AAFTE'!$C:$Z,8,FALSE)</f>
        <v>No</v>
      </c>
      <c r="G1006" s="129" t="str">
        <f>VLOOKUP($C1006,'2021-22 School Level AAFTE'!$C:$Z,12,FALSE)</f>
        <v>No</v>
      </c>
      <c r="H1006" s="127">
        <f>VLOOKUP($C1006,'2021-22 School Level AAFTE'!$C:$I,7,FALSE)</f>
        <v>390.59</v>
      </c>
      <c r="I1006" s="112">
        <f>IFERROR(IF(OR(G1006="yes",F1006= "yes"),VLOOKUP(C1006,Summary!$B:$J,6,0),0),0)</f>
        <v>0</v>
      </c>
      <c r="J1006" s="111">
        <f t="shared" si="192"/>
        <v>0</v>
      </c>
      <c r="K1006" s="91">
        <f>VLOOKUP($A1006,'2022-23 Salary &amp; Benefits'!$A:$I,3,FALSE)</f>
        <v>1</v>
      </c>
      <c r="L1006" s="91">
        <f>VLOOKUP($A1006,'2022-23 Salary &amp; Benefits'!$A:$I,4,FALSE)</f>
        <v>1</v>
      </c>
      <c r="M1006" s="39">
        <f t="shared" si="199"/>
        <v>0</v>
      </c>
      <c r="N1006" s="24">
        <v>15</v>
      </c>
      <c r="O1006" s="26">
        <f t="shared" si="190"/>
        <v>0</v>
      </c>
      <c r="P1006" s="24">
        <v>1.1000000000000001</v>
      </c>
      <c r="Q1006" s="24">
        <v>36</v>
      </c>
      <c r="R1006" s="27">
        <f t="shared" si="191"/>
        <v>0</v>
      </c>
      <c r="S1006" s="102">
        <f t="shared" si="193"/>
        <v>0</v>
      </c>
      <c r="T1006" s="21">
        <f>VLOOKUP($A1006,'2022-23 Salary &amp; Benefits'!$A:$I,5,FALSE)</f>
        <v>68937</v>
      </c>
      <c r="U1006" s="21">
        <f>VLOOKUP($A1006,'2022-23 Salary &amp; Benefits'!$A:$I,6,FALSE)</f>
        <v>72728</v>
      </c>
      <c r="V1006" s="22">
        <f t="shared" si="194"/>
        <v>0</v>
      </c>
      <c r="W1006" s="22">
        <f t="shared" si="195"/>
        <v>0</v>
      </c>
      <c r="X1006" s="22">
        <f>'2022-23 Salary &amp; Benefits'!$G$6</f>
        <v>12558.24</v>
      </c>
      <c r="Y1006" s="23">
        <f>'2022-23 Salary &amp; Benefits'!$H$6</f>
        <v>0.2298</v>
      </c>
      <c r="Z1006" s="23">
        <f>'2022-23 Salary &amp; Benefits'!$I$6</f>
        <v>0.22339999999999999</v>
      </c>
      <c r="AA1006" s="22">
        <f t="shared" si="196"/>
        <v>0</v>
      </c>
      <c r="AB1006" s="22">
        <f t="shared" si="197"/>
        <v>0</v>
      </c>
      <c r="AC1006" s="22">
        <f t="shared" si="198"/>
        <v>0</v>
      </c>
      <c r="AD1006" s="22">
        <f t="shared" si="200"/>
        <v>0</v>
      </c>
      <c r="AE1006" s="22">
        <f t="shared" si="201"/>
        <v>0</v>
      </c>
      <c r="AF1006" s="19" t="str">
        <f>VLOOKUP(C1006,'2021-22 School Level AAFTE'!C:N,12,FALSE)</f>
        <v>No</v>
      </c>
    </row>
    <row r="1007" spans="1:32" s="19" customFormat="1">
      <c r="A1007" s="97" t="s">
        <v>2260</v>
      </c>
      <c r="B1007" s="97" t="s">
        <v>12</v>
      </c>
      <c r="C1007" s="95">
        <v>2903</v>
      </c>
      <c r="D1007" s="95" t="s">
        <v>13</v>
      </c>
      <c r="E1007" s="129">
        <f>VLOOKUP($C1007,'2021-22 School Level AAFTE'!$C:$Z,11,FALSE)</f>
        <v>0.71896666666666664</v>
      </c>
      <c r="F1007" s="129" t="str">
        <f>VLOOKUP($C1007,'2021-22 School Level AAFTE'!$C:$Z,8,FALSE)</f>
        <v>Yes</v>
      </c>
      <c r="G1007" s="129" t="str">
        <f>VLOOKUP($C1007,'2021-22 School Level AAFTE'!$C:$Z,12,FALSE)</f>
        <v>No</v>
      </c>
      <c r="H1007" s="127">
        <f>VLOOKUP($C1007,'2021-22 School Level AAFTE'!$C:$I,7,FALSE)</f>
        <v>51.86</v>
      </c>
      <c r="I1007" s="112">
        <f>IFERROR(IF(OR(G1007="yes",F1007= "yes"),VLOOKUP(C1007,Summary!$B:$J,6,0),0),0)</f>
        <v>0</v>
      </c>
      <c r="J1007" s="111">
        <f t="shared" si="192"/>
        <v>51.86</v>
      </c>
      <c r="K1007" s="91">
        <f>VLOOKUP($A1007,'2022-23 Salary &amp; Benefits'!$A:$I,3,FALSE)</f>
        <v>1</v>
      </c>
      <c r="L1007" s="91">
        <f>VLOOKUP($A1007,'2022-23 Salary &amp; Benefits'!$A:$I,4,FALSE)</f>
        <v>1</v>
      </c>
      <c r="M1007" s="39">
        <f t="shared" si="199"/>
        <v>51.86</v>
      </c>
      <c r="N1007" s="24">
        <v>15</v>
      </c>
      <c r="O1007" s="26">
        <f t="shared" si="190"/>
        <v>3.4573333333333331</v>
      </c>
      <c r="P1007" s="24">
        <v>1.1000000000000001</v>
      </c>
      <c r="Q1007" s="24">
        <v>36</v>
      </c>
      <c r="R1007" s="27">
        <f t="shared" si="191"/>
        <v>136.91040000000001</v>
      </c>
      <c r="S1007" s="102">
        <f t="shared" si="193"/>
        <v>0.152</v>
      </c>
      <c r="T1007" s="21">
        <f>VLOOKUP($A1007,'2022-23 Salary &amp; Benefits'!$A:$I,5,FALSE)</f>
        <v>68937</v>
      </c>
      <c r="U1007" s="21">
        <f>VLOOKUP($A1007,'2022-23 Salary &amp; Benefits'!$A:$I,6,FALSE)</f>
        <v>72728</v>
      </c>
      <c r="V1007" s="22">
        <f t="shared" si="194"/>
        <v>10478.42</v>
      </c>
      <c r="W1007" s="22">
        <f t="shared" si="195"/>
        <v>576.23999999999978</v>
      </c>
      <c r="X1007" s="22">
        <f>'2022-23 Salary &amp; Benefits'!$G$6</f>
        <v>12558.24</v>
      </c>
      <c r="Y1007" s="23">
        <f>'2022-23 Salary &amp; Benefits'!$H$6</f>
        <v>0.2298</v>
      </c>
      <c r="Z1007" s="23">
        <f>'2022-23 Salary &amp; Benefits'!$I$6</f>
        <v>0.22339999999999999</v>
      </c>
      <c r="AA1007" s="22">
        <f t="shared" si="196"/>
        <v>4445.53</v>
      </c>
      <c r="AB1007" s="22">
        <f t="shared" si="197"/>
        <v>184.24</v>
      </c>
      <c r="AC1007" s="22">
        <f t="shared" si="198"/>
        <v>41.16</v>
      </c>
      <c r="AD1007" s="22">
        <f t="shared" si="200"/>
        <v>225.4</v>
      </c>
      <c r="AE1007" s="22">
        <f t="shared" si="201"/>
        <v>15725.59</v>
      </c>
      <c r="AF1007" s="19" t="str">
        <f>VLOOKUP(C1007,'2021-22 School Level AAFTE'!C:N,12,FALSE)</f>
        <v>No</v>
      </c>
    </row>
    <row r="1008" spans="1:32" s="19" customFormat="1">
      <c r="A1008" s="97" t="s">
        <v>2260</v>
      </c>
      <c r="B1008" s="97" t="s">
        <v>12</v>
      </c>
      <c r="C1008" s="95">
        <v>3421</v>
      </c>
      <c r="D1008" s="95" t="s">
        <v>14</v>
      </c>
      <c r="E1008" s="129">
        <f>VLOOKUP($C1008,'2021-22 School Level AAFTE'!$C:$Z,11,FALSE)</f>
        <v>0.66849999999999998</v>
      </c>
      <c r="F1008" s="129" t="str">
        <f>VLOOKUP($C1008,'2021-22 School Level AAFTE'!$C:$Z,8,FALSE)</f>
        <v>Yes</v>
      </c>
      <c r="G1008" s="129" t="str">
        <f>VLOOKUP($C1008,'2021-22 School Level AAFTE'!$C:$Z,12,FALSE)</f>
        <v>No</v>
      </c>
      <c r="H1008" s="127">
        <f>VLOOKUP($C1008,'2021-22 School Level AAFTE'!$C:$I,7,FALSE)</f>
        <v>92.71</v>
      </c>
      <c r="I1008" s="112">
        <f>IFERROR(IF(OR(G1008="yes",F1008= "yes"),VLOOKUP(C1008,Summary!$B:$J,6,0),0),0)</f>
        <v>0</v>
      </c>
      <c r="J1008" s="111">
        <f t="shared" si="192"/>
        <v>92.71</v>
      </c>
      <c r="K1008" s="91">
        <f>VLOOKUP($A1008,'2022-23 Salary &amp; Benefits'!$A:$I,3,FALSE)</f>
        <v>1</v>
      </c>
      <c r="L1008" s="91">
        <f>VLOOKUP($A1008,'2022-23 Salary &amp; Benefits'!$A:$I,4,FALSE)</f>
        <v>1</v>
      </c>
      <c r="M1008" s="39">
        <f t="shared" si="199"/>
        <v>92.71</v>
      </c>
      <c r="N1008" s="24">
        <v>15</v>
      </c>
      <c r="O1008" s="26">
        <f t="shared" si="190"/>
        <v>6.1806666666666663</v>
      </c>
      <c r="P1008" s="24">
        <v>1.1000000000000001</v>
      </c>
      <c r="Q1008" s="24">
        <v>36</v>
      </c>
      <c r="R1008" s="27">
        <f t="shared" si="191"/>
        <v>244.7544</v>
      </c>
      <c r="S1008" s="102">
        <f t="shared" si="193"/>
        <v>0.27200000000000002</v>
      </c>
      <c r="T1008" s="21">
        <f>VLOOKUP($A1008,'2022-23 Salary &amp; Benefits'!$A:$I,5,FALSE)</f>
        <v>68937</v>
      </c>
      <c r="U1008" s="21">
        <f>VLOOKUP($A1008,'2022-23 Salary &amp; Benefits'!$A:$I,6,FALSE)</f>
        <v>72728</v>
      </c>
      <c r="V1008" s="22">
        <f t="shared" si="194"/>
        <v>18750.86</v>
      </c>
      <c r="W1008" s="22">
        <f t="shared" si="195"/>
        <v>1031.1599999999999</v>
      </c>
      <c r="X1008" s="22">
        <f>'2022-23 Salary &amp; Benefits'!$G$6</f>
        <v>12558.24</v>
      </c>
      <c r="Y1008" s="23">
        <f>'2022-23 Salary &amp; Benefits'!$H$6</f>
        <v>0.2298</v>
      </c>
      <c r="Z1008" s="23">
        <f>'2022-23 Salary &amp; Benefits'!$I$6</f>
        <v>0.22339999999999999</v>
      </c>
      <c r="AA1008" s="22">
        <f t="shared" si="196"/>
        <v>7955.15</v>
      </c>
      <c r="AB1008" s="22">
        <f t="shared" si="197"/>
        <v>329.7</v>
      </c>
      <c r="AC1008" s="22">
        <f t="shared" si="198"/>
        <v>73.650000000000006</v>
      </c>
      <c r="AD1008" s="22">
        <f t="shared" si="200"/>
        <v>403.35</v>
      </c>
      <c r="AE1008" s="22">
        <f t="shared" si="201"/>
        <v>28140.52</v>
      </c>
      <c r="AF1008" s="19" t="str">
        <f>VLOOKUP(C1008,'2021-22 School Level AAFTE'!C:N,12,FALSE)</f>
        <v>No</v>
      </c>
    </row>
    <row r="1009" spans="1:32" s="19" customFormat="1">
      <c r="A1009" s="97" t="s">
        <v>2260</v>
      </c>
      <c r="B1009" s="97" t="s">
        <v>12</v>
      </c>
      <c r="C1009" s="95">
        <v>5293</v>
      </c>
      <c r="D1009" s="95" t="s">
        <v>15</v>
      </c>
      <c r="E1009" s="129">
        <f>VLOOKUP($C1009,'2021-22 School Level AAFTE'!$C:$Z,11,FALSE)</f>
        <v>0.66876666666666662</v>
      </c>
      <c r="F1009" s="129" t="str">
        <f>VLOOKUP($C1009,'2021-22 School Level AAFTE'!$C:$Z,8,FALSE)</f>
        <v>Yes</v>
      </c>
      <c r="G1009" s="129" t="str">
        <f>VLOOKUP($C1009,'2021-22 School Level AAFTE'!$C:$Z,12,FALSE)</f>
        <v>No</v>
      </c>
      <c r="H1009" s="127">
        <f>VLOOKUP($C1009,'2021-22 School Level AAFTE'!$C:$I,7,FALSE)</f>
        <v>45.29</v>
      </c>
      <c r="I1009" s="112">
        <f>IFERROR(IF(OR(G1009="yes",F1009= "yes"),VLOOKUP(C1009,Summary!$B:$J,6,0),0),0)</f>
        <v>0</v>
      </c>
      <c r="J1009" s="111">
        <f t="shared" si="192"/>
        <v>45.29</v>
      </c>
      <c r="K1009" s="91">
        <f>VLOOKUP($A1009,'2022-23 Salary &amp; Benefits'!$A:$I,3,FALSE)</f>
        <v>1</v>
      </c>
      <c r="L1009" s="91">
        <f>VLOOKUP($A1009,'2022-23 Salary &amp; Benefits'!$A:$I,4,FALSE)</f>
        <v>1</v>
      </c>
      <c r="M1009" s="39">
        <f t="shared" si="199"/>
        <v>45.29</v>
      </c>
      <c r="N1009" s="24">
        <v>15</v>
      </c>
      <c r="O1009" s="26">
        <f t="shared" si="190"/>
        <v>3.0193333333333334</v>
      </c>
      <c r="P1009" s="24">
        <v>1.1000000000000001</v>
      </c>
      <c r="Q1009" s="24">
        <v>36</v>
      </c>
      <c r="R1009" s="27">
        <f t="shared" si="191"/>
        <v>119.56560000000002</v>
      </c>
      <c r="S1009" s="102">
        <f t="shared" si="193"/>
        <v>0.13300000000000001</v>
      </c>
      <c r="T1009" s="21">
        <f>VLOOKUP($A1009,'2022-23 Salary &amp; Benefits'!$A:$I,5,FALSE)</f>
        <v>68937</v>
      </c>
      <c r="U1009" s="21">
        <f>VLOOKUP($A1009,'2022-23 Salary &amp; Benefits'!$A:$I,6,FALSE)</f>
        <v>72728</v>
      </c>
      <c r="V1009" s="22">
        <f t="shared" si="194"/>
        <v>9168.6200000000008</v>
      </c>
      <c r="W1009" s="22">
        <f t="shared" si="195"/>
        <v>504.19999999999891</v>
      </c>
      <c r="X1009" s="22">
        <f>'2022-23 Salary &amp; Benefits'!$G$6</f>
        <v>12558.24</v>
      </c>
      <c r="Y1009" s="23">
        <f>'2022-23 Salary &amp; Benefits'!$H$6</f>
        <v>0.2298</v>
      </c>
      <c r="Z1009" s="23">
        <f>'2022-23 Salary &amp; Benefits'!$I$6</f>
        <v>0.22339999999999999</v>
      </c>
      <c r="AA1009" s="22">
        <f t="shared" si="196"/>
        <v>3889.83</v>
      </c>
      <c r="AB1009" s="22">
        <f t="shared" si="197"/>
        <v>161.21</v>
      </c>
      <c r="AC1009" s="22">
        <f t="shared" si="198"/>
        <v>36.01</v>
      </c>
      <c r="AD1009" s="22">
        <f t="shared" si="200"/>
        <v>197.22</v>
      </c>
      <c r="AE1009" s="22">
        <f t="shared" si="201"/>
        <v>13759.869999999999</v>
      </c>
      <c r="AF1009" s="19" t="str">
        <f>VLOOKUP(C1009,'2021-22 School Level AAFTE'!C:N,12,FALSE)</f>
        <v>No</v>
      </c>
    </row>
    <row r="1010" spans="1:32" s="19" customFormat="1">
      <c r="A1010" s="97" t="s">
        <v>2295</v>
      </c>
      <c r="B1010" s="97" t="s">
        <v>296</v>
      </c>
      <c r="C1010" s="95">
        <v>2319</v>
      </c>
      <c r="D1010" s="95" t="s">
        <v>297</v>
      </c>
      <c r="E1010" s="129">
        <f>VLOOKUP($C1010,'2021-22 School Level AAFTE'!$C:$Z,11,FALSE)</f>
        <v>0.78469999999999995</v>
      </c>
      <c r="F1010" s="129" t="str">
        <f>VLOOKUP($C1010,'2021-22 School Level AAFTE'!$C:$Z,8,FALSE)</f>
        <v>Yes</v>
      </c>
      <c r="G1010" s="129" t="str">
        <f>VLOOKUP($C1010,'2021-22 School Level AAFTE'!$C:$Z,12,FALSE)</f>
        <v>No</v>
      </c>
      <c r="H1010" s="127">
        <f>VLOOKUP($C1010,'2021-22 School Level AAFTE'!$C:$I,7,FALSE)</f>
        <v>273.94</v>
      </c>
      <c r="I1010" s="112">
        <f>IFERROR(IF(OR(G1010="yes",F1010= "yes"),VLOOKUP(C1010,Summary!$B:$J,6,0),0),0)</f>
        <v>0</v>
      </c>
      <c r="J1010" s="111">
        <f t="shared" si="192"/>
        <v>273.94</v>
      </c>
      <c r="K1010" s="91">
        <f>VLOOKUP($A1010,'2022-23 Salary &amp; Benefits'!$A:$I,3,FALSE)</f>
        <v>1</v>
      </c>
      <c r="L1010" s="91">
        <f>VLOOKUP($A1010,'2022-23 Salary &amp; Benefits'!$A:$I,4,FALSE)</f>
        <v>1</v>
      </c>
      <c r="M1010" s="39">
        <f t="shared" si="199"/>
        <v>273.94</v>
      </c>
      <c r="N1010" s="24">
        <v>15</v>
      </c>
      <c r="O1010" s="26">
        <f t="shared" si="190"/>
        <v>18.262666666666668</v>
      </c>
      <c r="P1010" s="24">
        <v>1.1000000000000001</v>
      </c>
      <c r="Q1010" s="24">
        <v>36</v>
      </c>
      <c r="R1010" s="27">
        <f t="shared" si="191"/>
        <v>723.2016000000001</v>
      </c>
      <c r="S1010" s="102">
        <f t="shared" si="193"/>
        <v>0.80400000000000005</v>
      </c>
      <c r="T1010" s="21">
        <f>VLOOKUP($A1010,'2022-23 Salary &amp; Benefits'!$A:$I,5,FALSE)</f>
        <v>68937</v>
      </c>
      <c r="U1010" s="21">
        <f>VLOOKUP($A1010,'2022-23 Salary &amp; Benefits'!$A:$I,6,FALSE)</f>
        <v>72728</v>
      </c>
      <c r="V1010" s="22">
        <f t="shared" si="194"/>
        <v>55425.35</v>
      </c>
      <c r="W1010" s="22">
        <f t="shared" si="195"/>
        <v>3047.9599999999991</v>
      </c>
      <c r="X1010" s="22">
        <f>'2022-23 Salary &amp; Benefits'!$G$6</f>
        <v>12558.24</v>
      </c>
      <c r="Y1010" s="23">
        <f>'2022-23 Salary &amp; Benefits'!$H$6</f>
        <v>0.2298</v>
      </c>
      <c r="Z1010" s="23">
        <f>'2022-23 Salary &amp; Benefits'!$I$6</f>
        <v>0.22339999999999999</v>
      </c>
      <c r="AA1010" s="22">
        <f t="shared" si="196"/>
        <v>23514.48</v>
      </c>
      <c r="AB1010" s="22">
        <f t="shared" si="197"/>
        <v>974.56</v>
      </c>
      <c r="AC1010" s="22">
        <f t="shared" si="198"/>
        <v>217.72</v>
      </c>
      <c r="AD1010" s="22">
        <f t="shared" si="200"/>
        <v>1192.28</v>
      </c>
      <c r="AE1010" s="22">
        <f t="shared" si="201"/>
        <v>83180.070000000007</v>
      </c>
      <c r="AF1010" s="19" t="str">
        <f>VLOOKUP(C1010,'2021-22 School Level AAFTE'!C:N,12,FALSE)</f>
        <v>No</v>
      </c>
    </row>
    <row r="1011" spans="1:32" s="19" customFormat="1">
      <c r="A1011" s="97" t="s">
        <v>2295</v>
      </c>
      <c r="B1011" s="97" t="s">
        <v>296</v>
      </c>
      <c r="C1011" s="95">
        <v>2369</v>
      </c>
      <c r="D1011" s="95" t="s">
        <v>298</v>
      </c>
      <c r="E1011" s="129">
        <f>VLOOKUP($C1011,'2021-22 School Level AAFTE'!$C:$Z,11,FALSE)</f>
        <v>0.4931666666666667</v>
      </c>
      <c r="F1011" s="129" t="str">
        <f>VLOOKUP($C1011,'2021-22 School Level AAFTE'!$C:$Z,8,FALSE)</f>
        <v>No</v>
      </c>
      <c r="G1011" s="129" t="str">
        <f>VLOOKUP($C1011,'2021-22 School Level AAFTE'!$C:$Z,12,FALSE)</f>
        <v>No</v>
      </c>
      <c r="H1011" s="127">
        <f>VLOOKUP($C1011,'2021-22 School Level AAFTE'!$C:$I,7,FALSE)</f>
        <v>364.24</v>
      </c>
      <c r="I1011" s="112">
        <f>IFERROR(IF(OR(G1011="yes",F1011= "yes"),VLOOKUP(C1011,Summary!$B:$J,6,0),0),0)</f>
        <v>0</v>
      </c>
      <c r="J1011" s="111">
        <f t="shared" si="192"/>
        <v>0</v>
      </c>
      <c r="K1011" s="91">
        <f>VLOOKUP($A1011,'2022-23 Salary &amp; Benefits'!$A:$I,3,FALSE)</f>
        <v>1</v>
      </c>
      <c r="L1011" s="91">
        <f>VLOOKUP($A1011,'2022-23 Salary &amp; Benefits'!$A:$I,4,FALSE)</f>
        <v>1</v>
      </c>
      <c r="M1011" s="39">
        <f t="shared" si="199"/>
        <v>0</v>
      </c>
      <c r="N1011" s="24">
        <v>15</v>
      </c>
      <c r="O1011" s="26">
        <f t="shared" si="190"/>
        <v>0</v>
      </c>
      <c r="P1011" s="24">
        <v>1.1000000000000001</v>
      </c>
      <c r="Q1011" s="24">
        <v>36</v>
      </c>
      <c r="R1011" s="27">
        <f t="shared" si="191"/>
        <v>0</v>
      </c>
      <c r="S1011" s="102">
        <f t="shared" si="193"/>
        <v>0</v>
      </c>
      <c r="T1011" s="21">
        <f>VLOOKUP($A1011,'2022-23 Salary &amp; Benefits'!$A:$I,5,FALSE)</f>
        <v>68937</v>
      </c>
      <c r="U1011" s="21">
        <f>VLOOKUP($A1011,'2022-23 Salary &amp; Benefits'!$A:$I,6,FALSE)</f>
        <v>72728</v>
      </c>
      <c r="V1011" s="22">
        <f t="shared" si="194"/>
        <v>0</v>
      </c>
      <c r="W1011" s="22">
        <f t="shared" si="195"/>
        <v>0</v>
      </c>
      <c r="X1011" s="22">
        <f>'2022-23 Salary &amp; Benefits'!$G$6</f>
        <v>12558.24</v>
      </c>
      <c r="Y1011" s="23">
        <f>'2022-23 Salary &amp; Benefits'!$H$6</f>
        <v>0.2298</v>
      </c>
      <c r="Z1011" s="23">
        <f>'2022-23 Salary &amp; Benefits'!$I$6</f>
        <v>0.22339999999999999</v>
      </c>
      <c r="AA1011" s="22">
        <f t="shared" si="196"/>
        <v>0</v>
      </c>
      <c r="AB1011" s="22">
        <f t="shared" si="197"/>
        <v>0</v>
      </c>
      <c r="AC1011" s="22">
        <f t="shared" si="198"/>
        <v>0</v>
      </c>
      <c r="AD1011" s="22">
        <f t="shared" si="200"/>
        <v>0</v>
      </c>
      <c r="AE1011" s="22">
        <f t="shared" si="201"/>
        <v>0</v>
      </c>
      <c r="AF1011" s="19" t="str">
        <f>VLOOKUP(C1011,'2021-22 School Level AAFTE'!C:N,12,FALSE)</f>
        <v>No</v>
      </c>
    </row>
    <row r="1012" spans="1:32" s="19" customFormat="1">
      <c r="A1012" s="97" t="s">
        <v>2295</v>
      </c>
      <c r="B1012" s="97" t="s">
        <v>296</v>
      </c>
      <c r="C1012" s="95">
        <v>2370</v>
      </c>
      <c r="D1012" s="95" t="s">
        <v>299</v>
      </c>
      <c r="E1012" s="129">
        <f>VLOOKUP($C1012,'2021-22 School Level AAFTE'!$C:$Z,11,FALSE)</f>
        <v>0.8454666666666667</v>
      </c>
      <c r="F1012" s="129" t="str">
        <f>VLOOKUP($C1012,'2021-22 School Level AAFTE'!$C:$Z,8,FALSE)</f>
        <v>Yes</v>
      </c>
      <c r="G1012" s="129" t="str">
        <f>VLOOKUP($C1012,'2021-22 School Level AAFTE'!$C:$Z,12,FALSE)</f>
        <v>No</v>
      </c>
      <c r="H1012" s="127">
        <f>VLOOKUP($C1012,'2021-22 School Level AAFTE'!$C:$I,7,FALSE)</f>
        <v>293.63</v>
      </c>
      <c r="I1012" s="112">
        <f>IFERROR(IF(OR(G1012="yes",F1012= "yes"),VLOOKUP(C1012,Summary!$B:$J,6,0),0),0)</f>
        <v>0</v>
      </c>
      <c r="J1012" s="111">
        <f t="shared" si="192"/>
        <v>293.63</v>
      </c>
      <c r="K1012" s="91">
        <f>VLOOKUP($A1012,'2022-23 Salary &amp; Benefits'!$A:$I,3,FALSE)</f>
        <v>1</v>
      </c>
      <c r="L1012" s="91">
        <f>VLOOKUP($A1012,'2022-23 Salary &amp; Benefits'!$A:$I,4,FALSE)</f>
        <v>1</v>
      </c>
      <c r="M1012" s="39">
        <f t="shared" si="199"/>
        <v>293.63</v>
      </c>
      <c r="N1012" s="24">
        <v>15</v>
      </c>
      <c r="O1012" s="26">
        <f t="shared" si="190"/>
        <v>19.575333333333333</v>
      </c>
      <c r="P1012" s="24">
        <v>1.1000000000000001</v>
      </c>
      <c r="Q1012" s="24">
        <v>36</v>
      </c>
      <c r="R1012" s="27">
        <f t="shared" si="191"/>
        <v>775.18320000000006</v>
      </c>
      <c r="S1012" s="102">
        <f t="shared" si="193"/>
        <v>0.86099999999999999</v>
      </c>
      <c r="T1012" s="21">
        <f>VLOOKUP($A1012,'2022-23 Salary &amp; Benefits'!$A:$I,5,FALSE)</f>
        <v>68937</v>
      </c>
      <c r="U1012" s="21">
        <f>VLOOKUP($A1012,'2022-23 Salary &amp; Benefits'!$A:$I,6,FALSE)</f>
        <v>72728</v>
      </c>
      <c r="V1012" s="22">
        <f t="shared" si="194"/>
        <v>59354.76</v>
      </c>
      <c r="W1012" s="22">
        <f t="shared" si="195"/>
        <v>3264.0499999999956</v>
      </c>
      <c r="X1012" s="22">
        <f>'2022-23 Salary &amp; Benefits'!$G$6</f>
        <v>12558.24</v>
      </c>
      <c r="Y1012" s="23">
        <f>'2022-23 Salary &amp; Benefits'!$H$6</f>
        <v>0.2298</v>
      </c>
      <c r="Z1012" s="23">
        <f>'2022-23 Salary &amp; Benefits'!$I$6</f>
        <v>0.22339999999999999</v>
      </c>
      <c r="AA1012" s="22">
        <f t="shared" si="196"/>
        <v>25181.56</v>
      </c>
      <c r="AB1012" s="22">
        <f t="shared" si="197"/>
        <v>1043.6500000000001</v>
      </c>
      <c r="AC1012" s="22">
        <f t="shared" si="198"/>
        <v>233.15</v>
      </c>
      <c r="AD1012" s="22">
        <f t="shared" si="200"/>
        <v>1276.8000000000002</v>
      </c>
      <c r="AE1012" s="22">
        <f t="shared" si="201"/>
        <v>89077.17</v>
      </c>
      <c r="AF1012" s="19" t="str">
        <f>VLOOKUP(C1012,'2021-22 School Level AAFTE'!C:N,12,FALSE)</f>
        <v>No</v>
      </c>
    </row>
    <row r="1013" spans="1:32" s="19" customFormat="1">
      <c r="A1013" s="97" t="s">
        <v>2295</v>
      </c>
      <c r="B1013" s="97" t="s">
        <v>296</v>
      </c>
      <c r="C1013" s="95">
        <v>2416</v>
      </c>
      <c r="D1013" s="95" t="s">
        <v>300</v>
      </c>
      <c r="E1013" s="129">
        <f>VLOOKUP($C1013,'2021-22 School Level AAFTE'!$C:$Z,11,FALSE)</f>
        <v>0.65070000000000006</v>
      </c>
      <c r="F1013" s="129" t="str">
        <f>VLOOKUP($C1013,'2021-22 School Level AAFTE'!$C:$Z,8,FALSE)</f>
        <v>Yes</v>
      </c>
      <c r="G1013" s="129" t="str">
        <f>VLOOKUP($C1013,'2021-22 School Level AAFTE'!$C:$Z,12,FALSE)</f>
        <v>No</v>
      </c>
      <c r="H1013" s="127">
        <f>VLOOKUP($C1013,'2021-22 School Level AAFTE'!$C:$I,7,FALSE)</f>
        <v>899.48</v>
      </c>
      <c r="I1013" s="112">
        <f>IFERROR(IF(OR(G1013="yes",F1013= "yes"),VLOOKUP(C1013,Summary!$B:$J,6,0),0),0)</f>
        <v>0</v>
      </c>
      <c r="J1013" s="111">
        <f t="shared" si="192"/>
        <v>899.48</v>
      </c>
      <c r="K1013" s="91">
        <f>VLOOKUP($A1013,'2022-23 Salary &amp; Benefits'!$A:$I,3,FALSE)</f>
        <v>1</v>
      </c>
      <c r="L1013" s="91">
        <f>VLOOKUP($A1013,'2022-23 Salary &amp; Benefits'!$A:$I,4,FALSE)</f>
        <v>1</v>
      </c>
      <c r="M1013" s="39">
        <f t="shared" si="199"/>
        <v>899.48</v>
      </c>
      <c r="N1013" s="24">
        <v>15</v>
      </c>
      <c r="O1013" s="26">
        <f t="shared" si="190"/>
        <v>59.965333333333334</v>
      </c>
      <c r="P1013" s="24">
        <v>1.1000000000000001</v>
      </c>
      <c r="Q1013" s="24">
        <v>36</v>
      </c>
      <c r="R1013" s="27">
        <f t="shared" si="191"/>
        <v>2374.6271999999999</v>
      </c>
      <c r="S1013" s="102">
        <f t="shared" si="193"/>
        <v>2.6379999999999999</v>
      </c>
      <c r="T1013" s="21">
        <f>VLOOKUP($A1013,'2022-23 Salary &amp; Benefits'!$A:$I,5,FALSE)</f>
        <v>68937</v>
      </c>
      <c r="U1013" s="21">
        <f>VLOOKUP($A1013,'2022-23 Salary &amp; Benefits'!$A:$I,6,FALSE)</f>
        <v>72728</v>
      </c>
      <c r="V1013" s="22">
        <f t="shared" si="194"/>
        <v>181855.81</v>
      </c>
      <c r="W1013" s="22">
        <f t="shared" si="195"/>
        <v>10000.649999999994</v>
      </c>
      <c r="X1013" s="22">
        <f>'2022-23 Salary &amp; Benefits'!$G$6</f>
        <v>12558.24</v>
      </c>
      <c r="Y1013" s="23">
        <f>'2022-23 Salary &amp; Benefits'!$H$6</f>
        <v>0.2298</v>
      </c>
      <c r="Z1013" s="23">
        <f>'2022-23 Salary &amp; Benefits'!$I$6</f>
        <v>0.22339999999999999</v>
      </c>
      <c r="AA1013" s="22">
        <f t="shared" si="196"/>
        <v>77153.25</v>
      </c>
      <c r="AB1013" s="22">
        <f t="shared" si="197"/>
        <v>3197.61</v>
      </c>
      <c r="AC1013" s="22">
        <f t="shared" si="198"/>
        <v>714.35</v>
      </c>
      <c r="AD1013" s="22">
        <f t="shared" si="200"/>
        <v>3911.96</v>
      </c>
      <c r="AE1013" s="22">
        <f t="shared" si="201"/>
        <v>272921.67</v>
      </c>
      <c r="AF1013" s="19" t="str">
        <f>VLOOKUP(C1013,'2021-22 School Level AAFTE'!C:N,12,FALSE)</f>
        <v>No</v>
      </c>
    </row>
    <row r="1014" spans="1:32" s="19" customFormat="1">
      <c r="A1014" s="97" t="s">
        <v>2295</v>
      </c>
      <c r="B1014" s="97" t="s">
        <v>296</v>
      </c>
      <c r="C1014" s="95">
        <v>2726</v>
      </c>
      <c r="D1014" s="95" t="s">
        <v>301</v>
      </c>
      <c r="E1014" s="129">
        <f>VLOOKUP($C1014,'2021-22 School Level AAFTE'!$C:$Z,11,FALSE)</f>
        <v>0.71986666666666677</v>
      </c>
      <c r="F1014" s="129" t="str">
        <f>VLOOKUP($C1014,'2021-22 School Level AAFTE'!$C:$Z,8,FALSE)</f>
        <v>Yes</v>
      </c>
      <c r="G1014" s="129" t="str">
        <f>VLOOKUP($C1014,'2021-22 School Level AAFTE'!$C:$Z,12,FALSE)</f>
        <v>No</v>
      </c>
      <c r="H1014" s="127">
        <f>VLOOKUP($C1014,'2021-22 School Level AAFTE'!$C:$I,7,FALSE)</f>
        <v>349.37</v>
      </c>
      <c r="I1014" s="112">
        <f>IFERROR(IF(OR(G1014="yes",F1014= "yes"),VLOOKUP(C1014,Summary!$B:$J,6,0),0),0)</f>
        <v>0</v>
      </c>
      <c r="J1014" s="111">
        <f t="shared" si="192"/>
        <v>349.37</v>
      </c>
      <c r="K1014" s="91">
        <f>VLOOKUP($A1014,'2022-23 Salary &amp; Benefits'!$A:$I,3,FALSE)</f>
        <v>1</v>
      </c>
      <c r="L1014" s="91">
        <f>VLOOKUP($A1014,'2022-23 Salary &amp; Benefits'!$A:$I,4,FALSE)</f>
        <v>1</v>
      </c>
      <c r="M1014" s="39">
        <f t="shared" si="199"/>
        <v>349.37</v>
      </c>
      <c r="N1014" s="24">
        <v>15</v>
      </c>
      <c r="O1014" s="26">
        <f t="shared" si="190"/>
        <v>23.291333333333334</v>
      </c>
      <c r="P1014" s="24">
        <v>1.1000000000000001</v>
      </c>
      <c r="Q1014" s="24">
        <v>36</v>
      </c>
      <c r="R1014" s="27">
        <f t="shared" si="191"/>
        <v>922.33680000000004</v>
      </c>
      <c r="S1014" s="102">
        <f t="shared" si="193"/>
        <v>1.0249999999999999</v>
      </c>
      <c r="T1014" s="21">
        <f>VLOOKUP($A1014,'2022-23 Salary &amp; Benefits'!$A:$I,5,FALSE)</f>
        <v>68937</v>
      </c>
      <c r="U1014" s="21">
        <f>VLOOKUP($A1014,'2022-23 Salary &amp; Benefits'!$A:$I,6,FALSE)</f>
        <v>72728</v>
      </c>
      <c r="V1014" s="22">
        <f t="shared" si="194"/>
        <v>70660.429999999993</v>
      </c>
      <c r="W1014" s="22">
        <f t="shared" si="195"/>
        <v>3885.7700000000041</v>
      </c>
      <c r="X1014" s="22">
        <f>'2022-23 Salary &amp; Benefits'!$G$6</f>
        <v>12558.24</v>
      </c>
      <c r="Y1014" s="23">
        <f>'2022-23 Salary &amp; Benefits'!$H$6</f>
        <v>0.2298</v>
      </c>
      <c r="Z1014" s="23">
        <f>'2022-23 Salary &amp; Benefits'!$I$6</f>
        <v>0.22339999999999999</v>
      </c>
      <c r="AA1014" s="22">
        <f t="shared" si="196"/>
        <v>29978.04</v>
      </c>
      <c r="AB1014" s="22">
        <f t="shared" si="197"/>
        <v>1242.44</v>
      </c>
      <c r="AC1014" s="22">
        <f t="shared" si="198"/>
        <v>277.56</v>
      </c>
      <c r="AD1014" s="22">
        <f t="shared" si="200"/>
        <v>1520</v>
      </c>
      <c r="AE1014" s="22">
        <f t="shared" si="201"/>
        <v>106044.24</v>
      </c>
      <c r="AF1014" s="19" t="str">
        <f>VLOOKUP(C1014,'2021-22 School Level AAFTE'!C:N,12,FALSE)</f>
        <v>No</v>
      </c>
    </row>
    <row r="1015" spans="1:32" s="19" customFormat="1">
      <c r="A1015" s="97" t="s">
        <v>2295</v>
      </c>
      <c r="B1015" s="97" t="s">
        <v>296</v>
      </c>
      <c r="C1015" s="95">
        <v>2831</v>
      </c>
      <c r="D1015" s="95" t="s">
        <v>302</v>
      </c>
      <c r="E1015" s="129">
        <f>VLOOKUP($C1015,'2021-22 School Level AAFTE'!$C:$Z,11,FALSE)</f>
        <v>0.74026666666666652</v>
      </c>
      <c r="F1015" s="129" t="str">
        <f>VLOOKUP($C1015,'2021-22 School Level AAFTE'!$C:$Z,8,FALSE)</f>
        <v>Yes</v>
      </c>
      <c r="G1015" s="129" t="str">
        <f>VLOOKUP($C1015,'2021-22 School Level AAFTE'!$C:$Z,12,FALSE)</f>
        <v>No</v>
      </c>
      <c r="H1015" s="127">
        <f>VLOOKUP($C1015,'2021-22 School Level AAFTE'!$C:$I,7,FALSE)</f>
        <v>515.92999999999995</v>
      </c>
      <c r="I1015" s="112">
        <f>IFERROR(IF(OR(G1015="yes",F1015= "yes"),VLOOKUP(C1015,Summary!$B:$J,6,0),0),0)</f>
        <v>0</v>
      </c>
      <c r="J1015" s="111">
        <f t="shared" si="192"/>
        <v>515.92999999999995</v>
      </c>
      <c r="K1015" s="91">
        <f>VLOOKUP($A1015,'2022-23 Salary &amp; Benefits'!$A:$I,3,FALSE)</f>
        <v>1</v>
      </c>
      <c r="L1015" s="91">
        <f>VLOOKUP($A1015,'2022-23 Salary &amp; Benefits'!$A:$I,4,FALSE)</f>
        <v>1</v>
      </c>
      <c r="M1015" s="39">
        <f t="shared" si="199"/>
        <v>515.92999999999995</v>
      </c>
      <c r="N1015" s="24">
        <v>15</v>
      </c>
      <c r="O1015" s="26">
        <f t="shared" si="190"/>
        <v>34.395333333333333</v>
      </c>
      <c r="P1015" s="24">
        <v>1.1000000000000001</v>
      </c>
      <c r="Q1015" s="24">
        <v>36</v>
      </c>
      <c r="R1015" s="27">
        <f t="shared" si="191"/>
        <v>1362.0552000000002</v>
      </c>
      <c r="S1015" s="102">
        <f t="shared" si="193"/>
        <v>1.5129999999999999</v>
      </c>
      <c r="T1015" s="21">
        <f>VLOOKUP($A1015,'2022-23 Salary &amp; Benefits'!$A:$I,5,FALSE)</f>
        <v>68937</v>
      </c>
      <c r="U1015" s="21">
        <f>VLOOKUP($A1015,'2022-23 Salary &amp; Benefits'!$A:$I,6,FALSE)</f>
        <v>72728</v>
      </c>
      <c r="V1015" s="22">
        <f t="shared" si="194"/>
        <v>104301.68</v>
      </c>
      <c r="W1015" s="22">
        <f t="shared" si="195"/>
        <v>5735.7800000000134</v>
      </c>
      <c r="X1015" s="22">
        <f>'2022-23 Salary &amp; Benefits'!$G$6</f>
        <v>12558.24</v>
      </c>
      <c r="Y1015" s="23">
        <f>'2022-23 Salary &amp; Benefits'!$H$6</f>
        <v>0.2298</v>
      </c>
      <c r="Z1015" s="23">
        <f>'2022-23 Salary &amp; Benefits'!$I$6</f>
        <v>0.22339999999999999</v>
      </c>
      <c r="AA1015" s="22">
        <f t="shared" si="196"/>
        <v>44250.52</v>
      </c>
      <c r="AB1015" s="22">
        <f t="shared" si="197"/>
        <v>1833.96</v>
      </c>
      <c r="AC1015" s="22">
        <f t="shared" si="198"/>
        <v>409.71</v>
      </c>
      <c r="AD1015" s="22">
        <f t="shared" si="200"/>
        <v>2243.67</v>
      </c>
      <c r="AE1015" s="22">
        <f t="shared" si="201"/>
        <v>156531.65</v>
      </c>
      <c r="AF1015" s="19" t="str">
        <f>VLOOKUP(C1015,'2021-22 School Level AAFTE'!C:N,12,FALSE)</f>
        <v>No</v>
      </c>
    </row>
    <row r="1016" spans="1:32" s="19" customFormat="1">
      <c r="A1016" s="97" t="s">
        <v>2295</v>
      </c>
      <c r="B1016" s="97" t="s">
        <v>296</v>
      </c>
      <c r="C1016" s="95">
        <v>2914</v>
      </c>
      <c r="D1016" s="95" t="s">
        <v>303</v>
      </c>
      <c r="E1016" s="129">
        <f>VLOOKUP($C1016,'2021-22 School Level AAFTE'!$C:$Z,11,FALSE)</f>
        <v>0.72506666666666675</v>
      </c>
      <c r="F1016" s="129" t="str">
        <f>VLOOKUP($C1016,'2021-22 School Level AAFTE'!$C:$Z,8,FALSE)</f>
        <v>Yes</v>
      </c>
      <c r="G1016" s="129" t="str">
        <f>VLOOKUP($C1016,'2021-22 School Level AAFTE'!$C:$Z,12,FALSE)</f>
        <v>No</v>
      </c>
      <c r="H1016" s="127">
        <f>VLOOKUP($C1016,'2021-22 School Level AAFTE'!$C:$I,7,FALSE)</f>
        <v>319.39</v>
      </c>
      <c r="I1016" s="112">
        <f>IFERROR(IF(OR(G1016="yes",F1016= "yes"),VLOOKUP(C1016,Summary!$B:$J,6,0),0),0)</f>
        <v>0</v>
      </c>
      <c r="J1016" s="111">
        <f t="shared" si="192"/>
        <v>319.39</v>
      </c>
      <c r="K1016" s="91">
        <f>VLOOKUP($A1016,'2022-23 Salary &amp; Benefits'!$A:$I,3,FALSE)</f>
        <v>1</v>
      </c>
      <c r="L1016" s="91">
        <f>VLOOKUP($A1016,'2022-23 Salary &amp; Benefits'!$A:$I,4,FALSE)</f>
        <v>1</v>
      </c>
      <c r="M1016" s="39">
        <f t="shared" si="199"/>
        <v>319.39</v>
      </c>
      <c r="N1016" s="24">
        <v>15</v>
      </c>
      <c r="O1016" s="26">
        <f t="shared" si="190"/>
        <v>21.292666666666666</v>
      </c>
      <c r="P1016" s="24">
        <v>1.1000000000000001</v>
      </c>
      <c r="Q1016" s="24">
        <v>36</v>
      </c>
      <c r="R1016" s="27">
        <f t="shared" si="191"/>
        <v>843.18960000000004</v>
      </c>
      <c r="S1016" s="102">
        <f t="shared" si="193"/>
        <v>0.93700000000000006</v>
      </c>
      <c r="T1016" s="21">
        <f>VLOOKUP($A1016,'2022-23 Salary &amp; Benefits'!$A:$I,5,FALSE)</f>
        <v>68937</v>
      </c>
      <c r="U1016" s="21">
        <f>VLOOKUP($A1016,'2022-23 Salary &amp; Benefits'!$A:$I,6,FALSE)</f>
        <v>72728</v>
      </c>
      <c r="V1016" s="22">
        <f t="shared" si="194"/>
        <v>64593.97</v>
      </c>
      <c r="W1016" s="22">
        <f t="shared" si="195"/>
        <v>3552.1699999999983</v>
      </c>
      <c r="X1016" s="22">
        <f>'2022-23 Salary &amp; Benefits'!$G$6</f>
        <v>12558.24</v>
      </c>
      <c r="Y1016" s="23">
        <f>'2022-23 Salary &amp; Benefits'!$H$6</f>
        <v>0.2298</v>
      </c>
      <c r="Z1016" s="23">
        <f>'2022-23 Salary &amp; Benefits'!$I$6</f>
        <v>0.22339999999999999</v>
      </c>
      <c r="AA1016" s="22">
        <f t="shared" si="196"/>
        <v>27404.32</v>
      </c>
      <c r="AB1016" s="22">
        <f t="shared" si="197"/>
        <v>1135.77</v>
      </c>
      <c r="AC1016" s="22">
        <f t="shared" si="198"/>
        <v>253.73</v>
      </c>
      <c r="AD1016" s="22">
        <f t="shared" si="200"/>
        <v>1389.5</v>
      </c>
      <c r="AE1016" s="22">
        <f t="shared" si="201"/>
        <v>96939.96</v>
      </c>
      <c r="AF1016" s="19" t="str">
        <f>VLOOKUP(C1016,'2021-22 School Level AAFTE'!C:N,12,FALSE)</f>
        <v>No</v>
      </c>
    </row>
    <row r="1017" spans="1:32" s="19" customFormat="1">
      <c r="A1017" s="97" t="s">
        <v>2295</v>
      </c>
      <c r="B1017" s="97" t="s">
        <v>296</v>
      </c>
      <c r="C1017" s="95">
        <v>3019</v>
      </c>
      <c r="D1017" s="95" t="s">
        <v>304</v>
      </c>
      <c r="E1017" s="129">
        <f>VLOOKUP($C1017,'2021-22 School Level AAFTE'!$C:$Z,11,FALSE)</f>
        <v>0.41143333333333337</v>
      </c>
      <c r="F1017" s="129" t="str">
        <f>VLOOKUP($C1017,'2021-22 School Level AAFTE'!$C:$Z,8,FALSE)</f>
        <v>No</v>
      </c>
      <c r="G1017" s="129" t="str">
        <f>VLOOKUP($C1017,'2021-22 School Level AAFTE'!$C:$Z,12,FALSE)</f>
        <v>No</v>
      </c>
      <c r="H1017" s="127">
        <f>VLOOKUP($C1017,'2021-22 School Level AAFTE'!$C:$I,7,FALSE)</f>
        <v>413.3</v>
      </c>
      <c r="I1017" s="112">
        <f>IFERROR(IF(OR(G1017="yes",F1017= "yes"),VLOOKUP(C1017,Summary!$B:$J,6,0),0),0)</f>
        <v>0</v>
      </c>
      <c r="J1017" s="111">
        <f t="shared" si="192"/>
        <v>0</v>
      </c>
      <c r="K1017" s="91">
        <f>VLOOKUP($A1017,'2022-23 Salary &amp; Benefits'!$A:$I,3,FALSE)</f>
        <v>1</v>
      </c>
      <c r="L1017" s="91">
        <f>VLOOKUP($A1017,'2022-23 Salary &amp; Benefits'!$A:$I,4,FALSE)</f>
        <v>1</v>
      </c>
      <c r="M1017" s="39">
        <f t="shared" si="199"/>
        <v>0</v>
      </c>
      <c r="N1017" s="24">
        <v>15</v>
      </c>
      <c r="O1017" s="26">
        <f t="shared" si="190"/>
        <v>0</v>
      </c>
      <c r="P1017" s="24">
        <v>1.1000000000000001</v>
      </c>
      <c r="Q1017" s="24">
        <v>36</v>
      </c>
      <c r="R1017" s="27">
        <f t="shared" si="191"/>
        <v>0</v>
      </c>
      <c r="S1017" s="102">
        <f t="shared" si="193"/>
        <v>0</v>
      </c>
      <c r="T1017" s="21">
        <f>VLOOKUP($A1017,'2022-23 Salary &amp; Benefits'!$A:$I,5,FALSE)</f>
        <v>68937</v>
      </c>
      <c r="U1017" s="21">
        <f>VLOOKUP($A1017,'2022-23 Salary &amp; Benefits'!$A:$I,6,FALSE)</f>
        <v>72728</v>
      </c>
      <c r="V1017" s="22">
        <f t="shared" si="194"/>
        <v>0</v>
      </c>
      <c r="W1017" s="22">
        <f t="shared" si="195"/>
        <v>0</v>
      </c>
      <c r="X1017" s="22">
        <f>'2022-23 Salary &amp; Benefits'!$G$6</f>
        <v>12558.24</v>
      </c>
      <c r="Y1017" s="23">
        <f>'2022-23 Salary &amp; Benefits'!$H$6</f>
        <v>0.2298</v>
      </c>
      <c r="Z1017" s="23">
        <f>'2022-23 Salary &amp; Benefits'!$I$6</f>
        <v>0.22339999999999999</v>
      </c>
      <c r="AA1017" s="22">
        <f t="shared" si="196"/>
        <v>0</v>
      </c>
      <c r="AB1017" s="22">
        <f t="shared" si="197"/>
        <v>0</v>
      </c>
      <c r="AC1017" s="22">
        <f t="shared" si="198"/>
        <v>0</v>
      </c>
      <c r="AD1017" s="22">
        <f t="shared" si="200"/>
        <v>0</v>
      </c>
      <c r="AE1017" s="22">
        <f t="shared" si="201"/>
        <v>0</v>
      </c>
      <c r="AF1017" s="19" t="str">
        <f>VLOOKUP(C1017,'2021-22 School Level AAFTE'!C:N,12,FALSE)</f>
        <v>No</v>
      </c>
    </row>
    <row r="1018" spans="1:32" s="19" customFormat="1">
      <c r="A1018" s="97" t="s">
        <v>2295</v>
      </c>
      <c r="B1018" s="97" t="s">
        <v>296</v>
      </c>
      <c r="C1018" s="95">
        <v>3151</v>
      </c>
      <c r="D1018" s="95" t="s">
        <v>305</v>
      </c>
      <c r="E1018" s="129">
        <f>VLOOKUP($C1018,'2021-22 School Level AAFTE'!$C:$Z,11,FALSE)</f>
        <v>0.47120000000000006</v>
      </c>
      <c r="F1018" s="129" t="str">
        <f>VLOOKUP($C1018,'2021-22 School Level AAFTE'!$C:$Z,8,FALSE)</f>
        <v>No</v>
      </c>
      <c r="G1018" s="129" t="str">
        <f>VLOOKUP($C1018,'2021-22 School Level AAFTE'!$C:$Z,12,FALSE)</f>
        <v>No</v>
      </c>
      <c r="H1018" s="127">
        <f>VLOOKUP($C1018,'2021-22 School Level AAFTE'!$C:$I,7,FALSE)</f>
        <v>896.31000000000006</v>
      </c>
      <c r="I1018" s="112">
        <f>IFERROR(IF(OR(G1018="yes",F1018= "yes"),VLOOKUP(C1018,Summary!$B:$J,6,0),0),0)</f>
        <v>0</v>
      </c>
      <c r="J1018" s="111">
        <f t="shared" si="192"/>
        <v>0</v>
      </c>
      <c r="K1018" s="91">
        <f>VLOOKUP($A1018,'2022-23 Salary &amp; Benefits'!$A:$I,3,FALSE)</f>
        <v>1</v>
      </c>
      <c r="L1018" s="91">
        <f>VLOOKUP($A1018,'2022-23 Salary &amp; Benefits'!$A:$I,4,FALSE)</f>
        <v>1</v>
      </c>
      <c r="M1018" s="39">
        <f t="shared" si="199"/>
        <v>0</v>
      </c>
      <c r="N1018" s="24">
        <v>15</v>
      </c>
      <c r="O1018" s="26">
        <f t="shared" si="190"/>
        <v>0</v>
      </c>
      <c r="P1018" s="24">
        <v>1.1000000000000001</v>
      </c>
      <c r="Q1018" s="24">
        <v>36</v>
      </c>
      <c r="R1018" s="27">
        <f t="shared" si="191"/>
        <v>0</v>
      </c>
      <c r="S1018" s="102">
        <f t="shared" si="193"/>
        <v>0</v>
      </c>
      <c r="T1018" s="21">
        <f>VLOOKUP($A1018,'2022-23 Salary &amp; Benefits'!$A:$I,5,FALSE)</f>
        <v>68937</v>
      </c>
      <c r="U1018" s="21">
        <f>VLOOKUP($A1018,'2022-23 Salary &amp; Benefits'!$A:$I,6,FALSE)</f>
        <v>72728</v>
      </c>
      <c r="V1018" s="22">
        <f t="shared" si="194"/>
        <v>0</v>
      </c>
      <c r="W1018" s="22">
        <f t="shared" si="195"/>
        <v>0</v>
      </c>
      <c r="X1018" s="22">
        <f>'2022-23 Salary &amp; Benefits'!$G$6</f>
        <v>12558.24</v>
      </c>
      <c r="Y1018" s="23">
        <f>'2022-23 Salary &amp; Benefits'!$H$6</f>
        <v>0.2298</v>
      </c>
      <c r="Z1018" s="23">
        <f>'2022-23 Salary &amp; Benefits'!$I$6</f>
        <v>0.22339999999999999</v>
      </c>
      <c r="AA1018" s="22">
        <f t="shared" si="196"/>
        <v>0</v>
      </c>
      <c r="AB1018" s="22">
        <f t="shared" si="197"/>
        <v>0</v>
      </c>
      <c r="AC1018" s="22">
        <f t="shared" si="198"/>
        <v>0</v>
      </c>
      <c r="AD1018" s="22">
        <f t="shared" si="200"/>
        <v>0</v>
      </c>
      <c r="AE1018" s="22">
        <f t="shared" si="201"/>
        <v>0</v>
      </c>
      <c r="AF1018" s="19" t="str">
        <f>VLOOKUP(C1018,'2021-22 School Level AAFTE'!C:N,12,FALSE)</f>
        <v>No</v>
      </c>
    </row>
    <row r="1019" spans="1:32" s="19" customFormat="1">
      <c r="A1019" s="97" t="s">
        <v>2295</v>
      </c>
      <c r="B1019" s="97" t="s">
        <v>296</v>
      </c>
      <c r="C1019" s="95">
        <v>3211</v>
      </c>
      <c r="D1019" s="95" t="s">
        <v>306</v>
      </c>
      <c r="E1019" s="129">
        <f>VLOOKUP($C1019,'2021-22 School Level AAFTE'!$C:$Z,11,FALSE)</f>
        <v>0.51616666666666655</v>
      </c>
      <c r="F1019" s="129" t="str">
        <f>VLOOKUP($C1019,'2021-22 School Level AAFTE'!$C:$Z,8,FALSE)</f>
        <v>Yes</v>
      </c>
      <c r="G1019" s="129" t="str">
        <f>VLOOKUP($C1019,'2021-22 School Level AAFTE'!$C:$Z,12,FALSE)</f>
        <v>No</v>
      </c>
      <c r="H1019" s="127">
        <f>VLOOKUP($C1019,'2021-22 School Level AAFTE'!$C:$I,7,FALSE)</f>
        <v>367.5</v>
      </c>
      <c r="I1019" s="112">
        <f>IFERROR(IF(OR(G1019="yes",F1019= "yes"),VLOOKUP(C1019,Summary!$B:$J,6,0),0),0)</f>
        <v>0</v>
      </c>
      <c r="J1019" s="111">
        <f t="shared" si="192"/>
        <v>367.5</v>
      </c>
      <c r="K1019" s="91">
        <f>VLOOKUP($A1019,'2022-23 Salary &amp; Benefits'!$A:$I,3,FALSE)</f>
        <v>1</v>
      </c>
      <c r="L1019" s="91">
        <f>VLOOKUP($A1019,'2022-23 Salary &amp; Benefits'!$A:$I,4,FALSE)</f>
        <v>1</v>
      </c>
      <c r="M1019" s="39">
        <f t="shared" si="199"/>
        <v>367.5</v>
      </c>
      <c r="N1019" s="24">
        <v>15</v>
      </c>
      <c r="O1019" s="26">
        <f t="shared" si="190"/>
        <v>24.5</v>
      </c>
      <c r="P1019" s="24">
        <v>1.1000000000000001</v>
      </c>
      <c r="Q1019" s="24">
        <v>36</v>
      </c>
      <c r="R1019" s="27">
        <f t="shared" si="191"/>
        <v>970.2</v>
      </c>
      <c r="S1019" s="102">
        <f t="shared" si="193"/>
        <v>1.0780000000000001</v>
      </c>
      <c r="T1019" s="21">
        <f>VLOOKUP($A1019,'2022-23 Salary &amp; Benefits'!$A:$I,5,FALSE)</f>
        <v>68937</v>
      </c>
      <c r="U1019" s="21">
        <f>VLOOKUP($A1019,'2022-23 Salary &amp; Benefits'!$A:$I,6,FALSE)</f>
        <v>72728</v>
      </c>
      <c r="V1019" s="22">
        <f t="shared" si="194"/>
        <v>74314.09</v>
      </c>
      <c r="W1019" s="22">
        <f t="shared" si="195"/>
        <v>4086.6900000000023</v>
      </c>
      <c r="X1019" s="22">
        <f>'2022-23 Salary &amp; Benefits'!$G$6</f>
        <v>12558.24</v>
      </c>
      <c r="Y1019" s="23">
        <f>'2022-23 Salary &amp; Benefits'!$H$6</f>
        <v>0.2298</v>
      </c>
      <c r="Z1019" s="23">
        <f>'2022-23 Salary &amp; Benefits'!$I$6</f>
        <v>0.22339999999999999</v>
      </c>
      <c r="AA1019" s="22">
        <f t="shared" si="196"/>
        <v>31528.13</v>
      </c>
      <c r="AB1019" s="22">
        <f t="shared" si="197"/>
        <v>1306.68</v>
      </c>
      <c r="AC1019" s="22">
        <f t="shared" si="198"/>
        <v>291.91000000000003</v>
      </c>
      <c r="AD1019" s="22">
        <f t="shared" si="200"/>
        <v>1598.5900000000001</v>
      </c>
      <c r="AE1019" s="22">
        <f t="shared" si="201"/>
        <v>111527.5</v>
      </c>
      <c r="AF1019" s="19" t="str">
        <f>VLOOKUP(C1019,'2021-22 School Level AAFTE'!C:N,12,FALSE)</f>
        <v>No</v>
      </c>
    </row>
    <row r="1020" spans="1:32" s="19" customFormat="1">
      <c r="A1020" s="97" t="s">
        <v>2295</v>
      </c>
      <c r="B1020" s="97" t="s">
        <v>296</v>
      </c>
      <c r="C1020" s="95">
        <v>3475</v>
      </c>
      <c r="D1020" s="95" t="s">
        <v>231</v>
      </c>
      <c r="E1020" s="129">
        <f>VLOOKUP($C1020,'2021-22 School Level AAFTE'!$C:$Z,11,FALSE)</f>
        <v>0.6222333333333333</v>
      </c>
      <c r="F1020" s="129" t="str">
        <f>VLOOKUP($C1020,'2021-22 School Level AAFTE'!$C:$Z,8,FALSE)</f>
        <v>Yes</v>
      </c>
      <c r="G1020" s="129" t="str">
        <f>VLOOKUP($C1020,'2021-22 School Level AAFTE'!$C:$Z,12,FALSE)</f>
        <v>No</v>
      </c>
      <c r="H1020" s="127">
        <f>VLOOKUP($C1020,'2021-22 School Level AAFTE'!$C:$I,7,FALSE)</f>
        <v>471.58</v>
      </c>
      <c r="I1020" s="112">
        <f>IFERROR(IF(OR(G1020="yes",F1020= "yes"),VLOOKUP(C1020,Summary!$B:$J,6,0),0),0)</f>
        <v>0</v>
      </c>
      <c r="J1020" s="111">
        <f t="shared" si="192"/>
        <v>471.58</v>
      </c>
      <c r="K1020" s="91">
        <f>VLOOKUP($A1020,'2022-23 Salary &amp; Benefits'!$A:$I,3,FALSE)</f>
        <v>1</v>
      </c>
      <c r="L1020" s="91">
        <f>VLOOKUP($A1020,'2022-23 Salary &amp; Benefits'!$A:$I,4,FALSE)</f>
        <v>1</v>
      </c>
      <c r="M1020" s="39">
        <f t="shared" si="199"/>
        <v>471.58</v>
      </c>
      <c r="N1020" s="24">
        <v>15</v>
      </c>
      <c r="O1020" s="26">
        <f t="shared" si="190"/>
        <v>31.438666666666666</v>
      </c>
      <c r="P1020" s="24">
        <v>1.1000000000000001</v>
      </c>
      <c r="Q1020" s="24">
        <v>36</v>
      </c>
      <c r="R1020" s="27">
        <f t="shared" si="191"/>
        <v>1244.9712000000002</v>
      </c>
      <c r="S1020" s="102">
        <f t="shared" si="193"/>
        <v>1.383</v>
      </c>
      <c r="T1020" s="21">
        <f>VLOOKUP($A1020,'2022-23 Salary &amp; Benefits'!$A:$I,5,FALSE)</f>
        <v>68937</v>
      </c>
      <c r="U1020" s="21">
        <f>VLOOKUP($A1020,'2022-23 Salary &amp; Benefits'!$A:$I,6,FALSE)</f>
        <v>72728</v>
      </c>
      <c r="V1020" s="22">
        <f t="shared" si="194"/>
        <v>95339.87</v>
      </c>
      <c r="W1020" s="22">
        <f t="shared" si="195"/>
        <v>5242.9500000000116</v>
      </c>
      <c r="X1020" s="22">
        <f>'2022-23 Salary &amp; Benefits'!$G$6</f>
        <v>12558.24</v>
      </c>
      <c r="Y1020" s="23">
        <f>'2022-23 Salary &amp; Benefits'!$H$6</f>
        <v>0.2298</v>
      </c>
      <c r="Z1020" s="23">
        <f>'2022-23 Salary &amp; Benefits'!$I$6</f>
        <v>0.22339999999999999</v>
      </c>
      <c r="AA1020" s="22">
        <f t="shared" si="196"/>
        <v>40448.42</v>
      </c>
      <c r="AB1020" s="22">
        <f t="shared" si="197"/>
        <v>1676.38</v>
      </c>
      <c r="AC1020" s="22">
        <f t="shared" si="198"/>
        <v>374.5</v>
      </c>
      <c r="AD1020" s="22">
        <f t="shared" si="200"/>
        <v>2050.88</v>
      </c>
      <c r="AE1020" s="22">
        <f t="shared" si="201"/>
        <v>143082.12</v>
      </c>
      <c r="AF1020" s="19" t="str">
        <f>VLOOKUP(C1020,'2021-22 School Level AAFTE'!C:N,12,FALSE)</f>
        <v>No</v>
      </c>
    </row>
    <row r="1021" spans="1:32" s="19" customFormat="1">
      <c r="A1021" s="97" t="s">
        <v>2295</v>
      </c>
      <c r="B1021" s="97" t="s">
        <v>296</v>
      </c>
      <c r="C1021" s="95">
        <v>3658</v>
      </c>
      <c r="D1021" s="95" t="s">
        <v>307</v>
      </c>
      <c r="E1021" s="129">
        <f>VLOOKUP($C1021,'2021-22 School Level AAFTE'!$C:$Z,11,FALSE)</f>
        <v>0.72773333333333345</v>
      </c>
      <c r="F1021" s="129" t="str">
        <f>VLOOKUP($C1021,'2021-22 School Level AAFTE'!$C:$Z,8,FALSE)</f>
        <v>Yes</v>
      </c>
      <c r="G1021" s="129" t="str">
        <f>VLOOKUP($C1021,'2021-22 School Level AAFTE'!$C:$Z,12,FALSE)</f>
        <v>No</v>
      </c>
      <c r="H1021" s="127">
        <f>VLOOKUP($C1021,'2021-22 School Level AAFTE'!$C:$I,7,FALSE)</f>
        <v>385.74</v>
      </c>
      <c r="I1021" s="112">
        <f>IFERROR(IF(OR(G1021="yes",F1021= "yes"),VLOOKUP(C1021,Summary!$B:$J,6,0),0),0)</f>
        <v>0</v>
      </c>
      <c r="J1021" s="111">
        <f t="shared" si="192"/>
        <v>385.74</v>
      </c>
      <c r="K1021" s="91">
        <f>VLOOKUP($A1021,'2022-23 Salary &amp; Benefits'!$A:$I,3,FALSE)</f>
        <v>1</v>
      </c>
      <c r="L1021" s="91">
        <f>VLOOKUP($A1021,'2022-23 Salary &amp; Benefits'!$A:$I,4,FALSE)</f>
        <v>1</v>
      </c>
      <c r="M1021" s="39">
        <f t="shared" si="199"/>
        <v>385.74</v>
      </c>
      <c r="N1021" s="24">
        <v>15</v>
      </c>
      <c r="O1021" s="26">
        <f t="shared" si="190"/>
        <v>25.716000000000001</v>
      </c>
      <c r="P1021" s="24">
        <v>1.1000000000000001</v>
      </c>
      <c r="Q1021" s="24">
        <v>36</v>
      </c>
      <c r="R1021" s="27">
        <f t="shared" si="191"/>
        <v>1018.3536000000001</v>
      </c>
      <c r="S1021" s="102">
        <f t="shared" si="193"/>
        <v>1.1319999999999999</v>
      </c>
      <c r="T1021" s="21">
        <f>VLOOKUP($A1021,'2022-23 Salary &amp; Benefits'!$A:$I,5,FALSE)</f>
        <v>68937</v>
      </c>
      <c r="U1021" s="21">
        <f>VLOOKUP($A1021,'2022-23 Salary &amp; Benefits'!$A:$I,6,FALSE)</f>
        <v>72728</v>
      </c>
      <c r="V1021" s="22">
        <f t="shared" si="194"/>
        <v>78036.679999999993</v>
      </c>
      <c r="W1021" s="22">
        <f t="shared" si="195"/>
        <v>4291.4200000000128</v>
      </c>
      <c r="X1021" s="22">
        <f>'2022-23 Salary &amp; Benefits'!$G$6</f>
        <v>12558.24</v>
      </c>
      <c r="Y1021" s="23">
        <f>'2022-23 Salary &amp; Benefits'!$H$6</f>
        <v>0.2298</v>
      </c>
      <c r="Z1021" s="23">
        <f>'2022-23 Salary &amp; Benefits'!$I$6</f>
        <v>0.22339999999999999</v>
      </c>
      <c r="AA1021" s="22">
        <f t="shared" si="196"/>
        <v>33107.46</v>
      </c>
      <c r="AB1021" s="22">
        <f t="shared" si="197"/>
        <v>1372.13</v>
      </c>
      <c r="AC1021" s="22">
        <f t="shared" si="198"/>
        <v>306.52999999999997</v>
      </c>
      <c r="AD1021" s="22">
        <f t="shared" si="200"/>
        <v>1678.66</v>
      </c>
      <c r="AE1021" s="22">
        <f t="shared" si="201"/>
        <v>117114.22</v>
      </c>
      <c r="AF1021" s="19" t="str">
        <f>VLOOKUP(C1021,'2021-22 School Level AAFTE'!C:N,12,FALSE)</f>
        <v>No</v>
      </c>
    </row>
    <row r="1022" spans="1:32" s="19" customFormat="1">
      <c r="A1022" s="97" t="s">
        <v>2295</v>
      </c>
      <c r="B1022" s="97" t="s">
        <v>296</v>
      </c>
      <c r="C1022" s="95">
        <v>4574</v>
      </c>
      <c r="D1022" s="95" t="s">
        <v>308</v>
      </c>
      <c r="E1022" s="129">
        <f>VLOOKUP($C1022,'2021-22 School Level AAFTE'!$C:$Z,11,FALSE)</f>
        <v>0.53860000000000008</v>
      </c>
      <c r="F1022" s="129" t="str">
        <f>VLOOKUP($C1022,'2021-22 School Level AAFTE'!$C:$Z,8,FALSE)</f>
        <v>Yes</v>
      </c>
      <c r="G1022" s="129" t="str">
        <f>VLOOKUP($C1022,'2021-22 School Level AAFTE'!$C:$Z,12,FALSE)</f>
        <v>No</v>
      </c>
      <c r="H1022" s="127">
        <f>VLOOKUP($C1022,'2021-22 School Level AAFTE'!$C:$I,7,FALSE)</f>
        <v>395.2</v>
      </c>
      <c r="I1022" s="112">
        <f>IFERROR(IF(OR(G1022="yes",F1022= "yes"),VLOOKUP(C1022,Summary!$B:$J,6,0),0),0)</f>
        <v>0</v>
      </c>
      <c r="J1022" s="111">
        <f t="shared" si="192"/>
        <v>395.2</v>
      </c>
      <c r="K1022" s="91">
        <f>VLOOKUP($A1022,'2022-23 Salary &amp; Benefits'!$A:$I,3,FALSE)</f>
        <v>1</v>
      </c>
      <c r="L1022" s="91">
        <f>VLOOKUP($A1022,'2022-23 Salary &amp; Benefits'!$A:$I,4,FALSE)</f>
        <v>1</v>
      </c>
      <c r="M1022" s="39">
        <f t="shared" si="199"/>
        <v>395.2</v>
      </c>
      <c r="N1022" s="24">
        <v>15</v>
      </c>
      <c r="O1022" s="26">
        <f t="shared" si="190"/>
        <v>26.346666666666668</v>
      </c>
      <c r="P1022" s="24">
        <v>1.1000000000000001</v>
      </c>
      <c r="Q1022" s="24">
        <v>36</v>
      </c>
      <c r="R1022" s="27">
        <f t="shared" si="191"/>
        <v>1043.328</v>
      </c>
      <c r="S1022" s="102">
        <f t="shared" si="193"/>
        <v>1.159</v>
      </c>
      <c r="T1022" s="21">
        <f>VLOOKUP($A1022,'2022-23 Salary &amp; Benefits'!$A:$I,5,FALSE)</f>
        <v>68937</v>
      </c>
      <c r="U1022" s="21">
        <f>VLOOKUP($A1022,'2022-23 Salary &amp; Benefits'!$A:$I,6,FALSE)</f>
        <v>72728</v>
      </c>
      <c r="V1022" s="22">
        <f t="shared" si="194"/>
        <v>79897.98</v>
      </c>
      <c r="W1022" s="22">
        <f t="shared" si="195"/>
        <v>4393.7700000000041</v>
      </c>
      <c r="X1022" s="22">
        <f>'2022-23 Salary &amp; Benefits'!$G$6</f>
        <v>12558.24</v>
      </c>
      <c r="Y1022" s="23">
        <f>'2022-23 Salary &amp; Benefits'!$H$6</f>
        <v>0.2298</v>
      </c>
      <c r="Z1022" s="23">
        <f>'2022-23 Salary &amp; Benefits'!$I$6</f>
        <v>0.22339999999999999</v>
      </c>
      <c r="AA1022" s="22">
        <f t="shared" si="196"/>
        <v>33897.120000000003</v>
      </c>
      <c r="AB1022" s="22">
        <f t="shared" si="197"/>
        <v>1404.86</v>
      </c>
      <c r="AC1022" s="22">
        <f t="shared" si="198"/>
        <v>313.85000000000002</v>
      </c>
      <c r="AD1022" s="22">
        <f t="shared" si="200"/>
        <v>1718.71</v>
      </c>
      <c r="AE1022" s="22">
        <f t="shared" si="201"/>
        <v>119907.58000000002</v>
      </c>
      <c r="AF1022" s="19" t="str">
        <f>VLOOKUP(C1022,'2021-22 School Level AAFTE'!C:N,12,FALSE)</f>
        <v>No</v>
      </c>
    </row>
    <row r="1023" spans="1:32" s="19" customFormat="1">
      <c r="A1023" s="97" t="s">
        <v>2295</v>
      </c>
      <c r="B1023" s="97" t="s">
        <v>296</v>
      </c>
      <c r="C1023" s="95">
        <v>5312</v>
      </c>
      <c r="D1023" s="95" t="s">
        <v>309</v>
      </c>
      <c r="E1023" s="129">
        <f>VLOOKUP($C1023,'2021-22 School Level AAFTE'!$C:$Z,11,FALSE)</f>
        <v>0.73556666666666659</v>
      </c>
      <c r="F1023" s="129" t="str">
        <f>VLOOKUP($C1023,'2021-22 School Level AAFTE'!$C:$Z,8,FALSE)</f>
        <v>Yes</v>
      </c>
      <c r="G1023" s="129" t="str">
        <f>VLOOKUP($C1023,'2021-22 School Level AAFTE'!$C:$Z,12,FALSE)</f>
        <v>No</v>
      </c>
      <c r="H1023" s="127">
        <f>VLOOKUP($C1023,'2021-22 School Level AAFTE'!$C:$I,7,FALSE)</f>
        <v>70.25</v>
      </c>
      <c r="I1023" s="112">
        <f>IFERROR(IF(OR(G1023="yes",F1023= "yes"),VLOOKUP(C1023,Summary!$B:$J,6,0),0),0)</f>
        <v>0</v>
      </c>
      <c r="J1023" s="111">
        <f t="shared" si="192"/>
        <v>70.25</v>
      </c>
      <c r="K1023" s="91">
        <f>VLOOKUP($A1023,'2022-23 Salary &amp; Benefits'!$A:$I,3,FALSE)</f>
        <v>1</v>
      </c>
      <c r="L1023" s="91">
        <f>VLOOKUP($A1023,'2022-23 Salary &amp; Benefits'!$A:$I,4,FALSE)</f>
        <v>1</v>
      </c>
      <c r="M1023" s="39">
        <f t="shared" si="199"/>
        <v>70.25</v>
      </c>
      <c r="N1023" s="24">
        <v>15</v>
      </c>
      <c r="O1023" s="26">
        <f t="shared" si="190"/>
        <v>4.6833333333333336</v>
      </c>
      <c r="P1023" s="24">
        <v>1.1000000000000001</v>
      </c>
      <c r="Q1023" s="24">
        <v>36</v>
      </c>
      <c r="R1023" s="27">
        <f t="shared" si="191"/>
        <v>185.46000000000004</v>
      </c>
      <c r="S1023" s="102">
        <f t="shared" si="193"/>
        <v>0.20599999999999999</v>
      </c>
      <c r="T1023" s="21">
        <f>VLOOKUP($A1023,'2022-23 Salary &amp; Benefits'!$A:$I,5,FALSE)</f>
        <v>68937</v>
      </c>
      <c r="U1023" s="21">
        <f>VLOOKUP($A1023,'2022-23 Salary &amp; Benefits'!$A:$I,6,FALSE)</f>
        <v>72728</v>
      </c>
      <c r="V1023" s="22">
        <f t="shared" si="194"/>
        <v>14201.02</v>
      </c>
      <c r="W1023" s="22">
        <f t="shared" si="195"/>
        <v>780.94999999999891</v>
      </c>
      <c r="X1023" s="22">
        <f>'2022-23 Salary &amp; Benefits'!$G$6</f>
        <v>12558.24</v>
      </c>
      <c r="Y1023" s="23">
        <f>'2022-23 Salary &amp; Benefits'!$H$6</f>
        <v>0.2298</v>
      </c>
      <c r="Z1023" s="23">
        <f>'2022-23 Salary &amp; Benefits'!$I$6</f>
        <v>0.22339999999999999</v>
      </c>
      <c r="AA1023" s="22">
        <f t="shared" si="196"/>
        <v>6024.86</v>
      </c>
      <c r="AB1023" s="22">
        <f t="shared" si="197"/>
        <v>249.7</v>
      </c>
      <c r="AC1023" s="22">
        <f t="shared" si="198"/>
        <v>55.78</v>
      </c>
      <c r="AD1023" s="22">
        <f t="shared" si="200"/>
        <v>305.48</v>
      </c>
      <c r="AE1023" s="22">
        <f t="shared" si="201"/>
        <v>21312.31</v>
      </c>
      <c r="AF1023" s="19" t="str">
        <f>VLOOKUP(C1023,'2021-22 School Level AAFTE'!C:N,12,FALSE)</f>
        <v>No</v>
      </c>
    </row>
    <row r="1024" spans="1:32" s="19" customFormat="1">
      <c r="A1024" s="97" t="s">
        <v>2295</v>
      </c>
      <c r="B1024" s="97" t="s">
        <v>296</v>
      </c>
      <c r="C1024" s="95">
        <v>5400</v>
      </c>
      <c r="D1024" s="95" t="s">
        <v>310</v>
      </c>
      <c r="E1024" s="129">
        <f>VLOOKUP($C1024,'2021-22 School Level AAFTE'!$C:$Z,11,FALSE)</f>
        <v>0.68593333333333339</v>
      </c>
      <c r="F1024" s="129" t="str">
        <f>VLOOKUP($C1024,'2021-22 School Level AAFTE'!$C:$Z,8,FALSE)</f>
        <v>Yes</v>
      </c>
      <c r="G1024" s="129" t="str">
        <f>VLOOKUP($C1024,'2021-22 School Level AAFTE'!$C:$Z,12,FALSE)</f>
        <v>No</v>
      </c>
      <c r="H1024" s="127">
        <f>VLOOKUP($C1024,'2021-22 School Level AAFTE'!$C:$I,7,FALSE)</f>
        <v>32.72</v>
      </c>
      <c r="I1024" s="112">
        <f>IFERROR(IF(OR(G1024="yes",F1024= "yes"),VLOOKUP(C1024,Summary!$B:$J,6,0),0),0)</f>
        <v>0</v>
      </c>
      <c r="J1024" s="111">
        <f t="shared" si="192"/>
        <v>32.72</v>
      </c>
      <c r="K1024" s="91">
        <f>VLOOKUP($A1024,'2022-23 Salary &amp; Benefits'!$A:$I,3,FALSE)</f>
        <v>1</v>
      </c>
      <c r="L1024" s="91">
        <f>VLOOKUP($A1024,'2022-23 Salary &amp; Benefits'!$A:$I,4,FALSE)</f>
        <v>1</v>
      </c>
      <c r="M1024" s="39">
        <f t="shared" si="199"/>
        <v>32.72</v>
      </c>
      <c r="N1024" s="24">
        <v>15</v>
      </c>
      <c r="O1024" s="26">
        <f t="shared" si="190"/>
        <v>2.1813333333333333</v>
      </c>
      <c r="P1024" s="24">
        <v>1.1000000000000001</v>
      </c>
      <c r="Q1024" s="24">
        <v>36</v>
      </c>
      <c r="R1024" s="27">
        <f t="shared" si="191"/>
        <v>86.380800000000022</v>
      </c>
      <c r="S1024" s="102">
        <f t="shared" si="193"/>
        <v>9.6000000000000002E-2</v>
      </c>
      <c r="T1024" s="21">
        <f>VLOOKUP($A1024,'2022-23 Salary &amp; Benefits'!$A:$I,5,FALSE)</f>
        <v>68937</v>
      </c>
      <c r="U1024" s="21">
        <f>VLOOKUP($A1024,'2022-23 Salary &amp; Benefits'!$A:$I,6,FALSE)</f>
        <v>72728</v>
      </c>
      <c r="V1024" s="22">
        <f t="shared" si="194"/>
        <v>6617.95</v>
      </c>
      <c r="W1024" s="22">
        <f t="shared" si="195"/>
        <v>363.94000000000051</v>
      </c>
      <c r="X1024" s="22">
        <f>'2022-23 Salary &amp; Benefits'!$G$6</f>
        <v>12558.24</v>
      </c>
      <c r="Y1024" s="23">
        <f>'2022-23 Salary &amp; Benefits'!$H$6</f>
        <v>0.2298</v>
      </c>
      <c r="Z1024" s="23">
        <f>'2022-23 Salary &amp; Benefits'!$I$6</f>
        <v>0.22339999999999999</v>
      </c>
      <c r="AA1024" s="22">
        <f t="shared" si="196"/>
        <v>2807.7</v>
      </c>
      <c r="AB1024" s="22">
        <f t="shared" si="197"/>
        <v>116.36</v>
      </c>
      <c r="AC1024" s="22">
        <f t="shared" si="198"/>
        <v>25.99</v>
      </c>
      <c r="AD1024" s="22">
        <f t="shared" si="200"/>
        <v>142.35</v>
      </c>
      <c r="AE1024" s="22">
        <f t="shared" si="201"/>
        <v>9931.94</v>
      </c>
      <c r="AF1024" s="19" t="str">
        <f>VLOOKUP(C1024,'2021-22 School Level AAFTE'!C:N,12,FALSE)</f>
        <v>No</v>
      </c>
    </row>
    <row r="1025" spans="1:32" s="19" customFormat="1">
      <c r="A1025" s="97" t="s">
        <v>2295</v>
      </c>
      <c r="B1025" s="97" t="s">
        <v>296</v>
      </c>
      <c r="C1025" s="95">
        <v>5614</v>
      </c>
      <c r="D1025" s="95" t="s">
        <v>2887</v>
      </c>
      <c r="E1025" s="129">
        <f>VLOOKUP($C1025,'2021-22 School Level AAFTE'!$C:$Z,11,FALSE)</f>
        <v>0.58010000000000006</v>
      </c>
      <c r="F1025" s="129" t="str">
        <f>VLOOKUP($C1025,'2021-22 School Level AAFTE'!$C:$Z,8,FALSE)</f>
        <v>Yes</v>
      </c>
      <c r="G1025" s="129" t="str">
        <f>VLOOKUP($C1025,'2021-22 School Level AAFTE'!$C:$Z,12,FALSE)</f>
        <v>No</v>
      </c>
      <c r="H1025" s="127">
        <f>VLOOKUP($C1025,'2021-22 School Level AAFTE'!$C:$I,7,FALSE)</f>
        <v>110.56</v>
      </c>
      <c r="I1025" s="112">
        <f>IFERROR(IF(OR(G1025="yes",F1025= "yes"),VLOOKUP(C1025,Summary!$B:$J,6,0),0),0)</f>
        <v>0</v>
      </c>
      <c r="J1025" s="111">
        <f t="shared" si="192"/>
        <v>110.56</v>
      </c>
      <c r="K1025" s="91">
        <f>VLOOKUP($A1025,'2022-23 Salary &amp; Benefits'!$A:$I,3,FALSE)</f>
        <v>1</v>
      </c>
      <c r="L1025" s="91">
        <f>VLOOKUP($A1025,'2022-23 Salary &amp; Benefits'!$A:$I,4,FALSE)</f>
        <v>1</v>
      </c>
      <c r="M1025" s="39">
        <f t="shared" si="199"/>
        <v>110.56</v>
      </c>
      <c r="N1025" s="24">
        <v>15</v>
      </c>
      <c r="O1025" s="26">
        <f t="shared" si="190"/>
        <v>7.3706666666666667</v>
      </c>
      <c r="P1025" s="24">
        <v>1.1000000000000001</v>
      </c>
      <c r="Q1025" s="24">
        <v>36</v>
      </c>
      <c r="R1025" s="27">
        <f t="shared" si="191"/>
        <v>291.8784</v>
      </c>
      <c r="S1025" s="102">
        <f t="shared" si="193"/>
        <v>0.32400000000000001</v>
      </c>
      <c r="T1025" s="21">
        <f>VLOOKUP($A1025,'2022-23 Salary &amp; Benefits'!$A:$I,5,FALSE)</f>
        <v>68937</v>
      </c>
      <c r="U1025" s="21">
        <f>VLOOKUP($A1025,'2022-23 Salary &amp; Benefits'!$A:$I,6,FALSE)</f>
        <v>72728</v>
      </c>
      <c r="V1025" s="22">
        <f t="shared" si="194"/>
        <v>22335.59</v>
      </c>
      <c r="W1025" s="22">
        <f t="shared" si="195"/>
        <v>1228.2799999999988</v>
      </c>
      <c r="X1025" s="22">
        <f>'2022-23 Salary &amp; Benefits'!$G$6</f>
        <v>12558.24</v>
      </c>
      <c r="Y1025" s="23">
        <f>'2022-23 Salary &amp; Benefits'!$H$6</f>
        <v>0.2298</v>
      </c>
      <c r="Z1025" s="23">
        <f>'2022-23 Salary &amp; Benefits'!$I$6</f>
        <v>0.22339999999999999</v>
      </c>
      <c r="AA1025" s="22">
        <f t="shared" si="196"/>
        <v>9475.99</v>
      </c>
      <c r="AB1025" s="22">
        <f t="shared" si="197"/>
        <v>392.73</v>
      </c>
      <c r="AC1025" s="22">
        <f t="shared" si="198"/>
        <v>87.74</v>
      </c>
      <c r="AD1025" s="22">
        <f t="shared" si="200"/>
        <v>480.47</v>
      </c>
      <c r="AE1025" s="22">
        <f t="shared" si="201"/>
        <v>33520.33</v>
      </c>
      <c r="AF1025" s="19" t="str">
        <f>VLOOKUP(C1025,'2021-22 School Level AAFTE'!C:N,12,FALSE)</f>
        <v>No</v>
      </c>
    </row>
    <row r="1026" spans="1:32" s="19" customFormat="1">
      <c r="A1026" s="97" t="s">
        <v>2508</v>
      </c>
      <c r="B1026" s="97" t="s">
        <v>1942</v>
      </c>
      <c r="C1026" s="95">
        <v>1922</v>
      </c>
      <c r="D1026" s="95" t="s">
        <v>1943</v>
      </c>
      <c r="E1026" s="129">
        <f>VLOOKUP($C1026,'2021-22 School Level AAFTE'!$C:$Z,11,FALSE)</f>
        <v>0.35783333333333339</v>
      </c>
      <c r="F1026" s="129" t="str">
        <f>VLOOKUP($C1026,'2021-22 School Level AAFTE'!$C:$Z,8,FALSE)</f>
        <v>No</v>
      </c>
      <c r="G1026" s="129" t="str">
        <f>VLOOKUP($C1026,'2021-22 School Level AAFTE'!$C:$Z,12,FALSE)</f>
        <v>No</v>
      </c>
      <c r="H1026" s="127">
        <f>VLOOKUP($C1026,'2021-22 School Level AAFTE'!$C:$I,7,FALSE)</f>
        <v>128.56</v>
      </c>
      <c r="I1026" s="112">
        <f>IFERROR(IF(OR(G1026="yes",F1026= "yes"),VLOOKUP(C1026,Summary!$B:$J,6,0),0),0)</f>
        <v>0</v>
      </c>
      <c r="J1026" s="111">
        <f t="shared" si="192"/>
        <v>0</v>
      </c>
      <c r="K1026" s="91">
        <f>VLOOKUP($A1026,'2022-23 Salary &amp; Benefits'!$A:$I,3,FALSE)</f>
        <v>1</v>
      </c>
      <c r="L1026" s="91">
        <f>VLOOKUP($A1026,'2022-23 Salary &amp; Benefits'!$A:$I,4,FALSE)</f>
        <v>1</v>
      </c>
      <c r="M1026" s="39">
        <f t="shared" si="199"/>
        <v>0</v>
      </c>
      <c r="N1026" s="24">
        <v>15</v>
      </c>
      <c r="O1026" s="26">
        <f t="shared" si="190"/>
        <v>0</v>
      </c>
      <c r="P1026" s="24">
        <v>1.1000000000000001</v>
      </c>
      <c r="Q1026" s="24">
        <v>36</v>
      </c>
      <c r="R1026" s="27">
        <f t="shared" si="191"/>
        <v>0</v>
      </c>
      <c r="S1026" s="102">
        <f t="shared" si="193"/>
        <v>0</v>
      </c>
      <c r="T1026" s="21">
        <f>VLOOKUP($A1026,'2022-23 Salary &amp; Benefits'!$A:$I,5,FALSE)</f>
        <v>68937</v>
      </c>
      <c r="U1026" s="21">
        <f>VLOOKUP($A1026,'2022-23 Salary &amp; Benefits'!$A:$I,6,FALSE)</f>
        <v>72728</v>
      </c>
      <c r="V1026" s="22">
        <f t="shared" si="194"/>
        <v>0</v>
      </c>
      <c r="W1026" s="22">
        <f t="shared" si="195"/>
        <v>0</v>
      </c>
      <c r="X1026" s="22">
        <f>'2022-23 Salary &amp; Benefits'!$G$6</f>
        <v>12558.24</v>
      </c>
      <c r="Y1026" s="23">
        <f>'2022-23 Salary &amp; Benefits'!$H$6</f>
        <v>0.2298</v>
      </c>
      <c r="Z1026" s="23">
        <f>'2022-23 Salary &amp; Benefits'!$I$6</f>
        <v>0.22339999999999999</v>
      </c>
      <c r="AA1026" s="22">
        <f t="shared" si="196"/>
        <v>0</v>
      </c>
      <c r="AB1026" s="22">
        <f t="shared" si="197"/>
        <v>0</v>
      </c>
      <c r="AC1026" s="22">
        <f t="shared" si="198"/>
        <v>0</v>
      </c>
      <c r="AD1026" s="22">
        <f t="shared" si="200"/>
        <v>0</v>
      </c>
      <c r="AE1026" s="22">
        <f t="shared" si="201"/>
        <v>0</v>
      </c>
      <c r="AF1026" s="19" t="str">
        <f>VLOOKUP(C1026,'2021-22 School Level AAFTE'!C:N,12,FALSE)</f>
        <v>No</v>
      </c>
    </row>
    <row r="1027" spans="1:32" s="19" customFormat="1">
      <c r="A1027" s="97" t="s">
        <v>2508</v>
      </c>
      <c r="B1027" s="97" t="s">
        <v>1942</v>
      </c>
      <c r="C1027" s="95">
        <v>2480</v>
      </c>
      <c r="D1027" s="95" t="s">
        <v>1944</v>
      </c>
      <c r="E1027" s="129">
        <f>VLOOKUP($C1027,'2021-22 School Level AAFTE'!$C:$Z,11,FALSE)</f>
        <v>0.75393333333333334</v>
      </c>
      <c r="F1027" s="129" t="str">
        <f>VLOOKUP($C1027,'2021-22 School Level AAFTE'!$C:$Z,8,FALSE)</f>
        <v>Yes</v>
      </c>
      <c r="G1027" s="129" t="str">
        <f>VLOOKUP($C1027,'2021-22 School Level AAFTE'!$C:$Z,12,FALSE)</f>
        <v>No</v>
      </c>
      <c r="H1027" s="127">
        <f>VLOOKUP($C1027,'2021-22 School Level AAFTE'!$C:$I,7,FALSE)</f>
        <v>104</v>
      </c>
      <c r="I1027" s="112">
        <f>IFERROR(IF(OR(G1027="yes",F1027= "yes"),VLOOKUP(C1027,Summary!$B:$J,6,0),0),0)</f>
        <v>0</v>
      </c>
      <c r="J1027" s="111">
        <f t="shared" si="192"/>
        <v>104</v>
      </c>
      <c r="K1027" s="91">
        <f>VLOOKUP($A1027,'2022-23 Salary &amp; Benefits'!$A:$I,3,FALSE)</f>
        <v>1</v>
      </c>
      <c r="L1027" s="91">
        <f>VLOOKUP($A1027,'2022-23 Salary &amp; Benefits'!$A:$I,4,FALSE)</f>
        <v>1</v>
      </c>
      <c r="M1027" s="39">
        <f t="shared" si="199"/>
        <v>104</v>
      </c>
      <c r="N1027" s="24">
        <v>15</v>
      </c>
      <c r="O1027" s="26">
        <f t="shared" si="190"/>
        <v>6.9333333333333336</v>
      </c>
      <c r="P1027" s="24">
        <v>1.1000000000000001</v>
      </c>
      <c r="Q1027" s="24">
        <v>36</v>
      </c>
      <c r="R1027" s="27">
        <f t="shared" si="191"/>
        <v>274.56000000000006</v>
      </c>
      <c r="S1027" s="102">
        <f t="shared" si="193"/>
        <v>0.30499999999999999</v>
      </c>
      <c r="T1027" s="21">
        <f>VLOOKUP($A1027,'2022-23 Salary &amp; Benefits'!$A:$I,5,FALSE)</f>
        <v>68937</v>
      </c>
      <c r="U1027" s="21">
        <f>VLOOKUP($A1027,'2022-23 Salary &amp; Benefits'!$A:$I,6,FALSE)</f>
        <v>72728</v>
      </c>
      <c r="V1027" s="22">
        <f t="shared" si="194"/>
        <v>21025.79</v>
      </c>
      <c r="W1027" s="22">
        <f t="shared" si="195"/>
        <v>1156.25</v>
      </c>
      <c r="X1027" s="22">
        <f>'2022-23 Salary &amp; Benefits'!$G$6</f>
        <v>12558.24</v>
      </c>
      <c r="Y1027" s="23">
        <f>'2022-23 Salary &amp; Benefits'!$H$6</f>
        <v>0.2298</v>
      </c>
      <c r="Z1027" s="23">
        <f>'2022-23 Salary &amp; Benefits'!$I$6</f>
        <v>0.22339999999999999</v>
      </c>
      <c r="AA1027" s="22">
        <f t="shared" si="196"/>
        <v>8920.2999999999993</v>
      </c>
      <c r="AB1027" s="22">
        <f t="shared" si="197"/>
        <v>369.7</v>
      </c>
      <c r="AC1027" s="22">
        <f t="shared" si="198"/>
        <v>82.59</v>
      </c>
      <c r="AD1027" s="22">
        <f t="shared" si="200"/>
        <v>452.28999999999996</v>
      </c>
      <c r="AE1027" s="22">
        <f t="shared" si="201"/>
        <v>31554.63</v>
      </c>
      <c r="AF1027" s="19" t="str">
        <f>VLOOKUP(C1027,'2021-22 School Level AAFTE'!C:N,12,FALSE)</f>
        <v>No</v>
      </c>
    </row>
    <row r="1028" spans="1:32" s="19" customFormat="1">
      <c r="A1028" s="97" t="s">
        <v>2458</v>
      </c>
      <c r="B1028" s="97" t="s">
        <v>1533</v>
      </c>
      <c r="C1028" s="95">
        <v>2632</v>
      </c>
      <c r="D1028" s="95" t="s">
        <v>1534</v>
      </c>
      <c r="E1028" s="129">
        <f>VLOOKUP($C1028,'2021-22 School Level AAFTE'!$C:$Z,11,FALSE)</f>
        <v>0.49836666666666662</v>
      </c>
      <c r="F1028" s="129" t="str">
        <f>VLOOKUP($C1028,'2021-22 School Level AAFTE'!$C:$Z,8,FALSE)</f>
        <v>No</v>
      </c>
      <c r="G1028" s="129" t="str">
        <f>VLOOKUP($C1028,'2021-22 School Level AAFTE'!$C:$Z,12,FALSE)</f>
        <v>No</v>
      </c>
      <c r="H1028" s="127">
        <f>VLOOKUP($C1028,'2021-22 School Level AAFTE'!$C:$I,7,FALSE)</f>
        <v>132.15</v>
      </c>
      <c r="I1028" s="112">
        <f>IFERROR(IF(OR(G1028="yes",F1028= "yes"),VLOOKUP(C1028,Summary!$B:$J,6,0),0),0)</f>
        <v>0</v>
      </c>
      <c r="J1028" s="111">
        <f t="shared" si="192"/>
        <v>0</v>
      </c>
      <c r="K1028" s="91">
        <f>VLOOKUP($A1028,'2022-23 Salary &amp; Benefits'!$A:$I,3,FALSE)</f>
        <v>1.1200000000000001</v>
      </c>
      <c r="L1028" s="91">
        <f>VLOOKUP($A1028,'2022-23 Salary &amp; Benefits'!$A:$I,4,FALSE)</f>
        <v>1.1200000000000001</v>
      </c>
      <c r="M1028" s="39">
        <f t="shared" si="199"/>
        <v>0</v>
      </c>
      <c r="N1028" s="24">
        <v>15</v>
      </c>
      <c r="O1028" s="26">
        <f t="shared" si="190"/>
        <v>0</v>
      </c>
      <c r="P1028" s="24">
        <v>1.1000000000000001</v>
      </c>
      <c r="Q1028" s="24">
        <v>36</v>
      </c>
      <c r="R1028" s="27">
        <f t="shared" si="191"/>
        <v>0</v>
      </c>
      <c r="S1028" s="102">
        <f t="shared" si="193"/>
        <v>0</v>
      </c>
      <c r="T1028" s="21">
        <f>VLOOKUP($A1028,'2022-23 Salary &amp; Benefits'!$A:$I,5,FALSE)</f>
        <v>68937</v>
      </c>
      <c r="U1028" s="21">
        <f>VLOOKUP($A1028,'2022-23 Salary &amp; Benefits'!$A:$I,6,FALSE)</f>
        <v>72728</v>
      </c>
      <c r="V1028" s="22">
        <f t="shared" si="194"/>
        <v>0</v>
      </c>
      <c r="W1028" s="22">
        <f t="shared" si="195"/>
        <v>0</v>
      </c>
      <c r="X1028" s="22">
        <f>'2022-23 Salary &amp; Benefits'!$G$6</f>
        <v>12558.24</v>
      </c>
      <c r="Y1028" s="23">
        <f>'2022-23 Salary &amp; Benefits'!$H$6</f>
        <v>0.2298</v>
      </c>
      <c r="Z1028" s="23">
        <f>'2022-23 Salary &amp; Benefits'!$I$6</f>
        <v>0.22339999999999999</v>
      </c>
      <c r="AA1028" s="22">
        <f t="shared" si="196"/>
        <v>0</v>
      </c>
      <c r="AB1028" s="22">
        <f t="shared" si="197"/>
        <v>0</v>
      </c>
      <c r="AC1028" s="22">
        <f t="shared" si="198"/>
        <v>0</v>
      </c>
      <c r="AD1028" s="22">
        <f t="shared" si="200"/>
        <v>0</v>
      </c>
      <c r="AE1028" s="22">
        <f t="shared" si="201"/>
        <v>0</v>
      </c>
      <c r="AF1028" s="19" t="str">
        <f>VLOOKUP(C1028,'2021-22 School Level AAFTE'!C:N,12,FALSE)</f>
        <v>No</v>
      </c>
    </row>
    <row r="1029" spans="1:32" s="19" customFormat="1">
      <c r="A1029" s="97" t="s">
        <v>2458</v>
      </c>
      <c r="B1029" s="97" t="s">
        <v>1533</v>
      </c>
      <c r="C1029" s="95">
        <v>4107</v>
      </c>
      <c r="D1029" s="95" t="s">
        <v>1535</v>
      </c>
      <c r="E1029" s="129">
        <f>VLOOKUP($C1029,'2021-22 School Level AAFTE'!$C:$Z,11,FALSE)</f>
        <v>0.43009999999999998</v>
      </c>
      <c r="F1029" s="129" t="str">
        <f>VLOOKUP($C1029,'2021-22 School Level AAFTE'!$C:$Z,8,FALSE)</f>
        <v>No</v>
      </c>
      <c r="G1029" s="129" t="str">
        <f>VLOOKUP($C1029,'2021-22 School Level AAFTE'!$C:$Z,12,FALSE)</f>
        <v>No</v>
      </c>
      <c r="H1029" s="127">
        <f>VLOOKUP($C1029,'2021-22 School Level AAFTE'!$C:$I,7,FALSE)</f>
        <v>102.34</v>
      </c>
      <c r="I1029" s="112">
        <f>IFERROR(IF(OR(G1029="yes",F1029= "yes"),VLOOKUP(C1029,Summary!$B:$J,6,0),0),0)</f>
        <v>0</v>
      </c>
      <c r="J1029" s="111">
        <f t="shared" si="192"/>
        <v>0</v>
      </c>
      <c r="K1029" s="91">
        <f>VLOOKUP($A1029,'2022-23 Salary &amp; Benefits'!$A:$I,3,FALSE)</f>
        <v>1.1200000000000001</v>
      </c>
      <c r="L1029" s="91">
        <f>VLOOKUP($A1029,'2022-23 Salary &amp; Benefits'!$A:$I,4,FALSE)</f>
        <v>1.1200000000000001</v>
      </c>
      <c r="M1029" s="39">
        <f t="shared" si="199"/>
        <v>0</v>
      </c>
      <c r="N1029" s="24">
        <v>15</v>
      </c>
      <c r="O1029" s="26">
        <f t="shared" si="190"/>
        <v>0</v>
      </c>
      <c r="P1029" s="24">
        <v>1.1000000000000001</v>
      </c>
      <c r="Q1029" s="24">
        <v>36</v>
      </c>
      <c r="R1029" s="27">
        <f t="shared" si="191"/>
        <v>0</v>
      </c>
      <c r="S1029" s="102">
        <f t="shared" si="193"/>
        <v>0</v>
      </c>
      <c r="T1029" s="21">
        <f>VLOOKUP($A1029,'2022-23 Salary &amp; Benefits'!$A:$I,5,FALSE)</f>
        <v>68937</v>
      </c>
      <c r="U1029" s="21">
        <f>VLOOKUP($A1029,'2022-23 Salary &amp; Benefits'!$A:$I,6,FALSE)</f>
        <v>72728</v>
      </c>
      <c r="V1029" s="22">
        <f t="shared" si="194"/>
        <v>0</v>
      </c>
      <c r="W1029" s="22">
        <f t="shared" si="195"/>
        <v>0</v>
      </c>
      <c r="X1029" s="22">
        <f>'2022-23 Salary &amp; Benefits'!$G$6</f>
        <v>12558.24</v>
      </c>
      <c r="Y1029" s="23">
        <f>'2022-23 Salary &amp; Benefits'!$H$6</f>
        <v>0.2298</v>
      </c>
      <c r="Z1029" s="23">
        <f>'2022-23 Salary &amp; Benefits'!$I$6</f>
        <v>0.22339999999999999</v>
      </c>
      <c r="AA1029" s="22">
        <f t="shared" si="196"/>
        <v>0</v>
      </c>
      <c r="AB1029" s="22">
        <f t="shared" si="197"/>
        <v>0</v>
      </c>
      <c r="AC1029" s="22">
        <f t="shared" si="198"/>
        <v>0</v>
      </c>
      <c r="AD1029" s="22">
        <f t="shared" si="200"/>
        <v>0</v>
      </c>
      <c r="AE1029" s="22">
        <f t="shared" si="201"/>
        <v>0</v>
      </c>
      <c r="AF1029" s="19" t="str">
        <f>VLOOKUP(C1029,'2021-22 School Level AAFTE'!C:N,12,FALSE)</f>
        <v>No</v>
      </c>
    </row>
    <row r="1030" spans="1:32" s="19" customFormat="1">
      <c r="A1030" s="97" t="s">
        <v>2458</v>
      </c>
      <c r="B1030" s="97" t="s">
        <v>1533</v>
      </c>
      <c r="C1030" s="95">
        <v>4178</v>
      </c>
      <c r="D1030" s="95" t="s">
        <v>1536</v>
      </c>
      <c r="E1030" s="129">
        <f>VLOOKUP($C1030,'2021-22 School Level AAFTE'!$C:$Z,11,FALSE)</f>
        <v>4.1666666666666664E-2</v>
      </c>
      <c r="F1030" s="129" t="str">
        <f>VLOOKUP($C1030,'2021-22 School Level AAFTE'!$C:$Z,8,FALSE)</f>
        <v>No</v>
      </c>
      <c r="G1030" s="129" t="str">
        <f>VLOOKUP($C1030,'2021-22 School Level AAFTE'!$C:$Z,12,FALSE)</f>
        <v>No</v>
      </c>
      <c r="H1030" s="127">
        <f>VLOOKUP($C1030,'2021-22 School Level AAFTE'!$C:$I,7,FALSE)</f>
        <v>7.57</v>
      </c>
      <c r="I1030" s="112">
        <f>IFERROR(IF(OR(G1030="yes",F1030= "yes"),VLOOKUP(C1030,Summary!$B:$J,6,0),0),0)</f>
        <v>0</v>
      </c>
      <c r="J1030" s="111">
        <f t="shared" si="192"/>
        <v>0</v>
      </c>
      <c r="K1030" s="91">
        <f>VLOOKUP($A1030,'2022-23 Salary &amp; Benefits'!$A:$I,3,FALSE)</f>
        <v>1.1200000000000001</v>
      </c>
      <c r="L1030" s="91">
        <f>VLOOKUP($A1030,'2022-23 Salary &amp; Benefits'!$A:$I,4,FALSE)</f>
        <v>1.1200000000000001</v>
      </c>
      <c r="M1030" s="39">
        <f t="shared" si="199"/>
        <v>0</v>
      </c>
      <c r="N1030" s="24">
        <v>15</v>
      </c>
      <c r="O1030" s="26">
        <f t="shared" si="190"/>
        <v>0</v>
      </c>
      <c r="P1030" s="24">
        <v>1.1000000000000001</v>
      </c>
      <c r="Q1030" s="24">
        <v>36</v>
      </c>
      <c r="R1030" s="27">
        <f t="shared" si="191"/>
        <v>0</v>
      </c>
      <c r="S1030" s="102">
        <f t="shared" si="193"/>
        <v>0</v>
      </c>
      <c r="T1030" s="21">
        <f>VLOOKUP($A1030,'2022-23 Salary &amp; Benefits'!$A:$I,5,FALSE)</f>
        <v>68937</v>
      </c>
      <c r="U1030" s="21">
        <f>VLOOKUP($A1030,'2022-23 Salary &amp; Benefits'!$A:$I,6,FALSE)</f>
        <v>72728</v>
      </c>
      <c r="V1030" s="22">
        <f t="shared" si="194"/>
        <v>0</v>
      </c>
      <c r="W1030" s="22">
        <f t="shared" si="195"/>
        <v>0</v>
      </c>
      <c r="X1030" s="22">
        <f>'2022-23 Salary &amp; Benefits'!$G$6</f>
        <v>12558.24</v>
      </c>
      <c r="Y1030" s="23">
        <f>'2022-23 Salary &amp; Benefits'!$H$6</f>
        <v>0.2298</v>
      </c>
      <c r="Z1030" s="23">
        <f>'2022-23 Salary &amp; Benefits'!$I$6</f>
        <v>0.22339999999999999</v>
      </c>
      <c r="AA1030" s="22">
        <f t="shared" si="196"/>
        <v>0</v>
      </c>
      <c r="AB1030" s="22">
        <f t="shared" si="197"/>
        <v>0</v>
      </c>
      <c r="AC1030" s="22">
        <f t="shared" si="198"/>
        <v>0</v>
      </c>
      <c r="AD1030" s="22">
        <f t="shared" si="200"/>
        <v>0</v>
      </c>
      <c r="AE1030" s="22">
        <f t="shared" si="201"/>
        <v>0</v>
      </c>
      <c r="AF1030" s="19" t="str">
        <f>VLOOKUP(C1030,'2021-22 School Level AAFTE'!C:N,12,FALSE)</f>
        <v>No</v>
      </c>
    </row>
    <row r="1031" spans="1:32" s="19" customFormat="1">
      <c r="A1031" s="97" t="s">
        <v>2857</v>
      </c>
      <c r="B1031" s="97" t="s">
        <v>2965</v>
      </c>
      <c r="C1031" s="95">
        <v>5609</v>
      </c>
      <c r="D1031" s="95" t="s">
        <v>2888</v>
      </c>
      <c r="E1031" s="129">
        <f>VLOOKUP($C1031,'2021-22 School Level AAFTE'!$C:$Z,11,FALSE)</f>
        <v>0.88905000000000001</v>
      </c>
      <c r="F1031" s="129" t="str">
        <f>VLOOKUP($C1031,'2021-22 School Level AAFTE'!$C:$Z,8,FALSE)</f>
        <v>Yes</v>
      </c>
      <c r="G1031" s="129" t="str">
        <f>VLOOKUP($C1031,'2021-22 School Level AAFTE'!$C:$Z,12,FALSE)</f>
        <v>No</v>
      </c>
      <c r="H1031" s="127">
        <f>VLOOKUP($C1031,'2021-22 School Level AAFTE'!$C:$I,7,FALSE)</f>
        <v>35.71</v>
      </c>
      <c r="I1031" s="112">
        <f>IFERROR(IF(OR(G1031="yes",F1031= "yes"),VLOOKUP(C1031,Summary!$B:$J,6,0),0),0)</f>
        <v>0</v>
      </c>
      <c r="J1031" s="111">
        <f t="shared" si="192"/>
        <v>35.71</v>
      </c>
      <c r="K1031" s="91">
        <f>VLOOKUP($A1031,'2022-23 Salary &amp; Benefits'!$A:$I,3,FALSE)</f>
        <v>1.03</v>
      </c>
      <c r="L1031" s="91">
        <f>VLOOKUP($A1031,'2022-23 Salary &amp; Benefits'!$A:$I,4,FALSE)</f>
        <v>1.03</v>
      </c>
      <c r="M1031" s="101">
        <f t="shared" si="199"/>
        <v>35.71</v>
      </c>
      <c r="N1031" s="24">
        <v>15</v>
      </c>
      <c r="O1031" s="26">
        <f t="shared" si="190"/>
        <v>2.3806666666666669</v>
      </c>
      <c r="P1031" s="24">
        <v>1.1000000000000001</v>
      </c>
      <c r="Q1031" s="24">
        <v>36</v>
      </c>
      <c r="R1031" s="27">
        <f t="shared" si="191"/>
        <v>94.274400000000028</v>
      </c>
      <c r="S1031" s="102">
        <f t="shared" si="193"/>
        <v>0.105</v>
      </c>
      <c r="T1031" s="21">
        <f>VLOOKUP($A1031,'2022-23 Salary &amp; Benefits'!$A:$I,5,FALSE)</f>
        <v>68937</v>
      </c>
      <c r="U1031" s="21">
        <f>VLOOKUP($A1031,'2022-23 Salary &amp; Benefits'!$A:$I,6,FALSE)</f>
        <v>72728</v>
      </c>
      <c r="V1031" s="22">
        <f t="shared" si="194"/>
        <v>7455.54</v>
      </c>
      <c r="W1031" s="22">
        <f t="shared" si="195"/>
        <v>409.98999999999978</v>
      </c>
      <c r="X1031" s="22">
        <f>'2022-23 Salary &amp; Benefits'!$G$6</f>
        <v>12558.24</v>
      </c>
      <c r="Y1031" s="23">
        <f>'2022-23 Salary &amp; Benefits'!$H$6</f>
        <v>0.2298</v>
      </c>
      <c r="Z1031" s="23">
        <f>'2022-23 Salary &amp; Benefits'!$I$6</f>
        <v>0.22339999999999999</v>
      </c>
      <c r="AA1031" s="22">
        <f t="shared" si="196"/>
        <v>3123.49</v>
      </c>
      <c r="AB1031" s="22">
        <f t="shared" si="197"/>
        <v>131.09</v>
      </c>
      <c r="AC1031" s="22">
        <f t="shared" si="198"/>
        <v>29.29</v>
      </c>
      <c r="AD1031" s="22">
        <f t="shared" si="200"/>
        <v>160.38</v>
      </c>
      <c r="AE1031" s="22">
        <f t="shared" si="201"/>
        <v>11149.399999999998</v>
      </c>
      <c r="AF1031" s="19" t="str">
        <f>VLOOKUP(C1031,'2021-22 School Level AAFTE'!C:N,12,FALSE)</f>
        <v>No</v>
      </c>
    </row>
    <row r="1032" spans="1:32" s="19" customFormat="1">
      <c r="A1032" s="97" t="s">
        <v>2539</v>
      </c>
      <c r="B1032" s="97" t="s">
        <v>2128</v>
      </c>
      <c r="C1032" s="95">
        <v>5373</v>
      </c>
      <c r="D1032" s="95" t="s">
        <v>2129</v>
      </c>
      <c r="E1032" s="129">
        <f>VLOOKUP($C1032,'2021-22 School Level AAFTE'!$C:$Z,11,FALSE)</f>
        <v>0.74883333333333335</v>
      </c>
      <c r="F1032" s="129" t="str">
        <f>VLOOKUP($C1032,'2021-22 School Level AAFTE'!$C:$Z,8,FALSE)</f>
        <v>Yes</v>
      </c>
      <c r="G1032" s="129" t="str">
        <f>VLOOKUP($C1032,'2021-22 School Level AAFTE'!$C:$Z,12,FALSE)</f>
        <v>No</v>
      </c>
      <c r="H1032" s="127">
        <f>VLOOKUP($C1032,'2021-22 School Level AAFTE'!$C:$I,7,FALSE)</f>
        <v>397.29</v>
      </c>
      <c r="I1032" s="112">
        <f>IFERROR(IF(OR(G1032="yes",F1032= "yes"),VLOOKUP(C1032,Summary!$B:$J,6,0),0),0)</f>
        <v>0</v>
      </c>
      <c r="J1032" s="111">
        <f t="shared" si="192"/>
        <v>397.29</v>
      </c>
      <c r="K1032" s="91">
        <f>VLOOKUP($A1032,'2022-23 Salary &amp; Benefits'!$A:$I,3,FALSE)</f>
        <v>1.0900000000000001</v>
      </c>
      <c r="L1032" s="91">
        <f>VLOOKUP($A1032,'2022-23 Salary &amp; Benefits'!$A:$I,4,FALSE)</f>
        <v>1.0900000000000001</v>
      </c>
      <c r="M1032" s="39">
        <f t="shared" si="199"/>
        <v>397.29</v>
      </c>
      <c r="N1032" s="24">
        <v>15</v>
      </c>
      <c r="O1032" s="26">
        <f t="shared" si="190"/>
        <v>26.486000000000001</v>
      </c>
      <c r="P1032" s="24">
        <v>1.1000000000000001</v>
      </c>
      <c r="Q1032" s="24">
        <v>36</v>
      </c>
      <c r="R1032" s="27">
        <f t="shared" si="191"/>
        <v>1048.8456000000001</v>
      </c>
      <c r="S1032" s="102">
        <f t="shared" si="193"/>
        <v>1.165</v>
      </c>
      <c r="T1032" s="21">
        <f>VLOOKUP($A1032,'2022-23 Salary &amp; Benefits'!$A:$I,5,FALSE)</f>
        <v>68937</v>
      </c>
      <c r="U1032" s="21">
        <f>VLOOKUP($A1032,'2022-23 Salary &amp; Benefits'!$A:$I,6,FALSE)</f>
        <v>72728</v>
      </c>
      <c r="V1032" s="22">
        <f t="shared" si="194"/>
        <v>87539.65</v>
      </c>
      <c r="W1032" s="22">
        <f t="shared" si="195"/>
        <v>4814</v>
      </c>
      <c r="X1032" s="22">
        <f>'2022-23 Salary &amp; Benefits'!$G$6</f>
        <v>12558.24</v>
      </c>
      <c r="Y1032" s="23">
        <f>'2022-23 Salary &amp; Benefits'!$H$6</f>
        <v>0.2298</v>
      </c>
      <c r="Z1032" s="23">
        <f>'2022-23 Salary &amp; Benefits'!$I$6</f>
        <v>0.22339999999999999</v>
      </c>
      <c r="AA1032" s="22">
        <f t="shared" si="196"/>
        <v>35822.410000000003</v>
      </c>
      <c r="AB1032" s="22">
        <f t="shared" si="197"/>
        <v>1539.23</v>
      </c>
      <c r="AC1032" s="22">
        <f t="shared" si="198"/>
        <v>343.86</v>
      </c>
      <c r="AD1032" s="22">
        <f t="shared" si="200"/>
        <v>1883.0900000000001</v>
      </c>
      <c r="AE1032" s="22">
        <f t="shared" si="201"/>
        <v>130059.15</v>
      </c>
      <c r="AF1032" s="19" t="str">
        <f>VLOOKUP(C1032,'2021-22 School Level AAFTE'!C:N,12,FALSE)</f>
        <v>No</v>
      </c>
    </row>
    <row r="1033" spans="1:32" s="19" customFormat="1">
      <c r="A1033" s="97" t="s">
        <v>2392</v>
      </c>
      <c r="B1033" s="97" t="s">
        <v>1129</v>
      </c>
      <c r="C1033" s="95">
        <v>3049</v>
      </c>
      <c r="D1033" s="95" t="s">
        <v>1130</v>
      </c>
      <c r="E1033" s="129">
        <f>VLOOKUP($C1033,'2021-22 School Level AAFTE'!$C:$Z,11,FALSE)</f>
        <v>0.69990000000000008</v>
      </c>
      <c r="F1033" s="129" t="str">
        <f>VLOOKUP($C1033,'2021-22 School Level AAFTE'!$C:$Z,8,FALSE)</f>
        <v>Yes</v>
      </c>
      <c r="G1033" s="129" t="str">
        <f>VLOOKUP($C1033,'2021-22 School Level AAFTE'!$C:$Z,12,FALSE)</f>
        <v>No</v>
      </c>
      <c r="H1033" s="127">
        <f>VLOOKUP($C1033,'2021-22 School Level AAFTE'!$C:$I,7,FALSE)</f>
        <v>97.31</v>
      </c>
      <c r="I1033" s="112">
        <f>IFERROR(IF(OR(G1033="yes",F1033= "yes"),VLOOKUP(C1033,Summary!$B:$J,6,0),0),0)</f>
        <v>0</v>
      </c>
      <c r="J1033" s="111">
        <f t="shared" si="192"/>
        <v>97.31</v>
      </c>
      <c r="K1033" s="91">
        <f>VLOOKUP($A1033,'2022-23 Salary &amp; Benefits'!$A:$I,3,FALSE)</f>
        <v>1</v>
      </c>
      <c r="L1033" s="91">
        <f>VLOOKUP($A1033,'2022-23 Salary &amp; Benefits'!$A:$I,4,FALSE)</f>
        <v>1</v>
      </c>
      <c r="M1033" s="101">
        <f t="shared" si="199"/>
        <v>97.31</v>
      </c>
      <c r="N1033" s="24">
        <v>15</v>
      </c>
      <c r="O1033" s="26">
        <f t="shared" si="190"/>
        <v>6.4873333333333338</v>
      </c>
      <c r="P1033" s="24">
        <v>1.1000000000000001</v>
      </c>
      <c r="Q1033" s="24">
        <v>36</v>
      </c>
      <c r="R1033" s="27">
        <f t="shared" si="191"/>
        <v>256.89840000000004</v>
      </c>
      <c r="S1033" s="102">
        <f t="shared" si="193"/>
        <v>0.28499999999999998</v>
      </c>
      <c r="T1033" s="21">
        <f>VLOOKUP($A1033,'2022-23 Salary &amp; Benefits'!$A:$I,5,FALSE)</f>
        <v>68937</v>
      </c>
      <c r="U1033" s="21">
        <f>VLOOKUP($A1033,'2022-23 Salary &amp; Benefits'!$A:$I,6,FALSE)</f>
        <v>72728</v>
      </c>
      <c r="V1033" s="22">
        <f t="shared" si="194"/>
        <v>19647.05</v>
      </c>
      <c r="W1033" s="22">
        <f t="shared" si="195"/>
        <v>1080.4300000000003</v>
      </c>
      <c r="X1033" s="22">
        <f>'2022-23 Salary &amp; Benefits'!$G$6</f>
        <v>12558.24</v>
      </c>
      <c r="Y1033" s="23">
        <f>'2022-23 Salary &amp; Benefits'!$H$6</f>
        <v>0.2298</v>
      </c>
      <c r="Z1033" s="23">
        <f>'2022-23 Salary &amp; Benefits'!$I$6</f>
        <v>0.22339999999999999</v>
      </c>
      <c r="AA1033" s="22">
        <f t="shared" si="196"/>
        <v>8335.36</v>
      </c>
      <c r="AB1033" s="22">
        <f t="shared" si="197"/>
        <v>345.46</v>
      </c>
      <c r="AC1033" s="22">
        <f t="shared" si="198"/>
        <v>77.180000000000007</v>
      </c>
      <c r="AD1033" s="22">
        <f t="shared" si="200"/>
        <v>422.64</v>
      </c>
      <c r="AE1033" s="22">
        <f t="shared" si="201"/>
        <v>29485.48</v>
      </c>
      <c r="AF1033" s="19" t="str">
        <f>VLOOKUP(C1033,'2021-22 School Level AAFTE'!C:N,12,FALSE)</f>
        <v>No</v>
      </c>
    </row>
    <row r="1034" spans="1:32" s="19" customFormat="1">
      <c r="A1034" s="97" t="s">
        <v>2392</v>
      </c>
      <c r="B1034" s="97" t="s">
        <v>1129</v>
      </c>
      <c r="C1034" s="95">
        <v>3111</v>
      </c>
      <c r="D1034" s="95" t="s">
        <v>1131</v>
      </c>
      <c r="E1034" s="129">
        <f>VLOOKUP($C1034,'2021-22 School Level AAFTE'!$C:$Z,11,FALSE)</f>
        <v>0.67279999999999995</v>
      </c>
      <c r="F1034" s="129" t="str">
        <f>VLOOKUP($C1034,'2021-22 School Level AAFTE'!$C:$Z,8,FALSE)</f>
        <v>Yes</v>
      </c>
      <c r="G1034" s="129" t="str">
        <f>VLOOKUP($C1034,'2021-22 School Level AAFTE'!$C:$Z,12,FALSE)</f>
        <v>No</v>
      </c>
      <c r="H1034" s="127">
        <f>VLOOKUP($C1034,'2021-22 School Level AAFTE'!$C:$I,7,FALSE)</f>
        <v>65.98</v>
      </c>
      <c r="I1034" s="112">
        <f>IFERROR(IF(OR(G1034="yes",F1034= "yes"),VLOOKUP(C1034,Summary!$B:$J,6,0),0),0)</f>
        <v>0</v>
      </c>
      <c r="J1034" s="111">
        <f t="shared" si="192"/>
        <v>65.98</v>
      </c>
      <c r="K1034" s="91">
        <f>VLOOKUP($A1034,'2022-23 Salary &amp; Benefits'!$A:$I,3,FALSE)</f>
        <v>1</v>
      </c>
      <c r="L1034" s="91">
        <f>VLOOKUP($A1034,'2022-23 Salary &amp; Benefits'!$A:$I,4,FALSE)</f>
        <v>1</v>
      </c>
      <c r="M1034" s="101">
        <f t="shared" si="199"/>
        <v>65.98</v>
      </c>
      <c r="N1034" s="24">
        <v>15</v>
      </c>
      <c r="O1034" s="26">
        <f t="shared" ref="O1034:O1097" si="202">IF(M1034="no",0,M1034/N1034)</f>
        <v>4.3986666666666672</v>
      </c>
      <c r="P1034" s="24">
        <v>1.1000000000000001</v>
      </c>
      <c r="Q1034" s="24">
        <v>36</v>
      </c>
      <c r="R1034" s="27">
        <f t="shared" ref="R1034:R1097" si="203">IF(M1034="no",0,O1034*P1034*Q1034)</f>
        <v>174.18720000000002</v>
      </c>
      <c r="S1034" s="102">
        <f t="shared" si="193"/>
        <v>0.19400000000000001</v>
      </c>
      <c r="T1034" s="21">
        <f>VLOOKUP($A1034,'2022-23 Salary &amp; Benefits'!$A:$I,5,FALSE)</f>
        <v>68937</v>
      </c>
      <c r="U1034" s="21">
        <f>VLOOKUP($A1034,'2022-23 Salary &amp; Benefits'!$A:$I,6,FALSE)</f>
        <v>72728</v>
      </c>
      <c r="V1034" s="22">
        <f t="shared" si="194"/>
        <v>13373.78</v>
      </c>
      <c r="W1034" s="22">
        <f t="shared" si="195"/>
        <v>735.44999999999891</v>
      </c>
      <c r="X1034" s="22">
        <f>'2022-23 Salary &amp; Benefits'!$G$6</f>
        <v>12558.24</v>
      </c>
      <c r="Y1034" s="23">
        <f>'2022-23 Salary &amp; Benefits'!$H$6</f>
        <v>0.2298</v>
      </c>
      <c r="Z1034" s="23">
        <f>'2022-23 Salary &amp; Benefits'!$I$6</f>
        <v>0.22339999999999999</v>
      </c>
      <c r="AA1034" s="22">
        <f t="shared" si="196"/>
        <v>5673.89</v>
      </c>
      <c r="AB1034" s="22">
        <f t="shared" si="197"/>
        <v>235.15</v>
      </c>
      <c r="AC1034" s="22">
        <f t="shared" si="198"/>
        <v>52.53</v>
      </c>
      <c r="AD1034" s="22">
        <f t="shared" si="200"/>
        <v>287.68</v>
      </c>
      <c r="AE1034" s="22">
        <f t="shared" si="201"/>
        <v>20070.800000000003</v>
      </c>
      <c r="AF1034" s="19" t="str">
        <f>VLOOKUP(C1034,'2021-22 School Level AAFTE'!C:N,12,FALSE)</f>
        <v>No</v>
      </c>
    </row>
    <row r="1035" spans="1:32" s="19" customFormat="1">
      <c r="A1035" s="97" t="s">
        <v>2392</v>
      </c>
      <c r="B1035" s="97" t="s">
        <v>1129</v>
      </c>
      <c r="C1035" s="95">
        <v>3643</v>
      </c>
      <c r="D1035" s="95" t="s">
        <v>1132</v>
      </c>
      <c r="E1035" s="129">
        <f>VLOOKUP($C1035,'2021-22 School Level AAFTE'!$C:$Z,11,FALSE)</f>
        <v>0.72420000000000007</v>
      </c>
      <c r="F1035" s="129" t="str">
        <f>VLOOKUP($C1035,'2021-22 School Level AAFTE'!$C:$Z,8,FALSE)</f>
        <v>Yes</v>
      </c>
      <c r="G1035" s="129" t="str">
        <f>VLOOKUP($C1035,'2021-22 School Level AAFTE'!$C:$Z,12,FALSE)</f>
        <v>No</v>
      </c>
      <c r="H1035" s="127">
        <f>VLOOKUP($C1035,'2021-22 School Level AAFTE'!$C:$I,7,FALSE)</f>
        <v>46.71</v>
      </c>
      <c r="I1035" s="112">
        <f>IFERROR(IF(OR(G1035="yes",F1035= "yes"),VLOOKUP(C1035,Summary!$B:$J,6,0),0),0)</f>
        <v>0</v>
      </c>
      <c r="J1035" s="111">
        <f t="shared" ref="J1035:J1098" si="204">IF(OR(G1035="yes",F1035= "yes"), H1035,0)</f>
        <v>46.71</v>
      </c>
      <c r="K1035" s="91">
        <f>VLOOKUP($A1035,'2022-23 Salary &amp; Benefits'!$A:$I,3,FALSE)</f>
        <v>1</v>
      </c>
      <c r="L1035" s="91">
        <f>VLOOKUP($A1035,'2022-23 Salary &amp; Benefits'!$A:$I,4,FALSE)</f>
        <v>1</v>
      </c>
      <c r="M1035" s="39">
        <f t="shared" si="199"/>
        <v>46.71</v>
      </c>
      <c r="N1035" s="24">
        <v>15</v>
      </c>
      <c r="O1035" s="26">
        <f t="shared" si="202"/>
        <v>3.1139999999999999</v>
      </c>
      <c r="P1035" s="24">
        <v>1.1000000000000001</v>
      </c>
      <c r="Q1035" s="24">
        <v>36</v>
      </c>
      <c r="R1035" s="27">
        <f t="shared" si="203"/>
        <v>123.31440000000001</v>
      </c>
      <c r="S1035" s="102">
        <f t="shared" ref="S1035:S1098" si="205">ROUND(IF(M1035="no",0,R1035/900),3)</f>
        <v>0.13700000000000001</v>
      </c>
      <c r="T1035" s="21">
        <f>VLOOKUP($A1035,'2022-23 Salary &amp; Benefits'!$A:$I,5,FALSE)</f>
        <v>68937</v>
      </c>
      <c r="U1035" s="21">
        <f>VLOOKUP($A1035,'2022-23 Salary &amp; Benefits'!$A:$I,6,FALSE)</f>
        <v>72728</v>
      </c>
      <c r="V1035" s="22">
        <f t="shared" ref="V1035:V1098" si="206">ROUND($K1035*$T1035*$S1035,2)</f>
        <v>9444.3700000000008</v>
      </c>
      <c r="W1035" s="22">
        <f t="shared" ref="W1035:W1098" si="207">ROUND($L1035*$U1035*$S1035,2)-V1035</f>
        <v>519.36999999999898</v>
      </c>
      <c r="X1035" s="22">
        <f>'2022-23 Salary &amp; Benefits'!$G$6</f>
        <v>12558.24</v>
      </c>
      <c r="Y1035" s="23">
        <f>'2022-23 Salary &amp; Benefits'!$H$6</f>
        <v>0.2298</v>
      </c>
      <c r="Z1035" s="23">
        <f>'2022-23 Salary &amp; Benefits'!$I$6</f>
        <v>0.22339999999999999</v>
      </c>
      <c r="AA1035" s="22">
        <f t="shared" ref="AA1035:AA1098" si="208">ROUND(V1035*Y1035+W1035*Z1035+S1035*X1035,2)</f>
        <v>4006.82</v>
      </c>
      <c r="AB1035" s="22">
        <f t="shared" ref="AB1035:AB1098" si="209">ROUND(($U1035*$L1035*$S1035/180*3),2)</f>
        <v>166.06</v>
      </c>
      <c r="AC1035" s="22">
        <f t="shared" ref="AC1035:AC1098" si="210">ROUND(AB1035*Z1035,2)</f>
        <v>37.1</v>
      </c>
      <c r="AD1035" s="22">
        <f t="shared" si="200"/>
        <v>203.16</v>
      </c>
      <c r="AE1035" s="22">
        <f t="shared" si="201"/>
        <v>14173.72</v>
      </c>
      <c r="AF1035" s="19" t="str">
        <f>VLOOKUP(C1035,'2021-22 School Level AAFTE'!C:N,12,FALSE)</f>
        <v>No</v>
      </c>
    </row>
    <row r="1036" spans="1:32" s="19" customFormat="1">
      <c r="A1036" s="97" t="s">
        <v>2535</v>
      </c>
      <c r="B1036" s="97" t="s">
        <v>2103</v>
      </c>
      <c r="C1036" s="95">
        <v>1983</v>
      </c>
      <c r="D1036" s="95" t="s">
        <v>2104</v>
      </c>
      <c r="E1036" s="129">
        <f>VLOOKUP($C1036,'2021-22 School Level AAFTE'!$C:$Z,11,FALSE)</f>
        <v>6.8666666666666668E-2</v>
      </c>
      <c r="F1036" s="129" t="str">
        <f>VLOOKUP($C1036,'2021-22 School Level AAFTE'!$C:$Z,8,FALSE)</f>
        <v>No</v>
      </c>
      <c r="G1036" s="129" t="str">
        <f>VLOOKUP($C1036,'2021-22 School Level AAFTE'!$C:$Z,12,FALSE)</f>
        <v>No</v>
      </c>
      <c r="H1036" s="127">
        <f>VLOOKUP($C1036,'2021-22 School Level AAFTE'!$C:$I,7,FALSE)</f>
        <v>407.37</v>
      </c>
      <c r="I1036" s="112">
        <f>IFERROR(IF(OR(G1036="yes",F1036= "yes"),VLOOKUP(C1036,Summary!$B:$J,6,0),0),0)</f>
        <v>0</v>
      </c>
      <c r="J1036" s="111">
        <f t="shared" si="204"/>
        <v>0</v>
      </c>
      <c r="K1036" s="91">
        <f>VLOOKUP($A1036,'2022-23 Salary &amp; Benefits'!$A:$I,3,FALSE)</f>
        <v>1.06</v>
      </c>
      <c r="L1036" s="91">
        <f>VLOOKUP($A1036,'2022-23 Salary &amp; Benefits'!$A:$I,4,FALSE)</f>
        <v>1.06</v>
      </c>
      <c r="M1036" s="39">
        <f t="shared" si="199"/>
        <v>0</v>
      </c>
      <c r="N1036" s="24">
        <v>15</v>
      </c>
      <c r="O1036" s="26">
        <f t="shared" si="202"/>
        <v>0</v>
      </c>
      <c r="P1036" s="24">
        <v>1.1000000000000001</v>
      </c>
      <c r="Q1036" s="24">
        <v>36</v>
      </c>
      <c r="R1036" s="27">
        <f t="shared" si="203"/>
        <v>0</v>
      </c>
      <c r="S1036" s="102">
        <f t="shared" si="205"/>
        <v>0</v>
      </c>
      <c r="T1036" s="21">
        <f>VLOOKUP($A1036,'2022-23 Salary &amp; Benefits'!$A:$I,5,FALSE)</f>
        <v>68937</v>
      </c>
      <c r="U1036" s="21">
        <f>VLOOKUP($A1036,'2022-23 Salary &amp; Benefits'!$A:$I,6,FALSE)</f>
        <v>72728</v>
      </c>
      <c r="V1036" s="22">
        <f t="shared" si="206"/>
        <v>0</v>
      </c>
      <c r="W1036" s="22">
        <f t="shared" si="207"/>
        <v>0</v>
      </c>
      <c r="X1036" s="22">
        <f>'2022-23 Salary &amp; Benefits'!$G$6</f>
        <v>12558.24</v>
      </c>
      <c r="Y1036" s="23">
        <f>'2022-23 Salary &amp; Benefits'!$H$6</f>
        <v>0.2298</v>
      </c>
      <c r="Z1036" s="23">
        <f>'2022-23 Salary &amp; Benefits'!$I$6</f>
        <v>0.22339999999999999</v>
      </c>
      <c r="AA1036" s="22">
        <f t="shared" si="208"/>
        <v>0</v>
      </c>
      <c r="AB1036" s="22">
        <f t="shared" si="209"/>
        <v>0</v>
      </c>
      <c r="AC1036" s="22">
        <f t="shared" si="210"/>
        <v>0</v>
      </c>
      <c r="AD1036" s="22">
        <f t="shared" si="200"/>
        <v>0</v>
      </c>
      <c r="AE1036" s="22">
        <f t="shared" si="201"/>
        <v>0</v>
      </c>
      <c r="AF1036" s="19" t="str">
        <f>VLOOKUP(C1036,'2021-22 School Level AAFTE'!C:N,12,FALSE)</f>
        <v>No</v>
      </c>
    </row>
    <row r="1037" spans="1:32" s="19" customFormat="1">
      <c r="A1037" s="56" t="s">
        <v>2535</v>
      </c>
      <c r="B1037" s="97" t="s">
        <v>2103</v>
      </c>
      <c r="C1037" s="95">
        <v>2219</v>
      </c>
      <c r="D1037" s="56" t="s">
        <v>2105</v>
      </c>
      <c r="E1037" s="129">
        <f>VLOOKUP($C1037,'2021-22 School Level AAFTE'!$C:$Z,11,FALSE)</f>
        <v>0.35573333333333329</v>
      </c>
      <c r="F1037" s="129" t="str">
        <f>VLOOKUP($C1037,'2021-22 School Level AAFTE'!$C:$Z,8,FALSE)</f>
        <v>No</v>
      </c>
      <c r="G1037" s="129" t="str">
        <f>VLOOKUP($C1037,'2021-22 School Level AAFTE'!$C:$Z,12,FALSE)</f>
        <v>No</v>
      </c>
      <c r="H1037" s="127">
        <f>VLOOKUP($C1037,'2021-22 School Level AAFTE'!$C:$I,7,FALSE)</f>
        <v>644.07000000000005</v>
      </c>
      <c r="I1037" s="112">
        <f>IFERROR(IF(OR(G1037="yes",F1037= "yes"),VLOOKUP(C1037,Summary!$B:$J,6,0),0),0)</f>
        <v>0</v>
      </c>
      <c r="J1037" s="111">
        <f t="shared" si="204"/>
        <v>0</v>
      </c>
      <c r="K1037" s="91">
        <f>VLOOKUP($A1037,'2022-23 Salary &amp; Benefits'!$A:$I,3,FALSE)</f>
        <v>1.06</v>
      </c>
      <c r="L1037" s="91">
        <f>VLOOKUP($A1037,'2022-23 Salary &amp; Benefits'!$A:$I,4,FALSE)</f>
        <v>1.06</v>
      </c>
      <c r="M1037" s="39">
        <f t="shared" si="199"/>
        <v>0</v>
      </c>
      <c r="N1037" s="24">
        <v>15</v>
      </c>
      <c r="O1037" s="26">
        <f t="shared" si="202"/>
        <v>0</v>
      </c>
      <c r="P1037" s="24">
        <v>1.1000000000000001</v>
      </c>
      <c r="Q1037" s="24">
        <v>36</v>
      </c>
      <c r="R1037" s="27">
        <f t="shared" si="203"/>
        <v>0</v>
      </c>
      <c r="S1037" s="102">
        <f t="shared" si="205"/>
        <v>0</v>
      </c>
      <c r="T1037" s="21">
        <f>VLOOKUP($A1037,'2022-23 Salary &amp; Benefits'!$A:$I,5,FALSE)</f>
        <v>68937</v>
      </c>
      <c r="U1037" s="21">
        <f>VLOOKUP($A1037,'2022-23 Salary &amp; Benefits'!$A:$I,6,FALSE)</f>
        <v>72728</v>
      </c>
      <c r="V1037" s="22">
        <f t="shared" si="206"/>
        <v>0</v>
      </c>
      <c r="W1037" s="22">
        <f t="shared" si="207"/>
        <v>0</v>
      </c>
      <c r="X1037" s="22">
        <f>'2022-23 Salary &amp; Benefits'!$G$6</f>
        <v>12558.24</v>
      </c>
      <c r="Y1037" s="23">
        <f>'2022-23 Salary &amp; Benefits'!$H$6</f>
        <v>0.2298</v>
      </c>
      <c r="Z1037" s="23">
        <f>'2022-23 Salary &amp; Benefits'!$I$6</f>
        <v>0.22339999999999999</v>
      </c>
      <c r="AA1037" s="22">
        <f t="shared" si="208"/>
        <v>0</v>
      </c>
      <c r="AB1037" s="22">
        <f t="shared" si="209"/>
        <v>0</v>
      </c>
      <c r="AC1037" s="22">
        <f t="shared" si="210"/>
        <v>0</v>
      </c>
      <c r="AD1037" s="22">
        <f t="shared" si="200"/>
        <v>0</v>
      </c>
      <c r="AE1037" s="22">
        <f t="shared" si="201"/>
        <v>0</v>
      </c>
      <c r="AF1037" s="19" t="str">
        <f>VLOOKUP(C1037,'2021-22 School Level AAFTE'!C:N,12,FALSE)</f>
        <v>No</v>
      </c>
    </row>
    <row r="1038" spans="1:32" s="19" customFormat="1">
      <c r="A1038" s="97" t="s">
        <v>2535</v>
      </c>
      <c r="B1038" s="97" t="s">
        <v>2103</v>
      </c>
      <c r="C1038" s="95">
        <v>3417</v>
      </c>
      <c r="D1038" s="95" t="s">
        <v>2106</v>
      </c>
      <c r="E1038" s="129">
        <f>VLOOKUP($C1038,'2021-22 School Level AAFTE'!$C:$Z,11,FALSE)</f>
        <v>0.37080000000000002</v>
      </c>
      <c r="F1038" s="129" t="str">
        <f>VLOOKUP($C1038,'2021-22 School Level AAFTE'!$C:$Z,8,FALSE)</f>
        <v>No</v>
      </c>
      <c r="G1038" s="129" t="str">
        <f>VLOOKUP($C1038,'2021-22 School Level AAFTE'!$C:$Z,12,FALSE)</f>
        <v>No</v>
      </c>
      <c r="H1038" s="127">
        <f>VLOOKUP($C1038,'2021-22 School Level AAFTE'!$C:$I,7,FALSE)</f>
        <v>472.74</v>
      </c>
      <c r="I1038" s="112">
        <f>IFERROR(IF(OR(G1038="yes",F1038= "yes"),VLOOKUP(C1038,Summary!$B:$J,6,0),0),0)</f>
        <v>0</v>
      </c>
      <c r="J1038" s="111">
        <f t="shared" si="204"/>
        <v>0</v>
      </c>
      <c r="K1038" s="91">
        <f>VLOOKUP($A1038,'2022-23 Salary &amp; Benefits'!$A:$I,3,FALSE)</f>
        <v>1.06</v>
      </c>
      <c r="L1038" s="91">
        <f>VLOOKUP($A1038,'2022-23 Salary &amp; Benefits'!$A:$I,4,FALSE)</f>
        <v>1.06</v>
      </c>
      <c r="M1038" s="39">
        <f t="shared" si="199"/>
        <v>0</v>
      </c>
      <c r="N1038" s="24">
        <v>15</v>
      </c>
      <c r="O1038" s="26">
        <f t="shared" si="202"/>
        <v>0</v>
      </c>
      <c r="P1038" s="24">
        <v>1.1000000000000001</v>
      </c>
      <c r="Q1038" s="24">
        <v>36</v>
      </c>
      <c r="R1038" s="27">
        <f t="shared" si="203"/>
        <v>0</v>
      </c>
      <c r="S1038" s="102">
        <f t="shared" si="205"/>
        <v>0</v>
      </c>
      <c r="T1038" s="21">
        <f>VLOOKUP($A1038,'2022-23 Salary &amp; Benefits'!$A:$I,5,FALSE)</f>
        <v>68937</v>
      </c>
      <c r="U1038" s="21">
        <f>VLOOKUP($A1038,'2022-23 Salary &amp; Benefits'!$A:$I,6,FALSE)</f>
        <v>72728</v>
      </c>
      <c r="V1038" s="22">
        <f t="shared" si="206"/>
        <v>0</v>
      </c>
      <c r="W1038" s="22">
        <f t="shared" si="207"/>
        <v>0</v>
      </c>
      <c r="X1038" s="22">
        <f>'2022-23 Salary &amp; Benefits'!$G$6</f>
        <v>12558.24</v>
      </c>
      <c r="Y1038" s="23">
        <f>'2022-23 Salary &amp; Benefits'!$H$6</f>
        <v>0.2298</v>
      </c>
      <c r="Z1038" s="23">
        <f>'2022-23 Salary &amp; Benefits'!$I$6</f>
        <v>0.22339999999999999</v>
      </c>
      <c r="AA1038" s="22">
        <f t="shared" si="208"/>
        <v>0</v>
      </c>
      <c r="AB1038" s="22">
        <f t="shared" si="209"/>
        <v>0</v>
      </c>
      <c r="AC1038" s="22">
        <f t="shared" si="210"/>
        <v>0</v>
      </c>
      <c r="AD1038" s="22">
        <f t="shared" si="200"/>
        <v>0</v>
      </c>
      <c r="AE1038" s="22">
        <f t="shared" si="201"/>
        <v>0</v>
      </c>
      <c r="AF1038" s="19" t="str">
        <f>VLOOKUP(C1038,'2021-22 School Level AAFTE'!C:N,12,FALSE)</f>
        <v>No</v>
      </c>
    </row>
    <row r="1039" spans="1:32" s="19" customFormat="1">
      <c r="A1039" s="97" t="s">
        <v>2535</v>
      </c>
      <c r="B1039" s="97" t="s">
        <v>2103</v>
      </c>
      <c r="C1039" s="95">
        <v>4201</v>
      </c>
      <c r="D1039" s="95" t="s">
        <v>2107</v>
      </c>
      <c r="E1039" s="129">
        <f>VLOOKUP($C1039,'2021-22 School Level AAFTE'!$C:$Z,11,FALSE)</f>
        <v>0.29726666666666673</v>
      </c>
      <c r="F1039" s="129" t="str">
        <f>VLOOKUP($C1039,'2021-22 School Level AAFTE'!$C:$Z,8,FALSE)</f>
        <v>No</v>
      </c>
      <c r="G1039" s="129" t="str">
        <f>VLOOKUP($C1039,'2021-22 School Level AAFTE'!$C:$Z,12,FALSE)</f>
        <v>No</v>
      </c>
      <c r="H1039" s="127">
        <f>VLOOKUP($C1039,'2021-22 School Level AAFTE'!$C:$I,7,FALSE)</f>
        <v>945.61000000000013</v>
      </c>
      <c r="I1039" s="112">
        <f>IFERROR(IF(OR(G1039="yes",F1039= "yes"),VLOOKUP(C1039,Summary!$B:$J,6,0),0),0)</f>
        <v>0</v>
      </c>
      <c r="J1039" s="111">
        <f t="shared" si="204"/>
        <v>0</v>
      </c>
      <c r="K1039" s="91">
        <f>VLOOKUP($A1039,'2022-23 Salary &amp; Benefits'!$A:$I,3,FALSE)</f>
        <v>1.06</v>
      </c>
      <c r="L1039" s="91">
        <f>VLOOKUP($A1039,'2022-23 Salary &amp; Benefits'!$A:$I,4,FALSE)</f>
        <v>1.06</v>
      </c>
      <c r="M1039" s="101">
        <f t="shared" si="199"/>
        <v>0</v>
      </c>
      <c r="N1039" s="24">
        <v>15</v>
      </c>
      <c r="O1039" s="26">
        <f t="shared" si="202"/>
        <v>0</v>
      </c>
      <c r="P1039" s="24">
        <v>1.1000000000000001</v>
      </c>
      <c r="Q1039" s="24">
        <v>36</v>
      </c>
      <c r="R1039" s="27">
        <f t="shared" si="203"/>
        <v>0</v>
      </c>
      <c r="S1039" s="102">
        <f t="shared" si="205"/>
        <v>0</v>
      </c>
      <c r="T1039" s="21">
        <f>VLOOKUP($A1039,'2022-23 Salary &amp; Benefits'!$A:$I,5,FALSE)</f>
        <v>68937</v>
      </c>
      <c r="U1039" s="21">
        <f>VLOOKUP($A1039,'2022-23 Salary &amp; Benefits'!$A:$I,6,FALSE)</f>
        <v>72728</v>
      </c>
      <c r="V1039" s="22">
        <f t="shared" si="206"/>
        <v>0</v>
      </c>
      <c r="W1039" s="22">
        <f t="shared" si="207"/>
        <v>0</v>
      </c>
      <c r="X1039" s="22">
        <f>'2022-23 Salary &amp; Benefits'!$G$6</f>
        <v>12558.24</v>
      </c>
      <c r="Y1039" s="23">
        <f>'2022-23 Salary &amp; Benefits'!$H$6</f>
        <v>0.2298</v>
      </c>
      <c r="Z1039" s="23">
        <f>'2022-23 Salary &amp; Benefits'!$I$6</f>
        <v>0.22339999999999999</v>
      </c>
      <c r="AA1039" s="22">
        <f t="shared" si="208"/>
        <v>0</v>
      </c>
      <c r="AB1039" s="22">
        <f t="shared" si="209"/>
        <v>0</v>
      </c>
      <c r="AC1039" s="22">
        <f t="shared" si="210"/>
        <v>0</v>
      </c>
      <c r="AD1039" s="22">
        <f t="shared" si="200"/>
        <v>0</v>
      </c>
      <c r="AE1039" s="22">
        <f t="shared" si="201"/>
        <v>0</v>
      </c>
      <c r="AF1039" s="19" t="str">
        <f>VLOOKUP(C1039,'2021-22 School Level AAFTE'!C:N,12,FALSE)</f>
        <v>No</v>
      </c>
    </row>
    <row r="1040" spans="1:32" s="19" customFormat="1">
      <c r="A1040" s="56" t="s">
        <v>2535</v>
      </c>
      <c r="B1040" s="97" t="s">
        <v>2103</v>
      </c>
      <c r="C1040" s="95">
        <v>4324</v>
      </c>
      <c r="D1040" s="56" t="s">
        <v>2108</v>
      </c>
      <c r="E1040" s="129">
        <f>VLOOKUP($C1040,'2021-22 School Level AAFTE'!$C:$Z,11,FALSE)</f>
        <v>0.26956666666666668</v>
      </c>
      <c r="F1040" s="129" t="str">
        <f>VLOOKUP($C1040,'2021-22 School Level AAFTE'!$C:$Z,8,FALSE)</f>
        <v>No</v>
      </c>
      <c r="G1040" s="129" t="str">
        <f>VLOOKUP($C1040,'2021-22 School Level AAFTE'!$C:$Z,12,FALSE)</f>
        <v>No</v>
      </c>
      <c r="H1040" s="127">
        <f>VLOOKUP($C1040,'2021-22 School Level AAFTE'!$C:$I,7,FALSE)</f>
        <v>403.45</v>
      </c>
      <c r="I1040" s="112">
        <f>IFERROR(IF(OR(G1040="yes",F1040= "yes"),VLOOKUP(C1040,Summary!$B:$J,6,0),0),0)</f>
        <v>0</v>
      </c>
      <c r="J1040" s="111">
        <f t="shared" si="204"/>
        <v>0</v>
      </c>
      <c r="K1040" s="91">
        <f>VLOOKUP($A1040,'2022-23 Salary &amp; Benefits'!$A:$I,3,FALSE)</f>
        <v>1.06</v>
      </c>
      <c r="L1040" s="91">
        <f>VLOOKUP($A1040,'2022-23 Salary &amp; Benefits'!$A:$I,4,FALSE)</f>
        <v>1.06</v>
      </c>
      <c r="M1040" s="101">
        <f t="shared" si="199"/>
        <v>0</v>
      </c>
      <c r="N1040" s="24">
        <v>15</v>
      </c>
      <c r="O1040" s="26">
        <f t="shared" si="202"/>
        <v>0</v>
      </c>
      <c r="P1040" s="24">
        <v>1.1000000000000001</v>
      </c>
      <c r="Q1040" s="24">
        <v>36</v>
      </c>
      <c r="R1040" s="27">
        <f t="shared" si="203"/>
        <v>0</v>
      </c>
      <c r="S1040" s="102">
        <f t="shared" si="205"/>
        <v>0</v>
      </c>
      <c r="T1040" s="21">
        <f>VLOOKUP($A1040,'2022-23 Salary &amp; Benefits'!$A:$I,5,FALSE)</f>
        <v>68937</v>
      </c>
      <c r="U1040" s="21">
        <f>VLOOKUP($A1040,'2022-23 Salary &amp; Benefits'!$A:$I,6,FALSE)</f>
        <v>72728</v>
      </c>
      <c r="V1040" s="22">
        <f t="shared" si="206"/>
        <v>0</v>
      </c>
      <c r="W1040" s="22">
        <f t="shared" si="207"/>
        <v>0</v>
      </c>
      <c r="X1040" s="22">
        <f>'2022-23 Salary &amp; Benefits'!$G$6</f>
        <v>12558.24</v>
      </c>
      <c r="Y1040" s="23">
        <f>'2022-23 Salary &amp; Benefits'!$H$6</f>
        <v>0.2298</v>
      </c>
      <c r="Z1040" s="23">
        <f>'2022-23 Salary &amp; Benefits'!$I$6</f>
        <v>0.22339999999999999</v>
      </c>
      <c r="AA1040" s="22">
        <f t="shared" si="208"/>
        <v>0</v>
      </c>
      <c r="AB1040" s="22">
        <f t="shared" si="209"/>
        <v>0</v>
      </c>
      <c r="AC1040" s="22">
        <f t="shared" si="210"/>
        <v>0</v>
      </c>
      <c r="AD1040" s="22">
        <f t="shared" si="200"/>
        <v>0</v>
      </c>
      <c r="AE1040" s="22">
        <f t="shared" si="201"/>
        <v>0</v>
      </c>
      <c r="AF1040" s="19" t="str">
        <f>VLOOKUP(C1040,'2021-22 School Level AAFTE'!C:N,12,FALSE)</f>
        <v>No</v>
      </c>
    </row>
    <row r="1041" spans="1:32" s="19" customFormat="1">
      <c r="A1041" s="97" t="s">
        <v>2535</v>
      </c>
      <c r="B1041" s="97" t="s">
        <v>2103</v>
      </c>
      <c r="C1041" s="95">
        <v>4517</v>
      </c>
      <c r="D1041" s="95" t="s">
        <v>2109</v>
      </c>
      <c r="E1041" s="129">
        <f>VLOOKUP($C1041,'2021-22 School Level AAFTE'!$C:$Z,11,FALSE)</f>
        <v>0.29950000000000004</v>
      </c>
      <c r="F1041" s="129" t="str">
        <f>VLOOKUP($C1041,'2021-22 School Level AAFTE'!$C:$Z,8,FALSE)</f>
        <v>No</v>
      </c>
      <c r="G1041" s="129" t="str">
        <f>VLOOKUP($C1041,'2021-22 School Level AAFTE'!$C:$Z,12,FALSE)</f>
        <v>No</v>
      </c>
      <c r="H1041" s="127">
        <f>VLOOKUP($C1041,'2021-22 School Level AAFTE'!$C:$I,7,FALSE)</f>
        <v>444.72</v>
      </c>
      <c r="I1041" s="112">
        <f>IFERROR(IF(OR(G1041="yes",F1041= "yes"),VLOOKUP(C1041,Summary!$B:$J,6,0),0),0)</f>
        <v>0</v>
      </c>
      <c r="J1041" s="111">
        <f t="shared" si="204"/>
        <v>0</v>
      </c>
      <c r="K1041" s="91">
        <f>VLOOKUP($A1041,'2022-23 Salary &amp; Benefits'!$A:$I,3,FALSE)</f>
        <v>1.06</v>
      </c>
      <c r="L1041" s="91">
        <f>VLOOKUP($A1041,'2022-23 Salary &amp; Benefits'!$A:$I,4,FALSE)</f>
        <v>1.06</v>
      </c>
      <c r="M1041" s="101">
        <f t="shared" si="199"/>
        <v>0</v>
      </c>
      <c r="N1041" s="24">
        <v>15</v>
      </c>
      <c r="O1041" s="26">
        <f t="shared" si="202"/>
        <v>0</v>
      </c>
      <c r="P1041" s="24">
        <v>1.1000000000000001</v>
      </c>
      <c r="Q1041" s="24">
        <v>36</v>
      </c>
      <c r="R1041" s="27">
        <f t="shared" si="203"/>
        <v>0</v>
      </c>
      <c r="S1041" s="102">
        <f t="shared" si="205"/>
        <v>0</v>
      </c>
      <c r="T1041" s="21">
        <f>VLOOKUP($A1041,'2022-23 Salary &amp; Benefits'!$A:$I,5,FALSE)</f>
        <v>68937</v>
      </c>
      <c r="U1041" s="21">
        <f>VLOOKUP($A1041,'2022-23 Salary &amp; Benefits'!$A:$I,6,FALSE)</f>
        <v>72728</v>
      </c>
      <c r="V1041" s="22">
        <f t="shared" si="206"/>
        <v>0</v>
      </c>
      <c r="W1041" s="22">
        <f t="shared" si="207"/>
        <v>0</v>
      </c>
      <c r="X1041" s="22">
        <f>'2022-23 Salary &amp; Benefits'!$G$6</f>
        <v>12558.24</v>
      </c>
      <c r="Y1041" s="23">
        <f>'2022-23 Salary &amp; Benefits'!$H$6</f>
        <v>0.2298</v>
      </c>
      <c r="Z1041" s="23">
        <f>'2022-23 Salary &amp; Benefits'!$I$6</f>
        <v>0.22339999999999999</v>
      </c>
      <c r="AA1041" s="22">
        <f t="shared" si="208"/>
        <v>0</v>
      </c>
      <c r="AB1041" s="22">
        <f t="shared" si="209"/>
        <v>0</v>
      </c>
      <c r="AC1041" s="22">
        <f t="shared" si="210"/>
        <v>0</v>
      </c>
      <c r="AD1041" s="22">
        <f t="shared" si="200"/>
        <v>0</v>
      </c>
      <c r="AE1041" s="22">
        <f t="shared" si="201"/>
        <v>0</v>
      </c>
      <c r="AF1041" s="19" t="str">
        <f>VLOOKUP(C1041,'2021-22 School Level AAFTE'!C:N,12,FALSE)</f>
        <v>No</v>
      </c>
    </row>
    <row r="1042" spans="1:32" s="19" customFormat="1">
      <c r="A1042" s="97" t="s">
        <v>2558</v>
      </c>
      <c r="B1042" s="97" t="s">
        <v>2201</v>
      </c>
      <c r="C1042" s="95">
        <v>3070</v>
      </c>
      <c r="D1042" s="95" t="s">
        <v>2202</v>
      </c>
      <c r="E1042" s="129">
        <f>VLOOKUP($C1042,'2021-22 School Level AAFTE'!$C:$Z,11,FALSE)</f>
        <v>0.91380000000000006</v>
      </c>
      <c r="F1042" s="129" t="str">
        <f>VLOOKUP($C1042,'2021-22 School Level AAFTE'!$C:$Z,8,FALSE)</f>
        <v>Yes</v>
      </c>
      <c r="G1042" s="129" t="str">
        <f>VLOOKUP($C1042,'2021-22 School Level AAFTE'!$C:$Z,12,FALSE)</f>
        <v>No</v>
      </c>
      <c r="H1042" s="127">
        <f>VLOOKUP($C1042,'2021-22 School Level AAFTE'!$C:$I,7,FALSE)</f>
        <v>423.43</v>
      </c>
      <c r="I1042" s="112">
        <f>IFERROR(IF(OR(G1042="yes",F1042= "yes"),VLOOKUP(C1042,Summary!$B:$J,6,0),0),0)</f>
        <v>0</v>
      </c>
      <c r="J1042" s="111">
        <f t="shared" si="204"/>
        <v>423.43</v>
      </c>
      <c r="K1042" s="91">
        <f>VLOOKUP($A1042,'2022-23 Salary &amp; Benefits'!$A:$I,3,FALSE)</f>
        <v>1</v>
      </c>
      <c r="L1042" s="91">
        <f>VLOOKUP($A1042,'2022-23 Salary &amp; Benefits'!$A:$I,4,FALSE)</f>
        <v>1</v>
      </c>
      <c r="M1042" s="101">
        <f t="shared" si="199"/>
        <v>423.43</v>
      </c>
      <c r="N1042" s="24">
        <v>15</v>
      </c>
      <c r="O1042" s="26">
        <f t="shared" si="202"/>
        <v>28.228666666666665</v>
      </c>
      <c r="P1042" s="24">
        <v>1.1000000000000001</v>
      </c>
      <c r="Q1042" s="24">
        <v>36</v>
      </c>
      <c r="R1042" s="27">
        <f t="shared" si="203"/>
        <v>1117.8552</v>
      </c>
      <c r="S1042" s="102">
        <f t="shared" si="205"/>
        <v>1.242</v>
      </c>
      <c r="T1042" s="21">
        <f>VLOOKUP($A1042,'2022-23 Salary &amp; Benefits'!$A:$I,5,FALSE)</f>
        <v>68937</v>
      </c>
      <c r="U1042" s="21">
        <f>VLOOKUP($A1042,'2022-23 Salary &amp; Benefits'!$A:$I,6,FALSE)</f>
        <v>72728</v>
      </c>
      <c r="V1042" s="22">
        <f t="shared" si="206"/>
        <v>85619.75</v>
      </c>
      <c r="W1042" s="22">
        <f t="shared" si="207"/>
        <v>4708.429999999993</v>
      </c>
      <c r="X1042" s="22">
        <f>'2022-23 Salary &amp; Benefits'!$G$6</f>
        <v>12558.24</v>
      </c>
      <c r="Y1042" s="23">
        <f>'2022-23 Salary &amp; Benefits'!$H$6</f>
        <v>0.2298</v>
      </c>
      <c r="Z1042" s="23">
        <f>'2022-23 Salary &amp; Benefits'!$I$6</f>
        <v>0.22339999999999999</v>
      </c>
      <c r="AA1042" s="22">
        <f t="shared" si="208"/>
        <v>36324.620000000003</v>
      </c>
      <c r="AB1042" s="22">
        <f t="shared" si="209"/>
        <v>1505.47</v>
      </c>
      <c r="AC1042" s="22">
        <f t="shared" si="210"/>
        <v>336.32</v>
      </c>
      <c r="AD1042" s="22">
        <f t="shared" si="200"/>
        <v>1841.79</v>
      </c>
      <c r="AE1042" s="22">
        <f t="shared" si="201"/>
        <v>128494.58999999998</v>
      </c>
      <c r="AF1042" s="19" t="str">
        <f>VLOOKUP(C1042,'2021-22 School Level AAFTE'!C:N,12,FALSE)</f>
        <v>No</v>
      </c>
    </row>
    <row r="1043" spans="1:32" s="19" customFormat="1">
      <c r="A1043" s="97" t="s">
        <v>2558</v>
      </c>
      <c r="B1043" s="97" t="s">
        <v>2201</v>
      </c>
      <c r="C1043" s="95">
        <v>5289</v>
      </c>
      <c r="D1043" s="95" t="s">
        <v>2203</v>
      </c>
      <c r="E1043" s="129">
        <f>VLOOKUP($C1043,'2021-22 School Level AAFTE'!$C:$Z,11,FALSE)</f>
        <v>0.92210000000000003</v>
      </c>
      <c r="F1043" s="129" t="str">
        <f>VLOOKUP($C1043,'2021-22 School Level AAFTE'!$C:$Z,8,FALSE)</f>
        <v>Yes</v>
      </c>
      <c r="G1043" s="129" t="str">
        <f>VLOOKUP($C1043,'2021-22 School Level AAFTE'!$C:$Z,12,FALSE)</f>
        <v>No</v>
      </c>
      <c r="H1043" s="127">
        <f>VLOOKUP($C1043,'2021-22 School Level AAFTE'!$C:$I,7,FALSE)</f>
        <v>379.86</v>
      </c>
      <c r="I1043" s="112">
        <f>IFERROR(IF(OR(G1043="yes",F1043= "yes"),VLOOKUP(C1043,Summary!$B:$J,6,0),0),0)</f>
        <v>0</v>
      </c>
      <c r="J1043" s="111">
        <f t="shared" si="204"/>
        <v>379.86</v>
      </c>
      <c r="K1043" s="91">
        <f>VLOOKUP($A1043,'2022-23 Salary &amp; Benefits'!$A:$I,3,FALSE)</f>
        <v>1</v>
      </c>
      <c r="L1043" s="91">
        <f>VLOOKUP($A1043,'2022-23 Salary &amp; Benefits'!$A:$I,4,FALSE)</f>
        <v>1</v>
      </c>
      <c r="M1043" s="101">
        <f t="shared" si="199"/>
        <v>379.86</v>
      </c>
      <c r="N1043" s="24">
        <v>15</v>
      </c>
      <c r="O1043" s="26">
        <f t="shared" si="202"/>
        <v>25.324000000000002</v>
      </c>
      <c r="P1043" s="24">
        <v>1.1000000000000001</v>
      </c>
      <c r="Q1043" s="24">
        <v>36</v>
      </c>
      <c r="R1043" s="27">
        <f t="shared" si="203"/>
        <v>1002.8304000000002</v>
      </c>
      <c r="S1043" s="102">
        <f t="shared" si="205"/>
        <v>1.1140000000000001</v>
      </c>
      <c r="T1043" s="21">
        <f>VLOOKUP($A1043,'2022-23 Salary &amp; Benefits'!$A:$I,5,FALSE)</f>
        <v>68937</v>
      </c>
      <c r="U1043" s="21">
        <f>VLOOKUP($A1043,'2022-23 Salary &amp; Benefits'!$A:$I,6,FALSE)</f>
        <v>72728</v>
      </c>
      <c r="V1043" s="22">
        <f t="shared" si="206"/>
        <v>76795.820000000007</v>
      </c>
      <c r="W1043" s="22">
        <f t="shared" si="207"/>
        <v>4223.1699999999983</v>
      </c>
      <c r="X1043" s="22">
        <f>'2022-23 Salary &amp; Benefits'!$G$6</f>
        <v>12558.24</v>
      </c>
      <c r="Y1043" s="23">
        <f>'2022-23 Salary &amp; Benefits'!$H$6</f>
        <v>0.2298</v>
      </c>
      <c r="Z1043" s="23">
        <f>'2022-23 Salary &amp; Benefits'!$I$6</f>
        <v>0.22339999999999999</v>
      </c>
      <c r="AA1043" s="22">
        <f t="shared" si="208"/>
        <v>32581.01</v>
      </c>
      <c r="AB1043" s="22">
        <f t="shared" si="209"/>
        <v>1350.32</v>
      </c>
      <c r="AC1043" s="22">
        <f t="shared" si="210"/>
        <v>301.66000000000003</v>
      </c>
      <c r="AD1043" s="22">
        <f t="shared" si="200"/>
        <v>1651.98</v>
      </c>
      <c r="AE1043" s="22">
        <f t="shared" si="201"/>
        <v>115251.98</v>
      </c>
      <c r="AF1043" s="19" t="str">
        <f>VLOOKUP(C1043,'2021-22 School Level AAFTE'!C:N,12,FALSE)</f>
        <v>No</v>
      </c>
    </row>
    <row r="1044" spans="1:32" s="19" customFormat="1">
      <c r="A1044" s="97" t="s">
        <v>2558</v>
      </c>
      <c r="B1044" s="97" t="s">
        <v>2201</v>
      </c>
      <c r="C1044" s="95">
        <v>5443</v>
      </c>
      <c r="D1044" s="95" t="s">
        <v>2786</v>
      </c>
      <c r="E1044" s="129">
        <f>VLOOKUP($C1044,'2021-22 School Level AAFTE'!$C:$Z,11,FALSE)</f>
        <v>0.83330000000000004</v>
      </c>
      <c r="F1044" s="129" t="str">
        <f>VLOOKUP($C1044,'2021-22 School Level AAFTE'!$C:$Z,8,FALSE)</f>
        <v>Yes</v>
      </c>
      <c r="G1044" s="129" t="str">
        <f>VLOOKUP($C1044,'2021-22 School Level AAFTE'!$C:$Z,12,FALSE)</f>
        <v>No</v>
      </c>
      <c r="H1044" s="127">
        <f>VLOOKUP($C1044,'2021-22 School Level AAFTE'!$C:$I,7,FALSE)</f>
        <v>4.12</v>
      </c>
      <c r="I1044" s="112">
        <f>IFERROR(IF(OR(G1044="yes",F1044= "yes"),VLOOKUP(C1044,Summary!$B:$J,6,0),0),0)</f>
        <v>0</v>
      </c>
      <c r="J1044" s="111">
        <f t="shared" si="204"/>
        <v>4.12</v>
      </c>
      <c r="K1044" s="91">
        <f>VLOOKUP($A1044,'2022-23 Salary &amp; Benefits'!$A:$I,3,FALSE)</f>
        <v>1</v>
      </c>
      <c r="L1044" s="91">
        <f>VLOOKUP($A1044,'2022-23 Salary &amp; Benefits'!$A:$I,4,FALSE)</f>
        <v>1</v>
      </c>
      <c r="M1044" s="101">
        <f t="shared" si="199"/>
        <v>4.12</v>
      </c>
      <c r="N1044" s="24">
        <v>15</v>
      </c>
      <c r="O1044" s="26">
        <f t="shared" si="202"/>
        <v>0.27466666666666667</v>
      </c>
      <c r="P1044" s="24">
        <v>1.1000000000000001</v>
      </c>
      <c r="Q1044" s="24">
        <v>36</v>
      </c>
      <c r="R1044" s="27">
        <f t="shared" si="203"/>
        <v>10.876800000000001</v>
      </c>
      <c r="S1044" s="102">
        <f t="shared" si="205"/>
        <v>1.2E-2</v>
      </c>
      <c r="T1044" s="21">
        <f>VLOOKUP($A1044,'2022-23 Salary &amp; Benefits'!$A:$I,5,FALSE)</f>
        <v>68937</v>
      </c>
      <c r="U1044" s="21">
        <f>VLOOKUP($A1044,'2022-23 Salary &amp; Benefits'!$A:$I,6,FALSE)</f>
        <v>72728</v>
      </c>
      <c r="V1044" s="22">
        <f t="shared" si="206"/>
        <v>827.24</v>
      </c>
      <c r="W1044" s="22">
        <f t="shared" si="207"/>
        <v>45.5</v>
      </c>
      <c r="X1044" s="22">
        <f>'2022-23 Salary &amp; Benefits'!$G$6</f>
        <v>12558.24</v>
      </c>
      <c r="Y1044" s="23">
        <f>'2022-23 Salary &amp; Benefits'!$H$6</f>
        <v>0.2298</v>
      </c>
      <c r="Z1044" s="23">
        <f>'2022-23 Salary &amp; Benefits'!$I$6</f>
        <v>0.22339999999999999</v>
      </c>
      <c r="AA1044" s="22">
        <f t="shared" si="208"/>
        <v>350.96</v>
      </c>
      <c r="AB1044" s="22">
        <f t="shared" si="209"/>
        <v>14.55</v>
      </c>
      <c r="AC1044" s="22">
        <f t="shared" si="210"/>
        <v>3.25</v>
      </c>
      <c r="AD1044" s="22">
        <f t="shared" si="200"/>
        <v>17.8</v>
      </c>
      <c r="AE1044" s="22">
        <f t="shared" si="201"/>
        <v>1241.5</v>
      </c>
      <c r="AF1044" s="19" t="str">
        <f>VLOOKUP(C1044,'2021-22 School Level AAFTE'!C:N,12,FALSE)</f>
        <v>No</v>
      </c>
    </row>
    <row r="1045" spans="1:32" s="19" customFormat="1">
      <c r="A1045" s="97" t="s">
        <v>2305</v>
      </c>
      <c r="B1045" s="97" t="s">
        <v>353</v>
      </c>
      <c r="C1045" s="95">
        <v>2233</v>
      </c>
      <c r="D1045" s="95" t="s">
        <v>354</v>
      </c>
      <c r="E1045" s="129">
        <f>VLOOKUP($C1045,'2021-22 School Level AAFTE'!$C:$Z,11,FALSE)</f>
        <v>0.6579666666666667</v>
      </c>
      <c r="F1045" s="129" t="str">
        <f>VLOOKUP($C1045,'2021-22 School Level AAFTE'!$C:$Z,8,FALSE)</f>
        <v>Yes</v>
      </c>
      <c r="G1045" s="129" t="str">
        <f>VLOOKUP($C1045,'2021-22 School Level AAFTE'!$C:$Z,12,FALSE)</f>
        <v>No</v>
      </c>
      <c r="H1045" s="127">
        <f>VLOOKUP($C1045,'2021-22 School Level AAFTE'!$C:$I,7,FALSE)</f>
        <v>89.97</v>
      </c>
      <c r="I1045" s="112">
        <f>IFERROR(IF(OR(G1045="yes",F1045= "yes"),VLOOKUP(C1045,Summary!$B:$J,6,0),0),0)</f>
        <v>0</v>
      </c>
      <c r="J1045" s="111">
        <f t="shared" si="204"/>
        <v>89.97</v>
      </c>
      <c r="K1045" s="91">
        <f>VLOOKUP($A1045,'2022-23 Salary &amp; Benefits'!$A:$I,3,FALSE)</f>
        <v>1</v>
      </c>
      <c r="L1045" s="91">
        <f>VLOOKUP($A1045,'2022-23 Salary &amp; Benefits'!$A:$I,4,FALSE)</f>
        <v>1</v>
      </c>
      <c r="M1045" s="39">
        <f t="shared" si="199"/>
        <v>89.97</v>
      </c>
      <c r="N1045" s="24">
        <v>15</v>
      </c>
      <c r="O1045" s="26">
        <f t="shared" si="202"/>
        <v>5.9980000000000002</v>
      </c>
      <c r="P1045" s="24">
        <v>1.1000000000000001</v>
      </c>
      <c r="Q1045" s="24">
        <v>36</v>
      </c>
      <c r="R1045" s="27">
        <f t="shared" si="203"/>
        <v>237.52080000000004</v>
      </c>
      <c r="S1045" s="102">
        <f t="shared" si="205"/>
        <v>0.26400000000000001</v>
      </c>
      <c r="T1045" s="21">
        <f>VLOOKUP($A1045,'2022-23 Salary &amp; Benefits'!$A:$I,5,FALSE)</f>
        <v>68937</v>
      </c>
      <c r="U1045" s="21">
        <f>VLOOKUP($A1045,'2022-23 Salary &amp; Benefits'!$A:$I,6,FALSE)</f>
        <v>72728</v>
      </c>
      <c r="V1045" s="22">
        <f t="shared" si="206"/>
        <v>18199.37</v>
      </c>
      <c r="W1045" s="22">
        <f t="shared" si="207"/>
        <v>1000.8199999999997</v>
      </c>
      <c r="X1045" s="22">
        <f>'2022-23 Salary &amp; Benefits'!$G$6</f>
        <v>12558.24</v>
      </c>
      <c r="Y1045" s="23">
        <f>'2022-23 Salary &amp; Benefits'!$H$6</f>
        <v>0.2298</v>
      </c>
      <c r="Z1045" s="23">
        <f>'2022-23 Salary &amp; Benefits'!$I$6</f>
        <v>0.22339999999999999</v>
      </c>
      <c r="AA1045" s="22">
        <f t="shared" si="208"/>
        <v>7721.17</v>
      </c>
      <c r="AB1045" s="22">
        <f t="shared" si="209"/>
        <v>320</v>
      </c>
      <c r="AC1045" s="22">
        <f t="shared" si="210"/>
        <v>71.489999999999995</v>
      </c>
      <c r="AD1045" s="22">
        <f t="shared" si="200"/>
        <v>391.49</v>
      </c>
      <c r="AE1045" s="22">
        <f t="shared" si="201"/>
        <v>27312.850000000002</v>
      </c>
      <c r="AF1045" s="19" t="str">
        <f>VLOOKUP(C1045,'2021-22 School Level AAFTE'!C:N,12,FALSE)</f>
        <v>No</v>
      </c>
    </row>
    <row r="1046" spans="1:32" s="19" customFormat="1">
      <c r="A1046" s="97" t="s">
        <v>2270</v>
      </c>
      <c r="B1046" s="97" t="s">
        <v>96</v>
      </c>
      <c r="C1046" s="95">
        <v>2196</v>
      </c>
      <c r="D1046" s="95" t="s">
        <v>97</v>
      </c>
      <c r="E1046" s="129">
        <f>VLOOKUP($C1046,'2021-22 School Level AAFTE'!$C:$Z,11,FALSE)</f>
        <v>0.69346666666666668</v>
      </c>
      <c r="F1046" s="129" t="str">
        <f>VLOOKUP($C1046,'2021-22 School Level AAFTE'!$C:$Z,8,FALSE)</f>
        <v>Yes</v>
      </c>
      <c r="G1046" s="129" t="str">
        <f>VLOOKUP($C1046,'2021-22 School Level AAFTE'!$C:$Z,12,FALSE)</f>
        <v>No</v>
      </c>
      <c r="H1046" s="127">
        <f>VLOOKUP($C1046,'2021-22 School Level AAFTE'!$C:$I,7,FALSE)</f>
        <v>245.15</v>
      </c>
      <c r="I1046" s="112">
        <f>IFERROR(IF(OR(G1046="yes",F1046= "yes"),VLOOKUP(C1046,Summary!$B:$J,6,0),0),0)</f>
        <v>0</v>
      </c>
      <c r="J1046" s="111">
        <f t="shared" si="204"/>
        <v>245.15</v>
      </c>
      <c r="K1046" s="91">
        <f>VLOOKUP($A1046,'2022-23 Salary &amp; Benefits'!$A:$I,3,FALSE)</f>
        <v>1</v>
      </c>
      <c r="L1046" s="91">
        <f>VLOOKUP($A1046,'2022-23 Salary &amp; Benefits'!$A:$I,4,FALSE)</f>
        <v>1</v>
      </c>
      <c r="M1046" s="39">
        <f t="shared" si="199"/>
        <v>245.15</v>
      </c>
      <c r="N1046" s="24">
        <v>15</v>
      </c>
      <c r="O1046" s="26">
        <f t="shared" si="202"/>
        <v>16.343333333333334</v>
      </c>
      <c r="P1046" s="24">
        <v>1.1000000000000001</v>
      </c>
      <c r="Q1046" s="24">
        <v>36</v>
      </c>
      <c r="R1046" s="27">
        <f t="shared" si="203"/>
        <v>647.19600000000003</v>
      </c>
      <c r="S1046" s="102">
        <f t="shared" si="205"/>
        <v>0.71899999999999997</v>
      </c>
      <c r="T1046" s="21">
        <f>VLOOKUP($A1046,'2022-23 Salary &amp; Benefits'!$A:$I,5,FALSE)</f>
        <v>68937</v>
      </c>
      <c r="U1046" s="21">
        <f>VLOOKUP($A1046,'2022-23 Salary &amp; Benefits'!$A:$I,6,FALSE)</f>
        <v>72728</v>
      </c>
      <c r="V1046" s="22">
        <f t="shared" si="206"/>
        <v>49565.7</v>
      </c>
      <c r="W1046" s="22">
        <f t="shared" si="207"/>
        <v>2725.7300000000032</v>
      </c>
      <c r="X1046" s="22">
        <f>'2022-23 Salary &amp; Benefits'!$G$6</f>
        <v>12558.24</v>
      </c>
      <c r="Y1046" s="23">
        <f>'2022-23 Salary &amp; Benefits'!$H$6</f>
        <v>0.2298</v>
      </c>
      <c r="Z1046" s="23">
        <f>'2022-23 Salary &amp; Benefits'!$I$6</f>
        <v>0.22339999999999999</v>
      </c>
      <c r="AA1046" s="22">
        <f t="shared" si="208"/>
        <v>21028.5</v>
      </c>
      <c r="AB1046" s="22">
        <f t="shared" si="209"/>
        <v>871.52</v>
      </c>
      <c r="AC1046" s="22">
        <f t="shared" si="210"/>
        <v>194.7</v>
      </c>
      <c r="AD1046" s="22">
        <f t="shared" si="200"/>
        <v>1066.22</v>
      </c>
      <c r="AE1046" s="22">
        <f t="shared" si="201"/>
        <v>74386.149999999994</v>
      </c>
      <c r="AF1046" s="19" t="str">
        <f>VLOOKUP(C1046,'2021-22 School Level AAFTE'!C:N,12,FALSE)</f>
        <v>No</v>
      </c>
    </row>
    <row r="1047" spans="1:32" s="19" customFormat="1">
      <c r="A1047" s="97" t="s">
        <v>2270</v>
      </c>
      <c r="B1047" s="97" t="s">
        <v>96</v>
      </c>
      <c r="C1047" s="95">
        <v>2623</v>
      </c>
      <c r="D1047" s="95" t="s">
        <v>98</v>
      </c>
      <c r="E1047" s="129">
        <f>VLOOKUP($C1047,'2021-22 School Level AAFTE'!$C:$Z,11,FALSE)</f>
        <v>0.66786666666666672</v>
      </c>
      <c r="F1047" s="129" t="str">
        <f>VLOOKUP($C1047,'2021-22 School Level AAFTE'!$C:$Z,8,FALSE)</f>
        <v>Yes</v>
      </c>
      <c r="G1047" s="129" t="str">
        <f>VLOOKUP($C1047,'2021-22 School Level AAFTE'!$C:$Z,12,FALSE)</f>
        <v>No</v>
      </c>
      <c r="H1047" s="127">
        <f>VLOOKUP($C1047,'2021-22 School Level AAFTE'!$C:$I,7,FALSE)</f>
        <v>200.13</v>
      </c>
      <c r="I1047" s="112">
        <f>IFERROR(IF(OR(G1047="yes",F1047= "yes"),VLOOKUP(C1047,Summary!$B:$J,6,0),0),0)</f>
        <v>0</v>
      </c>
      <c r="J1047" s="111">
        <f t="shared" si="204"/>
        <v>200.13</v>
      </c>
      <c r="K1047" s="91">
        <f>VLOOKUP($A1047,'2022-23 Salary &amp; Benefits'!$A:$I,3,FALSE)</f>
        <v>1</v>
      </c>
      <c r="L1047" s="91">
        <f>VLOOKUP($A1047,'2022-23 Salary &amp; Benefits'!$A:$I,4,FALSE)</f>
        <v>1</v>
      </c>
      <c r="M1047" s="39">
        <f t="shared" si="199"/>
        <v>200.13</v>
      </c>
      <c r="N1047" s="24">
        <v>15</v>
      </c>
      <c r="O1047" s="26">
        <f t="shared" si="202"/>
        <v>13.342000000000001</v>
      </c>
      <c r="P1047" s="24">
        <v>1.1000000000000001</v>
      </c>
      <c r="Q1047" s="24">
        <v>36</v>
      </c>
      <c r="R1047" s="27">
        <f t="shared" si="203"/>
        <v>528.34320000000002</v>
      </c>
      <c r="S1047" s="102">
        <f t="shared" si="205"/>
        <v>0.58699999999999997</v>
      </c>
      <c r="T1047" s="21">
        <f>VLOOKUP($A1047,'2022-23 Salary &amp; Benefits'!$A:$I,5,FALSE)</f>
        <v>68937</v>
      </c>
      <c r="U1047" s="21">
        <f>VLOOKUP($A1047,'2022-23 Salary &amp; Benefits'!$A:$I,6,FALSE)</f>
        <v>72728</v>
      </c>
      <c r="V1047" s="22">
        <f t="shared" si="206"/>
        <v>40466.019999999997</v>
      </c>
      <c r="W1047" s="22">
        <f t="shared" si="207"/>
        <v>2225.3199999999997</v>
      </c>
      <c r="X1047" s="22">
        <f>'2022-23 Salary &amp; Benefits'!$G$6</f>
        <v>12558.24</v>
      </c>
      <c r="Y1047" s="23">
        <f>'2022-23 Salary &amp; Benefits'!$H$6</f>
        <v>0.2298</v>
      </c>
      <c r="Z1047" s="23">
        <f>'2022-23 Salary &amp; Benefits'!$I$6</f>
        <v>0.22339999999999999</v>
      </c>
      <c r="AA1047" s="22">
        <f t="shared" si="208"/>
        <v>17167.91</v>
      </c>
      <c r="AB1047" s="22">
        <f t="shared" si="209"/>
        <v>711.52</v>
      </c>
      <c r="AC1047" s="22">
        <f t="shared" si="210"/>
        <v>158.94999999999999</v>
      </c>
      <c r="AD1047" s="22">
        <f t="shared" si="200"/>
        <v>870.47</v>
      </c>
      <c r="AE1047" s="22">
        <f t="shared" si="201"/>
        <v>60729.719999999994</v>
      </c>
      <c r="AF1047" s="19" t="str">
        <f>VLOOKUP(C1047,'2021-22 School Level AAFTE'!C:N,12,FALSE)</f>
        <v>No</v>
      </c>
    </row>
    <row r="1048" spans="1:32" s="19" customFormat="1">
      <c r="A1048" s="97" t="s">
        <v>2270</v>
      </c>
      <c r="B1048" s="97" t="s">
        <v>96</v>
      </c>
      <c r="C1048" s="95">
        <v>5286</v>
      </c>
      <c r="D1048" s="95" t="s">
        <v>99</v>
      </c>
      <c r="E1048" s="129">
        <f>VLOOKUP($C1048,'2021-22 School Level AAFTE'!$C:$Z,11,FALSE)</f>
        <v>0.68079999999999996</v>
      </c>
      <c r="F1048" s="129" t="str">
        <f>VLOOKUP($C1048,'2021-22 School Level AAFTE'!$C:$Z,8,FALSE)</f>
        <v>Yes</v>
      </c>
      <c r="G1048" s="129" t="str">
        <f>VLOOKUP($C1048,'2021-22 School Level AAFTE'!$C:$Z,12,FALSE)</f>
        <v>No</v>
      </c>
      <c r="H1048" s="127">
        <f>VLOOKUP($C1048,'2021-22 School Level AAFTE'!$C:$I,7,FALSE)</f>
        <v>151.94999999999999</v>
      </c>
      <c r="I1048" s="112">
        <f>IFERROR(IF(OR(G1048="yes",F1048= "yes"),VLOOKUP(C1048,Summary!$B:$J,6,0),0),0)</f>
        <v>0</v>
      </c>
      <c r="J1048" s="111">
        <f t="shared" si="204"/>
        <v>151.94999999999999</v>
      </c>
      <c r="K1048" s="91">
        <f>VLOOKUP($A1048,'2022-23 Salary &amp; Benefits'!$A:$I,3,FALSE)</f>
        <v>1</v>
      </c>
      <c r="L1048" s="91">
        <f>VLOOKUP($A1048,'2022-23 Salary &amp; Benefits'!$A:$I,4,FALSE)</f>
        <v>1</v>
      </c>
      <c r="M1048" s="101">
        <f t="shared" si="199"/>
        <v>151.94999999999999</v>
      </c>
      <c r="N1048" s="24">
        <v>15</v>
      </c>
      <c r="O1048" s="26">
        <f t="shared" si="202"/>
        <v>10.129999999999999</v>
      </c>
      <c r="P1048" s="24">
        <v>1.1000000000000001</v>
      </c>
      <c r="Q1048" s="24">
        <v>36</v>
      </c>
      <c r="R1048" s="27">
        <f t="shared" si="203"/>
        <v>401.14800000000002</v>
      </c>
      <c r="S1048" s="102">
        <f t="shared" si="205"/>
        <v>0.44600000000000001</v>
      </c>
      <c r="T1048" s="21">
        <f>VLOOKUP($A1048,'2022-23 Salary &amp; Benefits'!$A:$I,5,FALSE)</f>
        <v>68937</v>
      </c>
      <c r="U1048" s="21">
        <f>VLOOKUP($A1048,'2022-23 Salary &amp; Benefits'!$A:$I,6,FALSE)</f>
        <v>72728</v>
      </c>
      <c r="V1048" s="22">
        <f t="shared" si="206"/>
        <v>30745.9</v>
      </c>
      <c r="W1048" s="22">
        <f t="shared" si="207"/>
        <v>1690.7899999999972</v>
      </c>
      <c r="X1048" s="22">
        <f>'2022-23 Salary &amp; Benefits'!$G$6</f>
        <v>12558.24</v>
      </c>
      <c r="Y1048" s="23">
        <f>'2022-23 Salary &amp; Benefits'!$H$6</f>
        <v>0.2298</v>
      </c>
      <c r="Z1048" s="23">
        <f>'2022-23 Salary &amp; Benefits'!$I$6</f>
        <v>0.22339999999999999</v>
      </c>
      <c r="AA1048" s="22">
        <f t="shared" si="208"/>
        <v>13044.11</v>
      </c>
      <c r="AB1048" s="22">
        <f t="shared" si="209"/>
        <v>540.61</v>
      </c>
      <c r="AC1048" s="22">
        <f t="shared" si="210"/>
        <v>120.77</v>
      </c>
      <c r="AD1048" s="22">
        <f t="shared" si="200"/>
        <v>661.38</v>
      </c>
      <c r="AE1048" s="22">
        <f t="shared" si="201"/>
        <v>46142.18</v>
      </c>
      <c r="AF1048" s="19" t="str">
        <f>VLOOKUP(C1048,'2021-22 School Level AAFTE'!C:N,12,FALSE)</f>
        <v>No</v>
      </c>
    </row>
    <row r="1049" spans="1:32" s="19" customFormat="1">
      <c r="A1049" s="97" t="s">
        <v>2417</v>
      </c>
      <c r="B1049" s="97" t="s">
        <v>1213</v>
      </c>
      <c r="C1049" s="95">
        <v>5444</v>
      </c>
      <c r="D1049" s="95" t="s">
        <v>1214</v>
      </c>
      <c r="E1049" s="129">
        <f>VLOOKUP($C1049,'2021-22 School Level AAFTE'!$C:$Z,11,FALSE)</f>
        <v>0.69873333333333332</v>
      </c>
      <c r="F1049" s="129" t="str">
        <f>VLOOKUP($C1049,'2021-22 School Level AAFTE'!$C:$Z,8,FALSE)</f>
        <v>Yes</v>
      </c>
      <c r="G1049" s="129" t="str">
        <f>VLOOKUP($C1049,'2021-22 School Level AAFTE'!$C:$Z,12,FALSE)</f>
        <v>No</v>
      </c>
      <c r="H1049" s="127">
        <f>VLOOKUP($C1049,'2021-22 School Level AAFTE'!$C:$I,7,FALSE)</f>
        <v>166.33</v>
      </c>
      <c r="I1049" s="112">
        <f>IFERROR(IF(OR(G1049="yes",F1049= "yes"),VLOOKUP(C1049,Summary!$B:$J,6,0),0),0)</f>
        <v>0</v>
      </c>
      <c r="J1049" s="111">
        <f t="shared" si="204"/>
        <v>166.33</v>
      </c>
      <c r="K1049" s="91">
        <f>VLOOKUP($A1049,'2022-23 Salary &amp; Benefits'!$A:$I,3,FALSE)</f>
        <v>1</v>
      </c>
      <c r="L1049" s="91">
        <f>VLOOKUP($A1049,'2022-23 Salary &amp; Benefits'!$A:$I,4,FALSE)</f>
        <v>1</v>
      </c>
      <c r="M1049" s="39">
        <f t="shared" si="199"/>
        <v>166.33</v>
      </c>
      <c r="N1049" s="24">
        <v>15</v>
      </c>
      <c r="O1049" s="26">
        <f t="shared" si="202"/>
        <v>11.088666666666667</v>
      </c>
      <c r="P1049" s="24">
        <v>1.1000000000000001</v>
      </c>
      <c r="Q1049" s="24">
        <v>36</v>
      </c>
      <c r="R1049" s="27">
        <f t="shared" si="203"/>
        <v>439.11120000000005</v>
      </c>
      <c r="S1049" s="102">
        <f t="shared" si="205"/>
        <v>0.48799999999999999</v>
      </c>
      <c r="T1049" s="21">
        <f>VLOOKUP($A1049,'2022-23 Salary &amp; Benefits'!$A:$I,5,FALSE)</f>
        <v>68937</v>
      </c>
      <c r="U1049" s="21">
        <f>VLOOKUP($A1049,'2022-23 Salary &amp; Benefits'!$A:$I,6,FALSE)</f>
        <v>72728</v>
      </c>
      <c r="V1049" s="22">
        <f t="shared" si="206"/>
        <v>33641.26</v>
      </c>
      <c r="W1049" s="22">
        <f t="shared" si="207"/>
        <v>1850</v>
      </c>
      <c r="X1049" s="22">
        <f>'2022-23 Salary &amp; Benefits'!$G$6</f>
        <v>12558.24</v>
      </c>
      <c r="Y1049" s="23">
        <f>'2022-23 Salary &amp; Benefits'!$H$6</f>
        <v>0.2298</v>
      </c>
      <c r="Z1049" s="23">
        <f>'2022-23 Salary &amp; Benefits'!$I$6</f>
        <v>0.22339999999999999</v>
      </c>
      <c r="AA1049" s="22">
        <f t="shared" si="208"/>
        <v>14272.47</v>
      </c>
      <c r="AB1049" s="22">
        <f t="shared" si="209"/>
        <v>591.52</v>
      </c>
      <c r="AC1049" s="22">
        <f t="shared" si="210"/>
        <v>132.15</v>
      </c>
      <c r="AD1049" s="22">
        <f t="shared" si="200"/>
        <v>723.67</v>
      </c>
      <c r="AE1049" s="22">
        <f t="shared" si="201"/>
        <v>50487.4</v>
      </c>
      <c r="AF1049" s="19" t="str">
        <f>VLOOKUP(C1049,'2021-22 School Level AAFTE'!C:N,12,FALSE)</f>
        <v>No</v>
      </c>
    </row>
    <row r="1050" spans="1:32" s="19" customFormat="1">
      <c r="A1050" s="97" t="s">
        <v>2417</v>
      </c>
      <c r="B1050" s="97" t="s">
        <v>1213</v>
      </c>
      <c r="C1050" s="95">
        <v>5445</v>
      </c>
      <c r="D1050" s="95" t="s">
        <v>1215</v>
      </c>
      <c r="E1050" s="129">
        <f>VLOOKUP($C1050,'2021-22 School Level AAFTE'!$C:$Z,11,FALSE)</f>
        <v>0.15590000000000001</v>
      </c>
      <c r="F1050" s="129" t="str">
        <f>VLOOKUP($C1050,'2021-22 School Level AAFTE'!$C:$Z,8,FALSE)</f>
        <v>No</v>
      </c>
      <c r="G1050" s="129" t="str">
        <f>VLOOKUP($C1050,'2021-22 School Level AAFTE'!$C:$Z,12,FALSE)</f>
        <v>No</v>
      </c>
      <c r="H1050" s="127">
        <f>VLOOKUP($C1050,'2021-22 School Level AAFTE'!$C:$I,7,FALSE)</f>
        <v>1268.3599999999999</v>
      </c>
      <c r="I1050" s="112">
        <f>IFERROR(IF(OR(G1050="yes",F1050= "yes"),VLOOKUP(C1050,Summary!$B:$J,6,0),0),0)</f>
        <v>0</v>
      </c>
      <c r="J1050" s="111">
        <f t="shared" si="204"/>
        <v>0</v>
      </c>
      <c r="K1050" s="91">
        <f>VLOOKUP($A1050,'2022-23 Salary &amp; Benefits'!$A:$I,3,FALSE)</f>
        <v>1</v>
      </c>
      <c r="L1050" s="91">
        <f>VLOOKUP($A1050,'2022-23 Salary &amp; Benefits'!$A:$I,4,FALSE)</f>
        <v>1</v>
      </c>
      <c r="M1050" s="39">
        <f t="shared" si="199"/>
        <v>0</v>
      </c>
      <c r="N1050" s="24">
        <v>15</v>
      </c>
      <c r="O1050" s="26">
        <f t="shared" si="202"/>
        <v>0</v>
      </c>
      <c r="P1050" s="24">
        <v>1.1000000000000001</v>
      </c>
      <c r="Q1050" s="24">
        <v>36</v>
      </c>
      <c r="R1050" s="27">
        <f t="shared" si="203"/>
        <v>0</v>
      </c>
      <c r="S1050" s="102">
        <f t="shared" si="205"/>
        <v>0</v>
      </c>
      <c r="T1050" s="21">
        <f>VLOOKUP($A1050,'2022-23 Salary &amp; Benefits'!$A:$I,5,FALSE)</f>
        <v>68937</v>
      </c>
      <c r="U1050" s="21">
        <f>VLOOKUP($A1050,'2022-23 Salary &amp; Benefits'!$A:$I,6,FALSE)</f>
        <v>72728</v>
      </c>
      <c r="V1050" s="22">
        <f t="shared" si="206"/>
        <v>0</v>
      </c>
      <c r="W1050" s="22">
        <f t="shared" si="207"/>
        <v>0</v>
      </c>
      <c r="X1050" s="22">
        <f>'2022-23 Salary &amp; Benefits'!$G$6</f>
        <v>12558.24</v>
      </c>
      <c r="Y1050" s="23">
        <f>'2022-23 Salary &amp; Benefits'!$H$6</f>
        <v>0.2298</v>
      </c>
      <c r="Z1050" s="23">
        <f>'2022-23 Salary &amp; Benefits'!$I$6</f>
        <v>0.22339999999999999</v>
      </c>
      <c r="AA1050" s="22">
        <f t="shared" si="208"/>
        <v>0</v>
      </c>
      <c r="AB1050" s="22">
        <f t="shared" si="209"/>
        <v>0</v>
      </c>
      <c r="AC1050" s="22">
        <f t="shared" si="210"/>
        <v>0</v>
      </c>
      <c r="AD1050" s="22">
        <f t="shared" si="200"/>
        <v>0</v>
      </c>
      <c r="AE1050" s="22">
        <f t="shared" si="201"/>
        <v>0</v>
      </c>
      <c r="AF1050" s="19" t="str">
        <f>VLOOKUP(C1050,'2021-22 School Level AAFTE'!C:N,12,FALSE)</f>
        <v>No</v>
      </c>
    </row>
    <row r="1051" spans="1:32" s="19" customFormat="1">
      <c r="A1051" s="97" t="s">
        <v>2512</v>
      </c>
      <c r="B1051" s="97" t="s">
        <v>1951</v>
      </c>
      <c r="C1051" s="95">
        <v>2297</v>
      </c>
      <c r="D1051" s="95" t="s">
        <v>1952</v>
      </c>
      <c r="E1051" s="129">
        <f>VLOOKUP($C1051,'2021-22 School Level AAFTE'!$C:$Z,11,FALSE)</f>
        <v>0.73196666666666665</v>
      </c>
      <c r="F1051" s="129" t="str">
        <f>VLOOKUP($C1051,'2021-22 School Level AAFTE'!$C:$Z,8,FALSE)</f>
        <v>Yes</v>
      </c>
      <c r="G1051" s="129" t="str">
        <f>VLOOKUP($C1051,'2021-22 School Level AAFTE'!$C:$Z,12,FALSE)</f>
        <v>No</v>
      </c>
      <c r="H1051" s="127">
        <f>VLOOKUP($C1051,'2021-22 School Level AAFTE'!$C:$I,7,FALSE)</f>
        <v>175.71</v>
      </c>
      <c r="I1051" s="112">
        <f>IFERROR(IF(OR(G1051="yes",F1051= "yes"),VLOOKUP(C1051,Summary!$B:$J,6,0),0),0)</f>
        <v>0</v>
      </c>
      <c r="J1051" s="111">
        <f t="shared" si="204"/>
        <v>175.71</v>
      </c>
      <c r="K1051" s="91">
        <f>VLOOKUP($A1051,'2022-23 Salary &amp; Benefits'!$A:$I,3,FALSE)</f>
        <v>1</v>
      </c>
      <c r="L1051" s="91">
        <f>VLOOKUP($A1051,'2022-23 Salary &amp; Benefits'!$A:$I,4,FALSE)</f>
        <v>1</v>
      </c>
      <c r="M1051" s="39">
        <f t="shared" si="199"/>
        <v>175.71</v>
      </c>
      <c r="N1051" s="24">
        <v>15</v>
      </c>
      <c r="O1051" s="26">
        <f t="shared" si="202"/>
        <v>11.714</v>
      </c>
      <c r="P1051" s="24">
        <v>1.1000000000000001</v>
      </c>
      <c r="Q1051" s="24">
        <v>36</v>
      </c>
      <c r="R1051" s="27">
        <f t="shared" si="203"/>
        <v>463.87440000000004</v>
      </c>
      <c r="S1051" s="102">
        <f t="shared" si="205"/>
        <v>0.51500000000000001</v>
      </c>
      <c r="T1051" s="21">
        <f>VLOOKUP($A1051,'2022-23 Salary &amp; Benefits'!$A:$I,5,FALSE)</f>
        <v>68937</v>
      </c>
      <c r="U1051" s="21">
        <f>VLOOKUP($A1051,'2022-23 Salary &amp; Benefits'!$A:$I,6,FALSE)</f>
        <v>72728</v>
      </c>
      <c r="V1051" s="22">
        <f t="shared" si="206"/>
        <v>35502.559999999998</v>
      </c>
      <c r="W1051" s="22">
        <f t="shared" si="207"/>
        <v>1952.3600000000006</v>
      </c>
      <c r="X1051" s="22">
        <f>'2022-23 Salary &amp; Benefits'!$G$6</f>
        <v>12558.24</v>
      </c>
      <c r="Y1051" s="23">
        <f>'2022-23 Salary &amp; Benefits'!$H$6</f>
        <v>0.2298</v>
      </c>
      <c r="Z1051" s="23">
        <f>'2022-23 Salary &amp; Benefits'!$I$6</f>
        <v>0.22339999999999999</v>
      </c>
      <c r="AA1051" s="22">
        <f t="shared" si="208"/>
        <v>15062.14</v>
      </c>
      <c r="AB1051" s="22">
        <f t="shared" si="209"/>
        <v>624.25</v>
      </c>
      <c r="AC1051" s="22">
        <f t="shared" si="210"/>
        <v>139.46</v>
      </c>
      <c r="AD1051" s="22">
        <f t="shared" si="200"/>
        <v>763.71</v>
      </c>
      <c r="AE1051" s="22">
        <f t="shared" si="201"/>
        <v>53280.77</v>
      </c>
      <c r="AF1051" s="19" t="str">
        <f>VLOOKUP(C1051,'2021-22 School Level AAFTE'!C:N,12,FALSE)</f>
        <v>No</v>
      </c>
    </row>
    <row r="1052" spans="1:32" s="19" customFormat="1">
      <c r="A1052" s="97" t="s">
        <v>2512</v>
      </c>
      <c r="B1052" s="97" t="s">
        <v>1951</v>
      </c>
      <c r="C1052" s="95">
        <v>3311</v>
      </c>
      <c r="D1052" s="95" t="s">
        <v>1953</v>
      </c>
      <c r="E1052" s="129">
        <f>VLOOKUP($C1052,'2021-22 School Level AAFTE'!$C:$Z,11,FALSE)</f>
        <v>0.70643333333333336</v>
      </c>
      <c r="F1052" s="129" t="str">
        <f>VLOOKUP($C1052,'2021-22 School Level AAFTE'!$C:$Z,8,FALSE)</f>
        <v>Yes</v>
      </c>
      <c r="G1052" s="129" t="str">
        <f>VLOOKUP($C1052,'2021-22 School Level AAFTE'!$C:$Z,12,FALSE)</f>
        <v>No</v>
      </c>
      <c r="H1052" s="127">
        <f>VLOOKUP($C1052,'2021-22 School Level AAFTE'!$C:$I,7,FALSE)</f>
        <v>142.04</v>
      </c>
      <c r="I1052" s="112">
        <f>IFERROR(IF(OR(G1052="yes",F1052= "yes"),VLOOKUP(C1052,Summary!$B:$J,6,0),0),0)</f>
        <v>0</v>
      </c>
      <c r="J1052" s="111">
        <f t="shared" si="204"/>
        <v>142.04</v>
      </c>
      <c r="K1052" s="91">
        <f>VLOOKUP($A1052,'2022-23 Salary &amp; Benefits'!$A:$I,3,FALSE)</f>
        <v>1</v>
      </c>
      <c r="L1052" s="91">
        <f>VLOOKUP($A1052,'2022-23 Salary &amp; Benefits'!$A:$I,4,FALSE)</f>
        <v>1</v>
      </c>
      <c r="M1052" s="39">
        <f t="shared" si="199"/>
        <v>142.04</v>
      </c>
      <c r="N1052" s="24">
        <v>15</v>
      </c>
      <c r="O1052" s="26">
        <f t="shared" si="202"/>
        <v>9.4693333333333332</v>
      </c>
      <c r="P1052" s="24">
        <v>1.1000000000000001</v>
      </c>
      <c r="Q1052" s="24">
        <v>36</v>
      </c>
      <c r="R1052" s="27">
        <f t="shared" si="203"/>
        <v>374.98560000000003</v>
      </c>
      <c r="S1052" s="102">
        <f t="shared" si="205"/>
        <v>0.41699999999999998</v>
      </c>
      <c r="T1052" s="21">
        <f>VLOOKUP($A1052,'2022-23 Salary &amp; Benefits'!$A:$I,5,FALSE)</f>
        <v>68937</v>
      </c>
      <c r="U1052" s="21">
        <f>VLOOKUP($A1052,'2022-23 Salary &amp; Benefits'!$A:$I,6,FALSE)</f>
        <v>72728</v>
      </c>
      <c r="V1052" s="22">
        <f t="shared" si="206"/>
        <v>28746.73</v>
      </c>
      <c r="W1052" s="22">
        <f t="shared" si="207"/>
        <v>1580.8500000000022</v>
      </c>
      <c r="X1052" s="22">
        <f>'2022-23 Salary &amp; Benefits'!$G$6</f>
        <v>12558.24</v>
      </c>
      <c r="Y1052" s="23">
        <f>'2022-23 Salary &amp; Benefits'!$H$6</f>
        <v>0.2298</v>
      </c>
      <c r="Z1052" s="23">
        <f>'2022-23 Salary &amp; Benefits'!$I$6</f>
        <v>0.22339999999999999</v>
      </c>
      <c r="AA1052" s="22">
        <f t="shared" si="208"/>
        <v>12195.95</v>
      </c>
      <c r="AB1052" s="22">
        <f t="shared" si="209"/>
        <v>505.46</v>
      </c>
      <c r="AC1052" s="22">
        <f t="shared" si="210"/>
        <v>112.92</v>
      </c>
      <c r="AD1052" s="22">
        <f t="shared" si="200"/>
        <v>618.38</v>
      </c>
      <c r="AE1052" s="22">
        <f t="shared" si="201"/>
        <v>43141.909999999996</v>
      </c>
      <c r="AF1052" s="19" t="str">
        <f>VLOOKUP(C1052,'2021-22 School Level AAFTE'!C:N,12,FALSE)</f>
        <v>No</v>
      </c>
    </row>
    <row r="1053" spans="1:32" s="19" customFormat="1">
      <c r="A1053" s="97" t="s">
        <v>2512</v>
      </c>
      <c r="B1053" s="97" t="s">
        <v>1951</v>
      </c>
      <c r="C1053" s="95">
        <v>3894</v>
      </c>
      <c r="D1053" s="95" t="s">
        <v>1954</v>
      </c>
      <c r="E1053" s="129">
        <f>VLOOKUP($C1053,'2021-22 School Level AAFTE'!$C:$Z,11,FALSE)</f>
        <v>0.76989999999999992</v>
      </c>
      <c r="F1053" s="129" t="str">
        <f>VLOOKUP($C1053,'2021-22 School Level AAFTE'!$C:$Z,8,FALSE)</f>
        <v>Yes</v>
      </c>
      <c r="G1053" s="129" t="str">
        <f>VLOOKUP($C1053,'2021-22 School Level AAFTE'!$C:$Z,12,FALSE)</f>
        <v>No</v>
      </c>
      <c r="H1053" s="127">
        <f>VLOOKUP($C1053,'2021-22 School Level AAFTE'!$C:$I,7,FALSE)</f>
        <v>94.29</v>
      </c>
      <c r="I1053" s="112">
        <f>IFERROR(IF(OR(G1053="yes",F1053= "yes"),VLOOKUP(C1053,Summary!$B:$J,6,0),0),0)</f>
        <v>0</v>
      </c>
      <c r="J1053" s="111">
        <f t="shared" si="204"/>
        <v>94.29</v>
      </c>
      <c r="K1053" s="91">
        <f>VLOOKUP($A1053,'2022-23 Salary &amp; Benefits'!$A:$I,3,FALSE)</f>
        <v>1</v>
      </c>
      <c r="L1053" s="91">
        <f>VLOOKUP($A1053,'2022-23 Salary &amp; Benefits'!$A:$I,4,FALSE)</f>
        <v>1</v>
      </c>
      <c r="M1053" s="39">
        <f t="shared" si="199"/>
        <v>94.29</v>
      </c>
      <c r="N1053" s="24">
        <v>15</v>
      </c>
      <c r="O1053" s="26">
        <f t="shared" si="202"/>
        <v>6.2860000000000005</v>
      </c>
      <c r="P1053" s="24">
        <v>1.1000000000000001</v>
      </c>
      <c r="Q1053" s="24">
        <v>36</v>
      </c>
      <c r="R1053" s="27">
        <f t="shared" si="203"/>
        <v>248.92560000000003</v>
      </c>
      <c r="S1053" s="102">
        <f t="shared" si="205"/>
        <v>0.27700000000000002</v>
      </c>
      <c r="T1053" s="21">
        <f>VLOOKUP($A1053,'2022-23 Salary &amp; Benefits'!$A:$I,5,FALSE)</f>
        <v>68937</v>
      </c>
      <c r="U1053" s="21">
        <f>VLOOKUP($A1053,'2022-23 Salary &amp; Benefits'!$A:$I,6,FALSE)</f>
        <v>72728</v>
      </c>
      <c r="V1053" s="22">
        <f t="shared" si="206"/>
        <v>19095.55</v>
      </c>
      <c r="W1053" s="22">
        <f t="shared" si="207"/>
        <v>1050.1100000000006</v>
      </c>
      <c r="X1053" s="22">
        <f>'2022-23 Salary &amp; Benefits'!$G$6</f>
        <v>12558.24</v>
      </c>
      <c r="Y1053" s="23">
        <f>'2022-23 Salary &amp; Benefits'!$H$6</f>
        <v>0.2298</v>
      </c>
      <c r="Z1053" s="23">
        <f>'2022-23 Salary &amp; Benefits'!$I$6</f>
        <v>0.22339999999999999</v>
      </c>
      <c r="AA1053" s="22">
        <f t="shared" si="208"/>
        <v>8101.38</v>
      </c>
      <c r="AB1053" s="22">
        <f t="shared" si="209"/>
        <v>335.76</v>
      </c>
      <c r="AC1053" s="22">
        <f t="shared" si="210"/>
        <v>75.010000000000005</v>
      </c>
      <c r="AD1053" s="22">
        <f t="shared" si="200"/>
        <v>410.77</v>
      </c>
      <c r="AE1053" s="22">
        <f t="shared" si="201"/>
        <v>28657.81</v>
      </c>
      <c r="AF1053" s="19" t="str">
        <f>VLOOKUP(C1053,'2021-22 School Level AAFTE'!C:N,12,FALSE)</f>
        <v>No</v>
      </c>
    </row>
    <row r="1054" spans="1:32" s="19" customFormat="1">
      <c r="A1054" s="97" t="s">
        <v>2512</v>
      </c>
      <c r="B1054" s="97" t="s">
        <v>1951</v>
      </c>
      <c r="C1054" s="95">
        <v>5446</v>
      </c>
      <c r="D1054" s="95" t="s">
        <v>2889</v>
      </c>
      <c r="E1054" s="129">
        <f>VLOOKUP($C1054,'2021-22 School Level AAFTE'!$C:$Z,11,FALSE)</f>
        <v>0.71823333333333339</v>
      </c>
      <c r="F1054" s="129" t="str">
        <f>VLOOKUP($C1054,'2021-22 School Level AAFTE'!$C:$Z,8,FALSE)</f>
        <v>Yes</v>
      </c>
      <c r="G1054" s="129" t="str">
        <f>VLOOKUP($C1054,'2021-22 School Level AAFTE'!$C:$Z,12,FALSE)</f>
        <v>No</v>
      </c>
      <c r="H1054" s="127">
        <f>VLOOKUP($C1054,'2021-22 School Level AAFTE'!$C:$I,7,FALSE)</f>
        <v>42.94</v>
      </c>
      <c r="I1054" s="112">
        <f>IFERROR(IF(OR(G1054="yes",F1054= "yes"),VLOOKUP(C1054,Summary!$B:$J,6,0),0),0)</f>
        <v>0</v>
      </c>
      <c r="J1054" s="111">
        <f t="shared" si="204"/>
        <v>42.94</v>
      </c>
      <c r="K1054" s="91">
        <f>VLOOKUP($A1054,'2022-23 Salary &amp; Benefits'!$A:$I,3,FALSE)</f>
        <v>1</v>
      </c>
      <c r="L1054" s="91">
        <f>VLOOKUP($A1054,'2022-23 Salary &amp; Benefits'!$A:$I,4,FALSE)</f>
        <v>1</v>
      </c>
      <c r="M1054" s="39">
        <f t="shared" si="199"/>
        <v>42.94</v>
      </c>
      <c r="N1054" s="24">
        <v>15</v>
      </c>
      <c r="O1054" s="26">
        <f t="shared" si="202"/>
        <v>2.8626666666666667</v>
      </c>
      <c r="P1054" s="24">
        <v>1.1000000000000001</v>
      </c>
      <c r="Q1054" s="24">
        <v>36</v>
      </c>
      <c r="R1054" s="27">
        <f t="shared" si="203"/>
        <v>113.36160000000001</v>
      </c>
      <c r="S1054" s="102">
        <f t="shared" si="205"/>
        <v>0.126</v>
      </c>
      <c r="T1054" s="21">
        <f>VLOOKUP($A1054,'2022-23 Salary &amp; Benefits'!$A:$I,5,FALSE)</f>
        <v>68937</v>
      </c>
      <c r="U1054" s="21">
        <f>VLOOKUP($A1054,'2022-23 Salary &amp; Benefits'!$A:$I,6,FALSE)</f>
        <v>72728</v>
      </c>
      <c r="V1054" s="22">
        <f t="shared" si="206"/>
        <v>8686.06</v>
      </c>
      <c r="W1054" s="22">
        <f t="shared" si="207"/>
        <v>477.67000000000007</v>
      </c>
      <c r="X1054" s="22">
        <f>'2022-23 Salary &amp; Benefits'!$G$6</f>
        <v>12558.24</v>
      </c>
      <c r="Y1054" s="23">
        <f>'2022-23 Salary &amp; Benefits'!$H$6</f>
        <v>0.2298</v>
      </c>
      <c r="Z1054" s="23">
        <f>'2022-23 Salary &amp; Benefits'!$I$6</f>
        <v>0.22339999999999999</v>
      </c>
      <c r="AA1054" s="22">
        <f t="shared" si="208"/>
        <v>3685.11</v>
      </c>
      <c r="AB1054" s="22">
        <f t="shared" si="209"/>
        <v>152.72999999999999</v>
      </c>
      <c r="AC1054" s="22">
        <f t="shared" si="210"/>
        <v>34.119999999999997</v>
      </c>
      <c r="AD1054" s="22">
        <f t="shared" si="200"/>
        <v>186.85</v>
      </c>
      <c r="AE1054" s="22">
        <f t="shared" si="201"/>
        <v>13035.69</v>
      </c>
      <c r="AF1054" s="19" t="str">
        <f>VLOOKUP(C1054,'2021-22 School Level AAFTE'!C:N,12,FALSE)</f>
        <v>No</v>
      </c>
    </row>
    <row r="1055" spans="1:32" s="19" customFormat="1">
      <c r="A1055" s="97" t="s">
        <v>2477</v>
      </c>
      <c r="B1055" s="97" t="s">
        <v>1689</v>
      </c>
      <c r="C1055" s="95">
        <v>1656</v>
      </c>
      <c r="D1055" s="95" t="s">
        <v>1690</v>
      </c>
      <c r="E1055" s="129">
        <f>VLOOKUP($C1055,'2021-22 School Level AAFTE'!$C:$Z,11,FALSE)</f>
        <v>0.33929999999999999</v>
      </c>
      <c r="F1055" s="129" t="str">
        <f>VLOOKUP($C1055,'2021-22 School Level AAFTE'!$C:$Z,8,FALSE)</f>
        <v>No</v>
      </c>
      <c r="G1055" s="129" t="str">
        <f>VLOOKUP($C1055,'2021-22 School Level AAFTE'!$C:$Z,12,FALSE)</f>
        <v>No</v>
      </c>
      <c r="H1055" s="127">
        <f>VLOOKUP($C1055,'2021-22 School Level AAFTE'!$C:$I,7,FALSE)</f>
        <v>165.71</v>
      </c>
      <c r="I1055" s="112">
        <f>IFERROR(IF(OR(G1055="yes",F1055= "yes"),VLOOKUP(C1055,Summary!$B:$J,6,0),0),0)</f>
        <v>0</v>
      </c>
      <c r="J1055" s="111">
        <f t="shared" si="204"/>
        <v>0</v>
      </c>
      <c r="K1055" s="91">
        <f>VLOOKUP($A1055,'2022-23 Salary &amp; Benefits'!$A:$I,3,FALSE)</f>
        <v>1.1499999999999999</v>
      </c>
      <c r="L1055" s="91">
        <f>VLOOKUP($A1055,'2022-23 Salary &amp; Benefits'!$A:$I,4,FALSE)</f>
        <v>1.1499999999999999</v>
      </c>
      <c r="M1055" s="39">
        <f t="shared" si="199"/>
        <v>0</v>
      </c>
      <c r="N1055" s="24">
        <v>15</v>
      </c>
      <c r="O1055" s="26">
        <f t="shared" si="202"/>
        <v>0</v>
      </c>
      <c r="P1055" s="24">
        <v>1.1000000000000001</v>
      </c>
      <c r="Q1055" s="24">
        <v>36</v>
      </c>
      <c r="R1055" s="27">
        <f t="shared" si="203"/>
        <v>0</v>
      </c>
      <c r="S1055" s="102">
        <f t="shared" si="205"/>
        <v>0</v>
      </c>
      <c r="T1055" s="21">
        <f>VLOOKUP($A1055,'2022-23 Salary &amp; Benefits'!$A:$I,5,FALSE)</f>
        <v>68937</v>
      </c>
      <c r="U1055" s="21">
        <f>VLOOKUP($A1055,'2022-23 Salary &amp; Benefits'!$A:$I,6,FALSE)</f>
        <v>72728</v>
      </c>
      <c r="V1055" s="22">
        <f t="shared" si="206"/>
        <v>0</v>
      </c>
      <c r="W1055" s="22">
        <f t="shared" si="207"/>
        <v>0</v>
      </c>
      <c r="X1055" s="22">
        <f>'2022-23 Salary &amp; Benefits'!$G$6</f>
        <v>12558.24</v>
      </c>
      <c r="Y1055" s="23">
        <f>'2022-23 Salary &amp; Benefits'!$H$6</f>
        <v>0.2298</v>
      </c>
      <c r="Z1055" s="23">
        <f>'2022-23 Salary &amp; Benefits'!$I$6</f>
        <v>0.22339999999999999</v>
      </c>
      <c r="AA1055" s="22">
        <f t="shared" si="208"/>
        <v>0</v>
      </c>
      <c r="AB1055" s="22">
        <f t="shared" si="209"/>
        <v>0</v>
      </c>
      <c r="AC1055" s="22">
        <f t="shared" si="210"/>
        <v>0</v>
      </c>
      <c r="AD1055" s="22">
        <f t="shared" si="200"/>
        <v>0</v>
      </c>
      <c r="AE1055" s="22">
        <f t="shared" si="201"/>
        <v>0</v>
      </c>
      <c r="AF1055" s="19" t="str">
        <f>VLOOKUP(C1055,'2021-22 School Level AAFTE'!C:N,12,FALSE)</f>
        <v>No</v>
      </c>
    </row>
    <row r="1056" spans="1:32" s="19" customFormat="1">
      <c r="A1056" s="97" t="s">
        <v>2477</v>
      </c>
      <c r="B1056" s="97" t="s">
        <v>1689</v>
      </c>
      <c r="C1056" s="95">
        <v>1657</v>
      </c>
      <c r="D1056" s="95" t="s">
        <v>1691</v>
      </c>
      <c r="E1056" s="129">
        <f>VLOOKUP($C1056,'2021-22 School Level AAFTE'!$C:$Z,11,FALSE)</f>
        <v>0.67649999999999999</v>
      </c>
      <c r="F1056" s="129" t="str">
        <f>VLOOKUP($C1056,'2021-22 School Level AAFTE'!$C:$Z,8,FALSE)</f>
        <v>Yes</v>
      </c>
      <c r="G1056" s="129" t="str">
        <f>VLOOKUP($C1056,'2021-22 School Level AAFTE'!$C:$Z,12,FALSE)</f>
        <v>No</v>
      </c>
      <c r="H1056" s="127">
        <f>VLOOKUP($C1056,'2021-22 School Level AAFTE'!$C:$I,7,FALSE)</f>
        <v>85.89</v>
      </c>
      <c r="I1056" s="112">
        <f>IFERROR(IF(OR(G1056="yes",F1056= "yes"),VLOOKUP(C1056,Summary!$B:$J,6,0),0),0)</f>
        <v>0</v>
      </c>
      <c r="J1056" s="111">
        <f t="shared" si="204"/>
        <v>85.89</v>
      </c>
      <c r="K1056" s="91">
        <f>VLOOKUP($A1056,'2022-23 Salary &amp; Benefits'!$A:$I,3,FALSE)</f>
        <v>1.1499999999999999</v>
      </c>
      <c r="L1056" s="91">
        <f>VLOOKUP($A1056,'2022-23 Salary &amp; Benefits'!$A:$I,4,FALSE)</f>
        <v>1.1499999999999999</v>
      </c>
      <c r="M1056" s="39">
        <f t="shared" ref="M1056:M1116" si="211">IF(I1056&gt;0,I1056,J1056)</f>
        <v>85.89</v>
      </c>
      <c r="N1056" s="24">
        <v>15</v>
      </c>
      <c r="O1056" s="26">
        <f t="shared" si="202"/>
        <v>5.726</v>
      </c>
      <c r="P1056" s="24">
        <v>1.1000000000000001</v>
      </c>
      <c r="Q1056" s="24">
        <v>36</v>
      </c>
      <c r="R1056" s="27">
        <f t="shared" si="203"/>
        <v>226.74960000000002</v>
      </c>
      <c r="S1056" s="102">
        <f t="shared" si="205"/>
        <v>0.252</v>
      </c>
      <c r="T1056" s="21">
        <f>VLOOKUP($A1056,'2022-23 Salary &amp; Benefits'!$A:$I,5,FALSE)</f>
        <v>68937</v>
      </c>
      <c r="U1056" s="21">
        <f>VLOOKUP($A1056,'2022-23 Salary &amp; Benefits'!$A:$I,6,FALSE)</f>
        <v>72728</v>
      </c>
      <c r="V1056" s="22">
        <f t="shared" si="206"/>
        <v>19977.939999999999</v>
      </c>
      <c r="W1056" s="22">
        <f t="shared" si="207"/>
        <v>1098.630000000001</v>
      </c>
      <c r="X1056" s="22">
        <f>'2022-23 Salary &amp; Benefits'!$G$6</f>
        <v>12558.24</v>
      </c>
      <c r="Y1056" s="23">
        <f>'2022-23 Salary &amp; Benefits'!$H$6</f>
        <v>0.2298</v>
      </c>
      <c r="Z1056" s="23">
        <f>'2022-23 Salary &amp; Benefits'!$I$6</f>
        <v>0.22339999999999999</v>
      </c>
      <c r="AA1056" s="22">
        <f t="shared" si="208"/>
        <v>8001.04</v>
      </c>
      <c r="AB1056" s="22">
        <f t="shared" si="209"/>
        <v>351.28</v>
      </c>
      <c r="AC1056" s="22">
        <f t="shared" si="210"/>
        <v>78.48</v>
      </c>
      <c r="AD1056" s="22">
        <f t="shared" ref="AD1056:AD1116" si="212">SUM(AB1056:AC1056)</f>
        <v>429.76</v>
      </c>
      <c r="AE1056" s="22">
        <f t="shared" ref="AE1056:AE1116" si="213">SUM(AA1056,V1056:W1056,AD1056)</f>
        <v>29507.37</v>
      </c>
      <c r="AF1056" s="19" t="str">
        <f>VLOOKUP(C1056,'2021-22 School Level AAFTE'!C:N,12,FALSE)</f>
        <v>No</v>
      </c>
    </row>
    <row r="1057" spans="1:32" s="19" customFormat="1">
      <c r="A1057" s="97" t="s">
        <v>2477</v>
      </c>
      <c r="B1057" s="97" t="s">
        <v>1689</v>
      </c>
      <c r="C1057" s="95">
        <v>1744</v>
      </c>
      <c r="D1057" s="95" t="s">
        <v>1692</v>
      </c>
      <c r="E1057" s="129">
        <f>VLOOKUP($C1057,'2021-22 School Level AAFTE'!$C:$Z,11,FALSE)</f>
        <v>0.50953333333333328</v>
      </c>
      <c r="F1057" s="129" t="str">
        <f>VLOOKUP($C1057,'2021-22 School Level AAFTE'!$C:$Z,8,FALSE)</f>
        <v>Yes</v>
      </c>
      <c r="G1057" s="129" t="str">
        <f>VLOOKUP($C1057,'2021-22 School Level AAFTE'!$C:$Z,12,FALSE)</f>
        <v>No</v>
      </c>
      <c r="H1057" s="127">
        <f>VLOOKUP($C1057,'2021-22 School Level AAFTE'!$C:$I,7,FALSE)</f>
        <v>210.07</v>
      </c>
      <c r="I1057" s="112">
        <f>IFERROR(IF(OR(G1057="yes",F1057= "yes"),VLOOKUP(C1057,Summary!$B:$J,6,0),0),0)</f>
        <v>0</v>
      </c>
      <c r="J1057" s="111">
        <f t="shared" si="204"/>
        <v>210.07</v>
      </c>
      <c r="K1057" s="91">
        <f>VLOOKUP($A1057,'2022-23 Salary &amp; Benefits'!$A:$I,3,FALSE)</f>
        <v>1.1499999999999999</v>
      </c>
      <c r="L1057" s="91">
        <f>VLOOKUP($A1057,'2022-23 Salary &amp; Benefits'!$A:$I,4,FALSE)</f>
        <v>1.1499999999999999</v>
      </c>
      <c r="M1057" s="39">
        <f t="shared" si="211"/>
        <v>210.07</v>
      </c>
      <c r="N1057" s="24">
        <v>15</v>
      </c>
      <c r="O1057" s="26">
        <f t="shared" si="202"/>
        <v>14.004666666666667</v>
      </c>
      <c r="P1057" s="24">
        <v>1.1000000000000001</v>
      </c>
      <c r="Q1057" s="24">
        <v>36</v>
      </c>
      <c r="R1057" s="27">
        <f t="shared" si="203"/>
        <v>554.58480000000009</v>
      </c>
      <c r="S1057" s="102">
        <f t="shared" si="205"/>
        <v>0.61599999999999999</v>
      </c>
      <c r="T1057" s="21">
        <f>VLOOKUP($A1057,'2022-23 Salary &amp; Benefits'!$A:$I,5,FALSE)</f>
        <v>68937</v>
      </c>
      <c r="U1057" s="21">
        <f>VLOOKUP($A1057,'2022-23 Salary &amp; Benefits'!$A:$I,6,FALSE)</f>
        <v>72728</v>
      </c>
      <c r="V1057" s="22">
        <f t="shared" si="206"/>
        <v>48834.97</v>
      </c>
      <c r="W1057" s="22">
        <f t="shared" si="207"/>
        <v>2685.5499999999956</v>
      </c>
      <c r="X1057" s="22">
        <f>'2022-23 Salary &amp; Benefits'!$G$6</f>
        <v>12558.24</v>
      </c>
      <c r="Y1057" s="23">
        <f>'2022-23 Salary &amp; Benefits'!$H$6</f>
        <v>0.2298</v>
      </c>
      <c r="Z1057" s="23">
        <f>'2022-23 Salary &amp; Benefits'!$I$6</f>
        <v>0.22339999999999999</v>
      </c>
      <c r="AA1057" s="22">
        <f t="shared" si="208"/>
        <v>19558.099999999999</v>
      </c>
      <c r="AB1057" s="22">
        <f t="shared" si="209"/>
        <v>858.68</v>
      </c>
      <c r="AC1057" s="22">
        <f t="shared" si="210"/>
        <v>191.83</v>
      </c>
      <c r="AD1057" s="22">
        <f t="shared" si="212"/>
        <v>1050.51</v>
      </c>
      <c r="AE1057" s="22">
        <f t="shared" si="213"/>
        <v>72129.12999999999</v>
      </c>
      <c r="AF1057" s="19" t="str">
        <f>VLOOKUP(C1057,'2021-22 School Level AAFTE'!C:N,12,FALSE)</f>
        <v>No</v>
      </c>
    </row>
    <row r="1058" spans="1:32" s="19" customFormat="1">
      <c r="A1058" s="97" t="s">
        <v>2477</v>
      </c>
      <c r="B1058" s="97" t="s">
        <v>1689</v>
      </c>
      <c r="C1058" s="95">
        <v>1862</v>
      </c>
      <c r="D1058" s="95" t="s">
        <v>1693</v>
      </c>
      <c r="E1058" s="129">
        <f>VLOOKUP($C1058,'2021-22 School Level AAFTE'!$C:$Z,11,FALSE)</f>
        <v>0.22053333333333333</v>
      </c>
      <c r="F1058" s="129" t="str">
        <f>VLOOKUP($C1058,'2021-22 School Level AAFTE'!$C:$Z,8,FALSE)</f>
        <v>No</v>
      </c>
      <c r="G1058" s="129" t="str">
        <f>VLOOKUP($C1058,'2021-22 School Level AAFTE'!$C:$Z,12,FALSE)</f>
        <v>No</v>
      </c>
      <c r="H1058" s="127">
        <f>VLOOKUP($C1058,'2021-22 School Level AAFTE'!$C:$I,7,FALSE)</f>
        <v>189.57</v>
      </c>
      <c r="I1058" s="112">
        <f>IFERROR(IF(OR(G1058="yes",F1058= "yes"),VLOOKUP(C1058,Summary!$B:$J,6,0),0),0)</f>
        <v>0</v>
      </c>
      <c r="J1058" s="111">
        <f t="shared" si="204"/>
        <v>0</v>
      </c>
      <c r="K1058" s="91">
        <f>VLOOKUP($A1058,'2022-23 Salary &amp; Benefits'!$A:$I,3,FALSE)</f>
        <v>1.1499999999999999</v>
      </c>
      <c r="L1058" s="91">
        <f>VLOOKUP($A1058,'2022-23 Salary &amp; Benefits'!$A:$I,4,FALSE)</f>
        <v>1.1499999999999999</v>
      </c>
      <c r="M1058" s="39">
        <f t="shared" si="211"/>
        <v>0</v>
      </c>
      <c r="N1058" s="24">
        <v>15</v>
      </c>
      <c r="O1058" s="26">
        <f t="shared" si="202"/>
        <v>0</v>
      </c>
      <c r="P1058" s="24">
        <v>1.1000000000000001</v>
      </c>
      <c r="Q1058" s="24">
        <v>36</v>
      </c>
      <c r="R1058" s="27">
        <f t="shared" si="203"/>
        <v>0</v>
      </c>
      <c r="S1058" s="102">
        <f t="shared" si="205"/>
        <v>0</v>
      </c>
      <c r="T1058" s="21">
        <f>VLOOKUP($A1058,'2022-23 Salary &amp; Benefits'!$A:$I,5,FALSE)</f>
        <v>68937</v>
      </c>
      <c r="U1058" s="21">
        <f>VLOOKUP($A1058,'2022-23 Salary &amp; Benefits'!$A:$I,6,FALSE)</f>
        <v>72728</v>
      </c>
      <c r="V1058" s="22">
        <f t="shared" si="206"/>
        <v>0</v>
      </c>
      <c r="W1058" s="22">
        <f t="shared" si="207"/>
        <v>0</v>
      </c>
      <c r="X1058" s="22">
        <f>'2022-23 Salary &amp; Benefits'!$G$6</f>
        <v>12558.24</v>
      </c>
      <c r="Y1058" s="23">
        <f>'2022-23 Salary &amp; Benefits'!$H$6</f>
        <v>0.2298</v>
      </c>
      <c r="Z1058" s="23">
        <f>'2022-23 Salary &amp; Benefits'!$I$6</f>
        <v>0.22339999999999999</v>
      </c>
      <c r="AA1058" s="22">
        <f t="shared" si="208"/>
        <v>0</v>
      </c>
      <c r="AB1058" s="22">
        <f t="shared" si="209"/>
        <v>0</v>
      </c>
      <c r="AC1058" s="22">
        <f t="shared" si="210"/>
        <v>0</v>
      </c>
      <c r="AD1058" s="22">
        <f t="shared" si="212"/>
        <v>0</v>
      </c>
      <c r="AE1058" s="22">
        <f t="shared" si="213"/>
        <v>0</v>
      </c>
      <c r="AF1058" s="19" t="str">
        <f>VLOOKUP(C1058,'2021-22 School Level AAFTE'!C:N,12,FALSE)</f>
        <v>No</v>
      </c>
    </row>
    <row r="1059" spans="1:32" s="19" customFormat="1">
      <c r="A1059" s="97" t="s">
        <v>2477</v>
      </c>
      <c r="B1059" s="97" t="s">
        <v>1689</v>
      </c>
      <c r="C1059" s="95">
        <v>1910</v>
      </c>
      <c r="D1059" s="95" t="s">
        <v>1694</v>
      </c>
      <c r="E1059" s="129">
        <f>VLOOKUP($C1059,'2021-22 School Level AAFTE'!$C:$Z,11,FALSE)</f>
        <v>0.44403333333333334</v>
      </c>
      <c r="F1059" s="129" t="str">
        <f>VLOOKUP($C1059,'2021-22 School Level AAFTE'!$C:$Z,8,FALSE)</f>
        <v>No</v>
      </c>
      <c r="G1059" s="129" t="str">
        <f>VLOOKUP($C1059,'2021-22 School Level AAFTE'!$C:$Z,12,FALSE)</f>
        <v>No</v>
      </c>
      <c r="H1059" s="127">
        <f>VLOOKUP($C1059,'2021-22 School Level AAFTE'!$C:$I,7,FALSE)</f>
        <v>23.94</v>
      </c>
      <c r="I1059" s="112">
        <f>IFERROR(IF(OR(G1059="yes",F1059= "yes"),VLOOKUP(C1059,Summary!$B:$J,6,0),0),0)</f>
        <v>0</v>
      </c>
      <c r="J1059" s="111">
        <f t="shared" si="204"/>
        <v>0</v>
      </c>
      <c r="K1059" s="91">
        <f>VLOOKUP($A1059,'2022-23 Salary &amp; Benefits'!$A:$I,3,FALSE)</f>
        <v>1.1499999999999999</v>
      </c>
      <c r="L1059" s="91">
        <f>VLOOKUP($A1059,'2022-23 Salary &amp; Benefits'!$A:$I,4,FALSE)</f>
        <v>1.1499999999999999</v>
      </c>
      <c r="M1059" s="39">
        <f t="shared" si="211"/>
        <v>0</v>
      </c>
      <c r="N1059" s="24">
        <v>15</v>
      </c>
      <c r="O1059" s="26">
        <f t="shared" si="202"/>
        <v>0</v>
      </c>
      <c r="P1059" s="24">
        <v>1.1000000000000001</v>
      </c>
      <c r="Q1059" s="24">
        <v>36</v>
      </c>
      <c r="R1059" s="27">
        <f t="shared" si="203"/>
        <v>0</v>
      </c>
      <c r="S1059" s="102">
        <f t="shared" si="205"/>
        <v>0</v>
      </c>
      <c r="T1059" s="21">
        <f>VLOOKUP($A1059,'2022-23 Salary &amp; Benefits'!$A:$I,5,FALSE)</f>
        <v>68937</v>
      </c>
      <c r="U1059" s="21">
        <f>VLOOKUP($A1059,'2022-23 Salary &amp; Benefits'!$A:$I,6,FALSE)</f>
        <v>72728</v>
      </c>
      <c r="V1059" s="22">
        <f t="shared" si="206"/>
        <v>0</v>
      </c>
      <c r="W1059" s="22">
        <f t="shared" si="207"/>
        <v>0</v>
      </c>
      <c r="X1059" s="22">
        <f>'2022-23 Salary &amp; Benefits'!$G$6</f>
        <v>12558.24</v>
      </c>
      <c r="Y1059" s="23">
        <f>'2022-23 Salary &amp; Benefits'!$H$6</f>
        <v>0.2298</v>
      </c>
      <c r="Z1059" s="23">
        <f>'2022-23 Salary &amp; Benefits'!$I$6</f>
        <v>0.22339999999999999</v>
      </c>
      <c r="AA1059" s="22">
        <f t="shared" si="208"/>
        <v>0</v>
      </c>
      <c r="AB1059" s="22">
        <f t="shared" si="209"/>
        <v>0</v>
      </c>
      <c r="AC1059" s="22">
        <f t="shared" si="210"/>
        <v>0</v>
      </c>
      <c r="AD1059" s="22">
        <f t="shared" si="212"/>
        <v>0</v>
      </c>
      <c r="AE1059" s="22">
        <f t="shared" si="213"/>
        <v>0</v>
      </c>
      <c r="AF1059" s="19" t="str">
        <f>VLOOKUP(C1059,'2021-22 School Level AAFTE'!C:N,12,FALSE)</f>
        <v>No</v>
      </c>
    </row>
    <row r="1060" spans="1:32" s="19" customFormat="1">
      <c r="A1060" s="97" t="s">
        <v>2477</v>
      </c>
      <c r="B1060" s="97" t="s">
        <v>1689</v>
      </c>
      <c r="C1060" s="95">
        <v>1927</v>
      </c>
      <c r="D1060" s="95" t="s">
        <v>34</v>
      </c>
      <c r="E1060" s="129">
        <f>VLOOKUP($C1060,'2021-22 School Level AAFTE'!$C:$Z,11,FALSE)</f>
        <v>0.54723333333333335</v>
      </c>
      <c r="F1060" s="129" t="str">
        <f>VLOOKUP($C1060,'2021-22 School Level AAFTE'!$C:$Z,8,FALSE)</f>
        <v>Yes</v>
      </c>
      <c r="G1060" s="129" t="str">
        <f>VLOOKUP($C1060,'2021-22 School Level AAFTE'!$C:$Z,12,FALSE)</f>
        <v>No</v>
      </c>
      <c r="H1060" s="127">
        <f>VLOOKUP($C1060,'2021-22 School Level AAFTE'!$C:$I,7,FALSE)</f>
        <v>311.92</v>
      </c>
      <c r="I1060" s="112">
        <f>IFERROR(IF(OR(G1060="yes",F1060= "yes"),VLOOKUP(C1060,Summary!$B:$J,6,0),0),0)</f>
        <v>0</v>
      </c>
      <c r="J1060" s="111">
        <f t="shared" si="204"/>
        <v>311.92</v>
      </c>
      <c r="K1060" s="91">
        <f>VLOOKUP($A1060,'2022-23 Salary &amp; Benefits'!$A:$I,3,FALSE)</f>
        <v>1.1499999999999999</v>
      </c>
      <c r="L1060" s="91">
        <f>VLOOKUP($A1060,'2022-23 Salary &amp; Benefits'!$A:$I,4,FALSE)</f>
        <v>1.1499999999999999</v>
      </c>
      <c r="M1060" s="101">
        <f t="shared" si="211"/>
        <v>311.92</v>
      </c>
      <c r="N1060" s="24">
        <v>15</v>
      </c>
      <c r="O1060" s="26">
        <f t="shared" si="202"/>
        <v>20.794666666666668</v>
      </c>
      <c r="P1060" s="24">
        <v>1.1000000000000001</v>
      </c>
      <c r="Q1060" s="24">
        <v>36</v>
      </c>
      <c r="R1060" s="27">
        <f t="shared" si="203"/>
        <v>823.4688000000001</v>
      </c>
      <c r="S1060" s="102">
        <f t="shared" si="205"/>
        <v>0.91500000000000004</v>
      </c>
      <c r="T1060" s="21">
        <f>VLOOKUP($A1060,'2022-23 Salary &amp; Benefits'!$A:$I,5,FALSE)</f>
        <v>68937</v>
      </c>
      <c r="U1060" s="21">
        <f>VLOOKUP($A1060,'2022-23 Salary &amp; Benefits'!$A:$I,6,FALSE)</f>
        <v>72728</v>
      </c>
      <c r="V1060" s="22">
        <f t="shared" si="206"/>
        <v>72538.960000000006</v>
      </c>
      <c r="W1060" s="22">
        <f t="shared" si="207"/>
        <v>3989.0799999999872</v>
      </c>
      <c r="X1060" s="22">
        <f>'2022-23 Salary &amp; Benefits'!$G$6</f>
        <v>12558.24</v>
      </c>
      <c r="Y1060" s="23">
        <f>'2022-23 Salary &amp; Benefits'!$H$6</f>
        <v>0.2298</v>
      </c>
      <c r="Z1060" s="23">
        <f>'2022-23 Salary &amp; Benefits'!$I$6</f>
        <v>0.22339999999999999</v>
      </c>
      <c r="AA1060" s="22">
        <f t="shared" si="208"/>
        <v>29051.4</v>
      </c>
      <c r="AB1060" s="22">
        <f t="shared" si="209"/>
        <v>1275.47</v>
      </c>
      <c r="AC1060" s="22">
        <f t="shared" si="210"/>
        <v>284.94</v>
      </c>
      <c r="AD1060" s="22">
        <f t="shared" si="212"/>
        <v>1560.41</v>
      </c>
      <c r="AE1060" s="22">
        <f t="shared" si="213"/>
        <v>107139.85</v>
      </c>
      <c r="AF1060" s="19" t="str">
        <f>VLOOKUP(C1060,'2021-22 School Level AAFTE'!C:N,12,FALSE)</f>
        <v>No</v>
      </c>
    </row>
    <row r="1061" spans="1:32" s="19" customFormat="1">
      <c r="A1061" s="97" t="s">
        <v>2477</v>
      </c>
      <c r="B1061" s="97" t="s">
        <v>1689</v>
      </c>
      <c r="C1061" s="95">
        <v>2813</v>
      </c>
      <c r="D1061" s="95" t="s">
        <v>657</v>
      </c>
      <c r="E1061" s="129">
        <f>VLOOKUP($C1061,'2021-22 School Level AAFTE'!$C:$Z,11,FALSE)</f>
        <v>0.60353333333333337</v>
      </c>
      <c r="F1061" s="129" t="str">
        <f>VLOOKUP($C1061,'2021-22 School Level AAFTE'!$C:$Z,8,FALSE)</f>
        <v>Yes</v>
      </c>
      <c r="G1061" s="129" t="str">
        <f>VLOOKUP($C1061,'2021-22 School Level AAFTE'!$C:$Z,12,FALSE)</f>
        <v>No</v>
      </c>
      <c r="H1061" s="127">
        <f>VLOOKUP($C1061,'2021-22 School Level AAFTE'!$C:$I,7,FALSE)</f>
        <v>553.58000000000004</v>
      </c>
      <c r="I1061" s="112">
        <f>IFERROR(IF(OR(G1061="yes",F1061= "yes"),VLOOKUP(C1061,Summary!$B:$J,6,0),0),0)</f>
        <v>0</v>
      </c>
      <c r="J1061" s="111">
        <f t="shared" si="204"/>
        <v>553.58000000000004</v>
      </c>
      <c r="K1061" s="91">
        <f>VLOOKUP($A1061,'2022-23 Salary &amp; Benefits'!$A:$I,3,FALSE)</f>
        <v>1.1499999999999999</v>
      </c>
      <c r="L1061" s="91">
        <f>VLOOKUP($A1061,'2022-23 Salary &amp; Benefits'!$A:$I,4,FALSE)</f>
        <v>1.1499999999999999</v>
      </c>
      <c r="M1061" s="39">
        <f t="shared" si="211"/>
        <v>553.58000000000004</v>
      </c>
      <c r="N1061" s="24">
        <v>15</v>
      </c>
      <c r="O1061" s="26">
        <f t="shared" si="202"/>
        <v>36.905333333333338</v>
      </c>
      <c r="P1061" s="24">
        <v>1.1000000000000001</v>
      </c>
      <c r="Q1061" s="24">
        <v>36</v>
      </c>
      <c r="R1061" s="27">
        <f t="shared" si="203"/>
        <v>1461.4512000000002</v>
      </c>
      <c r="S1061" s="102">
        <f t="shared" si="205"/>
        <v>1.6240000000000001</v>
      </c>
      <c r="T1061" s="21">
        <f>VLOOKUP($A1061,'2022-23 Salary &amp; Benefits'!$A:$I,5,FALSE)</f>
        <v>68937</v>
      </c>
      <c r="U1061" s="21">
        <f>VLOOKUP($A1061,'2022-23 Salary &amp; Benefits'!$A:$I,6,FALSE)</f>
        <v>72728</v>
      </c>
      <c r="V1061" s="22">
        <f t="shared" si="206"/>
        <v>128746.74</v>
      </c>
      <c r="W1061" s="22">
        <f t="shared" si="207"/>
        <v>7080.0699999999924</v>
      </c>
      <c r="X1061" s="22">
        <f>'2022-23 Salary &amp; Benefits'!$G$6</f>
        <v>12558.24</v>
      </c>
      <c r="Y1061" s="23">
        <f>'2022-23 Salary &amp; Benefits'!$H$6</f>
        <v>0.2298</v>
      </c>
      <c r="Z1061" s="23">
        <f>'2022-23 Salary &amp; Benefits'!$I$6</f>
        <v>0.22339999999999999</v>
      </c>
      <c r="AA1061" s="22">
        <f t="shared" si="208"/>
        <v>51562.27</v>
      </c>
      <c r="AB1061" s="22">
        <f t="shared" si="209"/>
        <v>2263.7800000000002</v>
      </c>
      <c r="AC1061" s="22">
        <f t="shared" si="210"/>
        <v>505.73</v>
      </c>
      <c r="AD1061" s="22">
        <f t="shared" si="212"/>
        <v>2769.51</v>
      </c>
      <c r="AE1061" s="22">
        <f t="shared" si="213"/>
        <v>190158.59000000003</v>
      </c>
      <c r="AF1061" s="19" t="str">
        <f>VLOOKUP(C1061,'2021-22 School Level AAFTE'!C:N,12,FALSE)</f>
        <v>No</v>
      </c>
    </row>
    <row r="1062" spans="1:32" s="19" customFormat="1">
      <c r="A1062" s="97" t="s">
        <v>2477</v>
      </c>
      <c r="B1062" s="97" t="s">
        <v>1689</v>
      </c>
      <c r="C1062" s="95">
        <v>3059</v>
      </c>
      <c r="D1062" s="95" t="s">
        <v>352</v>
      </c>
      <c r="E1062" s="129">
        <f>VLOOKUP($C1062,'2021-22 School Level AAFTE'!$C:$Z,11,FALSE)</f>
        <v>0.53233333333333344</v>
      </c>
      <c r="F1062" s="129" t="str">
        <f>VLOOKUP($C1062,'2021-22 School Level AAFTE'!$C:$Z,8,FALSE)</f>
        <v>Yes</v>
      </c>
      <c r="G1062" s="129" t="str">
        <f>VLOOKUP($C1062,'2021-22 School Level AAFTE'!$C:$Z,12,FALSE)</f>
        <v>No</v>
      </c>
      <c r="H1062" s="127">
        <f>VLOOKUP($C1062,'2021-22 School Level AAFTE'!$C:$I,7,FALSE)</f>
        <v>383.71</v>
      </c>
      <c r="I1062" s="112">
        <f>IFERROR(IF(OR(G1062="yes",F1062= "yes"),VLOOKUP(C1062,Summary!$B:$J,6,0),0),0)</f>
        <v>0</v>
      </c>
      <c r="J1062" s="111">
        <f t="shared" si="204"/>
        <v>383.71</v>
      </c>
      <c r="K1062" s="91">
        <f>VLOOKUP($A1062,'2022-23 Salary &amp; Benefits'!$A:$I,3,FALSE)</f>
        <v>1.1499999999999999</v>
      </c>
      <c r="L1062" s="91">
        <f>VLOOKUP($A1062,'2022-23 Salary &amp; Benefits'!$A:$I,4,FALSE)</f>
        <v>1.1499999999999999</v>
      </c>
      <c r="M1062" s="39">
        <f t="shared" si="211"/>
        <v>383.71</v>
      </c>
      <c r="N1062" s="24">
        <v>15</v>
      </c>
      <c r="O1062" s="26">
        <f t="shared" si="202"/>
        <v>25.580666666666666</v>
      </c>
      <c r="P1062" s="24">
        <v>1.1000000000000001</v>
      </c>
      <c r="Q1062" s="24">
        <v>36</v>
      </c>
      <c r="R1062" s="27">
        <f t="shared" si="203"/>
        <v>1012.9944</v>
      </c>
      <c r="S1062" s="102">
        <f t="shared" si="205"/>
        <v>1.1259999999999999</v>
      </c>
      <c r="T1062" s="21">
        <f>VLOOKUP($A1062,'2022-23 Salary &amp; Benefits'!$A:$I,5,FALSE)</f>
        <v>68937</v>
      </c>
      <c r="U1062" s="21">
        <f>VLOOKUP($A1062,'2022-23 Salary &amp; Benefits'!$A:$I,6,FALSE)</f>
        <v>72728</v>
      </c>
      <c r="V1062" s="22">
        <f t="shared" si="206"/>
        <v>89266.52</v>
      </c>
      <c r="W1062" s="22">
        <f t="shared" si="207"/>
        <v>4908.9700000000012</v>
      </c>
      <c r="X1062" s="22">
        <f>'2022-23 Salary &amp; Benefits'!$G$6</f>
        <v>12558.24</v>
      </c>
      <c r="Y1062" s="23">
        <f>'2022-23 Salary &amp; Benefits'!$H$6</f>
        <v>0.2298</v>
      </c>
      <c r="Z1062" s="23">
        <f>'2022-23 Salary &amp; Benefits'!$I$6</f>
        <v>0.22339999999999999</v>
      </c>
      <c r="AA1062" s="22">
        <f t="shared" si="208"/>
        <v>35750.69</v>
      </c>
      <c r="AB1062" s="22">
        <f t="shared" si="209"/>
        <v>1569.59</v>
      </c>
      <c r="AC1062" s="22">
        <f t="shared" si="210"/>
        <v>350.65</v>
      </c>
      <c r="AD1062" s="22">
        <f t="shared" si="212"/>
        <v>1920.2399999999998</v>
      </c>
      <c r="AE1062" s="22">
        <f t="shared" si="213"/>
        <v>131846.42000000001</v>
      </c>
      <c r="AF1062" s="19" t="str">
        <f>VLOOKUP(C1062,'2021-22 School Level AAFTE'!C:N,12,FALSE)</f>
        <v>No</v>
      </c>
    </row>
    <row r="1063" spans="1:32" s="19" customFormat="1">
      <c r="A1063" s="97" t="s">
        <v>2477</v>
      </c>
      <c r="B1063" s="97" t="s">
        <v>1689</v>
      </c>
      <c r="C1063" s="95">
        <v>3187</v>
      </c>
      <c r="D1063" s="95" t="s">
        <v>1695</v>
      </c>
      <c r="E1063" s="129">
        <f>VLOOKUP($C1063,'2021-22 School Level AAFTE'!$C:$Z,11,FALSE)</f>
        <v>0.52453333333333341</v>
      </c>
      <c r="F1063" s="129" t="str">
        <f>VLOOKUP($C1063,'2021-22 School Level AAFTE'!$C:$Z,8,FALSE)</f>
        <v>Yes</v>
      </c>
      <c r="G1063" s="129" t="str">
        <f>VLOOKUP($C1063,'2021-22 School Level AAFTE'!$C:$Z,12,FALSE)</f>
        <v>No</v>
      </c>
      <c r="H1063" s="127">
        <f>VLOOKUP($C1063,'2021-22 School Level AAFTE'!$C:$I,7,FALSE)</f>
        <v>387.7</v>
      </c>
      <c r="I1063" s="112">
        <f>IFERROR(IF(OR(G1063="yes",F1063= "yes"),VLOOKUP(C1063,Summary!$B:$J,6,0),0),0)</f>
        <v>0</v>
      </c>
      <c r="J1063" s="111">
        <f t="shared" si="204"/>
        <v>387.7</v>
      </c>
      <c r="K1063" s="91">
        <f>VLOOKUP($A1063,'2022-23 Salary &amp; Benefits'!$A:$I,3,FALSE)</f>
        <v>1.1499999999999999</v>
      </c>
      <c r="L1063" s="91">
        <f>VLOOKUP($A1063,'2022-23 Salary &amp; Benefits'!$A:$I,4,FALSE)</f>
        <v>1.1499999999999999</v>
      </c>
      <c r="M1063" s="39">
        <f t="shared" si="211"/>
        <v>387.7</v>
      </c>
      <c r="N1063" s="24">
        <v>15</v>
      </c>
      <c r="O1063" s="26">
        <f t="shared" si="202"/>
        <v>25.846666666666668</v>
      </c>
      <c r="P1063" s="24">
        <v>1.1000000000000001</v>
      </c>
      <c r="Q1063" s="24">
        <v>36</v>
      </c>
      <c r="R1063" s="27">
        <f t="shared" si="203"/>
        <v>1023.5280000000001</v>
      </c>
      <c r="S1063" s="102">
        <f t="shared" si="205"/>
        <v>1.137</v>
      </c>
      <c r="T1063" s="21">
        <f>VLOOKUP($A1063,'2022-23 Salary &amp; Benefits'!$A:$I,5,FALSE)</f>
        <v>68937</v>
      </c>
      <c r="U1063" s="21">
        <f>VLOOKUP($A1063,'2022-23 Salary &amp; Benefits'!$A:$I,6,FALSE)</f>
        <v>72728</v>
      </c>
      <c r="V1063" s="22">
        <f t="shared" si="206"/>
        <v>90138.57</v>
      </c>
      <c r="W1063" s="22">
        <f t="shared" si="207"/>
        <v>4956.929999999993</v>
      </c>
      <c r="X1063" s="22">
        <f>'2022-23 Salary &amp; Benefits'!$G$6</f>
        <v>12558.24</v>
      </c>
      <c r="Y1063" s="23">
        <f>'2022-23 Salary &amp; Benefits'!$H$6</f>
        <v>0.2298</v>
      </c>
      <c r="Z1063" s="23">
        <f>'2022-23 Salary &amp; Benefits'!$I$6</f>
        <v>0.22339999999999999</v>
      </c>
      <c r="AA1063" s="22">
        <f t="shared" si="208"/>
        <v>36099.94</v>
      </c>
      <c r="AB1063" s="22">
        <f t="shared" si="209"/>
        <v>1584.92</v>
      </c>
      <c r="AC1063" s="22">
        <f t="shared" si="210"/>
        <v>354.07</v>
      </c>
      <c r="AD1063" s="22">
        <f t="shared" si="212"/>
        <v>1938.99</v>
      </c>
      <c r="AE1063" s="22">
        <f t="shared" si="213"/>
        <v>133134.43</v>
      </c>
      <c r="AF1063" s="19" t="str">
        <f>VLOOKUP(C1063,'2021-22 School Level AAFTE'!C:N,12,FALSE)</f>
        <v>No</v>
      </c>
    </row>
    <row r="1064" spans="1:32" s="19" customFormat="1">
      <c r="A1064" s="97" t="s">
        <v>2477</v>
      </c>
      <c r="B1064" s="97" t="s">
        <v>1689</v>
      </c>
      <c r="C1064" s="95">
        <v>3355</v>
      </c>
      <c r="D1064" s="95" t="s">
        <v>1696</v>
      </c>
      <c r="E1064" s="129">
        <f>VLOOKUP($C1064,'2021-22 School Level AAFTE'!$C:$Z,11,FALSE)</f>
        <v>0.5364000000000001</v>
      </c>
      <c r="F1064" s="129" t="str">
        <f>VLOOKUP($C1064,'2021-22 School Level AAFTE'!$C:$Z,8,FALSE)</f>
        <v>Yes</v>
      </c>
      <c r="G1064" s="129" t="str">
        <f>VLOOKUP($C1064,'2021-22 School Level AAFTE'!$C:$Z,12,FALSE)</f>
        <v>No</v>
      </c>
      <c r="H1064" s="127">
        <f>VLOOKUP($C1064,'2021-22 School Level AAFTE'!$C:$I,7,FALSE)</f>
        <v>728.37</v>
      </c>
      <c r="I1064" s="112">
        <f>IFERROR(IF(OR(G1064="yes",F1064= "yes"),VLOOKUP(C1064,Summary!$B:$J,6,0),0),0)</f>
        <v>0</v>
      </c>
      <c r="J1064" s="111">
        <f t="shared" si="204"/>
        <v>728.37</v>
      </c>
      <c r="K1064" s="91">
        <f>VLOOKUP($A1064,'2022-23 Salary &amp; Benefits'!$A:$I,3,FALSE)</f>
        <v>1.1499999999999999</v>
      </c>
      <c r="L1064" s="91">
        <f>VLOOKUP($A1064,'2022-23 Salary &amp; Benefits'!$A:$I,4,FALSE)</f>
        <v>1.1499999999999999</v>
      </c>
      <c r="M1064" s="39">
        <f t="shared" si="211"/>
        <v>728.37</v>
      </c>
      <c r="N1064" s="24">
        <v>15</v>
      </c>
      <c r="O1064" s="26">
        <f t="shared" si="202"/>
        <v>48.558</v>
      </c>
      <c r="P1064" s="24">
        <v>1.1000000000000001</v>
      </c>
      <c r="Q1064" s="24">
        <v>36</v>
      </c>
      <c r="R1064" s="27">
        <f t="shared" si="203"/>
        <v>1922.8968</v>
      </c>
      <c r="S1064" s="102">
        <f t="shared" si="205"/>
        <v>2.137</v>
      </c>
      <c r="T1064" s="21">
        <f>VLOOKUP($A1064,'2022-23 Salary &amp; Benefits'!$A:$I,5,FALSE)</f>
        <v>68937</v>
      </c>
      <c r="U1064" s="21">
        <f>VLOOKUP($A1064,'2022-23 Salary &amp; Benefits'!$A:$I,6,FALSE)</f>
        <v>72728</v>
      </c>
      <c r="V1064" s="22">
        <f t="shared" si="206"/>
        <v>169416.12</v>
      </c>
      <c r="W1064" s="22">
        <f t="shared" si="207"/>
        <v>9316.5800000000163</v>
      </c>
      <c r="X1064" s="22">
        <f>'2022-23 Salary &amp; Benefits'!$G$6</f>
        <v>12558.24</v>
      </c>
      <c r="Y1064" s="23">
        <f>'2022-23 Salary &amp; Benefits'!$H$6</f>
        <v>0.2298</v>
      </c>
      <c r="Z1064" s="23">
        <f>'2022-23 Salary &amp; Benefits'!$I$6</f>
        <v>0.22339999999999999</v>
      </c>
      <c r="AA1064" s="22">
        <f t="shared" si="208"/>
        <v>67850.11</v>
      </c>
      <c r="AB1064" s="22">
        <f t="shared" si="209"/>
        <v>2978.88</v>
      </c>
      <c r="AC1064" s="22">
        <f t="shared" si="210"/>
        <v>665.48</v>
      </c>
      <c r="AD1064" s="22">
        <f t="shared" si="212"/>
        <v>3644.36</v>
      </c>
      <c r="AE1064" s="22">
        <f t="shared" si="213"/>
        <v>250227.16999999998</v>
      </c>
      <c r="AF1064" s="19" t="str">
        <f>VLOOKUP(C1064,'2021-22 School Level AAFTE'!C:N,12,FALSE)</f>
        <v>No</v>
      </c>
    </row>
    <row r="1065" spans="1:32" s="19" customFormat="1">
      <c r="A1065" s="97" t="s">
        <v>2477</v>
      </c>
      <c r="B1065" s="97" t="s">
        <v>1689</v>
      </c>
      <c r="C1065" s="95">
        <v>3537</v>
      </c>
      <c r="D1065" s="95" t="s">
        <v>1697</v>
      </c>
      <c r="E1065" s="129">
        <f>VLOOKUP($C1065,'2021-22 School Level AAFTE'!$C:$Z,11,FALSE)</f>
        <v>0.34993333333333326</v>
      </c>
      <c r="F1065" s="129" t="str">
        <f>VLOOKUP($C1065,'2021-22 School Level AAFTE'!$C:$Z,8,FALSE)</f>
        <v>No</v>
      </c>
      <c r="G1065" s="129" t="str">
        <f>VLOOKUP($C1065,'2021-22 School Level AAFTE'!$C:$Z,12,FALSE)</f>
        <v>No</v>
      </c>
      <c r="H1065" s="127">
        <f>VLOOKUP($C1065,'2021-22 School Level AAFTE'!$C:$I,7,FALSE)</f>
        <v>475.02</v>
      </c>
      <c r="I1065" s="112">
        <f>IFERROR(IF(OR(G1065="yes",F1065= "yes"),VLOOKUP(C1065,Summary!$B:$J,6,0),0),0)</f>
        <v>0</v>
      </c>
      <c r="J1065" s="111">
        <f t="shared" si="204"/>
        <v>0</v>
      </c>
      <c r="K1065" s="91">
        <f>VLOOKUP($A1065,'2022-23 Salary &amp; Benefits'!$A:$I,3,FALSE)</f>
        <v>1.1499999999999999</v>
      </c>
      <c r="L1065" s="91">
        <f>VLOOKUP($A1065,'2022-23 Salary &amp; Benefits'!$A:$I,4,FALSE)</f>
        <v>1.1499999999999999</v>
      </c>
      <c r="M1065" s="39">
        <f t="shared" si="211"/>
        <v>0</v>
      </c>
      <c r="N1065" s="24">
        <v>15</v>
      </c>
      <c r="O1065" s="26">
        <f t="shared" si="202"/>
        <v>0</v>
      </c>
      <c r="P1065" s="24">
        <v>1.1000000000000001</v>
      </c>
      <c r="Q1065" s="24">
        <v>36</v>
      </c>
      <c r="R1065" s="27">
        <f t="shared" si="203"/>
        <v>0</v>
      </c>
      <c r="S1065" s="102">
        <f t="shared" si="205"/>
        <v>0</v>
      </c>
      <c r="T1065" s="21">
        <f>VLOOKUP($A1065,'2022-23 Salary &amp; Benefits'!$A:$I,5,FALSE)</f>
        <v>68937</v>
      </c>
      <c r="U1065" s="21">
        <f>VLOOKUP($A1065,'2022-23 Salary &amp; Benefits'!$A:$I,6,FALSE)</f>
        <v>72728</v>
      </c>
      <c r="V1065" s="22">
        <f t="shared" si="206"/>
        <v>0</v>
      </c>
      <c r="W1065" s="22">
        <f t="shared" si="207"/>
        <v>0</v>
      </c>
      <c r="X1065" s="22">
        <f>'2022-23 Salary &amp; Benefits'!$G$6</f>
        <v>12558.24</v>
      </c>
      <c r="Y1065" s="23">
        <f>'2022-23 Salary &amp; Benefits'!$H$6</f>
        <v>0.2298</v>
      </c>
      <c r="Z1065" s="23">
        <f>'2022-23 Salary &amp; Benefits'!$I$6</f>
        <v>0.22339999999999999</v>
      </c>
      <c r="AA1065" s="22">
        <f t="shared" si="208"/>
        <v>0</v>
      </c>
      <c r="AB1065" s="22">
        <f t="shared" si="209"/>
        <v>0</v>
      </c>
      <c r="AC1065" s="22">
        <f t="shared" si="210"/>
        <v>0</v>
      </c>
      <c r="AD1065" s="22">
        <f t="shared" si="212"/>
        <v>0</v>
      </c>
      <c r="AE1065" s="22">
        <f t="shared" si="213"/>
        <v>0</v>
      </c>
      <c r="AF1065" s="19" t="str">
        <f>VLOOKUP(C1065,'2021-22 School Level AAFTE'!C:N,12,FALSE)</f>
        <v>No</v>
      </c>
    </row>
    <row r="1066" spans="1:32" s="19" customFormat="1">
      <c r="A1066" s="97" t="s">
        <v>2477</v>
      </c>
      <c r="B1066" s="97" t="s">
        <v>1689</v>
      </c>
      <c r="C1066" s="95">
        <v>3651</v>
      </c>
      <c r="D1066" s="95" t="s">
        <v>1698</v>
      </c>
      <c r="E1066" s="129">
        <f>VLOOKUP($C1066,'2021-22 School Level AAFTE'!$C:$Z,11,FALSE)</f>
        <v>0.42609999999999998</v>
      </c>
      <c r="F1066" s="129" t="str">
        <f>VLOOKUP($C1066,'2021-22 School Level AAFTE'!$C:$Z,8,FALSE)</f>
        <v>No</v>
      </c>
      <c r="G1066" s="129" t="str">
        <f>VLOOKUP($C1066,'2021-22 School Level AAFTE'!$C:$Z,12,FALSE)</f>
        <v>No</v>
      </c>
      <c r="H1066" s="127">
        <f>VLOOKUP($C1066,'2021-22 School Level AAFTE'!$C:$I,7,FALSE)</f>
        <v>471.43</v>
      </c>
      <c r="I1066" s="112">
        <f>IFERROR(IF(OR(G1066="yes",F1066= "yes"),VLOOKUP(C1066,Summary!$B:$J,6,0),0),0)</f>
        <v>0</v>
      </c>
      <c r="J1066" s="111">
        <f t="shared" si="204"/>
        <v>0</v>
      </c>
      <c r="K1066" s="91">
        <f>VLOOKUP($A1066,'2022-23 Salary &amp; Benefits'!$A:$I,3,FALSE)</f>
        <v>1.1499999999999999</v>
      </c>
      <c r="L1066" s="91">
        <f>VLOOKUP($A1066,'2022-23 Salary &amp; Benefits'!$A:$I,4,FALSE)</f>
        <v>1.1499999999999999</v>
      </c>
      <c r="M1066" s="39">
        <f t="shared" si="211"/>
        <v>0</v>
      </c>
      <c r="N1066" s="24">
        <v>15</v>
      </c>
      <c r="O1066" s="26">
        <f t="shared" si="202"/>
        <v>0</v>
      </c>
      <c r="P1066" s="24">
        <v>1.1000000000000001</v>
      </c>
      <c r="Q1066" s="24">
        <v>36</v>
      </c>
      <c r="R1066" s="27">
        <f t="shared" si="203"/>
        <v>0</v>
      </c>
      <c r="S1066" s="102">
        <f t="shared" si="205"/>
        <v>0</v>
      </c>
      <c r="T1066" s="21">
        <f>VLOOKUP($A1066,'2022-23 Salary &amp; Benefits'!$A:$I,5,FALSE)</f>
        <v>68937</v>
      </c>
      <c r="U1066" s="21">
        <f>VLOOKUP($A1066,'2022-23 Salary &amp; Benefits'!$A:$I,6,FALSE)</f>
        <v>72728</v>
      </c>
      <c r="V1066" s="22">
        <f t="shared" si="206"/>
        <v>0</v>
      </c>
      <c r="W1066" s="22">
        <f t="shared" si="207"/>
        <v>0</v>
      </c>
      <c r="X1066" s="22">
        <f>'2022-23 Salary &amp; Benefits'!$G$6</f>
        <v>12558.24</v>
      </c>
      <c r="Y1066" s="23">
        <f>'2022-23 Salary &amp; Benefits'!$H$6</f>
        <v>0.2298</v>
      </c>
      <c r="Z1066" s="23">
        <f>'2022-23 Salary &amp; Benefits'!$I$6</f>
        <v>0.22339999999999999</v>
      </c>
      <c r="AA1066" s="22">
        <f t="shared" si="208"/>
        <v>0</v>
      </c>
      <c r="AB1066" s="22">
        <f t="shared" si="209"/>
        <v>0</v>
      </c>
      <c r="AC1066" s="22">
        <f t="shared" si="210"/>
        <v>0</v>
      </c>
      <c r="AD1066" s="22">
        <f t="shared" si="212"/>
        <v>0</v>
      </c>
      <c r="AE1066" s="22">
        <f t="shared" si="213"/>
        <v>0</v>
      </c>
      <c r="AF1066" s="19" t="str">
        <f>VLOOKUP(C1066,'2021-22 School Level AAFTE'!C:N,12,FALSE)</f>
        <v>No</v>
      </c>
    </row>
    <row r="1067" spans="1:32" s="19" customFormat="1">
      <c r="A1067" s="97" t="s">
        <v>2477</v>
      </c>
      <c r="B1067" s="97" t="s">
        <v>1689</v>
      </c>
      <c r="C1067" s="95">
        <v>3964</v>
      </c>
      <c r="D1067" s="95" t="s">
        <v>1699</v>
      </c>
      <c r="E1067" s="129">
        <f>VLOOKUP($C1067,'2021-22 School Level AAFTE'!$C:$Z,11,FALSE)</f>
        <v>0.70000000000000007</v>
      </c>
      <c r="F1067" s="129" t="str">
        <f>VLOOKUP($C1067,'2021-22 School Level AAFTE'!$C:$Z,8,FALSE)</f>
        <v>Yes</v>
      </c>
      <c r="G1067" s="129" t="str">
        <f>VLOOKUP($C1067,'2021-22 School Level AAFTE'!$C:$Z,12,FALSE)</f>
        <v>No</v>
      </c>
      <c r="H1067" s="127">
        <f>VLOOKUP($C1067,'2021-22 School Level AAFTE'!$C:$I,7,FALSE)</f>
        <v>416.33</v>
      </c>
      <c r="I1067" s="112">
        <f>IFERROR(IF(OR(G1067="yes",F1067= "yes"),VLOOKUP(C1067,Summary!$B:$J,6,0),0),0)</f>
        <v>0</v>
      </c>
      <c r="J1067" s="111">
        <f t="shared" si="204"/>
        <v>416.33</v>
      </c>
      <c r="K1067" s="91">
        <f>VLOOKUP($A1067,'2022-23 Salary &amp; Benefits'!$A:$I,3,FALSE)</f>
        <v>1.1499999999999999</v>
      </c>
      <c r="L1067" s="91">
        <f>VLOOKUP($A1067,'2022-23 Salary &amp; Benefits'!$A:$I,4,FALSE)</f>
        <v>1.1499999999999999</v>
      </c>
      <c r="M1067" s="39">
        <f t="shared" si="211"/>
        <v>416.33</v>
      </c>
      <c r="N1067" s="24">
        <v>15</v>
      </c>
      <c r="O1067" s="26">
        <f t="shared" si="202"/>
        <v>27.755333333333333</v>
      </c>
      <c r="P1067" s="24">
        <v>1.1000000000000001</v>
      </c>
      <c r="Q1067" s="24">
        <v>36</v>
      </c>
      <c r="R1067" s="27">
        <f t="shared" si="203"/>
        <v>1099.1112000000001</v>
      </c>
      <c r="S1067" s="102">
        <f t="shared" si="205"/>
        <v>1.2210000000000001</v>
      </c>
      <c r="T1067" s="21">
        <f>VLOOKUP($A1067,'2022-23 Salary &amp; Benefits'!$A:$I,5,FALSE)</f>
        <v>68937</v>
      </c>
      <c r="U1067" s="21">
        <f>VLOOKUP($A1067,'2022-23 Salary &amp; Benefits'!$A:$I,6,FALSE)</f>
        <v>72728</v>
      </c>
      <c r="V1067" s="22">
        <f t="shared" si="206"/>
        <v>96797.89</v>
      </c>
      <c r="W1067" s="22">
        <f t="shared" si="207"/>
        <v>5323.1300000000047</v>
      </c>
      <c r="X1067" s="22">
        <f>'2022-23 Salary &amp; Benefits'!$G$6</f>
        <v>12558.24</v>
      </c>
      <c r="Y1067" s="23">
        <f>'2022-23 Salary &amp; Benefits'!$H$6</f>
        <v>0.2298</v>
      </c>
      <c r="Z1067" s="23">
        <f>'2022-23 Salary &amp; Benefits'!$I$6</f>
        <v>0.22339999999999999</v>
      </c>
      <c r="AA1067" s="22">
        <f t="shared" si="208"/>
        <v>38766.949999999997</v>
      </c>
      <c r="AB1067" s="22">
        <f t="shared" si="209"/>
        <v>1702.02</v>
      </c>
      <c r="AC1067" s="22">
        <f t="shared" si="210"/>
        <v>380.23</v>
      </c>
      <c r="AD1067" s="22">
        <f t="shared" si="212"/>
        <v>2082.25</v>
      </c>
      <c r="AE1067" s="22">
        <f t="shared" si="213"/>
        <v>142970.22</v>
      </c>
      <c r="AF1067" s="19" t="str">
        <f>VLOOKUP(C1067,'2021-22 School Level AAFTE'!C:N,12,FALSE)</f>
        <v>No</v>
      </c>
    </row>
    <row r="1068" spans="1:32" s="19" customFormat="1">
      <c r="A1068" s="97" t="s">
        <v>2477</v>
      </c>
      <c r="B1068" s="97" t="s">
        <v>1689</v>
      </c>
      <c r="C1068" s="95">
        <v>4150</v>
      </c>
      <c r="D1068" s="95" t="s">
        <v>1700</v>
      </c>
      <c r="E1068" s="129">
        <f>VLOOKUP($C1068,'2021-22 School Level AAFTE'!$C:$Z,11,FALSE)</f>
        <v>0.53853333333333342</v>
      </c>
      <c r="F1068" s="129" t="str">
        <f>VLOOKUP($C1068,'2021-22 School Level AAFTE'!$C:$Z,8,FALSE)</f>
        <v>Yes</v>
      </c>
      <c r="G1068" s="129" t="str">
        <f>VLOOKUP($C1068,'2021-22 School Level AAFTE'!$C:$Z,12,FALSE)</f>
        <v>No</v>
      </c>
      <c r="H1068" s="127">
        <f>VLOOKUP($C1068,'2021-22 School Level AAFTE'!$C:$I,7,FALSE)</f>
        <v>327.9</v>
      </c>
      <c r="I1068" s="112">
        <f>IFERROR(IF(OR(G1068="yes",F1068= "yes"),VLOOKUP(C1068,Summary!$B:$J,6,0),0),0)</f>
        <v>0</v>
      </c>
      <c r="J1068" s="111">
        <f t="shared" si="204"/>
        <v>327.9</v>
      </c>
      <c r="K1068" s="91">
        <f>VLOOKUP($A1068,'2022-23 Salary &amp; Benefits'!$A:$I,3,FALSE)</f>
        <v>1.1499999999999999</v>
      </c>
      <c r="L1068" s="91">
        <f>VLOOKUP($A1068,'2022-23 Salary &amp; Benefits'!$A:$I,4,FALSE)</f>
        <v>1.1499999999999999</v>
      </c>
      <c r="M1068" s="101">
        <f t="shared" si="211"/>
        <v>327.9</v>
      </c>
      <c r="N1068" s="24">
        <v>15</v>
      </c>
      <c r="O1068" s="26">
        <f t="shared" si="202"/>
        <v>21.86</v>
      </c>
      <c r="P1068" s="24">
        <v>1.1000000000000001</v>
      </c>
      <c r="Q1068" s="24">
        <v>36</v>
      </c>
      <c r="R1068" s="27">
        <f t="shared" si="203"/>
        <v>865.65600000000006</v>
      </c>
      <c r="S1068" s="102">
        <f t="shared" si="205"/>
        <v>0.96199999999999997</v>
      </c>
      <c r="T1068" s="21">
        <f>VLOOKUP($A1068,'2022-23 Salary &amp; Benefits'!$A:$I,5,FALSE)</f>
        <v>68937</v>
      </c>
      <c r="U1068" s="21">
        <f>VLOOKUP($A1068,'2022-23 Salary &amp; Benefits'!$A:$I,6,FALSE)</f>
        <v>72728</v>
      </c>
      <c r="V1068" s="22">
        <f t="shared" si="206"/>
        <v>76265</v>
      </c>
      <c r="W1068" s="22">
        <f t="shared" si="207"/>
        <v>4193.9900000000052</v>
      </c>
      <c r="X1068" s="22">
        <f>'2022-23 Salary &amp; Benefits'!$G$6</f>
        <v>12558.24</v>
      </c>
      <c r="Y1068" s="23">
        <f>'2022-23 Salary &amp; Benefits'!$H$6</f>
        <v>0.2298</v>
      </c>
      <c r="Z1068" s="23">
        <f>'2022-23 Salary &amp; Benefits'!$I$6</f>
        <v>0.22339999999999999</v>
      </c>
      <c r="AA1068" s="22">
        <f t="shared" si="208"/>
        <v>30543.66</v>
      </c>
      <c r="AB1068" s="22">
        <f t="shared" si="209"/>
        <v>1340.98</v>
      </c>
      <c r="AC1068" s="22">
        <f t="shared" si="210"/>
        <v>299.57</v>
      </c>
      <c r="AD1068" s="22">
        <f t="shared" si="212"/>
        <v>1640.55</v>
      </c>
      <c r="AE1068" s="22">
        <f t="shared" si="213"/>
        <v>112643.20000000001</v>
      </c>
      <c r="AF1068" s="19" t="str">
        <f>VLOOKUP(C1068,'2021-22 School Level AAFTE'!C:N,12,FALSE)</f>
        <v>No</v>
      </c>
    </row>
    <row r="1069" spans="1:32" s="19" customFormat="1">
      <c r="A1069" s="97" t="s">
        <v>2477</v>
      </c>
      <c r="B1069" s="97" t="s">
        <v>1689</v>
      </c>
      <c r="C1069" s="95">
        <v>4323</v>
      </c>
      <c r="D1069" s="95" t="s">
        <v>1701</v>
      </c>
      <c r="E1069" s="129">
        <f>VLOOKUP($C1069,'2021-22 School Level AAFTE'!$C:$Z,11,FALSE)</f>
        <v>0.51223333333333343</v>
      </c>
      <c r="F1069" s="129" t="str">
        <f>VLOOKUP($C1069,'2021-22 School Level AAFTE'!$C:$Z,8,FALSE)</f>
        <v>Yes</v>
      </c>
      <c r="G1069" s="129" t="str">
        <f>VLOOKUP($C1069,'2021-22 School Level AAFTE'!$C:$Z,12,FALSE)</f>
        <v>No</v>
      </c>
      <c r="H1069" s="127">
        <f>VLOOKUP($C1069,'2021-22 School Level AAFTE'!$C:$I,7,FALSE)</f>
        <v>461.41</v>
      </c>
      <c r="I1069" s="112">
        <f>IFERROR(IF(OR(G1069="yes",F1069= "yes"),VLOOKUP(C1069,Summary!$B:$J,6,0),0),0)</f>
        <v>0</v>
      </c>
      <c r="J1069" s="111">
        <f t="shared" si="204"/>
        <v>461.41</v>
      </c>
      <c r="K1069" s="91">
        <f>VLOOKUP($A1069,'2022-23 Salary &amp; Benefits'!$A:$I,3,FALSE)</f>
        <v>1.1499999999999999</v>
      </c>
      <c r="L1069" s="91">
        <f>VLOOKUP($A1069,'2022-23 Salary &amp; Benefits'!$A:$I,4,FALSE)</f>
        <v>1.1499999999999999</v>
      </c>
      <c r="M1069" s="39">
        <f t="shared" si="211"/>
        <v>461.41</v>
      </c>
      <c r="N1069" s="24">
        <v>15</v>
      </c>
      <c r="O1069" s="26">
        <f t="shared" si="202"/>
        <v>30.760666666666669</v>
      </c>
      <c r="P1069" s="24">
        <v>1.1000000000000001</v>
      </c>
      <c r="Q1069" s="24">
        <v>36</v>
      </c>
      <c r="R1069" s="27">
        <f t="shared" si="203"/>
        <v>1218.1224000000002</v>
      </c>
      <c r="S1069" s="102">
        <f t="shared" si="205"/>
        <v>1.353</v>
      </c>
      <c r="T1069" s="21">
        <f>VLOOKUP($A1069,'2022-23 Salary &amp; Benefits'!$A:$I,5,FALSE)</f>
        <v>68937</v>
      </c>
      <c r="U1069" s="21">
        <f>VLOOKUP($A1069,'2022-23 Salary &amp; Benefits'!$A:$I,6,FALSE)</f>
        <v>72728</v>
      </c>
      <c r="V1069" s="22">
        <f t="shared" si="206"/>
        <v>107262.53</v>
      </c>
      <c r="W1069" s="22">
        <f t="shared" si="207"/>
        <v>5898.6000000000058</v>
      </c>
      <c r="X1069" s="22">
        <f>'2022-23 Salary &amp; Benefits'!$G$6</f>
        <v>12558.24</v>
      </c>
      <c r="Y1069" s="23">
        <f>'2022-23 Salary &amp; Benefits'!$H$6</f>
        <v>0.2298</v>
      </c>
      <c r="Z1069" s="23">
        <f>'2022-23 Salary &amp; Benefits'!$I$6</f>
        <v>0.22339999999999999</v>
      </c>
      <c r="AA1069" s="22">
        <f t="shared" si="208"/>
        <v>42957.98</v>
      </c>
      <c r="AB1069" s="22">
        <f t="shared" si="209"/>
        <v>1886.02</v>
      </c>
      <c r="AC1069" s="22">
        <f t="shared" si="210"/>
        <v>421.34</v>
      </c>
      <c r="AD1069" s="22">
        <f t="shared" si="212"/>
        <v>2307.36</v>
      </c>
      <c r="AE1069" s="22">
        <f t="shared" si="213"/>
        <v>158426.47</v>
      </c>
      <c r="AF1069" s="19" t="str">
        <f>VLOOKUP(C1069,'2021-22 School Level AAFTE'!C:N,12,FALSE)</f>
        <v>No</v>
      </c>
    </row>
    <row r="1070" spans="1:32" s="19" customFormat="1">
      <c r="A1070" s="97" t="s">
        <v>2477</v>
      </c>
      <c r="B1070" s="97" t="s">
        <v>1689</v>
      </c>
      <c r="C1070" s="95">
        <v>4357</v>
      </c>
      <c r="D1070" s="95" t="s">
        <v>1702</v>
      </c>
      <c r="E1070" s="129">
        <f>VLOOKUP($C1070,'2021-22 School Level AAFTE'!$C:$Z,11,FALSE)</f>
        <v>0.53323333333333334</v>
      </c>
      <c r="F1070" s="129" t="str">
        <f>VLOOKUP($C1070,'2021-22 School Level AAFTE'!$C:$Z,8,FALSE)</f>
        <v>Yes</v>
      </c>
      <c r="G1070" s="129" t="str">
        <f>VLOOKUP($C1070,'2021-22 School Level AAFTE'!$C:$Z,12,FALSE)</f>
        <v>No</v>
      </c>
      <c r="H1070" s="127">
        <f>VLOOKUP($C1070,'2021-22 School Level AAFTE'!$C:$I,7,FALSE)</f>
        <v>793.45</v>
      </c>
      <c r="I1070" s="112">
        <f>IFERROR(IF(OR(G1070="yes",F1070= "yes"),VLOOKUP(C1070,Summary!$B:$J,6,0),0),0)</f>
        <v>0</v>
      </c>
      <c r="J1070" s="111">
        <f t="shared" si="204"/>
        <v>793.45</v>
      </c>
      <c r="K1070" s="91">
        <f>VLOOKUP($A1070,'2022-23 Salary &amp; Benefits'!$A:$I,3,FALSE)</f>
        <v>1.1499999999999999</v>
      </c>
      <c r="L1070" s="91">
        <f>VLOOKUP($A1070,'2022-23 Salary &amp; Benefits'!$A:$I,4,FALSE)</f>
        <v>1.1499999999999999</v>
      </c>
      <c r="M1070" s="101">
        <f t="shared" si="211"/>
        <v>793.45</v>
      </c>
      <c r="N1070" s="24">
        <v>15</v>
      </c>
      <c r="O1070" s="26">
        <f t="shared" si="202"/>
        <v>52.896666666666668</v>
      </c>
      <c r="P1070" s="24">
        <v>1.1000000000000001</v>
      </c>
      <c r="Q1070" s="24">
        <v>36</v>
      </c>
      <c r="R1070" s="27">
        <f t="shared" si="203"/>
        <v>2094.7080000000001</v>
      </c>
      <c r="S1070" s="102">
        <f t="shared" si="205"/>
        <v>2.327</v>
      </c>
      <c r="T1070" s="21">
        <f>VLOOKUP($A1070,'2022-23 Salary &amp; Benefits'!$A:$I,5,FALSE)</f>
        <v>68937</v>
      </c>
      <c r="U1070" s="21">
        <f>VLOOKUP($A1070,'2022-23 Salary &amp; Benefits'!$A:$I,6,FALSE)</f>
        <v>72728</v>
      </c>
      <c r="V1070" s="22">
        <f t="shared" si="206"/>
        <v>184478.86</v>
      </c>
      <c r="W1070" s="22">
        <f t="shared" si="207"/>
        <v>10144.900000000023</v>
      </c>
      <c r="X1070" s="22">
        <f>'2022-23 Salary &amp; Benefits'!$G$6</f>
        <v>12558.24</v>
      </c>
      <c r="Y1070" s="23">
        <f>'2022-23 Salary &amp; Benefits'!$H$6</f>
        <v>0.2298</v>
      </c>
      <c r="Z1070" s="23">
        <f>'2022-23 Salary &amp; Benefits'!$I$6</f>
        <v>0.22339999999999999</v>
      </c>
      <c r="AA1070" s="22">
        <f t="shared" si="208"/>
        <v>73882.64</v>
      </c>
      <c r="AB1070" s="22">
        <f t="shared" si="209"/>
        <v>3243.73</v>
      </c>
      <c r="AC1070" s="22">
        <f t="shared" si="210"/>
        <v>724.65</v>
      </c>
      <c r="AD1070" s="22">
        <f t="shared" si="212"/>
        <v>3968.38</v>
      </c>
      <c r="AE1070" s="22">
        <f t="shared" si="213"/>
        <v>272474.78000000003</v>
      </c>
      <c r="AF1070" s="19" t="str">
        <f>VLOOKUP(C1070,'2021-22 School Level AAFTE'!C:N,12,FALSE)</f>
        <v>No</v>
      </c>
    </row>
    <row r="1071" spans="1:32" s="19" customFormat="1">
      <c r="A1071" s="97" t="s">
        <v>2477</v>
      </c>
      <c r="B1071" s="97" t="s">
        <v>1689</v>
      </c>
      <c r="C1071" s="95">
        <v>4454</v>
      </c>
      <c r="D1071" s="95" t="s">
        <v>1703</v>
      </c>
      <c r="E1071" s="129">
        <f>VLOOKUP($C1071,'2021-22 School Level AAFTE'!$C:$Z,11,FALSE)</f>
        <v>0.42406666666666665</v>
      </c>
      <c r="F1071" s="129" t="str">
        <f>VLOOKUP($C1071,'2021-22 School Level AAFTE'!$C:$Z,8,FALSE)</f>
        <v>No</v>
      </c>
      <c r="G1071" s="129" t="str">
        <f>VLOOKUP($C1071,'2021-22 School Level AAFTE'!$C:$Z,12,FALSE)</f>
        <v>No</v>
      </c>
      <c r="H1071" s="127">
        <f>VLOOKUP($C1071,'2021-22 School Level AAFTE'!$C:$I,7,FALSE)</f>
        <v>425.36</v>
      </c>
      <c r="I1071" s="112">
        <f>IFERROR(IF(OR(G1071="yes",F1071= "yes"),VLOOKUP(C1071,Summary!$B:$J,6,0),0),0)</f>
        <v>0</v>
      </c>
      <c r="J1071" s="111">
        <f t="shared" si="204"/>
        <v>0</v>
      </c>
      <c r="K1071" s="91">
        <f>VLOOKUP($A1071,'2022-23 Salary &amp; Benefits'!$A:$I,3,FALSE)</f>
        <v>1.1499999999999999</v>
      </c>
      <c r="L1071" s="91">
        <f>VLOOKUP($A1071,'2022-23 Salary &amp; Benefits'!$A:$I,4,FALSE)</f>
        <v>1.1499999999999999</v>
      </c>
      <c r="M1071" s="39">
        <f t="shared" si="211"/>
        <v>0</v>
      </c>
      <c r="N1071" s="24">
        <v>15</v>
      </c>
      <c r="O1071" s="26">
        <f t="shared" si="202"/>
        <v>0</v>
      </c>
      <c r="P1071" s="24">
        <v>1.1000000000000001</v>
      </c>
      <c r="Q1071" s="24">
        <v>36</v>
      </c>
      <c r="R1071" s="27">
        <f t="shared" si="203"/>
        <v>0</v>
      </c>
      <c r="S1071" s="102">
        <f t="shared" si="205"/>
        <v>0</v>
      </c>
      <c r="T1071" s="21">
        <f>VLOOKUP($A1071,'2022-23 Salary &amp; Benefits'!$A:$I,5,FALSE)</f>
        <v>68937</v>
      </c>
      <c r="U1071" s="21">
        <f>VLOOKUP($A1071,'2022-23 Salary &amp; Benefits'!$A:$I,6,FALSE)</f>
        <v>72728</v>
      </c>
      <c r="V1071" s="22">
        <f t="shared" si="206"/>
        <v>0</v>
      </c>
      <c r="W1071" s="22">
        <f t="shared" si="207"/>
        <v>0</v>
      </c>
      <c r="X1071" s="22">
        <f>'2022-23 Salary &amp; Benefits'!$G$6</f>
        <v>12558.24</v>
      </c>
      <c r="Y1071" s="23">
        <f>'2022-23 Salary &amp; Benefits'!$H$6</f>
        <v>0.2298</v>
      </c>
      <c r="Z1071" s="23">
        <f>'2022-23 Salary &amp; Benefits'!$I$6</f>
        <v>0.22339999999999999</v>
      </c>
      <c r="AA1071" s="22">
        <f t="shared" si="208"/>
        <v>0</v>
      </c>
      <c r="AB1071" s="22">
        <f t="shared" si="209"/>
        <v>0</v>
      </c>
      <c r="AC1071" s="22">
        <f t="shared" si="210"/>
        <v>0</v>
      </c>
      <c r="AD1071" s="22">
        <f t="shared" si="212"/>
        <v>0</v>
      </c>
      <c r="AE1071" s="22">
        <f t="shared" si="213"/>
        <v>0</v>
      </c>
      <c r="AF1071" s="19" t="str">
        <f>VLOOKUP(C1071,'2021-22 School Level AAFTE'!C:N,12,FALSE)</f>
        <v>No</v>
      </c>
    </row>
    <row r="1072" spans="1:32" s="19" customFormat="1">
      <c r="A1072" s="97" t="s">
        <v>2477</v>
      </c>
      <c r="B1072" s="97" t="s">
        <v>1689</v>
      </c>
      <c r="C1072" s="95">
        <v>5123</v>
      </c>
      <c r="D1072" s="95" t="s">
        <v>1704</v>
      </c>
      <c r="E1072" s="129">
        <f>VLOOKUP($C1072,'2021-22 School Level AAFTE'!$C:$Z,11,FALSE)</f>
        <v>0.42846666666666672</v>
      </c>
      <c r="F1072" s="129" t="str">
        <f>VLOOKUP($C1072,'2021-22 School Level AAFTE'!$C:$Z,8,FALSE)</f>
        <v>No</v>
      </c>
      <c r="G1072" s="129" t="str">
        <f>VLOOKUP($C1072,'2021-22 School Level AAFTE'!$C:$Z,12,FALSE)</f>
        <v>No</v>
      </c>
      <c r="H1072" s="127">
        <f>VLOOKUP($C1072,'2021-22 School Level AAFTE'!$C:$I,7,FALSE)</f>
        <v>364.21</v>
      </c>
      <c r="I1072" s="112">
        <f>IFERROR(IF(OR(G1072="yes",F1072= "yes"),VLOOKUP(C1072,Summary!$B:$J,6,0),0),0)</f>
        <v>0</v>
      </c>
      <c r="J1072" s="111">
        <f t="shared" si="204"/>
        <v>0</v>
      </c>
      <c r="K1072" s="91">
        <f>VLOOKUP($A1072,'2022-23 Salary &amp; Benefits'!$A:$I,3,FALSE)</f>
        <v>1.1499999999999999</v>
      </c>
      <c r="L1072" s="91">
        <f>VLOOKUP($A1072,'2022-23 Salary &amp; Benefits'!$A:$I,4,FALSE)</f>
        <v>1.1499999999999999</v>
      </c>
      <c r="M1072" s="39">
        <f t="shared" si="211"/>
        <v>0</v>
      </c>
      <c r="N1072" s="24">
        <v>15</v>
      </c>
      <c r="O1072" s="26">
        <f t="shared" si="202"/>
        <v>0</v>
      </c>
      <c r="P1072" s="24">
        <v>1.1000000000000001</v>
      </c>
      <c r="Q1072" s="24">
        <v>36</v>
      </c>
      <c r="R1072" s="27">
        <f t="shared" si="203"/>
        <v>0</v>
      </c>
      <c r="S1072" s="102">
        <f t="shared" si="205"/>
        <v>0</v>
      </c>
      <c r="T1072" s="21">
        <f>VLOOKUP($A1072,'2022-23 Salary &amp; Benefits'!$A:$I,5,FALSE)</f>
        <v>68937</v>
      </c>
      <c r="U1072" s="21">
        <f>VLOOKUP($A1072,'2022-23 Salary &amp; Benefits'!$A:$I,6,FALSE)</f>
        <v>72728</v>
      </c>
      <c r="V1072" s="22">
        <f t="shared" si="206"/>
        <v>0</v>
      </c>
      <c r="W1072" s="22">
        <f t="shared" si="207"/>
        <v>0</v>
      </c>
      <c r="X1072" s="22">
        <f>'2022-23 Salary &amp; Benefits'!$G$6</f>
        <v>12558.24</v>
      </c>
      <c r="Y1072" s="23">
        <f>'2022-23 Salary &amp; Benefits'!$H$6</f>
        <v>0.2298</v>
      </c>
      <c r="Z1072" s="23">
        <f>'2022-23 Salary &amp; Benefits'!$I$6</f>
        <v>0.22339999999999999</v>
      </c>
      <c r="AA1072" s="22">
        <f t="shared" si="208"/>
        <v>0</v>
      </c>
      <c r="AB1072" s="22">
        <f t="shared" si="209"/>
        <v>0</v>
      </c>
      <c r="AC1072" s="22">
        <f t="shared" si="210"/>
        <v>0</v>
      </c>
      <c r="AD1072" s="22">
        <f t="shared" si="212"/>
        <v>0</v>
      </c>
      <c r="AE1072" s="22">
        <f t="shared" si="213"/>
        <v>0</v>
      </c>
      <c r="AF1072" s="19" t="str">
        <f>VLOOKUP(C1072,'2021-22 School Level AAFTE'!C:N,12,FALSE)</f>
        <v>No</v>
      </c>
    </row>
    <row r="1073" spans="1:32" s="19" customFormat="1">
      <c r="A1073" s="97" t="s">
        <v>2477</v>
      </c>
      <c r="B1073" s="97" t="s">
        <v>1689</v>
      </c>
      <c r="C1073" s="95">
        <v>5213</v>
      </c>
      <c r="D1073" s="95" t="s">
        <v>1705</v>
      </c>
      <c r="E1073" s="129">
        <f>VLOOKUP($C1073,'2021-22 School Level AAFTE'!$C:$Z,11,FALSE)</f>
        <v>0.51739999999999997</v>
      </c>
      <c r="F1073" s="129" t="str">
        <f>VLOOKUP($C1073,'2021-22 School Level AAFTE'!$C:$Z,8,FALSE)</f>
        <v>Yes</v>
      </c>
      <c r="G1073" s="129" t="str">
        <f>VLOOKUP($C1073,'2021-22 School Level AAFTE'!$C:$Z,12,FALSE)</f>
        <v>No</v>
      </c>
      <c r="H1073" s="127">
        <f>VLOOKUP($C1073,'2021-22 School Level AAFTE'!$C:$I,7,FALSE)</f>
        <v>1142.83</v>
      </c>
      <c r="I1073" s="112">
        <f>IFERROR(IF(OR(G1073="yes",F1073= "yes"),VLOOKUP(C1073,Summary!$B:$J,6,0),0),0)</f>
        <v>0</v>
      </c>
      <c r="J1073" s="111">
        <f t="shared" si="204"/>
        <v>1142.83</v>
      </c>
      <c r="K1073" s="91">
        <f>VLOOKUP($A1073,'2022-23 Salary &amp; Benefits'!$A:$I,3,FALSE)</f>
        <v>1.1499999999999999</v>
      </c>
      <c r="L1073" s="91">
        <f>VLOOKUP($A1073,'2022-23 Salary &amp; Benefits'!$A:$I,4,FALSE)</f>
        <v>1.1499999999999999</v>
      </c>
      <c r="M1073" s="101">
        <f t="shared" si="211"/>
        <v>1142.83</v>
      </c>
      <c r="N1073" s="24">
        <v>15</v>
      </c>
      <c r="O1073" s="26">
        <f t="shared" si="202"/>
        <v>76.188666666666663</v>
      </c>
      <c r="P1073" s="24">
        <v>1.1000000000000001</v>
      </c>
      <c r="Q1073" s="24">
        <v>36</v>
      </c>
      <c r="R1073" s="27">
        <f t="shared" si="203"/>
        <v>3017.0712000000003</v>
      </c>
      <c r="S1073" s="102">
        <f t="shared" si="205"/>
        <v>3.3519999999999999</v>
      </c>
      <c r="T1073" s="21">
        <f>VLOOKUP($A1073,'2022-23 Salary &amp; Benefits'!$A:$I,5,FALSE)</f>
        <v>68937</v>
      </c>
      <c r="U1073" s="21">
        <f>VLOOKUP($A1073,'2022-23 Salary &amp; Benefits'!$A:$I,6,FALSE)</f>
        <v>72728</v>
      </c>
      <c r="V1073" s="22">
        <f t="shared" si="206"/>
        <v>265738.34999999998</v>
      </c>
      <c r="W1073" s="22">
        <f t="shared" si="207"/>
        <v>14613.540000000037</v>
      </c>
      <c r="X1073" s="22">
        <f>'2022-23 Salary &amp; Benefits'!$G$6</f>
        <v>12558.24</v>
      </c>
      <c r="Y1073" s="23">
        <f>'2022-23 Salary &amp; Benefits'!$H$6</f>
        <v>0.2298</v>
      </c>
      <c r="Z1073" s="23">
        <f>'2022-23 Salary &amp; Benefits'!$I$6</f>
        <v>0.22339999999999999</v>
      </c>
      <c r="AA1073" s="22">
        <f t="shared" si="208"/>
        <v>106426.56</v>
      </c>
      <c r="AB1073" s="22">
        <f t="shared" si="209"/>
        <v>4672.53</v>
      </c>
      <c r="AC1073" s="22">
        <f t="shared" si="210"/>
        <v>1043.8399999999999</v>
      </c>
      <c r="AD1073" s="22">
        <f t="shared" si="212"/>
        <v>5716.37</v>
      </c>
      <c r="AE1073" s="22">
        <f t="shared" si="213"/>
        <v>392494.82</v>
      </c>
      <c r="AF1073" s="19" t="str">
        <f>VLOOKUP(C1073,'2021-22 School Level AAFTE'!C:N,12,FALSE)</f>
        <v>No</v>
      </c>
    </row>
    <row r="1074" spans="1:32" s="19" customFormat="1">
      <c r="A1074" s="97" t="s">
        <v>2477</v>
      </c>
      <c r="B1074" s="97" t="s">
        <v>1689</v>
      </c>
      <c r="C1074" s="95">
        <v>5350</v>
      </c>
      <c r="D1074" s="95" t="s">
        <v>1706</v>
      </c>
      <c r="E1074" s="129">
        <f>VLOOKUP($C1074,'2021-22 School Level AAFTE'!$C:$Z,11,FALSE)</f>
        <v>0.69123333333333337</v>
      </c>
      <c r="F1074" s="129" t="str">
        <f>VLOOKUP($C1074,'2021-22 School Level AAFTE'!$C:$Z,8,FALSE)</f>
        <v>Yes</v>
      </c>
      <c r="G1074" s="129" t="str">
        <f>VLOOKUP($C1074,'2021-22 School Level AAFTE'!$C:$Z,12,FALSE)</f>
        <v>No</v>
      </c>
      <c r="H1074" s="127">
        <f>VLOOKUP($C1074,'2021-22 School Level AAFTE'!$C:$I,7,FALSE)</f>
        <v>474.31</v>
      </c>
      <c r="I1074" s="112">
        <f>IFERROR(IF(OR(G1074="yes",F1074= "yes"),VLOOKUP(C1074,Summary!$B:$J,6,0),0),0)</f>
        <v>0</v>
      </c>
      <c r="J1074" s="111">
        <f t="shared" si="204"/>
        <v>474.31</v>
      </c>
      <c r="K1074" s="91">
        <f>VLOOKUP($A1074,'2022-23 Salary &amp; Benefits'!$A:$I,3,FALSE)</f>
        <v>1.1499999999999999</v>
      </c>
      <c r="L1074" s="91">
        <f>VLOOKUP($A1074,'2022-23 Salary &amp; Benefits'!$A:$I,4,FALSE)</f>
        <v>1.1499999999999999</v>
      </c>
      <c r="M1074" s="39">
        <f t="shared" si="211"/>
        <v>474.31</v>
      </c>
      <c r="N1074" s="24">
        <v>15</v>
      </c>
      <c r="O1074" s="26">
        <f t="shared" si="202"/>
        <v>31.620666666666668</v>
      </c>
      <c r="P1074" s="24">
        <v>1.1000000000000001</v>
      </c>
      <c r="Q1074" s="24">
        <v>36</v>
      </c>
      <c r="R1074" s="27">
        <f t="shared" si="203"/>
        <v>1252.1784000000002</v>
      </c>
      <c r="S1074" s="102">
        <f t="shared" si="205"/>
        <v>1.391</v>
      </c>
      <c r="T1074" s="21">
        <f>VLOOKUP($A1074,'2022-23 Salary &amp; Benefits'!$A:$I,5,FALSE)</f>
        <v>68937</v>
      </c>
      <c r="U1074" s="21">
        <f>VLOOKUP($A1074,'2022-23 Salary &amp; Benefits'!$A:$I,6,FALSE)</f>
        <v>72728</v>
      </c>
      <c r="V1074" s="22">
        <f t="shared" si="206"/>
        <v>110275.07</v>
      </c>
      <c r="W1074" s="22">
        <f t="shared" si="207"/>
        <v>6064.2799999999988</v>
      </c>
      <c r="X1074" s="22">
        <f>'2022-23 Salary &amp; Benefits'!$G$6</f>
        <v>12558.24</v>
      </c>
      <c r="Y1074" s="23">
        <f>'2022-23 Salary &amp; Benefits'!$H$6</f>
        <v>0.2298</v>
      </c>
      <c r="Z1074" s="23">
        <f>'2022-23 Salary &amp; Benefits'!$I$6</f>
        <v>0.22339999999999999</v>
      </c>
      <c r="AA1074" s="22">
        <f t="shared" si="208"/>
        <v>44164.480000000003</v>
      </c>
      <c r="AB1074" s="22">
        <f t="shared" si="209"/>
        <v>1938.99</v>
      </c>
      <c r="AC1074" s="22">
        <f t="shared" si="210"/>
        <v>433.17</v>
      </c>
      <c r="AD1074" s="22">
        <f t="shared" si="212"/>
        <v>2372.16</v>
      </c>
      <c r="AE1074" s="22">
        <f t="shared" si="213"/>
        <v>162875.99000000002</v>
      </c>
      <c r="AF1074" s="19" t="str">
        <f>VLOOKUP(C1074,'2021-22 School Level AAFTE'!C:N,12,FALSE)</f>
        <v>No</v>
      </c>
    </row>
    <row r="1075" spans="1:32" s="19" customFormat="1">
      <c r="A1075" s="97" t="s">
        <v>2477</v>
      </c>
      <c r="B1075" s="97" t="s">
        <v>1689</v>
      </c>
      <c r="C1075" s="95">
        <v>5402</v>
      </c>
      <c r="D1075" s="95" t="s">
        <v>1707</v>
      </c>
      <c r="E1075" s="129">
        <f>VLOOKUP($C1075,'2021-22 School Level AAFTE'!$C:$Z,11,FALSE)</f>
        <v>0.58040000000000003</v>
      </c>
      <c r="F1075" s="129" t="str">
        <f>VLOOKUP($C1075,'2021-22 School Level AAFTE'!$C:$Z,8,FALSE)</f>
        <v>Yes</v>
      </c>
      <c r="G1075" s="129" t="str">
        <f>VLOOKUP($C1075,'2021-22 School Level AAFTE'!$C:$Z,12,FALSE)</f>
        <v>No</v>
      </c>
      <c r="H1075" s="127">
        <f>VLOOKUP($C1075,'2021-22 School Level AAFTE'!$C:$I,7,FALSE)</f>
        <v>79.94</v>
      </c>
      <c r="I1075" s="112">
        <f>IFERROR(IF(OR(G1075="yes",F1075= "yes"),VLOOKUP(C1075,Summary!$B:$J,6,0),0),0)</f>
        <v>0</v>
      </c>
      <c r="J1075" s="111">
        <f t="shared" si="204"/>
        <v>79.94</v>
      </c>
      <c r="K1075" s="91">
        <f>VLOOKUP($A1075,'2022-23 Salary &amp; Benefits'!$A:$I,3,FALSE)</f>
        <v>1.1499999999999999</v>
      </c>
      <c r="L1075" s="91">
        <f>VLOOKUP($A1075,'2022-23 Salary &amp; Benefits'!$A:$I,4,FALSE)</f>
        <v>1.1499999999999999</v>
      </c>
      <c r="M1075" s="39">
        <f t="shared" si="211"/>
        <v>79.94</v>
      </c>
      <c r="N1075" s="24">
        <v>15</v>
      </c>
      <c r="O1075" s="26">
        <f t="shared" si="202"/>
        <v>5.3293333333333335</v>
      </c>
      <c r="P1075" s="24">
        <v>1.1000000000000001</v>
      </c>
      <c r="Q1075" s="24">
        <v>36</v>
      </c>
      <c r="R1075" s="27">
        <f t="shared" si="203"/>
        <v>211.04160000000005</v>
      </c>
      <c r="S1075" s="102">
        <f t="shared" si="205"/>
        <v>0.23400000000000001</v>
      </c>
      <c r="T1075" s="21">
        <f>VLOOKUP($A1075,'2022-23 Salary &amp; Benefits'!$A:$I,5,FALSE)</f>
        <v>68937</v>
      </c>
      <c r="U1075" s="21">
        <f>VLOOKUP($A1075,'2022-23 Salary &amp; Benefits'!$A:$I,6,FALSE)</f>
        <v>72728</v>
      </c>
      <c r="V1075" s="22">
        <f t="shared" si="206"/>
        <v>18550.95</v>
      </c>
      <c r="W1075" s="22">
        <f t="shared" si="207"/>
        <v>1020.1499999999978</v>
      </c>
      <c r="X1075" s="22">
        <f>'2022-23 Salary &amp; Benefits'!$G$6</f>
        <v>12558.24</v>
      </c>
      <c r="Y1075" s="23">
        <f>'2022-23 Salary &amp; Benefits'!$H$6</f>
        <v>0.2298</v>
      </c>
      <c r="Z1075" s="23">
        <f>'2022-23 Salary &amp; Benefits'!$I$6</f>
        <v>0.22339999999999999</v>
      </c>
      <c r="AA1075" s="22">
        <f t="shared" si="208"/>
        <v>7429.54</v>
      </c>
      <c r="AB1075" s="22">
        <f t="shared" si="209"/>
        <v>326.19</v>
      </c>
      <c r="AC1075" s="22">
        <f t="shared" si="210"/>
        <v>72.87</v>
      </c>
      <c r="AD1075" s="22">
        <f t="shared" si="212"/>
        <v>399.06</v>
      </c>
      <c r="AE1075" s="22">
        <f t="shared" si="213"/>
        <v>27399.7</v>
      </c>
      <c r="AF1075" s="19" t="str">
        <f>VLOOKUP(C1075,'2021-22 School Level AAFTE'!C:N,12,FALSE)</f>
        <v>No</v>
      </c>
    </row>
    <row r="1076" spans="1:32" s="19" customFormat="1">
      <c r="A1076" s="97" t="s">
        <v>2477</v>
      </c>
      <c r="B1076" s="97" t="s">
        <v>1689</v>
      </c>
      <c r="C1076" s="95">
        <v>5478</v>
      </c>
      <c r="D1076" s="95" t="s">
        <v>2723</v>
      </c>
      <c r="E1076" s="129">
        <f>VLOOKUP($C1076,'2021-22 School Level AAFTE'!$C:$Z,11,FALSE)</f>
        <v>0.37633333333333335</v>
      </c>
      <c r="F1076" s="129" t="str">
        <f>VLOOKUP($C1076,'2021-22 School Level AAFTE'!$C:$Z,8,FALSE)</f>
        <v>No</v>
      </c>
      <c r="G1076" s="129" t="str">
        <f>VLOOKUP($C1076,'2021-22 School Level AAFTE'!$C:$Z,12,FALSE)</f>
        <v>No</v>
      </c>
      <c r="H1076" s="127">
        <f>VLOOKUP($C1076,'2021-22 School Level AAFTE'!$C:$I,7,FALSE)</f>
        <v>1420.8</v>
      </c>
      <c r="I1076" s="112">
        <f>IFERROR(IF(OR(G1076="yes",F1076= "yes"),VLOOKUP(C1076,Summary!$B:$J,6,0),0),0)</f>
        <v>0</v>
      </c>
      <c r="J1076" s="111">
        <f t="shared" si="204"/>
        <v>0</v>
      </c>
      <c r="K1076" s="91">
        <f>VLOOKUP($A1076,'2022-23 Salary &amp; Benefits'!$A:$I,3,FALSE)</f>
        <v>1.1499999999999999</v>
      </c>
      <c r="L1076" s="91">
        <f>VLOOKUP($A1076,'2022-23 Salary &amp; Benefits'!$A:$I,4,FALSE)</f>
        <v>1.1499999999999999</v>
      </c>
      <c r="M1076" s="101">
        <f t="shared" si="211"/>
        <v>0</v>
      </c>
      <c r="N1076" s="24">
        <v>15</v>
      </c>
      <c r="O1076" s="26">
        <f t="shared" si="202"/>
        <v>0</v>
      </c>
      <c r="P1076" s="24">
        <v>1.1000000000000001</v>
      </c>
      <c r="Q1076" s="24">
        <v>36</v>
      </c>
      <c r="R1076" s="27">
        <f t="shared" si="203"/>
        <v>0</v>
      </c>
      <c r="S1076" s="102">
        <f t="shared" si="205"/>
        <v>0</v>
      </c>
      <c r="T1076" s="21">
        <f>VLOOKUP($A1076,'2022-23 Salary &amp; Benefits'!$A:$I,5,FALSE)</f>
        <v>68937</v>
      </c>
      <c r="U1076" s="21">
        <f>VLOOKUP($A1076,'2022-23 Salary &amp; Benefits'!$A:$I,6,FALSE)</f>
        <v>72728</v>
      </c>
      <c r="V1076" s="22">
        <f t="shared" si="206"/>
        <v>0</v>
      </c>
      <c r="W1076" s="22">
        <f t="shared" si="207"/>
        <v>0</v>
      </c>
      <c r="X1076" s="22">
        <f>'2022-23 Salary &amp; Benefits'!$G$6</f>
        <v>12558.24</v>
      </c>
      <c r="Y1076" s="23">
        <f>'2022-23 Salary &amp; Benefits'!$H$6</f>
        <v>0.2298</v>
      </c>
      <c r="Z1076" s="23">
        <f>'2022-23 Salary &amp; Benefits'!$I$6</f>
        <v>0.22339999999999999</v>
      </c>
      <c r="AA1076" s="22">
        <f t="shared" si="208"/>
        <v>0</v>
      </c>
      <c r="AB1076" s="22">
        <f t="shared" si="209"/>
        <v>0</v>
      </c>
      <c r="AC1076" s="22">
        <f t="shared" si="210"/>
        <v>0</v>
      </c>
      <c r="AD1076" s="22">
        <f t="shared" si="212"/>
        <v>0</v>
      </c>
      <c r="AE1076" s="22">
        <f t="shared" si="213"/>
        <v>0</v>
      </c>
      <c r="AF1076" s="19" t="str">
        <f>VLOOKUP(C1076,'2021-22 School Level AAFTE'!C:N,12,FALSE)</f>
        <v>No</v>
      </c>
    </row>
    <row r="1077" spans="1:32" s="19" customFormat="1">
      <c r="A1077" s="97" t="s">
        <v>2330</v>
      </c>
      <c r="B1077" s="97" t="s">
        <v>485</v>
      </c>
      <c r="C1077" s="95">
        <v>2835</v>
      </c>
      <c r="D1077" s="95" t="s">
        <v>486</v>
      </c>
      <c r="E1077" s="129">
        <f>VLOOKUP($C1077,'2021-22 School Level AAFTE'!$C:$Z,11,FALSE)</f>
        <v>0.48996666666666666</v>
      </c>
      <c r="F1077" s="129" t="str">
        <f>VLOOKUP($C1077,'2021-22 School Level AAFTE'!$C:$Z,8,FALSE)</f>
        <v>Yes</v>
      </c>
      <c r="G1077" s="129" t="str">
        <f>VLOOKUP($C1077,'2021-22 School Level AAFTE'!$C:$Z,12,FALSE)</f>
        <v>No</v>
      </c>
      <c r="H1077" s="127">
        <f>VLOOKUP($C1077,'2021-22 School Level AAFTE'!$C:$I,7,FALSE)</f>
        <v>290.92</v>
      </c>
      <c r="I1077" s="112">
        <f>IFERROR(IF(OR(G1077="yes",F1077= "yes"),VLOOKUP(C1077,Summary!$B:$J,6,0),0),0)</f>
        <v>0</v>
      </c>
      <c r="J1077" s="111">
        <f t="shared" si="204"/>
        <v>290.92</v>
      </c>
      <c r="K1077" s="91">
        <f>VLOOKUP($A1077,'2022-23 Salary &amp; Benefits'!$A:$I,3,FALSE)</f>
        <v>1</v>
      </c>
      <c r="L1077" s="91">
        <f>VLOOKUP($A1077,'2022-23 Salary &amp; Benefits'!$A:$I,4,FALSE)</f>
        <v>1</v>
      </c>
      <c r="M1077" s="101">
        <f t="shared" si="211"/>
        <v>290.92</v>
      </c>
      <c r="N1077" s="24">
        <v>15</v>
      </c>
      <c r="O1077" s="26">
        <f t="shared" si="202"/>
        <v>19.394666666666669</v>
      </c>
      <c r="P1077" s="24">
        <v>1.1000000000000001</v>
      </c>
      <c r="Q1077" s="24">
        <v>36</v>
      </c>
      <c r="R1077" s="27">
        <f t="shared" si="203"/>
        <v>768.02880000000016</v>
      </c>
      <c r="S1077" s="102">
        <f t="shared" si="205"/>
        <v>0.85299999999999998</v>
      </c>
      <c r="T1077" s="21">
        <f>VLOOKUP($A1077,'2022-23 Salary &amp; Benefits'!$A:$I,5,FALSE)</f>
        <v>68937</v>
      </c>
      <c r="U1077" s="21">
        <f>VLOOKUP($A1077,'2022-23 Salary &amp; Benefits'!$A:$I,6,FALSE)</f>
        <v>72728</v>
      </c>
      <c r="V1077" s="22">
        <f t="shared" si="206"/>
        <v>58803.26</v>
      </c>
      <c r="W1077" s="22">
        <f t="shared" si="207"/>
        <v>3233.7200000000012</v>
      </c>
      <c r="X1077" s="22">
        <f>'2022-23 Salary &amp; Benefits'!$G$6</f>
        <v>12558.24</v>
      </c>
      <c r="Y1077" s="23">
        <f>'2022-23 Salary &amp; Benefits'!$H$6</f>
        <v>0.2298</v>
      </c>
      <c r="Z1077" s="23">
        <f>'2022-23 Salary &amp; Benefits'!$I$6</f>
        <v>0.22339999999999999</v>
      </c>
      <c r="AA1077" s="22">
        <f t="shared" si="208"/>
        <v>24947.58</v>
      </c>
      <c r="AB1077" s="22">
        <f t="shared" si="209"/>
        <v>1033.95</v>
      </c>
      <c r="AC1077" s="22">
        <f t="shared" si="210"/>
        <v>230.98</v>
      </c>
      <c r="AD1077" s="22">
        <f t="shared" si="212"/>
        <v>1264.93</v>
      </c>
      <c r="AE1077" s="22">
        <f t="shared" si="213"/>
        <v>88249.489999999991</v>
      </c>
      <c r="AF1077" s="19" t="str">
        <f>VLOOKUP(C1077,'2021-22 School Level AAFTE'!C:N,12,FALSE)</f>
        <v>No</v>
      </c>
    </row>
    <row r="1078" spans="1:32" s="19" customFormat="1">
      <c r="A1078" s="97" t="s">
        <v>2491</v>
      </c>
      <c r="B1078" s="97" t="s">
        <v>1837</v>
      </c>
      <c r="C1078" s="95">
        <v>1858</v>
      </c>
      <c r="D1078" s="95" t="s">
        <v>1838</v>
      </c>
      <c r="E1078" s="129">
        <f>VLOOKUP($C1078,'2021-22 School Level AAFTE'!$C:$Z,11,FALSE)</f>
        <v>0.25409999999999999</v>
      </c>
      <c r="F1078" s="129" t="str">
        <f>VLOOKUP($C1078,'2021-22 School Level AAFTE'!$C:$Z,8,FALSE)</f>
        <v>No</v>
      </c>
      <c r="G1078" s="129" t="str">
        <f>VLOOKUP($C1078,'2021-22 School Level AAFTE'!$C:$Z,12,FALSE)</f>
        <v>No</v>
      </c>
      <c r="H1078" s="127">
        <f>VLOOKUP($C1078,'2021-22 School Level AAFTE'!$C:$I,7,FALSE)</f>
        <v>630.18000000000006</v>
      </c>
      <c r="I1078" s="112">
        <f>IFERROR(IF(OR(G1078="yes",F1078= "yes"),VLOOKUP(C1078,Summary!$B:$J,6,0),0),0)</f>
        <v>0</v>
      </c>
      <c r="J1078" s="111">
        <f t="shared" si="204"/>
        <v>0</v>
      </c>
      <c r="K1078" s="91">
        <f>VLOOKUP($A1078,'2022-23 Salary &amp; Benefits'!$A:$I,3,FALSE)</f>
        <v>1.03</v>
      </c>
      <c r="L1078" s="91">
        <f>VLOOKUP($A1078,'2022-23 Salary &amp; Benefits'!$A:$I,4,FALSE)</f>
        <v>1.03</v>
      </c>
      <c r="M1078" s="101">
        <f t="shared" si="211"/>
        <v>0</v>
      </c>
      <c r="N1078" s="24">
        <v>15</v>
      </c>
      <c r="O1078" s="26">
        <f t="shared" si="202"/>
        <v>0</v>
      </c>
      <c r="P1078" s="24">
        <v>1.1000000000000001</v>
      </c>
      <c r="Q1078" s="24">
        <v>36</v>
      </c>
      <c r="R1078" s="27">
        <f t="shared" si="203"/>
        <v>0</v>
      </c>
      <c r="S1078" s="102">
        <f t="shared" si="205"/>
        <v>0</v>
      </c>
      <c r="T1078" s="21">
        <f>VLOOKUP($A1078,'2022-23 Salary &amp; Benefits'!$A:$I,5,FALSE)</f>
        <v>68937</v>
      </c>
      <c r="U1078" s="21">
        <f>VLOOKUP($A1078,'2022-23 Salary &amp; Benefits'!$A:$I,6,FALSE)</f>
        <v>72728</v>
      </c>
      <c r="V1078" s="22">
        <f t="shared" si="206"/>
        <v>0</v>
      </c>
      <c r="W1078" s="22">
        <f t="shared" si="207"/>
        <v>0</v>
      </c>
      <c r="X1078" s="22">
        <f>'2022-23 Salary &amp; Benefits'!$G$6</f>
        <v>12558.24</v>
      </c>
      <c r="Y1078" s="23">
        <f>'2022-23 Salary &amp; Benefits'!$H$6</f>
        <v>0.2298</v>
      </c>
      <c r="Z1078" s="23">
        <f>'2022-23 Salary &amp; Benefits'!$I$6</f>
        <v>0.22339999999999999</v>
      </c>
      <c r="AA1078" s="22">
        <f t="shared" si="208"/>
        <v>0</v>
      </c>
      <c r="AB1078" s="22">
        <f t="shared" si="209"/>
        <v>0</v>
      </c>
      <c r="AC1078" s="22">
        <f t="shared" si="210"/>
        <v>0</v>
      </c>
      <c r="AD1078" s="22">
        <f t="shared" si="212"/>
        <v>0</v>
      </c>
      <c r="AE1078" s="22">
        <f t="shared" si="213"/>
        <v>0</v>
      </c>
      <c r="AF1078" s="19" t="str">
        <f>VLOOKUP(C1078,'2021-22 School Level AAFTE'!C:N,12,FALSE)</f>
        <v>No</v>
      </c>
    </row>
    <row r="1079" spans="1:32" s="19" customFormat="1">
      <c r="A1079" s="97" t="s">
        <v>2491</v>
      </c>
      <c r="B1079" s="97" t="s">
        <v>1837</v>
      </c>
      <c r="C1079" s="95">
        <v>2402</v>
      </c>
      <c r="D1079" s="95" t="s">
        <v>1839</v>
      </c>
      <c r="E1079" s="129">
        <f>VLOOKUP($C1079,'2021-22 School Level AAFTE'!$C:$Z,11,FALSE)</f>
        <v>0.22823333333333332</v>
      </c>
      <c r="F1079" s="129" t="str">
        <f>VLOOKUP($C1079,'2021-22 School Level AAFTE'!$C:$Z,8,FALSE)</f>
        <v>No</v>
      </c>
      <c r="G1079" s="129" t="str">
        <f>VLOOKUP($C1079,'2021-22 School Level AAFTE'!$C:$Z,12,FALSE)</f>
        <v>No</v>
      </c>
      <c r="H1079" s="127">
        <f>VLOOKUP($C1079,'2021-22 School Level AAFTE'!$C:$I,7,FALSE)</f>
        <v>1761.01</v>
      </c>
      <c r="I1079" s="112">
        <f>IFERROR(IF(OR(G1079="yes",F1079= "yes"),VLOOKUP(C1079,Summary!$B:$J,6,0),0),0)</f>
        <v>0</v>
      </c>
      <c r="J1079" s="111">
        <f t="shared" si="204"/>
        <v>0</v>
      </c>
      <c r="K1079" s="91">
        <f>VLOOKUP($A1079,'2022-23 Salary &amp; Benefits'!$A:$I,3,FALSE)</f>
        <v>1.03</v>
      </c>
      <c r="L1079" s="91">
        <f>VLOOKUP($A1079,'2022-23 Salary &amp; Benefits'!$A:$I,4,FALSE)</f>
        <v>1.03</v>
      </c>
      <c r="M1079" s="39">
        <f t="shared" si="211"/>
        <v>0</v>
      </c>
      <c r="N1079" s="24">
        <v>15</v>
      </c>
      <c r="O1079" s="26">
        <f t="shared" si="202"/>
        <v>0</v>
      </c>
      <c r="P1079" s="24">
        <v>1.1000000000000001</v>
      </c>
      <c r="Q1079" s="24">
        <v>36</v>
      </c>
      <c r="R1079" s="27">
        <f t="shared" si="203"/>
        <v>0</v>
      </c>
      <c r="S1079" s="102">
        <f t="shared" si="205"/>
        <v>0</v>
      </c>
      <c r="T1079" s="21">
        <f>VLOOKUP($A1079,'2022-23 Salary &amp; Benefits'!$A:$I,5,FALSE)</f>
        <v>68937</v>
      </c>
      <c r="U1079" s="21">
        <f>VLOOKUP($A1079,'2022-23 Salary &amp; Benefits'!$A:$I,6,FALSE)</f>
        <v>72728</v>
      </c>
      <c r="V1079" s="22">
        <f t="shared" si="206"/>
        <v>0</v>
      </c>
      <c r="W1079" s="22">
        <f t="shared" si="207"/>
        <v>0</v>
      </c>
      <c r="X1079" s="22">
        <f>'2022-23 Salary &amp; Benefits'!$G$6</f>
        <v>12558.24</v>
      </c>
      <c r="Y1079" s="23">
        <f>'2022-23 Salary &amp; Benefits'!$H$6</f>
        <v>0.2298</v>
      </c>
      <c r="Z1079" s="23">
        <f>'2022-23 Salary &amp; Benefits'!$I$6</f>
        <v>0.22339999999999999</v>
      </c>
      <c r="AA1079" s="22">
        <f t="shared" si="208"/>
        <v>0</v>
      </c>
      <c r="AB1079" s="22">
        <f t="shared" si="209"/>
        <v>0</v>
      </c>
      <c r="AC1079" s="22">
        <f t="shared" si="210"/>
        <v>0</v>
      </c>
      <c r="AD1079" s="22">
        <f t="shared" si="212"/>
        <v>0</v>
      </c>
      <c r="AE1079" s="22">
        <f t="shared" si="213"/>
        <v>0</v>
      </c>
      <c r="AF1079" s="19" t="str">
        <f>VLOOKUP(C1079,'2021-22 School Level AAFTE'!C:N,12,FALSE)</f>
        <v>No</v>
      </c>
    </row>
    <row r="1080" spans="1:32" s="19" customFormat="1">
      <c r="A1080" s="97" t="s">
        <v>2491</v>
      </c>
      <c r="B1080" s="97" t="s">
        <v>1837</v>
      </c>
      <c r="C1080" s="95">
        <v>3191</v>
      </c>
      <c r="D1080" s="95" t="s">
        <v>1840</v>
      </c>
      <c r="E1080" s="129">
        <f>VLOOKUP($C1080,'2021-22 School Level AAFTE'!$C:$Z,11,FALSE)</f>
        <v>0.31929999999999997</v>
      </c>
      <c r="F1080" s="129" t="str">
        <f>VLOOKUP($C1080,'2021-22 School Level AAFTE'!$C:$Z,8,FALSE)</f>
        <v>No</v>
      </c>
      <c r="G1080" s="129" t="str">
        <f>VLOOKUP($C1080,'2021-22 School Level AAFTE'!$C:$Z,12,FALSE)</f>
        <v>No</v>
      </c>
      <c r="H1080" s="127">
        <f>VLOOKUP($C1080,'2021-22 School Level AAFTE'!$C:$I,7,FALSE)</f>
        <v>755.12</v>
      </c>
      <c r="I1080" s="112">
        <f>IFERROR(IF(OR(G1080="yes",F1080= "yes"),VLOOKUP(C1080,Summary!$B:$J,6,0),0),0)</f>
        <v>0</v>
      </c>
      <c r="J1080" s="111">
        <f t="shared" si="204"/>
        <v>0</v>
      </c>
      <c r="K1080" s="91">
        <f>VLOOKUP($A1080,'2022-23 Salary &amp; Benefits'!$A:$I,3,FALSE)</f>
        <v>1.03</v>
      </c>
      <c r="L1080" s="91">
        <f>VLOOKUP($A1080,'2022-23 Salary &amp; Benefits'!$A:$I,4,FALSE)</f>
        <v>1.03</v>
      </c>
      <c r="M1080" s="39">
        <f t="shared" si="211"/>
        <v>0</v>
      </c>
      <c r="N1080" s="24">
        <v>15</v>
      </c>
      <c r="O1080" s="26">
        <f t="shared" si="202"/>
        <v>0</v>
      </c>
      <c r="P1080" s="24">
        <v>1.1000000000000001</v>
      </c>
      <c r="Q1080" s="24">
        <v>36</v>
      </c>
      <c r="R1080" s="27">
        <f t="shared" si="203"/>
        <v>0</v>
      </c>
      <c r="S1080" s="102">
        <f t="shared" si="205"/>
        <v>0</v>
      </c>
      <c r="T1080" s="21">
        <f>VLOOKUP($A1080,'2022-23 Salary &amp; Benefits'!$A:$I,5,FALSE)</f>
        <v>68937</v>
      </c>
      <c r="U1080" s="21">
        <f>VLOOKUP($A1080,'2022-23 Salary &amp; Benefits'!$A:$I,6,FALSE)</f>
        <v>72728</v>
      </c>
      <c r="V1080" s="22">
        <f t="shared" si="206"/>
        <v>0</v>
      </c>
      <c r="W1080" s="22">
        <f t="shared" si="207"/>
        <v>0</v>
      </c>
      <c r="X1080" s="22">
        <f>'2022-23 Salary &amp; Benefits'!$G$6</f>
        <v>12558.24</v>
      </c>
      <c r="Y1080" s="23">
        <f>'2022-23 Salary &amp; Benefits'!$H$6</f>
        <v>0.2298</v>
      </c>
      <c r="Z1080" s="23">
        <f>'2022-23 Salary &amp; Benefits'!$I$6</f>
        <v>0.22339999999999999</v>
      </c>
      <c r="AA1080" s="22">
        <f t="shared" si="208"/>
        <v>0</v>
      </c>
      <c r="AB1080" s="22">
        <f t="shared" si="209"/>
        <v>0</v>
      </c>
      <c r="AC1080" s="22">
        <f t="shared" si="210"/>
        <v>0</v>
      </c>
      <c r="AD1080" s="22">
        <f t="shared" si="212"/>
        <v>0</v>
      </c>
      <c r="AE1080" s="22">
        <f t="shared" si="213"/>
        <v>0</v>
      </c>
      <c r="AF1080" s="19" t="str">
        <f>VLOOKUP(C1080,'2021-22 School Level AAFTE'!C:N,12,FALSE)</f>
        <v>No</v>
      </c>
    </row>
    <row r="1081" spans="1:32" s="19" customFormat="1">
      <c r="A1081" s="97" t="s">
        <v>2491</v>
      </c>
      <c r="B1081" s="97" t="s">
        <v>1837</v>
      </c>
      <c r="C1081" s="95">
        <v>3414</v>
      </c>
      <c r="D1081" s="95" t="s">
        <v>1209</v>
      </c>
      <c r="E1081" s="129">
        <f>VLOOKUP($C1081,'2021-22 School Level AAFTE'!$C:$Z,11,FALSE)</f>
        <v>0.39860000000000001</v>
      </c>
      <c r="F1081" s="129" t="str">
        <f>VLOOKUP($C1081,'2021-22 School Level AAFTE'!$C:$Z,8,FALSE)</f>
        <v>No</v>
      </c>
      <c r="G1081" s="129" t="str">
        <f>VLOOKUP($C1081,'2021-22 School Level AAFTE'!$C:$Z,12,FALSE)</f>
        <v>No</v>
      </c>
      <c r="H1081" s="127">
        <f>VLOOKUP($C1081,'2021-22 School Level AAFTE'!$C:$I,7,FALSE)</f>
        <v>482.14</v>
      </c>
      <c r="I1081" s="112">
        <f>IFERROR(IF(OR(G1081="yes",F1081= "yes"),VLOOKUP(C1081,Summary!$B:$J,6,0),0),0)</f>
        <v>0</v>
      </c>
      <c r="J1081" s="111">
        <f t="shared" si="204"/>
        <v>0</v>
      </c>
      <c r="K1081" s="91">
        <f>VLOOKUP($A1081,'2022-23 Salary &amp; Benefits'!$A:$I,3,FALSE)</f>
        <v>1.03</v>
      </c>
      <c r="L1081" s="91">
        <f>VLOOKUP($A1081,'2022-23 Salary &amp; Benefits'!$A:$I,4,FALSE)</f>
        <v>1.03</v>
      </c>
      <c r="M1081" s="101">
        <f t="shared" si="211"/>
        <v>0</v>
      </c>
      <c r="N1081" s="24">
        <v>15</v>
      </c>
      <c r="O1081" s="26">
        <f t="shared" si="202"/>
        <v>0</v>
      </c>
      <c r="P1081" s="24">
        <v>1.1000000000000001</v>
      </c>
      <c r="Q1081" s="24">
        <v>36</v>
      </c>
      <c r="R1081" s="27">
        <f t="shared" si="203"/>
        <v>0</v>
      </c>
      <c r="S1081" s="102">
        <f t="shared" si="205"/>
        <v>0</v>
      </c>
      <c r="T1081" s="21">
        <f>VLOOKUP($A1081,'2022-23 Salary &amp; Benefits'!$A:$I,5,FALSE)</f>
        <v>68937</v>
      </c>
      <c r="U1081" s="21">
        <f>VLOOKUP($A1081,'2022-23 Salary &amp; Benefits'!$A:$I,6,FALSE)</f>
        <v>72728</v>
      </c>
      <c r="V1081" s="22">
        <f t="shared" si="206"/>
        <v>0</v>
      </c>
      <c r="W1081" s="22">
        <f t="shared" si="207"/>
        <v>0</v>
      </c>
      <c r="X1081" s="22">
        <f>'2022-23 Salary &amp; Benefits'!$G$6</f>
        <v>12558.24</v>
      </c>
      <c r="Y1081" s="23">
        <f>'2022-23 Salary &amp; Benefits'!$H$6</f>
        <v>0.2298</v>
      </c>
      <c r="Z1081" s="23">
        <f>'2022-23 Salary &amp; Benefits'!$I$6</f>
        <v>0.22339999999999999</v>
      </c>
      <c r="AA1081" s="22">
        <f t="shared" si="208"/>
        <v>0</v>
      </c>
      <c r="AB1081" s="22">
        <f t="shared" si="209"/>
        <v>0</v>
      </c>
      <c r="AC1081" s="22">
        <f t="shared" si="210"/>
        <v>0</v>
      </c>
      <c r="AD1081" s="22">
        <f t="shared" si="212"/>
        <v>0</v>
      </c>
      <c r="AE1081" s="22">
        <f t="shared" si="213"/>
        <v>0</v>
      </c>
      <c r="AF1081" s="19" t="str">
        <f>VLOOKUP(C1081,'2021-22 School Level AAFTE'!C:N,12,FALSE)</f>
        <v>No</v>
      </c>
    </row>
    <row r="1082" spans="1:32" s="19" customFormat="1">
      <c r="A1082" s="97" t="s">
        <v>2491</v>
      </c>
      <c r="B1082" s="97" t="s">
        <v>1837</v>
      </c>
      <c r="C1082" s="95">
        <v>3562</v>
      </c>
      <c r="D1082" s="95" t="s">
        <v>1841</v>
      </c>
      <c r="E1082" s="129">
        <f>VLOOKUP($C1082,'2021-22 School Level AAFTE'!$C:$Z,11,FALSE)</f>
        <v>0.18933333333333333</v>
      </c>
      <c r="F1082" s="129" t="str">
        <f>VLOOKUP($C1082,'2021-22 School Level AAFTE'!$C:$Z,8,FALSE)</f>
        <v>No</v>
      </c>
      <c r="G1082" s="129" t="str">
        <f>VLOOKUP($C1082,'2021-22 School Level AAFTE'!$C:$Z,12,FALSE)</f>
        <v>No</v>
      </c>
      <c r="H1082" s="127">
        <f>VLOOKUP($C1082,'2021-22 School Level AAFTE'!$C:$I,7,FALSE)</f>
        <v>426.86</v>
      </c>
      <c r="I1082" s="112">
        <f>IFERROR(IF(OR(G1082="yes",F1082= "yes"),VLOOKUP(C1082,Summary!$B:$J,6,0),0),0)</f>
        <v>0</v>
      </c>
      <c r="J1082" s="111">
        <f t="shared" si="204"/>
        <v>0</v>
      </c>
      <c r="K1082" s="91">
        <f>VLOOKUP($A1082,'2022-23 Salary &amp; Benefits'!$A:$I,3,FALSE)</f>
        <v>1.03</v>
      </c>
      <c r="L1082" s="91">
        <f>VLOOKUP($A1082,'2022-23 Salary &amp; Benefits'!$A:$I,4,FALSE)</f>
        <v>1.03</v>
      </c>
      <c r="M1082" s="101">
        <f t="shared" si="211"/>
        <v>0</v>
      </c>
      <c r="N1082" s="24">
        <v>15</v>
      </c>
      <c r="O1082" s="26">
        <f t="shared" si="202"/>
        <v>0</v>
      </c>
      <c r="P1082" s="24">
        <v>1.1000000000000001</v>
      </c>
      <c r="Q1082" s="24">
        <v>36</v>
      </c>
      <c r="R1082" s="27">
        <f t="shared" si="203"/>
        <v>0</v>
      </c>
      <c r="S1082" s="102">
        <f t="shared" si="205"/>
        <v>0</v>
      </c>
      <c r="T1082" s="21">
        <f>VLOOKUP($A1082,'2022-23 Salary &amp; Benefits'!$A:$I,5,FALSE)</f>
        <v>68937</v>
      </c>
      <c r="U1082" s="21">
        <f>VLOOKUP($A1082,'2022-23 Salary &amp; Benefits'!$A:$I,6,FALSE)</f>
        <v>72728</v>
      </c>
      <c r="V1082" s="22">
        <f t="shared" si="206"/>
        <v>0</v>
      </c>
      <c r="W1082" s="22">
        <f t="shared" si="207"/>
        <v>0</v>
      </c>
      <c r="X1082" s="22">
        <f>'2022-23 Salary &amp; Benefits'!$G$6</f>
        <v>12558.24</v>
      </c>
      <c r="Y1082" s="23">
        <f>'2022-23 Salary &amp; Benefits'!$H$6</f>
        <v>0.2298</v>
      </c>
      <c r="Z1082" s="23">
        <f>'2022-23 Salary &amp; Benefits'!$I$6</f>
        <v>0.22339999999999999</v>
      </c>
      <c r="AA1082" s="22">
        <f t="shared" si="208"/>
        <v>0</v>
      </c>
      <c r="AB1082" s="22">
        <f t="shared" si="209"/>
        <v>0</v>
      </c>
      <c r="AC1082" s="22">
        <f t="shared" si="210"/>
        <v>0</v>
      </c>
      <c r="AD1082" s="22">
        <f t="shared" si="212"/>
        <v>0</v>
      </c>
      <c r="AE1082" s="22">
        <f t="shared" si="213"/>
        <v>0</v>
      </c>
      <c r="AF1082" s="19" t="str">
        <f>VLOOKUP(C1082,'2021-22 School Level AAFTE'!C:N,12,FALSE)</f>
        <v>No</v>
      </c>
    </row>
    <row r="1083" spans="1:32" s="19" customFormat="1">
      <c r="A1083" s="97" t="s">
        <v>2491</v>
      </c>
      <c r="B1083" s="97" t="s">
        <v>1837</v>
      </c>
      <c r="C1083" s="95">
        <v>3693</v>
      </c>
      <c r="D1083" s="95" t="s">
        <v>1842</v>
      </c>
      <c r="E1083" s="129">
        <f>VLOOKUP($C1083,'2021-22 School Level AAFTE'!$C:$Z,11,FALSE)</f>
        <v>0.28583333333333333</v>
      </c>
      <c r="F1083" s="129" t="str">
        <f>VLOOKUP($C1083,'2021-22 School Level AAFTE'!$C:$Z,8,FALSE)</f>
        <v>No</v>
      </c>
      <c r="G1083" s="129" t="str">
        <f>VLOOKUP($C1083,'2021-22 School Level AAFTE'!$C:$Z,12,FALSE)</f>
        <v>No</v>
      </c>
      <c r="H1083" s="127">
        <f>VLOOKUP($C1083,'2021-22 School Level AAFTE'!$C:$I,7,FALSE)</f>
        <v>474.63</v>
      </c>
      <c r="I1083" s="112">
        <f>IFERROR(IF(OR(G1083="yes",F1083= "yes"),VLOOKUP(C1083,Summary!$B:$J,6,0),0),0)</f>
        <v>0</v>
      </c>
      <c r="J1083" s="111">
        <f t="shared" si="204"/>
        <v>0</v>
      </c>
      <c r="K1083" s="91">
        <f>VLOOKUP($A1083,'2022-23 Salary &amp; Benefits'!$A:$I,3,FALSE)</f>
        <v>1.03</v>
      </c>
      <c r="L1083" s="91">
        <f>VLOOKUP($A1083,'2022-23 Salary &amp; Benefits'!$A:$I,4,FALSE)</f>
        <v>1.03</v>
      </c>
      <c r="M1083" s="101">
        <f t="shared" si="211"/>
        <v>0</v>
      </c>
      <c r="N1083" s="24">
        <v>15</v>
      </c>
      <c r="O1083" s="26">
        <f t="shared" si="202"/>
        <v>0</v>
      </c>
      <c r="P1083" s="24">
        <v>1.1000000000000001</v>
      </c>
      <c r="Q1083" s="24">
        <v>36</v>
      </c>
      <c r="R1083" s="27">
        <f t="shared" si="203"/>
        <v>0</v>
      </c>
      <c r="S1083" s="102">
        <f t="shared" si="205"/>
        <v>0</v>
      </c>
      <c r="T1083" s="21">
        <f>VLOOKUP($A1083,'2022-23 Salary &amp; Benefits'!$A:$I,5,FALSE)</f>
        <v>68937</v>
      </c>
      <c r="U1083" s="21">
        <f>VLOOKUP($A1083,'2022-23 Salary &amp; Benefits'!$A:$I,6,FALSE)</f>
        <v>72728</v>
      </c>
      <c r="V1083" s="22">
        <f t="shared" si="206"/>
        <v>0</v>
      </c>
      <c r="W1083" s="22">
        <f t="shared" si="207"/>
        <v>0</v>
      </c>
      <c r="X1083" s="22">
        <f>'2022-23 Salary &amp; Benefits'!$G$6</f>
        <v>12558.24</v>
      </c>
      <c r="Y1083" s="23">
        <f>'2022-23 Salary &amp; Benefits'!$H$6</f>
        <v>0.2298</v>
      </c>
      <c r="Z1083" s="23">
        <f>'2022-23 Salary &amp; Benefits'!$I$6</f>
        <v>0.22339999999999999</v>
      </c>
      <c r="AA1083" s="22">
        <f t="shared" si="208"/>
        <v>0</v>
      </c>
      <c r="AB1083" s="22">
        <f t="shared" si="209"/>
        <v>0</v>
      </c>
      <c r="AC1083" s="22">
        <f t="shared" si="210"/>
        <v>0</v>
      </c>
      <c r="AD1083" s="22">
        <f t="shared" si="212"/>
        <v>0</v>
      </c>
      <c r="AE1083" s="22">
        <f t="shared" si="213"/>
        <v>0</v>
      </c>
      <c r="AF1083" s="19" t="str">
        <f>VLOOKUP(C1083,'2021-22 School Level AAFTE'!C:N,12,FALSE)</f>
        <v>No</v>
      </c>
    </row>
    <row r="1084" spans="1:32" s="19" customFormat="1">
      <c r="A1084" s="97" t="s">
        <v>2491</v>
      </c>
      <c r="B1084" s="97" t="s">
        <v>1837</v>
      </c>
      <c r="C1084" s="95">
        <v>3759</v>
      </c>
      <c r="D1084" s="95" t="s">
        <v>1843</v>
      </c>
      <c r="E1084" s="129">
        <f>VLOOKUP($C1084,'2021-22 School Level AAFTE'!$C:$Z,11,FALSE)</f>
        <v>0.30396666666666666</v>
      </c>
      <c r="F1084" s="129" t="str">
        <f>VLOOKUP($C1084,'2021-22 School Level AAFTE'!$C:$Z,8,FALSE)</f>
        <v>No</v>
      </c>
      <c r="G1084" s="129" t="str">
        <f>VLOOKUP($C1084,'2021-22 School Level AAFTE'!$C:$Z,12,FALSE)</f>
        <v>No</v>
      </c>
      <c r="H1084" s="127">
        <f>VLOOKUP($C1084,'2021-22 School Level AAFTE'!$C:$I,7,FALSE)</f>
        <v>434</v>
      </c>
      <c r="I1084" s="112">
        <f>IFERROR(IF(OR(G1084="yes",F1084= "yes"),VLOOKUP(C1084,Summary!$B:$J,6,0),0),0)</f>
        <v>0</v>
      </c>
      <c r="J1084" s="111">
        <f t="shared" si="204"/>
        <v>0</v>
      </c>
      <c r="K1084" s="91">
        <f>VLOOKUP($A1084,'2022-23 Salary &amp; Benefits'!$A:$I,3,FALSE)</f>
        <v>1.03</v>
      </c>
      <c r="L1084" s="91">
        <f>VLOOKUP($A1084,'2022-23 Salary &amp; Benefits'!$A:$I,4,FALSE)</f>
        <v>1.03</v>
      </c>
      <c r="M1084" s="101">
        <f t="shared" si="211"/>
        <v>0</v>
      </c>
      <c r="N1084" s="24">
        <v>15</v>
      </c>
      <c r="O1084" s="26">
        <f t="shared" si="202"/>
        <v>0</v>
      </c>
      <c r="P1084" s="24">
        <v>1.1000000000000001</v>
      </c>
      <c r="Q1084" s="24">
        <v>36</v>
      </c>
      <c r="R1084" s="27">
        <f t="shared" si="203"/>
        <v>0</v>
      </c>
      <c r="S1084" s="102">
        <f t="shared" si="205"/>
        <v>0</v>
      </c>
      <c r="T1084" s="21">
        <f>VLOOKUP($A1084,'2022-23 Salary &amp; Benefits'!$A:$I,5,FALSE)</f>
        <v>68937</v>
      </c>
      <c r="U1084" s="21">
        <f>VLOOKUP($A1084,'2022-23 Salary &amp; Benefits'!$A:$I,6,FALSE)</f>
        <v>72728</v>
      </c>
      <c r="V1084" s="22">
        <f t="shared" si="206"/>
        <v>0</v>
      </c>
      <c r="W1084" s="22">
        <f t="shared" si="207"/>
        <v>0</v>
      </c>
      <c r="X1084" s="22">
        <f>'2022-23 Salary &amp; Benefits'!$G$6</f>
        <v>12558.24</v>
      </c>
      <c r="Y1084" s="23">
        <f>'2022-23 Salary &amp; Benefits'!$H$6</f>
        <v>0.2298</v>
      </c>
      <c r="Z1084" s="23">
        <f>'2022-23 Salary &amp; Benefits'!$I$6</f>
        <v>0.22339999999999999</v>
      </c>
      <c r="AA1084" s="22">
        <f t="shared" si="208"/>
        <v>0</v>
      </c>
      <c r="AB1084" s="22">
        <f t="shared" si="209"/>
        <v>0</v>
      </c>
      <c r="AC1084" s="22">
        <f t="shared" si="210"/>
        <v>0</v>
      </c>
      <c r="AD1084" s="22">
        <f t="shared" si="212"/>
        <v>0</v>
      </c>
      <c r="AE1084" s="22">
        <f t="shared" si="213"/>
        <v>0</v>
      </c>
      <c r="AF1084" s="19" t="str">
        <f>VLOOKUP(C1084,'2021-22 School Level AAFTE'!C:N,12,FALSE)</f>
        <v>No</v>
      </c>
    </row>
    <row r="1085" spans="1:32" s="19" customFormat="1">
      <c r="A1085" s="97" t="s">
        <v>2491</v>
      </c>
      <c r="B1085" s="97" t="s">
        <v>1837</v>
      </c>
      <c r="C1085" s="95">
        <v>3851</v>
      </c>
      <c r="D1085" s="95" t="s">
        <v>970</v>
      </c>
      <c r="E1085" s="129">
        <f>VLOOKUP($C1085,'2021-22 School Level AAFTE'!$C:$Z,11,FALSE)</f>
        <v>0.23820000000000005</v>
      </c>
      <c r="F1085" s="129" t="str">
        <f>VLOOKUP($C1085,'2021-22 School Level AAFTE'!$C:$Z,8,FALSE)</f>
        <v>No</v>
      </c>
      <c r="G1085" s="129" t="str">
        <f>VLOOKUP($C1085,'2021-22 School Level AAFTE'!$C:$Z,12,FALSE)</f>
        <v>No</v>
      </c>
      <c r="H1085" s="127">
        <f>VLOOKUP($C1085,'2021-22 School Level AAFTE'!$C:$I,7,FALSE)</f>
        <v>785.41</v>
      </c>
      <c r="I1085" s="112">
        <f>IFERROR(IF(OR(G1085="yes",F1085= "yes"),VLOOKUP(C1085,Summary!$B:$J,6,0),0),0)</f>
        <v>0</v>
      </c>
      <c r="J1085" s="111">
        <f t="shared" si="204"/>
        <v>0</v>
      </c>
      <c r="K1085" s="91">
        <f>VLOOKUP($A1085,'2022-23 Salary &amp; Benefits'!$A:$I,3,FALSE)</f>
        <v>1.03</v>
      </c>
      <c r="L1085" s="91">
        <f>VLOOKUP($A1085,'2022-23 Salary &amp; Benefits'!$A:$I,4,FALSE)</f>
        <v>1.03</v>
      </c>
      <c r="M1085" s="101">
        <f t="shared" si="211"/>
        <v>0</v>
      </c>
      <c r="N1085" s="24">
        <v>15</v>
      </c>
      <c r="O1085" s="26">
        <f t="shared" si="202"/>
        <v>0</v>
      </c>
      <c r="P1085" s="24">
        <v>1.1000000000000001</v>
      </c>
      <c r="Q1085" s="24">
        <v>36</v>
      </c>
      <c r="R1085" s="27">
        <f t="shared" si="203"/>
        <v>0</v>
      </c>
      <c r="S1085" s="102">
        <f t="shared" si="205"/>
        <v>0</v>
      </c>
      <c r="T1085" s="21">
        <f>VLOOKUP($A1085,'2022-23 Salary &amp; Benefits'!$A:$I,5,FALSE)</f>
        <v>68937</v>
      </c>
      <c r="U1085" s="21">
        <f>VLOOKUP($A1085,'2022-23 Salary &amp; Benefits'!$A:$I,6,FALSE)</f>
        <v>72728</v>
      </c>
      <c r="V1085" s="22">
        <f t="shared" si="206"/>
        <v>0</v>
      </c>
      <c r="W1085" s="22">
        <f t="shared" si="207"/>
        <v>0</v>
      </c>
      <c r="X1085" s="22">
        <f>'2022-23 Salary &amp; Benefits'!$G$6</f>
        <v>12558.24</v>
      </c>
      <c r="Y1085" s="23">
        <f>'2022-23 Salary &amp; Benefits'!$H$6</f>
        <v>0.2298</v>
      </c>
      <c r="Z1085" s="23">
        <f>'2022-23 Salary &amp; Benefits'!$I$6</f>
        <v>0.22339999999999999</v>
      </c>
      <c r="AA1085" s="22">
        <f t="shared" si="208"/>
        <v>0</v>
      </c>
      <c r="AB1085" s="22">
        <f t="shared" si="209"/>
        <v>0</v>
      </c>
      <c r="AC1085" s="22">
        <f t="shared" si="210"/>
        <v>0</v>
      </c>
      <c r="AD1085" s="22">
        <f t="shared" si="212"/>
        <v>0</v>
      </c>
      <c r="AE1085" s="22">
        <f t="shared" si="213"/>
        <v>0</v>
      </c>
      <c r="AF1085" s="19" t="str">
        <f>VLOOKUP(C1085,'2021-22 School Level AAFTE'!C:N,12,FALSE)</f>
        <v>No</v>
      </c>
    </row>
    <row r="1086" spans="1:32" s="19" customFormat="1">
      <c r="A1086" s="97" t="s">
        <v>2491</v>
      </c>
      <c r="B1086" s="97" t="s">
        <v>1837</v>
      </c>
      <c r="C1086" s="95">
        <v>4133</v>
      </c>
      <c r="D1086" s="95" t="s">
        <v>440</v>
      </c>
      <c r="E1086" s="129">
        <f>VLOOKUP($C1086,'2021-22 School Level AAFTE'!$C:$Z,11,FALSE)</f>
        <v>0.14940000000000001</v>
      </c>
      <c r="F1086" s="129" t="str">
        <f>VLOOKUP($C1086,'2021-22 School Level AAFTE'!$C:$Z,8,FALSE)</f>
        <v>No</v>
      </c>
      <c r="G1086" s="129" t="str">
        <f>VLOOKUP($C1086,'2021-22 School Level AAFTE'!$C:$Z,12,FALSE)</f>
        <v>No</v>
      </c>
      <c r="H1086" s="127">
        <f>VLOOKUP($C1086,'2021-22 School Level AAFTE'!$C:$I,7,FALSE)</f>
        <v>423.71</v>
      </c>
      <c r="I1086" s="112">
        <f>IFERROR(IF(OR(G1086="yes",F1086= "yes"),VLOOKUP(C1086,Summary!$B:$J,6,0),0),0)</f>
        <v>0</v>
      </c>
      <c r="J1086" s="111">
        <f t="shared" si="204"/>
        <v>0</v>
      </c>
      <c r="K1086" s="91">
        <f>VLOOKUP($A1086,'2022-23 Salary &amp; Benefits'!$A:$I,3,FALSE)</f>
        <v>1.03</v>
      </c>
      <c r="L1086" s="91">
        <f>VLOOKUP($A1086,'2022-23 Salary &amp; Benefits'!$A:$I,4,FALSE)</f>
        <v>1.03</v>
      </c>
      <c r="M1086" s="39">
        <f t="shared" si="211"/>
        <v>0</v>
      </c>
      <c r="N1086" s="24">
        <v>15</v>
      </c>
      <c r="O1086" s="26">
        <f t="shared" si="202"/>
        <v>0</v>
      </c>
      <c r="P1086" s="24">
        <v>1.1000000000000001</v>
      </c>
      <c r="Q1086" s="24">
        <v>36</v>
      </c>
      <c r="R1086" s="27">
        <f t="shared" si="203"/>
        <v>0</v>
      </c>
      <c r="S1086" s="102">
        <f t="shared" si="205"/>
        <v>0</v>
      </c>
      <c r="T1086" s="21">
        <f>VLOOKUP($A1086,'2022-23 Salary &amp; Benefits'!$A:$I,5,FALSE)</f>
        <v>68937</v>
      </c>
      <c r="U1086" s="21">
        <f>VLOOKUP($A1086,'2022-23 Salary &amp; Benefits'!$A:$I,6,FALSE)</f>
        <v>72728</v>
      </c>
      <c r="V1086" s="22">
        <f t="shared" si="206"/>
        <v>0</v>
      </c>
      <c r="W1086" s="22">
        <f t="shared" si="207"/>
        <v>0</v>
      </c>
      <c r="X1086" s="22">
        <f>'2022-23 Salary &amp; Benefits'!$G$6</f>
        <v>12558.24</v>
      </c>
      <c r="Y1086" s="23">
        <f>'2022-23 Salary &amp; Benefits'!$H$6</f>
        <v>0.2298</v>
      </c>
      <c r="Z1086" s="23">
        <f>'2022-23 Salary &amp; Benefits'!$I$6</f>
        <v>0.22339999999999999</v>
      </c>
      <c r="AA1086" s="22">
        <f t="shared" si="208"/>
        <v>0</v>
      </c>
      <c r="AB1086" s="22">
        <f t="shared" si="209"/>
        <v>0</v>
      </c>
      <c r="AC1086" s="22">
        <f t="shared" si="210"/>
        <v>0</v>
      </c>
      <c r="AD1086" s="22">
        <f t="shared" si="212"/>
        <v>0</v>
      </c>
      <c r="AE1086" s="22">
        <f t="shared" si="213"/>
        <v>0</v>
      </c>
      <c r="AF1086" s="19" t="str">
        <f>VLOOKUP(C1086,'2021-22 School Level AAFTE'!C:N,12,FALSE)</f>
        <v>No</v>
      </c>
    </row>
    <row r="1087" spans="1:32" s="19" customFormat="1">
      <c r="A1087" s="97" t="s">
        <v>2491</v>
      </c>
      <c r="B1087" s="97" t="s">
        <v>1837</v>
      </c>
      <c r="C1087" s="95">
        <v>4134</v>
      </c>
      <c r="D1087" s="95" t="s">
        <v>1844</v>
      </c>
      <c r="E1087" s="129">
        <f>VLOOKUP($C1087,'2021-22 School Level AAFTE'!$C:$Z,11,FALSE)</f>
        <v>0.60716666666666663</v>
      </c>
      <c r="F1087" s="129" t="str">
        <f>VLOOKUP($C1087,'2021-22 School Level AAFTE'!$C:$Z,8,FALSE)</f>
        <v>Yes</v>
      </c>
      <c r="G1087" s="129" t="str">
        <f>VLOOKUP($C1087,'2021-22 School Level AAFTE'!$C:$Z,12,FALSE)</f>
        <v>No</v>
      </c>
      <c r="H1087" s="127">
        <f>VLOOKUP($C1087,'2021-22 School Level AAFTE'!$C:$I,7,FALSE)</f>
        <v>365.14</v>
      </c>
      <c r="I1087" s="112">
        <f>IFERROR(IF(OR(G1087="yes",F1087= "yes"),VLOOKUP(C1087,Summary!$B:$J,6,0),0),0)</f>
        <v>0</v>
      </c>
      <c r="J1087" s="111">
        <f t="shared" si="204"/>
        <v>365.14</v>
      </c>
      <c r="K1087" s="91">
        <f>VLOOKUP($A1087,'2022-23 Salary &amp; Benefits'!$A:$I,3,FALSE)</f>
        <v>1.03</v>
      </c>
      <c r="L1087" s="91">
        <f>VLOOKUP($A1087,'2022-23 Salary &amp; Benefits'!$A:$I,4,FALSE)</f>
        <v>1.03</v>
      </c>
      <c r="M1087" s="39">
        <f t="shared" si="211"/>
        <v>365.14</v>
      </c>
      <c r="N1087" s="24">
        <v>15</v>
      </c>
      <c r="O1087" s="26">
        <f t="shared" si="202"/>
        <v>24.342666666666666</v>
      </c>
      <c r="P1087" s="24">
        <v>1.1000000000000001</v>
      </c>
      <c r="Q1087" s="24">
        <v>36</v>
      </c>
      <c r="R1087" s="27">
        <f t="shared" si="203"/>
        <v>963.96960000000013</v>
      </c>
      <c r="S1087" s="102">
        <f t="shared" si="205"/>
        <v>1.071</v>
      </c>
      <c r="T1087" s="21">
        <f>VLOOKUP($A1087,'2022-23 Salary &amp; Benefits'!$A:$I,5,FALSE)</f>
        <v>68937</v>
      </c>
      <c r="U1087" s="21">
        <f>VLOOKUP($A1087,'2022-23 Salary &amp; Benefits'!$A:$I,6,FALSE)</f>
        <v>72728</v>
      </c>
      <c r="V1087" s="22">
        <f t="shared" si="206"/>
        <v>76046.47</v>
      </c>
      <c r="W1087" s="22">
        <f t="shared" si="207"/>
        <v>4181.9700000000012</v>
      </c>
      <c r="X1087" s="22">
        <f>'2022-23 Salary &amp; Benefits'!$G$6</f>
        <v>12558.24</v>
      </c>
      <c r="Y1087" s="23">
        <f>'2022-23 Salary &amp; Benefits'!$H$6</f>
        <v>0.2298</v>
      </c>
      <c r="Z1087" s="23">
        <f>'2022-23 Salary &amp; Benefits'!$I$6</f>
        <v>0.22339999999999999</v>
      </c>
      <c r="AA1087" s="22">
        <f t="shared" si="208"/>
        <v>31859.61</v>
      </c>
      <c r="AB1087" s="22">
        <f t="shared" si="209"/>
        <v>1337.14</v>
      </c>
      <c r="AC1087" s="22">
        <f t="shared" si="210"/>
        <v>298.72000000000003</v>
      </c>
      <c r="AD1087" s="22">
        <f t="shared" si="212"/>
        <v>1635.8600000000001</v>
      </c>
      <c r="AE1087" s="22">
        <f t="shared" si="213"/>
        <v>113723.91</v>
      </c>
      <c r="AF1087" s="19" t="str">
        <f>VLOOKUP(C1087,'2021-22 School Level AAFTE'!C:N,12,FALSE)</f>
        <v>No</v>
      </c>
    </row>
    <row r="1088" spans="1:32" s="19" customFormat="1">
      <c r="A1088" s="97" t="s">
        <v>2491</v>
      </c>
      <c r="B1088" s="97" t="s">
        <v>1837</v>
      </c>
      <c r="C1088" s="95">
        <v>4400</v>
      </c>
      <c r="D1088" s="95" t="s">
        <v>1845</v>
      </c>
      <c r="E1088" s="129">
        <f>VLOOKUP($C1088,'2021-22 School Level AAFTE'!$C:$Z,11,FALSE)</f>
        <v>0.21433333333333335</v>
      </c>
      <c r="F1088" s="129" t="str">
        <f>VLOOKUP($C1088,'2021-22 School Level AAFTE'!$C:$Z,8,FALSE)</f>
        <v>No</v>
      </c>
      <c r="G1088" s="129" t="str">
        <f>VLOOKUP($C1088,'2021-22 School Level AAFTE'!$C:$Z,12,FALSE)</f>
        <v>No</v>
      </c>
      <c r="H1088" s="127">
        <f>VLOOKUP($C1088,'2021-22 School Level AAFTE'!$C:$I,7,FALSE)</f>
        <v>376.71</v>
      </c>
      <c r="I1088" s="112">
        <f>IFERROR(IF(OR(G1088="yes",F1088= "yes"),VLOOKUP(C1088,Summary!$B:$J,6,0),0),0)</f>
        <v>0</v>
      </c>
      <c r="J1088" s="111">
        <f t="shared" si="204"/>
        <v>0</v>
      </c>
      <c r="K1088" s="91">
        <f>VLOOKUP($A1088,'2022-23 Salary &amp; Benefits'!$A:$I,3,FALSE)</f>
        <v>1.03</v>
      </c>
      <c r="L1088" s="91">
        <f>VLOOKUP($A1088,'2022-23 Salary &amp; Benefits'!$A:$I,4,FALSE)</f>
        <v>1.03</v>
      </c>
      <c r="M1088" s="39">
        <f t="shared" si="211"/>
        <v>0</v>
      </c>
      <c r="N1088" s="24">
        <v>15</v>
      </c>
      <c r="O1088" s="26">
        <f t="shared" si="202"/>
        <v>0</v>
      </c>
      <c r="P1088" s="24">
        <v>1.1000000000000001</v>
      </c>
      <c r="Q1088" s="24">
        <v>36</v>
      </c>
      <c r="R1088" s="27">
        <f t="shared" si="203"/>
        <v>0</v>
      </c>
      <c r="S1088" s="102">
        <f t="shared" si="205"/>
        <v>0</v>
      </c>
      <c r="T1088" s="21">
        <f>VLOOKUP($A1088,'2022-23 Salary &amp; Benefits'!$A:$I,5,FALSE)</f>
        <v>68937</v>
      </c>
      <c r="U1088" s="21">
        <f>VLOOKUP($A1088,'2022-23 Salary &amp; Benefits'!$A:$I,6,FALSE)</f>
        <v>72728</v>
      </c>
      <c r="V1088" s="22">
        <f t="shared" si="206"/>
        <v>0</v>
      </c>
      <c r="W1088" s="22">
        <f t="shared" si="207"/>
        <v>0</v>
      </c>
      <c r="X1088" s="22">
        <f>'2022-23 Salary &amp; Benefits'!$G$6</f>
        <v>12558.24</v>
      </c>
      <c r="Y1088" s="23">
        <f>'2022-23 Salary &amp; Benefits'!$H$6</f>
        <v>0.2298</v>
      </c>
      <c r="Z1088" s="23">
        <f>'2022-23 Salary &amp; Benefits'!$I$6</f>
        <v>0.22339999999999999</v>
      </c>
      <c r="AA1088" s="22">
        <f t="shared" si="208"/>
        <v>0</v>
      </c>
      <c r="AB1088" s="22">
        <f t="shared" si="209"/>
        <v>0</v>
      </c>
      <c r="AC1088" s="22">
        <f t="shared" si="210"/>
        <v>0</v>
      </c>
      <c r="AD1088" s="22">
        <f t="shared" si="212"/>
        <v>0</v>
      </c>
      <c r="AE1088" s="22">
        <f t="shared" si="213"/>
        <v>0</v>
      </c>
      <c r="AF1088" s="19" t="str">
        <f>VLOOKUP(C1088,'2021-22 School Level AAFTE'!C:N,12,FALSE)</f>
        <v>No</v>
      </c>
    </row>
    <row r="1089" spans="1:32" s="19" customFormat="1">
      <c r="A1089" s="97" t="s">
        <v>2491</v>
      </c>
      <c r="B1089" s="97" t="s">
        <v>1837</v>
      </c>
      <c r="C1089" s="95">
        <v>4491</v>
      </c>
      <c r="D1089" s="95" t="s">
        <v>1846</v>
      </c>
      <c r="E1089" s="129">
        <f>VLOOKUP($C1089,'2021-22 School Level AAFTE'!$C:$Z,11,FALSE)</f>
        <v>0.25179999999999997</v>
      </c>
      <c r="F1089" s="129" t="str">
        <f>VLOOKUP($C1089,'2021-22 School Level AAFTE'!$C:$Z,8,FALSE)</f>
        <v>No</v>
      </c>
      <c r="G1089" s="129" t="str">
        <f>VLOOKUP($C1089,'2021-22 School Level AAFTE'!$C:$Z,12,FALSE)</f>
        <v>No</v>
      </c>
      <c r="H1089" s="127">
        <f>VLOOKUP($C1089,'2021-22 School Level AAFTE'!$C:$I,7,FALSE)</f>
        <v>1514.54</v>
      </c>
      <c r="I1089" s="112">
        <f>IFERROR(IF(OR(G1089="yes",F1089= "yes"),VLOOKUP(C1089,Summary!$B:$J,6,0),0),0)</f>
        <v>0</v>
      </c>
      <c r="J1089" s="111">
        <f t="shared" si="204"/>
        <v>0</v>
      </c>
      <c r="K1089" s="91">
        <f>VLOOKUP($A1089,'2022-23 Salary &amp; Benefits'!$A:$I,3,FALSE)</f>
        <v>1.03</v>
      </c>
      <c r="L1089" s="91">
        <f>VLOOKUP($A1089,'2022-23 Salary &amp; Benefits'!$A:$I,4,FALSE)</f>
        <v>1.03</v>
      </c>
      <c r="M1089" s="39">
        <f t="shared" si="211"/>
        <v>0</v>
      </c>
      <c r="N1089" s="24">
        <v>15</v>
      </c>
      <c r="O1089" s="26">
        <f t="shared" si="202"/>
        <v>0</v>
      </c>
      <c r="P1089" s="24">
        <v>1.1000000000000001</v>
      </c>
      <c r="Q1089" s="24">
        <v>36</v>
      </c>
      <c r="R1089" s="27">
        <f t="shared" si="203"/>
        <v>0</v>
      </c>
      <c r="S1089" s="102">
        <f t="shared" si="205"/>
        <v>0</v>
      </c>
      <c r="T1089" s="21">
        <f>VLOOKUP($A1089,'2022-23 Salary &amp; Benefits'!$A:$I,5,FALSE)</f>
        <v>68937</v>
      </c>
      <c r="U1089" s="21">
        <f>VLOOKUP($A1089,'2022-23 Salary &amp; Benefits'!$A:$I,6,FALSE)</f>
        <v>72728</v>
      </c>
      <c r="V1089" s="22">
        <f t="shared" si="206"/>
        <v>0</v>
      </c>
      <c r="W1089" s="22">
        <f t="shared" si="207"/>
        <v>0</v>
      </c>
      <c r="X1089" s="22">
        <f>'2022-23 Salary &amp; Benefits'!$G$6</f>
        <v>12558.24</v>
      </c>
      <c r="Y1089" s="23">
        <f>'2022-23 Salary &amp; Benefits'!$H$6</f>
        <v>0.2298</v>
      </c>
      <c r="Z1089" s="23">
        <f>'2022-23 Salary &amp; Benefits'!$I$6</f>
        <v>0.22339999999999999</v>
      </c>
      <c r="AA1089" s="22">
        <f t="shared" si="208"/>
        <v>0</v>
      </c>
      <c r="AB1089" s="22">
        <f t="shared" si="209"/>
        <v>0</v>
      </c>
      <c r="AC1089" s="22">
        <f t="shared" si="210"/>
        <v>0</v>
      </c>
      <c r="AD1089" s="22">
        <f t="shared" si="212"/>
        <v>0</v>
      </c>
      <c r="AE1089" s="22">
        <f t="shared" si="213"/>
        <v>0</v>
      </c>
      <c r="AF1089" s="19" t="str">
        <f>VLOOKUP(C1089,'2021-22 School Level AAFTE'!C:N,12,FALSE)</f>
        <v>No</v>
      </c>
    </row>
    <row r="1090" spans="1:32" s="19" customFormat="1">
      <c r="A1090" s="97" t="s">
        <v>2491</v>
      </c>
      <c r="B1090" s="97" t="s">
        <v>1837</v>
      </c>
      <c r="C1090" s="95">
        <v>5094</v>
      </c>
      <c r="D1090" s="95" t="s">
        <v>1847</v>
      </c>
      <c r="E1090" s="129">
        <f>VLOOKUP($C1090,'2021-22 School Level AAFTE'!$C:$Z,11,FALSE)</f>
        <v>0.12476666666666665</v>
      </c>
      <c r="F1090" s="129" t="str">
        <f>VLOOKUP($C1090,'2021-22 School Level AAFTE'!$C:$Z,8,FALSE)</f>
        <v>No</v>
      </c>
      <c r="G1090" s="129" t="str">
        <f>VLOOKUP($C1090,'2021-22 School Level AAFTE'!$C:$Z,12,FALSE)</f>
        <v>No</v>
      </c>
      <c r="H1090" s="127">
        <f>VLOOKUP($C1090,'2021-22 School Level AAFTE'!$C:$I,7,FALSE)</f>
        <v>415</v>
      </c>
      <c r="I1090" s="112">
        <f>IFERROR(IF(OR(G1090="yes",F1090= "yes"),VLOOKUP(C1090,Summary!$B:$J,6,0),0),0)</f>
        <v>0</v>
      </c>
      <c r="J1090" s="111">
        <f t="shared" si="204"/>
        <v>0</v>
      </c>
      <c r="K1090" s="91">
        <f>VLOOKUP($A1090,'2022-23 Salary &amp; Benefits'!$A:$I,3,FALSE)</f>
        <v>1.03</v>
      </c>
      <c r="L1090" s="91">
        <f>VLOOKUP($A1090,'2022-23 Salary &amp; Benefits'!$A:$I,4,FALSE)</f>
        <v>1.03</v>
      </c>
      <c r="M1090" s="39">
        <f t="shared" si="211"/>
        <v>0</v>
      </c>
      <c r="N1090" s="24">
        <v>15</v>
      </c>
      <c r="O1090" s="26">
        <f t="shared" si="202"/>
        <v>0</v>
      </c>
      <c r="P1090" s="24">
        <v>1.1000000000000001</v>
      </c>
      <c r="Q1090" s="24">
        <v>36</v>
      </c>
      <c r="R1090" s="27">
        <f t="shared" si="203"/>
        <v>0</v>
      </c>
      <c r="S1090" s="102">
        <f t="shared" si="205"/>
        <v>0</v>
      </c>
      <c r="T1090" s="21">
        <f>VLOOKUP($A1090,'2022-23 Salary &amp; Benefits'!$A:$I,5,FALSE)</f>
        <v>68937</v>
      </c>
      <c r="U1090" s="21">
        <f>VLOOKUP($A1090,'2022-23 Salary &amp; Benefits'!$A:$I,6,FALSE)</f>
        <v>72728</v>
      </c>
      <c r="V1090" s="22">
        <f t="shared" si="206"/>
        <v>0</v>
      </c>
      <c r="W1090" s="22">
        <f t="shared" si="207"/>
        <v>0</v>
      </c>
      <c r="X1090" s="22">
        <f>'2022-23 Salary &amp; Benefits'!$G$6</f>
        <v>12558.24</v>
      </c>
      <c r="Y1090" s="23">
        <f>'2022-23 Salary &amp; Benefits'!$H$6</f>
        <v>0.2298</v>
      </c>
      <c r="Z1090" s="23">
        <f>'2022-23 Salary &amp; Benefits'!$I$6</f>
        <v>0.22339999999999999</v>
      </c>
      <c r="AA1090" s="22">
        <f t="shared" si="208"/>
        <v>0</v>
      </c>
      <c r="AB1090" s="22">
        <f t="shared" si="209"/>
        <v>0</v>
      </c>
      <c r="AC1090" s="22">
        <f t="shared" si="210"/>
        <v>0</v>
      </c>
      <c r="AD1090" s="22">
        <f t="shared" si="212"/>
        <v>0</v>
      </c>
      <c r="AE1090" s="22">
        <f t="shared" si="213"/>
        <v>0</v>
      </c>
      <c r="AF1090" s="19" t="str">
        <f>VLOOKUP(C1090,'2021-22 School Level AAFTE'!C:N,12,FALSE)</f>
        <v>No</v>
      </c>
    </row>
    <row r="1091" spans="1:32" s="19" customFormat="1">
      <c r="A1091" s="97" t="s">
        <v>2491</v>
      </c>
      <c r="B1091" s="97" t="s">
        <v>1837</v>
      </c>
      <c r="C1091" s="95">
        <v>5401</v>
      </c>
      <c r="D1091" s="95" t="s">
        <v>1848</v>
      </c>
      <c r="E1091" s="129">
        <f>VLOOKUP($C1091,'2021-22 School Level AAFTE'!$C:$Z,11,FALSE)</f>
        <v>0.12330000000000002</v>
      </c>
      <c r="F1091" s="129" t="str">
        <f>VLOOKUP($C1091,'2021-22 School Level AAFTE'!$C:$Z,8,FALSE)</f>
        <v>No</v>
      </c>
      <c r="G1091" s="129" t="str">
        <f>VLOOKUP($C1091,'2021-22 School Level AAFTE'!$C:$Z,12,FALSE)</f>
        <v>No</v>
      </c>
      <c r="H1091" s="127">
        <f>VLOOKUP($C1091,'2021-22 School Level AAFTE'!$C:$I,7,FALSE)</f>
        <v>12.63</v>
      </c>
      <c r="I1091" s="112">
        <f>IFERROR(IF(OR(G1091="yes",F1091= "yes"),VLOOKUP(C1091,Summary!$B:$J,6,0),0),0)</f>
        <v>0</v>
      </c>
      <c r="J1091" s="111">
        <f t="shared" si="204"/>
        <v>0</v>
      </c>
      <c r="K1091" s="91">
        <f>VLOOKUP($A1091,'2022-23 Salary &amp; Benefits'!$A:$I,3,FALSE)</f>
        <v>1.03</v>
      </c>
      <c r="L1091" s="91">
        <f>VLOOKUP($A1091,'2022-23 Salary &amp; Benefits'!$A:$I,4,FALSE)</f>
        <v>1.03</v>
      </c>
      <c r="M1091" s="39">
        <f t="shared" si="211"/>
        <v>0</v>
      </c>
      <c r="N1091" s="24">
        <v>15</v>
      </c>
      <c r="O1091" s="26">
        <f t="shared" si="202"/>
        <v>0</v>
      </c>
      <c r="P1091" s="24">
        <v>1.1000000000000001</v>
      </c>
      <c r="Q1091" s="24">
        <v>36</v>
      </c>
      <c r="R1091" s="27">
        <f t="shared" si="203"/>
        <v>0</v>
      </c>
      <c r="S1091" s="102">
        <f t="shared" si="205"/>
        <v>0</v>
      </c>
      <c r="T1091" s="21">
        <f>VLOOKUP($A1091,'2022-23 Salary &amp; Benefits'!$A:$I,5,FALSE)</f>
        <v>68937</v>
      </c>
      <c r="U1091" s="21">
        <f>VLOOKUP($A1091,'2022-23 Salary &amp; Benefits'!$A:$I,6,FALSE)</f>
        <v>72728</v>
      </c>
      <c r="V1091" s="22">
        <f t="shared" si="206"/>
        <v>0</v>
      </c>
      <c r="W1091" s="22">
        <f t="shared" si="207"/>
        <v>0</v>
      </c>
      <c r="X1091" s="22">
        <f>'2022-23 Salary &amp; Benefits'!$G$6</f>
        <v>12558.24</v>
      </c>
      <c r="Y1091" s="23">
        <f>'2022-23 Salary &amp; Benefits'!$H$6</f>
        <v>0.2298</v>
      </c>
      <c r="Z1091" s="23">
        <f>'2022-23 Salary &amp; Benefits'!$I$6</f>
        <v>0.22339999999999999</v>
      </c>
      <c r="AA1091" s="22">
        <f t="shared" si="208"/>
        <v>0</v>
      </c>
      <c r="AB1091" s="22">
        <f t="shared" si="209"/>
        <v>0</v>
      </c>
      <c r="AC1091" s="22">
        <f t="shared" si="210"/>
        <v>0</v>
      </c>
      <c r="AD1091" s="22">
        <f t="shared" si="212"/>
        <v>0</v>
      </c>
      <c r="AE1091" s="22">
        <f t="shared" si="213"/>
        <v>0</v>
      </c>
      <c r="AF1091" s="19" t="str">
        <f>VLOOKUP(C1091,'2021-22 School Level AAFTE'!C:N,12,FALSE)</f>
        <v>No</v>
      </c>
    </row>
    <row r="1092" spans="1:32" s="19" customFormat="1">
      <c r="A1092" s="97" t="s">
        <v>2491</v>
      </c>
      <c r="B1092" s="97" t="s">
        <v>1837</v>
      </c>
      <c r="C1092" s="95">
        <v>5571</v>
      </c>
      <c r="D1092" s="95" t="s">
        <v>768</v>
      </c>
      <c r="E1092" s="129">
        <f>VLOOKUP($C1092,'2021-22 School Level AAFTE'!$C:$Z,11,FALSE)</f>
        <v>0.21989999999999998</v>
      </c>
      <c r="F1092" s="129" t="str">
        <f>VLOOKUP($C1092,'2021-22 School Level AAFTE'!$C:$Z,8,FALSE)</f>
        <v>No</v>
      </c>
      <c r="G1092" s="129" t="str">
        <f>VLOOKUP($C1092,'2021-22 School Level AAFTE'!$C:$Z,12,FALSE)</f>
        <v>No</v>
      </c>
      <c r="H1092" s="127">
        <f>VLOOKUP($C1092,'2021-22 School Level AAFTE'!$C:$I,7,FALSE)</f>
        <v>757.11</v>
      </c>
      <c r="I1092" s="112">
        <f>IFERROR(IF(OR(G1092="yes",F1092= "yes"),VLOOKUP(C1092,Summary!$B:$J,6,0),0),0)</f>
        <v>0</v>
      </c>
      <c r="J1092" s="111">
        <f t="shared" si="204"/>
        <v>0</v>
      </c>
      <c r="K1092" s="91">
        <f>VLOOKUP($A1092,'2022-23 Salary &amp; Benefits'!$A:$I,3,FALSE)</f>
        <v>1.03</v>
      </c>
      <c r="L1092" s="91">
        <f>VLOOKUP($A1092,'2022-23 Salary &amp; Benefits'!$A:$I,4,FALSE)</f>
        <v>1.03</v>
      </c>
      <c r="M1092" s="101">
        <f t="shared" si="211"/>
        <v>0</v>
      </c>
      <c r="N1092" s="24">
        <v>15</v>
      </c>
      <c r="O1092" s="26">
        <f t="shared" si="202"/>
        <v>0</v>
      </c>
      <c r="P1092" s="24">
        <v>1.1000000000000001</v>
      </c>
      <c r="Q1092" s="24">
        <v>36</v>
      </c>
      <c r="R1092" s="27">
        <f t="shared" si="203"/>
        <v>0</v>
      </c>
      <c r="S1092" s="102">
        <f t="shared" si="205"/>
        <v>0</v>
      </c>
      <c r="T1092" s="21">
        <f>VLOOKUP($A1092,'2022-23 Salary &amp; Benefits'!$A:$I,5,FALSE)</f>
        <v>68937</v>
      </c>
      <c r="U1092" s="21">
        <f>VLOOKUP($A1092,'2022-23 Salary &amp; Benefits'!$A:$I,6,FALSE)</f>
        <v>72728</v>
      </c>
      <c r="V1092" s="22">
        <f t="shared" si="206"/>
        <v>0</v>
      </c>
      <c r="W1092" s="22">
        <f t="shared" si="207"/>
        <v>0</v>
      </c>
      <c r="X1092" s="22">
        <f>'2022-23 Salary &amp; Benefits'!$G$6</f>
        <v>12558.24</v>
      </c>
      <c r="Y1092" s="23">
        <f>'2022-23 Salary &amp; Benefits'!$H$6</f>
        <v>0.2298</v>
      </c>
      <c r="Z1092" s="23">
        <f>'2022-23 Salary &amp; Benefits'!$I$6</f>
        <v>0.22339999999999999</v>
      </c>
      <c r="AA1092" s="22">
        <f t="shared" si="208"/>
        <v>0</v>
      </c>
      <c r="AB1092" s="22">
        <f t="shared" si="209"/>
        <v>0</v>
      </c>
      <c r="AC1092" s="22">
        <f t="shared" si="210"/>
        <v>0</v>
      </c>
      <c r="AD1092" s="22">
        <f t="shared" si="212"/>
        <v>0</v>
      </c>
      <c r="AE1092" s="22">
        <f t="shared" si="213"/>
        <v>0</v>
      </c>
      <c r="AF1092" s="19" t="str">
        <f>VLOOKUP(C1092,'2021-22 School Level AAFTE'!C:N,12,FALSE)</f>
        <v>No</v>
      </c>
    </row>
    <row r="1093" spans="1:32" s="19" customFormat="1">
      <c r="A1093" s="97" t="s">
        <v>2491</v>
      </c>
      <c r="B1093" s="97" t="s">
        <v>1837</v>
      </c>
      <c r="C1093" s="95">
        <v>5572</v>
      </c>
      <c r="D1093" s="95" t="s">
        <v>2890</v>
      </c>
      <c r="E1093" s="129">
        <f>VLOOKUP($C1093,'2021-22 School Level AAFTE'!$C:$Z,11,FALSE)</f>
        <v>0.42859999999999998</v>
      </c>
      <c r="F1093" s="129" t="str">
        <f>VLOOKUP($C1093,'2021-22 School Level AAFTE'!$C:$Z,8,FALSE)</f>
        <v>No</v>
      </c>
      <c r="G1093" s="129" t="str">
        <f>VLOOKUP($C1093,'2021-22 School Level AAFTE'!$C:$Z,12,FALSE)</f>
        <v>No</v>
      </c>
      <c r="H1093" s="127">
        <f>VLOOKUP($C1093,'2021-22 School Level AAFTE'!$C:$I,7,FALSE)</f>
        <v>223.11</v>
      </c>
      <c r="I1093" s="112">
        <f>IFERROR(IF(OR(G1093="yes",F1093= "yes"),VLOOKUP(C1093,Summary!$B:$J,6,0),0),0)</f>
        <v>0</v>
      </c>
      <c r="J1093" s="111">
        <f t="shared" si="204"/>
        <v>0</v>
      </c>
      <c r="K1093" s="91">
        <f>VLOOKUP($A1093,'2022-23 Salary &amp; Benefits'!$A:$I,3,FALSE)</f>
        <v>1.03</v>
      </c>
      <c r="L1093" s="91">
        <f>VLOOKUP($A1093,'2022-23 Salary &amp; Benefits'!$A:$I,4,FALSE)</f>
        <v>1.03</v>
      </c>
      <c r="M1093" s="39">
        <f t="shared" si="211"/>
        <v>0</v>
      </c>
      <c r="N1093" s="24">
        <v>15</v>
      </c>
      <c r="O1093" s="26">
        <f t="shared" si="202"/>
        <v>0</v>
      </c>
      <c r="P1093" s="24">
        <v>1.1000000000000001</v>
      </c>
      <c r="Q1093" s="24">
        <v>36</v>
      </c>
      <c r="R1093" s="27">
        <f t="shared" si="203"/>
        <v>0</v>
      </c>
      <c r="S1093" s="102">
        <f t="shared" si="205"/>
        <v>0</v>
      </c>
      <c r="T1093" s="21">
        <f>VLOOKUP($A1093,'2022-23 Salary &amp; Benefits'!$A:$I,5,FALSE)</f>
        <v>68937</v>
      </c>
      <c r="U1093" s="21">
        <f>VLOOKUP($A1093,'2022-23 Salary &amp; Benefits'!$A:$I,6,FALSE)</f>
        <v>72728</v>
      </c>
      <c r="V1093" s="22">
        <f t="shared" si="206"/>
        <v>0</v>
      </c>
      <c r="W1093" s="22">
        <f t="shared" si="207"/>
        <v>0</v>
      </c>
      <c r="X1093" s="22">
        <f>'2022-23 Salary &amp; Benefits'!$G$6</f>
        <v>12558.24</v>
      </c>
      <c r="Y1093" s="23">
        <f>'2022-23 Salary &amp; Benefits'!$H$6</f>
        <v>0.2298</v>
      </c>
      <c r="Z1093" s="23">
        <f>'2022-23 Salary &amp; Benefits'!$I$6</f>
        <v>0.22339999999999999</v>
      </c>
      <c r="AA1093" s="22">
        <f t="shared" si="208"/>
        <v>0</v>
      </c>
      <c r="AB1093" s="22">
        <f t="shared" si="209"/>
        <v>0</v>
      </c>
      <c r="AC1093" s="22">
        <f t="shared" si="210"/>
        <v>0</v>
      </c>
      <c r="AD1093" s="22">
        <f t="shared" si="212"/>
        <v>0</v>
      </c>
      <c r="AE1093" s="22">
        <f t="shared" si="213"/>
        <v>0</v>
      </c>
      <c r="AF1093" s="19" t="str">
        <f>VLOOKUP(C1093,'2021-22 School Level AAFTE'!C:N,12,FALSE)</f>
        <v>No</v>
      </c>
    </row>
    <row r="1094" spans="1:32" s="19" customFormat="1">
      <c r="A1094" s="97" t="s">
        <v>2491</v>
      </c>
      <c r="B1094" s="97" t="s">
        <v>1837</v>
      </c>
      <c r="C1094" s="95">
        <v>5658</v>
      </c>
      <c r="D1094" s="95" t="s">
        <v>1625</v>
      </c>
      <c r="E1094" s="129">
        <f>VLOOKUP($C1094,'2021-22 School Level AAFTE'!$C:$Z,11,FALSE)</f>
        <v>6.4199999999999993E-2</v>
      </c>
      <c r="F1094" s="129" t="str">
        <f>VLOOKUP($C1094,'2021-22 School Level AAFTE'!$C:$Z,8,FALSE)</f>
        <v>No</v>
      </c>
      <c r="G1094" s="129" t="str">
        <f>VLOOKUP($C1094,'2021-22 School Level AAFTE'!$C:$Z,12,FALSE)</f>
        <v>No</v>
      </c>
      <c r="H1094" s="127">
        <f>VLOOKUP($C1094,'2021-22 School Level AAFTE'!$C:$I,7,FALSE)</f>
        <v>360.43</v>
      </c>
      <c r="I1094" s="112">
        <f>IFERROR(IF(OR(G1094="yes",F1094= "yes"),VLOOKUP(C1094,Summary!$B:$J,6,0),0),0)</f>
        <v>0</v>
      </c>
      <c r="J1094" s="111">
        <f t="shared" si="204"/>
        <v>0</v>
      </c>
      <c r="K1094" s="91">
        <f>VLOOKUP($A1094,'2022-23 Salary &amp; Benefits'!$A:$I,3,FALSE)</f>
        <v>1.03</v>
      </c>
      <c r="L1094" s="91">
        <f>VLOOKUP($A1094,'2022-23 Salary &amp; Benefits'!$A:$I,4,FALSE)</f>
        <v>1.03</v>
      </c>
      <c r="M1094" s="39">
        <f t="shared" si="211"/>
        <v>0</v>
      </c>
      <c r="N1094" s="24">
        <v>15</v>
      </c>
      <c r="O1094" s="26">
        <f t="shared" si="202"/>
        <v>0</v>
      </c>
      <c r="P1094" s="24">
        <v>1.1000000000000001</v>
      </c>
      <c r="Q1094" s="24">
        <v>36</v>
      </c>
      <c r="R1094" s="27">
        <f t="shared" si="203"/>
        <v>0</v>
      </c>
      <c r="S1094" s="102">
        <f t="shared" si="205"/>
        <v>0</v>
      </c>
      <c r="T1094" s="21">
        <f>VLOOKUP($A1094,'2022-23 Salary &amp; Benefits'!$A:$I,5,FALSE)</f>
        <v>68937</v>
      </c>
      <c r="U1094" s="21">
        <f>VLOOKUP($A1094,'2022-23 Salary &amp; Benefits'!$A:$I,6,FALSE)</f>
        <v>72728</v>
      </c>
      <c r="V1094" s="22">
        <f t="shared" si="206"/>
        <v>0</v>
      </c>
      <c r="W1094" s="22">
        <f t="shared" si="207"/>
        <v>0</v>
      </c>
      <c r="X1094" s="22">
        <f>'2022-23 Salary &amp; Benefits'!$G$6</f>
        <v>12558.24</v>
      </c>
      <c r="Y1094" s="23">
        <f>'2022-23 Salary &amp; Benefits'!$H$6</f>
        <v>0.2298</v>
      </c>
      <c r="Z1094" s="23">
        <f>'2022-23 Salary &amp; Benefits'!$I$6</f>
        <v>0.22339999999999999</v>
      </c>
      <c r="AA1094" s="22">
        <f t="shared" si="208"/>
        <v>0</v>
      </c>
      <c r="AB1094" s="22">
        <f t="shared" si="209"/>
        <v>0</v>
      </c>
      <c r="AC1094" s="22">
        <f t="shared" si="210"/>
        <v>0</v>
      </c>
      <c r="AD1094" s="22">
        <f t="shared" si="212"/>
        <v>0</v>
      </c>
      <c r="AE1094" s="22">
        <f t="shared" si="213"/>
        <v>0</v>
      </c>
      <c r="AF1094" s="19" t="str">
        <f>VLOOKUP(C1094,'2021-22 School Level AAFTE'!C:N,12,FALSE)</f>
        <v>No</v>
      </c>
    </row>
    <row r="1095" spans="1:32" s="19" customFormat="1">
      <c r="A1095" s="97" t="s">
        <v>2490</v>
      </c>
      <c r="B1095" s="97" t="s">
        <v>1832</v>
      </c>
      <c r="C1095" s="95">
        <v>2890</v>
      </c>
      <c r="D1095" s="95" t="s">
        <v>1833</v>
      </c>
      <c r="E1095" s="129">
        <f>VLOOKUP($C1095,'2021-22 School Level AAFTE'!$C:$Z,11,FALSE)</f>
        <v>0.33096666666666663</v>
      </c>
      <c r="F1095" s="129" t="str">
        <f>VLOOKUP($C1095,'2021-22 School Level AAFTE'!$C:$Z,8,FALSE)</f>
        <v>No</v>
      </c>
      <c r="G1095" s="129" t="str">
        <f>VLOOKUP($C1095,'2021-22 School Level AAFTE'!$C:$Z,12,FALSE)</f>
        <v>No</v>
      </c>
      <c r="H1095" s="127">
        <f>VLOOKUP($C1095,'2021-22 School Level AAFTE'!$C:$I,7,FALSE)</f>
        <v>483.82</v>
      </c>
      <c r="I1095" s="112">
        <f>IFERROR(IF(OR(G1095="yes",F1095= "yes"),VLOOKUP(C1095,Summary!$B:$J,6,0),0),0)</f>
        <v>0</v>
      </c>
      <c r="J1095" s="111">
        <f t="shared" si="204"/>
        <v>0</v>
      </c>
      <c r="K1095" s="91">
        <f>VLOOKUP($A1095,'2022-23 Salary &amp; Benefits'!$A:$I,3,FALSE)</f>
        <v>1</v>
      </c>
      <c r="L1095" s="91">
        <f>VLOOKUP($A1095,'2022-23 Salary &amp; Benefits'!$A:$I,4,FALSE)</f>
        <v>1</v>
      </c>
      <c r="M1095" s="39">
        <f t="shared" si="211"/>
        <v>0</v>
      </c>
      <c r="N1095" s="24">
        <v>15</v>
      </c>
      <c r="O1095" s="26">
        <f t="shared" si="202"/>
        <v>0</v>
      </c>
      <c r="P1095" s="24">
        <v>1.1000000000000001</v>
      </c>
      <c r="Q1095" s="24">
        <v>36</v>
      </c>
      <c r="R1095" s="27">
        <f t="shared" si="203"/>
        <v>0</v>
      </c>
      <c r="S1095" s="102">
        <f t="shared" si="205"/>
        <v>0</v>
      </c>
      <c r="T1095" s="21">
        <f>VLOOKUP($A1095,'2022-23 Salary &amp; Benefits'!$A:$I,5,FALSE)</f>
        <v>68937</v>
      </c>
      <c r="U1095" s="21">
        <f>VLOOKUP($A1095,'2022-23 Salary &amp; Benefits'!$A:$I,6,FALSE)</f>
        <v>72728</v>
      </c>
      <c r="V1095" s="22">
        <f t="shared" si="206"/>
        <v>0</v>
      </c>
      <c r="W1095" s="22">
        <f t="shared" si="207"/>
        <v>0</v>
      </c>
      <c r="X1095" s="22">
        <f>'2022-23 Salary &amp; Benefits'!$G$6</f>
        <v>12558.24</v>
      </c>
      <c r="Y1095" s="23">
        <f>'2022-23 Salary &amp; Benefits'!$H$6</f>
        <v>0.2298</v>
      </c>
      <c r="Z1095" s="23">
        <f>'2022-23 Salary &amp; Benefits'!$I$6</f>
        <v>0.22339999999999999</v>
      </c>
      <c r="AA1095" s="22">
        <f t="shared" si="208"/>
        <v>0</v>
      </c>
      <c r="AB1095" s="22">
        <f t="shared" si="209"/>
        <v>0</v>
      </c>
      <c r="AC1095" s="22">
        <f t="shared" si="210"/>
        <v>0</v>
      </c>
      <c r="AD1095" s="22">
        <f t="shared" si="212"/>
        <v>0</v>
      </c>
      <c r="AE1095" s="22">
        <f t="shared" si="213"/>
        <v>0</v>
      </c>
      <c r="AF1095" s="19" t="str">
        <f>VLOOKUP(C1095,'2021-22 School Level AAFTE'!C:N,12,FALSE)</f>
        <v>No</v>
      </c>
    </row>
    <row r="1096" spans="1:32" s="19" customFormat="1">
      <c r="A1096" s="97" t="s">
        <v>2490</v>
      </c>
      <c r="B1096" s="97" t="s">
        <v>1832</v>
      </c>
      <c r="C1096" s="95">
        <v>3965</v>
      </c>
      <c r="D1096" s="95" t="s">
        <v>1834</v>
      </c>
      <c r="E1096" s="129">
        <f>VLOOKUP($C1096,'2021-22 School Level AAFTE'!$C:$Z,11,FALSE)</f>
        <v>0.38393333333333329</v>
      </c>
      <c r="F1096" s="129" t="str">
        <f>VLOOKUP($C1096,'2021-22 School Level AAFTE'!$C:$Z,8,FALSE)</f>
        <v>No</v>
      </c>
      <c r="G1096" s="129" t="str">
        <f>VLOOKUP($C1096,'2021-22 School Level AAFTE'!$C:$Z,12,FALSE)</f>
        <v>No</v>
      </c>
      <c r="H1096" s="127">
        <f>VLOOKUP($C1096,'2021-22 School Level AAFTE'!$C:$I,7,FALSE)</f>
        <v>399.39</v>
      </c>
      <c r="I1096" s="112">
        <f>IFERROR(IF(OR(G1096="yes",F1096= "yes"),VLOOKUP(C1096,Summary!$B:$J,6,0),0),0)</f>
        <v>0</v>
      </c>
      <c r="J1096" s="111">
        <f t="shared" si="204"/>
        <v>0</v>
      </c>
      <c r="K1096" s="91">
        <f>VLOOKUP($A1096,'2022-23 Salary &amp; Benefits'!$A:$I,3,FALSE)</f>
        <v>1</v>
      </c>
      <c r="L1096" s="91">
        <f>VLOOKUP($A1096,'2022-23 Salary &amp; Benefits'!$A:$I,4,FALSE)</f>
        <v>1</v>
      </c>
      <c r="M1096" s="39">
        <f t="shared" si="211"/>
        <v>0</v>
      </c>
      <c r="N1096" s="24">
        <v>15</v>
      </c>
      <c r="O1096" s="26">
        <f t="shared" si="202"/>
        <v>0</v>
      </c>
      <c r="P1096" s="24">
        <v>1.1000000000000001</v>
      </c>
      <c r="Q1096" s="24">
        <v>36</v>
      </c>
      <c r="R1096" s="27">
        <f t="shared" si="203"/>
        <v>0</v>
      </c>
      <c r="S1096" s="102">
        <f t="shared" si="205"/>
        <v>0</v>
      </c>
      <c r="T1096" s="21">
        <f>VLOOKUP($A1096,'2022-23 Salary &amp; Benefits'!$A:$I,5,FALSE)</f>
        <v>68937</v>
      </c>
      <c r="U1096" s="21">
        <f>VLOOKUP($A1096,'2022-23 Salary &amp; Benefits'!$A:$I,6,FALSE)</f>
        <v>72728</v>
      </c>
      <c r="V1096" s="22">
        <f t="shared" si="206"/>
        <v>0</v>
      </c>
      <c r="W1096" s="22">
        <f t="shared" si="207"/>
        <v>0</v>
      </c>
      <c r="X1096" s="22">
        <f>'2022-23 Salary &amp; Benefits'!$G$6</f>
        <v>12558.24</v>
      </c>
      <c r="Y1096" s="23">
        <f>'2022-23 Salary &amp; Benefits'!$H$6</f>
        <v>0.2298</v>
      </c>
      <c r="Z1096" s="23">
        <f>'2022-23 Salary &amp; Benefits'!$I$6</f>
        <v>0.22339999999999999</v>
      </c>
      <c r="AA1096" s="22">
        <f t="shared" si="208"/>
        <v>0</v>
      </c>
      <c r="AB1096" s="22">
        <f t="shared" si="209"/>
        <v>0</v>
      </c>
      <c r="AC1096" s="22">
        <f t="shared" si="210"/>
        <v>0</v>
      </c>
      <c r="AD1096" s="22">
        <f t="shared" si="212"/>
        <v>0</v>
      </c>
      <c r="AE1096" s="22">
        <f t="shared" si="213"/>
        <v>0</v>
      </c>
      <c r="AF1096" s="19" t="str">
        <f>VLOOKUP(C1096,'2021-22 School Level AAFTE'!C:N,12,FALSE)</f>
        <v>No</v>
      </c>
    </row>
    <row r="1097" spans="1:32" s="19" customFormat="1">
      <c r="A1097" s="97" t="s">
        <v>2490</v>
      </c>
      <c r="B1097" s="97" t="s">
        <v>1832</v>
      </c>
      <c r="C1097" s="95">
        <v>4483</v>
      </c>
      <c r="D1097" s="95" t="s">
        <v>1835</v>
      </c>
      <c r="E1097" s="129">
        <f>VLOOKUP($C1097,'2021-22 School Level AAFTE'!$C:$Z,11,FALSE)</f>
        <v>0.43233333333333329</v>
      </c>
      <c r="F1097" s="129" t="str">
        <f>VLOOKUP($C1097,'2021-22 School Level AAFTE'!$C:$Z,8,FALSE)</f>
        <v>No</v>
      </c>
      <c r="G1097" s="129" t="str">
        <f>VLOOKUP($C1097,'2021-22 School Level AAFTE'!$C:$Z,12,FALSE)</f>
        <v>No</v>
      </c>
      <c r="H1097" s="127">
        <f>VLOOKUP($C1097,'2021-22 School Level AAFTE'!$C:$I,7,FALSE)</f>
        <v>470.88</v>
      </c>
      <c r="I1097" s="112">
        <f>IFERROR(IF(OR(G1097="yes",F1097= "yes"),VLOOKUP(C1097,Summary!$B:$J,6,0),0),0)</f>
        <v>0</v>
      </c>
      <c r="J1097" s="111">
        <f t="shared" si="204"/>
        <v>0</v>
      </c>
      <c r="K1097" s="91">
        <f>VLOOKUP($A1097,'2022-23 Salary &amp; Benefits'!$A:$I,3,FALSE)</f>
        <v>1</v>
      </c>
      <c r="L1097" s="91">
        <f>VLOOKUP($A1097,'2022-23 Salary &amp; Benefits'!$A:$I,4,FALSE)</f>
        <v>1</v>
      </c>
      <c r="M1097" s="39">
        <f t="shared" si="211"/>
        <v>0</v>
      </c>
      <c r="N1097" s="24">
        <v>15</v>
      </c>
      <c r="O1097" s="26">
        <f t="shared" si="202"/>
        <v>0</v>
      </c>
      <c r="P1097" s="24">
        <v>1.1000000000000001</v>
      </c>
      <c r="Q1097" s="24">
        <v>36</v>
      </c>
      <c r="R1097" s="27">
        <f t="shared" si="203"/>
        <v>0</v>
      </c>
      <c r="S1097" s="102">
        <f t="shared" si="205"/>
        <v>0</v>
      </c>
      <c r="T1097" s="21">
        <f>VLOOKUP($A1097,'2022-23 Salary &amp; Benefits'!$A:$I,5,FALSE)</f>
        <v>68937</v>
      </c>
      <c r="U1097" s="21">
        <f>VLOOKUP($A1097,'2022-23 Salary &amp; Benefits'!$A:$I,6,FALSE)</f>
        <v>72728</v>
      </c>
      <c r="V1097" s="22">
        <f t="shared" si="206"/>
        <v>0</v>
      </c>
      <c r="W1097" s="22">
        <f t="shared" si="207"/>
        <v>0</v>
      </c>
      <c r="X1097" s="22">
        <f>'2022-23 Salary &amp; Benefits'!$G$6</f>
        <v>12558.24</v>
      </c>
      <c r="Y1097" s="23">
        <f>'2022-23 Salary &amp; Benefits'!$H$6</f>
        <v>0.2298</v>
      </c>
      <c r="Z1097" s="23">
        <f>'2022-23 Salary &amp; Benefits'!$I$6</f>
        <v>0.22339999999999999</v>
      </c>
      <c r="AA1097" s="22">
        <f t="shared" si="208"/>
        <v>0</v>
      </c>
      <c r="AB1097" s="22">
        <f t="shared" si="209"/>
        <v>0</v>
      </c>
      <c r="AC1097" s="22">
        <f t="shared" si="210"/>
        <v>0</v>
      </c>
      <c r="AD1097" s="22">
        <f t="shared" si="212"/>
        <v>0</v>
      </c>
      <c r="AE1097" s="22">
        <f t="shared" si="213"/>
        <v>0</v>
      </c>
      <c r="AF1097" s="19" t="str">
        <f>VLOOKUP(C1097,'2021-22 School Level AAFTE'!C:N,12,FALSE)</f>
        <v>No</v>
      </c>
    </row>
    <row r="1098" spans="1:32" s="19" customFormat="1">
      <c r="A1098" s="97" t="s">
        <v>2490</v>
      </c>
      <c r="B1098" s="97" t="s">
        <v>1832</v>
      </c>
      <c r="C1098" s="95">
        <v>4577</v>
      </c>
      <c r="D1098" s="95" t="s">
        <v>1836</v>
      </c>
      <c r="E1098" s="129">
        <f>VLOOKUP($C1098,'2021-22 School Level AAFTE'!$C:$Z,11,FALSE)</f>
        <v>0.26926666666666671</v>
      </c>
      <c r="F1098" s="129" t="str">
        <f>VLOOKUP($C1098,'2021-22 School Level AAFTE'!$C:$Z,8,FALSE)</f>
        <v>No</v>
      </c>
      <c r="G1098" s="129" t="str">
        <f>VLOOKUP($C1098,'2021-22 School Level AAFTE'!$C:$Z,12,FALSE)</f>
        <v>No</v>
      </c>
      <c r="H1098" s="127">
        <f>VLOOKUP($C1098,'2021-22 School Level AAFTE'!$C:$I,7,FALSE)</f>
        <v>376.29</v>
      </c>
      <c r="I1098" s="112">
        <f>IFERROR(IF(OR(G1098="yes",F1098= "yes"),VLOOKUP(C1098,Summary!$B:$J,6,0),0),0)</f>
        <v>0</v>
      </c>
      <c r="J1098" s="111">
        <f t="shared" si="204"/>
        <v>0</v>
      </c>
      <c r="K1098" s="91">
        <f>VLOOKUP($A1098,'2022-23 Salary &amp; Benefits'!$A:$I,3,FALSE)</f>
        <v>1</v>
      </c>
      <c r="L1098" s="91">
        <f>VLOOKUP($A1098,'2022-23 Salary &amp; Benefits'!$A:$I,4,FALSE)</f>
        <v>1</v>
      </c>
      <c r="M1098" s="39">
        <f t="shared" si="211"/>
        <v>0</v>
      </c>
      <c r="N1098" s="24">
        <v>15</v>
      </c>
      <c r="O1098" s="26">
        <f t="shared" ref="O1098:O1161" si="214">IF(M1098="no",0,M1098/N1098)</f>
        <v>0</v>
      </c>
      <c r="P1098" s="24">
        <v>1.1000000000000001</v>
      </c>
      <c r="Q1098" s="24">
        <v>36</v>
      </c>
      <c r="R1098" s="27">
        <f t="shared" ref="R1098:R1161" si="215">IF(M1098="no",0,O1098*P1098*Q1098)</f>
        <v>0</v>
      </c>
      <c r="S1098" s="102">
        <f t="shared" si="205"/>
        <v>0</v>
      </c>
      <c r="T1098" s="21">
        <f>VLOOKUP($A1098,'2022-23 Salary &amp; Benefits'!$A:$I,5,FALSE)</f>
        <v>68937</v>
      </c>
      <c r="U1098" s="21">
        <f>VLOOKUP($A1098,'2022-23 Salary &amp; Benefits'!$A:$I,6,FALSE)</f>
        <v>72728</v>
      </c>
      <c r="V1098" s="22">
        <f t="shared" si="206"/>
        <v>0</v>
      </c>
      <c r="W1098" s="22">
        <f t="shared" si="207"/>
        <v>0</v>
      </c>
      <c r="X1098" s="22">
        <f>'2022-23 Salary &amp; Benefits'!$G$6</f>
        <v>12558.24</v>
      </c>
      <c r="Y1098" s="23">
        <f>'2022-23 Salary &amp; Benefits'!$H$6</f>
        <v>0.2298</v>
      </c>
      <c r="Z1098" s="23">
        <f>'2022-23 Salary &amp; Benefits'!$I$6</f>
        <v>0.22339999999999999</v>
      </c>
      <c r="AA1098" s="22">
        <f t="shared" si="208"/>
        <v>0</v>
      </c>
      <c r="AB1098" s="22">
        <f t="shared" si="209"/>
        <v>0</v>
      </c>
      <c r="AC1098" s="22">
        <f t="shared" si="210"/>
        <v>0</v>
      </c>
      <c r="AD1098" s="22">
        <f t="shared" si="212"/>
        <v>0</v>
      </c>
      <c r="AE1098" s="22">
        <f t="shared" si="213"/>
        <v>0</v>
      </c>
      <c r="AF1098" s="19" t="str">
        <f>VLOOKUP(C1098,'2021-22 School Level AAFTE'!C:N,12,FALSE)</f>
        <v>No</v>
      </c>
    </row>
    <row r="1099" spans="1:32" s="19" customFormat="1">
      <c r="A1099" s="97" t="s">
        <v>2490</v>
      </c>
      <c r="B1099" s="97" t="s">
        <v>1832</v>
      </c>
      <c r="C1099" s="95">
        <v>5042</v>
      </c>
      <c r="D1099" s="95" t="s">
        <v>2787</v>
      </c>
      <c r="E1099" s="129">
        <f>VLOOKUP($C1099,'2021-22 School Level AAFTE'!$C:$Z,11,FALSE)</f>
        <v>0.50173333333333325</v>
      </c>
      <c r="F1099" s="129" t="str">
        <f>VLOOKUP($C1099,'2021-22 School Level AAFTE'!$C:$Z,8,FALSE)</f>
        <v>Yes</v>
      </c>
      <c r="G1099" s="129" t="str">
        <f>VLOOKUP($C1099,'2021-22 School Level AAFTE'!$C:$Z,12,FALSE)</f>
        <v>No</v>
      </c>
      <c r="H1099" s="127">
        <f>VLOOKUP($C1099,'2021-22 School Level AAFTE'!$C:$I,7,FALSE)</f>
        <v>23.41</v>
      </c>
      <c r="I1099" s="112">
        <f>IFERROR(IF(OR(G1099="yes",F1099= "yes"),VLOOKUP(C1099,Summary!$B:$J,6,0),0),0)</f>
        <v>0</v>
      </c>
      <c r="J1099" s="111">
        <f t="shared" ref="J1099:J1162" si="216">IF(OR(G1099="yes",F1099= "yes"), H1099,0)</f>
        <v>23.41</v>
      </c>
      <c r="K1099" s="91">
        <f>VLOOKUP($A1099,'2022-23 Salary &amp; Benefits'!$A:$I,3,FALSE)</f>
        <v>1</v>
      </c>
      <c r="L1099" s="91">
        <f>VLOOKUP($A1099,'2022-23 Salary &amp; Benefits'!$A:$I,4,FALSE)</f>
        <v>1</v>
      </c>
      <c r="M1099" s="101">
        <f t="shared" si="211"/>
        <v>23.41</v>
      </c>
      <c r="N1099" s="24">
        <v>15</v>
      </c>
      <c r="O1099" s="26">
        <f t="shared" si="214"/>
        <v>1.5606666666666666</v>
      </c>
      <c r="P1099" s="24">
        <v>1.1000000000000001</v>
      </c>
      <c r="Q1099" s="24">
        <v>36</v>
      </c>
      <c r="R1099" s="27">
        <f t="shared" si="215"/>
        <v>61.802400000000006</v>
      </c>
      <c r="S1099" s="102">
        <f t="shared" ref="S1099:S1162" si="217">ROUND(IF(M1099="no",0,R1099/900),3)</f>
        <v>6.9000000000000006E-2</v>
      </c>
      <c r="T1099" s="21">
        <f>VLOOKUP($A1099,'2022-23 Salary &amp; Benefits'!$A:$I,5,FALSE)</f>
        <v>68937</v>
      </c>
      <c r="U1099" s="21">
        <f>VLOOKUP($A1099,'2022-23 Salary &amp; Benefits'!$A:$I,6,FALSE)</f>
        <v>72728</v>
      </c>
      <c r="V1099" s="22">
        <f t="shared" ref="V1099:V1162" si="218">ROUND($K1099*$T1099*$S1099,2)</f>
        <v>4756.6499999999996</v>
      </c>
      <c r="W1099" s="22">
        <f t="shared" ref="W1099:W1162" si="219">ROUND($L1099*$U1099*$S1099,2)-V1099</f>
        <v>261.57999999999993</v>
      </c>
      <c r="X1099" s="22">
        <f>'2022-23 Salary &amp; Benefits'!$G$6</f>
        <v>12558.24</v>
      </c>
      <c r="Y1099" s="23">
        <f>'2022-23 Salary &amp; Benefits'!$H$6</f>
        <v>0.2298</v>
      </c>
      <c r="Z1099" s="23">
        <f>'2022-23 Salary &amp; Benefits'!$I$6</f>
        <v>0.22339999999999999</v>
      </c>
      <c r="AA1099" s="22">
        <f t="shared" ref="AA1099:AA1162" si="220">ROUND(V1099*Y1099+W1099*Z1099+S1099*X1099,2)</f>
        <v>2018.03</v>
      </c>
      <c r="AB1099" s="22">
        <f t="shared" ref="AB1099:AB1162" si="221">ROUND(($U1099*$L1099*$S1099/180*3),2)</f>
        <v>83.64</v>
      </c>
      <c r="AC1099" s="22">
        <f t="shared" ref="AC1099:AC1162" si="222">ROUND(AB1099*Z1099,2)</f>
        <v>18.690000000000001</v>
      </c>
      <c r="AD1099" s="22">
        <f t="shared" si="212"/>
        <v>102.33</v>
      </c>
      <c r="AE1099" s="22">
        <f t="shared" si="213"/>
        <v>7138.5899999999992</v>
      </c>
      <c r="AF1099" s="19" t="str">
        <f>VLOOKUP(C1099,'2021-22 School Level AAFTE'!C:N,12,FALSE)</f>
        <v>No</v>
      </c>
    </row>
    <row r="1100" spans="1:32" s="19" customFormat="1">
      <c r="A1100" s="97" t="s">
        <v>2351</v>
      </c>
      <c r="B1100" s="97" t="s">
        <v>695</v>
      </c>
      <c r="C1100" s="95">
        <v>2981</v>
      </c>
      <c r="D1100" s="95" t="s">
        <v>696</v>
      </c>
      <c r="E1100" s="129">
        <f>VLOOKUP($C1100,'2021-22 School Level AAFTE'!$C:$Z,11,FALSE)</f>
        <v>1.3199999999999998E-2</v>
      </c>
      <c r="F1100" s="129" t="str">
        <f>VLOOKUP($C1100,'2021-22 School Level AAFTE'!$C:$Z,8,FALSE)</f>
        <v>No</v>
      </c>
      <c r="G1100" s="129" t="str">
        <f>VLOOKUP($C1100,'2021-22 School Level AAFTE'!$C:$Z,12,FALSE)</f>
        <v>No</v>
      </c>
      <c r="H1100" s="127">
        <f>VLOOKUP($C1100,'2021-22 School Level AAFTE'!$C:$I,7,FALSE)</f>
        <v>375.58</v>
      </c>
      <c r="I1100" s="112">
        <f>IFERROR(IF(OR(G1100="yes",F1100= "yes"),VLOOKUP(C1100,Summary!$B:$J,6,0),0),0)</f>
        <v>0</v>
      </c>
      <c r="J1100" s="111">
        <f t="shared" si="216"/>
        <v>0</v>
      </c>
      <c r="K1100" s="91">
        <f>VLOOKUP($A1100,'2022-23 Salary &amp; Benefits'!$A:$I,3,FALSE)</f>
        <v>1.18</v>
      </c>
      <c r="L1100" s="91">
        <f>VLOOKUP($A1100,'2022-23 Salary &amp; Benefits'!$A:$I,4,FALSE)</f>
        <v>1.18</v>
      </c>
      <c r="M1100" s="39">
        <f t="shared" si="211"/>
        <v>0</v>
      </c>
      <c r="N1100" s="24">
        <v>15</v>
      </c>
      <c r="O1100" s="26">
        <f t="shared" si="214"/>
        <v>0</v>
      </c>
      <c r="P1100" s="24">
        <v>1.1000000000000001</v>
      </c>
      <c r="Q1100" s="24">
        <v>36</v>
      </c>
      <c r="R1100" s="27">
        <f t="shared" si="215"/>
        <v>0</v>
      </c>
      <c r="S1100" s="102">
        <f t="shared" si="217"/>
        <v>0</v>
      </c>
      <c r="T1100" s="21">
        <f>VLOOKUP($A1100,'2022-23 Salary &amp; Benefits'!$A:$I,5,FALSE)</f>
        <v>68937</v>
      </c>
      <c r="U1100" s="21">
        <f>VLOOKUP($A1100,'2022-23 Salary &amp; Benefits'!$A:$I,6,FALSE)</f>
        <v>72728</v>
      </c>
      <c r="V1100" s="22">
        <f t="shared" si="218"/>
        <v>0</v>
      </c>
      <c r="W1100" s="22">
        <f t="shared" si="219"/>
        <v>0</v>
      </c>
      <c r="X1100" s="22">
        <f>'2022-23 Salary &amp; Benefits'!$G$6</f>
        <v>12558.24</v>
      </c>
      <c r="Y1100" s="23">
        <f>'2022-23 Salary &amp; Benefits'!$H$6</f>
        <v>0.2298</v>
      </c>
      <c r="Z1100" s="23">
        <f>'2022-23 Salary &amp; Benefits'!$I$6</f>
        <v>0.22339999999999999</v>
      </c>
      <c r="AA1100" s="22">
        <f t="shared" si="220"/>
        <v>0</v>
      </c>
      <c r="AB1100" s="22">
        <f t="shared" si="221"/>
        <v>0</v>
      </c>
      <c r="AC1100" s="22">
        <f t="shared" si="222"/>
        <v>0</v>
      </c>
      <c r="AD1100" s="22">
        <f t="shared" si="212"/>
        <v>0</v>
      </c>
      <c r="AE1100" s="22">
        <f t="shared" si="213"/>
        <v>0</v>
      </c>
      <c r="AF1100" s="19" t="str">
        <f>VLOOKUP(C1100,'2021-22 School Level AAFTE'!C:N,12,FALSE)</f>
        <v>No</v>
      </c>
    </row>
    <row r="1101" spans="1:32" s="19" customFormat="1">
      <c r="A1101" s="97" t="s">
        <v>2351</v>
      </c>
      <c r="B1101" s="97" t="s">
        <v>695</v>
      </c>
      <c r="C1101" s="95">
        <v>3029</v>
      </c>
      <c r="D1101" s="95" t="s">
        <v>697</v>
      </c>
      <c r="E1101" s="129">
        <f>VLOOKUP($C1101,'2021-22 School Level AAFTE'!$C:$Z,11,FALSE)</f>
        <v>3.5966666666666668E-2</v>
      </c>
      <c r="F1101" s="129" t="str">
        <f>VLOOKUP($C1101,'2021-22 School Level AAFTE'!$C:$Z,8,FALSE)</f>
        <v>No</v>
      </c>
      <c r="G1101" s="129" t="str">
        <f>VLOOKUP($C1101,'2021-22 School Level AAFTE'!$C:$Z,12,FALSE)</f>
        <v>No</v>
      </c>
      <c r="H1101" s="127">
        <f>VLOOKUP($C1101,'2021-22 School Level AAFTE'!$C:$I,7,FALSE)</f>
        <v>1498.51</v>
      </c>
      <c r="I1101" s="112">
        <f>IFERROR(IF(OR(G1101="yes",F1101= "yes"),VLOOKUP(C1101,Summary!$B:$J,6,0),0),0)</f>
        <v>0</v>
      </c>
      <c r="J1101" s="111">
        <f t="shared" si="216"/>
        <v>0</v>
      </c>
      <c r="K1101" s="91">
        <f>VLOOKUP($A1101,'2022-23 Salary &amp; Benefits'!$A:$I,3,FALSE)</f>
        <v>1.18</v>
      </c>
      <c r="L1101" s="91">
        <f>VLOOKUP($A1101,'2022-23 Salary &amp; Benefits'!$A:$I,4,FALSE)</f>
        <v>1.18</v>
      </c>
      <c r="M1101" s="39">
        <f t="shared" si="211"/>
        <v>0</v>
      </c>
      <c r="N1101" s="24">
        <v>15</v>
      </c>
      <c r="O1101" s="26">
        <f t="shared" si="214"/>
        <v>0</v>
      </c>
      <c r="P1101" s="24">
        <v>1.1000000000000001</v>
      </c>
      <c r="Q1101" s="24">
        <v>36</v>
      </c>
      <c r="R1101" s="27">
        <f t="shared" si="215"/>
        <v>0</v>
      </c>
      <c r="S1101" s="102">
        <f t="shared" si="217"/>
        <v>0</v>
      </c>
      <c r="T1101" s="21">
        <f>VLOOKUP($A1101,'2022-23 Salary &amp; Benefits'!$A:$I,5,FALSE)</f>
        <v>68937</v>
      </c>
      <c r="U1101" s="21">
        <f>VLOOKUP($A1101,'2022-23 Salary &amp; Benefits'!$A:$I,6,FALSE)</f>
        <v>72728</v>
      </c>
      <c r="V1101" s="22">
        <f t="shared" si="218"/>
        <v>0</v>
      </c>
      <c r="W1101" s="22">
        <f t="shared" si="219"/>
        <v>0</v>
      </c>
      <c r="X1101" s="22">
        <f>'2022-23 Salary &amp; Benefits'!$G$6</f>
        <v>12558.24</v>
      </c>
      <c r="Y1101" s="23">
        <f>'2022-23 Salary &amp; Benefits'!$H$6</f>
        <v>0.2298</v>
      </c>
      <c r="Z1101" s="23">
        <f>'2022-23 Salary &amp; Benefits'!$I$6</f>
        <v>0.22339999999999999</v>
      </c>
      <c r="AA1101" s="22">
        <f t="shared" si="220"/>
        <v>0</v>
      </c>
      <c r="AB1101" s="22">
        <f t="shared" si="221"/>
        <v>0</v>
      </c>
      <c r="AC1101" s="22">
        <f t="shared" si="222"/>
        <v>0</v>
      </c>
      <c r="AD1101" s="22">
        <f t="shared" si="212"/>
        <v>0</v>
      </c>
      <c r="AE1101" s="22">
        <f t="shared" si="213"/>
        <v>0</v>
      </c>
      <c r="AF1101" s="19" t="str">
        <f>VLOOKUP(C1101,'2021-22 School Level AAFTE'!C:N,12,FALSE)</f>
        <v>No</v>
      </c>
    </row>
    <row r="1102" spans="1:32" s="19" customFormat="1">
      <c r="A1102" s="97" t="s">
        <v>2351</v>
      </c>
      <c r="B1102" s="97" t="s">
        <v>695</v>
      </c>
      <c r="C1102" s="95">
        <v>3162</v>
      </c>
      <c r="D1102" s="95" t="s">
        <v>698</v>
      </c>
      <c r="E1102" s="129">
        <f>VLOOKUP($C1102,'2021-22 School Level AAFTE'!$C:$Z,11,FALSE)</f>
        <v>1.8366666666666667E-2</v>
      </c>
      <c r="F1102" s="129" t="str">
        <f>VLOOKUP($C1102,'2021-22 School Level AAFTE'!$C:$Z,8,FALSE)</f>
        <v>No</v>
      </c>
      <c r="G1102" s="129" t="str">
        <f>VLOOKUP($C1102,'2021-22 School Level AAFTE'!$C:$Z,12,FALSE)</f>
        <v>No</v>
      </c>
      <c r="H1102" s="127">
        <f>VLOOKUP($C1102,'2021-22 School Level AAFTE'!$C:$I,7,FALSE)</f>
        <v>377.69</v>
      </c>
      <c r="I1102" s="112">
        <f>IFERROR(IF(OR(G1102="yes",F1102= "yes"),VLOOKUP(C1102,Summary!$B:$J,6,0),0),0)</f>
        <v>0</v>
      </c>
      <c r="J1102" s="111">
        <f t="shared" si="216"/>
        <v>0</v>
      </c>
      <c r="K1102" s="91">
        <f>VLOOKUP($A1102,'2022-23 Salary &amp; Benefits'!$A:$I,3,FALSE)</f>
        <v>1.18</v>
      </c>
      <c r="L1102" s="91">
        <f>VLOOKUP($A1102,'2022-23 Salary &amp; Benefits'!$A:$I,4,FALSE)</f>
        <v>1.18</v>
      </c>
      <c r="M1102" s="39">
        <f t="shared" si="211"/>
        <v>0</v>
      </c>
      <c r="N1102" s="24">
        <v>15</v>
      </c>
      <c r="O1102" s="26">
        <f t="shared" si="214"/>
        <v>0</v>
      </c>
      <c r="P1102" s="24">
        <v>1.1000000000000001</v>
      </c>
      <c r="Q1102" s="24">
        <v>36</v>
      </c>
      <c r="R1102" s="27">
        <f t="shared" si="215"/>
        <v>0</v>
      </c>
      <c r="S1102" s="102">
        <f t="shared" si="217"/>
        <v>0</v>
      </c>
      <c r="T1102" s="21">
        <f>VLOOKUP($A1102,'2022-23 Salary &amp; Benefits'!$A:$I,5,FALSE)</f>
        <v>68937</v>
      </c>
      <c r="U1102" s="21">
        <f>VLOOKUP($A1102,'2022-23 Salary &amp; Benefits'!$A:$I,6,FALSE)</f>
        <v>72728</v>
      </c>
      <c r="V1102" s="22">
        <f t="shared" si="218"/>
        <v>0</v>
      </c>
      <c r="W1102" s="22">
        <f t="shared" si="219"/>
        <v>0</v>
      </c>
      <c r="X1102" s="22">
        <f>'2022-23 Salary &amp; Benefits'!$G$6</f>
        <v>12558.24</v>
      </c>
      <c r="Y1102" s="23">
        <f>'2022-23 Salary &amp; Benefits'!$H$6</f>
        <v>0.2298</v>
      </c>
      <c r="Z1102" s="23">
        <f>'2022-23 Salary &amp; Benefits'!$I$6</f>
        <v>0.22339999999999999</v>
      </c>
      <c r="AA1102" s="22">
        <f t="shared" si="220"/>
        <v>0</v>
      </c>
      <c r="AB1102" s="22">
        <f t="shared" si="221"/>
        <v>0</v>
      </c>
      <c r="AC1102" s="22">
        <f t="shared" si="222"/>
        <v>0</v>
      </c>
      <c r="AD1102" s="22">
        <f t="shared" si="212"/>
        <v>0</v>
      </c>
      <c r="AE1102" s="22">
        <f t="shared" si="213"/>
        <v>0</v>
      </c>
      <c r="AF1102" s="19" t="str">
        <f>VLOOKUP(C1102,'2021-22 School Level AAFTE'!C:N,12,FALSE)</f>
        <v>No</v>
      </c>
    </row>
    <row r="1103" spans="1:32" s="19" customFormat="1">
      <c r="A1103" s="97" t="s">
        <v>2351</v>
      </c>
      <c r="B1103" s="97" t="s">
        <v>695</v>
      </c>
      <c r="C1103" s="95">
        <v>3219</v>
      </c>
      <c r="D1103" s="95" t="s">
        <v>699</v>
      </c>
      <c r="E1103" s="129">
        <f>VLOOKUP($C1103,'2021-22 School Level AAFTE'!$C:$Z,11,FALSE)</f>
        <v>3.793333333333334E-2</v>
      </c>
      <c r="F1103" s="129" t="str">
        <f>VLOOKUP($C1103,'2021-22 School Level AAFTE'!$C:$Z,8,FALSE)</f>
        <v>No</v>
      </c>
      <c r="G1103" s="129" t="str">
        <f>VLOOKUP($C1103,'2021-22 School Level AAFTE'!$C:$Z,12,FALSE)</f>
        <v>No</v>
      </c>
      <c r="H1103" s="127">
        <f>VLOOKUP($C1103,'2021-22 School Level AAFTE'!$C:$I,7,FALSE)</f>
        <v>957.67</v>
      </c>
      <c r="I1103" s="112">
        <f>IFERROR(IF(OR(G1103="yes",F1103= "yes"),VLOOKUP(C1103,Summary!$B:$J,6,0),0),0)</f>
        <v>0</v>
      </c>
      <c r="J1103" s="111">
        <f t="shared" si="216"/>
        <v>0</v>
      </c>
      <c r="K1103" s="91">
        <f>VLOOKUP($A1103,'2022-23 Salary &amp; Benefits'!$A:$I,3,FALSE)</f>
        <v>1.18</v>
      </c>
      <c r="L1103" s="91">
        <f>VLOOKUP($A1103,'2022-23 Salary &amp; Benefits'!$A:$I,4,FALSE)</f>
        <v>1.18</v>
      </c>
      <c r="M1103" s="39">
        <f t="shared" si="211"/>
        <v>0</v>
      </c>
      <c r="N1103" s="24">
        <v>15</v>
      </c>
      <c r="O1103" s="26">
        <f t="shared" si="214"/>
        <v>0</v>
      </c>
      <c r="P1103" s="24">
        <v>1.1000000000000001</v>
      </c>
      <c r="Q1103" s="24">
        <v>36</v>
      </c>
      <c r="R1103" s="27">
        <f t="shared" si="215"/>
        <v>0</v>
      </c>
      <c r="S1103" s="102">
        <f t="shared" si="217"/>
        <v>0</v>
      </c>
      <c r="T1103" s="21">
        <f>VLOOKUP($A1103,'2022-23 Salary &amp; Benefits'!$A:$I,5,FALSE)</f>
        <v>68937</v>
      </c>
      <c r="U1103" s="21">
        <f>VLOOKUP($A1103,'2022-23 Salary &amp; Benefits'!$A:$I,6,FALSE)</f>
        <v>72728</v>
      </c>
      <c r="V1103" s="22">
        <f t="shared" si="218"/>
        <v>0</v>
      </c>
      <c r="W1103" s="22">
        <f t="shared" si="219"/>
        <v>0</v>
      </c>
      <c r="X1103" s="22">
        <f>'2022-23 Salary &amp; Benefits'!$G$6</f>
        <v>12558.24</v>
      </c>
      <c r="Y1103" s="23">
        <f>'2022-23 Salary &amp; Benefits'!$H$6</f>
        <v>0.2298</v>
      </c>
      <c r="Z1103" s="23">
        <f>'2022-23 Salary &amp; Benefits'!$I$6</f>
        <v>0.22339999999999999</v>
      </c>
      <c r="AA1103" s="22">
        <f t="shared" si="220"/>
        <v>0</v>
      </c>
      <c r="AB1103" s="22">
        <f t="shared" si="221"/>
        <v>0</v>
      </c>
      <c r="AC1103" s="22">
        <f t="shared" si="222"/>
        <v>0</v>
      </c>
      <c r="AD1103" s="22">
        <f t="shared" si="212"/>
        <v>0</v>
      </c>
      <c r="AE1103" s="22">
        <f t="shared" si="213"/>
        <v>0</v>
      </c>
      <c r="AF1103" s="19" t="str">
        <f>VLOOKUP(C1103,'2021-22 School Level AAFTE'!C:N,12,FALSE)</f>
        <v>No</v>
      </c>
    </row>
    <row r="1104" spans="1:32" s="19" customFormat="1">
      <c r="A1104" s="97" t="s">
        <v>2351</v>
      </c>
      <c r="B1104" s="97" t="s">
        <v>695</v>
      </c>
      <c r="C1104" s="95">
        <v>3433</v>
      </c>
      <c r="D1104" s="95" t="s">
        <v>700</v>
      </c>
      <c r="E1104" s="129">
        <f>VLOOKUP($C1104,'2021-22 School Level AAFTE'!$C:$Z,11,FALSE)</f>
        <v>2.9366666666666669E-2</v>
      </c>
      <c r="F1104" s="129" t="str">
        <f>VLOOKUP($C1104,'2021-22 School Level AAFTE'!$C:$Z,8,FALSE)</f>
        <v>No</v>
      </c>
      <c r="G1104" s="129" t="str">
        <f>VLOOKUP($C1104,'2021-22 School Level AAFTE'!$C:$Z,12,FALSE)</f>
        <v>No</v>
      </c>
      <c r="H1104" s="127">
        <f>VLOOKUP($C1104,'2021-22 School Level AAFTE'!$C:$I,7,FALSE)</f>
        <v>426.88</v>
      </c>
      <c r="I1104" s="112">
        <f>IFERROR(IF(OR(G1104="yes",F1104= "yes"),VLOOKUP(C1104,Summary!$B:$J,6,0),0),0)</f>
        <v>0</v>
      </c>
      <c r="J1104" s="111">
        <f t="shared" si="216"/>
        <v>0</v>
      </c>
      <c r="K1104" s="91">
        <f>VLOOKUP($A1104,'2022-23 Salary &amp; Benefits'!$A:$I,3,FALSE)</f>
        <v>1.18</v>
      </c>
      <c r="L1104" s="91">
        <f>VLOOKUP($A1104,'2022-23 Salary &amp; Benefits'!$A:$I,4,FALSE)</f>
        <v>1.18</v>
      </c>
      <c r="M1104" s="39">
        <f t="shared" si="211"/>
        <v>0</v>
      </c>
      <c r="N1104" s="24">
        <v>15</v>
      </c>
      <c r="O1104" s="26">
        <f t="shared" si="214"/>
        <v>0</v>
      </c>
      <c r="P1104" s="24">
        <v>1.1000000000000001</v>
      </c>
      <c r="Q1104" s="24">
        <v>36</v>
      </c>
      <c r="R1104" s="27">
        <f t="shared" si="215"/>
        <v>0</v>
      </c>
      <c r="S1104" s="102">
        <f t="shared" si="217"/>
        <v>0</v>
      </c>
      <c r="T1104" s="21">
        <f>VLOOKUP($A1104,'2022-23 Salary &amp; Benefits'!$A:$I,5,FALSE)</f>
        <v>68937</v>
      </c>
      <c r="U1104" s="21">
        <f>VLOOKUP($A1104,'2022-23 Salary &amp; Benefits'!$A:$I,6,FALSE)</f>
        <v>72728</v>
      </c>
      <c r="V1104" s="22">
        <f t="shared" si="218"/>
        <v>0</v>
      </c>
      <c r="W1104" s="22">
        <f t="shared" si="219"/>
        <v>0</v>
      </c>
      <c r="X1104" s="22">
        <f>'2022-23 Salary &amp; Benefits'!$G$6</f>
        <v>12558.24</v>
      </c>
      <c r="Y1104" s="23">
        <f>'2022-23 Salary &amp; Benefits'!$H$6</f>
        <v>0.2298</v>
      </c>
      <c r="Z1104" s="23">
        <f>'2022-23 Salary &amp; Benefits'!$I$6</f>
        <v>0.22339999999999999</v>
      </c>
      <c r="AA1104" s="22">
        <f t="shared" si="220"/>
        <v>0</v>
      </c>
      <c r="AB1104" s="22">
        <f t="shared" si="221"/>
        <v>0</v>
      </c>
      <c r="AC1104" s="22">
        <f t="shared" si="222"/>
        <v>0</v>
      </c>
      <c r="AD1104" s="22">
        <f t="shared" si="212"/>
        <v>0</v>
      </c>
      <c r="AE1104" s="22">
        <f t="shared" si="213"/>
        <v>0</v>
      </c>
      <c r="AF1104" s="19" t="str">
        <f>VLOOKUP(C1104,'2021-22 School Level AAFTE'!C:N,12,FALSE)</f>
        <v>No</v>
      </c>
    </row>
    <row r="1105" spans="1:32" s="19" customFormat="1">
      <c r="A1105" s="97" t="s">
        <v>2351</v>
      </c>
      <c r="B1105" s="97" t="s">
        <v>695</v>
      </c>
      <c r="C1105" s="95">
        <v>5447</v>
      </c>
      <c r="D1105" s="95" t="s">
        <v>701</v>
      </c>
      <c r="E1105" s="129">
        <f>VLOOKUP($C1105,'2021-22 School Level AAFTE'!$C:$Z,11,FALSE)</f>
        <v>4.926666666666666E-2</v>
      </c>
      <c r="F1105" s="129" t="str">
        <f>VLOOKUP($C1105,'2021-22 School Level AAFTE'!$C:$Z,8,FALSE)</f>
        <v>No</v>
      </c>
      <c r="G1105" s="129" t="str">
        <f>VLOOKUP($C1105,'2021-22 School Level AAFTE'!$C:$Z,12,FALSE)</f>
        <v>No</v>
      </c>
      <c r="H1105" s="127">
        <f>VLOOKUP($C1105,'2021-22 School Level AAFTE'!$C:$I,7,FALSE)</f>
        <v>358.83</v>
      </c>
      <c r="I1105" s="112">
        <f>IFERROR(IF(OR(G1105="yes",F1105= "yes"),VLOOKUP(C1105,Summary!$B:$J,6,0),0),0)</f>
        <v>0</v>
      </c>
      <c r="J1105" s="111">
        <f t="shared" si="216"/>
        <v>0</v>
      </c>
      <c r="K1105" s="91">
        <f>VLOOKUP($A1105,'2022-23 Salary &amp; Benefits'!$A:$I,3,FALSE)</f>
        <v>1.18</v>
      </c>
      <c r="L1105" s="91">
        <f>VLOOKUP($A1105,'2022-23 Salary &amp; Benefits'!$A:$I,4,FALSE)</f>
        <v>1.18</v>
      </c>
      <c r="M1105" s="101">
        <f t="shared" si="211"/>
        <v>0</v>
      </c>
      <c r="N1105" s="24">
        <v>15</v>
      </c>
      <c r="O1105" s="26">
        <f t="shared" si="214"/>
        <v>0</v>
      </c>
      <c r="P1105" s="24">
        <v>1.1000000000000001</v>
      </c>
      <c r="Q1105" s="24">
        <v>36</v>
      </c>
      <c r="R1105" s="27">
        <f t="shared" si="215"/>
        <v>0</v>
      </c>
      <c r="S1105" s="102">
        <f t="shared" si="217"/>
        <v>0</v>
      </c>
      <c r="T1105" s="21">
        <f>VLOOKUP($A1105,'2022-23 Salary &amp; Benefits'!$A:$I,5,FALSE)</f>
        <v>68937</v>
      </c>
      <c r="U1105" s="21">
        <f>VLOOKUP($A1105,'2022-23 Salary &amp; Benefits'!$A:$I,6,FALSE)</f>
        <v>72728</v>
      </c>
      <c r="V1105" s="22">
        <f t="shared" si="218"/>
        <v>0</v>
      </c>
      <c r="W1105" s="22">
        <f t="shared" si="219"/>
        <v>0</v>
      </c>
      <c r="X1105" s="22">
        <f>'2022-23 Salary &amp; Benefits'!$G$6</f>
        <v>12558.24</v>
      </c>
      <c r="Y1105" s="23">
        <f>'2022-23 Salary &amp; Benefits'!$H$6</f>
        <v>0.2298</v>
      </c>
      <c r="Z1105" s="23">
        <f>'2022-23 Salary &amp; Benefits'!$I$6</f>
        <v>0.22339999999999999</v>
      </c>
      <c r="AA1105" s="22">
        <f t="shared" si="220"/>
        <v>0</v>
      </c>
      <c r="AB1105" s="22">
        <f t="shared" si="221"/>
        <v>0</v>
      </c>
      <c r="AC1105" s="22">
        <f t="shared" si="222"/>
        <v>0</v>
      </c>
      <c r="AD1105" s="22">
        <f t="shared" si="212"/>
        <v>0</v>
      </c>
      <c r="AE1105" s="22">
        <f t="shared" si="213"/>
        <v>0</v>
      </c>
      <c r="AF1105" s="19" t="str">
        <f>VLOOKUP(C1105,'2021-22 School Level AAFTE'!C:N,12,FALSE)</f>
        <v>No</v>
      </c>
    </row>
    <row r="1106" spans="1:32" s="19" customFormat="1">
      <c r="A1106" s="97" t="s">
        <v>2536</v>
      </c>
      <c r="B1106" s="97" t="s">
        <v>2110</v>
      </c>
      <c r="C1106" s="95">
        <v>2554</v>
      </c>
      <c r="D1106" s="95" t="s">
        <v>2111</v>
      </c>
      <c r="E1106" s="129">
        <f>VLOOKUP($C1106,'2021-22 School Level AAFTE'!$C:$Z,11,FALSE)</f>
        <v>0.32519999999999999</v>
      </c>
      <c r="F1106" s="129" t="str">
        <f>VLOOKUP($C1106,'2021-22 School Level AAFTE'!$C:$Z,8,FALSE)</f>
        <v>No</v>
      </c>
      <c r="G1106" s="129" t="str">
        <f>VLOOKUP($C1106,'2021-22 School Level AAFTE'!$C:$Z,12,FALSE)</f>
        <v>No</v>
      </c>
      <c r="H1106" s="127">
        <f>VLOOKUP($C1106,'2021-22 School Level AAFTE'!$C:$I,7,FALSE)</f>
        <v>483.32</v>
      </c>
      <c r="I1106" s="112">
        <f>IFERROR(IF(OR(G1106="yes",F1106= "yes"),VLOOKUP(C1106,Summary!$B:$J,6,0),0),0)</f>
        <v>0</v>
      </c>
      <c r="J1106" s="111">
        <f t="shared" si="216"/>
        <v>0</v>
      </c>
      <c r="K1106" s="91">
        <f>VLOOKUP($A1106,'2022-23 Salary &amp; Benefits'!$A:$I,3,FALSE)</f>
        <v>1.06</v>
      </c>
      <c r="L1106" s="91">
        <f>VLOOKUP($A1106,'2022-23 Salary &amp; Benefits'!$A:$I,4,FALSE)</f>
        <v>1.06</v>
      </c>
      <c r="M1106" s="101">
        <f t="shared" si="211"/>
        <v>0</v>
      </c>
      <c r="N1106" s="24">
        <v>15</v>
      </c>
      <c r="O1106" s="26">
        <f t="shared" si="214"/>
        <v>0</v>
      </c>
      <c r="P1106" s="24">
        <v>1.1000000000000001</v>
      </c>
      <c r="Q1106" s="24">
        <v>36</v>
      </c>
      <c r="R1106" s="27">
        <f t="shared" si="215"/>
        <v>0</v>
      </c>
      <c r="S1106" s="102">
        <f t="shared" si="217"/>
        <v>0</v>
      </c>
      <c r="T1106" s="21">
        <f>VLOOKUP($A1106,'2022-23 Salary &amp; Benefits'!$A:$I,5,FALSE)</f>
        <v>68937</v>
      </c>
      <c r="U1106" s="21">
        <f>VLOOKUP($A1106,'2022-23 Salary &amp; Benefits'!$A:$I,6,FALSE)</f>
        <v>72728</v>
      </c>
      <c r="V1106" s="22">
        <f t="shared" si="218"/>
        <v>0</v>
      </c>
      <c r="W1106" s="22">
        <f t="shared" si="219"/>
        <v>0</v>
      </c>
      <c r="X1106" s="22">
        <f>'2022-23 Salary &amp; Benefits'!$G$6</f>
        <v>12558.24</v>
      </c>
      <c r="Y1106" s="23">
        <f>'2022-23 Salary &amp; Benefits'!$H$6</f>
        <v>0.2298</v>
      </c>
      <c r="Z1106" s="23">
        <f>'2022-23 Salary &amp; Benefits'!$I$6</f>
        <v>0.22339999999999999</v>
      </c>
      <c r="AA1106" s="22">
        <f t="shared" si="220"/>
        <v>0</v>
      </c>
      <c r="AB1106" s="22">
        <f t="shared" si="221"/>
        <v>0</v>
      </c>
      <c r="AC1106" s="22">
        <f t="shared" si="222"/>
        <v>0</v>
      </c>
      <c r="AD1106" s="22">
        <f t="shared" si="212"/>
        <v>0</v>
      </c>
      <c r="AE1106" s="22">
        <f t="shared" si="213"/>
        <v>0</v>
      </c>
      <c r="AF1106" s="19" t="str">
        <f>VLOOKUP(C1106,'2021-22 School Level AAFTE'!C:N,12,FALSE)</f>
        <v>No</v>
      </c>
    </row>
    <row r="1107" spans="1:32" s="19" customFormat="1">
      <c r="A1107" s="97" t="s">
        <v>2536</v>
      </c>
      <c r="B1107" s="97" t="s">
        <v>2110</v>
      </c>
      <c r="C1107" s="95">
        <v>2584</v>
      </c>
      <c r="D1107" s="95" t="s">
        <v>2112</v>
      </c>
      <c r="E1107" s="129">
        <f>VLOOKUP($C1107,'2021-22 School Level AAFTE'!$C:$Z,11,FALSE)</f>
        <v>0.38903333333333334</v>
      </c>
      <c r="F1107" s="129" t="str">
        <f>VLOOKUP($C1107,'2021-22 School Level AAFTE'!$C:$Z,8,FALSE)</f>
        <v>No</v>
      </c>
      <c r="G1107" s="129" t="str">
        <f>VLOOKUP($C1107,'2021-22 School Level AAFTE'!$C:$Z,12,FALSE)</f>
        <v>No</v>
      </c>
      <c r="H1107" s="127">
        <f>VLOOKUP($C1107,'2021-22 School Level AAFTE'!$C:$I,7,FALSE)</f>
        <v>666.72</v>
      </c>
      <c r="I1107" s="112">
        <f>IFERROR(IF(OR(G1107="yes",F1107= "yes"),VLOOKUP(C1107,Summary!$B:$J,6,0),0),0)</f>
        <v>0</v>
      </c>
      <c r="J1107" s="111">
        <f t="shared" si="216"/>
        <v>0</v>
      </c>
      <c r="K1107" s="91">
        <f>VLOOKUP($A1107,'2022-23 Salary &amp; Benefits'!$A:$I,3,FALSE)</f>
        <v>1.06</v>
      </c>
      <c r="L1107" s="91">
        <f>VLOOKUP($A1107,'2022-23 Salary &amp; Benefits'!$A:$I,4,FALSE)</f>
        <v>1.06</v>
      </c>
      <c r="M1107" s="101">
        <f t="shared" si="211"/>
        <v>0</v>
      </c>
      <c r="N1107" s="24">
        <v>15</v>
      </c>
      <c r="O1107" s="26">
        <f t="shared" si="214"/>
        <v>0</v>
      </c>
      <c r="P1107" s="24">
        <v>1.1000000000000001</v>
      </c>
      <c r="Q1107" s="24">
        <v>36</v>
      </c>
      <c r="R1107" s="27">
        <f t="shared" si="215"/>
        <v>0</v>
      </c>
      <c r="S1107" s="102">
        <f t="shared" si="217"/>
        <v>0</v>
      </c>
      <c r="T1107" s="21">
        <f>VLOOKUP($A1107,'2022-23 Salary &amp; Benefits'!$A:$I,5,FALSE)</f>
        <v>68937</v>
      </c>
      <c r="U1107" s="21">
        <f>VLOOKUP($A1107,'2022-23 Salary &amp; Benefits'!$A:$I,6,FALSE)</f>
        <v>72728</v>
      </c>
      <c r="V1107" s="22">
        <f t="shared" si="218"/>
        <v>0</v>
      </c>
      <c r="W1107" s="22">
        <f t="shared" si="219"/>
        <v>0</v>
      </c>
      <c r="X1107" s="22">
        <f>'2022-23 Salary &amp; Benefits'!$G$6</f>
        <v>12558.24</v>
      </c>
      <c r="Y1107" s="23">
        <f>'2022-23 Salary &amp; Benefits'!$H$6</f>
        <v>0.2298</v>
      </c>
      <c r="Z1107" s="23">
        <f>'2022-23 Salary &amp; Benefits'!$I$6</f>
        <v>0.22339999999999999</v>
      </c>
      <c r="AA1107" s="22">
        <f t="shared" si="220"/>
        <v>0</v>
      </c>
      <c r="AB1107" s="22">
        <f t="shared" si="221"/>
        <v>0</v>
      </c>
      <c r="AC1107" s="22">
        <f t="shared" si="222"/>
        <v>0</v>
      </c>
      <c r="AD1107" s="22">
        <f t="shared" si="212"/>
        <v>0</v>
      </c>
      <c r="AE1107" s="22">
        <f t="shared" si="213"/>
        <v>0</v>
      </c>
      <c r="AF1107" s="19" t="str">
        <f>VLOOKUP(C1107,'2021-22 School Level AAFTE'!C:N,12,FALSE)</f>
        <v>No</v>
      </c>
    </row>
    <row r="1108" spans="1:32" s="19" customFormat="1">
      <c r="A1108" s="97" t="s">
        <v>2536</v>
      </c>
      <c r="B1108" s="97" t="s">
        <v>2110</v>
      </c>
      <c r="C1108" s="95">
        <v>3930</v>
      </c>
      <c r="D1108" s="95" t="s">
        <v>943</v>
      </c>
      <c r="E1108" s="129">
        <f>VLOOKUP($C1108,'2021-22 School Level AAFTE'!$C:$Z,11,FALSE)</f>
        <v>0.34736666666666666</v>
      </c>
      <c r="F1108" s="129" t="str">
        <f>VLOOKUP($C1108,'2021-22 School Level AAFTE'!$C:$Z,8,FALSE)</f>
        <v>No</v>
      </c>
      <c r="G1108" s="129" t="str">
        <f>VLOOKUP($C1108,'2021-22 School Level AAFTE'!$C:$Z,12,FALSE)</f>
        <v>No</v>
      </c>
      <c r="H1108" s="127">
        <f>VLOOKUP($C1108,'2021-22 School Level AAFTE'!$C:$I,7,FALSE)</f>
        <v>353.9</v>
      </c>
      <c r="I1108" s="112">
        <f>IFERROR(IF(OR(G1108="yes",F1108= "yes"),VLOOKUP(C1108,Summary!$B:$J,6,0),0),0)</f>
        <v>0</v>
      </c>
      <c r="J1108" s="111">
        <f t="shared" si="216"/>
        <v>0</v>
      </c>
      <c r="K1108" s="91">
        <f>VLOOKUP($A1108,'2022-23 Salary &amp; Benefits'!$A:$I,3,FALSE)</f>
        <v>1.06</v>
      </c>
      <c r="L1108" s="91">
        <f>VLOOKUP($A1108,'2022-23 Salary &amp; Benefits'!$A:$I,4,FALSE)</f>
        <v>1.06</v>
      </c>
      <c r="M1108" s="101">
        <f t="shared" si="211"/>
        <v>0</v>
      </c>
      <c r="N1108" s="24">
        <v>15</v>
      </c>
      <c r="O1108" s="26">
        <f t="shared" si="214"/>
        <v>0</v>
      </c>
      <c r="P1108" s="24">
        <v>1.1000000000000001</v>
      </c>
      <c r="Q1108" s="24">
        <v>36</v>
      </c>
      <c r="R1108" s="27">
        <f t="shared" si="215"/>
        <v>0</v>
      </c>
      <c r="S1108" s="102">
        <f t="shared" si="217"/>
        <v>0</v>
      </c>
      <c r="T1108" s="21">
        <f>VLOOKUP($A1108,'2022-23 Salary &amp; Benefits'!$A:$I,5,FALSE)</f>
        <v>68937</v>
      </c>
      <c r="U1108" s="21">
        <f>VLOOKUP($A1108,'2022-23 Salary &amp; Benefits'!$A:$I,6,FALSE)</f>
        <v>72728</v>
      </c>
      <c r="V1108" s="22">
        <f t="shared" si="218"/>
        <v>0</v>
      </c>
      <c r="W1108" s="22">
        <f t="shared" si="219"/>
        <v>0</v>
      </c>
      <c r="X1108" s="22">
        <f>'2022-23 Salary &amp; Benefits'!$G$6</f>
        <v>12558.24</v>
      </c>
      <c r="Y1108" s="23">
        <f>'2022-23 Salary &amp; Benefits'!$H$6</f>
        <v>0.2298</v>
      </c>
      <c r="Z1108" s="23">
        <f>'2022-23 Salary &amp; Benefits'!$I$6</f>
        <v>0.22339999999999999</v>
      </c>
      <c r="AA1108" s="22">
        <f t="shared" si="220"/>
        <v>0</v>
      </c>
      <c r="AB1108" s="22">
        <f t="shared" si="221"/>
        <v>0</v>
      </c>
      <c r="AC1108" s="22">
        <f t="shared" si="222"/>
        <v>0</v>
      </c>
      <c r="AD1108" s="22">
        <f t="shared" si="212"/>
        <v>0</v>
      </c>
      <c r="AE1108" s="22">
        <f t="shared" si="213"/>
        <v>0</v>
      </c>
      <c r="AF1108" s="19" t="str">
        <f>VLOOKUP(C1108,'2021-22 School Level AAFTE'!C:N,12,FALSE)</f>
        <v>No</v>
      </c>
    </row>
    <row r="1109" spans="1:32" s="19" customFormat="1">
      <c r="A1109" s="97" t="s">
        <v>2536</v>
      </c>
      <c r="B1109" s="97" t="s">
        <v>2110</v>
      </c>
      <c r="C1109" s="95">
        <v>5047</v>
      </c>
      <c r="D1109" s="95" t="s">
        <v>2113</v>
      </c>
      <c r="E1109" s="129">
        <f>VLOOKUP($C1109,'2021-22 School Level AAFTE'!$C:$Z,11,FALSE)</f>
        <v>0.12086666666666666</v>
      </c>
      <c r="F1109" s="129" t="str">
        <f>VLOOKUP($C1109,'2021-22 School Level AAFTE'!$C:$Z,8,FALSE)</f>
        <v>No</v>
      </c>
      <c r="G1109" s="129" t="str">
        <f>VLOOKUP($C1109,'2021-22 School Level AAFTE'!$C:$Z,12,FALSE)</f>
        <v>No</v>
      </c>
      <c r="H1109" s="127">
        <f>VLOOKUP($C1109,'2021-22 School Level AAFTE'!$C:$I,7,FALSE)</f>
        <v>224.32</v>
      </c>
      <c r="I1109" s="112">
        <f>IFERROR(IF(OR(G1109="yes",F1109= "yes"),VLOOKUP(C1109,Summary!$B:$J,6,0),0),0)</f>
        <v>0</v>
      </c>
      <c r="J1109" s="111">
        <f t="shared" si="216"/>
        <v>0</v>
      </c>
      <c r="K1109" s="91">
        <f>VLOOKUP($A1109,'2022-23 Salary &amp; Benefits'!$A:$I,3,FALSE)</f>
        <v>1.06</v>
      </c>
      <c r="L1109" s="91">
        <f>VLOOKUP($A1109,'2022-23 Salary &amp; Benefits'!$A:$I,4,FALSE)</f>
        <v>1.06</v>
      </c>
      <c r="M1109" s="101">
        <f t="shared" si="211"/>
        <v>0</v>
      </c>
      <c r="N1109" s="24">
        <v>15</v>
      </c>
      <c r="O1109" s="26">
        <f t="shared" si="214"/>
        <v>0</v>
      </c>
      <c r="P1109" s="24">
        <v>1.1000000000000001</v>
      </c>
      <c r="Q1109" s="24">
        <v>36</v>
      </c>
      <c r="R1109" s="27">
        <f t="shared" si="215"/>
        <v>0</v>
      </c>
      <c r="S1109" s="102">
        <f t="shared" si="217"/>
        <v>0</v>
      </c>
      <c r="T1109" s="21">
        <f>VLOOKUP($A1109,'2022-23 Salary &amp; Benefits'!$A:$I,5,FALSE)</f>
        <v>68937</v>
      </c>
      <c r="U1109" s="21">
        <f>VLOOKUP($A1109,'2022-23 Salary &amp; Benefits'!$A:$I,6,FALSE)</f>
        <v>72728</v>
      </c>
      <c r="V1109" s="22">
        <f t="shared" si="218"/>
        <v>0</v>
      </c>
      <c r="W1109" s="22">
        <f t="shared" si="219"/>
        <v>0</v>
      </c>
      <c r="X1109" s="22">
        <f>'2022-23 Salary &amp; Benefits'!$G$6</f>
        <v>12558.24</v>
      </c>
      <c r="Y1109" s="23">
        <f>'2022-23 Salary &amp; Benefits'!$H$6</f>
        <v>0.2298</v>
      </c>
      <c r="Z1109" s="23">
        <f>'2022-23 Salary &amp; Benefits'!$I$6</f>
        <v>0.22339999999999999</v>
      </c>
      <c r="AA1109" s="22">
        <f t="shared" si="220"/>
        <v>0</v>
      </c>
      <c r="AB1109" s="22">
        <f t="shared" si="221"/>
        <v>0</v>
      </c>
      <c r="AC1109" s="22">
        <f t="shared" si="222"/>
        <v>0</v>
      </c>
      <c r="AD1109" s="22">
        <f t="shared" si="212"/>
        <v>0</v>
      </c>
      <c r="AE1109" s="22">
        <f t="shared" si="213"/>
        <v>0</v>
      </c>
      <c r="AF1109" s="19" t="str">
        <f>VLOOKUP(C1109,'2021-22 School Level AAFTE'!C:N,12,FALSE)</f>
        <v>No</v>
      </c>
    </row>
    <row r="1110" spans="1:32" s="19" customFormat="1">
      <c r="A1110" s="97" t="s">
        <v>2536</v>
      </c>
      <c r="B1110" s="97" t="s">
        <v>2110</v>
      </c>
      <c r="C1110" s="95">
        <v>5448</v>
      </c>
      <c r="D1110" s="95" t="s">
        <v>2114</v>
      </c>
      <c r="E1110" s="129">
        <f>VLOOKUP($C1110,'2021-22 School Level AAFTE'!$C:$Z,11,FALSE)</f>
        <v>0.36506666666666671</v>
      </c>
      <c r="F1110" s="129" t="str">
        <f>VLOOKUP($C1110,'2021-22 School Level AAFTE'!$C:$Z,8,FALSE)</f>
        <v>No</v>
      </c>
      <c r="G1110" s="129" t="str">
        <f>VLOOKUP($C1110,'2021-22 School Level AAFTE'!$C:$Z,12,FALSE)</f>
        <v>No</v>
      </c>
      <c r="H1110" s="127">
        <f>VLOOKUP($C1110,'2021-22 School Level AAFTE'!$C:$I,7,FALSE)</f>
        <v>10</v>
      </c>
      <c r="I1110" s="112">
        <f>IFERROR(IF(OR(G1110="yes",F1110= "yes"),VLOOKUP(C1110,Summary!$B:$J,6,0),0),0)</f>
        <v>0</v>
      </c>
      <c r="J1110" s="111">
        <f t="shared" si="216"/>
        <v>0</v>
      </c>
      <c r="K1110" s="91">
        <f>VLOOKUP($A1110,'2022-23 Salary &amp; Benefits'!$A:$I,3,FALSE)</f>
        <v>1.06</v>
      </c>
      <c r="L1110" s="91">
        <f>VLOOKUP($A1110,'2022-23 Salary &amp; Benefits'!$A:$I,4,FALSE)</f>
        <v>1.06</v>
      </c>
      <c r="M1110" s="101">
        <f t="shared" si="211"/>
        <v>0</v>
      </c>
      <c r="N1110" s="24">
        <v>15</v>
      </c>
      <c r="O1110" s="26">
        <f t="shared" si="214"/>
        <v>0</v>
      </c>
      <c r="P1110" s="24">
        <v>1.1000000000000001</v>
      </c>
      <c r="Q1110" s="24">
        <v>36</v>
      </c>
      <c r="R1110" s="27">
        <f t="shared" si="215"/>
        <v>0</v>
      </c>
      <c r="S1110" s="102">
        <f t="shared" si="217"/>
        <v>0</v>
      </c>
      <c r="T1110" s="21">
        <f>VLOOKUP($A1110,'2022-23 Salary &amp; Benefits'!$A:$I,5,FALSE)</f>
        <v>68937</v>
      </c>
      <c r="U1110" s="21">
        <f>VLOOKUP($A1110,'2022-23 Salary &amp; Benefits'!$A:$I,6,FALSE)</f>
        <v>72728</v>
      </c>
      <c r="V1110" s="22">
        <f t="shared" si="218"/>
        <v>0</v>
      </c>
      <c r="W1110" s="22">
        <f t="shared" si="219"/>
        <v>0</v>
      </c>
      <c r="X1110" s="22">
        <f>'2022-23 Salary &amp; Benefits'!$G$6</f>
        <v>12558.24</v>
      </c>
      <c r="Y1110" s="23">
        <f>'2022-23 Salary &amp; Benefits'!$H$6</f>
        <v>0.2298</v>
      </c>
      <c r="Z1110" s="23">
        <f>'2022-23 Salary &amp; Benefits'!$I$6</f>
        <v>0.22339999999999999</v>
      </c>
      <c r="AA1110" s="22">
        <f t="shared" si="220"/>
        <v>0</v>
      </c>
      <c r="AB1110" s="22">
        <f t="shared" si="221"/>
        <v>0</v>
      </c>
      <c r="AC1110" s="22">
        <f t="shared" si="222"/>
        <v>0</v>
      </c>
      <c r="AD1110" s="22">
        <f t="shared" si="212"/>
        <v>0</v>
      </c>
      <c r="AE1110" s="22">
        <f t="shared" si="213"/>
        <v>0</v>
      </c>
      <c r="AF1110" s="19" t="str">
        <f>VLOOKUP(C1110,'2021-22 School Level AAFTE'!C:N,12,FALSE)</f>
        <v>No</v>
      </c>
    </row>
    <row r="1111" spans="1:32" s="19" customFormat="1">
      <c r="A1111" s="97" t="s">
        <v>2426</v>
      </c>
      <c r="B1111" s="97" t="s">
        <v>1250</v>
      </c>
      <c r="C1111" s="95">
        <v>1621</v>
      </c>
      <c r="D1111" s="95" t="s">
        <v>2891</v>
      </c>
      <c r="E1111" s="129">
        <f>VLOOKUP($C1111,'2021-22 School Level AAFTE'!$C:$Z,11,FALSE)</f>
        <v>0.60450000000000004</v>
      </c>
      <c r="F1111" s="129" t="str">
        <f>VLOOKUP($C1111,'2021-22 School Level AAFTE'!$C:$Z,8,FALSE)</f>
        <v>Yes</v>
      </c>
      <c r="G1111" s="129" t="str">
        <f>VLOOKUP($C1111,'2021-22 School Level AAFTE'!$C:$Z,12,FALSE)</f>
        <v>No</v>
      </c>
      <c r="H1111" s="127">
        <f>VLOOKUP($C1111,'2021-22 School Level AAFTE'!$C:$I,7,FALSE)</f>
        <v>36.700000000000003</v>
      </c>
      <c r="I1111" s="112">
        <f>IFERROR(IF(OR(G1111="yes",F1111= "yes"),VLOOKUP(C1111,Summary!$B:$J,6,0),0),0)</f>
        <v>0</v>
      </c>
      <c r="J1111" s="111">
        <f t="shared" si="216"/>
        <v>36.700000000000003</v>
      </c>
      <c r="K1111" s="91">
        <f>VLOOKUP($A1111,'2022-23 Salary &amp; Benefits'!$A:$I,3,FALSE)</f>
        <v>1</v>
      </c>
      <c r="L1111" s="91">
        <f>VLOOKUP($A1111,'2022-23 Salary &amp; Benefits'!$A:$I,4,FALSE)</f>
        <v>1</v>
      </c>
      <c r="M1111" s="101">
        <f t="shared" si="211"/>
        <v>36.700000000000003</v>
      </c>
      <c r="N1111" s="24">
        <v>15</v>
      </c>
      <c r="O1111" s="26">
        <f t="shared" si="214"/>
        <v>2.4466666666666668</v>
      </c>
      <c r="P1111" s="24">
        <v>1.1000000000000001</v>
      </c>
      <c r="Q1111" s="24">
        <v>36</v>
      </c>
      <c r="R1111" s="27">
        <f t="shared" si="215"/>
        <v>96.888000000000005</v>
      </c>
      <c r="S1111" s="102">
        <f t="shared" si="217"/>
        <v>0.108</v>
      </c>
      <c r="T1111" s="21">
        <f>VLOOKUP($A1111,'2022-23 Salary &amp; Benefits'!$A:$I,5,FALSE)</f>
        <v>68937</v>
      </c>
      <c r="U1111" s="21">
        <f>VLOOKUP($A1111,'2022-23 Salary &amp; Benefits'!$A:$I,6,FALSE)</f>
        <v>72728</v>
      </c>
      <c r="V1111" s="22">
        <f t="shared" si="218"/>
        <v>7445.2</v>
      </c>
      <c r="W1111" s="22">
        <f t="shared" si="219"/>
        <v>409.42000000000007</v>
      </c>
      <c r="X1111" s="22">
        <f>'2022-23 Salary &amp; Benefits'!$G$6</f>
        <v>12558.24</v>
      </c>
      <c r="Y1111" s="23">
        <f>'2022-23 Salary &amp; Benefits'!$H$6</f>
        <v>0.2298</v>
      </c>
      <c r="Z1111" s="23">
        <f>'2022-23 Salary &amp; Benefits'!$I$6</f>
        <v>0.22339999999999999</v>
      </c>
      <c r="AA1111" s="22">
        <f t="shared" si="220"/>
        <v>3158.66</v>
      </c>
      <c r="AB1111" s="22">
        <f t="shared" si="221"/>
        <v>130.91</v>
      </c>
      <c r="AC1111" s="22">
        <f t="shared" si="222"/>
        <v>29.25</v>
      </c>
      <c r="AD1111" s="22">
        <f t="shared" si="212"/>
        <v>160.16</v>
      </c>
      <c r="AE1111" s="22">
        <f t="shared" si="213"/>
        <v>11173.44</v>
      </c>
      <c r="AF1111" s="19" t="str">
        <f>VLOOKUP(C1111,'2021-22 School Level AAFTE'!C:N,12,FALSE)</f>
        <v>No</v>
      </c>
    </row>
    <row r="1112" spans="1:32" s="19" customFormat="1">
      <c r="A1112" s="97" t="s">
        <v>2426</v>
      </c>
      <c r="B1112" s="97" t="s">
        <v>1250</v>
      </c>
      <c r="C1112" s="95">
        <v>1845</v>
      </c>
      <c r="D1112" s="95" t="s">
        <v>1251</v>
      </c>
      <c r="E1112" s="129">
        <f>VLOOKUP($C1112,'2021-22 School Level AAFTE'!$C:$Z,11,FALSE)</f>
        <v>0.39010000000000006</v>
      </c>
      <c r="F1112" s="129" t="str">
        <f>VLOOKUP($C1112,'2021-22 School Level AAFTE'!$C:$Z,8,FALSE)</f>
        <v>No</v>
      </c>
      <c r="G1112" s="129" t="str">
        <f>VLOOKUP($C1112,'2021-22 School Level AAFTE'!$C:$Z,12,FALSE)</f>
        <v>No</v>
      </c>
      <c r="H1112" s="127">
        <f>VLOOKUP($C1112,'2021-22 School Level AAFTE'!$C:$I,7,FALSE)</f>
        <v>26.79</v>
      </c>
      <c r="I1112" s="112">
        <f>IFERROR(IF(OR(G1112="yes",F1112= "yes"),VLOOKUP(C1112,Summary!$B:$J,6,0),0),0)</f>
        <v>0</v>
      </c>
      <c r="J1112" s="111">
        <f t="shared" si="216"/>
        <v>0</v>
      </c>
      <c r="K1112" s="91">
        <f>VLOOKUP($A1112,'2022-23 Salary &amp; Benefits'!$A:$I,3,FALSE)</f>
        <v>1</v>
      </c>
      <c r="L1112" s="91">
        <f>VLOOKUP($A1112,'2022-23 Salary &amp; Benefits'!$A:$I,4,FALSE)</f>
        <v>1</v>
      </c>
      <c r="M1112" s="101">
        <f t="shared" si="211"/>
        <v>0</v>
      </c>
      <c r="N1112" s="24">
        <v>15</v>
      </c>
      <c r="O1112" s="26">
        <f t="shared" si="214"/>
        <v>0</v>
      </c>
      <c r="P1112" s="24">
        <v>1.1000000000000001</v>
      </c>
      <c r="Q1112" s="24">
        <v>36</v>
      </c>
      <c r="R1112" s="27">
        <f t="shared" si="215"/>
        <v>0</v>
      </c>
      <c r="S1112" s="102">
        <f t="shared" si="217"/>
        <v>0</v>
      </c>
      <c r="T1112" s="21">
        <f>VLOOKUP($A1112,'2022-23 Salary &amp; Benefits'!$A:$I,5,FALSE)</f>
        <v>68937</v>
      </c>
      <c r="U1112" s="21">
        <f>VLOOKUP($A1112,'2022-23 Salary &amp; Benefits'!$A:$I,6,FALSE)</f>
        <v>72728</v>
      </c>
      <c r="V1112" s="22">
        <f t="shared" si="218"/>
        <v>0</v>
      </c>
      <c r="W1112" s="22">
        <f t="shared" si="219"/>
        <v>0</v>
      </c>
      <c r="X1112" s="22">
        <f>'2022-23 Salary &amp; Benefits'!$G$6</f>
        <v>12558.24</v>
      </c>
      <c r="Y1112" s="23">
        <f>'2022-23 Salary &amp; Benefits'!$H$6</f>
        <v>0.2298</v>
      </c>
      <c r="Z1112" s="23">
        <f>'2022-23 Salary &amp; Benefits'!$I$6</f>
        <v>0.22339999999999999</v>
      </c>
      <c r="AA1112" s="22">
        <f t="shared" si="220"/>
        <v>0</v>
      </c>
      <c r="AB1112" s="22">
        <f t="shared" si="221"/>
        <v>0</v>
      </c>
      <c r="AC1112" s="22">
        <f t="shared" si="222"/>
        <v>0</v>
      </c>
      <c r="AD1112" s="22">
        <f t="shared" si="212"/>
        <v>0</v>
      </c>
      <c r="AE1112" s="22">
        <f t="shared" si="213"/>
        <v>0</v>
      </c>
      <c r="AF1112" s="19" t="str">
        <f>VLOOKUP(C1112,'2021-22 School Level AAFTE'!C:N,12,FALSE)</f>
        <v>No</v>
      </c>
    </row>
    <row r="1113" spans="1:32" s="19" customFormat="1">
      <c r="A1113" s="97" t="s">
        <v>2426</v>
      </c>
      <c r="B1113" s="97" t="s">
        <v>1250</v>
      </c>
      <c r="C1113" s="95">
        <v>2146</v>
      </c>
      <c r="D1113" s="95" t="s">
        <v>1252</v>
      </c>
      <c r="E1113" s="129">
        <f>VLOOKUP($C1113,'2021-22 School Level AAFTE'!$C:$Z,11,FALSE)</f>
        <v>0.307</v>
      </c>
      <c r="F1113" s="129" t="str">
        <f>VLOOKUP($C1113,'2021-22 School Level AAFTE'!$C:$Z,8,FALSE)</f>
        <v>No</v>
      </c>
      <c r="G1113" s="129" t="str">
        <f>VLOOKUP($C1113,'2021-22 School Level AAFTE'!$C:$Z,12,FALSE)</f>
        <v>No</v>
      </c>
      <c r="H1113" s="127">
        <f>VLOOKUP($C1113,'2021-22 School Level AAFTE'!$C:$I,7,FALSE)</f>
        <v>334.91</v>
      </c>
      <c r="I1113" s="112">
        <f>IFERROR(IF(OR(G1113="yes",F1113= "yes"),VLOOKUP(C1113,Summary!$B:$J,6,0),0),0)</f>
        <v>0</v>
      </c>
      <c r="J1113" s="111">
        <f t="shared" si="216"/>
        <v>0</v>
      </c>
      <c r="K1113" s="91">
        <f>VLOOKUP($A1113,'2022-23 Salary &amp; Benefits'!$A:$I,3,FALSE)</f>
        <v>1</v>
      </c>
      <c r="L1113" s="91">
        <f>VLOOKUP($A1113,'2022-23 Salary &amp; Benefits'!$A:$I,4,FALSE)</f>
        <v>1</v>
      </c>
      <c r="M1113" s="101">
        <f t="shared" si="211"/>
        <v>0</v>
      </c>
      <c r="N1113" s="24">
        <v>15</v>
      </c>
      <c r="O1113" s="26">
        <f t="shared" si="214"/>
        <v>0</v>
      </c>
      <c r="P1113" s="24">
        <v>1.1000000000000001</v>
      </c>
      <c r="Q1113" s="24">
        <v>36</v>
      </c>
      <c r="R1113" s="27">
        <f t="shared" si="215"/>
        <v>0</v>
      </c>
      <c r="S1113" s="102">
        <f t="shared" si="217"/>
        <v>0</v>
      </c>
      <c r="T1113" s="21">
        <f>VLOOKUP($A1113,'2022-23 Salary &amp; Benefits'!$A:$I,5,FALSE)</f>
        <v>68937</v>
      </c>
      <c r="U1113" s="21">
        <f>VLOOKUP($A1113,'2022-23 Salary &amp; Benefits'!$A:$I,6,FALSE)</f>
        <v>72728</v>
      </c>
      <c r="V1113" s="22">
        <f t="shared" si="218"/>
        <v>0</v>
      </c>
      <c r="W1113" s="22">
        <f t="shared" si="219"/>
        <v>0</v>
      </c>
      <c r="X1113" s="22">
        <f>'2022-23 Salary &amp; Benefits'!$G$6</f>
        <v>12558.24</v>
      </c>
      <c r="Y1113" s="23">
        <f>'2022-23 Salary &amp; Benefits'!$H$6</f>
        <v>0.2298</v>
      </c>
      <c r="Z1113" s="23">
        <f>'2022-23 Salary &amp; Benefits'!$I$6</f>
        <v>0.22339999999999999</v>
      </c>
      <c r="AA1113" s="22">
        <f t="shared" si="220"/>
        <v>0</v>
      </c>
      <c r="AB1113" s="22">
        <f t="shared" si="221"/>
        <v>0</v>
      </c>
      <c r="AC1113" s="22">
        <f t="shared" si="222"/>
        <v>0</v>
      </c>
      <c r="AD1113" s="22">
        <f t="shared" si="212"/>
        <v>0</v>
      </c>
      <c r="AE1113" s="22">
        <f t="shared" si="213"/>
        <v>0</v>
      </c>
      <c r="AF1113" s="19" t="str">
        <f>VLOOKUP(C1113,'2021-22 School Level AAFTE'!C:N,12,FALSE)</f>
        <v>No</v>
      </c>
    </row>
    <row r="1114" spans="1:32" s="19" customFormat="1">
      <c r="A1114" s="97" t="s">
        <v>2426</v>
      </c>
      <c r="B1114" s="97" t="s">
        <v>1250</v>
      </c>
      <c r="C1114" s="95">
        <v>4501</v>
      </c>
      <c r="D1114" s="95" t="s">
        <v>1253</v>
      </c>
      <c r="E1114" s="129">
        <f>VLOOKUP($C1114,'2021-22 School Level AAFTE'!$C:$Z,11,FALSE)</f>
        <v>0.34233333333333332</v>
      </c>
      <c r="F1114" s="129" t="str">
        <f>VLOOKUP($C1114,'2021-22 School Level AAFTE'!$C:$Z,8,FALSE)</f>
        <v>No</v>
      </c>
      <c r="G1114" s="129" t="str">
        <f>VLOOKUP($C1114,'2021-22 School Level AAFTE'!$C:$Z,12,FALSE)</f>
        <v>No</v>
      </c>
      <c r="H1114" s="127">
        <f>VLOOKUP($C1114,'2021-22 School Level AAFTE'!$C:$I,7,FALSE)</f>
        <v>319.47000000000003</v>
      </c>
      <c r="I1114" s="112">
        <f>IFERROR(IF(OR(G1114="yes",F1114= "yes"),VLOOKUP(C1114,Summary!$B:$J,6,0),0),0)</f>
        <v>0</v>
      </c>
      <c r="J1114" s="111">
        <f t="shared" si="216"/>
        <v>0</v>
      </c>
      <c r="K1114" s="91">
        <f>VLOOKUP($A1114,'2022-23 Salary &amp; Benefits'!$A:$I,3,FALSE)</f>
        <v>1</v>
      </c>
      <c r="L1114" s="91">
        <f>VLOOKUP($A1114,'2022-23 Salary &amp; Benefits'!$A:$I,4,FALSE)</f>
        <v>1</v>
      </c>
      <c r="M1114" s="39">
        <f t="shared" si="211"/>
        <v>0</v>
      </c>
      <c r="N1114" s="24">
        <v>15</v>
      </c>
      <c r="O1114" s="26">
        <f t="shared" si="214"/>
        <v>0</v>
      </c>
      <c r="P1114" s="24">
        <v>1.1000000000000001</v>
      </c>
      <c r="Q1114" s="24">
        <v>36</v>
      </c>
      <c r="R1114" s="27">
        <f t="shared" si="215"/>
        <v>0</v>
      </c>
      <c r="S1114" s="102">
        <f t="shared" si="217"/>
        <v>0</v>
      </c>
      <c r="T1114" s="21">
        <f>VLOOKUP($A1114,'2022-23 Salary &amp; Benefits'!$A:$I,5,FALSE)</f>
        <v>68937</v>
      </c>
      <c r="U1114" s="21">
        <f>VLOOKUP($A1114,'2022-23 Salary &amp; Benefits'!$A:$I,6,FALSE)</f>
        <v>72728</v>
      </c>
      <c r="V1114" s="22">
        <f t="shared" si="218"/>
        <v>0</v>
      </c>
      <c r="W1114" s="22">
        <f t="shared" si="219"/>
        <v>0</v>
      </c>
      <c r="X1114" s="22">
        <f>'2022-23 Salary &amp; Benefits'!$G$6</f>
        <v>12558.24</v>
      </c>
      <c r="Y1114" s="23">
        <f>'2022-23 Salary &amp; Benefits'!$H$6</f>
        <v>0.2298</v>
      </c>
      <c r="Z1114" s="23">
        <f>'2022-23 Salary &amp; Benefits'!$I$6</f>
        <v>0.22339999999999999</v>
      </c>
      <c r="AA1114" s="22">
        <f t="shared" si="220"/>
        <v>0</v>
      </c>
      <c r="AB1114" s="22">
        <f t="shared" si="221"/>
        <v>0</v>
      </c>
      <c r="AC1114" s="22">
        <f t="shared" si="222"/>
        <v>0</v>
      </c>
      <c r="AD1114" s="22">
        <f t="shared" si="212"/>
        <v>0</v>
      </c>
      <c r="AE1114" s="22">
        <f t="shared" si="213"/>
        <v>0</v>
      </c>
      <c r="AF1114" s="19" t="str">
        <f>VLOOKUP(C1114,'2021-22 School Level AAFTE'!C:N,12,FALSE)</f>
        <v>No</v>
      </c>
    </row>
    <row r="1115" spans="1:32" s="19" customFormat="1">
      <c r="A1115" s="97" t="s">
        <v>2470</v>
      </c>
      <c r="B1115" s="97" t="s">
        <v>1589</v>
      </c>
      <c r="C1115" s="95">
        <v>3406</v>
      </c>
      <c r="D1115" s="95" t="s">
        <v>1590</v>
      </c>
      <c r="E1115" s="129">
        <f>VLOOKUP($C1115,'2021-22 School Level AAFTE'!$C:$Z,11,FALSE)</f>
        <v>0.3785</v>
      </c>
      <c r="F1115" s="129" t="str">
        <f>VLOOKUP($C1115,'2021-22 School Level AAFTE'!$C:$Z,8,FALSE)</f>
        <v>Yes</v>
      </c>
      <c r="G1115" s="129" t="str">
        <f>VLOOKUP($C1115,'2021-22 School Level AAFTE'!$C:$Z,12,FALSE)</f>
        <v>No</v>
      </c>
      <c r="H1115" s="127">
        <f>VLOOKUP($C1115,'2021-22 School Level AAFTE'!$C:$I,7,FALSE)</f>
        <v>21.93</v>
      </c>
      <c r="I1115" s="112">
        <f>IFERROR(IF(OR(G1115="yes",F1115= "yes"),VLOOKUP(C1115,Summary!$B:$J,6,0),0),0)</f>
        <v>0</v>
      </c>
      <c r="J1115" s="111">
        <f t="shared" si="216"/>
        <v>21.93</v>
      </c>
      <c r="K1115" s="91">
        <f>VLOOKUP($A1115,'2022-23 Salary &amp; Benefits'!$A:$I,3,FALSE)</f>
        <v>1</v>
      </c>
      <c r="L1115" s="91">
        <f>VLOOKUP($A1115,'2022-23 Salary &amp; Benefits'!$A:$I,4,FALSE)</f>
        <v>1</v>
      </c>
      <c r="M1115" s="39">
        <f t="shared" si="211"/>
        <v>21.93</v>
      </c>
      <c r="N1115" s="24">
        <v>15</v>
      </c>
      <c r="O1115" s="26">
        <f t="shared" si="214"/>
        <v>1.462</v>
      </c>
      <c r="P1115" s="24">
        <v>1.1000000000000001</v>
      </c>
      <c r="Q1115" s="24">
        <v>36</v>
      </c>
      <c r="R1115" s="27">
        <f t="shared" si="215"/>
        <v>57.895200000000003</v>
      </c>
      <c r="S1115" s="102">
        <f t="shared" si="217"/>
        <v>6.4000000000000001E-2</v>
      </c>
      <c r="T1115" s="21">
        <f>VLOOKUP($A1115,'2022-23 Salary &amp; Benefits'!$A:$I,5,FALSE)</f>
        <v>68937</v>
      </c>
      <c r="U1115" s="21">
        <f>VLOOKUP($A1115,'2022-23 Salary &amp; Benefits'!$A:$I,6,FALSE)</f>
        <v>72728</v>
      </c>
      <c r="V1115" s="22">
        <f t="shared" si="218"/>
        <v>4411.97</v>
      </c>
      <c r="W1115" s="22">
        <f t="shared" si="219"/>
        <v>242.61999999999989</v>
      </c>
      <c r="X1115" s="22">
        <f>'2022-23 Salary &amp; Benefits'!$G$6</f>
        <v>12558.24</v>
      </c>
      <c r="Y1115" s="23">
        <f>'2022-23 Salary &amp; Benefits'!$H$6</f>
        <v>0.2298</v>
      </c>
      <c r="Z1115" s="23">
        <f>'2022-23 Salary &amp; Benefits'!$I$6</f>
        <v>0.22339999999999999</v>
      </c>
      <c r="AA1115" s="22">
        <f t="shared" si="220"/>
        <v>1871.8</v>
      </c>
      <c r="AB1115" s="22">
        <f t="shared" si="221"/>
        <v>77.58</v>
      </c>
      <c r="AC1115" s="22">
        <f t="shared" si="222"/>
        <v>17.329999999999998</v>
      </c>
      <c r="AD1115" s="22">
        <f t="shared" si="212"/>
        <v>94.91</v>
      </c>
      <c r="AE1115" s="22">
        <f t="shared" si="213"/>
        <v>6621.3</v>
      </c>
      <c r="AF1115" s="19" t="str">
        <f>VLOOKUP(C1115,'2021-22 School Level AAFTE'!C:N,12,FALSE)</f>
        <v>No</v>
      </c>
    </row>
    <row r="1116" spans="1:32" s="19" customFormat="1">
      <c r="A1116" s="97" t="s">
        <v>2470</v>
      </c>
      <c r="B1116" s="97" t="s">
        <v>1589</v>
      </c>
      <c r="C1116" s="95">
        <v>5480</v>
      </c>
      <c r="D1116" s="95" t="s">
        <v>2724</v>
      </c>
      <c r="E1116" s="129">
        <f>VLOOKUP($C1116,'2021-22 School Level AAFTE'!$C:$Z,11,FALSE)</f>
        <v>0.1452</v>
      </c>
      <c r="F1116" s="129" t="str">
        <f>VLOOKUP($C1116,'2021-22 School Level AAFTE'!$C:$Z,8,FALSE)</f>
        <v>No</v>
      </c>
      <c r="G1116" s="129" t="str">
        <f>VLOOKUP($C1116,'2021-22 School Level AAFTE'!$C:$Z,12,FALSE)</f>
        <v>No</v>
      </c>
      <c r="H1116" s="127">
        <f>VLOOKUP($C1116,'2021-22 School Level AAFTE'!$C:$I,7,FALSE)</f>
        <v>3.91</v>
      </c>
      <c r="I1116" s="112">
        <f>IFERROR(IF(OR(G1116="yes",F1116= "yes"),VLOOKUP(C1116,Summary!$B:$J,6,0),0),0)</f>
        <v>0</v>
      </c>
      <c r="J1116" s="111">
        <f t="shared" si="216"/>
        <v>0</v>
      </c>
      <c r="K1116" s="91">
        <f>VLOOKUP($A1116,'2022-23 Salary &amp; Benefits'!$A:$I,3,FALSE)</f>
        <v>1</v>
      </c>
      <c r="L1116" s="91">
        <f>VLOOKUP($A1116,'2022-23 Salary &amp; Benefits'!$A:$I,4,FALSE)</f>
        <v>1</v>
      </c>
      <c r="M1116" s="39">
        <f t="shared" si="211"/>
        <v>0</v>
      </c>
      <c r="N1116" s="24">
        <v>15</v>
      </c>
      <c r="O1116" s="26">
        <f t="shared" si="214"/>
        <v>0</v>
      </c>
      <c r="P1116" s="24">
        <v>1.1000000000000001</v>
      </c>
      <c r="Q1116" s="24">
        <v>36</v>
      </c>
      <c r="R1116" s="27">
        <f t="shared" si="215"/>
        <v>0</v>
      </c>
      <c r="S1116" s="102">
        <f t="shared" si="217"/>
        <v>0</v>
      </c>
      <c r="T1116" s="21">
        <f>VLOOKUP($A1116,'2022-23 Salary &amp; Benefits'!$A:$I,5,FALSE)</f>
        <v>68937</v>
      </c>
      <c r="U1116" s="21">
        <f>VLOOKUP($A1116,'2022-23 Salary &amp; Benefits'!$A:$I,6,FALSE)</f>
        <v>72728</v>
      </c>
      <c r="V1116" s="22">
        <f t="shared" si="218"/>
        <v>0</v>
      </c>
      <c r="W1116" s="22">
        <f t="shared" si="219"/>
        <v>0</v>
      </c>
      <c r="X1116" s="22">
        <f>'2022-23 Salary &amp; Benefits'!$G$6</f>
        <v>12558.24</v>
      </c>
      <c r="Y1116" s="23">
        <f>'2022-23 Salary &amp; Benefits'!$H$6</f>
        <v>0.2298</v>
      </c>
      <c r="Z1116" s="23">
        <f>'2022-23 Salary &amp; Benefits'!$I$6</f>
        <v>0.22339999999999999</v>
      </c>
      <c r="AA1116" s="22">
        <f t="shared" si="220"/>
        <v>0</v>
      </c>
      <c r="AB1116" s="22">
        <f t="shared" si="221"/>
        <v>0</v>
      </c>
      <c r="AC1116" s="22">
        <f t="shared" si="222"/>
        <v>0</v>
      </c>
      <c r="AD1116" s="22">
        <f t="shared" si="212"/>
        <v>0</v>
      </c>
      <c r="AE1116" s="22">
        <f t="shared" si="213"/>
        <v>0</v>
      </c>
      <c r="AF1116" s="19" t="str">
        <f>VLOOKUP(C1116,'2021-22 School Level AAFTE'!C:N,12,FALSE)</f>
        <v>No</v>
      </c>
    </row>
    <row r="1117" spans="1:32" s="19" customFormat="1">
      <c r="A1117" s="97" t="s">
        <v>2479</v>
      </c>
      <c r="B1117" s="97" t="s">
        <v>1710</v>
      </c>
      <c r="C1117" s="95">
        <v>1570</v>
      </c>
      <c r="D1117" s="95" t="s">
        <v>2849</v>
      </c>
      <c r="E1117" s="129">
        <f>VLOOKUP($C1117,'2021-22 School Level AAFTE'!$C:$Z,11,FALSE)</f>
        <v>0</v>
      </c>
      <c r="F1117" s="129" t="str">
        <f>VLOOKUP($C1117,'2021-22 School Level AAFTE'!$C:$Z,8,FALSE)</f>
        <v>No</v>
      </c>
      <c r="G1117" s="129" t="str">
        <f>VLOOKUP($C1117,'2021-22 School Level AAFTE'!$C:$Z,12,FALSE)</f>
        <v>No</v>
      </c>
      <c r="H1117" s="127">
        <f>VLOOKUP($C1117,'2021-22 School Level AAFTE'!$C:$I,7,FALSE)</f>
        <v>0.43</v>
      </c>
      <c r="I1117" s="112">
        <f>IFERROR(IF(OR(G1117="yes",F1117= "yes"),VLOOKUP(C1117,Summary!$B:$J,6,0),0),0)</f>
        <v>0</v>
      </c>
      <c r="J1117" s="111">
        <f t="shared" si="216"/>
        <v>0</v>
      </c>
      <c r="K1117" s="91">
        <f>VLOOKUP($A1117,'2022-23 Salary &amp; Benefits'!$A:$I,3,FALSE)</f>
        <v>1.18</v>
      </c>
      <c r="L1117" s="91">
        <f>VLOOKUP($A1117,'2022-23 Salary &amp; Benefits'!$A:$I,4,FALSE)</f>
        <v>1.18</v>
      </c>
      <c r="M1117" s="39">
        <f t="shared" ref="M1117:M1174" si="223">IF(I1117&gt;0,I1117,J1117)</f>
        <v>0</v>
      </c>
      <c r="N1117" s="24">
        <v>15</v>
      </c>
      <c r="O1117" s="26">
        <f t="shared" si="214"/>
        <v>0</v>
      </c>
      <c r="P1117" s="24">
        <v>1.1000000000000001</v>
      </c>
      <c r="Q1117" s="24">
        <v>36</v>
      </c>
      <c r="R1117" s="27">
        <f t="shared" si="215"/>
        <v>0</v>
      </c>
      <c r="S1117" s="102">
        <f t="shared" si="217"/>
        <v>0</v>
      </c>
      <c r="T1117" s="21">
        <f>VLOOKUP($A1117,'2022-23 Salary &amp; Benefits'!$A:$I,5,FALSE)</f>
        <v>68937</v>
      </c>
      <c r="U1117" s="21">
        <f>VLOOKUP($A1117,'2022-23 Salary &amp; Benefits'!$A:$I,6,FALSE)</f>
        <v>72728</v>
      </c>
      <c r="V1117" s="22">
        <f t="shared" si="218"/>
        <v>0</v>
      </c>
      <c r="W1117" s="22">
        <f t="shared" si="219"/>
        <v>0</v>
      </c>
      <c r="X1117" s="22">
        <f>'2022-23 Salary &amp; Benefits'!$G$6</f>
        <v>12558.24</v>
      </c>
      <c r="Y1117" s="23">
        <f>'2022-23 Salary &amp; Benefits'!$H$6</f>
        <v>0.2298</v>
      </c>
      <c r="Z1117" s="23">
        <f>'2022-23 Salary &amp; Benefits'!$I$6</f>
        <v>0.22339999999999999</v>
      </c>
      <c r="AA1117" s="22">
        <f t="shared" si="220"/>
        <v>0</v>
      </c>
      <c r="AB1117" s="22">
        <f t="shared" si="221"/>
        <v>0</v>
      </c>
      <c r="AC1117" s="22">
        <f t="shared" si="222"/>
        <v>0</v>
      </c>
      <c r="AD1117" s="22">
        <f t="shared" ref="AD1117:AD1174" si="224">SUM(AB1117:AC1117)</f>
        <v>0</v>
      </c>
      <c r="AE1117" s="22">
        <f t="shared" ref="AE1117:AE1174" si="225">SUM(AA1117,V1117:W1117,AD1117)</f>
        <v>0</v>
      </c>
      <c r="AF1117" s="19" t="str">
        <f>VLOOKUP(C1117,'2021-22 School Level AAFTE'!C:N,12,FALSE)</f>
        <v>No</v>
      </c>
    </row>
    <row r="1118" spans="1:32" s="19" customFormat="1">
      <c r="A1118" s="97" t="s">
        <v>2479</v>
      </c>
      <c r="B1118" s="97" t="s">
        <v>1710</v>
      </c>
      <c r="C1118" s="95">
        <v>1643</v>
      </c>
      <c r="D1118" s="95" t="s">
        <v>1711</v>
      </c>
      <c r="E1118" s="129">
        <f>VLOOKUP($C1118,'2021-22 School Level AAFTE'!$C:$Z,11,FALSE)</f>
        <v>0.25216666666666665</v>
      </c>
      <c r="F1118" s="129" t="str">
        <f>VLOOKUP($C1118,'2021-22 School Level AAFTE'!$C:$Z,8,FALSE)</f>
        <v>No</v>
      </c>
      <c r="G1118" s="129" t="str">
        <f>VLOOKUP($C1118,'2021-22 School Level AAFTE'!$C:$Z,12,FALSE)</f>
        <v>No</v>
      </c>
      <c r="H1118" s="127">
        <f>VLOOKUP($C1118,'2021-22 School Level AAFTE'!$C:$I,7,FALSE)</f>
        <v>12.07</v>
      </c>
      <c r="I1118" s="112">
        <f>IFERROR(IF(OR(G1118="yes",F1118= "yes"),VLOOKUP(C1118,Summary!$B:$J,6,0),0),0)</f>
        <v>0</v>
      </c>
      <c r="J1118" s="111">
        <f t="shared" si="216"/>
        <v>0</v>
      </c>
      <c r="K1118" s="91">
        <f>VLOOKUP($A1118,'2022-23 Salary &amp; Benefits'!$A:$I,3,FALSE)</f>
        <v>1.18</v>
      </c>
      <c r="L1118" s="91">
        <f>VLOOKUP($A1118,'2022-23 Salary &amp; Benefits'!$A:$I,4,FALSE)</f>
        <v>1.18</v>
      </c>
      <c r="M1118" s="39">
        <f t="shared" si="223"/>
        <v>0</v>
      </c>
      <c r="N1118" s="24">
        <v>15</v>
      </c>
      <c r="O1118" s="26">
        <f t="shared" si="214"/>
        <v>0</v>
      </c>
      <c r="P1118" s="24">
        <v>1.1000000000000001</v>
      </c>
      <c r="Q1118" s="24">
        <v>36</v>
      </c>
      <c r="R1118" s="27">
        <f t="shared" si="215"/>
        <v>0</v>
      </c>
      <c r="S1118" s="102">
        <f t="shared" si="217"/>
        <v>0</v>
      </c>
      <c r="T1118" s="21">
        <f>VLOOKUP($A1118,'2022-23 Salary &amp; Benefits'!$A:$I,5,FALSE)</f>
        <v>68937</v>
      </c>
      <c r="U1118" s="21">
        <f>VLOOKUP($A1118,'2022-23 Salary &amp; Benefits'!$A:$I,6,FALSE)</f>
        <v>72728</v>
      </c>
      <c r="V1118" s="22">
        <f t="shared" si="218"/>
        <v>0</v>
      </c>
      <c r="W1118" s="22">
        <f t="shared" si="219"/>
        <v>0</v>
      </c>
      <c r="X1118" s="22">
        <f>'2022-23 Salary &amp; Benefits'!$G$6</f>
        <v>12558.24</v>
      </c>
      <c r="Y1118" s="23">
        <f>'2022-23 Salary &amp; Benefits'!$H$6</f>
        <v>0.2298</v>
      </c>
      <c r="Z1118" s="23">
        <f>'2022-23 Salary &amp; Benefits'!$I$6</f>
        <v>0.22339999999999999</v>
      </c>
      <c r="AA1118" s="22">
        <f t="shared" si="220"/>
        <v>0</v>
      </c>
      <c r="AB1118" s="22">
        <f t="shared" si="221"/>
        <v>0</v>
      </c>
      <c r="AC1118" s="22">
        <f t="shared" si="222"/>
        <v>0</v>
      </c>
      <c r="AD1118" s="22">
        <f t="shared" si="224"/>
        <v>0</v>
      </c>
      <c r="AE1118" s="22">
        <f t="shared" si="225"/>
        <v>0</v>
      </c>
      <c r="AF1118" s="19" t="str">
        <f>VLOOKUP(C1118,'2021-22 School Level AAFTE'!C:N,12,FALSE)</f>
        <v>No</v>
      </c>
    </row>
    <row r="1119" spans="1:32" s="19" customFormat="1">
      <c r="A1119" s="97" t="s">
        <v>2479</v>
      </c>
      <c r="B1119" s="97" t="s">
        <v>1710</v>
      </c>
      <c r="C1119" s="95">
        <v>1777</v>
      </c>
      <c r="D1119" s="95" t="s">
        <v>1712</v>
      </c>
      <c r="E1119" s="129">
        <f>VLOOKUP($C1119,'2021-22 School Level AAFTE'!$C:$Z,11,FALSE)</f>
        <v>0.11643333333333333</v>
      </c>
      <c r="F1119" s="129" t="str">
        <f>VLOOKUP($C1119,'2021-22 School Level AAFTE'!$C:$Z,8,FALSE)</f>
        <v>No</v>
      </c>
      <c r="G1119" s="129" t="str">
        <f>VLOOKUP($C1119,'2021-22 School Level AAFTE'!$C:$Z,12,FALSE)</f>
        <v>No</v>
      </c>
      <c r="H1119" s="127">
        <f>VLOOKUP($C1119,'2021-22 School Level AAFTE'!$C:$I,7,FALSE)</f>
        <v>755.65000000000009</v>
      </c>
      <c r="I1119" s="112">
        <f>IFERROR(IF(OR(G1119="yes",F1119= "yes"),VLOOKUP(C1119,Summary!$B:$J,6,0),0),0)</f>
        <v>0</v>
      </c>
      <c r="J1119" s="111">
        <f t="shared" si="216"/>
        <v>0</v>
      </c>
      <c r="K1119" s="91">
        <f>VLOOKUP($A1119,'2022-23 Salary &amp; Benefits'!$A:$I,3,FALSE)</f>
        <v>1.18</v>
      </c>
      <c r="L1119" s="91">
        <f>VLOOKUP($A1119,'2022-23 Salary &amp; Benefits'!$A:$I,4,FALSE)</f>
        <v>1.18</v>
      </c>
      <c r="M1119" s="39">
        <f t="shared" si="223"/>
        <v>0</v>
      </c>
      <c r="N1119" s="24">
        <v>15</v>
      </c>
      <c r="O1119" s="26">
        <f t="shared" si="214"/>
        <v>0</v>
      </c>
      <c r="P1119" s="24">
        <v>1.1000000000000001</v>
      </c>
      <c r="Q1119" s="24">
        <v>36</v>
      </c>
      <c r="R1119" s="27">
        <f t="shared" si="215"/>
        <v>0</v>
      </c>
      <c r="S1119" s="102">
        <f t="shared" si="217"/>
        <v>0</v>
      </c>
      <c r="T1119" s="21">
        <f>VLOOKUP($A1119,'2022-23 Salary &amp; Benefits'!$A:$I,5,FALSE)</f>
        <v>68937</v>
      </c>
      <c r="U1119" s="21">
        <f>VLOOKUP($A1119,'2022-23 Salary &amp; Benefits'!$A:$I,6,FALSE)</f>
        <v>72728</v>
      </c>
      <c r="V1119" s="22">
        <f t="shared" si="218"/>
        <v>0</v>
      </c>
      <c r="W1119" s="22">
        <f t="shared" si="219"/>
        <v>0</v>
      </c>
      <c r="X1119" s="22">
        <f>'2022-23 Salary &amp; Benefits'!$G$6</f>
        <v>12558.24</v>
      </c>
      <c r="Y1119" s="23">
        <f>'2022-23 Salary &amp; Benefits'!$H$6</f>
        <v>0.2298</v>
      </c>
      <c r="Z1119" s="23">
        <f>'2022-23 Salary &amp; Benefits'!$I$6</f>
        <v>0.22339999999999999</v>
      </c>
      <c r="AA1119" s="22">
        <f t="shared" si="220"/>
        <v>0</v>
      </c>
      <c r="AB1119" s="22">
        <f t="shared" si="221"/>
        <v>0</v>
      </c>
      <c r="AC1119" s="22">
        <f t="shared" si="222"/>
        <v>0</v>
      </c>
      <c r="AD1119" s="22">
        <f t="shared" si="224"/>
        <v>0</v>
      </c>
      <c r="AE1119" s="22">
        <f t="shared" si="225"/>
        <v>0</v>
      </c>
      <c r="AF1119" s="19" t="str">
        <f>VLOOKUP(C1119,'2021-22 School Level AAFTE'!C:N,12,FALSE)</f>
        <v>No</v>
      </c>
    </row>
    <row r="1120" spans="1:32" s="19" customFormat="1">
      <c r="A1120" s="97" t="s">
        <v>2479</v>
      </c>
      <c r="B1120" s="97" t="s">
        <v>1710</v>
      </c>
      <c r="C1120" s="95">
        <v>1806</v>
      </c>
      <c r="D1120" s="95" t="s">
        <v>1713</v>
      </c>
      <c r="E1120" s="129">
        <f>VLOOKUP($C1120,'2021-22 School Level AAFTE'!$C:$Z,11,FALSE)</f>
        <v>0.54833333333333334</v>
      </c>
      <c r="F1120" s="129" t="str">
        <f>VLOOKUP($C1120,'2021-22 School Level AAFTE'!$C:$Z,8,FALSE)</f>
        <v>Yes</v>
      </c>
      <c r="G1120" s="129" t="str">
        <f>VLOOKUP($C1120,'2021-22 School Level AAFTE'!$C:$Z,12,FALSE)</f>
        <v>No</v>
      </c>
      <c r="H1120" s="127">
        <f>VLOOKUP($C1120,'2021-22 School Level AAFTE'!$C:$I,7,FALSE)</f>
        <v>53</v>
      </c>
      <c r="I1120" s="112">
        <f>IFERROR(IF(OR(G1120="yes",F1120= "yes"),VLOOKUP(C1120,Summary!$B:$J,6,0),0),0)</f>
        <v>0</v>
      </c>
      <c r="J1120" s="111">
        <f t="shared" si="216"/>
        <v>53</v>
      </c>
      <c r="K1120" s="91">
        <f>VLOOKUP($A1120,'2022-23 Salary &amp; Benefits'!$A:$I,3,FALSE)</f>
        <v>1.18</v>
      </c>
      <c r="L1120" s="91">
        <f>VLOOKUP($A1120,'2022-23 Salary &amp; Benefits'!$A:$I,4,FALSE)</f>
        <v>1.18</v>
      </c>
      <c r="M1120" s="39">
        <f t="shared" si="223"/>
        <v>53</v>
      </c>
      <c r="N1120" s="24">
        <v>15</v>
      </c>
      <c r="O1120" s="26">
        <f t="shared" si="214"/>
        <v>3.5333333333333332</v>
      </c>
      <c r="P1120" s="24">
        <v>1.1000000000000001</v>
      </c>
      <c r="Q1120" s="24">
        <v>36</v>
      </c>
      <c r="R1120" s="27">
        <f t="shared" si="215"/>
        <v>139.92000000000002</v>
      </c>
      <c r="S1120" s="102">
        <f t="shared" si="217"/>
        <v>0.155</v>
      </c>
      <c r="T1120" s="21">
        <f>VLOOKUP($A1120,'2022-23 Salary &amp; Benefits'!$A:$I,5,FALSE)</f>
        <v>68937</v>
      </c>
      <c r="U1120" s="21">
        <f>VLOOKUP($A1120,'2022-23 Salary &amp; Benefits'!$A:$I,6,FALSE)</f>
        <v>72728</v>
      </c>
      <c r="V1120" s="22">
        <f t="shared" si="218"/>
        <v>12608.58</v>
      </c>
      <c r="W1120" s="22">
        <f t="shared" si="219"/>
        <v>693.3700000000008</v>
      </c>
      <c r="X1120" s="22">
        <f>'2022-23 Salary &amp; Benefits'!$G$6</f>
        <v>12558.24</v>
      </c>
      <c r="Y1120" s="23">
        <f>'2022-23 Salary &amp; Benefits'!$H$6</f>
        <v>0.2298</v>
      </c>
      <c r="Z1120" s="23">
        <f>'2022-23 Salary &amp; Benefits'!$I$6</f>
        <v>0.22339999999999999</v>
      </c>
      <c r="AA1120" s="22">
        <f t="shared" si="220"/>
        <v>4998.88</v>
      </c>
      <c r="AB1120" s="22">
        <f t="shared" si="221"/>
        <v>221.7</v>
      </c>
      <c r="AC1120" s="22">
        <f t="shared" si="222"/>
        <v>49.53</v>
      </c>
      <c r="AD1120" s="22">
        <f t="shared" si="224"/>
        <v>271.23</v>
      </c>
      <c r="AE1120" s="22">
        <f t="shared" si="225"/>
        <v>18572.060000000001</v>
      </c>
      <c r="AF1120" s="19" t="str">
        <f>VLOOKUP(C1120,'2021-22 School Level AAFTE'!C:N,12,FALSE)</f>
        <v>No</v>
      </c>
    </row>
    <row r="1121" spans="1:32" s="19" customFormat="1">
      <c r="A1121" s="97" t="s">
        <v>2479</v>
      </c>
      <c r="B1121" s="97" t="s">
        <v>1710</v>
      </c>
      <c r="C1121" s="95">
        <v>1883</v>
      </c>
      <c r="D1121" s="95" t="s">
        <v>1714</v>
      </c>
      <c r="E1121" s="129">
        <f>VLOOKUP($C1121,'2021-22 School Level AAFTE'!$C:$Z,11,FALSE)</f>
        <v>0.16663333333333333</v>
      </c>
      <c r="F1121" s="129" t="str">
        <f>VLOOKUP($C1121,'2021-22 School Level AAFTE'!$C:$Z,8,FALSE)</f>
        <v>No</v>
      </c>
      <c r="G1121" s="129" t="str">
        <f>VLOOKUP($C1121,'2021-22 School Level AAFTE'!$C:$Z,12,FALSE)</f>
        <v>No</v>
      </c>
      <c r="H1121" s="127">
        <f>VLOOKUP($C1121,'2021-22 School Level AAFTE'!$C:$I,7,FALSE)</f>
        <v>153.56</v>
      </c>
      <c r="I1121" s="112">
        <f>IFERROR(IF(OR(G1121="yes",F1121= "yes"),VLOOKUP(C1121,Summary!$B:$J,6,0),0),0)</f>
        <v>0</v>
      </c>
      <c r="J1121" s="111">
        <f t="shared" si="216"/>
        <v>0</v>
      </c>
      <c r="K1121" s="91">
        <f>VLOOKUP($A1121,'2022-23 Salary &amp; Benefits'!$A:$I,3,FALSE)</f>
        <v>1.18</v>
      </c>
      <c r="L1121" s="91">
        <f>VLOOKUP($A1121,'2022-23 Salary &amp; Benefits'!$A:$I,4,FALSE)</f>
        <v>1.18</v>
      </c>
      <c r="M1121" s="39">
        <f t="shared" si="223"/>
        <v>0</v>
      </c>
      <c r="N1121" s="24">
        <v>15</v>
      </c>
      <c r="O1121" s="26">
        <f t="shared" si="214"/>
        <v>0</v>
      </c>
      <c r="P1121" s="24">
        <v>1.1000000000000001</v>
      </c>
      <c r="Q1121" s="24">
        <v>36</v>
      </c>
      <c r="R1121" s="27">
        <f t="shared" si="215"/>
        <v>0</v>
      </c>
      <c r="S1121" s="102">
        <f t="shared" si="217"/>
        <v>0</v>
      </c>
      <c r="T1121" s="21">
        <f>VLOOKUP($A1121,'2022-23 Salary &amp; Benefits'!$A:$I,5,FALSE)</f>
        <v>68937</v>
      </c>
      <c r="U1121" s="21">
        <f>VLOOKUP($A1121,'2022-23 Salary &amp; Benefits'!$A:$I,6,FALSE)</f>
        <v>72728</v>
      </c>
      <c r="V1121" s="22">
        <f t="shared" si="218"/>
        <v>0</v>
      </c>
      <c r="W1121" s="22">
        <f t="shared" si="219"/>
        <v>0</v>
      </c>
      <c r="X1121" s="22">
        <f>'2022-23 Salary &amp; Benefits'!$G$6</f>
        <v>12558.24</v>
      </c>
      <c r="Y1121" s="23">
        <f>'2022-23 Salary &amp; Benefits'!$H$6</f>
        <v>0.2298</v>
      </c>
      <c r="Z1121" s="23">
        <f>'2022-23 Salary &amp; Benefits'!$I$6</f>
        <v>0.22339999999999999</v>
      </c>
      <c r="AA1121" s="22">
        <f t="shared" si="220"/>
        <v>0</v>
      </c>
      <c r="AB1121" s="22">
        <f t="shared" si="221"/>
        <v>0</v>
      </c>
      <c r="AC1121" s="22">
        <f t="shared" si="222"/>
        <v>0</v>
      </c>
      <c r="AD1121" s="22">
        <f t="shared" si="224"/>
        <v>0</v>
      </c>
      <c r="AE1121" s="22">
        <f t="shared" si="225"/>
        <v>0</v>
      </c>
      <c r="AF1121" s="19" t="str">
        <f>VLOOKUP(C1121,'2021-22 School Level AAFTE'!C:N,12,FALSE)</f>
        <v>No</v>
      </c>
    </row>
    <row r="1122" spans="1:32" s="19" customFormat="1">
      <c r="A1122" s="97" t="s">
        <v>2479</v>
      </c>
      <c r="B1122" s="97" t="s">
        <v>1710</v>
      </c>
      <c r="C1122" s="95">
        <v>2546</v>
      </c>
      <c r="D1122" s="95" t="s">
        <v>1715</v>
      </c>
      <c r="E1122" s="129">
        <f>VLOOKUP($C1122,'2021-22 School Level AAFTE'!$C:$Z,11,FALSE)</f>
        <v>0.20596666666666666</v>
      </c>
      <c r="F1122" s="129" t="str">
        <f>VLOOKUP($C1122,'2021-22 School Level AAFTE'!$C:$Z,8,FALSE)</f>
        <v>No</v>
      </c>
      <c r="G1122" s="129" t="str">
        <f>VLOOKUP($C1122,'2021-22 School Level AAFTE'!$C:$Z,12,FALSE)</f>
        <v>No</v>
      </c>
      <c r="H1122" s="127">
        <f>VLOOKUP($C1122,'2021-22 School Level AAFTE'!$C:$I,7,FALSE)</f>
        <v>327</v>
      </c>
      <c r="I1122" s="112">
        <f>IFERROR(IF(OR(G1122="yes",F1122= "yes"),VLOOKUP(C1122,Summary!$B:$J,6,0),0),0)</f>
        <v>0</v>
      </c>
      <c r="J1122" s="111">
        <f t="shared" si="216"/>
        <v>0</v>
      </c>
      <c r="K1122" s="91">
        <f>VLOOKUP($A1122,'2022-23 Salary &amp; Benefits'!$A:$I,3,FALSE)</f>
        <v>1.18</v>
      </c>
      <c r="L1122" s="91">
        <f>VLOOKUP($A1122,'2022-23 Salary &amp; Benefits'!$A:$I,4,FALSE)</f>
        <v>1.18</v>
      </c>
      <c r="M1122" s="39">
        <f t="shared" si="223"/>
        <v>0</v>
      </c>
      <c r="N1122" s="24">
        <v>15</v>
      </c>
      <c r="O1122" s="26">
        <f t="shared" si="214"/>
        <v>0</v>
      </c>
      <c r="P1122" s="24">
        <v>1.1000000000000001</v>
      </c>
      <c r="Q1122" s="24">
        <v>36</v>
      </c>
      <c r="R1122" s="27">
        <f t="shared" si="215"/>
        <v>0</v>
      </c>
      <c r="S1122" s="102">
        <f t="shared" si="217"/>
        <v>0</v>
      </c>
      <c r="T1122" s="21">
        <f>VLOOKUP($A1122,'2022-23 Salary &amp; Benefits'!$A:$I,5,FALSE)</f>
        <v>68937</v>
      </c>
      <c r="U1122" s="21">
        <f>VLOOKUP($A1122,'2022-23 Salary &amp; Benefits'!$A:$I,6,FALSE)</f>
        <v>72728</v>
      </c>
      <c r="V1122" s="22">
        <f t="shared" si="218"/>
        <v>0</v>
      </c>
      <c r="W1122" s="22">
        <f t="shared" si="219"/>
        <v>0</v>
      </c>
      <c r="X1122" s="22">
        <f>'2022-23 Salary &amp; Benefits'!$G$6</f>
        <v>12558.24</v>
      </c>
      <c r="Y1122" s="23">
        <f>'2022-23 Salary &amp; Benefits'!$H$6</f>
        <v>0.2298</v>
      </c>
      <c r="Z1122" s="23">
        <f>'2022-23 Salary &amp; Benefits'!$I$6</f>
        <v>0.22339999999999999</v>
      </c>
      <c r="AA1122" s="22">
        <f t="shared" si="220"/>
        <v>0</v>
      </c>
      <c r="AB1122" s="22">
        <f t="shared" si="221"/>
        <v>0</v>
      </c>
      <c r="AC1122" s="22">
        <f t="shared" si="222"/>
        <v>0</v>
      </c>
      <c r="AD1122" s="22">
        <f t="shared" si="224"/>
        <v>0</v>
      </c>
      <c r="AE1122" s="22">
        <f t="shared" si="225"/>
        <v>0</v>
      </c>
      <c r="AF1122" s="19" t="str">
        <f>VLOOKUP(C1122,'2021-22 School Level AAFTE'!C:N,12,FALSE)</f>
        <v>No</v>
      </c>
    </row>
    <row r="1123" spans="1:32" s="19" customFormat="1">
      <c r="A1123" s="97" t="s">
        <v>2479</v>
      </c>
      <c r="B1123" s="97" t="s">
        <v>1710</v>
      </c>
      <c r="C1123" s="95">
        <v>3060</v>
      </c>
      <c r="D1123" s="95" t="s">
        <v>1716</v>
      </c>
      <c r="E1123" s="129">
        <f>VLOOKUP($C1123,'2021-22 School Level AAFTE'!$C:$Z,11,FALSE)</f>
        <v>0.64166666666666661</v>
      </c>
      <c r="F1123" s="129" t="str">
        <f>VLOOKUP($C1123,'2021-22 School Level AAFTE'!$C:$Z,8,FALSE)</f>
        <v>Yes</v>
      </c>
      <c r="G1123" s="129" t="str">
        <f>VLOOKUP($C1123,'2021-22 School Level AAFTE'!$C:$Z,12,FALSE)</f>
        <v>No</v>
      </c>
      <c r="H1123" s="127">
        <f>VLOOKUP($C1123,'2021-22 School Level AAFTE'!$C:$I,7,FALSE)</f>
        <v>549.39</v>
      </c>
      <c r="I1123" s="112">
        <f>IFERROR(IF(OR(G1123="yes",F1123= "yes"),VLOOKUP(C1123,Summary!$B:$J,6,0),0),0)</f>
        <v>0</v>
      </c>
      <c r="J1123" s="111">
        <f t="shared" si="216"/>
        <v>549.39</v>
      </c>
      <c r="K1123" s="91">
        <f>VLOOKUP($A1123,'2022-23 Salary &amp; Benefits'!$A:$I,3,FALSE)</f>
        <v>1.18</v>
      </c>
      <c r="L1123" s="91">
        <f>VLOOKUP($A1123,'2022-23 Salary &amp; Benefits'!$A:$I,4,FALSE)</f>
        <v>1.18</v>
      </c>
      <c r="M1123" s="39">
        <f t="shared" si="223"/>
        <v>549.39</v>
      </c>
      <c r="N1123" s="24">
        <v>15</v>
      </c>
      <c r="O1123" s="26">
        <f t="shared" si="214"/>
        <v>36.625999999999998</v>
      </c>
      <c r="P1123" s="24">
        <v>1.1000000000000001</v>
      </c>
      <c r="Q1123" s="24">
        <v>36</v>
      </c>
      <c r="R1123" s="27">
        <f t="shared" si="215"/>
        <v>1450.3896</v>
      </c>
      <c r="S1123" s="102">
        <f t="shared" si="217"/>
        <v>1.6120000000000001</v>
      </c>
      <c r="T1123" s="21">
        <f>VLOOKUP($A1123,'2022-23 Salary &amp; Benefits'!$A:$I,5,FALSE)</f>
        <v>68937</v>
      </c>
      <c r="U1123" s="21">
        <f>VLOOKUP($A1123,'2022-23 Salary &amp; Benefits'!$A:$I,6,FALSE)</f>
        <v>72728</v>
      </c>
      <c r="V1123" s="22">
        <f t="shared" si="218"/>
        <v>131129.20000000001</v>
      </c>
      <c r="W1123" s="22">
        <f t="shared" si="219"/>
        <v>7211.0899999999965</v>
      </c>
      <c r="X1123" s="22">
        <f>'2022-23 Salary &amp; Benefits'!$G$6</f>
        <v>12558.24</v>
      </c>
      <c r="Y1123" s="23">
        <f>'2022-23 Salary &amp; Benefits'!$H$6</f>
        <v>0.2298</v>
      </c>
      <c r="Z1123" s="23">
        <f>'2022-23 Salary &amp; Benefits'!$I$6</f>
        <v>0.22339999999999999</v>
      </c>
      <c r="AA1123" s="22">
        <f t="shared" si="220"/>
        <v>51988.33</v>
      </c>
      <c r="AB1123" s="22">
        <f t="shared" si="221"/>
        <v>2305.67</v>
      </c>
      <c r="AC1123" s="22">
        <f t="shared" si="222"/>
        <v>515.09</v>
      </c>
      <c r="AD1123" s="22">
        <f t="shared" si="224"/>
        <v>2820.76</v>
      </c>
      <c r="AE1123" s="22">
        <f t="shared" si="225"/>
        <v>193149.38000000003</v>
      </c>
      <c r="AF1123" s="19" t="str">
        <f>VLOOKUP(C1123,'2021-22 School Level AAFTE'!C:N,12,FALSE)</f>
        <v>No</v>
      </c>
    </row>
    <row r="1124" spans="1:32" s="19" customFormat="1">
      <c r="A1124" s="97" t="s">
        <v>2479</v>
      </c>
      <c r="B1124" s="97" t="s">
        <v>1710</v>
      </c>
      <c r="C1124" s="95">
        <v>4159</v>
      </c>
      <c r="D1124" s="95" t="s">
        <v>1717</v>
      </c>
      <c r="E1124" s="129">
        <f>VLOOKUP($C1124,'2021-22 School Level AAFTE'!$C:$Z,11,FALSE)</f>
        <v>0.17679999999999998</v>
      </c>
      <c r="F1124" s="129" t="str">
        <f>VLOOKUP($C1124,'2021-22 School Level AAFTE'!$C:$Z,8,FALSE)</f>
        <v>No</v>
      </c>
      <c r="G1124" s="129" t="str">
        <f>VLOOKUP($C1124,'2021-22 School Level AAFTE'!$C:$Z,12,FALSE)</f>
        <v>No</v>
      </c>
      <c r="H1124" s="127">
        <f>VLOOKUP($C1124,'2021-22 School Level AAFTE'!$C:$I,7,FALSE)</f>
        <v>423.64</v>
      </c>
      <c r="I1124" s="112">
        <f>IFERROR(IF(OR(G1124="yes",F1124= "yes"),VLOOKUP(C1124,Summary!$B:$J,6,0),0),0)</f>
        <v>0</v>
      </c>
      <c r="J1124" s="111">
        <f t="shared" si="216"/>
        <v>0</v>
      </c>
      <c r="K1124" s="91">
        <f>VLOOKUP($A1124,'2022-23 Salary &amp; Benefits'!$A:$I,3,FALSE)</f>
        <v>1.18</v>
      </c>
      <c r="L1124" s="91">
        <f>VLOOKUP($A1124,'2022-23 Salary &amp; Benefits'!$A:$I,4,FALSE)</f>
        <v>1.18</v>
      </c>
      <c r="M1124" s="39">
        <f t="shared" si="223"/>
        <v>0</v>
      </c>
      <c r="N1124" s="24">
        <v>15</v>
      </c>
      <c r="O1124" s="26">
        <f t="shared" si="214"/>
        <v>0</v>
      </c>
      <c r="P1124" s="24">
        <v>1.1000000000000001</v>
      </c>
      <c r="Q1124" s="24">
        <v>36</v>
      </c>
      <c r="R1124" s="27">
        <f t="shared" si="215"/>
        <v>0</v>
      </c>
      <c r="S1124" s="102">
        <f t="shared" si="217"/>
        <v>0</v>
      </c>
      <c r="T1124" s="21">
        <f>VLOOKUP($A1124,'2022-23 Salary &amp; Benefits'!$A:$I,5,FALSE)</f>
        <v>68937</v>
      </c>
      <c r="U1124" s="21">
        <f>VLOOKUP($A1124,'2022-23 Salary &amp; Benefits'!$A:$I,6,FALSE)</f>
        <v>72728</v>
      </c>
      <c r="V1124" s="22">
        <f t="shared" si="218"/>
        <v>0</v>
      </c>
      <c r="W1124" s="22">
        <f t="shared" si="219"/>
        <v>0</v>
      </c>
      <c r="X1124" s="22">
        <f>'2022-23 Salary &amp; Benefits'!$G$6</f>
        <v>12558.24</v>
      </c>
      <c r="Y1124" s="23">
        <f>'2022-23 Salary &amp; Benefits'!$H$6</f>
        <v>0.2298</v>
      </c>
      <c r="Z1124" s="23">
        <f>'2022-23 Salary &amp; Benefits'!$I$6</f>
        <v>0.22339999999999999</v>
      </c>
      <c r="AA1124" s="22">
        <f t="shared" si="220"/>
        <v>0</v>
      </c>
      <c r="AB1124" s="22">
        <f t="shared" si="221"/>
        <v>0</v>
      </c>
      <c r="AC1124" s="22">
        <f t="shared" si="222"/>
        <v>0</v>
      </c>
      <c r="AD1124" s="22">
        <f t="shared" si="224"/>
        <v>0</v>
      </c>
      <c r="AE1124" s="22">
        <f t="shared" si="225"/>
        <v>0</v>
      </c>
      <c r="AF1124" s="19" t="str">
        <f>VLOOKUP(C1124,'2021-22 School Level AAFTE'!C:N,12,FALSE)</f>
        <v>No</v>
      </c>
    </row>
    <row r="1125" spans="1:32" s="19" customFormat="1">
      <c r="A1125" s="97" t="s">
        <v>2479</v>
      </c>
      <c r="B1125" s="97" t="s">
        <v>1710</v>
      </c>
      <c r="C1125" s="95">
        <v>4362</v>
      </c>
      <c r="D1125" s="95" t="s">
        <v>1718</v>
      </c>
      <c r="E1125" s="129">
        <f>VLOOKUP($C1125,'2021-22 School Level AAFTE'!$C:$Z,11,FALSE)</f>
        <v>0.1263</v>
      </c>
      <c r="F1125" s="129" t="str">
        <f>VLOOKUP($C1125,'2021-22 School Level AAFTE'!$C:$Z,8,FALSE)</f>
        <v>No</v>
      </c>
      <c r="G1125" s="129" t="str">
        <f>VLOOKUP($C1125,'2021-22 School Level AAFTE'!$C:$Z,12,FALSE)</f>
        <v>No</v>
      </c>
      <c r="H1125" s="127">
        <f>VLOOKUP($C1125,'2021-22 School Level AAFTE'!$C:$I,7,FALSE)</f>
        <v>410.26</v>
      </c>
      <c r="I1125" s="112">
        <f>IFERROR(IF(OR(G1125="yes",F1125= "yes"),VLOOKUP(C1125,Summary!$B:$J,6,0),0),0)</f>
        <v>0</v>
      </c>
      <c r="J1125" s="111">
        <f t="shared" si="216"/>
        <v>0</v>
      </c>
      <c r="K1125" s="91">
        <f>VLOOKUP($A1125,'2022-23 Salary &amp; Benefits'!$A:$I,3,FALSE)</f>
        <v>1.18</v>
      </c>
      <c r="L1125" s="91">
        <f>VLOOKUP($A1125,'2022-23 Salary &amp; Benefits'!$A:$I,4,FALSE)</f>
        <v>1.18</v>
      </c>
      <c r="M1125" s="39">
        <f t="shared" si="223"/>
        <v>0</v>
      </c>
      <c r="N1125" s="24">
        <v>15</v>
      </c>
      <c r="O1125" s="26">
        <f t="shared" si="214"/>
        <v>0</v>
      </c>
      <c r="P1125" s="24">
        <v>1.1000000000000001</v>
      </c>
      <c r="Q1125" s="24">
        <v>36</v>
      </c>
      <c r="R1125" s="27">
        <f t="shared" si="215"/>
        <v>0</v>
      </c>
      <c r="S1125" s="102">
        <f t="shared" si="217"/>
        <v>0</v>
      </c>
      <c r="T1125" s="21">
        <f>VLOOKUP($A1125,'2022-23 Salary &amp; Benefits'!$A:$I,5,FALSE)</f>
        <v>68937</v>
      </c>
      <c r="U1125" s="21">
        <f>VLOOKUP($A1125,'2022-23 Salary &amp; Benefits'!$A:$I,6,FALSE)</f>
        <v>72728</v>
      </c>
      <c r="V1125" s="22">
        <f t="shared" si="218"/>
        <v>0</v>
      </c>
      <c r="W1125" s="22">
        <f t="shared" si="219"/>
        <v>0</v>
      </c>
      <c r="X1125" s="22">
        <f>'2022-23 Salary &amp; Benefits'!$G$6</f>
        <v>12558.24</v>
      </c>
      <c r="Y1125" s="23">
        <f>'2022-23 Salary &amp; Benefits'!$H$6</f>
        <v>0.2298</v>
      </c>
      <c r="Z1125" s="23">
        <f>'2022-23 Salary &amp; Benefits'!$I$6</f>
        <v>0.22339999999999999</v>
      </c>
      <c r="AA1125" s="22">
        <f t="shared" si="220"/>
        <v>0</v>
      </c>
      <c r="AB1125" s="22">
        <f t="shared" si="221"/>
        <v>0</v>
      </c>
      <c r="AC1125" s="22">
        <f t="shared" si="222"/>
        <v>0</v>
      </c>
      <c r="AD1125" s="22">
        <f t="shared" si="224"/>
        <v>0</v>
      </c>
      <c r="AE1125" s="22">
        <f t="shared" si="225"/>
        <v>0</v>
      </c>
      <c r="AF1125" s="19" t="str">
        <f>VLOOKUP(C1125,'2021-22 School Level AAFTE'!C:N,12,FALSE)</f>
        <v>No</v>
      </c>
    </row>
    <row r="1126" spans="1:32" s="19" customFormat="1">
      <c r="A1126" s="97" t="s">
        <v>2479</v>
      </c>
      <c r="B1126" s="97" t="s">
        <v>1710</v>
      </c>
      <c r="C1126" s="95">
        <v>4528</v>
      </c>
      <c r="D1126" s="95" t="s">
        <v>1719</v>
      </c>
      <c r="E1126" s="129">
        <f>VLOOKUP($C1126,'2021-22 School Level AAFTE'!$C:$Z,11,FALSE)</f>
        <v>0.30249999999999999</v>
      </c>
      <c r="F1126" s="129" t="str">
        <f>VLOOKUP($C1126,'2021-22 School Level AAFTE'!$C:$Z,8,FALSE)</f>
        <v>No</v>
      </c>
      <c r="G1126" s="129" t="str">
        <f>VLOOKUP($C1126,'2021-22 School Level AAFTE'!$C:$Z,12,FALSE)</f>
        <v>No</v>
      </c>
      <c r="H1126" s="127">
        <f>VLOOKUP($C1126,'2021-22 School Level AAFTE'!$C:$I,7,FALSE)</f>
        <v>1493.01</v>
      </c>
      <c r="I1126" s="112">
        <f>IFERROR(IF(OR(G1126="yes",F1126= "yes"),VLOOKUP(C1126,Summary!$B:$J,6,0),0),0)</f>
        <v>0</v>
      </c>
      <c r="J1126" s="111">
        <f t="shared" si="216"/>
        <v>0</v>
      </c>
      <c r="K1126" s="91">
        <f>VLOOKUP($A1126,'2022-23 Salary &amp; Benefits'!$A:$I,3,FALSE)</f>
        <v>1.18</v>
      </c>
      <c r="L1126" s="91">
        <f>VLOOKUP($A1126,'2022-23 Salary &amp; Benefits'!$A:$I,4,FALSE)</f>
        <v>1.18</v>
      </c>
      <c r="M1126" s="39">
        <f t="shared" si="223"/>
        <v>0</v>
      </c>
      <c r="N1126" s="24">
        <v>15</v>
      </c>
      <c r="O1126" s="26">
        <f t="shared" si="214"/>
        <v>0</v>
      </c>
      <c r="P1126" s="24">
        <v>1.1000000000000001</v>
      </c>
      <c r="Q1126" s="24">
        <v>36</v>
      </c>
      <c r="R1126" s="27">
        <f t="shared" si="215"/>
        <v>0</v>
      </c>
      <c r="S1126" s="102">
        <f t="shared" si="217"/>
        <v>0</v>
      </c>
      <c r="T1126" s="21">
        <f>VLOOKUP($A1126,'2022-23 Salary &amp; Benefits'!$A:$I,5,FALSE)</f>
        <v>68937</v>
      </c>
      <c r="U1126" s="21">
        <f>VLOOKUP($A1126,'2022-23 Salary &amp; Benefits'!$A:$I,6,FALSE)</f>
        <v>72728</v>
      </c>
      <c r="V1126" s="22">
        <f t="shared" si="218"/>
        <v>0</v>
      </c>
      <c r="W1126" s="22">
        <f t="shared" si="219"/>
        <v>0</v>
      </c>
      <c r="X1126" s="22">
        <f>'2022-23 Salary &amp; Benefits'!$G$6</f>
        <v>12558.24</v>
      </c>
      <c r="Y1126" s="23">
        <f>'2022-23 Salary &amp; Benefits'!$H$6</f>
        <v>0.2298</v>
      </c>
      <c r="Z1126" s="23">
        <f>'2022-23 Salary &amp; Benefits'!$I$6</f>
        <v>0.22339999999999999</v>
      </c>
      <c r="AA1126" s="22">
        <f t="shared" si="220"/>
        <v>0</v>
      </c>
      <c r="AB1126" s="22">
        <f t="shared" si="221"/>
        <v>0</v>
      </c>
      <c r="AC1126" s="22">
        <f t="shared" si="222"/>
        <v>0</v>
      </c>
      <c r="AD1126" s="22">
        <f t="shared" si="224"/>
        <v>0</v>
      </c>
      <c r="AE1126" s="22">
        <f t="shared" si="225"/>
        <v>0</v>
      </c>
      <c r="AF1126" s="19" t="str">
        <f>VLOOKUP(C1126,'2021-22 School Level AAFTE'!C:N,12,FALSE)</f>
        <v>No</v>
      </c>
    </row>
    <row r="1127" spans="1:32" s="19" customFormat="1">
      <c r="A1127" s="97" t="s">
        <v>2479</v>
      </c>
      <c r="B1127" s="97" t="s">
        <v>1710</v>
      </c>
      <c r="C1127" s="95">
        <v>4544</v>
      </c>
      <c r="D1127" s="95" t="s">
        <v>1720</v>
      </c>
      <c r="E1127" s="129">
        <f>VLOOKUP($C1127,'2021-22 School Level AAFTE'!$C:$Z,11,FALSE)</f>
        <v>0.33746666666666664</v>
      </c>
      <c r="F1127" s="129" t="str">
        <f>VLOOKUP($C1127,'2021-22 School Level AAFTE'!$C:$Z,8,FALSE)</f>
        <v>No</v>
      </c>
      <c r="G1127" s="129" t="str">
        <f>VLOOKUP($C1127,'2021-22 School Level AAFTE'!$C:$Z,12,FALSE)</f>
        <v>No</v>
      </c>
      <c r="H1127" s="127">
        <f>VLOOKUP($C1127,'2021-22 School Level AAFTE'!$C:$I,7,FALSE)</f>
        <v>318.05</v>
      </c>
      <c r="I1127" s="112">
        <f>IFERROR(IF(OR(G1127="yes",F1127= "yes"),VLOOKUP(C1127,Summary!$B:$J,6,0),0),0)</f>
        <v>0</v>
      </c>
      <c r="J1127" s="111">
        <f t="shared" si="216"/>
        <v>0</v>
      </c>
      <c r="K1127" s="91">
        <f>VLOOKUP($A1127,'2022-23 Salary &amp; Benefits'!$A:$I,3,FALSE)</f>
        <v>1.18</v>
      </c>
      <c r="L1127" s="91">
        <f>VLOOKUP($A1127,'2022-23 Salary &amp; Benefits'!$A:$I,4,FALSE)</f>
        <v>1.18</v>
      </c>
      <c r="M1127" s="39">
        <f t="shared" si="223"/>
        <v>0</v>
      </c>
      <c r="N1127" s="24">
        <v>15</v>
      </c>
      <c r="O1127" s="26">
        <f t="shared" si="214"/>
        <v>0</v>
      </c>
      <c r="P1127" s="24">
        <v>1.1000000000000001</v>
      </c>
      <c r="Q1127" s="24">
        <v>36</v>
      </c>
      <c r="R1127" s="27">
        <f t="shared" si="215"/>
        <v>0</v>
      </c>
      <c r="S1127" s="102">
        <f t="shared" si="217"/>
        <v>0</v>
      </c>
      <c r="T1127" s="21">
        <f>VLOOKUP($A1127,'2022-23 Salary &amp; Benefits'!$A:$I,5,FALSE)</f>
        <v>68937</v>
      </c>
      <c r="U1127" s="21">
        <f>VLOOKUP($A1127,'2022-23 Salary &amp; Benefits'!$A:$I,6,FALSE)</f>
        <v>72728</v>
      </c>
      <c r="V1127" s="22">
        <f t="shared" si="218"/>
        <v>0</v>
      </c>
      <c r="W1127" s="22">
        <f t="shared" si="219"/>
        <v>0</v>
      </c>
      <c r="X1127" s="22">
        <f>'2022-23 Salary &amp; Benefits'!$G$6</f>
        <v>12558.24</v>
      </c>
      <c r="Y1127" s="23">
        <f>'2022-23 Salary &amp; Benefits'!$H$6</f>
        <v>0.2298</v>
      </c>
      <c r="Z1127" s="23">
        <f>'2022-23 Salary &amp; Benefits'!$I$6</f>
        <v>0.22339999999999999</v>
      </c>
      <c r="AA1127" s="22">
        <f t="shared" si="220"/>
        <v>0</v>
      </c>
      <c r="AB1127" s="22">
        <f t="shared" si="221"/>
        <v>0</v>
      </c>
      <c r="AC1127" s="22">
        <f t="shared" si="222"/>
        <v>0</v>
      </c>
      <c r="AD1127" s="22">
        <f t="shared" si="224"/>
        <v>0</v>
      </c>
      <c r="AE1127" s="22">
        <f t="shared" si="225"/>
        <v>0</v>
      </c>
      <c r="AF1127" s="19" t="str">
        <f>VLOOKUP(C1127,'2021-22 School Level AAFTE'!C:N,12,FALSE)</f>
        <v>No</v>
      </c>
    </row>
    <row r="1128" spans="1:32" s="19" customFormat="1">
      <c r="A1128" s="97" t="s">
        <v>2479</v>
      </c>
      <c r="B1128" s="97" t="s">
        <v>1710</v>
      </c>
      <c r="C1128" s="95">
        <v>4594</v>
      </c>
      <c r="D1128" s="95" t="s">
        <v>1721</v>
      </c>
      <c r="E1128" s="129">
        <f>VLOOKUP($C1128,'2021-22 School Level AAFTE'!$C:$Z,11,FALSE)</f>
        <v>0.36076666666666668</v>
      </c>
      <c r="F1128" s="129" t="str">
        <f>VLOOKUP($C1128,'2021-22 School Level AAFTE'!$C:$Z,8,FALSE)</f>
        <v>No</v>
      </c>
      <c r="G1128" s="129" t="str">
        <f>VLOOKUP($C1128,'2021-22 School Level AAFTE'!$C:$Z,12,FALSE)</f>
        <v>No</v>
      </c>
      <c r="H1128" s="127">
        <f>VLOOKUP($C1128,'2021-22 School Level AAFTE'!$C:$I,7,FALSE)</f>
        <v>372.43</v>
      </c>
      <c r="I1128" s="112">
        <f>IFERROR(IF(OR(G1128="yes",F1128= "yes"),VLOOKUP(C1128,Summary!$B:$J,6,0),0),0)</f>
        <v>0</v>
      </c>
      <c r="J1128" s="111">
        <f t="shared" si="216"/>
        <v>0</v>
      </c>
      <c r="K1128" s="91">
        <f>VLOOKUP($A1128,'2022-23 Salary &amp; Benefits'!$A:$I,3,FALSE)</f>
        <v>1.18</v>
      </c>
      <c r="L1128" s="91">
        <f>VLOOKUP($A1128,'2022-23 Salary &amp; Benefits'!$A:$I,4,FALSE)</f>
        <v>1.18</v>
      </c>
      <c r="M1128" s="101">
        <f t="shared" si="223"/>
        <v>0</v>
      </c>
      <c r="N1128" s="24">
        <v>15</v>
      </c>
      <c r="O1128" s="26">
        <f t="shared" si="214"/>
        <v>0</v>
      </c>
      <c r="P1128" s="24">
        <v>1.1000000000000001</v>
      </c>
      <c r="Q1128" s="24">
        <v>36</v>
      </c>
      <c r="R1128" s="27">
        <f t="shared" si="215"/>
        <v>0</v>
      </c>
      <c r="S1128" s="102">
        <f t="shared" si="217"/>
        <v>0</v>
      </c>
      <c r="T1128" s="21">
        <f>VLOOKUP($A1128,'2022-23 Salary &amp; Benefits'!$A:$I,5,FALSE)</f>
        <v>68937</v>
      </c>
      <c r="U1128" s="21">
        <f>VLOOKUP($A1128,'2022-23 Salary &amp; Benefits'!$A:$I,6,FALSE)</f>
        <v>72728</v>
      </c>
      <c r="V1128" s="22">
        <f t="shared" si="218"/>
        <v>0</v>
      </c>
      <c r="W1128" s="22">
        <f t="shared" si="219"/>
        <v>0</v>
      </c>
      <c r="X1128" s="22">
        <f>'2022-23 Salary &amp; Benefits'!$G$6</f>
        <v>12558.24</v>
      </c>
      <c r="Y1128" s="23">
        <f>'2022-23 Salary &amp; Benefits'!$H$6</f>
        <v>0.2298</v>
      </c>
      <c r="Z1128" s="23">
        <f>'2022-23 Salary &amp; Benefits'!$I$6</f>
        <v>0.22339999999999999</v>
      </c>
      <c r="AA1128" s="22">
        <f t="shared" si="220"/>
        <v>0</v>
      </c>
      <c r="AB1128" s="22">
        <f t="shared" si="221"/>
        <v>0</v>
      </c>
      <c r="AC1128" s="22">
        <f t="shared" si="222"/>
        <v>0</v>
      </c>
      <c r="AD1128" s="22">
        <f t="shared" si="224"/>
        <v>0</v>
      </c>
      <c r="AE1128" s="22">
        <f t="shared" si="225"/>
        <v>0</v>
      </c>
      <c r="AF1128" s="19" t="str">
        <f>VLOOKUP(C1128,'2021-22 School Level AAFTE'!C:N,12,FALSE)</f>
        <v>No</v>
      </c>
    </row>
    <row r="1129" spans="1:32" s="19" customFormat="1">
      <c r="A1129" s="97" t="s">
        <v>2479</v>
      </c>
      <c r="B1129" s="97" t="s">
        <v>1710</v>
      </c>
      <c r="C1129" s="95">
        <v>5040</v>
      </c>
      <c r="D1129" s="95" t="s">
        <v>1722</v>
      </c>
      <c r="E1129" s="129">
        <f>VLOOKUP($C1129,'2021-22 School Level AAFTE'!$C:$Z,11,FALSE)</f>
        <v>0.3833333333333333</v>
      </c>
      <c r="F1129" s="129" t="str">
        <f>VLOOKUP($C1129,'2021-22 School Level AAFTE'!$C:$Z,8,FALSE)</f>
        <v>No</v>
      </c>
      <c r="G1129" s="129" t="str">
        <f>VLOOKUP($C1129,'2021-22 School Level AAFTE'!$C:$Z,12,FALSE)</f>
        <v>No</v>
      </c>
      <c r="H1129" s="127">
        <f>VLOOKUP($C1129,'2021-22 School Level AAFTE'!$C:$I,7,FALSE)</f>
        <v>785.35</v>
      </c>
      <c r="I1129" s="112">
        <f>IFERROR(IF(OR(G1129="yes",F1129= "yes"),VLOOKUP(C1129,Summary!$B:$J,6,0),0),0)</f>
        <v>0</v>
      </c>
      <c r="J1129" s="111">
        <f t="shared" si="216"/>
        <v>0</v>
      </c>
      <c r="K1129" s="91">
        <f>VLOOKUP($A1129,'2022-23 Salary &amp; Benefits'!$A:$I,3,FALSE)</f>
        <v>1.18</v>
      </c>
      <c r="L1129" s="91">
        <f>VLOOKUP($A1129,'2022-23 Salary &amp; Benefits'!$A:$I,4,FALSE)</f>
        <v>1.18</v>
      </c>
      <c r="M1129" s="101">
        <f t="shared" si="223"/>
        <v>0</v>
      </c>
      <c r="N1129" s="24">
        <v>15</v>
      </c>
      <c r="O1129" s="26">
        <f t="shared" si="214"/>
        <v>0</v>
      </c>
      <c r="P1129" s="24">
        <v>1.1000000000000001</v>
      </c>
      <c r="Q1129" s="24">
        <v>36</v>
      </c>
      <c r="R1129" s="27">
        <f t="shared" si="215"/>
        <v>0</v>
      </c>
      <c r="S1129" s="102">
        <f t="shared" si="217"/>
        <v>0</v>
      </c>
      <c r="T1129" s="21">
        <f>VLOOKUP($A1129,'2022-23 Salary &amp; Benefits'!$A:$I,5,FALSE)</f>
        <v>68937</v>
      </c>
      <c r="U1129" s="21">
        <f>VLOOKUP($A1129,'2022-23 Salary &amp; Benefits'!$A:$I,6,FALSE)</f>
        <v>72728</v>
      </c>
      <c r="V1129" s="22">
        <f t="shared" si="218"/>
        <v>0</v>
      </c>
      <c r="W1129" s="22">
        <f t="shared" si="219"/>
        <v>0</v>
      </c>
      <c r="X1129" s="22">
        <f>'2022-23 Salary &amp; Benefits'!$G$6</f>
        <v>12558.24</v>
      </c>
      <c r="Y1129" s="23">
        <f>'2022-23 Salary &amp; Benefits'!$H$6</f>
        <v>0.2298</v>
      </c>
      <c r="Z1129" s="23">
        <f>'2022-23 Salary &amp; Benefits'!$I$6</f>
        <v>0.22339999999999999</v>
      </c>
      <c r="AA1129" s="22">
        <f t="shared" si="220"/>
        <v>0</v>
      </c>
      <c r="AB1129" s="22">
        <f t="shared" si="221"/>
        <v>0</v>
      </c>
      <c r="AC1129" s="22">
        <f t="shared" si="222"/>
        <v>0</v>
      </c>
      <c r="AD1129" s="22">
        <f t="shared" si="224"/>
        <v>0</v>
      </c>
      <c r="AE1129" s="22">
        <f t="shared" si="225"/>
        <v>0</v>
      </c>
      <c r="AF1129" s="19" t="str">
        <f>VLOOKUP(C1129,'2021-22 School Level AAFTE'!C:N,12,FALSE)</f>
        <v>No</v>
      </c>
    </row>
    <row r="1130" spans="1:32" s="19" customFormat="1">
      <c r="A1130" s="97" t="s">
        <v>2479</v>
      </c>
      <c r="B1130" s="97" t="s">
        <v>1710</v>
      </c>
      <c r="C1130" s="95">
        <v>5154</v>
      </c>
      <c r="D1130" s="95" t="s">
        <v>1723</v>
      </c>
      <c r="E1130" s="129">
        <f>VLOOKUP($C1130,'2021-22 School Level AAFTE'!$C:$Z,11,FALSE)</f>
        <v>0.15890000000000001</v>
      </c>
      <c r="F1130" s="129" t="str">
        <f>VLOOKUP($C1130,'2021-22 School Level AAFTE'!$C:$Z,8,FALSE)</f>
        <v>No</v>
      </c>
      <c r="G1130" s="129" t="str">
        <f>VLOOKUP($C1130,'2021-22 School Level AAFTE'!$C:$Z,12,FALSE)</f>
        <v>No</v>
      </c>
      <c r="H1130" s="127">
        <f>VLOOKUP($C1130,'2021-22 School Level AAFTE'!$C:$I,7,FALSE)</f>
        <v>142.4</v>
      </c>
      <c r="I1130" s="112">
        <f>IFERROR(IF(OR(G1130="yes",F1130= "yes"),VLOOKUP(C1130,Summary!$B:$J,6,0),0),0)</f>
        <v>0</v>
      </c>
      <c r="J1130" s="111">
        <f t="shared" si="216"/>
        <v>0</v>
      </c>
      <c r="K1130" s="91">
        <f>VLOOKUP($A1130,'2022-23 Salary &amp; Benefits'!$A:$I,3,FALSE)</f>
        <v>1.18</v>
      </c>
      <c r="L1130" s="91">
        <f>VLOOKUP($A1130,'2022-23 Salary &amp; Benefits'!$A:$I,4,FALSE)</f>
        <v>1.18</v>
      </c>
      <c r="M1130" s="39">
        <f t="shared" si="223"/>
        <v>0</v>
      </c>
      <c r="N1130" s="24">
        <v>15</v>
      </c>
      <c r="O1130" s="26">
        <f t="shared" si="214"/>
        <v>0</v>
      </c>
      <c r="P1130" s="24">
        <v>1.1000000000000001</v>
      </c>
      <c r="Q1130" s="24">
        <v>36</v>
      </c>
      <c r="R1130" s="27">
        <f t="shared" si="215"/>
        <v>0</v>
      </c>
      <c r="S1130" s="102">
        <f t="shared" si="217"/>
        <v>0</v>
      </c>
      <c r="T1130" s="21">
        <f>VLOOKUP($A1130,'2022-23 Salary &amp; Benefits'!$A:$I,5,FALSE)</f>
        <v>68937</v>
      </c>
      <c r="U1130" s="21">
        <f>VLOOKUP($A1130,'2022-23 Salary &amp; Benefits'!$A:$I,6,FALSE)</f>
        <v>72728</v>
      </c>
      <c r="V1130" s="22">
        <f t="shared" si="218"/>
        <v>0</v>
      </c>
      <c r="W1130" s="22">
        <f t="shared" si="219"/>
        <v>0</v>
      </c>
      <c r="X1130" s="22">
        <f>'2022-23 Salary &amp; Benefits'!$G$6</f>
        <v>12558.24</v>
      </c>
      <c r="Y1130" s="23">
        <f>'2022-23 Salary &amp; Benefits'!$H$6</f>
        <v>0.2298</v>
      </c>
      <c r="Z1130" s="23">
        <f>'2022-23 Salary &amp; Benefits'!$I$6</f>
        <v>0.22339999999999999</v>
      </c>
      <c r="AA1130" s="22">
        <f t="shared" si="220"/>
        <v>0</v>
      </c>
      <c r="AB1130" s="22">
        <f t="shared" si="221"/>
        <v>0</v>
      </c>
      <c r="AC1130" s="22">
        <f t="shared" si="222"/>
        <v>0</v>
      </c>
      <c r="AD1130" s="22">
        <f t="shared" si="224"/>
        <v>0</v>
      </c>
      <c r="AE1130" s="22">
        <f t="shared" si="225"/>
        <v>0</v>
      </c>
      <c r="AF1130" s="19" t="str">
        <f>VLOOKUP(C1130,'2021-22 School Level AAFTE'!C:N,12,FALSE)</f>
        <v>No</v>
      </c>
    </row>
    <row r="1131" spans="1:32" s="19" customFormat="1">
      <c r="A1131" s="97" t="s">
        <v>2331</v>
      </c>
      <c r="B1131" s="97" t="s">
        <v>487</v>
      </c>
      <c r="C1131" s="95">
        <v>2180</v>
      </c>
      <c r="D1131" s="95" t="s">
        <v>488</v>
      </c>
      <c r="E1131" s="129">
        <f>VLOOKUP($C1131,'2021-22 School Level AAFTE'!$C:$Z,11,FALSE)</f>
        <v>0.33396666666666669</v>
      </c>
      <c r="F1131" s="129" t="str">
        <f>VLOOKUP($C1131,'2021-22 School Level AAFTE'!$C:$Z,8,FALSE)</f>
        <v>No</v>
      </c>
      <c r="G1131" s="129" t="str">
        <f>VLOOKUP($C1131,'2021-22 School Level AAFTE'!$C:$Z,12,FALSE)</f>
        <v>No</v>
      </c>
      <c r="H1131" s="127">
        <f>VLOOKUP($C1131,'2021-22 School Level AAFTE'!$C:$I,7,FALSE)</f>
        <v>658.29</v>
      </c>
      <c r="I1131" s="112">
        <f>IFERROR(IF(OR(G1131="yes",F1131= "yes"),VLOOKUP(C1131,Summary!$B:$J,6,0),0),0)</f>
        <v>0</v>
      </c>
      <c r="J1131" s="111">
        <f t="shared" si="216"/>
        <v>0</v>
      </c>
      <c r="K1131" s="91">
        <f>VLOOKUP($A1131,'2022-23 Salary &amp; Benefits'!$A:$I,3,FALSE)</f>
        <v>1</v>
      </c>
      <c r="L1131" s="91">
        <f>VLOOKUP($A1131,'2022-23 Salary &amp; Benefits'!$A:$I,4,FALSE)</f>
        <v>1.04</v>
      </c>
      <c r="M1131" s="39">
        <f t="shared" si="223"/>
        <v>0</v>
      </c>
      <c r="N1131" s="24">
        <v>15</v>
      </c>
      <c r="O1131" s="26">
        <f t="shared" si="214"/>
        <v>0</v>
      </c>
      <c r="P1131" s="24">
        <v>1.1000000000000001</v>
      </c>
      <c r="Q1131" s="24">
        <v>36</v>
      </c>
      <c r="R1131" s="27">
        <f t="shared" si="215"/>
        <v>0</v>
      </c>
      <c r="S1131" s="102">
        <f t="shared" si="217"/>
        <v>0</v>
      </c>
      <c r="T1131" s="21">
        <f>VLOOKUP($A1131,'2022-23 Salary &amp; Benefits'!$A:$I,5,FALSE)</f>
        <v>68937</v>
      </c>
      <c r="U1131" s="21">
        <f>VLOOKUP($A1131,'2022-23 Salary &amp; Benefits'!$A:$I,6,FALSE)</f>
        <v>72728</v>
      </c>
      <c r="V1131" s="22">
        <f t="shared" si="218"/>
        <v>0</v>
      </c>
      <c r="W1131" s="22">
        <f t="shared" si="219"/>
        <v>0</v>
      </c>
      <c r="X1131" s="22">
        <f>'2022-23 Salary &amp; Benefits'!$G$6</f>
        <v>12558.24</v>
      </c>
      <c r="Y1131" s="23">
        <f>'2022-23 Salary &amp; Benefits'!$H$6</f>
        <v>0.2298</v>
      </c>
      <c r="Z1131" s="23">
        <f>'2022-23 Salary &amp; Benefits'!$I$6</f>
        <v>0.22339999999999999</v>
      </c>
      <c r="AA1131" s="22">
        <f t="shared" si="220"/>
        <v>0</v>
      </c>
      <c r="AB1131" s="22">
        <f t="shared" si="221"/>
        <v>0</v>
      </c>
      <c r="AC1131" s="22">
        <f t="shared" si="222"/>
        <v>0</v>
      </c>
      <c r="AD1131" s="22">
        <f t="shared" si="224"/>
        <v>0</v>
      </c>
      <c r="AE1131" s="22">
        <f t="shared" si="225"/>
        <v>0</v>
      </c>
      <c r="AF1131" s="19" t="str">
        <f>VLOOKUP(C1131,'2021-22 School Level AAFTE'!C:N,12,FALSE)</f>
        <v>No</v>
      </c>
    </row>
    <row r="1132" spans="1:32" s="19" customFormat="1">
      <c r="A1132" s="97" t="s">
        <v>2331</v>
      </c>
      <c r="B1132" s="97" t="s">
        <v>487</v>
      </c>
      <c r="C1132" s="95">
        <v>3374</v>
      </c>
      <c r="D1132" s="95" t="s">
        <v>489</v>
      </c>
      <c r="E1132" s="129">
        <f>VLOOKUP($C1132,'2021-22 School Level AAFTE'!$C:$Z,11,FALSE)</f>
        <v>0.37060000000000004</v>
      </c>
      <c r="F1132" s="129" t="str">
        <f>VLOOKUP($C1132,'2021-22 School Level AAFTE'!$C:$Z,8,FALSE)</f>
        <v>No</v>
      </c>
      <c r="G1132" s="129" t="str">
        <f>VLOOKUP($C1132,'2021-22 School Level AAFTE'!$C:$Z,12,FALSE)</f>
        <v>No</v>
      </c>
      <c r="H1132" s="127">
        <f>VLOOKUP($C1132,'2021-22 School Level AAFTE'!$C:$I,7,FALSE)</f>
        <v>420.72</v>
      </c>
      <c r="I1132" s="112">
        <f>IFERROR(IF(OR(G1132="yes",F1132= "yes"),VLOOKUP(C1132,Summary!$B:$J,6,0),0),0)</f>
        <v>0</v>
      </c>
      <c r="J1132" s="111">
        <f t="shared" si="216"/>
        <v>0</v>
      </c>
      <c r="K1132" s="91">
        <f>VLOOKUP($A1132,'2022-23 Salary &amp; Benefits'!$A:$I,3,FALSE)</f>
        <v>1</v>
      </c>
      <c r="L1132" s="91">
        <f>VLOOKUP($A1132,'2022-23 Salary &amp; Benefits'!$A:$I,4,FALSE)</f>
        <v>1.04</v>
      </c>
      <c r="M1132" s="101">
        <f t="shared" si="223"/>
        <v>0</v>
      </c>
      <c r="N1132" s="24">
        <v>15</v>
      </c>
      <c r="O1132" s="26">
        <f t="shared" si="214"/>
        <v>0</v>
      </c>
      <c r="P1132" s="24">
        <v>1.1000000000000001</v>
      </c>
      <c r="Q1132" s="24">
        <v>36</v>
      </c>
      <c r="R1132" s="27">
        <f t="shared" si="215"/>
        <v>0</v>
      </c>
      <c r="S1132" s="102">
        <f t="shared" si="217"/>
        <v>0</v>
      </c>
      <c r="T1132" s="21">
        <f>VLOOKUP($A1132,'2022-23 Salary &amp; Benefits'!$A:$I,5,FALSE)</f>
        <v>68937</v>
      </c>
      <c r="U1132" s="21">
        <f>VLOOKUP($A1132,'2022-23 Salary &amp; Benefits'!$A:$I,6,FALSE)</f>
        <v>72728</v>
      </c>
      <c r="V1132" s="22">
        <f t="shared" si="218"/>
        <v>0</v>
      </c>
      <c r="W1132" s="22">
        <f t="shared" si="219"/>
        <v>0</v>
      </c>
      <c r="X1132" s="22">
        <f>'2022-23 Salary &amp; Benefits'!$G$6</f>
        <v>12558.24</v>
      </c>
      <c r="Y1132" s="23">
        <f>'2022-23 Salary &amp; Benefits'!$H$6</f>
        <v>0.2298</v>
      </c>
      <c r="Z1132" s="23">
        <f>'2022-23 Salary &amp; Benefits'!$I$6</f>
        <v>0.22339999999999999</v>
      </c>
      <c r="AA1132" s="22">
        <f t="shared" si="220"/>
        <v>0</v>
      </c>
      <c r="AB1132" s="22">
        <f t="shared" si="221"/>
        <v>0</v>
      </c>
      <c r="AC1132" s="22">
        <f t="shared" si="222"/>
        <v>0</v>
      </c>
      <c r="AD1132" s="22">
        <f t="shared" si="224"/>
        <v>0</v>
      </c>
      <c r="AE1132" s="22">
        <f t="shared" si="225"/>
        <v>0</v>
      </c>
      <c r="AF1132" s="19" t="str">
        <f>VLOOKUP(C1132,'2021-22 School Level AAFTE'!C:N,12,FALSE)</f>
        <v>No</v>
      </c>
    </row>
    <row r="1133" spans="1:32" s="19" customFormat="1">
      <c r="A1133" s="97" t="s">
        <v>2331</v>
      </c>
      <c r="B1133" s="97" t="s">
        <v>487</v>
      </c>
      <c r="C1133" s="95">
        <v>3661</v>
      </c>
      <c r="D1133" s="95" t="s">
        <v>490</v>
      </c>
      <c r="E1133" s="129">
        <f>VLOOKUP($C1133,'2021-22 School Level AAFTE'!$C:$Z,11,FALSE)</f>
        <v>0.33826666666666666</v>
      </c>
      <c r="F1133" s="129" t="str">
        <f>VLOOKUP($C1133,'2021-22 School Level AAFTE'!$C:$Z,8,FALSE)</f>
        <v>No</v>
      </c>
      <c r="G1133" s="129" t="str">
        <f>VLOOKUP($C1133,'2021-22 School Level AAFTE'!$C:$Z,12,FALSE)</f>
        <v>No</v>
      </c>
      <c r="H1133" s="127">
        <f>VLOOKUP($C1133,'2021-22 School Level AAFTE'!$C:$I,7,FALSE)</f>
        <v>271.77</v>
      </c>
      <c r="I1133" s="112">
        <f>IFERROR(IF(OR(G1133="yes",F1133= "yes"),VLOOKUP(C1133,Summary!$B:$J,6,0),0),0)</f>
        <v>0</v>
      </c>
      <c r="J1133" s="111">
        <f t="shared" si="216"/>
        <v>0</v>
      </c>
      <c r="K1133" s="91">
        <f>VLOOKUP($A1133,'2022-23 Salary &amp; Benefits'!$A:$I,3,FALSE)</f>
        <v>1</v>
      </c>
      <c r="L1133" s="91">
        <f>VLOOKUP($A1133,'2022-23 Salary &amp; Benefits'!$A:$I,4,FALSE)</f>
        <v>1.04</v>
      </c>
      <c r="M1133" s="101">
        <f t="shared" si="223"/>
        <v>0</v>
      </c>
      <c r="N1133" s="24">
        <v>15</v>
      </c>
      <c r="O1133" s="26">
        <f t="shared" si="214"/>
        <v>0</v>
      </c>
      <c r="P1133" s="24">
        <v>1.1000000000000001</v>
      </c>
      <c r="Q1133" s="24">
        <v>36</v>
      </c>
      <c r="R1133" s="27">
        <f t="shared" si="215"/>
        <v>0</v>
      </c>
      <c r="S1133" s="102">
        <f t="shared" si="217"/>
        <v>0</v>
      </c>
      <c r="T1133" s="21">
        <f>VLOOKUP($A1133,'2022-23 Salary &amp; Benefits'!$A:$I,5,FALSE)</f>
        <v>68937</v>
      </c>
      <c r="U1133" s="21">
        <f>VLOOKUP($A1133,'2022-23 Salary &amp; Benefits'!$A:$I,6,FALSE)</f>
        <v>72728</v>
      </c>
      <c r="V1133" s="22">
        <f t="shared" si="218"/>
        <v>0</v>
      </c>
      <c r="W1133" s="22">
        <f t="shared" si="219"/>
        <v>0</v>
      </c>
      <c r="X1133" s="22">
        <f>'2022-23 Salary &amp; Benefits'!$G$6</f>
        <v>12558.24</v>
      </c>
      <c r="Y1133" s="23">
        <f>'2022-23 Salary &amp; Benefits'!$H$6</f>
        <v>0.2298</v>
      </c>
      <c r="Z1133" s="23">
        <f>'2022-23 Salary &amp; Benefits'!$I$6</f>
        <v>0.22339999999999999</v>
      </c>
      <c r="AA1133" s="22">
        <f t="shared" si="220"/>
        <v>0</v>
      </c>
      <c r="AB1133" s="22">
        <f t="shared" si="221"/>
        <v>0</v>
      </c>
      <c r="AC1133" s="22">
        <f t="shared" si="222"/>
        <v>0</v>
      </c>
      <c r="AD1133" s="22">
        <f t="shared" si="224"/>
        <v>0</v>
      </c>
      <c r="AE1133" s="22">
        <f t="shared" si="225"/>
        <v>0</v>
      </c>
      <c r="AF1133" s="19" t="str">
        <f>VLOOKUP(C1133,'2021-22 School Level AAFTE'!C:N,12,FALSE)</f>
        <v>No</v>
      </c>
    </row>
    <row r="1134" spans="1:32" s="19" customFormat="1">
      <c r="A1134" s="97" t="s">
        <v>2396</v>
      </c>
      <c r="B1134" s="97" t="s">
        <v>1142</v>
      </c>
      <c r="C1134" s="95">
        <v>2678</v>
      </c>
      <c r="D1134" s="95" t="s">
        <v>1143</v>
      </c>
      <c r="E1134" s="129">
        <f>VLOOKUP($C1134,'2021-22 School Level AAFTE'!$C:$Z,11,FALSE)</f>
        <v>0.56820000000000004</v>
      </c>
      <c r="F1134" s="129" t="str">
        <f>VLOOKUP($C1134,'2021-22 School Level AAFTE'!$C:$Z,8,FALSE)</f>
        <v>Yes</v>
      </c>
      <c r="G1134" s="129" t="str">
        <f>VLOOKUP($C1134,'2021-22 School Level AAFTE'!$C:$Z,12,FALSE)</f>
        <v>No</v>
      </c>
      <c r="H1134" s="127">
        <f>VLOOKUP($C1134,'2021-22 School Level AAFTE'!$C:$I,7,FALSE)</f>
        <v>203.57</v>
      </c>
      <c r="I1134" s="112">
        <f>IFERROR(IF(OR(G1134="yes",F1134= "yes"),VLOOKUP(C1134,Summary!$B:$J,6,0),0),0)</f>
        <v>0</v>
      </c>
      <c r="J1134" s="111">
        <f t="shared" si="216"/>
        <v>203.57</v>
      </c>
      <c r="K1134" s="91">
        <f>VLOOKUP($A1134,'2022-23 Salary &amp; Benefits'!$A:$I,3,FALSE)</f>
        <v>1</v>
      </c>
      <c r="L1134" s="91">
        <f>VLOOKUP($A1134,'2022-23 Salary &amp; Benefits'!$A:$I,4,FALSE)</f>
        <v>1</v>
      </c>
      <c r="M1134" s="101">
        <f t="shared" si="223"/>
        <v>203.57</v>
      </c>
      <c r="N1134" s="24">
        <v>15</v>
      </c>
      <c r="O1134" s="26">
        <f t="shared" si="214"/>
        <v>13.571333333333333</v>
      </c>
      <c r="P1134" s="24">
        <v>1.1000000000000001</v>
      </c>
      <c r="Q1134" s="24">
        <v>36</v>
      </c>
      <c r="R1134" s="27">
        <f t="shared" si="215"/>
        <v>537.42480000000012</v>
      </c>
      <c r="S1134" s="102">
        <f t="shared" si="217"/>
        <v>0.59699999999999998</v>
      </c>
      <c r="T1134" s="21">
        <f>VLOOKUP($A1134,'2022-23 Salary &amp; Benefits'!$A:$I,5,FALSE)</f>
        <v>68937</v>
      </c>
      <c r="U1134" s="21">
        <f>VLOOKUP($A1134,'2022-23 Salary &amp; Benefits'!$A:$I,6,FALSE)</f>
        <v>72728</v>
      </c>
      <c r="V1134" s="22">
        <f t="shared" si="218"/>
        <v>41155.39</v>
      </c>
      <c r="W1134" s="22">
        <f t="shared" si="219"/>
        <v>2263.2300000000032</v>
      </c>
      <c r="X1134" s="22">
        <f>'2022-23 Salary &amp; Benefits'!$G$6</f>
        <v>12558.24</v>
      </c>
      <c r="Y1134" s="23">
        <f>'2022-23 Salary &amp; Benefits'!$H$6</f>
        <v>0.2298</v>
      </c>
      <c r="Z1134" s="23">
        <f>'2022-23 Salary &amp; Benefits'!$I$6</f>
        <v>0.22339999999999999</v>
      </c>
      <c r="AA1134" s="22">
        <f t="shared" si="220"/>
        <v>17460.38</v>
      </c>
      <c r="AB1134" s="22">
        <f t="shared" si="221"/>
        <v>723.64</v>
      </c>
      <c r="AC1134" s="22">
        <f t="shared" si="222"/>
        <v>161.66</v>
      </c>
      <c r="AD1134" s="22">
        <f t="shared" si="224"/>
        <v>885.3</v>
      </c>
      <c r="AE1134" s="22">
        <f t="shared" si="225"/>
        <v>61764.30000000001</v>
      </c>
      <c r="AF1134" s="19" t="str">
        <f>VLOOKUP(C1134,'2021-22 School Level AAFTE'!C:N,12,FALSE)</f>
        <v>No</v>
      </c>
    </row>
    <row r="1135" spans="1:32" s="19" customFormat="1">
      <c r="A1135" s="97" t="s">
        <v>2396</v>
      </c>
      <c r="B1135" s="97" t="s">
        <v>1142</v>
      </c>
      <c r="C1135" s="95">
        <v>3112</v>
      </c>
      <c r="D1135" s="95" t="s">
        <v>1144</v>
      </c>
      <c r="E1135" s="129">
        <f>VLOOKUP($C1135,'2021-22 School Level AAFTE'!$C:$Z,11,FALSE)</f>
        <v>0.53883333333333339</v>
      </c>
      <c r="F1135" s="129" t="str">
        <f>VLOOKUP($C1135,'2021-22 School Level AAFTE'!$C:$Z,8,FALSE)</f>
        <v>Yes</v>
      </c>
      <c r="G1135" s="129" t="str">
        <f>VLOOKUP($C1135,'2021-22 School Level AAFTE'!$C:$Z,12,FALSE)</f>
        <v>No</v>
      </c>
      <c r="H1135" s="127">
        <f>VLOOKUP($C1135,'2021-22 School Level AAFTE'!$C:$I,7,FALSE)</f>
        <v>182.52</v>
      </c>
      <c r="I1135" s="112">
        <f>IFERROR(IF(OR(G1135="yes",F1135= "yes"),VLOOKUP(C1135,Summary!$B:$J,6,0),0),0)</f>
        <v>0</v>
      </c>
      <c r="J1135" s="111">
        <f t="shared" si="216"/>
        <v>182.52</v>
      </c>
      <c r="K1135" s="91">
        <f>VLOOKUP($A1135,'2022-23 Salary &amp; Benefits'!$A:$I,3,FALSE)</f>
        <v>1</v>
      </c>
      <c r="L1135" s="91">
        <f>VLOOKUP($A1135,'2022-23 Salary &amp; Benefits'!$A:$I,4,FALSE)</f>
        <v>1</v>
      </c>
      <c r="M1135" s="101">
        <f t="shared" si="223"/>
        <v>182.52</v>
      </c>
      <c r="N1135" s="24">
        <v>15</v>
      </c>
      <c r="O1135" s="26">
        <f t="shared" si="214"/>
        <v>12.168000000000001</v>
      </c>
      <c r="P1135" s="24">
        <v>1.1000000000000001</v>
      </c>
      <c r="Q1135" s="24">
        <v>36</v>
      </c>
      <c r="R1135" s="27">
        <f t="shared" si="215"/>
        <v>481.85280000000006</v>
      </c>
      <c r="S1135" s="102">
        <f t="shared" si="217"/>
        <v>0.53500000000000003</v>
      </c>
      <c r="T1135" s="21">
        <f>VLOOKUP($A1135,'2022-23 Salary &amp; Benefits'!$A:$I,5,FALSE)</f>
        <v>68937</v>
      </c>
      <c r="U1135" s="21">
        <f>VLOOKUP($A1135,'2022-23 Salary &amp; Benefits'!$A:$I,6,FALSE)</f>
        <v>72728</v>
      </c>
      <c r="V1135" s="22">
        <f t="shared" si="218"/>
        <v>36881.300000000003</v>
      </c>
      <c r="W1135" s="22">
        <f t="shared" si="219"/>
        <v>2028.1800000000003</v>
      </c>
      <c r="X1135" s="22">
        <f>'2022-23 Salary &amp; Benefits'!$G$6</f>
        <v>12558.24</v>
      </c>
      <c r="Y1135" s="23">
        <f>'2022-23 Salary &amp; Benefits'!$H$6</f>
        <v>0.2298</v>
      </c>
      <c r="Z1135" s="23">
        <f>'2022-23 Salary &amp; Benefits'!$I$6</f>
        <v>0.22339999999999999</v>
      </c>
      <c r="AA1135" s="22">
        <f t="shared" si="220"/>
        <v>15647.08</v>
      </c>
      <c r="AB1135" s="22">
        <f t="shared" si="221"/>
        <v>648.49</v>
      </c>
      <c r="AC1135" s="22">
        <f t="shared" si="222"/>
        <v>144.87</v>
      </c>
      <c r="AD1135" s="22">
        <f t="shared" si="224"/>
        <v>793.36</v>
      </c>
      <c r="AE1135" s="22">
        <f t="shared" si="225"/>
        <v>55349.920000000006</v>
      </c>
      <c r="AF1135" s="19" t="str">
        <f>VLOOKUP(C1135,'2021-22 School Level AAFTE'!C:N,12,FALSE)</f>
        <v>No</v>
      </c>
    </row>
    <row r="1136" spans="1:32" s="19" customFormat="1">
      <c r="A1136" s="97" t="s">
        <v>2323</v>
      </c>
      <c r="B1136" s="97" t="s">
        <v>436</v>
      </c>
      <c r="C1136" s="95">
        <v>2673</v>
      </c>
      <c r="D1136" s="95" t="s">
        <v>245</v>
      </c>
      <c r="E1136" s="129">
        <f>VLOOKUP($C1136,'2021-22 School Level AAFTE'!$C:$Z,11,FALSE)</f>
        <v>0.61353333333333337</v>
      </c>
      <c r="F1136" s="129" t="str">
        <f>VLOOKUP($C1136,'2021-22 School Level AAFTE'!$C:$Z,8,FALSE)</f>
        <v>Yes</v>
      </c>
      <c r="G1136" s="129" t="str">
        <f>VLOOKUP($C1136,'2021-22 School Level AAFTE'!$C:$Z,12,FALSE)</f>
        <v>No</v>
      </c>
      <c r="H1136" s="127">
        <f>VLOOKUP($C1136,'2021-22 School Level AAFTE'!$C:$I,7,FALSE)</f>
        <v>760.79</v>
      </c>
      <c r="I1136" s="112">
        <f>IFERROR(IF(OR(G1136="yes",F1136= "yes"),VLOOKUP(C1136,Summary!$B:$J,6,0),0),0)</f>
        <v>0</v>
      </c>
      <c r="J1136" s="111">
        <f t="shared" si="216"/>
        <v>760.79</v>
      </c>
      <c r="K1136" s="91">
        <f>VLOOKUP($A1136,'2022-23 Salary &amp; Benefits'!$A:$I,3,FALSE)</f>
        <v>1.03</v>
      </c>
      <c r="L1136" s="91">
        <f>VLOOKUP($A1136,'2022-23 Salary &amp; Benefits'!$A:$I,4,FALSE)</f>
        <v>1.03</v>
      </c>
      <c r="M1136" s="101">
        <f t="shared" si="223"/>
        <v>760.79</v>
      </c>
      <c r="N1136" s="24">
        <v>15</v>
      </c>
      <c r="O1136" s="26">
        <f t="shared" si="214"/>
        <v>50.719333333333331</v>
      </c>
      <c r="P1136" s="24">
        <v>1.1000000000000001</v>
      </c>
      <c r="Q1136" s="24">
        <v>36</v>
      </c>
      <c r="R1136" s="27">
        <f t="shared" si="215"/>
        <v>2008.4856000000002</v>
      </c>
      <c r="S1136" s="102">
        <f t="shared" si="217"/>
        <v>2.2320000000000002</v>
      </c>
      <c r="T1136" s="21">
        <f>VLOOKUP($A1136,'2022-23 Salary &amp; Benefits'!$A:$I,5,FALSE)</f>
        <v>68937</v>
      </c>
      <c r="U1136" s="21">
        <f>VLOOKUP($A1136,'2022-23 Salary &amp; Benefits'!$A:$I,6,FALSE)</f>
        <v>72728</v>
      </c>
      <c r="V1136" s="22">
        <f t="shared" si="218"/>
        <v>158483.41</v>
      </c>
      <c r="W1136" s="22">
        <f t="shared" si="219"/>
        <v>8715.3500000000058</v>
      </c>
      <c r="X1136" s="22">
        <f>'2022-23 Salary &amp; Benefits'!$G$6</f>
        <v>12558.24</v>
      </c>
      <c r="Y1136" s="23">
        <f>'2022-23 Salary &amp; Benefits'!$H$6</f>
        <v>0.2298</v>
      </c>
      <c r="Z1136" s="23">
        <f>'2022-23 Salary &amp; Benefits'!$I$6</f>
        <v>0.22339999999999999</v>
      </c>
      <c r="AA1136" s="22">
        <f t="shared" si="220"/>
        <v>66396.490000000005</v>
      </c>
      <c r="AB1136" s="22">
        <f t="shared" si="221"/>
        <v>2786.65</v>
      </c>
      <c r="AC1136" s="22">
        <f t="shared" si="222"/>
        <v>622.54</v>
      </c>
      <c r="AD1136" s="22">
        <f t="shared" si="224"/>
        <v>3409.19</v>
      </c>
      <c r="AE1136" s="22">
        <f t="shared" si="225"/>
        <v>237004.44000000003</v>
      </c>
      <c r="AF1136" s="19" t="str">
        <f>VLOOKUP(C1136,'2021-22 School Level AAFTE'!C:N,12,FALSE)</f>
        <v>No</v>
      </c>
    </row>
    <row r="1137" spans="1:32" s="19" customFormat="1">
      <c r="A1137" s="97" t="s">
        <v>2323</v>
      </c>
      <c r="B1137" s="97" t="s">
        <v>436</v>
      </c>
      <c r="C1137" s="95">
        <v>2832</v>
      </c>
      <c r="D1137" s="95" t="s">
        <v>437</v>
      </c>
      <c r="E1137" s="129">
        <f>VLOOKUP($C1137,'2021-22 School Level AAFTE'!$C:$Z,11,FALSE)</f>
        <v>0.61233333333333329</v>
      </c>
      <c r="F1137" s="129" t="str">
        <f>VLOOKUP($C1137,'2021-22 School Level AAFTE'!$C:$Z,8,FALSE)</f>
        <v>Yes</v>
      </c>
      <c r="G1137" s="129" t="str">
        <f>VLOOKUP($C1137,'2021-22 School Level AAFTE'!$C:$Z,12,FALSE)</f>
        <v>No</v>
      </c>
      <c r="H1137" s="127">
        <f>VLOOKUP($C1137,'2021-22 School Level AAFTE'!$C:$I,7,FALSE)</f>
        <v>408.12</v>
      </c>
      <c r="I1137" s="112">
        <f>IFERROR(IF(OR(G1137="yes",F1137= "yes"),VLOOKUP(C1137,Summary!$B:$J,6,0),0),0)</f>
        <v>0</v>
      </c>
      <c r="J1137" s="111">
        <f t="shared" si="216"/>
        <v>408.12</v>
      </c>
      <c r="K1137" s="91">
        <f>VLOOKUP($A1137,'2022-23 Salary &amp; Benefits'!$A:$I,3,FALSE)</f>
        <v>1.03</v>
      </c>
      <c r="L1137" s="91">
        <f>VLOOKUP($A1137,'2022-23 Salary &amp; Benefits'!$A:$I,4,FALSE)</f>
        <v>1.03</v>
      </c>
      <c r="M1137" s="101">
        <f t="shared" si="223"/>
        <v>408.12</v>
      </c>
      <c r="N1137" s="24">
        <v>15</v>
      </c>
      <c r="O1137" s="26">
        <f t="shared" si="214"/>
        <v>27.208000000000002</v>
      </c>
      <c r="P1137" s="24">
        <v>1.1000000000000001</v>
      </c>
      <c r="Q1137" s="24">
        <v>36</v>
      </c>
      <c r="R1137" s="27">
        <f t="shared" si="215"/>
        <v>1077.4368000000002</v>
      </c>
      <c r="S1137" s="102">
        <f t="shared" si="217"/>
        <v>1.1970000000000001</v>
      </c>
      <c r="T1137" s="21">
        <f>VLOOKUP($A1137,'2022-23 Salary &amp; Benefits'!$A:$I,5,FALSE)</f>
        <v>68937</v>
      </c>
      <c r="U1137" s="21">
        <f>VLOOKUP($A1137,'2022-23 Salary &amp; Benefits'!$A:$I,6,FALSE)</f>
        <v>72728</v>
      </c>
      <c r="V1137" s="22">
        <f t="shared" si="218"/>
        <v>84993.12</v>
      </c>
      <c r="W1137" s="22">
        <f t="shared" si="219"/>
        <v>4673.9600000000064</v>
      </c>
      <c r="X1137" s="22">
        <f>'2022-23 Salary &amp; Benefits'!$G$6</f>
        <v>12558.24</v>
      </c>
      <c r="Y1137" s="23">
        <f>'2022-23 Salary &amp; Benefits'!$H$6</f>
        <v>0.2298</v>
      </c>
      <c r="Z1137" s="23">
        <f>'2022-23 Salary &amp; Benefits'!$I$6</f>
        <v>0.22339999999999999</v>
      </c>
      <c r="AA1137" s="22">
        <f t="shared" si="220"/>
        <v>35607.79</v>
      </c>
      <c r="AB1137" s="22">
        <f t="shared" si="221"/>
        <v>1494.45</v>
      </c>
      <c r="AC1137" s="22">
        <f t="shared" si="222"/>
        <v>333.86</v>
      </c>
      <c r="AD1137" s="22">
        <f t="shared" si="224"/>
        <v>1828.31</v>
      </c>
      <c r="AE1137" s="22">
        <f t="shared" si="225"/>
        <v>127103.18000000001</v>
      </c>
      <c r="AF1137" s="19" t="str">
        <f>VLOOKUP(C1137,'2021-22 School Level AAFTE'!C:N,12,FALSE)</f>
        <v>No</v>
      </c>
    </row>
    <row r="1138" spans="1:32" s="19" customFormat="1">
      <c r="A1138" s="97" t="s">
        <v>2323</v>
      </c>
      <c r="B1138" s="97" t="s">
        <v>436</v>
      </c>
      <c r="C1138" s="95">
        <v>2833</v>
      </c>
      <c r="D1138" s="95" t="s">
        <v>438</v>
      </c>
      <c r="E1138" s="129">
        <f>VLOOKUP($C1138,'2021-22 School Level AAFTE'!$C:$Z,11,FALSE)</f>
        <v>0.7654333333333333</v>
      </c>
      <c r="F1138" s="129" t="str">
        <f>VLOOKUP($C1138,'2021-22 School Level AAFTE'!$C:$Z,8,FALSE)</f>
        <v>Yes</v>
      </c>
      <c r="G1138" s="129" t="str">
        <f>VLOOKUP($C1138,'2021-22 School Level AAFTE'!$C:$Z,12,FALSE)</f>
        <v>No</v>
      </c>
      <c r="H1138" s="127">
        <f>VLOOKUP($C1138,'2021-22 School Level AAFTE'!$C:$I,7,FALSE)</f>
        <v>307.57</v>
      </c>
      <c r="I1138" s="112">
        <f>IFERROR(IF(OR(G1138="yes",F1138= "yes"),VLOOKUP(C1138,Summary!$B:$J,6,0),0),0)</f>
        <v>0</v>
      </c>
      <c r="J1138" s="111">
        <f t="shared" si="216"/>
        <v>307.57</v>
      </c>
      <c r="K1138" s="91">
        <f>VLOOKUP($A1138,'2022-23 Salary &amp; Benefits'!$A:$I,3,FALSE)</f>
        <v>1.03</v>
      </c>
      <c r="L1138" s="91">
        <f>VLOOKUP($A1138,'2022-23 Salary &amp; Benefits'!$A:$I,4,FALSE)</f>
        <v>1.03</v>
      </c>
      <c r="M1138" s="101">
        <f t="shared" si="223"/>
        <v>307.57</v>
      </c>
      <c r="N1138" s="24">
        <v>15</v>
      </c>
      <c r="O1138" s="26">
        <f t="shared" si="214"/>
        <v>20.504666666666665</v>
      </c>
      <c r="P1138" s="24">
        <v>1.1000000000000001</v>
      </c>
      <c r="Q1138" s="24">
        <v>36</v>
      </c>
      <c r="R1138" s="27">
        <f t="shared" si="215"/>
        <v>811.98480000000006</v>
      </c>
      <c r="S1138" s="102">
        <f t="shared" si="217"/>
        <v>0.90200000000000002</v>
      </c>
      <c r="T1138" s="21">
        <f>VLOOKUP($A1138,'2022-23 Salary &amp; Benefits'!$A:$I,5,FALSE)</f>
        <v>68937</v>
      </c>
      <c r="U1138" s="21">
        <f>VLOOKUP($A1138,'2022-23 Salary &amp; Benefits'!$A:$I,6,FALSE)</f>
        <v>72728</v>
      </c>
      <c r="V1138" s="22">
        <f t="shared" si="218"/>
        <v>64046.61</v>
      </c>
      <c r="W1138" s="22">
        <f t="shared" si="219"/>
        <v>3522.0699999999924</v>
      </c>
      <c r="X1138" s="22">
        <f>'2022-23 Salary &amp; Benefits'!$G$6</f>
        <v>12558.24</v>
      </c>
      <c r="Y1138" s="23">
        <f>'2022-23 Salary &amp; Benefits'!$H$6</f>
        <v>0.2298</v>
      </c>
      <c r="Z1138" s="23">
        <f>'2022-23 Salary &amp; Benefits'!$I$6</f>
        <v>0.22339999999999999</v>
      </c>
      <c r="AA1138" s="22">
        <f t="shared" si="220"/>
        <v>26832.27</v>
      </c>
      <c r="AB1138" s="22">
        <f t="shared" si="221"/>
        <v>1126.1400000000001</v>
      </c>
      <c r="AC1138" s="22">
        <f t="shared" si="222"/>
        <v>251.58</v>
      </c>
      <c r="AD1138" s="22">
        <f t="shared" si="224"/>
        <v>1377.72</v>
      </c>
      <c r="AE1138" s="22">
        <f t="shared" si="225"/>
        <v>95778.67</v>
      </c>
      <c r="AF1138" s="19" t="str">
        <f>VLOOKUP(C1138,'2021-22 School Level AAFTE'!C:N,12,FALSE)</f>
        <v>No</v>
      </c>
    </row>
    <row r="1139" spans="1:32" s="19" customFormat="1">
      <c r="A1139" s="97" t="s">
        <v>2323</v>
      </c>
      <c r="B1139" s="97" t="s">
        <v>436</v>
      </c>
      <c r="C1139" s="95">
        <v>2969</v>
      </c>
      <c r="D1139" s="95" t="s">
        <v>439</v>
      </c>
      <c r="E1139" s="129">
        <f>VLOOKUP($C1139,'2021-22 School Level AAFTE'!$C:$Z,11,FALSE)</f>
        <v>0.64680000000000004</v>
      </c>
      <c r="F1139" s="129" t="str">
        <f>VLOOKUP($C1139,'2021-22 School Level AAFTE'!$C:$Z,8,FALSE)</f>
        <v>Yes</v>
      </c>
      <c r="G1139" s="129" t="str">
        <f>VLOOKUP($C1139,'2021-22 School Level AAFTE'!$C:$Z,12,FALSE)</f>
        <v>No</v>
      </c>
      <c r="H1139" s="127">
        <f>VLOOKUP($C1139,'2021-22 School Level AAFTE'!$C:$I,7,FALSE)</f>
        <v>315.2</v>
      </c>
      <c r="I1139" s="112">
        <f>IFERROR(IF(OR(G1139="yes",F1139= "yes"),VLOOKUP(C1139,Summary!$B:$J,6,0),0),0)</f>
        <v>0</v>
      </c>
      <c r="J1139" s="111">
        <f t="shared" si="216"/>
        <v>315.2</v>
      </c>
      <c r="K1139" s="91">
        <f>VLOOKUP($A1139,'2022-23 Salary &amp; Benefits'!$A:$I,3,FALSE)</f>
        <v>1.03</v>
      </c>
      <c r="L1139" s="91">
        <f>VLOOKUP($A1139,'2022-23 Salary &amp; Benefits'!$A:$I,4,FALSE)</f>
        <v>1.03</v>
      </c>
      <c r="M1139" s="101">
        <f t="shared" si="223"/>
        <v>315.2</v>
      </c>
      <c r="N1139" s="24">
        <v>15</v>
      </c>
      <c r="O1139" s="26">
        <f t="shared" si="214"/>
        <v>21.013333333333332</v>
      </c>
      <c r="P1139" s="24">
        <v>1.1000000000000001</v>
      </c>
      <c r="Q1139" s="24">
        <v>36</v>
      </c>
      <c r="R1139" s="27">
        <f t="shared" si="215"/>
        <v>832.12800000000004</v>
      </c>
      <c r="S1139" s="102">
        <f t="shared" si="217"/>
        <v>0.92500000000000004</v>
      </c>
      <c r="T1139" s="21">
        <f>VLOOKUP($A1139,'2022-23 Salary &amp; Benefits'!$A:$I,5,FALSE)</f>
        <v>68937</v>
      </c>
      <c r="U1139" s="21">
        <f>VLOOKUP($A1139,'2022-23 Salary &amp; Benefits'!$A:$I,6,FALSE)</f>
        <v>72728</v>
      </c>
      <c r="V1139" s="22">
        <f t="shared" si="218"/>
        <v>65679.73</v>
      </c>
      <c r="W1139" s="22">
        <f t="shared" si="219"/>
        <v>3611.8700000000099</v>
      </c>
      <c r="X1139" s="22">
        <f>'2022-23 Salary &amp; Benefits'!$G$6</f>
        <v>12558.24</v>
      </c>
      <c r="Y1139" s="23">
        <f>'2022-23 Salary &amp; Benefits'!$H$6</f>
        <v>0.2298</v>
      </c>
      <c r="Z1139" s="23">
        <f>'2022-23 Salary &amp; Benefits'!$I$6</f>
        <v>0.22339999999999999</v>
      </c>
      <c r="AA1139" s="22">
        <f t="shared" si="220"/>
        <v>27516.47</v>
      </c>
      <c r="AB1139" s="22">
        <f t="shared" si="221"/>
        <v>1154.8599999999999</v>
      </c>
      <c r="AC1139" s="22">
        <f t="shared" si="222"/>
        <v>258</v>
      </c>
      <c r="AD1139" s="22">
        <f t="shared" si="224"/>
        <v>1412.86</v>
      </c>
      <c r="AE1139" s="22">
        <f t="shared" si="225"/>
        <v>98220.930000000008</v>
      </c>
      <c r="AF1139" s="19" t="str">
        <f>VLOOKUP(C1139,'2021-22 School Level AAFTE'!C:N,12,FALSE)</f>
        <v>No</v>
      </c>
    </row>
    <row r="1140" spans="1:32" s="19" customFormat="1">
      <c r="A1140" s="97" t="s">
        <v>2323</v>
      </c>
      <c r="B1140" s="97" t="s">
        <v>436</v>
      </c>
      <c r="C1140" s="95">
        <v>2970</v>
      </c>
      <c r="D1140" s="95" t="s">
        <v>440</v>
      </c>
      <c r="E1140" s="129">
        <f>VLOOKUP($C1140,'2021-22 School Level AAFTE'!$C:$Z,11,FALSE)</f>
        <v>0.78853333333333342</v>
      </c>
      <c r="F1140" s="129" t="str">
        <f>VLOOKUP($C1140,'2021-22 School Level AAFTE'!$C:$Z,8,FALSE)</f>
        <v>Yes</v>
      </c>
      <c r="G1140" s="129" t="str">
        <f>VLOOKUP($C1140,'2021-22 School Level AAFTE'!$C:$Z,12,FALSE)</f>
        <v>No</v>
      </c>
      <c r="H1140" s="127">
        <f>VLOOKUP($C1140,'2021-22 School Level AAFTE'!$C:$I,7,FALSE)</f>
        <v>239.89</v>
      </c>
      <c r="I1140" s="112">
        <f>IFERROR(IF(OR(G1140="yes",F1140= "yes"),VLOOKUP(C1140,Summary!$B:$J,6,0),0),0)</f>
        <v>0</v>
      </c>
      <c r="J1140" s="111">
        <f t="shared" si="216"/>
        <v>239.89</v>
      </c>
      <c r="K1140" s="91">
        <f>VLOOKUP($A1140,'2022-23 Salary &amp; Benefits'!$A:$I,3,FALSE)</f>
        <v>1.03</v>
      </c>
      <c r="L1140" s="91">
        <f>VLOOKUP($A1140,'2022-23 Salary &amp; Benefits'!$A:$I,4,FALSE)</f>
        <v>1.03</v>
      </c>
      <c r="M1140" s="101">
        <f t="shared" si="223"/>
        <v>239.89</v>
      </c>
      <c r="N1140" s="24">
        <v>15</v>
      </c>
      <c r="O1140" s="26">
        <f t="shared" si="214"/>
        <v>15.992666666666667</v>
      </c>
      <c r="P1140" s="24">
        <v>1.1000000000000001</v>
      </c>
      <c r="Q1140" s="24">
        <v>36</v>
      </c>
      <c r="R1140" s="27">
        <f t="shared" si="215"/>
        <v>633.30960000000005</v>
      </c>
      <c r="S1140" s="102">
        <f t="shared" si="217"/>
        <v>0.70399999999999996</v>
      </c>
      <c r="T1140" s="21">
        <f>VLOOKUP($A1140,'2022-23 Salary &amp; Benefits'!$A:$I,5,FALSE)</f>
        <v>68937</v>
      </c>
      <c r="U1140" s="21">
        <f>VLOOKUP($A1140,'2022-23 Salary &amp; Benefits'!$A:$I,6,FALSE)</f>
        <v>72728</v>
      </c>
      <c r="V1140" s="22">
        <f t="shared" si="218"/>
        <v>49987.6</v>
      </c>
      <c r="W1140" s="22">
        <f t="shared" si="219"/>
        <v>2748.9300000000003</v>
      </c>
      <c r="X1140" s="22">
        <f>'2022-23 Salary &amp; Benefits'!$G$6</f>
        <v>12558.24</v>
      </c>
      <c r="Y1140" s="23">
        <f>'2022-23 Salary &amp; Benefits'!$H$6</f>
        <v>0.2298</v>
      </c>
      <c r="Z1140" s="23">
        <f>'2022-23 Salary &amp; Benefits'!$I$6</f>
        <v>0.22339999999999999</v>
      </c>
      <c r="AA1140" s="22">
        <f t="shared" si="220"/>
        <v>20942.259999999998</v>
      </c>
      <c r="AB1140" s="22">
        <f t="shared" si="221"/>
        <v>878.94</v>
      </c>
      <c r="AC1140" s="22">
        <f t="shared" si="222"/>
        <v>196.36</v>
      </c>
      <c r="AD1140" s="22">
        <f t="shared" si="224"/>
        <v>1075.3000000000002</v>
      </c>
      <c r="AE1140" s="22">
        <f t="shared" si="225"/>
        <v>74754.090000000011</v>
      </c>
      <c r="AF1140" s="19" t="str">
        <f>VLOOKUP(C1140,'2021-22 School Level AAFTE'!C:N,12,FALSE)</f>
        <v>No</v>
      </c>
    </row>
    <row r="1141" spans="1:32" s="19" customFormat="1">
      <c r="A1141" s="97" t="s">
        <v>2323</v>
      </c>
      <c r="B1141" s="97" t="s">
        <v>436</v>
      </c>
      <c r="C1141" s="95">
        <v>3021</v>
      </c>
      <c r="D1141" s="95" t="s">
        <v>441</v>
      </c>
      <c r="E1141" s="129">
        <f>VLOOKUP($C1141,'2021-22 School Level AAFTE'!$C:$Z,11,FALSE)</f>
        <v>0.86929999999999996</v>
      </c>
      <c r="F1141" s="129" t="str">
        <f>VLOOKUP($C1141,'2021-22 School Level AAFTE'!$C:$Z,8,FALSE)</f>
        <v>Yes</v>
      </c>
      <c r="G1141" s="129" t="str">
        <f>VLOOKUP($C1141,'2021-22 School Level AAFTE'!$C:$Z,12,FALSE)</f>
        <v>No</v>
      </c>
      <c r="H1141" s="127">
        <f>VLOOKUP($C1141,'2021-22 School Level AAFTE'!$C:$I,7,FALSE)</f>
        <v>322.75</v>
      </c>
      <c r="I1141" s="112">
        <f>IFERROR(IF(OR(G1141="yes",F1141= "yes"),VLOOKUP(C1141,Summary!$B:$J,6,0),0),0)</f>
        <v>0</v>
      </c>
      <c r="J1141" s="111">
        <f t="shared" si="216"/>
        <v>322.75</v>
      </c>
      <c r="K1141" s="91">
        <f>VLOOKUP($A1141,'2022-23 Salary &amp; Benefits'!$A:$I,3,FALSE)</f>
        <v>1.03</v>
      </c>
      <c r="L1141" s="91">
        <f>VLOOKUP($A1141,'2022-23 Salary &amp; Benefits'!$A:$I,4,FALSE)</f>
        <v>1.03</v>
      </c>
      <c r="M1141" s="101">
        <f t="shared" si="223"/>
        <v>322.75</v>
      </c>
      <c r="N1141" s="24">
        <v>15</v>
      </c>
      <c r="O1141" s="26">
        <f t="shared" si="214"/>
        <v>21.516666666666666</v>
      </c>
      <c r="P1141" s="24">
        <v>1.1000000000000001</v>
      </c>
      <c r="Q1141" s="24">
        <v>36</v>
      </c>
      <c r="R1141" s="27">
        <f t="shared" si="215"/>
        <v>852.06</v>
      </c>
      <c r="S1141" s="102">
        <f t="shared" si="217"/>
        <v>0.94699999999999995</v>
      </c>
      <c r="T1141" s="21">
        <f>VLOOKUP($A1141,'2022-23 Salary &amp; Benefits'!$A:$I,5,FALSE)</f>
        <v>68937</v>
      </c>
      <c r="U1141" s="21">
        <f>VLOOKUP($A1141,'2022-23 Salary &amp; Benefits'!$A:$I,6,FALSE)</f>
        <v>72728</v>
      </c>
      <c r="V1141" s="22">
        <f t="shared" si="218"/>
        <v>67241.84</v>
      </c>
      <c r="W1141" s="22">
        <f t="shared" si="219"/>
        <v>3697.7799999999988</v>
      </c>
      <c r="X1141" s="22">
        <f>'2022-23 Salary &amp; Benefits'!$G$6</f>
        <v>12558.24</v>
      </c>
      <c r="Y1141" s="23">
        <f>'2022-23 Salary &amp; Benefits'!$H$6</f>
        <v>0.2298</v>
      </c>
      <c r="Z1141" s="23">
        <f>'2022-23 Salary &amp; Benefits'!$I$6</f>
        <v>0.22339999999999999</v>
      </c>
      <c r="AA1141" s="22">
        <f t="shared" si="220"/>
        <v>28170.91</v>
      </c>
      <c r="AB1141" s="22">
        <f t="shared" si="221"/>
        <v>1182.33</v>
      </c>
      <c r="AC1141" s="22">
        <f t="shared" si="222"/>
        <v>264.13</v>
      </c>
      <c r="AD1141" s="22">
        <f t="shared" si="224"/>
        <v>1446.46</v>
      </c>
      <c r="AE1141" s="22">
        <f t="shared" si="225"/>
        <v>100556.99</v>
      </c>
      <c r="AF1141" s="19" t="str">
        <f>VLOOKUP(C1141,'2021-22 School Level AAFTE'!C:N,12,FALSE)</f>
        <v>No</v>
      </c>
    </row>
    <row r="1142" spans="1:32" s="19" customFormat="1">
      <c r="A1142" s="97" t="s">
        <v>2323</v>
      </c>
      <c r="B1142" s="97" t="s">
        <v>436</v>
      </c>
      <c r="C1142" s="95">
        <v>3022</v>
      </c>
      <c r="D1142" s="95" t="s">
        <v>442</v>
      </c>
      <c r="E1142" s="129">
        <f>VLOOKUP($C1142,'2021-22 School Level AAFTE'!$C:$Z,11,FALSE)</f>
        <v>0.62339999999999995</v>
      </c>
      <c r="F1142" s="129" t="str">
        <f>VLOOKUP($C1142,'2021-22 School Level AAFTE'!$C:$Z,8,FALSE)</f>
        <v>Yes</v>
      </c>
      <c r="G1142" s="129" t="str">
        <f>VLOOKUP($C1142,'2021-22 School Level AAFTE'!$C:$Z,12,FALSE)</f>
        <v>No</v>
      </c>
      <c r="H1142" s="127">
        <f>VLOOKUP($C1142,'2021-22 School Level AAFTE'!$C:$I,7,FALSE)</f>
        <v>862.36</v>
      </c>
      <c r="I1142" s="112">
        <f>IFERROR(IF(OR(G1142="yes",F1142= "yes"),VLOOKUP(C1142,Summary!$B:$J,6,0),0),0)</f>
        <v>0</v>
      </c>
      <c r="J1142" s="111">
        <f t="shared" si="216"/>
        <v>862.36</v>
      </c>
      <c r="K1142" s="91">
        <f>VLOOKUP($A1142,'2022-23 Salary &amp; Benefits'!$A:$I,3,FALSE)</f>
        <v>1.03</v>
      </c>
      <c r="L1142" s="91">
        <f>VLOOKUP($A1142,'2022-23 Salary &amp; Benefits'!$A:$I,4,FALSE)</f>
        <v>1.03</v>
      </c>
      <c r="M1142" s="101">
        <f t="shared" si="223"/>
        <v>862.36</v>
      </c>
      <c r="N1142" s="24">
        <v>15</v>
      </c>
      <c r="O1142" s="26">
        <f t="shared" si="214"/>
        <v>57.490666666666669</v>
      </c>
      <c r="P1142" s="24">
        <v>1.1000000000000001</v>
      </c>
      <c r="Q1142" s="24">
        <v>36</v>
      </c>
      <c r="R1142" s="27">
        <f t="shared" si="215"/>
        <v>2276.6304000000005</v>
      </c>
      <c r="S1142" s="102">
        <f t="shared" si="217"/>
        <v>2.5299999999999998</v>
      </c>
      <c r="T1142" s="21">
        <f>VLOOKUP($A1142,'2022-23 Salary &amp; Benefits'!$A:$I,5,FALSE)</f>
        <v>68937</v>
      </c>
      <c r="U1142" s="21">
        <f>VLOOKUP($A1142,'2022-23 Salary &amp; Benefits'!$A:$I,6,FALSE)</f>
        <v>72728</v>
      </c>
      <c r="V1142" s="22">
        <f t="shared" si="218"/>
        <v>179642.93</v>
      </c>
      <c r="W1142" s="22">
        <f t="shared" si="219"/>
        <v>9878.9700000000012</v>
      </c>
      <c r="X1142" s="22">
        <f>'2022-23 Salary &amp; Benefits'!$G$6</f>
        <v>12558.24</v>
      </c>
      <c r="Y1142" s="23">
        <f>'2022-23 Salary &amp; Benefits'!$H$6</f>
        <v>0.2298</v>
      </c>
      <c r="Z1142" s="23">
        <f>'2022-23 Salary &amp; Benefits'!$I$6</f>
        <v>0.22339999999999999</v>
      </c>
      <c r="AA1142" s="22">
        <f t="shared" si="220"/>
        <v>75261.25</v>
      </c>
      <c r="AB1142" s="22">
        <f t="shared" si="221"/>
        <v>3158.7</v>
      </c>
      <c r="AC1142" s="22">
        <f t="shared" si="222"/>
        <v>705.65</v>
      </c>
      <c r="AD1142" s="22">
        <f t="shared" si="224"/>
        <v>3864.35</v>
      </c>
      <c r="AE1142" s="22">
        <f t="shared" si="225"/>
        <v>268647.5</v>
      </c>
      <c r="AF1142" s="19" t="str">
        <f>VLOOKUP(C1142,'2021-22 School Level AAFTE'!C:N,12,FALSE)</f>
        <v>No</v>
      </c>
    </row>
    <row r="1143" spans="1:32" s="19" customFormat="1">
      <c r="A1143" s="97" t="s">
        <v>2323</v>
      </c>
      <c r="B1143" s="97" t="s">
        <v>436</v>
      </c>
      <c r="C1143" s="95">
        <v>3091</v>
      </c>
      <c r="D1143" s="95" t="s">
        <v>443</v>
      </c>
      <c r="E1143" s="129">
        <f>VLOOKUP($C1143,'2021-22 School Level AAFTE'!$C:$Z,11,FALSE)</f>
        <v>0.5479666666666666</v>
      </c>
      <c r="F1143" s="129" t="str">
        <f>VLOOKUP($C1143,'2021-22 School Level AAFTE'!$C:$Z,8,FALSE)</f>
        <v>Yes</v>
      </c>
      <c r="G1143" s="129" t="str">
        <f>VLOOKUP($C1143,'2021-22 School Level AAFTE'!$C:$Z,12,FALSE)</f>
        <v>No</v>
      </c>
      <c r="H1143" s="127">
        <f>VLOOKUP($C1143,'2021-22 School Level AAFTE'!$C:$I,7,FALSE)</f>
        <v>382.35</v>
      </c>
      <c r="I1143" s="112">
        <f>IFERROR(IF(OR(G1143="yes",F1143= "yes"),VLOOKUP(C1143,Summary!$B:$J,6,0),0),0)</f>
        <v>0</v>
      </c>
      <c r="J1143" s="111">
        <f t="shared" si="216"/>
        <v>382.35</v>
      </c>
      <c r="K1143" s="91">
        <f>VLOOKUP($A1143,'2022-23 Salary &amp; Benefits'!$A:$I,3,FALSE)</f>
        <v>1.03</v>
      </c>
      <c r="L1143" s="91">
        <f>VLOOKUP($A1143,'2022-23 Salary &amp; Benefits'!$A:$I,4,FALSE)</f>
        <v>1.03</v>
      </c>
      <c r="M1143" s="101">
        <f t="shared" si="223"/>
        <v>382.35</v>
      </c>
      <c r="N1143" s="24">
        <v>15</v>
      </c>
      <c r="O1143" s="26">
        <f t="shared" si="214"/>
        <v>25.490000000000002</v>
      </c>
      <c r="P1143" s="24">
        <v>1.1000000000000001</v>
      </c>
      <c r="Q1143" s="24">
        <v>36</v>
      </c>
      <c r="R1143" s="27">
        <f t="shared" si="215"/>
        <v>1009.4040000000002</v>
      </c>
      <c r="S1143" s="102">
        <f t="shared" si="217"/>
        <v>1.1220000000000001</v>
      </c>
      <c r="T1143" s="21">
        <f>VLOOKUP($A1143,'2022-23 Salary &amp; Benefits'!$A:$I,5,FALSE)</f>
        <v>68937</v>
      </c>
      <c r="U1143" s="21">
        <f>VLOOKUP($A1143,'2022-23 Salary &amp; Benefits'!$A:$I,6,FALSE)</f>
        <v>72728</v>
      </c>
      <c r="V1143" s="22">
        <f t="shared" si="218"/>
        <v>79667.73</v>
      </c>
      <c r="W1143" s="22">
        <f t="shared" si="219"/>
        <v>4381.1100000000006</v>
      </c>
      <c r="X1143" s="22">
        <f>'2022-23 Salary &amp; Benefits'!$G$6</f>
        <v>12558.24</v>
      </c>
      <c r="Y1143" s="23">
        <f>'2022-23 Salary &amp; Benefits'!$H$6</f>
        <v>0.2298</v>
      </c>
      <c r="Z1143" s="23">
        <f>'2022-23 Salary &amp; Benefits'!$I$6</f>
        <v>0.22339999999999999</v>
      </c>
      <c r="AA1143" s="22">
        <f t="shared" si="220"/>
        <v>33376.730000000003</v>
      </c>
      <c r="AB1143" s="22">
        <f t="shared" si="221"/>
        <v>1400.81</v>
      </c>
      <c r="AC1143" s="22">
        <f t="shared" si="222"/>
        <v>312.94</v>
      </c>
      <c r="AD1143" s="22">
        <f t="shared" si="224"/>
        <v>1713.75</v>
      </c>
      <c r="AE1143" s="22">
        <f t="shared" si="225"/>
        <v>119139.31999999999</v>
      </c>
      <c r="AF1143" s="19" t="str">
        <f>VLOOKUP(C1143,'2021-22 School Level AAFTE'!C:N,12,FALSE)</f>
        <v>No</v>
      </c>
    </row>
    <row r="1144" spans="1:32" s="19" customFormat="1">
      <c r="A1144" s="97" t="s">
        <v>2323</v>
      </c>
      <c r="B1144" s="97" t="s">
        <v>436</v>
      </c>
      <c r="C1144" s="95">
        <v>3153</v>
      </c>
      <c r="D1144" s="95" t="s">
        <v>444</v>
      </c>
      <c r="E1144" s="129">
        <f>VLOOKUP($C1144,'2021-22 School Level AAFTE'!$C:$Z,11,FALSE)</f>
        <v>0.6846333333333332</v>
      </c>
      <c r="F1144" s="129" t="str">
        <f>VLOOKUP($C1144,'2021-22 School Level AAFTE'!$C:$Z,8,FALSE)</f>
        <v>Yes</v>
      </c>
      <c r="G1144" s="129" t="str">
        <f>VLOOKUP($C1144,'2021-22 School Level AAFTE'!$C:$Z,12,FALSE)</f>
        <v>No</v>
      </c>
      <c r="H1144" s="127">
        <f>VLOOKUP($C1144,'2021-22 School Level AAFTE'!$C:$I,7,FALSE)</f>
        <v>373.29</v>
      </c>
      <c r="I1144" s="112">
        <f>IFERROR(IF(OR(G1144="yes",F1144= "yes"),VLOOKUP(C1144,Summary!$B:$J,6,0),0),0)</f>
        <v>0</v>
      </c>
      <c r="J1144" s="111">
        <f t="shared" si="216"/>
        <v>373.29</v>
      </c>
      <c r="K1144" s="91">
        <f>VLOOKUP($A1144,'2022-23 Salary &amp; Benefits'!$A:$I,3,FALSE)</f>
        <v>1.03</v>
      </c>
      <c r="L1144" s="91">
        <f>VLOOKUP($A1144,'2022-23 Salary &amp; Benefits'!$A:$I,4,FALSE)</f>
        <v>1.03</v>
      </c>
      <c r="M1144" s="101">
        <f t="shared" si="223"/>
        <v>373.29</v>
      </c>
      <c r="N1144" s="24">
        <v>15</v>
      </c>
      <c r="O1144" s="26">
        <f t="shared" si="214"/>
        <v>24.886000000000003</v>
      </c>
      <c r="P1144" s="24">
        <v>1.1000000000000001</v>
      </c>
      <c r="Q1144" s="24">
        <v>36</v>
      </c>
      <c r="R1144" s="27">
        <f t="shared" si="215"/>
        <v>985.4856000000002</v>
      </c>
      <c r="S1144" s="102">
        <f t="shared" si="217"/>
        <v>1.095</v>
      </c>
      <c r="T1144" s="21">
        <f>VLOOKUP($A1144,'2022-23 Salary &amp; Benefits'!$A:$I,5,FALSE)</f>
        <v>68937</v>
      </c>
      <c r="U1144" s="21">
        <f>VLOOKUP($A1144,'2022-23 Salary &amp; Benefits'!$A:$I,6,FALSE)</f>
        <v>72728</v>
      </c>
      <c r="V1144" s="22">
        <f t="shared" si="218"/>
        <v>77750.600000000006</v>
      </c>
      <c r="W1144" s="22">
        <f t="shared" si="219"/>
        <v>4275.6699999999983</v>
      </c>
      <c r="X1144" s="22">
        <f>'2022-23 Salary &amp; Benefits'!$G$6</f>
        <v>12558.24</v>
      </c>
      <c r="Y1144" s="23">
        <f>'2022-23 Salary &amp; Benefits'!$H$6</f>
        <v>0.2298</v>
      </c>
      <c r="Z1144" s="23">
        <f>'2022-23 Salary &amp; Benefits'!$I$6</f>
        <v>0.22339999999999999</v>
      </c>
      <c r="AA1144" s="22">
        <f t="shared" si="220"/>
        <v>32573.55</v>
      </c>
      <c r="AB1144" s="22">
        <f t="shared" si="221"/>
        <v>1367.1</v>
      </c>
      <c r="AC1144" s="22">
        <f t="shared" si="222"/>
        <v>305.41000000000003</v>
      </c>
      <c r="AD1144" s="22">
        <f t="shared" si="224"/>
        <v>1672.51</v>
      </c>
      <c r="AE1144" s="22">
        <f t="shared" si="225"/>
        <v>116272.33</v>
      </c>
      <c r="AF1144" s="19" t="str">
        <f>VLOOKUP(C1144,'2021-22 School Level AAFTE'!C:N,12,FALSE)</f>
        <v>No</v>
      </c>
    </row>
    <row r="1145" spans="1:32" s="19" customFormat="1">
      <c r="A1145" s="97" t="s">
        <v>2323</v>
      </c>
      <c r="B1145" s="97" t="s">
        <v>436</v>
      </c>
      <c r="C1145" s="95">
        <v>3215</v>
      </c>
      <c r="D1145" s="95" t="s">
        <v>445</v>
      </c>
      <c r="E1145" s="129">
        <f>VLOOKUP($C1145,'2021-22 School Level AAFTE'!$C:$Z,11,FALSE)</f>
        <v>0.58763333333333334</v>
      </c>
      <c r="F1145" s="129" t="str">
        <f>VLOOKUP($C1145,'2021-22 School Level AAFTE'!$C:$Z,8,FALSE)</f>
        <v>Yes</v>
      </c>
      <c r="G1145" s="129" t="str">
        <f>VLOOKUP($C1145,'2021-22 School Level AAFTE'!$C:$Z,12,FALSE)</f>
        <v>No</v>
      </c>
      <c r="H1145" s="127">
        <f>VLOOKUP($C1145,'2021-22 School Level AAFTE'!$C:$I,7,FALSE)</f>
        <v>2100.13</v>
      </c>
      <c r="I1145" s="112">
        <f>IFERROR(IF(OR(G1145="yes",F1145= "yes"),VLOOKUP(C1145,Summary!$B:$J,6,0),0),0)</f>
        <v>0</v>
      </c>
      <c r="J1145" s="111">
        <f t="shared" si="216"/>
        <v>2100.13</v>
      </c>
      <c r="K1145" s="91">
        <f>VLOOKUP($A1145,'2022-23 Salary &amp; Benefits'!$A:$I,3,FALSE)</f>
        <v>1.03</v>
      </c>
      <c r="L1145" s="91">
        <f>VLOOKUP($A1145,'2022-23 Salary &amp; Benefits'!$A:$I,4,FALSE)</f>
        <v>1.03</v>
      </c>
      <c r="M1145" s="101">
        <f t="shared" si="223"/>
        <v>2100.13</v>
      </c>
      <c r="N1145" s="24">
        <v>15</v>
      </c>
      <c r="O1145" s="26">
        <f t="shared" si="214"/>
        <v>140.00866666666667</v>
      </c>
      <c r="P1145" s="24">
        <v>1.1000000000000001</v>
      </c>
      <c r="Q1145" s="24">
        <v>36</v>
      </c>
      <c r="R1145" s="27">
        <f t="shared" si="215"/>
        <v>5544.3432000000003</v>
      </c>
      <c r="S1145" s="102">
        <f t="shared" si="217"/>
        <v>6.16</v>
      </c>
      <c r="T1145" s="21">
        <f>VLOOKUP($A1145,'2022-23 Salary &amp; Benefits'!$A:$I,5,FALSE)</f>
        <v>68937</v>
      </c>
      <c r="U1145" s="21">
        <f>VLOOKUP($A1145,'2022-23 Salary &amp; Benefits'!$A:$I,6,FALSE)</f>
        <v>72728</v>
      </c>
      <c r="V1145" s="22">
        <f t="shared" si="218"/>
        <v>437391.48</v>
      </c>
      <c r="W1145" s="22">
        <f t="shared" si="219"/>
        <v>24053.130000000005</v>
      </c>
      <c r="X1145" s="22">
        <f>'2022-23 Salary &amp; Benefits'!$G$6</f>
        <v>12558.24</v>
      </c>
      <c r="Y1145" s="23">
        <f>'2022-23 Salary &amp; Benefits'!$H$6</f>
        <v>0.2298</v>
      </c>
      <c r="Z1145" s="23">
        <f>'2022-23 Salary &amp; Benefits'!$I$6</f>
        <v>0.22339999999999999</v>
      </c>
      <c r="AA1145" s="22">
        <f t="shared" si="220"/>
        <v>183244.79</v>
      </c>
      <c r="AB1145" s="22">
        <f t="shared" si="221"/>
        <v>7690.74</v>
      </c>
      <c r="AC1145" s="22">
        <f t="shared" si="222"/>
        <v>1718.11</v>
      </c>
      <c r="AD1145" s="22">
        <f t="shared" si="224"/>
        <v>9408.85</v>
      </c>
      <c r="AE1145" s="22">
        <f t="shared" si="225"/>
        <v>654098.25</v>
      </c>
      <c r="AF1145" s="19" t="str">
        <f>VLOOKUP(C1145,'2021-22 School Level AAFTE'!C:N,12,FALSE)</f>
        <v>No</v>
      </c>
    </row>
    <row r="1146" spans="1:32" s="19" customFormat="1">
      <c r="A1146" s="97" t="s">
        <v>2323</v>
      </c>
      <c r="B1146" s="97" t="s">
        <v>436</v>
      </c>
      <c r="C1146" s="95">
        <v>3779</v>
      </c>
      <c r="D1146" s="95" t="s">
        <v>446</v>
      </c>
      <c r="E1146" s="129">
        <f>VLOOKUP($C1146,'2021-22 School Level AAFTE'!$C:$Z,11,FALSE)</f>
        <v>0.88306666666666667</v>
      </c>
      <c r="F1146" s="129" t="str">
        <f>VLOOKUP($C1146,'2021-22 School Level AAFTE'!$C:$Z,8,FALSE)</f>
        <v>Yes</v>
      </c>
      <c r="G1146" s="129" t="str">
        <f>VLOOKUP($C1146,'2021-22 School Level AAFTE'!$C:$Z,12,FALSE)</f>
        <v>No</v>
      </c>
      <c r="H1146" s="127">
        <f>VLOOKUP($C1146,'2021-22 School Level AAFTE'!$C:$I,7,FALSE)</f>
        <v>314.14</v>
      </c>
      <c r="I1146" s="112">
        <f>IFERROR(IF(OR(G1146="yes",F1146= "yes"),VLOOKUP(C1146,Summary!$B:$J,6,0),0),0)</f>
        <v>0</v>
      </c>
      <c r="J1146" s="111">
        <f t="shared" si="216"/>
        <v>314.14</v>
      </c>
      <c r="K1146" s="91">
        <f>VLOOKUP($A1146,'2022-23 Salary &amp; Benefits'!$A:$I,3,FALSE)</f>
        <v>1.03</v>
      </c>
      <c r="L1146" s="91">
        <f>VLOOKUP($A1146,'2022-23 Salary &amp; Benefits'!$A:$I,4,FALSE)</f>
        <v>1.03</v>
      </c>
      <c r="M1146" s="39">
        <f t="shared" si="223"/>
        <v>314.14</v>
      </c>
      <c r="N1146" s="24">
        <v>15</v>
      </c>
      <c r="O1146" s="26">
        <f t="shared" si="214"/>
        <v>20.942666666666664</v>
      </c>
      <c r="P1146" s="24">
        <v>1.1000000000000001</v>
      </c>
      <c r="Q1146" s="24">
        <v>36</v>
      </c>
      <c r="R1146" s="27">
        <f t="shared" si="215"/>
        <v>829.32960000000003</v>
      </c>
      <c r="S1146" s="102">
        <f t="shared" si="217"/>
        <v>0.92100000000000004</v>
      </c>
      <c r="T1146" s="21">
        <f>VLOOKUP($A1146,'2022-23 Salary &amp; Benefits'!$A:$I,5,FALSE)</f>
        <v>68937</v>
      </c>
      <c r="U1146" s="21">
        <f>VLOOKUP($A1146,'2022-23 Salary &amp; Benefits'!$A:$I,6,FALSE)</f>
        <v>72728</v>
      </c>
      <c r="V1146" s="22">
        <f t="shared" si="218"/>
        <v>65395.71</v>
      </c>
      <c r="W1146" s="22">
        <f t="shared" si="219"/>
        <v>3596.2500000000073</v>
      </c>
      <c r="X1146" s="22">
        <f>'2022-23 Salary &amp; Benefits'!$G$6</f>
        <v>12558.24</v>
      </c>
      <c r="Y1146" s="23">
        <f>'2022-23 Salary &amp; Benefits'!$H$6</f>
        <v>0.2298</v>
      </c>
      <c r="Z1146" s="23">
        <f>'2022-23 Salary &amp; Benefits'!$I$6</f>
        <v>0.22339999999999999</v>
      </c>
      <c r="AA1146" s="22">
        <f t="shared" si="220"/>
        <v>27397.48</v>
      </c>
      <c r="AB1146" s="22">
        <f t="shared" si="221"/>
        <v>1149.8699999999999</v>
      </c>
      <c r="AC1146" s="22">
        <f t="shared" si="222"/>
        <v>256.88</v>
      </c>
      <c r="AD1146" s="22">
        <f t="shared" si="224"/>
        <v>1406.75</v>
      </c>
      <c r="AE1146" s="22">
        <f t="shared" si="225"/>
        <v>97796.19</v>
      </c>
      <c r="AF1146" s="19" t="str">
        <f>VLOOKUP(C1146,'2021-22 School Level AAFTE'!C:N,12,FALSE)</f>
        <v>No</v>
      </c>
    </row>
    <row r="1147" spans="1:32" s="19" customFormat="1">
      <c r="A1147" s="97" t="s">
        <v>2323</v>
      </c>
      <c r="B1147" s="97" t="s">
        <v>436</v>
      </c>
      <c r="C1147" s="95">
        <v>5173</v>
      </c>
      <c r="D1147" s="95" t="s">
        <v>447</v>
      </c>
      <c r="E1147" s="129">
        <f>VLOOKUP($C1147,'2021-22 School Level AAFTE'!$C:$Z,11,FALSE)</f>
        <v>0.3617333333333333</v>
      </c>
      <c r="F1147" s="129" t="str">
        <f>VLOOKUP($C1147,'2021-22 School Level AAFTE'!$C:$Z,8,FALSE)</f>
        <v>No</v>
      </c>
      <c r="G1147" s="129" t="str">
        <f>VLOOKUP($C1147,'2021-22 School Level AAFTE'!$C:$Z,12,FALSE)</f>
        <v>No</v>
      </c>
      <c r="H1147" s="127">
        <f>VLOOKUP($C1147,'2021-22 School Level AAFTE'!$C:$I,7,FALSE)</f>
        <v>351.42</v>
      </c>
      <c r="I1147" s="112">
        <f>IFERROR(IF(OR(G1147="yes",F1147= "yes"),VLOOKUP(C1147,Summary!$B:$J,6,0),0),0)</f>
        <v>0</v>
      </c>
      <c r="J1147" s="111">
        <f t="shared" si="216"/>
        <v>0</v>
      </c>
      <c r="K1147" s="91">
        <f>VLOOKUP($A1147,'2022-23 Salary &amp; Benefits'!$A:$I,3,FALSE)</f>
        <v>1.03</v>
      </c>
      <c r="L1147" s="91">
        <f>VLOOKUP($A1147,'2022-23 Salary &amp; Benefits'!$A:$I,4,FALSE)</f>
        <v>1.03</v>
      </c>
      <c r="M1147" s="101">
        <f t="shared" si="223"/>
        <v>0</v>
      </c>
      <c r="N1147" s="24">
        <v>15</v>
      </c>
      <c r="O1147" s="26">
        <f t="shared" si="214"/>
        <v>0</v>
      </c>
      <c r="P1147" s="24">
        <v>1.1000000000000001</v>
      </c>
      <c r="Q1147" s="24">
        <v>36</v>
      </c>
      <c r="R1147" s="27">
        <f t="shared" si="215"/>
        <v>0</v>
      </c>
      <c r="S1147" s="102">
        <f t="shared" si="217"/>
        <v>0</v>
      </c>
      <c r="T1147" s="21">
        <f>VLOOKUP($A1147,'2022-23 Salary &amp; Benefits'!$A:$I,5,FALSE)</f>
        <v>68937</v>
      </c>
      <c r="U1147" s="21">
        <f>VLOOKUP($A1147,'2022-23 Salary &amp; Benefits'!$A:$I,6,FALSE)</f>
        <v>72728</v>
      </c>
      <c r="V1147" s="22">
        <f t="shared" si="218"/>
        <v>0</v>
      </c>
      <c r="W1147" s="22">
        <f t="shared" si="219"/>
        <v>0</v>
      </c>
      <c r="X1147" s="22">
        <f>'2022-23 Salary &amp; Benefits'!$G$6</f>
        <v>12558.24</v>
      </c>
      <c r="Y1147" s="23">
        <f>'2022-23 Salary &amp; Benefits'!$H$6</f>
        <v>0.2298</v>
      </c>
      <c r="Z1147" s="23">
        <f>'2022-23 Salary &amp; Benefits'!$I$6</f>
        <v>0.22339999999999999</v>
      </c>
      <c r="AA1147" s="22">
        <f t="shared" si="220"/>
        <v>0</v>
      </c>
      <c r="AB1147" s="22">
        <f t="shared" si="221"/>
        <v>0</v>
      </c>
      <c r="AC1147" s="22">
        <f t="shared" si="222"/>
        <v>0</v>
      </c>
      <c r="AD1147" s="22">
        <f t="shared" si="224"/>
        <v>0</v>
      </c>
      <c r="AE1147" s="22">
        <f t="shared" si="225"/>
        <v>0</v>
      </c>
      <c r="AF1147" s="19" t="str">
        <f>VLOOKUP(C1147,'2021-22 School Level AAFTE'!C:N,12,FALSE)</f>
        <v>No</v>
      </c>
    </row>
    <row r="1148" spans="1:32" s="19" customFormat="1">
      <c r="A1148" s="97" t="s">
        <v>2323</v>
      </c>
      <c r="B1148" s="97" t="s">
        <v>436</v>
      </c>
      <c r="C1148" s="95">
        <v>5251</v>
      </c>
      <c r="D1148" s="95" t="s">
        <v>448</v>
      </c>
      <c r="E1148" s="129">
        <f>VLOOKUP($C1148,'2021-22 School Level AAFTE'!$C:$Z,11,FALSE)</f>
        <v>0.65616666666666668</v>
      </c>
      <c r="F1148" s="129" t="str">
        <f>VLOOKUP($C1148,'2021-22 School Level AAFTE'!$C:$Z,8,FALSE)</f>
        <v>Yes</v>
      </c>
      <c r="G1148" s="129" t="str">
        <f>VLOOKUP($C1148,'2021-22 School Level AAFTE'!$C:$Z,12,FALSE)</f>
        <v>No</v>
      </c>
      <c r="H1148" s="127">
        <f>VLOOKUP($C1148,'2021-22 School Level AAFTE'!$C:$I,7,FALSE)</f>
        <v>434.12</v>
      </c>
      <c r="I1148" s="112">
        <f>IFERROR(IF(OR(G1148="yes",F1148= "yes"),VLOOKUP(C1148,Summary!$B:$J,6,0),0),0)</f>
        <v>0</v>
      </c>
      <c r="J1148" s="111">
        <f t="shared" si="216"/>
        <v>434.12</v>
      </c>
      <c r="K1148" s="91">
        <f>VLOOKUP($A1148,'2022-23 Salary &amp; Benefits'!$A:$I,3,FALSE)</f>
        <v>1.03</v>
      </c>
      <c r="L1148" s="91">
        <f>VLOOKUP($A1148,'2022-23 Salary &amp; Benefits'!$A:$I,4,FALSE)</f>
        <v>1.03</v>
      </c>
      <c r="M1148" s="101">
        <f t="shared" si="223"/>
        <v>434.12</v>
      </c>
      <c r="N1148" s="24">
        <v>15</v>
      </c>
      <c r="O1148" s="26">
        <f t="shared" si="214"/>
        <v>28.941333333333333</v>
      </c>
      <c r="P1148" s="24">
        <v>1.1000000000000001</v>
      </c>
      <c r="Q1148" s="24">
        <v>36</v>
      </c>
      <c r="R1148" s="27">
        <f t="shared" si="215"/>
        <v>1146.0768</v>
      </c>
      <c r="S1148" s="102">
        <f t="shared" si="217"/>
        <v>1.2729999999999999</v>
      </c>
      <c r="T1148" s="21">
        <f>VLOOKUP($A1148,'2022-23 Salary &amp; Benefits'!$A:$I,5,FALSE)</f>
        <v>68937</v>
      </c>
      <c r="U1148" s="21">
        <f>VLOOKUP($A1148,'2022-23 Salary &amp; Benefits'!$A:$I,6,FALSE)</f>
        <v>72728</v>
      </c>
      <c r="V1148" s="22">
        <f t="shared" si="218"/>
        <v>90389.51</v>
      </c>
      <c r="W1148" s="22">
        <f t="shared" si="219"/>
        <v>4970.7200000000012</v>
      </c>
      <c r="X1148" s="22">
        <f>'2022-23 Salary &amp; Benefits'!$G$6</f>
        <v>12558.24</v>
      </c>
      <c r="Y1148" s="23">
        <f>'2022-23 Salary &amp; Benefits'!$H$6</f>
        <v>0.2298</v>
      </c>
      <c r="Z1148" s="23">
        <f>'2022-23 Salary &amp; Benefits'!$I$6</f>
        <v>0.22339999999999999</v>
      </c>
      <c r="AA1148" s="22">
        <f t="shared" si="220"/>
        <v>37868.61</v>
      </c>
      <c r="AB1148" s="22">
        <f t="shared" si="221"/>
        <v>1589.34</v>
      </c>
      <c r="AC1148" s="22">
        <f t="shared" si="222"/>
        <v>355.06</v>
      </c>
      <c r="AD1148" s="22">
        <f t="shared" si="224"/>
        <v>1944.3999999999999</v>
      </c>
      <c r="AE1148" s="22">
        <f t="shared" si="225"/>
        <v>135173.24</v>
      </c>
      <c r="AF1148" s="19" t="str">
        <f>VLOOKUP(C1148,'2021-22 School Level AAFTE'!C:N,12,FALSE)</f>
        <v>No</v>
      </c>
    </row>
    <row r="1149" spans="1:32" s="19" customFormat="1">
      <c r="A1149" s="97" t="s">
        <v>2323</v>
      </c>
      <c r="B1149" s="97" t="s">
        <v>436</v>
      </c>
      <c r="C1149" s="95">
        <v>5273</v>
      </c>
      <c r="D1149" s="95" t="s">
        <v>449</v>
      </c>
      <c r="E1149" s="129">
        <f>VLOOKUP($C1149,'2021-22 School Level AAFTE'!$C:$Z,11,FALSE)</f>
        <v>0.3805</v>
      </c>
      <c r="F1149" s="129" t="str">
        <f>VLOOKUP($C1149,'2021-22 School Level AAFTE'!$C:$Z,8,FALSE)</f>
        <v>No</v>
      </c>
      <c r="G1149" s="129" t="str">
        <f>VLOOKUP($C1149,'2021-22 School Level AAFTE'!$C:$Z,12,FALSE)</f>
        <v>No</v>
      </c>
      <c r="H1149" s="127">
        <f>VLOOKUP($C1149,'2021-22 School Level AAFTE'!$C:$I,7,FALSE)</f>
        <v>205.81</v>
      </c>
      <c r="I1149" s="112">
        <f>IFERROR(IF(OR(G1149="yes",F1149= "yes"),VLOOKUP(C1149,Summary!$B:$J,6,0),0),0)</f>
        <v>0</v>
      </c>
      <c r="J1149" s="111">
        <f t="shared" si="216"/>
        <v>0</v>
      </c>
      <c r="K1149" s="91">
        <f>VLOOKUP($A1149,'2022-23 Salary &amp; Benefits'!$A:$I,3,FALSE)</f>
        <v>1.03</v>
      </c>
      <c r="L1149" s="91">
        <f>VLOOKUP($A1149,'2022-23 Salary &amp; Benefits'!$A:$I,4,FALSE)</f>
        <v>1.03</v>
      </c>
      <c r="M1149" s="39">
        <f t="shared" si="223"/>
        <v>0</v>
      </c>
      <c r="N1149" s="24">
        <v>15</v>
      </c>
      <c r="O1149" s="26">
        <f t="shared" si="214"/>
        <v>0</v>
      </c>
      <c r="P1149" s="24">
        <v>1.1000000000000001</v>
      </c>
      <c r="Q1149" s="24">
        <v>36</v>
      </c>
      <c r="R1149" s="27">
        <f t="shared" si="215"/>
        <v>0</v>
      </c>
      <c r="S1149" s="102">
        <f t="shared" si="217"/>
        <v>0</v>
      </c>
      <c r="T1149" s="21">
        <f>VLOOKUP($A1149,'2022-23 Salary &amp; Benefits'!$A:$I,5,FALSE)</f>
        <v>68937</v>
      </c>
      <c r="U1149" s="21">
        <f>VLOOKUP($A1149,'2022-23 Salary &amp; Benefits'!$A:$I,6,FALSE)</f>
        <v>72728</v>
      </c>
      <c r="V1149" s="22">
        <f t="shared" si="218"/>
        <v>0</v>
      </c>
      <c r="W1149" s="22">
        <f t="shared" si="219"/>
        <v>0</v>
      </c>
      <c r="X1149" s="22">
        <f>'2022-23 Salary &amp; Benefits'!$G$6</f>
        <v>12558.24</v>
      </c>
      <c r="Y1149" s="23">
        <f>'2022-23 Salary &amp; Benefits'!$H$6</f>
        <v>0.2298</v>
      </c>
      <c r="Z1149" s="23">
        <f>'2022-23 Salary &amp; Benefits'!$I$6</f>
        <v>0.22339999999999999</v>
      </c>
      <c r="AA1149" s="22">
        <f t="shared" si="220"/>
        <v>0</v>
      </c>
      <c r="AB1149" s="22">
        <f t="shared" si="221"/>
        <v>0</v>
      </c>
      <c r="AC1149" s="22">
        <f t="shared" si="222"/>
        <v>0</v>
      </c>
      <c r="AD1149" s="22">
        <f t="shared" si="224"/>
        <v>0</v>
      </c>
      <c r="AE1149" s="22">
        <f t="shared" si="225"/>
        <v>0</v>
      </c>
      <c r="AF1149" s="19" t="str">
        <f>VLOOKUP(C1149,'2021-22 School Level AAFTE'!C:N,12,FALSE)</f>
        <v>No</v>
      </c>
    </row>
    <row r="1150" spans="1:32" s="5" customFormat="1">
      <c r="A1150" s="97" t="s">
        <v>2323</v>
      </c>
      <c r="B1150" s="97" t="s">
        <v>436</v>
      </c>
      <c r="C1150" s="95">
        <v>5323</v>
      </c>
      <c r="D1150" s="95" t="s">
        <v>450</v>
      </c>
      <c r="E1150" s="129">
        <f>VLOOKUP($C1150,'2021-22 School Level AAFTE'!$C:$Z,11,FALSE)</f>
        <v>0.7732</v>
      </c>
      <c r="F1150" s="129" t="str">
        <f>VLOOKUP($C1150,'2021-22 School Level AAFTE'!$C:$Z,8,FALSE)</f>
        <v>Yes</v>
      </c>
      <c r="G1150" s="129" t="str">
        <f>VLOOKUP($C1150,'2021-22 School Level AAFTE'!$C:$Z,12,FALSE)</f>
        <v>No</v>
      </c>
      <c r="H1150" s="127">
        <f>VLOOKUP($C1150,'2021-22 School Level AAFTE'!$C:$I,7,FALSE)</f>
        <v>101.47</v>
      </c>
      <c r="I1150" s="112">
        <f>IFERROR(IF(OR(G1150="yes",F1150= "yes"),VLOOKUP(C1150,Summary!$B:$J,6,0),0),0)</f>
        <v>0</v>
      </c>
      <c r="J1150" s="111">
        <f t="shared" si="216"/>
        <v>101.47</v>
      </c>
      <c r="K1150" s="91">
        <f>VLOOKUP($A1150,'2022-23 Salary &amp; Benefits'!$A:$I,3,FALSE)</f>
        <v>1.03</v>
      </c>
      <c r="L1150" s="91">
        <f>VLOOKUP($A1150,'2022-23 Salary &amp; Benefits'!$A:$I,4,FALSE)</f>
        <v>1.03</v>
      </c>
      <c r="M1150" s="101">
        <f t="shared" si="223"/>
        <v>101.47</v>
      </c>
      <c r="N1150" s="24">
        <v>15</v>
      </c>
      <c r="O1150" s="26">
        <f t="shared" si="214"/>
        <v>6.7646666666666668</v>
      </c>
      <c r="P1150" s="24">
        <v>1.1000000000000001</v>
      </c>
      <c r="Q1150" s="24">
        <v>36</v>
      </c>
      <c r="R1150" s="27">
        <f t="shared" si="215"/>
        <v>267.88080000000002</v>
      </c>
      <c r="S1150" s="102">
        <f t="shared" si="217"/>
        <v>0.29799999999999999</v>
      </c>
      <c r="T1150" s="21">
        <f>VLOOKUP($A1150,'2022-23 Salary &amp; Benefits'!$A:$I,5,FALSE)</f>
        <v>68937</v>
      </c>
      <c r="U1150" s="21">
        <f>VLOOKUP($A1150,'2022-23 Salary &amp; Benefits'!$A:$I,6,FALSE)</f>
        <v>72728</v>
      </c>
      <c r="V1150" s="22">
        <f t="shared" si="218"/>
        <v>21159.52</v>
      </c>
      <c r="W1150" s="22">
        <f t="shared" si="219"/>
        <v>1163.6100000000006</v>
      </c>
      <c r="X1150" s="22">
        <f>'2022-23 Salary &amp; Benefits'!$G$6</f>
        <v>12558.24</v>
      </c>
      <c r="Y1150" s="23">
        <f>'2022-23 Salary &amp; Benefits'!$H$6</f>
        <v>0.2298</v>
      </c>
      <c r="Z1150" s="23">
        <f>'2022-23 Salary &amp; Benefits'!$I$6</f>
        <v>0.22339999999999999</v>
      </c>
      <c r="AA1150" s="22">
        <f t="shared" si="220"/>
        <v>8864.76</v>
      </c>
      <c r="AB1150" s="22">
        <f t="shared" si="221"/>
        <v>372.05</v>
      </c>
      <c r="AC1150" s="22">
        <f t="shared" si="222"/>
        <v>83.12</v>
      </c>
      <c r="AD1150" s="22">
        <f t="shared" si="224"/>
        <v>455.17</v>
      </c>
      <c r="AE1150" s="22">
        <f t="shared" si="225"/>
        <v>31643.059999999998</v>
      </c>
      <c r="AF1150" s="19" t="str">
        <f>VLOOKUP(C1150,'2021-22 School Level AAFTE'!C:N,12,FALSE)</f>
        <v>No</v>
      </c>
    </row>
    <row r="1151" spans="1:32" s="5" customFormat="1">
      <c r="A1151" s="97" t="s">
        <v>2323</v>
      </c>
      <c r="B1151" s="97" t="s">
        <v>436</v>
      </c>
      <c r="C1151" s="95">
        <v>5354</v>
      </c>
      <c r="D1151" s="95" t="s">
        <v>451</v>
      </c>
      <c r="E1151" s="129">
        <f>VLOOKUP($C1151,'2021-22 School Level AAFTE'!$C:$Z,11,FALSE)</f>
        <v>0.93129999999999991</v>
      </c>
      <c r="F1151" s="129" t="str">
        <f>VLOOKUP($C1151,'2021-22 School Level AAFTE'!$C:$Z,8,FALSE)</f>
        <v>Yes</v>
      </c>
      <c r="G1151" s="129" t="str">
        <f>VLOOKUP($C1151,'2021-22 School Level AAFTE'!$C:$Z,12,FALSE)</f>
        <v>No</v>
      </c>
      <c r="H1151" s="127">
        <f>VLOOKUP($C1151,'2021-22 School Level AAFTE'!$C:$I,7,FALSE)</f>
        <v>277.36</v>
      </c>
      <c r="I1151" s="112">
        <f>IFERROR(IF(OR(G1151="yes",F1151= "yes"),VLOOKUP(C1151,Summary!$B:$J,6,0),0),0)</f>
        <v>0</v>
      </c>
      <c r="J1151" s="111">
        <f t="shared" si="216"/>
        <v>277.36</v>
      </c>
      <c r="K1151" s="91">
        <f>VLOOKUP($A1151,'2022-23 Salary &amp; Benefits'!$A:$I,3,FALSE)</f>
        <v>1.03</v>
      </c>
      <c r="L1151" s="91">
        <f>VLOOKUP($A1151,'2022-23 Salary &amp; Benefits'!$A:$I,4,FALSE)</f>
        <v>1.03</v>
      </c>
      <c r="M1151" s="101">
        <f t="shared" si="223"/>
        <v>277.36</v>
      </c>
      <c r="N1151" s="24">
        <v>15</v>
      </c>
      <c r="O1151" s="26">
        <f t="shared" si="214"/>
        <v>18.490666666666666</v>
      </c>
      <c r="P1151" s="24">
        <v>1.1000000000000001</v>
      </c>
      <c r="Q1151" s="24">
        <v>36</v>
      </c>
      <c r="R1151" s="27">
        <f t="shared" si="215"/>
        <v>732.23040000000003</v>
      </c>
      <c r="S1151" s="102">
        <f t="shared" si="217"/>
        <v>0.81399999999999995</v>
      </c>
      <c r="T1151" s="21">
        <f>VLOOKUP($A1151,'2022-23 Salary &amp; Benefits'!$A:$I,5,FALSE)</f>
        <v>68937</v>
      </c>
      <c r="U1151" s="21">
        <f>VLOOKUP($A1151,'2022-23 Salary &amp; Benefits'!$A:$I,6,FALSE)</f>
        <v>72728</v>
      </c>
      <c r="V1151" s="22">
        <f t="shared" si="218"/>
        <v>57798.16</v>
      </c>
      <c r="W1151" s="22">
        <f t="shared" si="219"/>
        <v>3178.4499999999971</v>
      </c>
      <c r="X1151" s="22">
        <f>'2022-23 Salary &amp; Benefits'!$G$6</f>
        <v>12558.24</v>
      </c>
      <c r="Y1151" s="23">
        <f>'2022-23 Salary &amp; Benefits'!$H$6</f>
        <v>0.2298</v>
      </c>
      <c r="Z1151" s="23">
        <f>'2022-23 Salary &amp; Benefits'!$I$6</f>
        <v>0.22339999999999999</v>
      </c>
      <c r="AA1151" s="22">
        <f t="shared" si="220"/>
        <v>24214.49</v>
      </c>
      <c r="AB1151" s="22">
        <f t="shared" si="221"/>
        <v>1016.28</v>
      </c>
      <c r="AC1151" s="22">
        <f t="shared" si="222"/>
        <v>227.04</v>
      </c>
      <c r="AD1151" s="22">
        <f t="shared" si="224"/>
        <v>1243.32</v>
      </c>
      <c r="AE1151" s="22">
        <f t="shared" si="225"/>
        <v>86434.420000000013</v>
      </c>
      <c r="AF1151" s="19" t="str">
        <f>VLOOKUP(C1151,'2021-22 School Level AAFTE'!C:N,12,FALSE)</f>
        <v>No</v>
      </c>
    </row>
    <row r="1152" spans="1:32" s="5" customFormat="1">
      <c r="A1152" s="97" t="s">
        <v>2323</v>
      </c>
      <c r="B1152" s="97" t="s">
        <v>436</v>
      </c>
      <c r="C1152" s="95">
        <v>5601</v>
      </c>
      <c r="D1152" s="95" t="s">
        <v>2825</v>
      </c>
      <c r="E1152" s="129">
        <f>VLOOKUP($C1152,'2021-22 School Level AAFTE'!$C:$Z,11,FALSE)</f>
        <v>0.20000000000000004</v>
      </c>
      <c r="F1152" s="129" t="str">
        <f>VLOOKUP($C1152,'2021-22 School Level AAFTE'!$C:$Z,8,FALSE)</f>
        <v>No</v>
      </c>
      <c r="G1152" s="129" t="str">
        <f>VLOOKUP($C1152,'2021-22 School Level AAFTE'!$C:$Z,12,FALSE)</f>
        <v>No</v>
      </c>
      <c r="H1152" s="127">
        <f>VLOOKUP($C1152,'2021-22 School Level AAFTE'!$C:$I,7,FALSE)</f>
        <v>1.23</v>
      </c>
      <c r="I1152" s="112">
        <f>IFERROR(IF(OR(G1152="yes",F1152= "yes"),VLOOKUP(C1152,Summary!$B:$J,6,0),0),0)</f>
        <v>0</v>
      </c>
      <c r="J1152" s="111">
        <f t="shared" si="216"/>
        <v>0</v>
      </c>
      <c r="K1152" s="91">
        <f>VLOOKUP($A1152,'2022-23 Salary &amp; Benefits'!$A:$I,3,FALSE)</f>
        <v>1.03</v>
      </c>
      <c r="L1152" s="91">
        <f>VLOOKUP($A1152,'2022-23 Salary &amp; Benefits'!$A:$I,4,FALSE)</f>
        <v>1.03</v>
      </c>
      <c r="M1152" s="101">
        <f t="shared" si="223"/>
        <v>0</v>
      </c>
      <c r="N1152" s="24">
        <v>15</v>
      </c>
      <c r="O1152" s="26">
        <f t="shared" si="214"/>
        <v>0</v>
      </c>
      <c r="P1152" s="24">
        <v>1.1000000000000001</v>
      </c>
      <c r="Q1152" s="24">
        <v>36</v>
      </c>
      <c r="R1152" s="27">
        <f t="shared" si="215"/>
        <v>0</v>
      </c>
      <c r="S1152" s="102">
        <f t="shared" si="217"/>
        <v>0</v>
      </c>
      <c r="T1152" s="21">
        <f>VLOOKUP($A1152,'2022-23 Salary &amp; Benefits'!$A:$I,5,FALSE)</f>
        <v>68937</v>
      </c>
      <c r="U1152" s="21">
        <f>VLOOKUP($A1152,'2022-23 Salary &amp; Benefits'!$A:$I,6,FALSE)</f>
        <v>72728</v>
      </c>
      <c r="V1152" s="22">
        <f t="shared" si="218"/>
        <v>0</v>
      </c>
      <c r="W1152" s="22">
        <f t="shared" si="219"/>
        <v>0</v>
      </c>
      <c r="X1152" s="22">
        <f>'2022-23 Salary &amp; Benefits'!$G$6</f>
        <v>12558.24</v>
      </c>
      <c r="Y1152" s="23">
        <f>'2022-23 Salary &amp; Benefits'!$H$6</f>
        <v>0.2298</v>
      </c>
      <c r="Z1152" s="23">
        <f>'2022-23 Salary &amp; Benefits'!$I$6</f>
        <v>0.22339999999999999</v>
      </c>
      <c r="AA1152" s="22">
        <f t="shared" si="220"/>
        <v>0</v>
      </c>
      <c r="AB1152" s="22">
        <f t="shared" si="221"/>
        <v>0</v>
      </c>
      <c r="AC1152" s="22">
        <f t="shared" si="222"/>
        <v>0</v>
      </c>
      <c r="AD1152" s="22">
        <f t="shared" si="224"/>
        <v>0</v>
      </c>
      <c r="AE1152" s="22">
        <f t="shared" si="225"/>
        <v>0</v>
      </c>
      <c r="AF1152" s="19" t="str">
        <f>VLOOKUP(C1152,'2021-22 School Level AAFTE'!C:N,12,FALSE)</f>
        <v>No</v>
      </c>
    </row>
    <row r="1153" spans="1:32" s="5" customFormat="1">
      <c r="A1153" s="97" t="s">
        <v>2323</v>
      </c>
      <c r="B1153" s="97" t="s">
        <v>436</v>
      </c>
      <c r="C1153" s="95">
        <v>5679</v>
      </c>
      <c r="D1153" s="95" t="s">
        <v>3026</v>
      </c>
      <c r="E1153" s="129">
        <f>VLOOKUP($C1153,'2021-22 School Level AAFTE'!$C:$Z,11,FALSE)</f>
        <v>0.71279999999999999</v>
      </c>
      <c r="F1153" s="129" t="str">
        <f>VLOOKUP($C1153,'2021-22 School Level AAFTE'!$C:$Z,8,FALSE)</f>
        <v>Yes</v>
      </c>
      <c r="G1153" s="129" t="str">
        <f>VLOOKUP($C1153,'2021-22 School Level AAFTE'!$C:$Z,12,FALSE)</f>
        <v>No</v>
      </c>
      <c r="H1153" s="127">
        <f>VLOOKUP($C1153,'2021-22 School Level AAFTE'!$C:$I,7,FALSE)</f>
        <v>199.04999999999998</v>
      </c>
      <c r="I1153" s="112">
        <f>IFERROR(IF(OR(G1153="yes",F1153= "yes"),VLOOKUP(C1153,Summary!$B:$J,6,0),0),0)</f>
        <v>0</v>
      </c>
      <c r="J1153" s="111">
        <f t="shared" si="216"/>
        <v>199.04999999999998</v>
      </c>
      <c r="K1153" s="91">
        <f>VLOOKUP($A1153,'2022-23 Salary &amp; Benefits'!$A:$I,3,FALSE)</f>
        <v>1.03</v>
      </c>
      <c r="L1153" s="91">
        <f>VLOOKUP($A1153,'2022-23 Salary &amp; Benefits'!$A:$I,4,FALSE)</f>
        <v>1.03</v>
      </c>
      <c r="M1153" s="39">
        <f t="shared" si="223"/>
        <v>199.04999999999998</v>
      </c>
      <c r="N1153" s="24">
        <v>15</v>
      </c>
      <c r="O1153" s="26">
        <f t="shared" si="214"/>
        <v>13.27</v>
      </c>
      <c r="P1153" s="24">
        <v>1.1000000000000001</v>
      </c>
      <c r="Q1153" s="24">
        <v>36</v>
      </c>
      <c r="R1153" s="27">
        <f t="shared" si="215"/>
        <v>525.49200000000008</v>
      </c>
      <c r="S1153" s="102">
        <f t="shared" si="217"/>
        <v>0.58399999999999996</v>
      </c>
      <c r="T1153" s="21">
        <f>VLOOKUP($A1153,'2022-23 Salary &amp; Benefits'!$A:$I,5,FALSE)</f>
        <v>68937</v>
      </c>
      <c r="U1153" s="21">
        <f>VLOOKUP($A1153,'2022-23 Salary &amp; Benefits'!$A:$I,6,FALSE)</f>
        <v>72728</v>
      </c>
      <c r="V1153" s="22">
        <f t="shared" si="218"/>
        <v>41466.980000000003</v>
      </c>
      <c r="W1153" s="22">
        <f t="shared" si="219"/>
        <v>2280.3699999999953</v>
      </c>
      <c r="X1153" s="22">
        <f>'2022-23 Salary &amp; Benefits'!$G$6</f>
        <v>12558.24</v>
      </c>
      <c r="Y1153" s="23">
        <f>'2022-23 Salary &amp; Benefits'!$H$6</f>
        <v>0.2298</v>
      </c>
      <c r="Z1153" s="23">
        <f>'2022-23 Salary &amp; Benefits'!$I$6</f>
        <v>0.22339999999999999</v>
      </c>
      <c r="AA1153" s="22">
        <f t="shared" si="220"/>
        <v>17372.560000000001</v>
      </c>
      <c r="AB1153" s="22">
        <f t="shared" si="221"/>
        <v>729.12</v>
      </c>
      <c r="AC1153" s="22">
        <f t="shared" si="222"/>
        <v>162.88999999999999</v>
      </c>
      <c r="AD1153" s="22">
        <f t="shared" si="224"/>
        <v>892.01</v>
      </c>
      <c r="AE1153" s="22">
        <f t="shared" si="225"/>
        <v>62011.920000000006</v>
      </c>
      <c r="AF1153" s="19" t="str">
        <f>VLOOKUP(C1153,'2021-22 School Level AAFTE'!C:N,12,FALSE)</f>
        <v>No</v>
      </c>
    </row>
    <row r="1154" spans="1:32" s="5" customFormat="1">
      <c r="A1154" s="97" t="s">
        <v>2323</v>
      </c>
      <c r="B1154" s="97" t="s">
        <v>436</v>
      </c>
      <c r="C1154" s="95">
        <v>5680</v>
      </c>
      <c r="D1154" s="95" t="s">
        <v>3027</v>
      </c>
      <c r="E1154" s="129">
        <f>VLOOKUP($C1154,'2021-22 School Level AAFTE'!$C:$Z,11,FALSE)</f>
        <v>0.46879999999999999</v>
      </c>
      <c r="F1154" s="129" t="str">
        <f>VLOOKUP($C1154,'2021-22 School Level AAFTE'!$C:$Z,8,FALSE)</f>
        <v>No</v>
      </c>
      <c r="G1154" s="129" t="str">
        <f>VLOOKUP($C1154,'2021-22 School Level AAFTE'!$C:$Z,12,FALSE)</f>
        <v>No</v>
      </c>
      <c r="H1154" s="127">
        <f>VLOOKUP($C1154,'2021-22 School Level AAFTE'!$C:$I,7,FALSE)</f>
        <v>395.54</v>
      </c>
      <c r="I1154" s="112">
        <f>IFERROR(IF(OR(G1154="yes",F1154= "yes"),VLOOKUP(C1154,Summary!$B:$J,6,0),0),0)</f>
        <v>0</v>
      </c>
      <c r="J1154" s="111">
        <f t="shared" si="216"/>
        <v>0</v>
      </c>
      <c r="K1154" s="91">
        <f>VLOOKUP($A1154,'2022-23 Salary &amp; Benefits'!$A:$I,3,FALSE)</f>
        <v>1.03</v>
      </c>
      <c r="L1154" s="91">
        <f>VLOOKUP($A1154,'2022-23 Salary &amp; Benefits'!$A:$I,4,FALSE)</f>
        <v>1.03</v>
      </c>
      <c r="M1154" s="101">
        <f t="shared" si="223"/>
        <v>0</v>
      </c>
      <c r="N1154" s="24">
        <v>15</v>
      </c>
      <c r="O1154" s="26">
        <f t="shared" si="214"/>
        <v>0</v>
      </c>
      <c r="P1154" s="24">
        <v>1.1000000000000001</v>
      </c>
      <c r="Q1154" s="24">
        <v>36</v>
      </c>
      <c r="R1154" s="27">
        <f t="shared" si="215"/>
        <v>0</v>
      </c>
      <c r="S1154" s="102">
        <f t="shared" si="217"/>
        <v>0</v>
      </c>
      <c r="T1154" s="21">
        <f>VLOOKUP($A1154,'2022-23 Salary &amp; Benefits'!$A:$I,5,FALSE)</f>
        <v>68937</v>
      </c>
      <c r="U1154" s="21">
        <f>VLOOKUP($A1154,'2022-23 Salary &amp; Benefits'!$A:$I,6,FALSE)</f>
        <v>72728</v>
      </c>
      <c r="V1154" s="22">
        <f t="shared" si="218"/>
        <v>0</v>
      </c>
      <c r="W1154" s="22">
        <f t="shared" si="219"/>
        <v>0</v>
      </c>
      <c r="X1154" s="22">
        <f>'2022-23 Salary &amp; Benefits'!$G$6</f>
        <v>12558.24</v>
      </c>
      <c r="Y1154" s="23">
        <f>'2022-23 Salary &amp; Benefits'!$H$6</f>
        <v>0.2298</v>
      </c>
      <c r="Z1154" s="23">
        <f>'2022-23 Salary &amp; Benefits'!$I$6</f>
        <v>0.22339999999999999</v>
      </c>
      <c r="AA1154" s="22">
        <f t="shared" si="220"/>
        <v>0</v>
      </c>
      <c r="AB1154" s="22">
        <f t="shared" si="221"/>
        <v>0</v>
      </c>
      <c r="AC1154" s="22">
        <f t="shared" si="222"/>
        <v>0</v>
      </c>
      <c r="AD1154" s="22">
        <f t="shared" si="224"/>
        <v>0</v>
      </c>
      <c r="AE1154" s="22">
        <f t="shared" si="225"/>
        <v>0</v>
      </c>
      <c r="AF1154" s="19" t="str">
        <f>VLOOKUP(C1154,'2021-22 School Level AAFTE'!C:N,12,FALSE)</f>
        <v>No</v>
      </c>
    </row>
    <row r="1155" spans="1:32" s="5" customFormat="1">
      <c r="A1155" s="97" t="s">
        <v>2395</v>
      </c>
      <c r="B1155" s="97" t="s">
        <v>1138</v>
      </c>
      <c r="C1155" s="95">
        <v>2572</v>
      </c>
      <c r="D1155" s="95" t="s">
        <v>1139</v>
      </c>
      <c r="E1155" s="129">
        <f>VLOOKUP($C1155,'2021-22 School Level AAFTE'!$C:$Z,11,FALSE)</f>
        <v>0.59053333333333335</v>
      </c>
      <c r="F1155" s="129" t="str">
        <f>VLOOKUP($C1155,'2021-22 School Level AAFTE'!$C:$Z,8,FALSE)</f>
        <v>Yes</v>
      </c>
      <c r="G1155" s="129" t="str">
        <f>VLOOKUP($C1155,'2021-22 School Level AAFTE'!$C:$Z,12,FALSE)</f>
        <v>No</v>
      </c>
      <c r="H1155" s="127">
        <f>VLOOKUP($C1155,'2021-22 School Level AAFTE'!$C:$I,7,FALSE)</f>
        <v>297.70999999999998</v>
      </c>
      <c r="I1155" s="112">
        <f>IFERROR(IF(OR(G1155="yes",F1155= "yes"),VLOOKUP(C1155,Summary!$B:$J,6,0),0),0)</f>
        <v>0</v>
      </c>
      <c r="J1155" s="111">
        <f t="shared" si="216"/>
        <v>297.70999999999998</v>
      </c>
      <c r="K1155" s="91">
        <f>VLOOKUP($A1155,'2022-23 Salary &amp; Benefits'!$A:$I,3,FALSE)</f>
        <v>1</v>
      </c>
      <c r="L1155" s="91">
        <f>VLOOKUP($A1155,'2022-23 Salary &amp; Benefits'!$A:$I,4,FALSE)</f>
        <v>1</v>
      </c>
      <c r="M1155" s="39">
        <f t="shared" si="223"/>
        <v>297.70999999999998</v>
      </c>
      <c r="N1155" s="24">
        <v>15</v>
      </c>
      <c r="O1155" s="26">
        <f t="shared" si="214"/>
        <v>19.847333333333331</v>
      </c>
      <c r="P1155" s="24">
        <v>1.1000000000000001</v>
      </c>
      <c r="Q1155" s="24">
        <v>36</v>
      </c>
      <c r="R1155" s="27">
        <f t="shared" si="215"/>
        <v>785.95439999999996</v>
      </c>
      <c r="S1155" s="102">
        <f t="shared" si="217"/>
        <v>0.873</v>
      </c>
      <c r="T1155" s="21">
        <f>VLOOKUP($A1155,'2022-23 Salary &amp; Benefits'!$A:$I,5,FALSE)</f>
        <v>68937</v>
      </c>
      <c r="U1155" s="21">
        <f>VLOOKUP($A1155,'2022-23 Salary &amp; Benefits'!$A:$I,6,FALSE)</f>
        <v>72728</v>
      </c>
      <c r="V1155" s="22">
        <f t="shared" si="218"/>
        <v>60182</v>
      </c>
      <c r="W1155" s="22">
        <f t="shared" si="219"/>
        <v>3309.5400000000009</v>
      </c>
      <c r="X1155" s="22">
        <f>'2022-23 Salary &amp; Benefits'!$G$6</f>
        <v>12558.24</v>
      </c>
      <c r="Y1155" s="23">
        <f>'2022-23 Salary &amp; Benefits'!$H$6</f>
        <v>0.2298</v>
      </c>
      <c r="Z1155" s="23">
        <f>'2022-23 Salary &amp; Benefits'!$I$6</f>
        <v>0.22339999999999999</v>
      </c>
      <c r="AA1155" s="22">
        <f t="shared" si="220"/>
        <v>25532.52</v>
      </c>
      <c r="AB1155" s="22">
        <f t="shared" si="221"/>
        <v>1058.19</v>
      </c>
      <c r="AC1155" s="22">
        <f t="shared" si="222"/>
        <v>236.4</v>
      </c>
      <c r="AD1155" s="22">
        <f t="shared" si="224"/>
        <v>1294.5900000000001</v>
      </c>
      <c r="AE1155" s="22">
        <f t="shared" si="225"/>
        <v>90318.65</v>
      </c>
      <c r="AF1155" s="19" t="str">
        <f>VLOOKUP(C1155,'2021-22 School Level AAFTE'!C:N,12,FALSE)</f>
        <v>No</v>
      </c>
    </row>
    <row r="1156" spans="1:32" s="5" customFormat="1">
      <c r="A1156" s="97" t="s">
        <v>2395</v>
      </c>
      <c r="B1156" s="97" t="s">
        <v>1138</v>
      </c>
      <c r="C1156" s="95">
        <v>3238</v>
      </c>
      <c r="D1156" s="95" t="s">
        <v>1140</v>
      </c>
      <c r="E1156" s="129">
        <f>VLOOKUP($C1156,'2021-22 School Level AAFTE'!$C:$Z,11,FALSE)</f>
        <v>0.56476666666666675</v>
      </c>
      <c r="F1156" s="129" t="str">
        <f>VLOOKUP($C1156,'2021-22 School Level AAFTE'!$C:$Z,8,FALSE)</f>
        <v>Yes</v>
      </c>
      <c r="G1156" s="129" t="str">
        <f>VLOOKUP($C1156,'2021-22 School Level AAFTE'!$C:$Z,12,FALSE)</f>
        <v>No</v>
      </c>
      <c r="H1156" s="127">
        <f>VLOOKUP($C1156,'2021-22 School Level AAFTE'!$C:$I,7,FALSE)</f>
        <v>265.42</v>
      </c>
      <c r="I1156" s="112">
        <f>IFERROR(IF(OR(G1156="yes",F1156= "yes"),VLOOKUP(C1156,Summary!$B:$J,6,0),0),0)</f>
        <v>0</v>
      </c>
      <c r="J1156" s="111">
        <f t="shared" si="216"/>
        <v>265.42</v>
      </c>
      <c r="K1156" s="91">
        <f>VLOOKUP($A1156,'2022-23 Salary &amp; Benefits'!$A:$I,3,FALSE)</f>
        <v>1</v>
      </c>
      <c r="L1156" s="91">
        <f>VLOOKUP($A1156,'2022-23 Salary &amp; Benefits'!$A:$I,4,FALSE)</f>
        <v>1</v>
      </c>
      <c r="M1156" s="101">
        <f t="shared" si="223"/>
        <v>265.42</v>
      </c>
      <c r="N1156" s="24">
        <v>15</v>
      </c>
      <c r="O1156" s="26">
        <f t="shared" si="214"/>
        <v>17.694666666666667</v>
      </c>
      <c r="P1156" s="24">
        <v>1.1000000000000001</v>
      </c>
      <c r="Q1156" s="24">
        <v>36</v>
      </c>
      <c r="R1156" s="27">
        <f t="shared" si="215"/>
        <v>700.70880000000011</v>
      </c>
      <c r="S1156" s="102">
        <f t="shared" si="217"/>
        <v>0.77900000000000003</v>
      </c>
      <c r="T1156" s="21">
        <f>VLOOKUP($A1156,'2022-23 Salary &amp; Benefits'!$A:$I,5,FALSE)</f>
        <v>68937</v>
      </c>
      <c r="U1156" s="21">
        <f>VLOOKUP($A1156,'2022-23 Salary &amp; Benefits'!$A:$I,6,FALSE)</f>
        <v>72728</v>
      </c>
      <c r="V1156" s="22">
        <f t="shared" si="218"/>
        <v>53701.919999999998</v>
      </c>
      <c r="W1156" s="22">
        <f t="shared" si="219"/>
        <v>2953.1900000000023</v>
      </c>
      <c r="X1156" s="22">
        <f>'2022-23 Salary &amp; Benefits'!$G$6</f>
        <v>12558.24</v>
      </c>
      <c r="Y1156" s="23">
        <f>'2022-23 Salary &amp; Benefits'!$H$6</f>
        <v>0.2298</v>
      </c>
      <c r="Z1156" s="23">
        <f>'2022-23 Salary &amp; Benefits'!$I$6</f>
        <v>0.22339999999999999</v>
      </c>
      <c r="AA1156" s="22">
        <f t="shared" si="220"/>
        <v>22783.31</v>
      </c>
      <c r="AB1156" s="22">
        <f t="shared" si="221"/>
        <v>944.25</v>
      </c>
      <c r="AC1156" s="22">
        <f t="shared" si="222"/>
        <v>210.95</v>
      </c>
      <c r="AD1156" s="22">
        <f t="shared" si="224"/>
        <v>1155.2</v>
      </c>
      <c r="AE1156" s="22">
        <f t="shared" si="225"/>
        <v>80593.62</v>
      </c>
      <c r="AF1156" s="19" t="str">
        <f>VLOOKUP(C1156,'2021-22 School Level AAFTE'!C:N,12,FALSE)</f>
        <v>No</v>
      </c>
    </row>
    <row r="1157" spans="1:32" s="5" customFormat="1">
      <c r="A1157" s="97" t="s">
        <v>2395</v>
      </c>
      <c r="B1157" s="97" t="s">
        <v>1138</v>
      </c>
      <c r="C1157" s="95">
        <v>5415</v>
      </c>
      <c r="D1157" s="95" t="s">
        <v>1141</v>
      </c>
      <c r="E1157" s="129">
        <f>VLOOKUP($C1157,'2021-22 School Level AAFTE'!$C:$Z,11,FALSE)</f>
        <v>0.78076666666666661</v>
      </c>
      <c r="F1157" s="129" t="str">
        <f>VLOOKUP($C1157,'2021-22 School Level AAFTE'!$C:$Z,8,FALSE)</f>
        <v>Yes</v>
      </c>
      <c r="G1157" s="129" t="str">
        <f>VLOOKUP($C1157,'2021-22 School Level AAFTE'!$C:$Z,12,FALSE)</f>
        <v>No</v>
      </c>
      <c r="H1157" s="127">
        <f>VLOOKUP($C1157,'2021-22 School Level AAFTE'!$C:$I,7,FALSE)</f>
        <v>13.31</v>
      </c>
      <c r="I1157" s="112">
        <f>IFERROR(IF(OR(G1157="yes",F1157= "yes"),VLOOKUP(C1157,Summary!$B:$J,6,0),0),0)</f>
        <v>0</v>
      </c>
      <c r="J1157" s="111">
        <f t="shared" si="216"/>
        <v>13.31</v>
      </c>
      <c r="K1157" s="91">
        <f>VLOOKUP($A1157,'2022-23 Salary &amp; Benefits'!$A:$I,3,FALSE)</f>
        <v>1</v>
      </c>
      <c r="L1157" s="91">
        <f>VLOOKUP($A1157,'2022-23 Salary &amp; Benefits'!$A:$I,4,FALSE)</f>
        <v>1</v>
      </c>
      <c r="M1157" s="39">
        <f t="shared" si="223"/>
        <v>13.31</v>
      </c>
      <c r="N1157" s="24">
        <v>15</v>
      </c>
      <c r="O1157" s="26">
        <f t="shared" si="214"/>
        <v>0.88733333333333342</v>
      </c>
      <c r="P1157" s="24">
        <v>1.1000000000000001</v>
      </c>
      <c r="Q1157" s="24">
        <v>36</v>
      </c>
      <c r="R1157" s="27">
        <f t="shared" si="215"/>
        <v>35.138400000000004</v>
      </c>
      <c r="S1157" s="102">
        <f t="shared" si="217"/>
        <v>3.9E-2</v>
      </c>
      <c r="T1157" s="21">
        <f>VLOOKUP($A1157,'2022-23 Salary &amp; Benefits'!$A:$I,5,FALSE)</f>
        <v>68937</v>
      </c>
      <c r="U1157" s="21">
        <f>VLOOKUP($A1157,'2022-23 Salary &amp; Benefits'!$A:$I,6,FALSE)</f>
        <v>72728</v>
      </c>
      <c r="V1157" s="22">
        <f t="shared" si="218"/>
        <v>2688.54</v>
      </c>
      <c r="W1157" s="22">
        <f t="shared" si="219"/>
        <v>147.84999999999991</v>
      </c>
      <c r="X1157" s="22">
        <f>'2022-23 Salary &amp; Benefits'!$G$6</f>
        <v>12558.24</v>
      </c>
      <c r="Y1157" s="23">
        <f>'2022-23 Salary &amp; Benefits'!$H$6</f>
        <v>0.2298</v>
      </c>
      <c r="Z1157" s="23">
        <f>'2022-23 Salary &amp; Benefits'!$I$6</f>
        <v>0.22339999999999999</v>
      </c>
      <c r="AA1157" s="22">
        <f t="shared" si="220"/>
        <v>1140.6300000000001</v>
      </c>
      <c r="AB1157" s="22">
        <f t="shared" si="221"/>
        <v>47.27</v>
      </c>
      <c r="AC1157" s="22">
        <f t="shared" si="222"/>
        <v>10.56</v>
      </c>
      <c r="AD1157" s="22">
        <f t="shared" si="224"/>
        <v>57.830000000000005</v>
      </c>
      <c r="AE1157" s="22">
        <f t="shared" si="225"/>
        <v>4034.85</v>
      </c>
      <c r="AF1157" s="19" t="str">
        <f>VLOOKUP(C1157,'2021-22 School Level AAFTE'!C:N,12,FALSE)</f>
        <v>No</v>
      </c>
    </row>
    <row r="1158" spans="1:32" s="5" customFormat="1">
      <c r="A1158" s="97" t="s">
        <v>2567</v>
      </c>
      <c r="B1158" s="97" t="s">
        <v>2253</v>
      </c>
      <c r="C1158" s="95">
        <v>2389</v>
      </c>
      <c r="D1158" s="95" t="s">
        <v>2254</v>
      </c>
      <c r="E1158" s="129">
        <f>VLOOKUP($C1158,'2021-22 School Level AAFTE'!$C:$Z,11,FALSE)</f>
        <v>0.97256666666666669</v>
      </c>
      <c r="F1158" s="129" t="str">
        <f>VLOOKUP($C1158,'2021-22 School Level AAFTE'!$C:$Z,8,FALSE)</f>
        <v>Yes</v>
      </c>
      <c r="G1158" s="129" t="str">
        <f>VLOOKUP($C1158,'2021-22 School Level AAFTE'!$C:$Z,12,FALSE)</f>
        <v>No</v>
      </c>
      <c r="H1158" s="127">
        <f>VLOOKUP($C1158,'2021-22 School Level AAFTE'!$C:$I,7,FALSE)</f>
        <v>134.66</v>
      </c>
      <c r="I1158" s="112">
        <f>IFERROR(IF(OR(G1158="yes",F1158= "yes"),VLOOKUP(C1158,Summary!$B:$J,6,0),0),0)</f>
        <v>0</v>
      </c>
      <c r="J1158" s="111">
        <f t="shared" si="216"/>
        <v>134.66</v>
      </c>
      <c r="K1158" s="91">
        <f>VLOOKUP($A1158,'2022-23 Salary &amp; Benefits'!$A:$I,3,FALSE)</f>
        <v>1</v>
      </c>
      <c r="L1158" s="91">
        <f>VLOOKUP($A1158,'2022-23 Salary &amp; Benefits'!$A:$I,4,FALSE)</f>
        <v>1</v>
      </c>
      <c r="M1158" s="101">
        <f t="shared" si="223"/>
        <v>134.66</v>
      </c>
      <c r="N1158" s="24">
        <v>15</v>
      </c>
      <c r="O1158" s="26">
        <f t="shared" si="214"/>
        <v>8.9773333333333323</v>
      </c>
      <c r="P1158" s="24">
        <v>1.1000000000000001</v>
      </c>
      <c r="Q1158" s="24">
        <v>36</v>
      </c>
      <c r="R1158" s="27">
        <f t="shared" si="215"/>
        <v>355.50240000000002</v>
      </c>
      <c r="S1158" s="102">
        <f t="shared" si="217"/>
        <v>0.39500000000000002</v>
      </c>
      <c r="T1158" s="21">
        <f>VLOOKUP($A1158,'2022-23 Salary &amp; Benefits'!$A:$I,5,FALSE)</f>
        <v>68937</v>
      </c>
      <c r="U1158" s="21">
        <f>VLOOKUP($A1158,'2022-23 Salary &amp; Benefits'!$A:$I,6,FALSE)</f>
        <v>72728</v>
      </c>
      <c r="V1158" s="22">
        <f t="shared" si="218"/>
        <v>27230.12</v>
      </c>
      <c r="W1158" s="22">
        <f t="shared" si="219"/>
        <v>1497.4400000000023</v>
      </c>
      <c r="X1158" s="22">
        <f>'2022-23 Salary &amp; Benefits'!$G$6</f>
        <v>12558.24</v>
      </c>
      <c r="Y1158" s="23">
        <f>'2022-23 Salary &amp; Benefits'!$H$6</f>
        <v>0.2298</v>
      </c>
      <c r="Z1158" s="23">
        <f>'2022-23 Salary &amp; Benefits'!$I$6</f>
        <v>0.22339999999999999</v>
      </c>
      <c r="AA1158" s="22">
        <f t="shared" si="220"/>
        <v>11552.51</v>
      </c>
      <c r="AB1158" s="22">
        <f t="shared" si="221"/>
        <v>478.79</v>
      </c>
      <c r="AC1158" s="22">
        <f t="shared" si="222"/>
        <v>106.96</v>
      </c>
      <c r="AD1158" s="22">
        <f t="shared" si="224"/>
        <v>585.75</v>
      </c>
      <c r="AE1158" s="22">
        <f t="shared" si="225"/>
        <v>40865.82</v>
      </c>
      <c r="AF1158" s="19" t="str">
        <f>VLOOKUP(C1158,'2021-22 School Level AAFTE'!C:N,12,FALSE)</f>
        <v>No</v>
      </c>
    </row>
    <row r="1159" spans="1:32" s="5" customFormat="1">
      <c r="A1159" s="97" t="s">
        <v>2567</v>
      </c>
      <c r="B1159" s="97" t="s">
        <v>2253</v>
      </c>
      <c r="C1159" s="95">
        <v>2506</v>
      </c>
      <c r="D1159" s="95" t="s">
        <v>2255</v>
      </c>
      <c r="E1159" s="129">
        <f>VLOOKUP($C1159,'2021-22 School Level AAFTE'!$C:$Z,11,FALSE)</f>
        <v>0.96539999999999992</v>
      </c>
      <c r="F1159" s="129" t="str">
        <f>VLOOKUP($C1159,'2021-22 School Level AAFTE'!$C:$Z,8,FALSE)</f>
        <v>Yes</v>
      </c>
      <c r="G1159" s="129" t="str">
        <f>VLOOKUP($C1159,'2021-22 School Level AAFTE'!$C:$Z,12,FALSE)</f>
        <v>No</v>
      </c>
      <c r="H1159" s="127">
        <f>VLOOKUP($C1159,'2021-22 School Level AAFTE'!$C:$I,7,FALSE)</f>
        <v>441.72</v>
      </c>
      <c r="I1159" s="112">
        <f>IFERROR(IF(OR(G1159="yes",F1159= "yes"),VLOOKUP(C1159,Summary!$B:$J,6,0),0),0)</f>
        <v>0</v>
      </c>
      <c r="J1159" s="111">
        <f t="shared" si="216"/>
        <v>441.72</v>
      </c>
      <c r="K1159" s="91">
        <f>VLOOKUP($A1159,'2022-23 Salary &amp; Benefits'!$A:$I,3,FALSE)</f>
        <v>1</v>
      </c>
      <c r="L1159" s="91">
        <f>VLOOKUP($A1159,'2022-23 Salary &amp; Benefits'!$A:$I,4,FALSE)</f>
        <v>1</v>
      </c>
      <c r="M1159" s="101">
        <f t="shared" si="223"/>
        <v>441.72</v>
      </c>
      <c r="N1159" s="24">
        <v>15</v>
      </c>
      <c r="O1159" s="26">
        <f t="shared" si="214"/>
        <v>29.448</v>
      </c>
      <c r="P1159" s="24">
        <v>1.1000000000000001</v>
      </c>
      <c r="Q1159" s="24">
        <v>36</v>
      </c>
      <c r="R1159" s="27">
        <f t="shared" si="215"/>
        <v>1166.1408000000001</v>
      </c>
      <c r="S1159" s="102">
        <f t="shared" si="217"/>
        <v>1.296</v>
      </c>
      <c r="T1159" s="21">
        <f>VLOOKUP($A1159,'2022-23 Salary &amp; Benefits'!$A:$I,5,FALSE)</f>
        <v>68937</v>
      </c>
      <c r="U1159" s="21">
        <f>VLOOKUP($A1159,'2022-23 Salary &amp; Benefits'!$A:$I,6,FALSE)</f>
        <v>72728</v>
      </c>
      <c r="V1159" s="22">
        <f t="shared" si="218"/>
        <v>89342.35</v>
      </c>
      <c r="W1159" s="22">
        <f t="shared" si="219"/>
        <v>4913.1399999999994</v>
      </c>
      <c r="X1159" s="22">
        <f>'2022-23 Salary &amp; Benefits'!$G$6</f>
        <v>12558.24</v>
      </c>
      <c r="Y1159" s="23">
        <f>'2022-23 Salary &amp; Benefits'!$H$6</f>
        <v>0.2298</v>
      </c>
      <c r="Z1159" s="23">
        <f>'2022-23 Salary &amp; Benefits'!$I$6</f>
        <v>0.22339999999999999</v>
      </c>
      <c r="AA1159" s="22">
        <f t="shared" si="220"/>
        <v>37903.949999999997</v>
      </c>
      <c r="AB1159" s="22">
        <f t="shared" si="221"/>
        <v>1570.92</v>
      </c>
      <c r="AC1159" s="22">
        <f t="shared" si="222"/>
        <v>350.94</v>
      </c>
      <c r="AD1159" s="22">
        <f t="shared" si="224"/>
        <v>1921.8600000000001</v>
      </c>
      <c r="AE1159" s="22">
        <f t="shared" si="225"/>
        <v>134081.29999999999</v>
      </c>
      <c r="AF1159" s="19" t="str">
        <f>VLOOKUP(C1159,'2021-22 School Level AAFTE'!C:N,12,FALSE)</f>
        <v>No</v>
      </c>
    </row>
    <row r="1160" spans="1:32" s="5" customFormat="1">
      <c r="A1160" s="97" t="s">
        <v>2567</v>
      </c>
      <c r="B1160" s="97" t="s">
        <v>2253</v>
      </c>
      <c r="C1160" s="95">
        <v>2532</v>
      </c>
      <c r="D1160" s="95" t="s">
        <v>2256</v>
      </c>
      <c r="E1160" s="129">
        <f>VLOOKUP($C1160,'2021-22 School Level AAFTE'!$C:$Z,11,FALSE)</f>
        <v>0.97389999999999999</v>
      </c>
      <c r="F1160" s="129" t="str">
        <f>VLOOKUP($C1160,'2021-22 School Level AAFTE'!$C:$Z,8,FALSE)</f>
        <v>Yes</v>
      </c>
      <c r="G1160" s="129" t="str">
        <f>VLOOKUP($C1160,'2021-22 School Level AAFTE'!$C:$Z,12,FALSE)</f>
        <v>No</v>
      </c>
      <c r="H1160" s="127">
        <f>VLOOKUP($C1160,'2021-22 School Level AAFTE'!$C:$I,7,FALSE)</f>
        <v>257.49</v>
      </c>
      <c r="I1160" s="112">
        <f>IFERROR(IF(OR(G1160="yes",F1160= "yes"),VLOOKUP(C1160,Summary!$B:$J,6,0),0),0)</f>
        <v>0</v>
      </c>
      <c r="J1160" s="111">
        <f t="shared" si="216"/>
        <v>257.49</v>
      </c>
      <c r="K1160" s="91">
        <f>VLOOKUP($A1160,'2022-23 Salary &amp; Benefits'!$A:$I,3,FALSE)</f>
        <v>1</v>
      </c>
      <c r="L1160" s="91">
        <f>VLOOKUP($A1160,'2022-23 Salary &amp; Benefits'!$A:$I,4,FALSE)</f>
        <v>1</v>
      </c>
      <c r="M1160" s="39">
        <f t="shared" si="223"/>
        <v>257.49</v>
      </c>
      <c r="N1160" s="24">
        <v>15</v>
      </c>
      <c r="O1160" s="26">
        <f t="shared" si="214"/>
        <v>17.166</v>
      </c>
      <c r="P1160" s="24">
        <v>1.1000000000000001</v>
      </c>
      <c r="Q1160" s="24">
        <v>36</v>
      </c>
      <c r="R1160" s="27">
        <f t="shared" si="215"/>
        <v>679.7736000000001</v>
      </c>
      <c r="S1160" s="102">
        <f t="shared" si="217"/>
        <v>0.755</v>
      </c>
      <c r="T1160" s="21">
        <f>VLOOKUP($A1160,'2022-23 Salary &amp; Benefits'!$A:$I,5,FALSE)</f>
        <v>68937</v>
      </c>
      <c r="U1160" s="21">
        <f>VLOOKUP($A1160,'2022-23 Salary &amp; Benefits'!$A:$I,6,FALSE)</f>
        <v>72728</v>
      </c>
      <c r="V1160" s="22">
        <f t="shared" si="218"/>
        <v>52047.44</v>
      </c>
      <c r="W1160" s="22">
        <f t="shared" si="219"/>
        <v>2862.1999999999971</v>
      </c>
      <c r="X1160" s="22">
        <f>'2022-23 Salary &amp; Benefits'!$G$6</f>
        <v>12558.24</v>
      </c>
      <c r="Y1160" s="23">
        <f>'2022-23 Salary &amp; Benefits'!$H$6</f>
        <v>0.2298</v>
      </c>
      <c r="Z1160" s="23">
        <f>'2022-23 Salary &amp; Benefits'!$I$6</f>
        <v>0.22339999999999999</v>
      </c>
      <c r="AA1160" s="22">
        <f t="shared" si="220"/>
        <v>22081.39</v>
      </c>
      <c r="AB1160" s="22">
        <f t="shared" si="221"/>
        <v>915.16</v>
      </c>
      <c r="AC1160" s="22">
        <f t="shared" si="222"/>
        <v>204.45</v>
      </c>
      <c r="AD1160" s="22">
        <f t="shared" si="224"/>
        <v>1119.6099999999999</v>
      </c>
      <c r="AE1160" s="22">
        <f t="shared" si="225"/>
        <v>78110.64</v>
      </c>
      <c r="AF1160" s="19" t="str">
        <f>VLOOKUP(C1160,'2021-22 School Level AAFTE'!C:N,12,FALSE)</f>
        <v>No</v>
      </c>
    </row>
    <row r="1161" spans="1:32" s="5" customFormat="1">
      <c r="A1161" s="97" t="s">
        <v>2538</v>
      </c>
      <c r="B1161" s="97" t="s">
        <v>2121</v>
      </c>
      <c r="C1161" s="95">
        <v>2343</v>
      </c>
      <c r="D1161" s="95" t="s">
        <v>2122</v>
      </c>
      <c r="E1161" s="129">
        <f>VLOOKUP($C1161,'2021-22 School Level AAFTE'!$C:$Z,11,FALSE)</f>
        <v>0.50159999999999993</v>
      </c>
      <c r="F1161" s="129" t="str">
        <f>VLOOKUP($C1161,'2021-22 School Level AAFTE'!$C:$Z,8,FALSE)</f>
        <v>Yes</v>
      </c>
      <c r="G1161" s="129" t="str">
        <f>VLOOKUP($C1161,'2021-22 School Level AAFTE'!$C:$Z,12,FALSE)</f>
        <v>No</v>
      </c>
      <c r="H1161" s="127">
        <f>VLOOKUP($C1161,'2021-22 School Level AAFTE'!$C:$I,7,FALSE)</f>
        <v>491.57000000000005</v>
      </c>
      <c r="I1161" s="112">
        <f>IFERROR(IF(OR(G1161="yes",F1161= "yes"),VLOOKUP(C1161,Summary!$B:$J,6,0),0),0)</f>
        <v>0</v>
      </c>
      <c r="J1161" s="111">
        <f t="shared" si="216"/>
        <v>491.57000000000005</v>
      </c>
      <c r="K1161" s="91">
        <f>VLOOKUP($A1161,'2022-23 Salary &amp; Benefits'!$A:$I,3,FALSE)</f>
        <v>1.1200000000000001</v>
      </c>
      <c r="L1161" s="91">
        <f>VLOOKUP($A1161,'2022-23 Salary &amp; Benefits'!$A:$I,4,FALSE)</f>
        <v>1.1200000000000001</v>
      </c>
      <c r="M1161" s="101">
        <f t="shared" si="223"/>
        <v>491.57000000000005</v>
      </c>
      <c r="N1161" s="24">
        <v>15</v>
      </c>
      <c r="O1161" s="26">
        <f t="shared" si="214"/>
        <v>32.771333333333338</v>
      </c>
      <c r="P1161" s="24">
        <v>1.1000000000000001</v>
      </c>
      <c r="Q1161" s="24">
        <v>36</v>
      </c>
      <c r="R1161" s="27">
        <f t="shared" si="215"/>
        <v>1297.7448000000004</v>
      </c>
      <c r="S1161" s="102">
        <f t="shared" si="217"/>
        <v>1.4419999999999999</v>
      </c>
      <c r="T1161" s="21">
        <f>VLOOKUP($A1161,'2022-23 Salary &amp; Benefits'!$A:$I,5,FALSE)</f>
        <v>68937</v>
      </c>
      <c r="U1161" s="21">
        <f>VLOOKUP($A1161,'2022-23 Salary &amp; Benefits'!$A:$I,6,FALSE)</f>
        <v>72728</v>
      </c>
      <c r="V1161" s="22">
        <f t="shared" si="218"/>
        <v>111336.01</v>
      </c>
      <c r="W1161" s="22">
        <f t="shared" si="219"/>
        <v>6122.6200000000099</v>
      </c>
      <c r="X1161" s="22">
        <f>'2022-23 Salary &amp; Benefits'!$G$6</f>
        <v>12558.24</v>
      </c>
      <c r="Y1161" s="23">
        <f>'2022-23 Salary &amp; Benefits'!$H$6</f>
        <v>0.2298</v>
      </c>
      <c r="Z1161" s="23">
        <f>'2022-23 Salary &amp; Benefits'!$I$6</f>
        <v>0.22339999999999999</v>
      </c>
      <c r="AA1161" s="22">
        <f t="shared" si="220"/>
        <v>45061.79</v>
      </c>
      <c r="AB1161" s="22">
        <f t="shared" si="221"/>
        <v>1957.64</v>
      </c>
      <c r="AC1161" s="22">
        <f t="shared" si="222"/>
        <v>437.34</v>
      </c>
      <c r="AD1161" s="22">
        <f t="shared" si="224"/>
        <v>2394.98</v>
      </c>
      <c r="AE1161" s="22">
        <f t="shared" si="225"/>
        <v>164915.4</v>
      </c>
      <c r="AF1161" s="19" t="str">
        <f>VLOOKUP(C1161,'2021-22 School Level AAFTE'!C:N,12,FALSE)</f>
        <v>No</v>
      </c>
    </row>
    <row r="1162" spans="1:32" s="5" customFormat="1">
      <c r="A1162" s="97" t="s">
        <v>2538</v>
      </c>
      <c r="B1162" s="97" t="s">
        <v>2121</v>
      </c>
      <c r="C1162" s="95">
        <v>2585</v>
      </c>
      <c r="D1162" s="95" t="s">
        <v>2123</v>
      </c>
      <c r="E1162" s="129">
        <f>VLOOKUP($C1162,'2021-22 School Level AAFTE'!$C:$Z,11,FALSE)</f>
        <v>0.52403333333333324</v>
      </c>
      <c r="F1162" s="129" t="str">
        <f>VLOOKUP($C1162,'2021-22 School Level AAFTE'!$C:$Z,8,FALSE)</f>
        <v>Yes</v>
      </c>
      <c r="G1162" s="129" t="str">
        <f>VLOOKUP($C1162,'2021-22 School Level AAFTE'!$C:$Z,12,FALSE)</f>
        <v>No</v>
      </c>
      <c r="H1162" s="127">
        <f>VLOOKUP($C1162,'2021-22 School Level AAFTE'!$C:$I,7,FALSE)</f>
        <v>197.54</v>
      </c>
      <c r="I1162" s="112">
        <f>IFERROR(IF(OR(G1162="yes",F1162= "yes"),VLOOKUP(C1162,Summary!$B:$J,6,0),0),0)</f>
        <v>0</v>
      </c>
      <c r="J1162" s="111">
        <f t="shared" si="216"/>
        <v>197.54</v>
      </c>
      <c r="K1162" s="91">
        <f>VLOOKUP($A1162,'2022-23 Salary &amp; Benefits'!$A:$I,3,FALSE)</f>
        <v>1.1200000000000001</v>
      </c>
      <c r="L1162" s="91">
        <f>VLOOKUP($A1162,'2022-23 Salary &amp; Benefits'!$A:$I,4,FALSE)</f>
        <v>1.1200000000000001</v>
      </c>
      <c r="M1162" s="101">
        <f t="shared" si="223"/>
        <v>197.54</v>
      </c>
      <c r="N1162" s="24">
        <v>15</v>
      </c>
      <c r="O1162" s="26">
        <f t="shared" ref="O1162:O1225" si="226">IF(M1162="no",0,M1162/N1162)</f>
        <v>13.169333333333332</v>
      </c>
      <c r="P1162" s="24">
        <v>1.1000000000000001</v>
      </c>
      <c r="Q1162" s="24">
        <v>36</v>
      </c>
      <c r="R1162" s="27">
        <f t="shared" ref="R1162:R1225" si="227">IF(M1162="no",0,O1162*P1162*Q1162)</f>
        <v>521.50560000000007</v>
      </c>
      <c r="S1162" s="102">
        <f t="shared" si="217"/>
        <v>0.57899999999999996</v>
      </c>
      <c r="T1162" s="21">
        <f>VLOOKUP($A1162,'2022-23 Salary &amp; Benefits'!$A:$I,5,FALSE)</f>
        <v>68937</v>
      </c>
      <c r="U1162" s="21">
        <f>VLOOKUP($A1162,'2022-23 Salary &amp; Benefits'!$A:$I,6,FALSE)</f>
        <v>72728</v>
      </c>
      <c r="V1162" s="22">
        <f t="shared" si="218"/>
        <v>44704.27</v>
      </c>
      <c r="W1162" s="22">
        <f t="shared" si="219"/>
        <v>2458.3800000000047</v>
      </c>
      <c r="X1162" s="22">
        <f>'2022-23 Salary &amp; Benefits'!$G$6</f>
        <v>12558.24</v>
      </c>
      <c r="Y1162" s="23">
        <f>'2022-23 Salary &amp; Benefits'!$H$6</f>
        <v>0.2298</v>
      </c>
      <c r="Z1162" s="23">
        <f>'2022-23 Salary &amp; Benefits'!$I$6</f>
        <v>0.22339999999999999</v>
      </c>
      <c r="AA1162" s="22">
        <f t="shared" si="220"/>
        <v>18093.46</v>
      </c>
      <c r="AB1162" s="22">
        <f t="shared" si="221"/>
        <v>786.04</v>
      </c>
      <c r="AC1162" s="22">
        <f t="shared" si="222"/>
        <v>175.6</v>
      </c>
      <c r="AD1162" s="22">
        <f t="shared" si="224"/>
        <v>961.64</v>
      </c>
      <c r="AE1162" s="22">
        <f t="shared" si="225"/>
        <v>66217.75</v>
      </c>
      <c r="AF1162" s="19" t="str">
        <f>VLOOKUP(C1162,'2021-22 School Level AAFTE'!C:N,12,FALSE)</f>
        <v>No</v>
      </c>
    </row>
    <row r="1163" spans="1:32" s="5" customFormat="1">
      <c r="A1163" s="97" t="s">
        <v>2538</v>
      </c>
      <c r="B1163" s="97" t="s">
        <v>2121</v>
      </c>
      <c r="C1163" s="95">
        <v>3003</v>
      </c>
      <c r="D1163" s="95" t="s">
        <v>2124</v>
      </c>
      <c r="E1163" s="129">
        <f>VLOOKUP($C1163,'2021-22 School Level AAFTE'!$C:$Z,11,FALSE)</f>
        <v>0.61030000000000006</v>
      </c>
      <c r="F1163" s="129" t="str">
        <f>VLOOKUP($C1163,'2021-22 School Level AAFTE'!$C:$Z,8,FALSE)</f>
        <v>Yes</v>
      </c>
      <c r="G1163" s="129" t="str">
        <f>VLOOKUP($C1163,'2021-22 School Level AAFTE'!$C:$Z,12,FALSE)</f>
        <v>No</v>
      </c>
      <c r="H1163" s="127">
        <f>VLOOKUP($C1163,'2021-22 School Level AAFTE'!$C:$I,7,FALSE)</f>
        <v>279.51</v>
      </c>
      <c r="I1163" s="112">
        <f>IFERROR(IF(OR(G1163="yes",F1163= "yes"),VLOOKUP(C1163,Summary!$B:$J,6,0),0),0)</f>
        <v>0</v>
      </c>
      <c r="J1163" s="111">
        <f t="shared" ref="J1163:J1226" si="228">IF(OR(G1163="yes",F1163= "yes"), H1163,0)</f>
        <v>279.51</v>
      </c>
      <c r="K1163" s="91">
        <f>VLOOKUP($A1163,'2022-23 Salary &amp; Benefits'!$A:$I,3,FALSE)</f>
        <v>1.1200000000000001</v>
      </c>
      <c r="L1163" s="91">
        <f>VLOOKUP($A1163,'2022-23 Salary &amp; Benefits'!$A:$I,4,FALSE)</f>
        <v>1.1200000000000001</v>
      </c>
      <c r="M1163" s="101">
        <f t="shared" si="223"/>
        <v>279.51</v>
      </c>
      <c r="N1163" s="24">
        <v>15</v>
      </c>
      <c r="O1163" s="26">
        <f t="shared" si="226"/>
        <v>18.634</v>
      </c>
      <c r="P1163" s="24">
        <v>1.1000000000000001</v>
      </c>
      <c r="Q1163" s="24">
        <v>36</v>
      </c>
      <c r="R1163" s="27">
        <f t="shared" si="227"/>
        <v>737.90640000000008</v>
      </c>
      <c r="S1163" s="102">
        <f t="shared" ref="S1163:S1226" si="229">ROUND(IF(M1163="no",0,R1163/900),3)</f>
        <v>0.82</v>
      </c>
      <c r="T1163" s="21">
        <f>VLOOKUP($A1163,'2022-23 Salary &amp; Benefits'!$A:$I,5,FALSE)</f>
        <v>68937</v>
      </c>
      <c r="U1163" s="21">
        <f>VLOOKUP($A1163,'2022-23 Salary &amp; Benefits'!$A:$I,6,FALSE)</f>
        <v>72728</v>
      </c>
      <c r="V1163" s="22">
        <f t="shared" ref="V1163:V1226" si="230">ROUND($K1163*$T1163*$S1163,2)</f>
        <v>63311.74</v>
      </c>
      <c r="W1163" s="22">
        <f t="shared" ref="W1163:W1226" si="231">ROUND($L1163*$U1163*$S1163,2)-V1163</f>
        <v>3481.6599999999962</v>
      </c>
      <c r="X1163" s="22">
        <f>'2022-23 Salary &amp; Benefits'!$G$6</f>
        <v>12558.24</v>
      </c>
      <c r="Y1163" s="23">
        <f>'2022-23 Salary &amp; Benefits'!$H$6</f>
        <v>0.2298</v>
      </c>
      <c r="Z1163" s="23">
        <f>'2022-23 Salary &amp; Benefits'!$I$6</f>
        <v>0.22339999999999999</v>
      </c>
      <c r="AA1163" s="22">
        <f t="shared" ref="AA1163:AA1226" si="232">ROUND(V1163*Y1163+W1163*Z1163+S1163*X1163,2)</f>
        <v>25624.6</v>
      </c>
      <c r="AB1163" s="22">
        <f t="shared" ref="AB1163:AB1226" si="233">ROUND(($U1163*$L1163*$S1163/180*3),2)</f>
        <v>1113.22</v>
      </c>
      <c r="AC1163" s="22">
        <f t="shared" ref="AC1163:AC1226" si="234">ROUND(AB1163*Z1163,2)</f>
        <v>248.69</v>
      </c>
      <c r="AD1163" s="22">
        <f t="shared" si="224"/>
        <v>1361.91</v>
      </c>
      <c r="AE1163" s="22">
        <f t="shared" si="225"/>
        <v>93779.91</v>
      </c>
      <c r="AF1163" s="19" t="str">
        <f>VLOOKUP(C1163,'2021-22 School Level AAFTE'!C:N,12,FALSE)</f>
        <v>No</v>
      </c>
    </row>
    <row r="1164" spans="1:32" s="5" customFormat="1">
      <c r="A1164" s="97" t="s">
        <v>2538</v>
      </c>
      <c r="B1164" s="97" t="s">
        <v>2121</v>
      </c>
      <c r="C1164" s="95">
        <v>3365</v>
      </c>
      <c r="D1164" s="95" t="s">
        <v>2125</v>
      </c>
      <c r="E1164" s="129">
        <f>VLOOKUP($C1164,'2021-22 School Level AAFTE'!$C:$Z,11,FALSE)</f>
        <v>0.36846666666666666</v>
      </c>
      <c r="F1164" s="129" t="str">
        <f>VLOOKUP($C1164,'2021-22 School Level AAFTE'!$C:$Z,8,FALSE)</f>
        <v>No</v>
      </c>
      <c r="G1164" s="129" t="str">
        <f>VLOOKUP($C1164,'2021-22 School Level AAFTE'!$C:$Z,12,FALSE)</f>
        <v>No</v>
      </c>
      <c r="H1164" s="127">
        <f>VLOOKUP($C1164,'2021-22 School Level AAFTE'!$C:$I,7,FALSE)</f>
        <v>298.16000000000003</v>
      </c>
      <c r="I1164" s="112">
        <f>IFERROR(IF(OR(G1164="yes",F1164= "yes"),VLOOKUP(C1164,Summary!$B:$J,6,0),0),0)</f>
        <v>0</v>
      </c>
      <c r="J1164" s="111">
        <f t="shared" si="228"/>
        <v>0</v>
      </c>
      <c r="K1164" s="91">
        <f>VLOOKUP($A1164,'2022-23 Salary &amp; Benefits'!$A:$I,3,FALSE)</f>
        <v>1.1200000000000001</v>
      </c>
      <c r="L1164" s="91">
        <f>VLOOKUP($A1164,'2022-23 Salary &amp; Benefits'!$A:$I,4,FALSE)</f>
        <v>1.1200000000000001</v>
      </c>
      <c r="M1164" s="101">
        <f t="shared" si="223"/>
        <v>0</v>
      </c>
      <c r="N1164" s="24">
        <v>15</v>
      </c>
      <c r="O1164" s="26">
        <f t="shared" si="226"/>
        <v>0</v>
      </c>
      <c r="P1164" s="24">
        <v>1.1000000000000001</v>
      </c>
      <c r="Q1164" s="24">
        <v>36</v>
      </c>
      <c r="R1164" s="27">
        <f t="shared" si="227"/>
        <v>0</v>
      </c>
      <c r="S1164" s="102">
        <f t="shared" si="229"/>
        <v>0</v>
      </c>
      <c r="T1164" s="21">
        <f>VLOOKUP($A1164,'2022-23 Salary &amp; Benefits'!$A:$I,5,FALSE)</f>
        <v>68937</v>
      </c>
      <c r="U1164" s="21">
        <f>VLOOKUP($A1164,'2022-23 Salary &amp; Benefits'!$A:$I,6,FALSE)</f>
        <v>72728</v>
      </c>
      <c r="V1164" s="22">
        <f t="shared" si="230"/>
        <v>0</v>
      </c>
      <c r="W1164" s="22">
        <f t="shared" si="231"/>
        <v>0</v>
      </c>
      <c r="X1164" s="22">
        <f>'2022-23 Salary &amp; Benefits'!$G$6</f>
        <v>12558.24</v>
      </c>
      <c r="Y1164" s="23">
        <f>'2022-23 Salary &amp; Benefits'!$H$6</f>
        <v>0.2298</v>
      </c>
      <c r="Z1164" s="23">
        <f>'2022-23 Salary &amp; Benefits'!$I$6</f>
        <v>0.22339999999999999</v>
      </c>
      <c r="AA1164" s="22">
        <f t="shared" si="232"/>
        <v>0</v>
      </c>
      <c r="AB1164" s="22">
        <f t="shared" si="233"/>
        <v>0</v>
      </c>
      <c r="AC1164" s="22">
        <f t="shared" si="234"/>
        <v>0</v>
      </c>
      <c r="AD1164" s="22">
        <f t="shared" si="224"/>
        <v>0</v>
      </c>
      <c r="AE1164" s="22">
        <f t="shared" si="225"/>
        <v>0</v>
      </c>
      <c r="AF1164" s="19" t="str">
        <f>VLOOKUP(C1164,'2021-22 School Level AAFTE'!C:N,12,FALSE)</f>
        <v>No</v>
      </c>
    </row>
    <row r="1165" spans="1:32" s="5" customFormat="1">
      <c r="A1165" s="97" t="s">
        <v>2538</v>
      </c>
      <c r="B1165" s="97" t="s">
        <v>2121</v>
      </c>
      <c r="C1165" s="95">
        <v>4533</v>
      </c>
      <c r="D1165" s="95" t="s">
        <v>2126</v>
      </c>
      <c r="E1165" s="129">
        <f>VLOOKUP($C1165,'2021-22 School Level AAFTE'!$C:$Z,11,FALSE)</f>
        <v>0.7695333333333334</v>
      </c>
      <c r="F1165" s="129" t="str">
        <f>VLOOKUP($C1165,'2021-22 School Level AAFTE'!$C:$Z,8,FALSE)</f>
        <v>Yes</v>
      </c>
      <c r="G1165" s="129" t="str">
        <f>VLOOKUP($C1165,'2021-22 School Level AAFTE'!$C:$Z,12,FALSE)</f>
        <v>No</v>
      </c>
      <c r="H1165" s="127">
        <f>VLOOKUP($C1165,'2021-22 School Level AAFTE'!$C:$I,7,FALSE)</f>
        <v>295.64999999999998</v>
      </c>
      <c r="I1165" s="112">
        <f>IFERROR(IF(OR(G1165="yes",F1165= "yes"),VLOOKUP(C1165,Summary!$B:$J,6,0),0),0)</f>
        <v>0</v>
      </c>
      <c r="J1165" s="111">
        <f t="shared" si="228"/>
        <v>295.64999999999998</v>
      </c>
      <c r="K1165" s="91">
        <f>VLOOKUP($A1165,'2022-23 Salary &amp; Benefits'!$A:$I,3,FALSE)</f>
        <v>1.1200000000000001</v>
      </c>
      <c r="L1165" s="91">
        <f>VLOOKUP($A1165,'2022-23 Salary &amp; Benefits'!$A:$I,4,FALSE)</f>
        <v>1.1200000000000001</v>
      </c>
      <c r="M1165" s="39">
        <f t="shared" si="223"/>
        <v>295.64999999999998</v>
      </c>
      <c r="N1165" s="24">
        <v>15</v>
      </c>
      <c r="O1165" s="26">
        <f t="shared" si="226"/>
        <v>19.709999999999997</v>
      </c>
      <c r="P1165" s="24">
        <v>1.1000000000000001</v>
      </c>
      <c r="Q1165" s="24">
        <v>36</v>
      </c>
      <c r="R1165" s="27">
        <f t="shared" si="227"/>
        <v>780.51599999999985</v>
      </c>
      <c r="S1165" s="102">
        <f t="shared" si="229"/>
        <v>0.86699999999999999</v>
      </c>
      <c r="T1165" s="21">
        <f>VLOOKUP($A1165,'2022-23 Salary &amp; Benefits'!$A:$I,5,FALSE)</f>
        <v>68937</v>
      </c>
      <c r="U1165" s="21">
        <f>VLOOKUP($A1165,'2022-23 Salary &amp; Benefits'!$A:$I,6,FALSE)</f>
        <v>72728</v>
      </c>
      <c r="V1165" s="22">
        <f t="shared" si="230"/>
        <v>66940.58</v>
      </c>
      <c r="W1165" s="22">
        <f t="shared" si="231"/>
        <v>3681.2200000000012</v>
      </c>
      <c r="X1165" s="22">
        <f>'2022-23 Salary &amp; Benefits'!$G$6</f>
        <v>12558.24</v>
      </c>
      <c r="Y1165" s="23">
        <f>'2022-23 Salary &amp; Benefits'!$H$6</f>
        <v>0.2298</v>
      </c>
      <c r="Z1165" s="23">
        <f>'2022-23 Salary &amp; Benefits'!$I$6</f>
        <v>0.22339999999999999</v>
      </c>
      <c r="AA1165" s="22">
        <f t="shared" si="232"/>
        <v>27093.32</v>
      </c>
      <c r="AB1165" s="22">
        <f t="shared" si="233"/>
        <v>1177.03</v>
      </c>
      <c r="AC1165" s="22">
        <f t="shared" si="234"/>
        <v>262.95</v>
      </c>
      <c r="AD1165" s="22">
        <f t="shared" si="224"/>
        <v>1439.98</v>
      </c>
      <c r="AE1165" s="22">
        <f t="shared" si="225"/>
        <v>99155.099999999991</v>
      </c>
      <c r="AF1165" s="19" t="str">
        <f>VLOOKUP(C1165,'2021-22 School Level AAFTE'!C:N,12,FALSE)</f>
        <v>No</v>
      </c>
    </row>
    <row r="1166" spans="1:32" s="5" customFormat="1">
      <c r="A1166" s="97" t="s">
        <v>2538</v>
      </c>
      <c r="B1166" s="97" t="s">
        <v>2121</v>
      </c>
      <c r="C1166" s="95">
        <v>5112</v>
      </c>
      <c r="D1166" s="95" t="s">
        <v>2127</v>
      </c>
      <c r="E1166" s="129">
        <f>VLOOKUP($C1166,'2021-22 School Level AAFTE'!$C:$Z,11,FALSE)</f>
        <v>0.38853333333333334</v>
      </c>
      <c r="F1166" s="129" t="str">
        <f>VLOOKUP($C1166,'2021-22 School Level AAFTE'!$C:$Z,8,FALSE)</f>
        <v>No</v>
      </c>
      <c r="G1166" s="129" t="str">
        <f>VLOOKUP($C1166,'2021-22 School Level AAFTE'!$C:$Z,12,FALSE)</f>
        <v>No</v>
      </c>
      <c r="H1166" s="127">
        <f>VLOOKUP($C1166,'2021-22 School Level AAFTE'!$C:$I,7,FALSE)</f>
        <v>78.06</v>
      </c>
      <c r="I1166" s="112">
        <f>IFERROR(IF(OR(G1166="yes",F1166= "yes"),VLOOKUP(C1166,Summary!$B:$J,6,0),0),0)</f>
        <v>0</v>
      </c>
      <c r="J1166" s="111">
        <f t="shared" si="228"/>
        <v>0</v>
      </c>
      <c r="K1166" s="91">
        <f>VLOOKUP($A1166,'2022-23 Salary &amp; Benefits'!$A:$I,3,FALSE)</f>
        <v>1.1200000000000001</v>
      </c>
      <c r="L1166" s="91">
        <f>VLOOKUP($A1166,'2022-23 Salary &amp; Benefits'!$A:$I,4,FALSE)</f>
        <v>1.1200000000000001</v>
      </c>
      <c r="M1166" s="101">
        <f t="shared" si="223"/>
        <v>0</v>
      </c>
      <c r="N1166" s="24">
        <v>15</v>
      </c>
      <c r="O1166" s="26">
        <f t="shared" si="226"/>
        <v>0</v>
      </c>
      <c r="P1166" s="24">
        <v>1.1000000000000001</v>
      </c>
      <c r="Q1166" s="24">
        <v>36</v>
      </c>
      <c r="R1166" s="27">
        <f t="shared" si="227"/>
        <v>0</v>
      </c>
      <c r="S1166" s="102">
        <f t="shared" si="229"/>
        <v>0</v>
      </c>
      <c r="T1166" s="21">
        <f>VLOOKUP($A1166,'2022-23 Salary &amp; Benefits'!$A:$I,5,FALSE)</f>
        <v>68937</v>
      </c>
      <c r="U1166" s="21">
        <f>VLOOKUP($A1166,'2022-23 Salary &amp; Benefits'!$A:$I,6,FALSE)</f>
        <v>72728</v>
      </c>
      <c r="V1166" s="22">
        <f t="shared" si="230"/>
        <v>0</v>
      </c>
      <c r="W1166" s="22">
        <f t="shared" si="231"/>
        <v>0</v>
      </c>
      <c r="X1166" s="22">
        <f>'2022-23 Salary &amp; Benefits'!$G$6</f>
        <v>12558.24</v>
      </c>
      <c r="Y1166" s="23">
        <f>'2022-23 Salary &amp; Benefits'!$H$6</f>
        <v>0.2298</v>
      </c>
      <c r="Z1166" s="23">
        <f>'2022-23 Salary &amp; Benefits'!$I$6</f>
        <v>0.22339999999999999</v>
      </c>
      <c r="AA1166" s="22">
        <f t="shared" si="232"/>
        <v>0</v>
      </c>
      <c r="AB1166" s="22">
        <f t="shared" si="233"/>
        <v>0</v>
      </c>
      <c r="AC1166" s="22">
        <f t="shared" si="234"/>
        <v>0</v>
      </c>
      <c r="AD1166" s="22">
        <f t="shared" si="224"/>
        <v>0</v>
      </c>
      <c r="AE1166" s="22">
        <f t="shared" si="225"/>
        <v>0</v>
      </c>
      <c r="AF1166" s="19" t="str">
        <f>VLOOKUP(C1166,'2021-22 School Level AAFTE'!C:N,12,FALSE)</f>
        <v>No</v>
      </c>
    </row>
    <row r="1167" spans="1:32" s="5" customFormat="1">
      <c r="A1167" s="97" t="s">
        <v>2469</v>
      </c>
      <c r="B1167" s="97" t="s">
        <v>1587</v>
      </c>
      <c r="C1167" s="95">
        <v>3459</v>
      </c>
      <c r="D1167" s="95" t="s">
        <v>1588</v>
      </c>
      <c r="E1167" s="129">
        <f>VLOOKUP($C1167,'2021-22 School Level AAFTE'!$C:$Z,11,FALSE)</f>
        <v>0.18913333333333335</v>
      </c>
      <c r="F1167" s="129" t="str">
        <f>VLOOKUP($C1167,'2021-22 School Level AAFTE'!$C:$Z,8,FALSE)</f>
        <v>No</v>
      </c>
      <c r="G1167" s="129" t="str">
        <f>VLOOKUP($C1167,'2021-22 School Level AAFTE'!$C:$Z,12,FALSE)</f>
        <v>No</v>
      </c>
      <c r="H1167" s="127">
        <f>VLOOKUP($C1167,'2021-22 School Level AAFTE'!$C:$I,7,FALSE)</f>
        <v>59.57</v>
      </c>
      <c r="I1167" s="112">
        <f>IFERROR(IF(OR(G1167="yes",F1167= "yes"),VLOOKUP(C1167,Summary!$B:$J,6,0),0),0)</f>
        <v>0</v>
      </c>
      <c r="J1167" s="111">
        <f t="shared" si="228"/>
        <v>0</v>
      </c>
      <c r="K1167" s="91">
        <f>VLOOKUP($A1167,'2022-23 Salary &amp; Benefits'!$A:$I,3,FALSE)</f>
        <v>1.06</v>
      </c>
      <c r="L1167" s="91">
        <f>VLOOKUP($A1167,'2022-23 Salary &amp; Benefits'!$A:$I,4,FALSE)</f>
        <v>1.06</v>
      </c>
      <c r="M1167" s="101">
        <f t="shared" si="223"/>
        <v>0</v>
      </c>
      <c r="N1167" s="24">
        <v>15</v>
      </c>
      <c r="O1167" s="26">
        <f t="shared" si="226"/>
        <v>0</v>
      </c>
      <c r="P1167" s="24">
        <v>1.1000000000000001</v>
      </c>
      <c r="Q1167" s="24">
        <v>36</v>
      </c>
      <c r="R1167" s="27">
        <f t="shared" si="227"/>
        <v>0</v>
      </c>
      <c r="S1167" s="102">
        <f t="shared" si="229"/>
        <v>0</v>
      </c>
      <c r="T1167" s="21">
        <f>VLOOKUP($A1167,'2022-23 Salary &amp; Benefits'!$A:$I,5,FALSE)</f>
        <v>68937</v>
      </c>
      <c r="U1167" s="21">
        <f>VLOOKUP($A1167,'2022-23 Salary &amp; Benefits'!$A:$I,6,FALSE)</f>
        <v>72728</v>
      </c>
      <c r="V1167" s="22">
        <f t="shared" si="230"/>
        <v>0</v>
      </c>
      <c r="W1167" s="22">
        <f t="shared" si="231"/>
        <v>0</v>
      </c>
      <c r="X1167" s="22">
        <f>'2022-23 Salary &amp; Benefits'!$G$6</f>
        <v>12558.24</v>
      </c>
      <c r="Y1167" s="23">
        <f>'2022-23 Salary &amp; Benefits'!$H$6</f>
        <v>0.2298</v>
      </c>
      <c r="Z1167" s="23">
        <f>'2022-23 Salary &amp; Benefits'!$I$6</f>
        <v>0.22339999999999999</v>
      </c>
      <c r="AA1167" s="22">
        <f t="shared" si="232"/>
        <v>0</v>
      </c>
      <c r="AB1167" s="22">
        <f t="shared" si="233"/>
        <v>0</v>
      </c>
      <c r="AC1167" s="22">
        <f t="shared" si="234"/>
        <v>0</v>
      </c>
      <c r="AD1167" s="22">
        <f t="shared" si="224"/>
        <v>0</v>
      </c>
      <c r="AE1167" s="22">
        <f t="shared" si="225"/>
        <v>0</v>
      </c>
      <c r="AF1167" s="19" t="str">
        <f>VLOOKUP(C1167,'2021-22 School Level AAFTE'!C:N,12,FALSE)</f>
        <v>No</v>
      </c>
    </row>
    <row r="1168" spans="1:32" s="5" customFormat="1">
      <c r="A1168" s="97" t="s">
        <v>2466</v>
      </c>
      <c r="B1168" s="97" t="s">
        <v>1575</v>
      </c>
      <c r="C1168" s="95">
        <v>1992</v>
      </c>
      <c r="D1168" s="95" t="s">
        <v>2788</v>
      </c>
      <c r="E1168" s="129">
        <f>VLOOKUP($C1168,'2021-22 School Level AAFTE'!$C:$Z,11,FALSE)</f>
        <v>0.1585</v>
      </c>
      <c r="F1168" s="129" t="str">
        <f>VLOOKUP($C1168,'2021-22 School Level AAFTE'!$C:$Z,8,FALSE)</f>
        <v>No</v>
      </c>
      <c r="G1168" s="129" t="str">
        <f>VLOOKUP($C1168,'2021-22 School Level AAFTE'!$C:$Z,12,FALSE)</f>
        <v>No</v>
      </c>
      <c r="H1168" s="127">
        <f>VLOOKUP($C1168,'2021-22 School Level AAFTE'!$C:$I,7,FALSE)</f>
        <v>253.54</v>
      </c>
      <c r="I1168" s="112">
        <f>IFERROR(IF(OR(G1168="yes",F1168= "yes"),VLOOKUP(C1168,Summary!$B:$J,6,0),0),0)</f>
        <v>0</v>
      </c>
      <c r="J1168" s="111">
        <f t="shared" si="228"/>
        <v>0</v>
      </c>
      <c r="K1168" s="91">
        <f>VLOOKUP($A1168,'2022-23 Salary &amp; Benefits'!$A:$I,3,FALSE)</f>
        <v>1.1200000000000001</v>
      </c>
      <c r="L1168" s="91">
        <f>VLOOKUP($A1168,'2022-23 Salary &amp; Benefits'!$A:$I,4,FALSE)</f>
        <v>1.1200000000000001</v>
      </c>
      <c r="M1168" s="101">
        <f t="shared" si="223"/>
        <v>0</v>
      </c>
      <c r="N1168" s="24">
        <v>15</v>
      </c>
      <c r="O1168" s="26">
        <f t="shared" si="226"/>
        <v>0</v>
      </c>
      <c r="P1168" s="24">
        <v>1.1000000000000001</v>
      </c>
      <c r="Q1168" s="24">
        <v>36</v>
      </c>
      <c r="R1168" s="27">
        <f t="shared" si="227"/>
        <v>0</v>
      </c>
      <c r="S1168" s="102">
        <f t="shared" si="229"/>
        <v>0</v>
      </c>
      <c r="T1168" s="21">
        <f>VLOOKUP($A1168,'2022-23 Salary &amp; Benefits'!$A:$I,5,FALSE)</f>
        <v>68937</v>
      </c>
      <c r="U1168" s="21">
        <f>VLOOKUP($A1168,'2022-23 Salary &amp; Benefits'!$A:$I,6,FALSE)</f>
        <v>72728</v>
      </c>
      <c r="V1168" s="22">
        <f t="shared" si="230"/>
        <v>0</v>
      </c>
      <c r="W1168" s="22">
        <f t="shared" si="231"/>
        <v>0</v>
      </c>
      <c r="X1168" s="22">
        <f>'2022-23 Salary &amp; Benefits'!$G$6</f>
        <v>12558.24</v>
      </c>
      <c r="Y1168" s="23">
        <f>'2022-23 Salary &amp; Benefits'!$H$6</f>
        <v>0.2298</v>
      </c>
      <c r="Z1168" s="23">
        <f>'2022-23 Salary &amp; Benefits'!$I$6</f>
        <v>0.22339999999999999</v>
      </c>
      <c r="AA1168" s="22">
        <f t="shared" si="232"/>
        <v>0</v>
      </c>
      <c r="AB1168" s="22">
        <f t="shared" si="233"/>
        <v>0</v>
      </c>
      <c r="AC1168" s="22">
        <f t="shared" si="234"/>
        <v>0</v>
      </c>
      <c r="AD1168" s="22">
        <f t="shared" si="224"/>
        <v>0</v>
      </c>
      <c r="AE1168" s="22">
        <f t="shared" si="225"/>
        <v>0</v>
      </c>
      <c r="AF1168" s="19" t="str">
        <f>VLOOKUP(C1168,'2021-22 School Level AAFTE'!C:N,12,FALSE)</f>
        <v>No</v>
      </c>
    </row>
    <row r="1169" spans="1:32" s="5" customFormat="1">
      <c r="A1169" s="97" t="s">
        <v>2466</v>
      </c>
      <c r="B1169" s="97" t="s">
        <v>1575</v>
      </c>
      <c r="C1169" s="95">
        <v>2295</v>
      </c>
      <c r="D1169" s="95" t="s">
        <v>1576</v>
      </c>
      <c r="E1169" s="129">
        <f>VLOOKUP($C1169,'2021-22 School Level AAFTE'!$C:$Z,11,FALSE)</f>
        <v>0.60840000000000005</v>
      </c>
      <c r="F1169" s="129" t="str">
        <f>VLOOKUP($C1169,'2021-22 School Level AAFTE'!$C:$Z,8,FALSE)</f>
        <v>Yes</v>
      </c>
      <c r="G1169" s="129" t="str">
        <f>VLOOKUP($C1169,'2021-22 School Level AAFTE'!$C:$Z,12,FALSE)</f>
        <v>No</v>
      </c>
      <c r="H1169" s="127">
        <f>VLOOKUP($C1169,'2021-22 School Level AAFTE'!$C:$I,7,FALSE)</f>
        <v>1957.83</v>
      </c>
      <c r="I1169" s="112">
        <f>IFERROR(IF(OR(G1169="yes",F1169= "yes"),VLOOKUP(C1169,Summary!$B:$J,6,0),0),0)</f>
        <v>0</v>
      </c>
      <c r="J1169" s="111">
        <f t="shared" si="228"/>
        <v>1957.83</v>
      </c>
      <c r="K1169" s="91">
        <f>VLOOKUP($A1169,'2022-23 Salary &amp; Benefits'!$A:$I,3,FALSE)</f>
        <v>1.1200000000000001</v>
      </c>
      <c r="L1169" s="91">
        <f>VLOOKUP($A1169,'2022-23 Salary &amp; Benefits'!$A:$I,4,FALSE)</f>
        <v>1.1200000000000001</v>
      </c>
      <c r="M1169" s="39">
        <f t="shared" si="223"/>
        <v>1957.83</v>
      </c>
      <c r="N1169" s="24">
        <v>15</v>
      </c>
      <c r="O1169" s="26">
        <f t="shared" si="226"/>
        <v>130.52199999999999</v>
      </c>
      <c r="P1169" s="24">
        <v>1.1000000000000001</v>
      </c>
      <c r="Q1169" s="24">
        <v>36</v>
      </c>
      <c r="R1169" s="27">
        <f t="shared" si="227"/>
        <v>5168.6711999999998</v>
      </c>
      <c r="S1169" s="102">
        <f t="shared" si="229"/>
        <v>5.7430000000000003</v>
      </c>
      <c r="T1169" s="21">
        <f>VLOOKUP($A1169,'2022-23 Salary &amp; Benefits'!$A:$I,5,FALSE)</f>
        <v>68937</v>
      </c>
      <c r="U1169" s="21">
        <f>VLOOKUP($A1169,'2022-23 Salary &amp; Benefits'!$A:$I,6,FALSE)</f>
        <v>72728</v>
      </c>
      <c r="V1169" s="22">
        <f t="shared" si="230"/>
        <v>443413.81</v>
      </c>
      <c r="W1169" s="22">
        <f t="shared" si="231"/>
        <v>24384.320000000007</v>
      </c>
      <c r="X1169" s="22">
        <f>'2022-23 Salary &amp; Benefits'!$G$6</f>
        <v>12558.24</v>
      </c>
      <c r="Y1169" s="23">
        <f>'2022-23 Salary &amp; Benefits'!$H$6</f>
        <v>0.2298</v>
      </c>
      <c r="Z1169" s="23">
        <f>'2022-23 Salary &amp; Benefits'!$I$6</f>
        <v>0.22339999999999999</v>
      </c>
      <c r="AA1169" s="22">
        <f t="shared" si="232"/>
        <v>179465.92</v>
      </c>
      <c r="AB1169" s="22">
        <f t="shared" si="233"/>
        <v>7796.64</v>
      </c>
      <c r="AC1169" s="22">
        <f t="shared" si="234"/>
        <v>1741.77</v>
      </c>
      <c r="AD1169" s="22">
        <f t="shared" si="224"/>
        <v>9538.41</v>
      </c>
      <c r="AE1169" s="22">
        <f t="shared" si="225"/>
        <v>656802.46000000008</v>
      </c>
      <c r="AF1169" s="19" t="str">
        <f>VLOOKUP(C1169,'2021-22 School Level AAFTE'!C:N,12,FALSE)</f>
        <v>No</v>
      </c>
    </row>
    <row r="1170" spans="1:32" s="5" customFormat="1">
      <c r="A1170" s="97" t="s">
        <v>2466</v>
      </c>
      <c r="B1170" s="97" t="s">
        <v>1575</v>
      </c>
      <c r="C1170" s="95">
        <v>2880</v>
      </c>
      <c r="D1170" s="95" t="s">
        <v>40</v>
      </c>
      <c r="E1170" s="129">
        <f>VLOOKUP($C1170,'2021-22 School Level AAFTE'!$C:$Z,11,FALSE)</f>
        <v>0.75896666666666668</v>
      </c>
      <c r="F1170" s="129" t="str">
        <f>VLOOKUP($C1170,'2021-22 School Level AAFTE'!$C:$Z,8,FALSE)</f>
        <v>Yes</v>
      </c>
      <c r="G1170" s="129" t="str">
        <f>VLOOKUP($C1170,'2021-22 School Level AAFTE'!$C:$Z,12,FALSE)</f>
        <v>No</v>
      </c>
      <c r="H1170" s="127">
        <f>VLOOKUP($C1170,'2021-22 School Level AAFTE'!$C:$I,7,FALSE)</f>
        <v>332</v>
      </c>
      <c r="I1170" s="112">
        <f>IFERROR(IF(OR(G1170="yes",F1170= "yes"),VLOOKUP(C1170,Summary!$B:$J,6,0),0),0)</f>
        <v>0</v>
      </c>
      <c r="J1170" s="111">
        <f t="shared" si="228"/>
        <v>332</v>
      </c>
      <c r="K1170" s="91">
        <f>VLOOKUP($A1170,'2022-23 Salary &amp; Benefits'!$A:$I,3,FALSE)</f>
        <v>1.1200000000000001</v>
      </c>
      <c r="L1170" s="91">
        <f>VLOOKUP($A1170,'2022-23 Salary &amp; Benefits'!$A:$I,4,FALSE)</f>
        <v>1.1200000000000001</v>
      </c>
      <c r="M1170" s="101">
        <f t="shared" si="223"/>
        <v>332</v>
      </c>
      <c r="N1170" s="24">
        <v>15</v>
      </c>
      <c r="O1170" s="26">
        <f t="shared" si="226"/>
        <v>22.133333333333333</v>
      </c>
      <c r="P1170" s="24">
        <v>1.1000000000000001</v>
      </c>
      <c r="Q1170" s="24">
        <v>36</v>
      </c>
      <c r="R1170" s="27">
        <f t="shared" si="227"/>
        <v>876.48</v>
      </c>
      <c r="S1170" s="102">
        <f t="shared" si="229"/>
        <v>0.97399999999999998</v>
      </c>
      <c r="T1170" s="21">
        <f>VLOOKUP($A1170,'2022-23 Salary &amp; Benefits'!$A:$I,5,FALSE)</f>
        <v>68937</v>
      </c>
      <c r="U1170" s="21">
        <f>VLOOKUP($A1170,'2022-23 Salary &amp; Benefits'!$A:$I,6,FALSE)</f>
        <v>72728</v>
      </c>
      <c r="V1170" s="22">
        <f t="shared" si="230"/>
        <v>75201.990000000005</v>
      </c>
      <c r="W1170" s="22">
        <f t="shared" si="231"/>
        <v>4135.5299999999988</v>
      </c>
      <c r="X1170" s="22">
        <f>'2022-23 Salary &amp; Benefits'!$G$6</f>
        <v>12558.24</v>
      </c>
      <c r="Y1170" s="23">
        <f>'2022-23 Salary &amp; Benefits'!$H$6</f>
        <v>0.2298</v>
      </c>
      <c r="Z1170" s="23">
        <f>'2022-23 Salary &amp; Benefits'!$I$6</f>
        <v>0.22339999999999999</v>
      </c>
      <c r="AA1170" s="22">
        <f t="shared" si="232"/>
        <v>30437.02</v>
      </c>
      <c r="AB1170" s="22">
        <f t="shared" si="233"/>
        <v>1322.29</v>
      </c>
      <c r="AC1170" s="22">
        <f t="shared" si="234"/>
        <v>295.39999999999998</v>
      </c>
      <c r="AD1170" s="22">
        <f t="shared" si="224"/>
        <v>1617.69</v>
      </c>
      <c r="AE1170" s="22">
        <f t="shared" si="225"/>
        <v>111392.23000000001</v>
      </c>
      <c r="AF1170" s="19" t="str">
        <f>VLOOKUP(C1170,'2021-22 School Level AAFTE'!C:N,12,FALSE)</f>
        <v>No</v>
      </c>
    </row>
    <row r="1171" spans="1:32" s="5" customFormat="1">
      <c r="A1171" s="97" t="s">
        <v>2466</v>
      </c>
      <c r="B1171" s="97" t="s">
        <v>1575</v>
      </c>
      <c r="C1171" s="95">
        <v>3001</v>
      </c>
      <c r="D1171" s="95" t="s">
        <v>1577</v>
      </c>
      <c r="E1171" s="129">
        <f>VLOOKUP($C1171,'2021-22 School Level AAFTE'!$C:$Z,11,FALSE)</f>
        <v>0.60040000000000004</v>
      </c>
      <c r="F1171" s="129" t="str">
        <f>VLOOKUP($C1171,'2021-22 School Level AAFTE'!$C:$Z,8,FALSE)</f>
        <v>Yes</v>
      </c>
      <c r="G1171" s="129" t="str">
        <f>VLOOKUP($C1171,'2021-22 School Level AAFTE'!$C:$Z,12,FALSE)</f>
        <v>No</v>
      </c>
      <c r="H1171" s="127">
        <f>VLOOKUP($C1171,'2021-22 School Level AAFTE'!$C:$I,7,FALSE)</f>
        <v>535.14</v>
      </c>
      <c r="I1171" s="112">
        <f>IFERROR(IF(OR(G1171="yes",F1171= "yes"),VLOOKUP(C1171,Summary!$B:$J,6,0),0),0)</f>
        <v>0</v>
      </c>
      <c r="J1171" s="111">
        <f t="shared" si="228"/>
        <v>535.14</v>
      </c>
      <c r="K1171" s="91">
        <f>VLOOKUP($A1171,'2022-23 Salary &amp; Benefits'!$A:$I,3,FALSE)</f>
        <v>1.1200000000000001</v>
      </c>
      <c r="L1171" s="91">
        <f>VLOOKUP($A1171,'2022-23 Salary &amp; Benefits'!$A:$I,4,FALSE)</f>
        <v>1.1200000000000001</v>
      </c>
      <c r="M1171" s="39">
        <f t="shared" si="223"/>
        <v>535.14</v>
      </c>
      <c r="N1171" s="24">
        <v>15</v>
      </c>
      <c r="O1171" s="26">
        <f t="shared" si="226"/>
        <v>35.676000000000002</v>
      </c>
      <c r="P1171" s="24">
        <v>1.1000000000000001</v>
      </c>
      <c r="Q1171" s="24">
        <v>36</v>
      </c>
      <c r="R1171" s="27">
        <f t="shared" si="227"/>
        <v>1412.7696000000003</v>
      </c>
      <c r="S1171" s="102">
        <f t="shared" si="229"/>
        <v>1.57</v>
      </c>
      <c r="T1171" s="21">
        <f>VLOOKUP($A1171,'2022-23 Salary &amp; Benefits'!$A:$I,5,FALSE)</f>
        <v>68937</v>
      </c>
      <c r="U1171" s="21">
        <f>VLOOKUP($A1171,'2022-23 Salary &amp; Benefits'!$A:$I,6,FALSE)</f>
        <v>72728</v>
      </c>
      <c r="V1171" s="22">
        <f t="shared" si="230"/>
        <v>121218.82</v>
      </c>
      <c r="W1171" s="22">
        <f t="shared" si="231"/>
        <v>6666.0999999999913</v>
      </c>
      <c r="X1171" s="22">
        <f>'2022-23 Salary &amp; Benefits'!$G$6</f>
        <v>12558.24</v>
      </c>
      <c r="Y1171" s="23">
        <f>'2022-23 Salary &amp; Benefits'!$H$6</f>
        <v>0.2298</v>
      </c>
      <c r="Z1171" s="23">
        <f>'2022-23 Salary &amp; Benefits'!$I$6</f>
        <v>0.22339999999999999</v>
      </c>
      <c r="AA1171" s="22">
        <f t="shared" si="232"/>
        <v>49061.73</v>
      </c>
      <c r="AB1171" s="22">
        <f t="shared" si="233"/>
        <v>2131.42</v>
      </c>
      <c r="AC1171" s="22">
        <f t="shared" si="234"/>
        <v>476.16</v>
      </c>
      <c r="AD1171" s="22">
        <f t="shared" si="224"/>
        <v>2607.58</v>
      </c>
      <c r="AE1171" s="22">
        <f t="shared" si="225"/>
        <v>179554.23</v>
      </c>
      <c r="AF1171" s="19" t="str">
        <f>VLOOKUP(C1171,'2021-22 School Level AAFTE'!C:N,12,FALSE)</f>
        <v>No</v>
      </c>
    </row>
    <row r="1172" spans="1:32" s="5" customFormat="1">
      <c r="A1172" s="97" t="s">
        <v>2466</v>
      </c>
      <c r="B1172" s="97" t="s">
        <v>1575</v>
      </c>
      <c r="C1172" s="95">
        <v>3183</v>
      </c>
      <c r="D1172" s="95" t="s">
        <v>79</v>
      </c>
      <c r="E1172" s="129">
        <f>VLOOKUP($C1172,'2021-22 School Level AAFTE'!$C:$Z,11,FALSE)</f>
        <v>0.62080000000000002</v>
      </c>
      <c r="F1172" s="129" t="str">
        <f>VLOOKUP($C1172,'2021-22 School Level AAFTE'!$C:$Z,8,FALSE)</f>
        <v>Yes</v>
      </c>
      <c r="G1172" s="129" t="str">
        <f>VLOOKUP($C1172,'2021-22 School Level AAFTE'!$C:$Z,12,FALSE)</f>
        <v>No</v>
      </c>
      <c r="H1172" s="127">
        <f>VLOOKUP($C1172,'2021-22 School Level AAFTE'!$C:$I,7,FALSE)</f>
        <v>458.05</v>
      </c>
      <c r="I1172" s="112">
        <f>IFERROR(IF(OR(G1172="yes",F1172= "yes"),VLOOKUP(C1172,Summary!$B:$J,6,0),0),0)</f>
        <v>0</v>
      </c>
      <c r="J1172" s="111">
        <f t="shared" si="228"/>
        <v>458.05</v>
      </c>
      <c r="K1172" s="91">
        <f>VLOOKUP($A1172,'2022-23 Salary &amp; Benefits'!$A:$I,3,FALSE)</f>
        <v>1.1200000000000001</v>
      </c>
      <c r="L1172" s="91">
        <f>VLOOKUP($A1172,'2022-23 Salary &amp; Benefits'!$A:$I,4,FALSE)</f>
        <v>1.1200000000000001</v>
      </c>
      <c r="M1172" s="39">
        <f t="shared" si="223"/>
        <v>458.05</v>
      </c>
      <c r="N1172" s="24">
        <v>15</v>
      </c>
      <c r="O1172" s="26">
        <f t="shared" si="226"/>
        <v>30.536666666666669</v>
      </c>
      <c r="P1172" s="24">
        <v>1.1000000000000001</v>
      </c>
      <c r="Q1172" s="24">
        <v>36</v>
      </c>
      <c r="R1172" s="27">
        <f t="shared" si="227"/>
        <v>1209.2520000000002</v>
      </c>
      <c r="S1172" s="102">
        <f t="shared" si="229"/>
        <v>1.3440000000000001</v>
      </c>
      <c r="T1172" s="21">
        <f>VLOOKUP($A1172,'2022-23 Salary &amp; Benefits'!$A:$I,5,FALSE)</f>
        <v>68937</v>
      </c>
      <c r="U1172" s="21">
        <f>VLOOKUP($A1172,'2022-23 Salary &amp; Benefits'!$A:$I,6,FALSE)</f>
        <v>72728</v>
      </c>
      <c r="V1172" s="22">
        <f t="shared" si="230"/>
        <v>103769.49</v>
      </c>
      <c r="W1172" s="22">
        <f t="shared" si="231"/>
        <v>5706.5099999999948</v>
      </c>
      <c r="X1172" s="22">
        <f>'2022-23 Salary &amp; Benefits'!$G$6</f>
        <v>12558.24</v>
      </c>
      <c r="Y1172" s="23">
        <f>'2022-23 Salary &amp; Benefits'!$H$6</f>
        <v>0.2298</v>
      </c>
      <c r="Z1172" s="23">
        <f>'2022-23 Salary &amp; Benefits'!$I$6</f>
        <v>0.22339999999999999</v>
      </c>
      <c r="AA1172" s="22">
        <f t="shared" si="232"/>
        <v>41999.34</v>
      </c>
      <c r="AB1172" s="22">
        <f t="shared" si="233"/>
        <v>1824.6</v>
      </c>
      <c r="AC1172" s="22">
        <f t="shared" si="234"/>
        <v>407.62</v>
      </c>
      <c r="AD1172" s="22">
        <f t="shared" si="224"/>
        <v>2232.2199999999998</v>
      </c>
      <c r="AE1172" s="22">
        <f t="shared" si="225"/>
        <v>153707.56000000003</v>
      </c>
      <c r="AF1172" s="19" t="str">
        <f>VLOOKUP(C1172,'2021-22 School Level AAFTE'!C:N,12,FALSE)</f>
        <v>No</v>
      </c>
    </row>
    <row r="1173" spans="1:32" s="5" customFormat="1">
      <c r="A1173" s="97" t="s">
        <v>2466</v>
      </c>
      <c r="B1173" s="97" t="s">
        <v>1575</v>
      </c>
      <c r="C1173" s="95">
        <v>3821</v>
      </c>
      <c r="D1173" s="95" t="s">
        <v>1578</v>
      </c>
      <c r="E1173" s="129">
        <f>VLOOKUP($C1173,'2021-22 School Level AAFTE'!$C:$Z,11,FALSE)</f>
        <v>0.71566666666666656</v>
      </c>
      <c r="F1173" s="129" t="str">
        <f>VLOOKUP($C1173,'2021-22 School Level AAFTE'!$C:$Z,8,FALSE)</f>
        <v>Yes</v>
      </c>
      <c r="G1173" s="129" t="str">
        <f>VLOOKUP($C1173,'2021-22 School Level AAFTE'!$C:$Z,12,FALSE)</f>
        <v>No</v>
      </c>
      <c r="H1173" s="127">
        <f>VLOOKUP($C1173,'2021-22 School Level AAFTE'!$C:$I,7,FALSE)</f>
        <v>725.19</v>
      </c>
      <c r="I1173" s="112">
        <f>IFERROR(IF(OR(G1173="yes",F1173= "yes"),VLOOKUP(C1173,Summary!$B:$J,6,0),0),0)</f>
        <v>0</v>
      </c>
      <c r="J1173" s="111">
        <f t="shared" si="228"/>
        <v>725.19</v>
      </c>
      <c r="K1173" s="91">
        <f>VLOOKUP($A1173,'2022-23 Salary &amp; Benefits'!$A:$I,3,FALSE)</f>
        <v>1.1200000000000001</v>
      </c>
      <c r="L1173" s="91">
        <f>VLOOKUP($A1173,'2022-23 Salary &amp; Benefits'!$A:$I,4,FALSE)</f>
        <v>1.1200000000000001</v>
      </c>
      <c r="M1173" s="39">
        <f t="shared" si="223"/>
        <v>725.19</v>
      </c>
      <c r="N1173" s="24">
        <v>15</v>
      </c>
      <c r="O1173" s="26">
        <f t="shared" si="226"/>
        <v>48.346000000000004</v>
      </c>
      <c r="P1173" s="24">
        <v>1.1000000000000001</v>
      </c>
      <c r="Q1173" s="24">
        <v>36</v>
      </c>
      <c r="R1173" s="27">
        <f t="shared" si="227"/>
        <v>1914.5016000000003</v>
      </c>
      <c r="S1173" s="102">
        <f t="shared" si="229"/>
        <v>2.1269999999999998</v>
      </c>
      <c r="T1173" s="21">
        <f>VLOOKUP($A1173,'2022-23 Salary &amp; Benefits'!$A:$I,5,FALSE)</f>
        <v>68937</v>
      </c>
      <c r="U1173" s="21">
        <f>VLOOKUP($A1173,'2022-23 Salary &amp; Benefits'!$A:$I,6,FALSE)</f>
        <v>72728</v>
      </c>
      <c r="V1173" s="22">
        <f t="shared" si="230"/>
        <v>164224.48000000001</v>
      </c>
      <c r="W1173" s="22">
        <f t="shared" si="231"/>
        <v>9031.0699999999779</v>
      </c>
      <c r="X1173" s="22">
        <f>'2022-23 Salary &amp; Benefits'!$G$6</f>
        <v>12558.24</v>
      </c>
      <c r="Y1173" s="23">
        <f>'2022-23 Salary &amp; Benefits'!$H$6</f>
        <v>0.2298</v>
      </c>
      <c r="Z1173" s="23">
        <f>'2022-23 Salary &amp; Benefits'!$I$6</f>
        <v>0.22339999999999999</v>
      </c>
      <c r="AA1173" s="22">
        <f t="shared" si="232"/>
        <v>66467.7</v>
      </c>
      <c r="AB1173" s="22">
        <f t="shared" si="233"/>
        <v>2887.59</v>
      </c>
      <c r="AC1173" s="22">
        <f t="shared" si="234"/>
        <v>645.09</v>
      </c>
      <c r="AD1173" s="22">
        <f t="shared" si="224"/>
        <v>3532.6800000000003</v>
      </c>
      <c r="AE1173" s="22">
        <f t="shared" si="225"/>
        <v>243255.92999999996</v>
      </c>
      <c r="AF1173" s="19" t="str">
        <f>VLOOKUP(C1173,'2021-22 School Level AAFTE'!C:N,12,FALSE)</f>
        <v>No</v>
      </c>
    </row>
    <row r="1174" spans="1:32" s="5" customFormat="1">
      <c r="A1174" s="97" t="s">
        <v>2466</v>
      </c>
      <c r="B1174" s="97" t="s">
        <v>1575</v>
      </c>
      <c r="C1174" s="95">
        <v>3829</v>
      </c>
      <c r="D1174" s="95" t="s">
        <v>1579</v>
      </c>
      <c r="E1174" s="129">
        <f>VLOOKUP($C1174,'2021-22 School Level AAFTE'!$C:$Z,11,FALSE)</f>
        <v>0.45</v>
      </c>
      <c r="F1174" s="129" t="str">
        <f>VLOOKUP($C1174,'2021-22 School Level AAFTE'!$C:$Z,8,FALSE)</f>
        <v>No</v>
      </c>
      <c r="G1174" s="129" t="str">
        <f>VLOOKUP($C1174,'2021-22 School Level AAFTE'!$C:$Z,12,FALSE)</f>
        <v>No</v>
      </c>
      <c r="H1174" s="127">
        <f>VLOOKUP($C1174,'2021-22 School Level AAFTE'!$C:$I,7,FALSE)</f>
        <v>38.97</v>
      </c>
      <c r="I1174" s="112">
        <f>IFERROR(IF(OR(G1174="yes",F1174= "yes"),VLOOKUP(C1174,Summary!$B:$J,6,0),0),0)</f>
        <v>0</v>
      </c>
      <c r="J1174" s="111">
        <f t="shared" si="228"/>
        <v>0</v>
      </c>
      <c r="K1174" s="91">
        <f>VLOOKUP($A1174,'2022-23 Salary &amp; Benefits'!$A:$I,3,FALSE)</f>
        <v>1.1200000000000001</v>
      </c>
      <c r="L1174" s="91">
        <f>VLOOKUP($A1174,'2022-23 Salary &amp; Benefits'!$A:$I,4,FALSE)</f>
        <v>1.1200000000000001</v>
      </c>
      <c r="M1174" s="39">
        <f t="shared" si="223"/>
        <v>0</v>
      </c>
      <c r="N1174" s="24">
        <v>15</v>
      </c>
      <c r="O1174" s="26">
        <f t="shared" si="226"/>
        <v>0</v>
      </c>
      <c r="P1174" s="24">
        <v>1.1000000000000001</v>
      </c>
      <c r="Q1174" s="24">
        <v>36</v>
      </c>
      <c r="R1174" s="27">
        <f t="shared" si="227"/>
        <v>0</v>
      </c>
      <c r="S1174" s="102">
        <f t="shared" si="229"/>
        <v>0</v>
      </c>
      <c r="T1174" s="21">
        <f>VLOOKUP($A1174,'2022-23 Salary &amp; Benefits'!$A:$I,5,FALSE)</f>
        <v>68937</v>
      </c>
      <c r="U1174" s="21">
        <f>VLOOKUP($A1174,'2022-23 Salary &amp; Benefits'!$A:$I,6,FALSE)</f>
        <v>72728</v>
      </c>
      <c r="V1174" s="22">
        <f t="shared" si="230"/>
        <v>0</v>
      </c>
      <c r="W1174" s="22">
        <f t="shared" si="231"/>
        <v>0</v>
      </c>
      <c r="X1174" s="22">
        <f>'2022-23 Salary &amp; Benefits'!$G$6</f>
        <v>12558.24</v>
      </c>
      <c r="Y1174" s="23">
        <f>'2022-23 Salary &amp; Benefits'!$H$6</f>
        <v>0.2298</v>
      </c>
      <c r="Z1174" s="23">
        <f>'2022-23 Salary &amp; Benefits'!$I$6</f>
        <v>0.22339999999999999</v>
      </c>
      <c r="AA1174" s="22">
        <f t="shared" si="232"/>
        <v>0</v>
      </c>
      <c r="AB1174" s="22">
        <f t="shared" si="233"/>
        <v>0</v>
      </c>
      <c r="AC1174" s="22">
        <f t="shared" si="234"/>
        <v>0</v>
      </c>
      <c r="AD1174" s="22">
        <f t="shared" si="224"/>
        <v>0</v>
      </c>
      <c r="AE1174" s="22">
        <f t="shared" si="225"/>
        <v>0</v>
      </c>
      <c r="AF1174" s="19" t="str">
        <f>VLOOKUP(C1174,'2021-22 School Level AAFTE'!C:N,12,FALSE)</f>
        <v>No</v>
      </c>
    </row>
    <row r="1175" spans="1:32" s="5" customFormat="1">
      <c r="A1175" s="97" t="s">
        <v>2466</v>
      </c>
      <c r="B1175" s="97" t="s">
        <v>1575</v>
      </c>
      <c r="C1175" s="95">
        <v>4013</v>
      </c>
      <c r="D1175" s="95" t="s">
        <v>1580</v>
      </c>
      <c r="E1175" s="129">
        <f>VLOOKUP($C1175,'2021-22 School Level AAFTE'!$C:$Z,11,FALSE)</f>
        <v>0.62983333333333336</v>
      </c>
      <c r="F1175" s="129" t="str">
        <f>VLOOKUP($C1175,'2021-22 School Level AAFTE'!$C:$Z,8,FALSE)</f>
        <v>Yes</v>
      </c>
      <c r="G1175" s="129" t="str">
        <f>VLOOKUP($C1175,'2021-22 School Level AAFTE'!$C:$Z,12,FALSE)</f>
        <v>No</v>
      </c>
      <c r="H1175" s="127">
        <f>VLOOKUP($C1175,'2021-22 School Level AAFTE'!$C:$I,7,FALSE)</f>
        <v>395.3</v>
      </c>
      <c r="I1175" s="112">
        <f>IFERROR(IF(OR(G1175="yes",F1175= "yes"),VLOOKUP(C1175,Summary!$B:$J,6,0),0),0)</f>
        <v>0</v>
      </c>
      <c r="J1175" s="111">
        <f t="shared" si="228"/>
        <v>395.3</v>
      </c>
      <c r="K1175" s="91">
        <f>VLOOKUP($A1175,'2022-23 Salary &amp; Benefits'!$A:$I,3,FALSE)</f>
        <v>1.1200000000000001</v>
      </c>
      <c r="L1175" s="91">
        <f>VLOOKUP($A1175,'2022-23 Salary &amp; Benefits'!$A:$I,4,FALSE)</f>
        <v>1.1200000000000001</v>
      </c>
      <c r="M1175" s="39">
        <f t="shared" ref="M1175:M1237" si="235">IF(I1175&gt;0,I1175,J1175)</f>
        <v>395.3</v>
      </c>
      <c r="N1175" s="24">
        <v>15</v>
      </c>
      <c r="O1175" s="26">
        <f t="shared" si="226"/>
        <v>26.353333333333335</v>
      </c>
      <c r="P1175" s="24">
        <v>1.1000000000000001</v>
      </c>
      <c r="Q1175" s="24">
        <v>36</v>
      </c>
      <c r="R1175" s="27">
        <f t="shared" si="227"/>
        <v>1043.5920000000001</v>
      </c>
      <c r="S1175" s="102">
        <f t="shared" si="229"/>
        <v>1.1599999999999999</v>
      </c>
      <c r="T1175" s="21">
        <f>VLOOKUP($A1175,'2022-23 Salary &amp; Benefits'!$A:$I,5,FALSE)</f>
        <v>68937</v>
      </c>
      <c r="U1175" s="21">
        <f>VLOOKUP($A1175,'2022-23 Salary &amp; Benefits'!$A:$I,6,FALSE)</f>
        <v>72728</v>
      </c>
      <c r="V1175" s="22">
        <f t="shared" si="230"/>
        <v>89562.95</v>
      </c>
      <c r="W1175" s="22">
        <f t="shared" si="231"/>
        <v>4925.2700000000041</v>
      </c>
      <c r="X1175" s="22">
        <f>'2022-23 Salary &amp; Benefits'!$G$6</f>
        <v>12558.24</v>
      </c>
      <c r="Y1175" s="23">
        <f>'2022-23 Salary &amp; Benefits'!$H$6</f>
        <v>0.2298</v>
      </c>
      <c r="Z1175" s="23">
        <f>'2022-23 Salary &amp; Benefits'!$I$6</f>
        <v>0.22339999999999999</v>
      </c>
      <c r="AA1175" s="22">
        <f t="shared" si="232"/>
        <v>36249.43</v>
      </c>
      <c r="AB1175" s="22">
        <f t="shared" si="233"/>
        <v>1574.8</v>
      </c>
      <c r="AC1175" s="22">
        <f t="shared" si="234"/>
        <v>351.81</v>
      </c>
      <c r="AD1175" s="22">
        <f t="shared" ref="AD1175:AD1237" si="236">SUM(AB1175:AC1175)</f>
        <v>1926.61</v>
      </c>
      <c r="AE1175" s="22">
        <f t="shared" ref="AE1175:AE1237" si="237">SUM(AA1175,V1175:W1175,AD1175)</f>
        <v>132664.26</v>
      </c>
      <c r="AF1175" s="19" t="str">
        <f>VLOOKUP(C1175,'2021-22 School Level AAFTE'!C:N,12,FALSE)</f>
        <v>No</v>
      </c>
    </row>
    <row r="1176" spans="1:32" s="5" customFormat="1">
      <c r="A1176" s="97" t="s">
        <v>2466</v>
      </c>
      <c r="B1176" s="97" t="s">
        <v>1575</v>
      </c>
      <c r="C1176" s="95">
        <v>4329</v>
      </c>
      <c r="D1176" s="95" t="s">
        <v>2893</v>
      </c>
      <c r="E1176" s="129">
        <f>VLOOKUP($C1176,'2021-22 School Level AAFTE'!$C:$Z,11,FALSE)</f>
        <v>0.72460000000000002</v>
      </c>
      <c r="F1176" s="129" t="str">
        <f>VLOOKUP($C1176,'2021-22 School Level AAFTE'!$C:$Z,8,FALSE)</f>
        <v>Yes</v>
      </c>
      <c r="G1176" s="129" t="str">
        <f>VLOOKUP($C1176,'2021-22 School Level AAFTE'!$C:$Z,12,FALSE)</f>
        <v>No</v>
      </c>
      <c r="H1176" s="127">
        <f>VLOOKUP($C1176,'2021-22 School Level AAFTE'!$C:$I,7,FALSE)</f>
        <v>413.21</v>
      </c>
      <c r="I1176" s="112">
        <f>IFERROR(IF(OR(G1176="yes",F1176= "yes"),VLOOKUP(C1176,Summary!$B:$J,6,0),0),0)</f>
        <v>0</v>
      </c>
      <c r="J1176" s="111">
        <f t="shared" si="228"/>
        <v>413.21</v>
      </c>
      <c r="K1176" s="91">
        <f>VLOOKUP($A1176,'2022-23 Salary &amp; Benefits'!$A:$I,3,FALSE)</f>
        <v>1.1200000000000001</v>
      </c>
      <c r="L1176" s="91">
        <f>VLOOKUP($A1176,'2022-23 Salary &amp; Benefits'!$A:$I,4,FALSE)</f>
        <v>1.1200000000000001</v>
      </c>
      <c r="M1176" s="39">
        <f t="shared" si="235"/>
        <v>413.21</v>
      </c>
      <c r="N1176" s="24">
        <v>15</v>
      </c>
      <c r="O1176" s="26">
        <f t="shared" si="226"/>
        <v>27.547333333333331</v>
      </c>
      <c r="P1176" s="24">
        <v>1.1000000000000001</v>
      </c>
      <c r="Q1176" s="24">
        <v>36</v>
      </c>
      <c r="R1176" s="27">
        <f t="shared" si="227"/>
        <v>1090.8743999999999</v>
      </c>
      <c r="S1176" s="102">
        <f t="shared" si="229"/>
        <v>1.212</v>
      </c>
      <c r="T1176" s="21">
        <f>VLOOKUP($A1176,'2022-23 Salary &amp; Benefits'!$A:$I,5,FALSE)</f>
        <v>68937</v>
      </c>
      <c r="U1176" s="21">
        <f>VLOOKUP($A1176,'2022-23 Salary &amp; Benefits'!$A:$I,6,FALSE)</f>
        <v>72728</v>
      </c>
      <c r="V1176" s="22">
        <f t="shared" si="230"/>
        <v>93577.84</v>
      </c>
      <c r="W1176" s="22">
        <f t="shared" si="231"/>
        <v>5146.0599999999977</v>
      </c>
      <c r="X1176" s="22">
        <f>'2022-23 Salary &amp; Benefits'!$G$6</f>
        <v>12558.24</v>
      </c>
      <c r="Y1176" s="23">
        <f>'2022-23 Salary &amp; Benefits'!$H$6</f>
        <v>0.2298</v>
      </c>
      <c r="Z1176" s="23">
        <f>'2022-23 Salary &amp; Benefits'!$I$6</f>
        <v>0.22339999999999999</v>
      </c>
      <c r="AA1176" s="22">
        <f t="shared" si="232"/>
        <v>37874.400000000001</v>
      </c>
      <c r="AB1176" s="22">
        <f t="shared" si="233"/>
        <v>1645.4</v>
      </c>
      <c r="AC1176" s="22">
        <f t="shared" si="234"/>
        <v>367.58</v>
      </c>
      <c r="AD1176" s="22">
        <f t="shared" si="236"/>
        <v>2012.98</v>
      </c>
      <c r="AE1176" s="22">
        <f t="shared" si="237"/>
        <v>138611.28</v>
      </c>
      <c r="AF1176" s="19" t="str">
        <f>VLOOKUP(C1176,'2021-22 School Level AAFTE'!C:N,12,FALSE)</f>
        <v>No</v>
      </c>
    </row>
    <row r="1177" spans="1:32" s="5" customFormat="1">
      <c r="A1177" s="97" t="s">
        <v>2466</v>
      </c>
      <c r="B1177" s="97" t="s">
        <v>1575</v>
      </c>
      <c r="C1177" s="95">
        <v>4511</v>
      </c>
      <c r="D1177" s="95" t="s">
        <v>1581</v>
      </c>
      <c r="E1177" s="129">
        <f>VLOOKUP($C1177,'2021-22 School Level AAFTE'!$C:$Z,11,FALSE)</f>
        <v>0.66336666666666666</v>
      </c>
      <c r="F1177" s="129" t="str">
        <f>VLOOKUP($C1177,'2021-22 School Level AAFTE'!$C:$Z,8,FALSE)</f>
        <v>Yes</v>
      </c>
      <c r="G1177" s="129" t="str">
        <f>VLOOKUP($C1177,'2021-22 School Level AAFTE'!$C:$Z,12,FALSE)</f>
        <v>No</v>
      </c>
      <c r="H1177" s="127">
        <f>VLOOKUP($C1177,'2021-22 School Level AAFTE'!$C:$I,7,FALSE)</f>
        <v>662.75</v>
      </c>
      <c r="I1177" s="112">
        <f>IFERROR(IF(OR(G1177="yes",F1177= "yes"),VLOOKUP(C1177,Summary!$B:$J,6,0),0),0)</f>
        <v>0</v>
      </c>
      <c r="J1177" s="111">
        <f t="shared" si="228"/>
        <v>662.75</v>
      </c>
      <c r="K1177" s="91">
        <f>VLOOKUP($A1177,'2022-23 Salary &amp; Benefits'!$A:$I,3,FALSE)</f>
        <v>1.1200000000000001</v>
      </c>
      <c r="L1177" s="91">
        <f>VLOOKUP($A1177,'2022-23 Salary &amp; Benefits'!$A:$I,4,FALSE)</f>
        <v>1.1200000000000001</v>
      </c>
      <c r="M1177" s="39">
        <f t="shared" si="235"/>
        <v>662.75</v>
      </c>
      <c r="N1177" s="24">
        <v>15</v>
      </c>
      <c r="O1177" s="26">
        <f t="shared" si="226"/>
        <v>44.18333333333333</v>
      </c>
      <c r="P1177" s="24">
        <v>1.1000000000000001</v>
      </c>
      <c r="Q1177" s="24">
        <v>36</v>
      </c>
      <c r="R1177" s="27">
        <f t="shared" si="227"/>
        <v>1749.66</v>
      </c>
      <c r="S1177" s="102">
        <f t="shared" si="229"/>
        <v>1.944</v>
      </c>
      <c r="T1177" s="21">
        <f>VLOOKUP($A1177,'2022-23 Salary &amp; Benefits'!$A:$I,5,FALSE)</f>
        <v>68937</v>
      </c>
      <c r="U1177" s="21">
        <f>VLOOKUP($A1177,'2022-23 Salary &amp; Benefits'!$A:$I,6,FALSE)</f>
        <v>72728</v>
      </c>
      <c r="V1177" s="22">
        <f t="shared" si="230"/>
        <v>150095.15</v>
      </c>
      <c r="W1177" s="22">
        <f t="shared" si="231"/>
        <v>8254.070000000007</v>
      </c>
      <c r="X1177" s="22">
        <f>'2022-23 Salary &amp; Benefits'!$G$6</f>
        <v>12558.24</v>
      </c>
      <c r="Y1177" s="23">
        <f>'2022-23 Salary &amp; Benefits'!$H$6</f>
        <v>0.2298</v>
      </c>
      <c r="Z1177" s="23">
        <f>'2022-23 Salary &amp; Benefits'!$I$6</f>
        <v>0.22339999999999999</v>
      </c>
      <c r="AA1177" s="22">
        <f t="shared" si="232"/>
        <v>60749.04</v>
      </c>
      <c r="AB1177" s="22">
        <f t="shared" si="233"/>
        <v>2639.15</v>
      </c>
      <c r="AC1177" s="22">
        <f t="shared" si="234"/>
        <v>589.59</v>
      </c>
      <c r="AD1177" s="22">
        <f t="shared" si="236"/>
        <v>3228.7400000000002</v>
      </c>
      <c r="AE1177" s="22">
        <f t="shared" si="237"/>
        <v>222327</v>
      </c>
      <c r="AF1177" s="19" t="str">
        <f>VLOOKUP(C1177,'2021-22 School Level AAFTE'!C:N,12,FALSE)</f>
        <v>No</v>
      </c>
    </row>
    <row r="1178" spans="1:32" s="5" customFormat="1">
      <c r="A1178" s="97" t="s">
        <v>2466</v>
      </c>
      <c r="B1178" s="97" t="s">
        <v>1575</v>
      </c>
      <c r="C1178" s="95">
        <v>5589</v>
      </c>
      <c r="D1178" s="95" t="s">
        <v>2836</v>
      </c>
      <c r="E1178" s="129">
        <f>VLOOKUP($C1178,'2021-22 School Level AAFTE'!$C:$Z,11,FALSE)</f>
        <v>0.65169999999999995</v>
      </c>
      <c r="F1178" s="129" t="str">
        <f>VLOOKUP($C1178,'2021-22 School Level AAFTE'!$C:$Z,8,FALSE)</f>
        <v>Yes</v>
      </c>
      <c r="G1178" s="129" t="str">
        <f>VLOOKUP($C1178,'2021-22 School Level AAFTE'!$C:$Z,12,FALSE)</f>
        <v>No</v>
      </c>
      <c r="H1178" s="127">
        <f>VLOOKUP($C1178,'2021-22 School Level AAFTE'!$C:$I,7,FALSE)</f>
        <v>537.55999999999995</v>
      </c>
      <c r="I1178" s="112">
        <f>IFERROR(IF(OR(G1178="yes",F1178= "yes"),VLOOKUP(C1178,Summary!$B:$J,6,0),0),0)</f>
        <v>0</v>
      </c>
      <c r="J1178" s="111">
        <f t="shared" si="228"/>
        <v>537.55999999999995</v>
      </c>
      <c r="K1178" s="91">
        <f>VLOOKUP($A1178,'2022-23 Salary &amp; Benefits'!$A:$I,3,FALSE)</f>
        <v>1.1200000000000001</v>
      </c>
      <c r="L1178" s="91">
        <f>VLOOKUP($A1178,'2022-23 Salary &amp; Benefits'!$A:$I,4,FALSE)</f>
        <v>1.1200000000000001</v>
      </c>
      <c r="M1178" s="101">
        <f t="shared" si="235"/>
        <v>537.55999999999995</v>
      </c>
      <c r="N1178" s="24">
        <v>15</v>
      </c>
      <c r="O1178" s="26">
        <f t="shared" si="226"/>
        <v>35.837333333333326</v>
      </c>
      <c r="P1178" s="24">
        <v>1.1000000000000001</v>
      </c>
      <c r="Q1178" s="24">
        <v>36</v>
      </c>
      <c r="R1178" s="27">
        <f t="shared" si="227"/>
        <v>1419.1583999999998</v>
      </c>
      <c r="S1178" s="102">
        <f t="shared" si="229"/>
        <v>1.577</v>
      </c>
      <c r="T1178" s="21">
        <f>VLOOKUP($A1178,'2022-23 Salary &amp; Benefits'!$A:$I,5,FALSE)</f>
        <v>68937</v>
      </c>
      <c r="U1178" s="21">
        <f>VLOOKUP($A1178,'2022-23 Salary &amp; Benefits'!$A:$I,6,FALSE)</f>
        <v>72728</v>
      </c>
      <c r="V1178" s="22">
        <f t="shared" si="230"/>
        <v>121759.29</v>
      </c>
      <c r="W1178" s="22">
        <f t="shared" si="231"/>
        <v>6695.8100000000122</v>
      </c>
      <c r="X1178" s="22">
        <f>'2022-23 Salary &amp; Benefits'!$G$6</f>
        <v>12558.24</v>
      </c>
      <c r="Y1178" s="23">
        <f>'2022-23 Salary &amp; Benefits'!$H$6</f>
        <v>0.2298</v>
      </c>
      <c r="Z1178" s="23">
        <f>'2022-23 Salary &amp; Benefits'!$I$6</f>
        <v>0.22339999999999999</v>
      </c>
      <c r="AA1178" s="22">
        <f t="shared" si="232"/>
        <v>49280.47</v>
      </c>
      <c r="AB1178" s="22">
        <f t="shared" si="233"/>
        <v>2140.92</v>
      </c>
      <c r="AC1178" s="22">
        <f t="shared" si="234"/>
        <v>478.28</v>
      </c>
      <c r="AD1178" s="22">
        <f t="shared" si="236"/>
        <v>2619.1999999999998</v>
      </c>
      <c r="AE1178" s="22">
        <f t="shared" si="237"/>
        <v>180354.77000000002</v>
      </c>
      <c r="AF1178" s="19" t="str">
        <f>VLOOKUP(C1178,'2021-22 School Level AAFTE'!C:N,12,FALSE)</f>
        <v>No</v>
      </c>
    </row>
    <row r="1179" spans="1:32" s="5" customFormat="1">
      <c r="A1179" s="97" t="s">
        <v>2466</v>
      </c>
      <c r="B1179" s="97" t="s">
        <v>1575</v>
      </c>
      <c r="C1179" s="95">
        <v>5625</v>
      </c>
      <c r="D1179" s="95" t="s">
        <v>2892</v>
      </c>
      <c r="E1179" s="129">
        <f>VLOOKUP($C1179,'2021-22 School Level AAFTE'!$C:$Z,11,FALSE)</f>
        <v>0.69784999999999997</v>
      </c>
      <c r="F1179" s="129" t="str">
        <f>VLOOKUP($C1179,'2021-22 School Level AAFTE'!$C:$Z,8,FALSE)</f>
        <v>Yes</v>
      </c>
      <c r="G1179" s="129" t="str">
        <f>VLOOKUP($C1179,'2021-22 School Level AAFTE'!$C:$Z,12,FALSE)</f>
        <v>No</v>
      </c>
      <c r="H1179" s="127">
        <f>VLOOKUP($C1179,'2021-22 School Level AAFTE'!$C:$I,7,FALSE)</f>
        <v>86.51</v>
      </c>
      <c r="I1179" s="112">
        <f>IFERROR(IF(OR(G1179="yes",F1179= "yes"),VLOOKUP(C1179,Summary!$B:$J,6,0),0),0)</f>
        <v>0</v>
      </c>
      <c r="J1179" s="111">
        <f t="shared" si="228"/>
        <v>86.51</v>
      </c>
      <c r="K1179" s="91">
        <f>VLOOKUP($A1179,'2022-23 Salary &amp; Benefits'!$A:$I,3,FALSE)</f>
        <v>1.1200000000000001</v>
      </c>
      <c r="L1179" s="91">
        <f>VLOOKUP($A1179,'2022-23 Salary &amp; Benefits'!$A:$I,4,FALSE)</f>
        <v>1.1200000000000001</v>
      </c>
      <c r="M1179" s="101">
        <f t="shared" si="235"/>
        <v>86.51</v>
      </c>
      <c r="N1179" s="24">
        <v>15</v>
      </c>
      <c r="O1179" s="26">
        <f t="shared" si="226"/>
        <v>5.7673333333333341</v>
      </c>
      <c r="P1179" s="24">
        <v>1.1000000000000001</v>
      </c>
      <c r="Q1179" s="24">
        <v>36</v>
      </c>
      <c r="R1179" s="27">
        <f t="shared" si="227"/>
        <v>228.38640000000007</v>
      </c>
      <c r="S1179" s="102">
        <f t="shared" si="229"/>
        <v>0.254</v>
      </c>
      <c r="T1179" s="21">
        <f>VLOOKUP($A1179,'2022-23 Salary &amp; Benefits'!$A:$I,5,FALSE)</f>
        <v>68937</v>
      </c>
      <c r="U1179" s="21">
        <f>VLOOKUP($A1179,'2022-23 Salary &amp; Benefits'!$A:$I,6,FALSE)</f>
        <v>72728</v>
      </c>
      <c r="V1179" s="22">
        <f t="shared" si="230"/>
        <v>19611.2</v>
      </c>
      <c r="W1179" s="22">
        <f t="shared" si="231"/>
        <v>1078.4599999999991</v>
      </c>
      <c r="X1179" s="22">
        <f>'2022-23 Salary &amp; Benefits'!$G$6</f>
        <v>12558.24</v>
      </c>
      <c r="Y1179" s="23">
        <f>'2022-23 Salary &amp; Benefits'!$H$6</f>
        <v>0.2298</v>
      </c>
      <c r="Z1179" s="23">
        <f>'2022-23 Salary &amp; Benefits'!$I$6</f>
        <v>0.22339999999999999</v>
      </c>
      <c r="AA1179" s="22">
        <f t="shared" si="232"/>
        <v>7937.37</v>
      </c>
      <c r="AB1179" s="22">
        <f t="shared" si="233"/>
        <v>344.83</v>
      </c>
      <c r="AC1179" s="22">
        <f t="shared" si="234"/>
        <v>77.040000000000006</v>
      </c>
      <c r="AD1179" s="22">
        <f t="shared" si="236"/>
        <v>421.87</v>
      </c>
      <c r="AE1179" s="22">
        <f t="shared" si="237"/>
        <v>29048.899999999998</v>
      </c>
      <c r="AF1179" s="19" t="str">
        <f>VLOOKUP(C1179,'2021-22 School Level AAFTE'!C:N,12,FALSE)</f>
        <v>No</v>
      </c>
    </row>
    <row r="1180" spans="1:32" s="5" customFormat="1">
      <c r="A1180" s="97" t="s">
        <v>2466</v>
      </c>
      <c r="B1180" s="97" t="s">
        <v>1575</v>
      </c>
      <c r="C1180" s="95">
        <v>5960</v>
      </c>
      <c r="D1180" s="95" t="s">
        <v>1583</v>
      </c>
      <c r="E1180" s="129">
        <f>VLOOKUP($C1180,'2021-22 School Level AAFTE'!$C:$Z,11,FALSE)</f>
        <v>0.22123333333333331</v>
      </c>
      <c r="F1180" s="129" t="str">
        <f>VLOOKUP($C1180,'2021-22 School Level AAFTE'!$C:$Z,8,FALSE)</f>
        <v>No</v>
      </c>
      <c r="G1180" s="129" t="str">
        <f>VLOOKUP($C1180,'2021-22 School Level AAFTE'!$C:$Z,12,FALSE)</f>
        <v>No</v>
      </c>
      <c r="H1180" s="127">
        <f>VLOOKUP($C1180,'2021-22 School Level AAFTE'!$C:$I,7,FALSE)</f>
        <v>191.28</v>
      </c>
      <c r="I1180" s="112">
        <f>IFERROR(IF(OR(G1180="yes",F1180= "yes"),VLOOKUP(C1180,Summary!$B:$J,6,0),0),0)</f>
        <v>0</v>
      </c>
      <c r="J1180" s="111">
        <f t="shared" si="228"/>
        <v>0</v>
      </c>
      <c r="K1180" s="91">
        <f>VLOOKUP($A1180,'2022-23 Salary &amp; Benefits'!$A:$I,3,FALSE)</f>
        <v>1.1200000000000001</v>
      </c>
      <c r="L1180" s="91">
        <f>VLOOKUP($A1180,'2022-23 Salary &amp; Benefits'!$A:$I,4,FALSE)</f>
        <v>1.1200000000000001</v>
      </c>
      <c r="M1180" s="39">
        <f t="shared" si="235"/>
        <v>0</v>
      </c>
      <c r="N1180" s="24">
        <v>15</v>
      </c>
      <c r="O1180" s="26">
        <f t="shared" si="226"/>
        <v>0</v>
      </c>
      <c r="P1180" s="24">
        <v>1.1000000000000001</v>
      </c>
      <c r="Q1180" s="24">
        <v>36</v>
      </c>
      <c r="R1180" s="27">
        <f t="shared" si="227"/>
        <v>0</v>
      </c>
      <c r="S1180" s="102">
        <f t="shared" si="229"/>
        <v>0</v>
      </c>
      <c r="T1180" s="21">
        <f>VLOOKUP($A1180,'2022-23 Salary &amp; Benefits'!$A:$I,5,FALSE)</f>
        <v>68937</v>
      </c>
      <c r="U1180" s="21">
        <f>VLOOKUP($A1180,'2022-23 Salary &amp; Benefits'!$A:$I,6,FALSE)</f>
        <v>72728</v>
      </c>
      <c r="V1180" s="22">
        <f t="shared" si="230"/>
        <v>0</v>
      </c>
      <c r="W1180" s="22">
        <f t="shared" si="231"/>
        <v>0</v>
      </c>
      <c r="X1180" s="22">
        <f>'2022-23 Salary &amp; Benefits'!$G$6</f>
        <v>12558.24</v>
      </c>
      <c r="Y1180" s="23">
        <f>'2022-23 Salary &amp; Benefits'!$H$6</f>
        <v>0.2298</v>
      </c>
      <c r="Z1180" s="23">
        <f>'2022-23 Salary &amp; Benefits'!$I$6</f>
        <v>0.22339999999999999</v>
      </c>
      <c r="AA1180" s="22">
        <f t="shared" si="232"/>
        <v>0</v>
      </c>
      <c r="AB1180" s="22">
        <f t="shared" si="233"/>
        <v>0</v>
      </c>
      <c r="AC1180" s="22">
        <f t="shared" si="234"/>
        <v>0</v>
      </c>
      <c r="AD1180" s="22">
        <f t="shared" si="236"/>
        <v>0</v>
      </c>
      <c r="AE1180" s="22">
        <f t="shared" si="237"/>
        <v>0</v>
      </c>
      <c r="AF1180" s="19" t="str">
        <f>VLOOKUP(C1180,'2021-22 School Level AAFTE'!C:N,12,FALSE)</f>
        <v>No</v>
      </c>
    </row>
    <row r="1181" spans="1:32" s="5" customFormat="1">
      <c r="A1181" s="97" t="s">
        <v>2368</v>
      </c>
      <c r="B1181" s="97" t="s">
        <v>1012</v>
      </c>
      <c r="C1181" s="95">
        <v>1986</v>
      </c>
      <c r="D1181" s="95" t="s">
        <v>1013</v>
      </c>
      <c r="E1181" s="129">
        <f>VLOOKUP($C1181,'2021-22 School Level AAFTE'!$C:$Z,11,FALSE)</f>
        <v>0.76666666666666661</v>
      </c>
      <c r="F1181" s="129" t="str">
        <f>VLOOKUP($C1181,'2021-22 School Level AAFTE'!$C:$Z,8,FALSE)</f>
        <v>Yes</v>
      </c>
      <c r="G1181" s="129" t="str">
        <f>VLOOKUP($C1181,'2021-22 School Level AAFTE'!$C:$Z,12,FALSE)</f>
        <v>No</v>
      </c>
      <c r="H1181" s="127">
        <f>VLOOKUP($C1181,'2021-22 School Level AAFTE'!$C:$I,7,FALSE)</f>
        <v>530.77</v>
      </c>
      <c r="I1181" s="112">
        <f>IFERROR(IF(OR(G1181="yes",F1181= "yes"),VLOOKUP(C1181,Summary!$B:$J,6,0),0),0)</f>
        <v>0</v>
      </c>
      <c r="J1181" s="111">
        <f t="shared" si="228"/>
        <v>530.77</v>
      </c>
      <c r="K1181" s="91">
        <f>VLOOKUP($A1181,'2022-23 Salary &amp; Benefits'!$A:$I,3,FALSE)</f>
        <v>1.1800000000000002</v>
      </c>
      <c r="L1181" s="91">
        <f>VLOOKUP($A1181,'2022-23 Salary &amp; Benefits'!$A:$I,4,FALSE)</f>
        <v>1.1800000000000002</v>
      </c>
      <c r="M1181" s="39">
        <f t="shared" si="235"/>
        <v>530.77</v>
      </c>
      <c r="N1181" s="24">
        <v>15</v>
      </c>
      <c r="O1181" s="26">
        <f t="shared" si="226"/>
        <v>35.384666666666668</v>
      </c>
      <c r="P1181" s="24">
        <v>1.1000000000000001</v>
      </c>
      <c r="Q1181" s="24">
        <v>36</v>
      </c>
      <c r="R1181" s="27">
        <f t="shared" si="227"/>
        <v>1401.2328000000002</v>
      </c>
      <c r="S1181" s="102">
        <f t="shared" si="229"/>
        <v>1.5569999999999999</v>
      </c>
      <c r="T1181" s="21">
        <f>VLOOKUP($A1181,'2022-23 Salary &amp; Benefits'!$A:$I,5,FALSE)</f>
        <v>68937</v>
      </c>
      <c r="U1181" s="21">
        <f>VLOOKUP($A1181,'2022-23 Salary &amp; Benefits'!$A:$I,6,FALSE)</f>
        <v>72728</v>
      </c>
      <c r="V1181" s="22">
        <f t="shared" si="230"/>
        <v>126655.19</v>
      </c>
      <c r="W1181" s="22">
        <f t="shared" si="231"/>
        <v>6965.0599999999977</v>
      </c>
      <c r="X1181" s="22">
        <f>'2022-23 Salary &amp; Benefits'!$G$6</f>
        <v>12558.24</v>
      </c>
      <c r="Y1181" s="23">
        <f>'2022-23 Salary &amp; Benefits'!$H$6</f>
        <v>0.2298</v>
      </c>
      <c r="Z1181" s="23">
        <f>'2022-23 Salary &amp; Benefits'!$I$6</f>
        <v>0.22339999999999999</v>
      </c>
      <c r="AA1181" s="22">
        <f t="shared" si="232"/>
        <v>50214.54</v>
      </c>
      <c r="AB1181" s="22">
        <f t="shared" si="233"/>
        <v>2227</v>
      </c>
      <c r="AC1181" s="22">
        <f t="shared" si="234"/>
        <v>497.51</v>
      </c>
      <c r="AD1181" s="22">
        <f t="shared" si="236"/>
        <v>2724.51</v>
      </c>
      <c r="AE1181" s="22">
        <f t="shared" si="237"/>
        <v>186559.30000000002</v>
      </c>
      <c r="AF1181" s="19" t="str">
        <f>VLOOKUP(C1181,'2021-22 School Level AAFTE'!C:N,12,FALSE)</f>
        <v>No</v>
      </c>
    </row>
    <row r="1182" spans="1:32" s="5" customFormat="1">
      <c r="A1182" s="97" t="s">
        <v>2474</v>
      </c>
      <c r="B1182" s="97" t="s">
        <v>1627</v>
      </c>
      <c r="C1182" s="95">
        <v>1848</v>
      </c>
      <c r="D1182" s="95" t="s">
        <v>27</v>
      </c>
      <c r="E1182" s="129">
        <f>VLOOKUP($C1182,'2021-22 School Level AAFTE'!$C:$Z,11,FALSE)</f>
        <v>0.29710000000000003</v>
      </c>
      <c r="F1182" s="129" t="str">
        <f>VLOOKUP($C1182,'2021-22 School Level AAFTE'!$C:$Z,8,FALSE)</f>
        <v>No</v>
      </c>
      <c r="G1182" s="129" t="str">
        <f>VLOOKUP($C1182,'2021-22 School Level AAFTE'!$C:$Z,12,FALSE)</f>
        <v>No</v>
      </c>
      <c r="H1182" s="127">
        <f>VLOOKUP($C1182,'2021-22 School Level AAFTE'!$C:$I,7,FALSE)</f>
        <v>26.45</v>
      </c>
      <c r="I1182" s="112">
        <f>IFERROR(IF(OR(G1182="yes",F1182= "yes"),VLOOKUP(C1182,Summary!$B:$J,6,0),0),0)</f>
        <v>0</v>
      </c>
      <c r="J1182" s="111">
        <f t="shared" si="228"/>
        <v>0</v>
      </c>
      <c r="K1182" s="91">
        <f>VLOOKUP($A1182,'2022-23 Salary &amp; Benefits'!$A:$I,3,FALSE)</f>
        <v>1.18</v>
      </c>
      <c r="L1182" s="91">
        <f>VLOOKUP($A1182,'2022-23 Salary &amp; Benefits'!$A:$I,4,FALSE)</f>
        <v>1.18</v>
      </c>
      <c r="M1182" s="101">
        <f t="shared" si="235"/>
        <v>0</v>
      </c>
      <c r="N1182" s="24">
        <v>15</v>
      </c>
      <c r="O1182" s="26">
        <f t="shared" si="226"/>
        <v>0</v>
      </c>
      <c r="P1182" s="24">
        <v>1.1000000000000001</v>
      </c>
      <c r="Q1182" s="24">
        <v>36</v>
      </c>
      <c r="R1182" s="27">
        <f t="shared" si="227"/>
        <v>0</v>
      </c>
      <c r="S1182" s="102">
        <f t="shared" si="229"/>
        <v>0</v>
      </c>
      <c r="T1182" s="21">
        <f>VLOOKUP($A1182,'2022-23 Salary &amp; Benefits'!$A:$I,5,FALSE)</f>
        <v>68937</v>
      </c>
      <c r="U1182" s="21">
        <f>VLOOKUP($A1182,'2022-23 Salary &amp; Benefits'!$A:$I,6,FALSE)</f>
        <v>72728</v>
      </c>
      <c r="V1182" s="22">
        <f t="shared" si="230"/>
        <v>0</v>
      </c>
      <c r="W1182" s="22">
        <f t="shared" si="231"/>
        <v>0</v>
      </c>
      <c r="X1182" s="22">
        <f>'2022-23 Salary &amp; Benefits'!$G$6</f>
        <v>12558.24</v>
      </c>
      <c r="Y1182" s="23">
        <f>'2022-23 Salary &amp; Benefits'!$H$6</f>
        <v>0.2298</v>
      </c>
      <c r="Z1182" s="23">
        <f>'2022-23 Salary &amp; Benefits'!$I$6</f>
        <v>0.22339999999999999</v>
      </c>
      <c r="AA1182" s="22">
        <f t="shared" si="232"/>
        <v>0</v>
      </c>
      <c r="AB1182" s="22">
        <f t="shared" si="233"/>
        <v>0</v>
      </c>
      <c r="AC1182" s="22">
        <f t="shared" si="234"/>
        <v>0</v>
      </c>
      <c r="AD1182" s="22">
        <f t="shared" si="236"/>
        <v>0</v>
      </c>
      <c r="AE1182" s="22">
        <f t="shared" si="237"/>
        <v>0</v>
      </c>
      <c r="AF1182" s="19" t="str">
        <f>VLOOKUP(C1182,'2021-22 School Level AAFTE'!C:N,12,FALSE)</f>
        <v>No</v>
      </c>
    </row>
    <row r="1183" spans="1:32" s="5" customFormat="1">
      <c r="A1183" s="97" t="s">
        <v>2474</v>
      </c>
      <c r="B1183" s="97" t="s">
        <v>1627</v>
      </c>
      <c r="C1183" s="95">
        <v>2886</v>
      </c>
      <c r="D1183" s="95" t="s">
        <v>1628</v>
      </c>
      <c r="E1183" s="129">
        <f>VLOOKUP($C1183,'2021-22 School Level AAFTE'!$C:$Z,11,FALSE)</f>
        <v>0.61053333333333326</v>
      </c>
      <c r="F1183" s="129" t="str">
        <f>VLOOKUP($C1183,'2021-22 School Level AAFTE'!$C:$Z,8,FALSE)</f>
        <v>Yes</v>
      </c>
      <c r="G1183" s="129" t="str">
        <f>VLOOKUP($C1183,'2021-22 School Level AAFTE'!$C:$Z,12,FALSE)</f>
        <v>No</v>
      </c>
      <c r="H1183" s="127">
        <f>VLOOKUP($C1183,'2021-22 School Level AAFTE'!$C:$I,7,FALSE)</f>
        <v>467</v>
      </c>
      <c r="I1183" s="112">
        <f>IFERROR(IF(OR(G1183="yes",F1183= "yes"),VLOOKUP(C1183,Summary!$B:$J,6,0),0),0)</f>
        <v>0</v>
      </c>
      <c r="J1183" s="111">
        <f t="shared" si="228"/>
        <v>467</v>
      </c>
      <c r="K1183" s="91">
        <f>VLOOKUP($A1183,'2022-23 Salary &amp; Benefits'!$A:$I,3,FALSE)</f>
        <v>1.18</v>
      </c>
      <c r="L1183" s="91">
        <f>VLOOKUP($A1183,'2022-23 Salary &amp; Benefits'!$A:$I,4,FALSE)</f>
        <v>1.18</v>
      </c>
      <c r="M1183" s="101">
        <f t="shared" si="235"/>
        <v>467</v>
      </c>
      <c r="N1183" s="24">
        <v>15</v>
      </c>
      <c r="O1183" s="26">
        <f t="shared" si="226"/>
        <v>31.133333333333333</v>
      </c>
      <c r="P1183" s="24">
        <v>1.1000000000000001</v>
      </c>
      <c r="Q1183" s="24">
        <v>36</v>
      </c>
      <c r="R1183" s="27">
        <f t="shared" si="227"/>
        <v>1232.8800000000001</v>
      </c>
      <c r="S1183" s="102">
        <f t="shared" si="229"/>
        <v>1.37</v>
      </c>
      <c r="T1183" s="21">
        <f>VLOOKUP($A1183,'2022-23 Salary &amp; Benefits'!$A:$I,5,FALSE)</f>
        <v>68937</v>
      </c>
      <c r="U1183" s="21">
        <f>VLOOKUP($A1183,'2022-23 Salary &amp; Benefits'!$A:$I,6,FALSE)</f>
        <v>72728</v>
      </c>
      <c r="V1183" s="22">
        <f t="shared" si="230"/>
        <v>111443.55</v>
      </c>
      <c r="W1183" s="22">
        <f t="shared" si="231"/>
        <v>6128.5299999999988</v>
      </c>
      <c r="X1183" s="22">
        <f>'2022-23 Salary &amp; Benefits'!$G$6</f>
        <v>12558.24</v>
      </c>
      <c r="Y1183" s="23">
        <f>'2022-23 Salary &amp; Benefits'!$H$6</f>
        <v>0.2298</v>
      </c>
      <c r="Z1183" s="23">
        <f>'2022-23 Salary &amp; Benefits'!$I$6</f>
        <v>0.22339999999999999</v>
      </c>
      <c r="AA1183" s="22">
        <f t="shared" si="232"/>
        <v>44183.63</v>
      </c>
      <c r="AB1183" s="22">
        <f t="shared" si="233"/>
        <v>1959.53</v>
      </c>
      <c r="AC1183" s="22">
        <f t="shared" si="234"/>
        <v>437.76</v>
      </c>
      <c r="AD1183" s="22">
        <f t="shared" si="236"/>
        <v>2397.29</v>
      </c>
      <c r="AE1183" s="22">
        <f t="shared" si="237"/>
        <v>164153</v>
      </c>
      <c r="AF1183" s="19" t="str">
        <f>VLOOKUP(C1183,'2021-22 School Level AAFTE'!C:N,12,FALSE)</f>
        <v>No</v>
      </c>
    </row>
    <row r="1184" spans="1:32" s="5" customFormat="1">
      <c r="A1184" s="97" t="s">
        <v>2474</v>
      </c>
      <c r="B1184" s="97" t="s">
        <v>1627</v>
      </c>
      <c r="C1184" s="95">
        <v>3120</v>
      </c>
      <c r="D1184" s="95" t="s">
        <v>1629</v>
      </c>
      <c r="E1184" s="129">
        <f>VLOOKUP($C1184,'2021-22 School Level AAFTE'!$C:$Z,11,FALSE)</f>
        <v>0.47263333333333329</v>
      </c>
      <c r="F1184" s="129" t="str">
        <f>VLOOKUP($C1184,'2021-22 School Level AAFTE'!$C:$Z,8,FALSE)</f>
        <v>No</v>
      </c>
      <c r="G1184" s="129" t="str">
        <f>VLOOKUP($C1184,'2021-22 School Level AAFTE'!$C:$Z,12,FALSE)</f>
        <v>No</v>
      </c>
      <c r="H1184" s="127">
        <f>VLOOKUP($C1184,'2021-22 School Level AAFTE'!$C:$I,7,FALSE)</f>
        <v>971.32</v>
      </c>
      <c r="I1184" s="112">
        <f>IFERROR(IF(OR(G1184="yes",F1184= "yes"),VLOOKUP(C1184,Summary!$B:$J,6,0),0),0)</f>
        <v>0</v>
      </c>
      <c r="J1184" s="111">
        <f t="shared" si="228"/>
        <v>0</v>
      </c>
      <c r="K1184" s="91">
        <f>VLOOKUP($A1184,'2022-23 Salary &amp; Benefits'!$A:$I,3,FALSE)</f>
        <v>1.18</v>
      </c>
      <c r="L1184" s="91">
        <f>VLOOKUP($A1184,'2022-23 Salary &amp; Benefits'!$A:$I,4,FALSE)</f>
        <v>1.18</v>
      </c>
      <c r="M1184" s="101">
        <f t="shared" si="235"/>
        <v>0</v>
      </c>
      <c r="N1184" s="24">
        <v>15</v>
      </c>
      <c r="O1184" s="26">
        <f t="shared" si="226"/>
        <v>0</v>
      </c>
      <c r="P1184" s="24">
        <v>1.1000000000000001</v>
      </c>
      <c r="Q1184" s="24">
        <v>36</v>
      </c>
      <c r="R1184" s="27">
        <f t="shared" si="227"/>
        <v>0</v>
      </c>
      <c r="S1184" s="102">
        <f t="shared" si="229"/>
        <v>0</v>
      </c>
      <c r="T1184" s="21">
        <f>VLOOKUP($A1184,'2022-23 Salary &amp; Benefits'!$A:$I,5,FALSE)</f>
        <v>68937</v>
      </c>
      <c r="U1184" s="21">
        <f>VLOOKUP($A1184,'2022-23 Salary &amp; Benefits'!$A:$I,6,FALSE)</f>
        <v>72728</v>
      </c>
      <c r="V1184" s="22">
        <f t="shared" si="230"/>
        <v>0</v>
      </c>
      <c r="W1184" s="22">
        <f t="shared" si="231"/>
        <v>0</v>
      </c>
      <c r="X1184" s="22">
        <f>'2022-23 Salary &amp; Benefits'!$G$6</f>
        <v>12558.24</v>
      </c>
      <c r="Y1184" s="23">
        <f>'2022-23 Salary &amp; Benefits'!$H$6</f>
        <v>0.2298</v>
      </c>
      <c r="Z1184" s="23">
        <f>'2022-23 Salary &amp; Benefits'!$I$6</f>
        <v>0.22339999999999999</v>
      </c>
      <c r="AA1184" s="22">
        <f t="shared" si="232"/>
        <v>0</v>
      </c>
      <c r="AB1184" s="22">
        <f t="shared" si="233"/>
        <v>0</v>
      </c>
      <c r="AC1184" s="22">
        <f t="shared" si="234"/>
        <v>0</v>
      </c>
      <c r="AD1184" s="22">
        <f t="shared" si="236"/>
        <v>0</v>
      </c>
      <c r="AE1184" s="22">
        <f t="shared" si="237"/>
        <v>0</v>
      </c>
      <c r="AF1184" s="19" t="str">
        <f>VLOOKUP(C1184,'2021-22 School Level AAFTE'!C:N,12,FALSE)</f>
        <v>No</v>
      </c>
    </row>
    <row r="1185" spans="1:32" s="5" customFormat="1">
      <c r="A1185" s="97" t="s">
        <v>2474</v>
      </c>
      <c r="B1185" s="97" t="s">
        <v>1627</v>
      </c>
      <c r="C1185" s="95">
        <v>3121</v>
      </c>
      <c r="D1185" s="95" t="s">
        <v>1630</v>
      </c>
      <c r="E1185" s="129">
        <f>VLOOKUP($C1185,'2021-22 School Level AAFTE'!$C:$Z,11,FALSE)</f>
        <v>0.62503333333333333</v>
      </c>
      <c r="F1185" s="129" t="str">
        <f>VLOOKUP($C1185,'2021-22 School Level AAFTE'!$C:$Z,8,FALSE)</f>
        <v>Yes</v>
      </c>
      <c r="G1185" s="129" t="str">
        <f>VLOOKUP($C1185,'2021-22 School Level AAFTE'!$C:$Z,12,FALSE)</f>
        <v>No</v>
      </c>
      <c r="H1185" s="127">
        <f>VLOOKUP($C1185,'2021-22 School Level AAFTE'!$C:$I,7,FALSE)</f>
        <v>516.42999999999995</v>
      </c>
      <c r="I1185" s="112">
        <f>IFERROR(IF(OR(G1185="yes",F1185= "yes"),VLOOKUP(C1185,Summary!$B:$J,6,0),0),0)</f>
        <v>0</v>
      </c>
      <c r="J1185" s="111">
        <f t="shared" si="228"/>
        <v>516.42999999999995</v>
      </c>
      <c r="K1185" s="91">
        <f>VLOOKUP($A1185,'2022-23 Salary &amp; Benefits'!$A:$I,3,FALSE)</f>
        <v>1.18</v>
      </c>
      <c r="L1185" s="91">
        <f>VLOOKUP($A1185,'2022-23 Salary &amp; Benefits'!$A:$I,4,FALSE)</f>
        <v>1.18</v>
      </c>
      <c r="M1185" s="39">
        <f t="shared" si="235"/>
        <v>516.42999999999995</v>
      </c>
      <c r="N1185" s="24">
        <v>15</v>
      </c>
      <c r="O1185" s="26">
        <f t="shared" si="226"/>
        <v>34.428666666666665</v>
      </c>
      <c r="P1185" s="24">
        <v>1.1000000000000001</v>
      </c>
      <c r="Q1185" s="24">
        <v>36</v>
      </c>
      <c r="R1185" s="27">
        <f t="shared" si="227"/>
        <v>1363.3751999999999</v>
      </c>
      <c r="S1185" s="102">
        <f t="shared" si="229"/>
        <v>1.5149999999999999</v>
      </c>
      <c r="T1185" s="21">
        <f>VLOOKUP($A1185,'2022-23 Salary &amp; Benefits'!$A:$I,5,FALSE)</f>
        <v>68937</v>
      </c>
      <c r="U1185" s="21">
        <f>VLOOKUP($A1185,'2022-23 Salary &amp; Benefits'!$A:$I,6,FALSE)</f>
        <v>72728</v>
      </c>
      <c r="V1185" s="22">
        <f t="shared" si="230"/>
        <v>123238.67</v>
      </c>
      <c r="W1185" s="22">
        <f t="shared" si="231"/>
        <v>6777.1800000000076</v>
      </c>
      <c r="X1185" s="22">
        <f>'2022-23 Salary &amp; Benefits'!$G$6</f>
        <v>12558.24</v>
      </c>
      <c r="Y1185" s="23">
        <f>'2022-23 Salary &amp; Benefits'!$H$6</f>
        <v>0.2298</v>
      </c>
      <c r="Z1185" s="23">
        <f>'2022-23 Salary &amp; Benefits'!$I$6</f>
        <v>0.22339999999999999</v>
      </c>
      <c r="AA1185" s="22">
        <f t="shared" si="232"/>
        <v>48860</v>
      </c>
      <c r="AB1185" s="22">
        <f t="shared" si="233"/>
        <v>2166.9299999999998</v>
      </c>
      <c r="AC1185" s="22">
        <f t="shared" si="234"/>
        <v>484.09</v>
      </c>
      <c r="AD1185" s="22">
        <f t="shared" si="236"/>
        <v>2651.02</v>
      </c>
      <c r="AE1185" s="22">
        <f t="shared" si="237"/>
        <v>181526.86999999997</v>
      </c>
      <c r="AF1185" s="19" t="str">
        <f>VLOOKUP(C1185,'2021-22 School Level AAFTE'!C:N,12,FALSE)</f>
        <v>No</v>
      </c>
    </row>
    <row r="1186" spans="1:32" s="5" customFormat="1">
      <c r="A1186" s="97" t="s">
        <v>2474</v>
      </c>
      <c r="B1186" s="97" t="s">
        <v>1627</v>
      </c>
      <c r="C1186" s="95">
        <v>3687</v>
      </c>
      <c r="D1186" s="95" t="s">
        <v>1631</v>
      </c>
      <c r="E1186" s="129">
        <f>VLOOKUP($C1186,'2021-22 School Level AAFTE'!$C:$Z,11,FALSE)</f>
        <v>0.42809999999999998</v>
      </c>
      <c r="F1186" s="129" t="str">
        <f>VLOOKUP($C1186,'2021-22 School Level AAFTE'!$C:$Z,8,FALSE)</f>
        <v>No</v>
      </c>
      <c r="G1186" s="129" t="str">
        <f>VLOOKUP($C1186,'2021-22 School Level AAFTE'!$C:$Z,12,FALSE)</f>
        <v>No</v>
      </c>
      <c r="H1186" s="127">
        <f>VLOOKUP($C1186,'2021-22 School Level AAFTE'!$C:$I,7,FALSE)</f>
        <v>436.22</v>
      </c>
      <c r="I1186" s="112">
        <f>IFERROR(IF(OR(G1186="yes",F1186= "yes"),VLOOKUP(C1186,Summary!$B:$J,6,0),0),0)</f>
        <v>0</v>
      </c>
      <c r="J1186" s="111">
        <f t="shared" si="228"/>
        <v>0</v>
      </c>
      <c r="K1186" s="91">
        <f>VLOOKUP($A1186,'2022-23 Salary &amp; Benefits'!$A:$I,3,FALSE)</f>
        <v>1.18</v>
      </c>
      <c r="L1186" s="91">
        <f>VLOOKUP($A1186,'2022-23 Salary &amp; Benefits'!$A:$I,4,FALSE)</f>
        <v>1.18</v>
      </c>
      <c r="M1186" s="39">
        <f t="shared" si="235"/>
        <v>0</v>
      </c>
      <c r="N1186" s="24">
        <v>15</v>
      </c>
      <c r="O1186" s="26">
        <f t="shared" si="226"/>
        <v>0</v>
      </c>
      <c r="P1186" s="24">
        <v>1.1000000000000001</v>
      </c>
      <c r="Q1186" s="24">
        <v>36</v>
      </c>
      <c r="R1186" s="27">
        <f t="shared" si="227"/>
        <v>0</v>
      </c>
      <c r="S1186" s="102">
        <f t="shared" si="229"/>
        <v>0</v>
      </c>
      <c r="T1186" s="21">
        <f>VLOOKUP($A1186,'2022-23 Salary &amp; Benefits'!$A:$I,5,FALSE)</f>
        <v>68937</v>
      </c>
      <c r="U1186" s="21">
        <f>VLOOKUP($A1186,'2022-23 Salary &amp; Benefits'!$A:$I,6,FALSE)</f>
        <v>72728</v>
      </c>
      <c r="V1186" s="22">
        <f t="shared" si="230"/>
        <v>0</v>
      </c>
      <c r="W1186" s="22">
        <f t="shared" si="231"/>
        <v>0</v>
      </c>
      <c r="X1186" s="22">
        <f>'2022-23 Salary &amp; Benefits'!$G$6</f>
        <v>12558.24</v>
      </c>
      <c r="Y1186" s="23">
        <f>'2022-23 Salary &amp; Benefits'!$H$6</f>
        <v>0.2298</v>
      </c>
      <c r="Z1186" s="23">
        <f>'2022-23 Salary &amp; Benefits'!$I$6</f>
        <v>0.22339999999999999</v>
      </c>
      <c r="AA1186" s="22">
        <f t="shared" si="232"/>
        <v>0</v>
      </c>
      <c r="AB1186" s="22">
        <f t="shared" si="233"/>
        <v>0</v>
      </c>
      <c r="AC1186" s="22">
        <f t="shared" si="234"/>
        <v>0</v>
      </c>
      <c r="AD1186" s="22">
        <f t="shared" si="236"/>
        <v>0</v>
      </c>
      <c r="AE1186" s="22">
        <f t="shared" si="237"/>
        <v>0</v>
      </c>
      <c r="AF1186" s="19" t="str">
        <f>VLOOKUP(C1186,'2021-22 School Level AAFTE'!C:N,12,FALSE)</f>
        <v>No</v>
      </c>
    </row>
    <row r="1187" spans="1:32" s="5" customFormat="1">
      <c r="A1187" s="97" t="s">
        <v>2474</v>
      </c>
      <c r="B1187" s="97" t="s">
        <v>1627</v>
      </c>
      <c r="C1187" s="95">
        <v>3688</v>
      </c>
      <c r="D1187" s="95" t="s">
        <v>1632</v>
      </c>
      <c r="E1187" s="129">
        <f>VLOOKUP($C1187,'2021-22 School Level AAFTE'!$C:$Z,11,FALSE)</f>
        <v>0.62556666666666672</v>
      </c>
      <c r="F1187" s="129" t="str">
        <f>VLOOKUP($C1187,'2021-22 School Level AAFTE'!$C:$Z,8,FALSE)</f>
        <v>Yes</v>
      </c>
      <c r="G1187" s="129" t="str">
        <f>VLOOKUP($C1187,'2021-22 School Level AAFTE'!$C:$Z,12,FALSE)</f>
        <v>No</v>
      </c>
      <c r="H1187" s="127">
        <f>VLOOKUP($C1187,'2021-22 School Level AAFTE'!$C:$I,7,FALSE)</f>
        <v>2093.27</v>
      </c>
      <c r="I1187" s="112">
        <f>IFERROR(IF(OR(G1187="yes",F1187= "yes"),VLOOKUP(C1187,Summary!$B:$J,6,0),0),0)</f>
        <v>0</v>
      </c>
      <c r="J1187" s="111">
        <f t="shared" si="228"/>
        <v>2093.27</v>
      </c>
      <c r="K1187" s="91">
        <f>VLOOKUP($A1187,'2022-23 Salary &amp; Benefits'!$A:$I,3,FALSE)</f>
        <v>1.18</v>
      </c>
      <c r="L1187" s="91">
        <f>VLOOKUP($A1187,'2022-23 Salary &amp; Benefits'!$A:$I,4,FALSE)</f>
        <v>1.18</v>
      </c>
      <c r="M1187" s="39">
        <f t="shared" si="235"/>
        <v>2093.27</v>
      </c>
      <c r="N1187" s="24">
        <v>15</v>
      </c>
      <c r="O1187" s="26">
        <f t="shared" si="226"/>
        <v>139.55133333333333</v>
      </c>
      <c r="P1187" s="24">
        <v>1.1000000000000001</v>
      </c>
      <c r="Q1187" s="24">
        <v>36</v>
      </c>
      <c r="R1187" s="27">
        <f t="shared" si="227"/>
        <v>5526.2328000000007</v>
      </c>
      <c r="S1187" s="102">
        <f t="shared" si="229"/>
        <v>6.14</v>
      </c>
      <c r="T1187" s="21">
        <f>VLOOKUP($A1187,'2022-23 Salary &amp; Benefits'!$A:$I,5,FALSE)</f>
        <v>68937</v>
      </c>
      <c r="U1187" s="21">
        <f>VLOOKUP($A1187,'2022-23 Salary &amp; Benefits'!$A:$I,6,FALSE)</f>
        <v>72728</v>
      </c>
      <c r="V1187" s="22">
        <f t="shared" si="230"/>
        <v>499462.35</v>
      </c>
      <c r="W1187" s="22">
        <f t="shared" si="231"/>
        <v>27466.560000000056</v>
      </c>
      <c r="X1187" s="22">
        <f>'2022-23 Salary &amp; Benefits'!$G$6</f>
        <v>12558.24</v>
      </c>
      <c r="Y1187" s="23">
        <f>'2022-23 Salary &amp; Benefits'!$H$6</f>
        <v>0.2298</v>
      </c>
      <c r="Z1187" s="23">
        <f>'2022-23 Salary &amp; Benefits'!$I$6</f>
        <v>0.22339999999999999</v>
      </c>
      <c r="AA1187" s="22">
        <f t="shared" si="232"/>
        <v>198020.07</v>
      </c>
      <c r="AB1187" s="22">
        <f t="shared" si="233"/>
        <v>8782.15</v>
      </c>
      <c r="AC1187" s="22">
        <f t="shared" si="234"/>
        <v>1961.93</v>
      </c>
      <c r="AD1187" s="22">
        <f t="shared" si="236"/>
        <v>10744.08</v>
      </c>
      <c r="AE1187" s="22">
        <f t="shared" si="237"/>
        <v>735693.05999999994</v>
      </c>
      <c r="AF1187" s="19" t="str">
        <f>VLOOKUP(C1187,'2021-22 School Level AAFTE'!C:N,12,FALSE)</f>
        <v>No</v>
      </c>
    </row>
    <row r="1188" spans="1:32" s="5" customFormat="1">
      <c r="A1188" s="97" t="s">
        <v>2474</v>
      </c>
      <c r="B1188" s="97" t="s">
        <v>1627</v>
      </c>
      <c r="C1188" s="95">
        <v>4019</v>
      </c>
      <c r="D1188" s="95" t="s">
        <v>2981</v>
      </c>
      <c r="E1188" s="129">
        <f>VLOOKUP($C1188,'2021-22 School Level AAFTE'!$C:$Z,11,FALSE)</f>
        <v>0</v>
      </c>
      <c r="F1188" s="129" t="str">
        <f>VLOOKUP($C1188,'2021-22 School Level AAFTE'!$C:$Z,8,FALSE)</f>
        <v>No</v>
      </c>
      <c r="G1188" s="129" t="str">
        <f>VLOOKUP($C1188,'2021-22 School Level AAFTE'!$C:$Z,12,FALSE)</f>
        <v>No</v>
      </c>
      <c r="H1188" s="127">
        <f>VLOOKUP($C1188,'2021-22 School Level AAFTE'!$C:$I,7,FALSE)</f>
        <v>478.25</v>
      </c>
      <c r="I1188" s="112">
        <f>IFERROR(IF(OR(G1188="yes",F1188= "yes"),VLOOKUP(C1188,Summary!$B:$J,6,0),0),0)</f>
        <v>0</v>
      </c>
      <c r="J1188" s="111">
        <f t="shared" si="228"/>
        <v>0</v>
      </c>
      <c r="K1188" s="91">
        <f>VLOOKUP($A1188,'2022-23 Salary &amp; Benefits'!$A:$I,3,FALSE)</f>
        <v>1.18</v>
      </c>
      <c r="L1188" s="91">
        <f>VLOOKUP($A1188,'2022-23 Salary &amp; Benefits'!$A:$I,4,FALSE)</f>
        <v>1.18</v>
      </c>
      <c r="M1188" s="39">
        <f t="shared" si="235"/>
        <v>0</v>
      </c>
      <c r="N1188" s="24">
        <v>15</v>
      </c>
      <c r="O1188" s="26">
        <f t="shared" si="226"/>
        <v>0</v>
      </c>
      <c r="P1188" s="24">
        <v>1.1000000000000001</v>
      </c>
      <c r="Q1188" s="24">
        <v>36</v>
      </c>
      <c r="R1188" s="27">
        <f t="shared" si="227"/>
        <v>0</v>
      </c>
      <c r="S1188" s="102">
        <f t="shared" si="229"/>
        <v>0</v>
      </c>
      <c r="T1188" s="21">
        <f>VLOOKUP($A1188,'2022-23 Salary &amp; Benefits'!$A:$I,5,FALSE)</f>
        <v>68937</v>
      </c>
      <c r="U1188" s="21">
        <f>VLOOKUP($A1188,'2022-23 Salary &amp; Benefits'!$A:$I,6,FALSE)</f>
        <v>72728</v>
      </c>
      <c r="V1188" s="22">
        <f t="shared" si="230"/>
        <v>0</v>
      </c>
      <c r="W1188" s="22">
        <f t="shared" si="231"/>
        <v>0</v>
      </c>
      <c r="X1188" s="22">
        <f>'2022-23 Salary &amp; Benefits'!$G$6</f>
        <v>12558.24</v>
      </c>
      <c r="Y1188" s="23">
        <f>'2022-23 Salary &amp; Benefits'!$H$6</f>
        <v>0.2298</v>
      </c>
      <c r="Z1188" s="23">
        <f>'2022-23 Salary &amp; Benefits'!$I$6</f>
        <v>0.22339999999999999</v>
      </c>
      <c r="AA1188" s="22">
        <f t="shared" si="232"/>
        <v>0</v>
      </c>
      <c r="AB1188" s="22">
        <f t="shared" si="233"/>
        <v>0</v>
      </c>
      <c r="AC1188" s="22">
        <f t="shared" si="234"/>
        <v>0</v>
      </c>
      <c r="AD1188" s="22">
        <f t="shared" si="236"/>
        <v>0</v>
      </c>
      <c r="AE1188" s="22">
        <f t="shared" si="237"/>
        <v>0</v>
      </c>
      <c r="AF1188" s="19" t="str">
        <f>VLOOKUP(C1188,'2021-22 School Level AAFTE'!C:N,12,FALSE)</f>
        <v>No</v>
      </c>
    </row>
    <row r="1189" spans="1:32" s="5" customFormat="1">
      <c r="A1189" s="97" t="s">
        <v>2474</v>
      </c>
      <c r="B1189" s="97" t="s">
        <v>1627</v>
      </c>
      <c r="C1189" s="95">
        <v>4164</v>
      </c>
      <c r="D1189" s="95" t="s">
        <v>1633</v>
      </c>
      <c r="E1189" s="129">
        <f>VLOOKUP($C1189,'2021-22 School Level AAFTE'!$C:$Z,11,FALSE)</f>
        <v>0.16436666666666666</v>
      </c>
      <c r="F1189" s="129" t="str">
        <f>VLOOKUP($C1189,'2021-22 School Level AAFTE'!$C:$Z,8,FALSE)</f>
        <v>No</v>
      </c>
      <c r="G1189" s="129" t="str">
        <f>VLOOKUP($C1189,'2021-22 School Level AAFTE'!$C:$Z,12,FALSE)</f>
        <v>No</v>
      </c>
      <c r="H1189" s="127">
        <f>VLOOKUP($C1189,'2021-22 School Level AAFTE'!$C:$I,7,FALSE)</f>
        <v>471</v>
      </c>
      <c r="I1189" s="112">
        <f>IFERROR(IF(OR(G1189="yes",F1189= "yes"),VLOOKUP(C1189,Summary!$B:$J,6,0),0),0)</f>
        <v>0</v>
      </c>
      <c r="J1189" s="111">
        <f t="shared" si="228"/>
        <v>0</v>
      </c>
      <c r="K1189" s="91">
        <f>VLOOKUP($A1189,'2022-23 Salary &amp; Benefits'!$A:$I,3,FALSE)</f>
        <v>1.18</v>
      </c>
      <c r="L1189" s="91">
        <f>VLOOKUP($A1189,'2022-23 Salary &amp; Benefits'!$A:$I,4,FALSE)</f>
        <v>1.18</v>
      </c>
      <c r="M1189" s="39">
        <f t="shared" si="235"/>
        <v>0</v>
      </c>
      <c r="N1189" s="24">
        <v>15</v>
      </c>
      <c r="O1189" s="26">
        <f t="shared" si="226"/>
        <v>0</v>
      </c>
      <c r="P1189" s="24">
        <v>1.1000000000000001</v>
      </c>
      <c r="Q1189" s="24">
        <v>36</v>
      </c>
      <c r="R1189" s="27">
        <f t="shared" si="227"/>
        <v>0</v>
      </c>
      <c r="S1189" s="102">
        <f t="shared" si="229"/>
        <v>0</v>
      </c>
      <c r="T1189" s="21">
        <f>VLOOKUP($A1189,'2022-23 Salary &amp; Benefits'!$A:$I,5,FALSE)</f>
        <v>68937</v>
      </c>
      <c r="U1189" s="21">
        <f>VLOOKUP($A1189,'2022-23 Salary &amp; Benefits'!$A:$I,6,FALSE)</f>
        <v>72728</v>
      </c>
      <c r="V1189" s="22">
        <f t="shared" si="230"/>
        <v>0</v>
      </c>
      <c r="W1189" s="22">
        <f t="shared" si="231"/>
        <v>0</v>
      </c>
      <c r="X1189" s="22">
        <f>'2022-23 Salary &amp; Benefits'!$G$6</f>
        <v>12558.24</v>
      </c>
      <c r="Y1189" s="23">
        <f>'2022-23 Salary &amp; Benefits'!$H$6</f>
        <v>0.2298</v>
      </c>
      <c r="Z1189" s="23">
        <f>'2022-23 Salary &amp; Benefits'!$I$6</f>
        <v>0.22339999999999999</v>
      </c>
      <c r="AA1189" s="22">
        <f t="shared" si="232"/>
        <v>0</v>
      </c>
      <c r="AB1189" s="22">
        <f t="shared" si="233"/>
        <v>0</v>
      </c>
      <c r="AC1189" s="22">
        <f t="shared" si="234"/>
        <v>0</v>
      </c>
      <c r="AD1189" s="22">
        <f t="shared" si="236"/>
        <v>0</v>
      </c>
      <c r="AE1189" s="22">
        <f t="shared" si="237"/>
        <v>0</v>
      </c>
      <c r="AF1189" s="19" t="str">
        <f>VLOOKUP(C1189,'2021-22 School Level AAFTE'!C:N,12,FALSE)</f>
        <v>No</v>
      </c>
    </row>
    <row r="1190" spans="1:32" s="5" customFormat="1">
      <c r="A1190" s="97" t="s">
        <v>2474</v>
      </c>
      <c r="B1190" s="97" t="s">
        <v>1627</v>
      </c>
      <c r="C1190" s="95">
        <v>4165</v>
      </c>
      <c r="D1190" s="95" t="s">
        <v>1634</v>
      </c>
      <c r="E1190" s="129">
        <f>VLOOKUP($C1190,'2021-22 School Level AAFTE'!$C:$Z,11,FALSE)</f>
        <v>0.31529999999999997</v>
      </c>
      <c r="F1190" s="129" t="str">
        <f>VLOOKUP($C1190,'2021-22 School Level AAFTE'!$C:$Z,8,FALSE)</f>
        <v>No</v>
      </c>
      <c r="G1190" s="129" t="str">
        <f>VLOOKUP($C1190,'2021-22 School Level AAFTE'!$C:$Z,12,FALSE)</f>
        <v>No</v>
      </c>
      <c r="H1190" s="127">
        <f>VLOOKUP($C1190,'2021-22 School Level AAFTE'!$C:$I,7,FALSE)</f>
        <v>397.43</v>
      </c>
      <c r="I1190" s="112">
        <f>IFERROR(IF(OR(G1190="yes",F1190= "yes"),VLOOKUP(C1190,Summary!$B:$J,6,0),0),0)</f>
        <v>0</v>
      </c>
      <c r="J1190" s="111">
        <f t="shared" si="228"/>
        <v>0</v>
      </c>
      <c r="K1190" s="91">
        <f>VLOOKUP($A1190,'2022-23 Salary &amp; Benefits'!$A:$I,3,FALSE)</f>
        <v>1.18</v>
      </c>
      <c r="L1190" s="91">
        <f>VLOOKUP($A1190,'2022-23 Salary &amp; Benefits'!$A:$I,4,FALSE)</f>
        <v>1.18</v>
      </c>
      <c r="M1190" s="39">
        <f t="shared" si="235"/>
        <v>0</v>
      </c>
      <c r="N1190" s="24">
        <v>15</v>
      </c>
      <c r="O1190" s="26">
        <f t="shared" si="226"/>
        <v>0</v>
      </c>
      <c r="P1190" s="24">
        <v>1.1000000000000001</v>
      </c>
      <c r="Q1190" s="24">
        <v>36</v>
      </c>
      <c r="R1190" s="27">
        <f t="shared" si="227"/>
        <v>0</v>
      </c>
      <c r="S1190" s="102">
        <f t="shared" si="229"/>
        <v>0</v>
      </c>
      <c r="T1190" s="21">
        <f>VLOOKUP($A1190,'2022-23 Salary &amp; Benefits'!$A:$I,5,FALSE)</f>
        <v>68937</v>
      </c>
      <c r="U1190" s="21">
        <f>VLOOKUP($A1190,'2022-23 Salary &amp; Benefits'!$A:$I,6,FALSE)</f>
        <v>72728</v>
      </c>
      <c r="V1190" s="22">
        <f t="shared" si="230"/>
        <v>0</v>
      </c>
      <c r="W1190" s="22">
        <f t="shared" si="231"/>
        <v>0</v>
      </c>
      <c r="X1190" s="22">
        <f>'2022-23 Salary &amp; Benefits'!$G$6</f>
        <v>12558.24</v>
      </c>
      <c r="Y1190" s="23">
        <f>'2022-23 Salary &amp; Benefits'!$H$6</f>
        <v>0.2298</v>
      </c>
      <c r="Z1190" s="23">
        <f>'2022-23 Salary &amp; Benefits'!$I$6</f>
        <v>0.22339999999999999</v>
      </c>
      <c r="AA1190" s="22">
        <f t="shared" si="232"/>
        <v>0</v>
      </c>
      <c r="AB1190" s="22">
        <f t="shared" si="233"/>
        <v>0</v>
      </c>
      <c r="AC1190" s="22">
        <f t="shared" si="234"/>
        <v>0</v>
      </c>
      <c r="AD1190" s="22">
        <f t="shared" si="236"/>
        <v>0</v>
      </c>
      <c r="AE1190" s="22">
        <f t="shared" si="237"/>
        <v>0</v>
      </c>
      <c r="AF1190" s="19" t="str">
        <f>VLOOKUP(C1190,'2021-22 School Level AAFTE'!C:N,12,FALSE)</f>
        <v>No</v>
      </c>
    </row>
    <row r="1191" spans="1:32" s="5" customFormat="1">
      <c r="A1191" s="97" t="s">
        <v>2474</v>
      </c>
      <c r="B1191" s="97" t="s">
        <v>1627</v>
      </c>
      <c r="C1191" s="95">
        <v>4231</v>
      </c>
      <c r="D1191" s="95" t="s">
        <v>1635</v>
      </c>
      <c r="E1191" s="129">
        <f>VLOOKUP($C1191,'2021-22 School Level AAFTE'!$C:$Z,11,FALSE)</f>
        <v>0.65533333333333343</v>
      </c>
      <c r="F1191" s="129" t="str">
        <f>VLOOKUP($C1191,'2021-22 School Level AAFTE'!$C:$Z,8,FALSE)</f>
        <v>Yes</v>
      </c>
      <c r="G1191" s="129" t="str">
        <f>VLOOKUP($C1191,'2021-22 School Level AAFTE'!$C:$Z,12,FALSE)</f>
        <v>No</v>
      </c>
      <c r="H1191" s="127">
        <f>VLOOKUP($C1191,'2021-22 School Level AAFTE'!$C:$I,7,FALSE)</f>
        <v>791.89</v>
      </c>
      <c r="I1191" s="112">
        <f>IFERROR(IF(OR(G1191="yes",F1191= "yes"),VLOOKUP(C1191,Summary!$B:$J,6,0),0),0)</f>
        <v>0</v>
      </c>
      <c r="J1191" s="111">
        <f t="shared" si="228"/>
        <v>791.89</v>
      </c>
      <c r="K1191" s="91">
        <f>VLOOKUP($A1191,'2022-23 Salary &amp; Benefits'!$A:$I,3,FALSE)</f>
        <v>1.18</v>
      </c>
      <c r="L1191" s="91">
        <f>VLOOKUP($A1191,'2022-23 Salary &amp; Benefits'!$A:$I,4,FALSE)</f>
        <v>1.18</v>
      </c>
      <c r="M1191" s="101">
        <f t="shared" si="235"/>
        <v>791.89</v>
      </c>
      <c r="N1191" s="24">
        <v>15</v>
      </c>
      <c r="O1191" s="26">
        <f t="shared" si="226"/>
        <v>52.792666666666669</v>
      </c>
      <c r="P1191" s="24">
        <v>1.1000000000000001</v>
      </c>
      <c r="Q1191" s="24">
        <v>36</v>
      </c>
      <c r="R1191" s="27">
        <f t="shared" si="227"/>
        <v>2090.5896000000002</v>
      </c>
      <c r="S1191" s="102">
        <f t="shared" si="229"/>
        <v>2.323</v>
      </c>
      <c r="T1191" s="21">
        <f>VLOOKUP($A1191,'2022-23 Salary &amp; Benefits'!$A:$I,5,FALSE)</f>
        <v>68937</v>
      </c>
      <c r="U1191" s="21">
        <f>VLOOKUP($A1191,'2022-23 Salary &amp; Benefits'!$A:$I,6,FALSE)</f>
        <v>72728</v>
      </c>
      <c r="V1191" s="22">
        <f t="shared" si="230"/>
        <v>188965.97</v>
      </c>
      <c r="W1191" s="22">
        <f t="shared" si="231"/>
        <v>10391.660000000003</v>
      </c>
      <c r="X1191" s="22">
        <f>'2022-23 Salary &amp; Benefits'!$G$6</f>
        <v>12558.24</v>
      </c>
      <c r="Y1191" s="23">
        <f>'2022-23 Salary &amp; Benefits'!$H$6</f>
        <v>0.2298</v>
      </c>
      <c r="Z1191" s="23">
        <f>'2022-23 Salary &amp; Benefits'!$I$6</f>
        <v>0.22339999999999999</v>
      </c>
      <c r="AA1191" s="22">
        <f t="shared" si="232"/>
        <v>74918.67</v>
      </c>
      <c r="AB1191" s="22">
        <f t="shared" si="233"/>
        <v>3322.63</v>
      </c>
      <c r="AC1191" s="22">
        <f t="shared" si="234"/>
        <v>742.28</v>
      </c>
      <c r="AD1191" s="22">
        <f t="shared" si="236"/>
        <v>4064.91</v>
      </c>
      <c r="AE1191" s="22">
        <f t="shared" si="237"/>
        <v>278341.21000000002</v>
      </c>
      <c r="AF1191" s="19" t="str">
        <f>VLOOKUP(C1191,'2021-22 School Level AAFTE'!C:N,12,FALSE)</f>
        <v>No</v>
      </c>
    </row>
    <row r="1192" spans="1:32" s="5" customFormat="1">
      <c r="A1192" s="97" t="s">
        <v>2474</v>
      </c>
      <c r="B1192" s="97" t="s">
        <v>1627</v>
      </c>
      <c r="C1192" s="95">
        <v>4247</v>
      </c>
      <c r="D1192" s="95" t="s">
        <v>1636</v>
      </c>
      <c r="E1192" s="129">
        <f>VLOOKUP($C1192,'2021-22 School Level AAFTE'!$C:$Z,11,FALSE)</f>
        <v>0.71649999999999991</v>
      </c>
      <c r="F1192" s="129" t="str">
        <f>VLOOKUP($C1192,'2021-22 School Level AAFTE'!$C:$Z,8,FALSE)</f>
        <v>Yes</v>
      </c>
      <c r="G1192" s="129" t="str">
        <f>VLOOKUP($C1192,'2021-22 School Level AAFTE'!$C:$Z,12,FALSE)</f>
        <v>No</v>
      </c>
      <c r="H1192" s="127">
        <f>VLOOKUP($C1192,'2021-22 School Level AAFTE'!$C:$I,7,FALSE)</f>
        <v>112.59</v>
      </c>
      <c r="I1192" s="112">
        <f>IFERROR(IF(OR(G1192="yes",F1192= "yes"),VLOOKUP(C1192,Summary!$B:$J,6,0),0),0)</f>
        <v>0</v>
      </c>
      <c r="J1192" s="111">
        <f t="shared" si="228"/>
        <v>112.59</v>
      </c>
      <c r="K1192" s="91">
        <f>VLOOKUP($A1192,'2022-23 Salary &amp; Benefits'!$A:$I,3,FALSE)</f>
        <v>1.18</v>
      </c>
      <c r="L1192" s="91">
        <f>VLOOKUP($A1192,'2022-23 Salary &amp; Benefits'!$A:$I,4,FALSE)</f>
        <v>1.18</v>
      </c>
      <c r="M1192" s="39">
        <f t="shared" si="235"/>
        <v>112.59</v>
      </c>
      <c r="N1192" s="24">
        <v>15</v>
      </c>
      <c r="O1192" s="26">
        <f t="shared" si="226"/>
        <v>7.5060000000000002</v>
      </c>
      <c r="P1192" s="24">
        <v>1.1000000000000001</v>
      </c>
      <c r="Q1192" s="24">
        <v>36</v>
      </c>
      <c r="R1192" s="27">
        <f t="shared" si="227"/>
        <v>297.23760000000004</v>
      </c>
      <c r="S1192" s="102">
        <f t="shared" si="229"/>
        <v>0.33</v>
      </c>
      <c r="T1192" s="21">
        <f>VLOOKUP($A1192,'2022-23 Salary &amp; Benefits'!$A:$I,5,FALSE)</f>
        <v>68937</v>
      </c>
      <c r="U1192" s="21">
        <f>VLOOKUP($A1192,'2022-23 Salary &amp; Benefits'!$A:$I,6,FALSE)</f>
        <v>72728</v>
      </c>
      <c r="V1192" s="22">
        <f t="shared" si="230"/>
        <v>26844.07</v>
      </c>
      <c r="W1192" s="22">
        <f t="shared" si="231"/>
        <v>1476.2099999999991</v>
      </c>
      <c r="X1192" s="22">
        <f>'2022-23 Salary &amp; Benefits'!$G$6</f>
        <v>12558.24</v>
      </c>
      <c r="Y1192" s="23">
        <f>'2022-23 Salary &amp; Benefits'!$H$6</f>
        <v>0.2298</v>
      </c>
      <c r="Z1192" s="23">
        <f>'2022-23 Salary &amp; Benefits'!$I$6</f>
        <v>0.22339999999999999</v>
      </c>
      <c r="AA1192" s="22">
        <f t="shared" si="232"/>
        <v>10642.77</v>
      </c>
      <c r="AB1192" s="22">
        <f t="shared" si="233"/>
        <v>472</v>
      </c>
      <c r="AC1192" s="22">
        <f t="shared" si="234"/>
        <v>105.44</v>
      </c>
      <c r="AD1192" s="22">
        <f t="shared" si="236"/>
        <v>577.44000000000005</v>
      </c>
      <c r="AE1192" s="22">
        <f t="shared" si="237"/>
        <v>39540.49</v>
      </c>
      <c r="AF1192" s="19" t="str">
        <f>VLOOKUP(C1192,'2021-22 School Level AAFTE'!C:N,12,FALSE)</f>
        <v>No</v>
      </c>
    </row>
    <row r="1193" spans="1:32" s="5" customFormat="1">
      <c r="A1193" s="97" t="s">
        <v>2474</v>
      </c>
      <c r="B1193" s="97" t="s">
        <v>1627</v>
      </c>
      <c r="C1193" s="95">
        <v>4303</v>
      </c>
      <c r="D1193" s="95" t="s">
        <v>860</v>
      </c>
      <c r="E1193" s="129">
        <f>VLOOKUP($C1193,'2021-22 School Level AAFTE'!$C:$Z,11,FALSE)</f>
        <v>0.70906666666666673</v>
      </c>
      <c r="F1193" s="129" t="str">
        <f>VLOOKUP($C1193,'2021-22 School Level AAFTE'!$C:$Z,8,FALSE)</f>
        <v>Yes</v>
      </c>
      <c r="G1193" s="129" t="str">
        <f>VLOOKUP($C1193,'2021-22 School Level AAFTE'!$C:$Z,12,FALSE)</f>
        <v>No</v>
      </c>
      <c r="H1193" s="127">
        <f>VLOOKUP($C1193,'2021-22 School Level AAFTE'!$C:$I,7,FALSE)</f>
        <v>519.53</v>
      </c>
      <c r="I1193" s="112">
        <f>IFERROR(IF(OR(G1193="yes",F1193= "yes"),VLOOKUP(C1193,Summary!$B:$J,6,0),0),0)</f>
        <v>0</v>
      </c>
      <c r="J1193" s="111">
        <f t="shared" si="228"/>
        <v>519.53</v>
      </c>
      <c r="K1193" s="91">
        <f>VLOOKUP($A1193,'2022-23 Salary &amp; Benefits'!$A:$I,3,FALSE)</f>
        <v>1.18</v>
      </c>
      <c r="L1193" s="91">
        <f>VLOOKUP($A1193,'2022-23 Salary &amp; Benefits'!$A:$I,4,FALSE)</f>
        <v>1.18</v>
      </c>
      <c r="M1193" s="39">
        <f t="shared" si="235"/>
        <v>519.53</v>
      </c>
      <c r="N1193" s="24">
        <v>15</v>
      </c>
      <c r="O1193" s="26">
        <f t="shared" si="226"/>
        <v>34.635333333333328</v>
      </c>
      <c r="P1193" s="24">
        <v>1.1000000000000001</v>
      </c>
      <c r="Q1193" s="24">
        <v>36</v>
      </c>
      <c r="R1193" s="27">
        <f t="shared" si="227"/>
        <v>1371.5591999999999</v>
      </c>
      <c r="S1193" s="102">
        <f t="shared" si="229"/>
        <v>1.524</v>
      </c>
      <c r="T1193" s="21">
        <f>VLOOKUP($A1193,'2022-23 Salary &amp; Benefits'!$A:$I,5,FALSE)</f>
        <v>68937</v>
      </c>
      <c r="U1193" s="21">
        <f>VLOOKUP($A1193,'2022-23 Salary &amp; Benefits'!$A:$I,6,FALSE)</f>
        <v>72728</v>
      </c>
      <c r="V1193" s="22">
        <f t="shared" si="230"/>
        <v>123970.79</v>
      </c>
      <c r="W1193" s="22">
        <f t="shared" si="231"/>
        <v>6817.4300000000076</v>
      </c>
      <c r="X1193" s="22">
        <f>'2022-23 Salary &amp; Benefits'!$G$6</f>
        <v>12558.24</v>
      </c>
      <c r="Y1193" s="23">
        <f>'2022-23 Salary &amp; Benefits'!$H$6</f>
        <v>0.2298</v>
      </c>
      <c r="Z1193" s="23">
        <f>'2022-23 Salary &amp; Benefits'!$I$6</f>
        <v>0.22339999999999999</v>
      </c>
      <c r="AA1193" s="22">
        <f t="shared" si="232"/>
        <v>49150.26</v>
      </c>
      <c r="AB1193" s="22">
        <f t="shared" si="233"/>
        <v>2179.8000000000002</v>
      </c>
      <c r="AC1193" s="22">
        <f t="shared" si="234"/>
        <v>486.97</v>
      </c>
      <c r="AD1193" s="22">
        <f t="shared" si="236"/>
        <v>2666.7700000000004</v>
      </c>
      <c r="AE1193" s="22">
        <f t="shared" si="237"/>
        <v>182605.24999999997</v>
      </c>
      <c r="AF1193" s="19" t="str">
        <f>VLOOKUP(C1193,'2021-22 School Level AAFTE'!C:N,12,FALSE)</f>
        <v>No</v>
      </c>
    </row>
    <row r="1194" spans="1:32" s="5" customFormat="1">
      <c r="A1194" s="97" t="s">
        <v>2474</v>
      </c>
      <c r="B1194" s="97" t="s">
        <v>1627</v>
      </c>
      <c r="C1194" s="95">
        <v>4304</v>
      </c>
      <c r="D1194" s="95" t="s">
        <v>862</v>
      </c>
      <c r="E1194" s="129">
        <f>VLOOKUP($C1194,'2021-22 School Level AAFTE'!$C:$Z,11,FALSE)</f>
        <v>0.63339999999999996</v>
      </c>
      <c r="F1194" s="129" t="str">
        <f>VLOOKUP($C1194,'2021-22 School Level AAFTE'!$C:$Z,8,FALSE)</f>
        <v>Yes</v>
      </c>
      <c r="G1194" s="129" t="str">
        <f>VLOOKUP($C1194,'2021-22 School Level AAFTE'!$C:$Z,12,FALSE)</f>
        <v>No</v>
      </c>
      <c r="H1194" s="127">
        <f>VLOOKUP($C1194,'2021-22 School Level AAFTE'!$C:$I,7,FALSE)</f>
        <v>532.63</v>
      </c>
      <c r="I1194" s="112">
        <f>IFERROR(IF(OR(G1194="yes",F1194= "yes"),VLOOKUP(C1194,Summary!$B:$J,6,0),0),0)</f>
        <v>0</v>
      </c>
      <c r="J1194" s="111">
        <f t="shared" si="228"/>
        <v>532.63</v>
      </c>
      <c r="K1194" s="91">
        <f>VLOOKUP($A1194,'2022-23 Salary &amp; Benefits'!$A:$I,3,FALSE)</f>
        <v>1.18</v>
      </c>
      <c r="L1194" s="91">
        <f>VLOOKUP($A1194,'2022-23 Salary &amp; Benefits'!$A:$I,4,FALSE)</f>
        <v>1.18</v>
      </c>
      <c r="M1194" s="39">
        <f t="shared" si="235"/>
        <v>532.63</v>
      </c>
      <c r="N1194" s="24">
        <v>15</v>
      </c>
      <c r="O1194" s="26">
        <f t="shared" si="226"/>
        <v>35.508666666666663</v>
      </c>
      <c r="P1194" s="24">
        <v>1.1000000000000001</v>
      </c>
      <c r="Q1194" s="24">
        <v>36</v>
      </c>
      <c r="R1194" s="27">
        <f t="shared" si="227"/>
        <v>1406.1432</v>
      </c>
      <c r="S1194" s="102">
        <f t="shared" si="229"/>
        <v>1.5620000000000001</v>
      </c>
      <c r="T1194" s="21">
        <f>VLOOKUP($A1194,'2022-23 Salary &amp; Benefits'!$A:$I,5,FALSE)</f>
        <v>68937</v>
      </c>
      <c r="U1194" s="21">
        <f>VLOOKUP($A1194,'2022-23 Salary &amp; Benefits'!$A:$I,6,FALSE)</f>
        <v>72728</v>
      </c>
      <c r="V1194" s="22">
        <f t="shared" si="230"/>
        <v>127061.92</v>
      </c>
      <c r="W1194" s="22">
        <f t="shared" si="231"/>
        <v>6987.4199999999983</v>
      </c>
      <c r="X1194" s="22">
        <f>'2022-23 Salary &amp; Benefits'!$G$6</f>
        <v>12558.24</v>
      </c>
      <c r="Y1194" s="23">
        <f>'2022-23 Salary &amp; Benefits'!$H$6</f>
        <v>0.2298</v>
      </c>
      <c r="Z1194" s="23">
        <f>'2022-23 Salary &amp; Benefits'!$I$6</f>
        <v>0.22339999999999999</v>
      </c>
      <c r="AA1194" s="22">
        <f t="shared" si="232"/>
        <v>50375.79</v>
      </c>
      <c r="AB1194" s="22">
        <f t="shared" si="233"/>
        <v>2234.16</v>
      </c>
      <c r="AC1194" s="22">
        <f t="shared" si="234"/>
        <v>499.11</v>
      </c>
      <c r="AD1194" s="22">
        <f t="shared" si="236"/>
        <v>2733.27</v>
      </c>
      <c r="AE1194" s="22">
        <f t="shared" si="237"/>
        <v>187158.39999999999</v>
      </c>
      <c r="AF1194" s="19" t="str">
        <f>VLOOKUP(C1194,'2021-22 School Level AAFTE'!C:N,12,FALSE)</f>
        <v>No</v>
      </c>
    </row>
    <row r="1195" spans="1:32" s="5" customFormat="1">
      <c r="A1195" s="97" t="s">
        <v>2474</v>
      </c>
      <c r="B1195" s="97" t="s">
        <v>1627</v>
      </c>
      <c r="C1195" s="95">
        <v>4342</v>
      </c>
      <c r="D1195" s="95" t="s">
        <v>1637</v>
      </c>
      <c r="E1195" s="129">
        <f>VLOOKUP($C1195,'2021-22 School Level AAFTE'!$C:$Z,11,FALSE)</f>
        <v>0.26613333333333333</v>
      </c>
      <c r="F1195" s="129" t="str">
        <f>VLOOKUP($C1195,'2021-22 School Level AAFTE'!$C:$Z,8,FALSE)</f>
        <v>No</v>
      </c>
      <c r="G1195" s="129" t="str">
        <f>VLOOKUP($C1195,'2021-22 School Level AAFTE'!$C:$Z,12,FALSE)</f>
        <v>No</v>
      </c>
      <c r="H1195" s="127">
        <f>VLOOKUP($C1195,'2021-22 School Level AAFTE'!$C:$I,7,FALSE)</f>
        <v>437.02</v>
      </c>
      <c r="I1195" s="112">
        <f>IFERROR(IF(OR(G1195="yes",F1195= "yes"),VLOOKUP(C1195,Summary!$B:$J,6,0),0),0)</f>
        <v>0</v>
      </c>
      <c r="J1195" s="111">
        <f t="shared" si="228"/>
        <v>0</v>
      </c>
      <c r="K1195" s="91">
        <f>VLOOKUP($A1195,'2022-23 Salary &amp; Benefits'!$A:$I,3,FALSE)</f>
        <v>1.18</v>
      </c>
      <c r="L1195" s="91">
        <f>VLOOKUP($A1195,'2022-23 Salary &amp; Benefits'!$A:$I,4,FALSE)</f>
        <v>1.18</v>
      </c>
      <c r="M1195" s="39">
        <f t="shared" si="235"/>
        <v>0</v>
      </c>
      <c r="N1195" s="24">
        <v>15</v>
      </c>
      <c r="O1195" s="26">
        <f t="shared" si="226"/>
        <v>0</v>
      </c>
      <c r="P1195" s="24">
        <v>1.1000000000000001</v>
      </c>
      <c r="Q1195" s="24">
        <v>36</v>
      </c>
      <c r="R1195" s="27">
        <f t="shared" si="227"/>
        <v>0</v>
      </c>
      <c r="S1195" s="102">
        <f t="shared" si="229"/>
        <v>0</v>
      </c>
      <c r="T1195" s="21">
        <f>VLOOKUP($A1195,'2022-23 Salary &amp; Benefits'!$A:$I,5,FALSE)</f>
        <v>68937</v>
      </c>
      <c r="U1195" s="21">
        <f>VLOOKUP($A1195,'2022-23 Salary &amp; Benefits'!$A:$I,6,FALSE)</f>
        <v>72728</v>
      </c>
      <c r="V1195" s="22">
        <f t="shared" si="230"/>
        <v>0</v>
      </c>
      <c r="W1195" s="22">
        <f t="shared" si="231"/>
        <v>0</v>
      </c>
      <c r="X1195" s="22">
        <f>'2022-23 Salary &amp; Benefits'!$G$6</f>
        <v>12558.24</v>
      </c>
      <c r="Y1195" s="23">
        <f>'2022-23 Salary &amp; Benefits'!$H$6</f>
        <v>0.2298</v>
      </c>
      <c r="Z1195" s="23">
        <f>'2022-23 Salary &amp; Benefits'!$I$6</f>
        <v>0.22339999999999999</v>
      </c>
      <c r="AA1195" s="22">
        <f t="shared" si="232"/>
        <v>0</v>
      </c>
      <c r="AB1195" s="22">
        <f t="shared" si="233"/>
        <v>0</v>
      </c>
      <c r="AC1195" s="22">
        <f t="shared" si="234"/>
        <v>0</v>
      </c>
      <c r="AD1195" s="22">
        <f t="shared" si="236"/>
        <v>0</v>
      </c>
      <c r="AE1195" s="22">
        <f t="shared" si="237"/>
        <v>0</v>
      </c>
      <c r="AF1195" s="19" t="str">
        <f>VLOOKUP(C1195,'2021-22 School Level AAFTE'!C:N,12,FALSE)</f>
        <v>No</v>
      </c>
    </row>
    <row r="1196" spans="1:32" s="5" customFormat="1">
      <c r="A1196" s="97" t="s">
        <v>2474</v>
      </c>
      <c r="B1196" s="97" t="s">
        <v>1627</v>
      </c>
      <c r="C1196" s="95">
        <v>4344</v>
      </c>
      <c r="D1196" s="95" t="s">
        <v>1638</v>
      </c>
      <c r="E1196" s="129">
        <f>VLOOKUP($C1196,'2021-22 School Level AAFTE'!$C:$Z,11,FALSE)</f>
        <v>0.75280000000000002</v>
      </c>
      <c r="F1196" s="129" t="str">
        <f>VLOOKUP($C1196,'2021-22 School Level AAFTE'!$C:$Z,8,FALSE)</f>
        <v>Yes</v>
      </c>
      <c r="G1196" s="129" t="str">
        <f>VLOOKUP($C1196,'2021-22 School Level AAFTE'!$C:$Z,12,FALSE)</f>
        <v>No</v>
      </c>
      <c r="H1196" s="127">
        <f>VLOOKUP($C1196,'2021-22 School Level AAFTE'!$C:$I,7,FALSE)</f>
        <v>545.42999999999995</v>
      </c>
      <c r="I1196" s="112">
        <f>IFERROR(IF(OR(G1196="yes",F1196= "yes"),VLOOKUP(C1196,Summary!$B:$J,6,0),0),0)</f>
        <v>0</v>
      </c>
      <c r="J1196" s="111">
        <f t="shared" si="228"/>
        <v>545.42999999999995</v>
      </c>
      <c r="K1196" s="91">
        <f>VLOOKUP($A1196,'2022-23 Salary &amp; Benefits'!$A:$I,3,FALSE)</f>
        <v>1.18</v>
      </c>
      <c r="L1196" s="91">
        <f>VLOOKUP($A1196,'2022-23 Salary &amp; Benefits'!$A:$I,4,FALSE)</f>
        <v>1.18</v>
      </c>
      <c r="M1196" s="39">
        <f t="shared" si="235"/>
        <v>545.42999999999995</v>
      </c>
      <c r="N1196" s="24">
        <v>15</v>
      </c>
      <c r="O1196" s="26">
        <f t="shared" si="226"/>
        <v>36.361999999999995</v>
      </c>
      <c r="P1196" s="24">
        <v>1.1000000000000001</v>
      </c>
      <c r="Q1196" s="24">
        <v>36</v>
      </c>
      <c r="R1196" s="27">
        <f t="shared" si="227"/>
        <v>1439.9351999999999</v>
      </c>
      <c r="S1196" s="102">
        <f t="shared" si="229"/>
        <v>1.6</v>
      </c>
      <c r="T1196" s="21">
        <f>VLOOKUP($A1196,'2022-23 Salary &amp; Benefits'!$A:$I,5,FALSE)</f>
        <v>68937</v>
      </c>
      <c r="U1196" s="21">
        <f>VLOOKUP($A1196,'2022-23 Salary &amp; Benefits'!$A:$I,6,FALSE)</f>
        <v>72728</v>
      </c>
      <c r="V1196" s="22">
        <f t="shared" si="230"/>
        <v>130153.06</v>
      </c>
      <c r="W1196" s="22">
        <f t="shared" si="231"/>
        <v>7157.3999999999942</v>
      </c>
      <c r="X1196" s="22">
        <f>'2022-23 Salary &amp; Benefits'!$G$6</f>
        <v>12558.24</v>
      </c>
      <c r="Y1196" s="23">
        <f>'2022-23 Salary &amp; Benefits'!$H$6</f>
        <v>0.2298</v>
      </c>
      <c r="Z1196" s="23">
        <f>'2022-23 Salary &amp; Benefits'!$I$6</f>
        <v>0.22339999999999999</v>
      </c>
      <c r="AA1196" s="22">
        <f t="shared" si="232"/>
        <v>51601.32</v>
      </c>
      <c r="AB1196" s="22">
        <f t="shared" si="233"/>
        <v>2288.5100000000002</v>
      </c>
      <c r="AC1196" s="22">
        <f t="shared" si="234"/>
        <v>511.25</v>
      </c>
      <c r="AD1196" s="22">
        <f t="shared" si="236"/>
        <v>2799.76</v>
      </c>
      <c r="AE1196" s="22">
        <f t="shared" si="237"/>
        <v>191711.54</v>
      </c>
      <c r="AF1196" s="19" t="str">
        <f>VLOOKUP(C1196,'2021-22 School Level AAFTE'!C:N,12,FALSE)</f>
        <v>No</v>
      </c>
    </row>
    <row r="1197" spans="1:32" s="5" customFormat="1">
      <c r="A1197" s="97" t="s">
        <v>2474</v>
      </c>
      <c r="B1197" s="97" t="s">
        <v>1627</v>
      </c>
      <c r="C1197" s="95">
        <v>4425</v>
      </c>
      <c r="D1197" s="95" t="s">
        <v>1639</v>
      </c>
      <c r="E1197" s="129">
        <f>VLOOKUP($C1197,'2021-22 School Level AAFTE'!$C:$Z,11,FALSE)</f>
        <v>0.65710000000000013</v>
      </c>
      <c r="F1197" s="129" t="str">
        <f>VLOOKUP($C1197,'2021-22 School Level AAFTE'!$C:$Z,8,FALSE)</f>
        <v>Yes</v>
      </c>
      <c r="G1197" s="129" t="str">
        <f>VLOOKUP($C1197,'2021-22 School Level AAFTE'!$C:$Z,12,FALSE)</f>
        <v>No</v>
      </c>
      <c r="H1197" s="127">
        <f>VLOOKUP($C1197,'2021-22 School Level AAFTE'!$C:$I,7,FALSE)</f>
        <v>818.12</v>
      </c>
      <c r="I1197" s="112">
        <f>IFERROR(IF(OR(G1197="yes",F1197= "yes"),VLOOKUP(C1197,Summary!$B:$J,6,0),0),0)</f>
        <v>0</v>
      </c>
      <c r="J1197" s="111">
        <f t="shared" si="228"/>
        <v>818.12</v>
      </c>
      <c r="K1197" s="91">
        <f>VLOOKUP($A1197,'2022-23 Salary &amp; Benefits'!$A:$I,3,FALSE)</f>
        <v>1.18</v>
      </c>
      <c r="L1197" s="91">
        <f>VLOOKUP($A1197,'2022-23 Salary &amp; Benefits'!$A:$I,4,FALSE)</f>
        <v>1.18</v>
      </c>
      <c r="M1197" s="39">
        <f t="shared" si="235"/>
        <v>818.12</v>
      </c>
      <c r="N1197" s="24">
        <v>15</v>
      </c>
      <c r="O1197" s="26">
        <f t="shared" si="226"/>
        <v>54.541333333333334</v>
      </c>
      <c r="P1197" s="24">
        <v>1.1000000000000001</v>
      </c>
      <c r="Q1197" s="24">
        <v>36</v>
      </c>
      <c r="R1197" s="27">
        <f t="shared" si="227"/>
        <v>2159.8368</v>
      </c>
      <c r="S1197" s="102">
        <f t="shared" si="229"/>
        <v>2.4</v>
      </c>
      <c r="T1197" s="21">
        <f>VLOOKUP($A1197,'2022-23 Salary &amp; Benefits'!$A:$I,5,FALSE)</f>
        <v>68937</v>
      </c>
      <c r="U1197" s="21">
        <f>VLOOKUP($A1197,'2022-23 Salary &amp; Benefits'!$A:$I,6,FALSE)</f>
        <v>72728</v>
      </c>
      <c r="V1197" s="22">
        <f t="shared" si="230"/>
        <v>195229.58</v>
      </c>
      <c r="W1197" s="22">
        <f t="shared" si="231"/>
        <v>10736.120000000024</v>
      </c>
      <c r="X1197" s="22">
        <f>'2022-23 Salary &amp; Benefits'!$G$6</f>
        <v>12558.24</v>
      </c>
      <c r="Y1197" s="23">
        <f>'2022-23 Salary &amp; Benefits'!$H$6</f>
        <v>0.2298</v>
      </c>
      <c r="Z1197" s="23">
        <f>'2022-23 Salary &amp; Benefits'!$I$6</f>
        <v>0.22339999999999999</v>
      </c>
      <c r="AA1197" s="22">
        <f t="shared" si="232"/>
        <v>77401.98</v>
      </c>
      <c r="AB1197" s="22">
        <f t="shared" si="233"/>
        <v>3432.76</v>
      </c>
      <c r="AC1197" s="22">
        <f t="shared" si="234"/>
        <v>766.88</v>
      </c>
      <c r="AD1197" s="22">
        <f t="shared" si="236"/>
        <v>4199.6400000000003</v>
      </c>
      <c r="AE1197" s="22">
        <f t="shared" si="237"/>
        <v>287567.32000000007</v>
      </c>
      <c r="AF1197" s="19" t="str">
        <f>VLOOKUP(C1197,'2021-22 School Level AAFTE'!C:N,12,FALSE)</f>
        <v>No</v>
      </c>
    </row>
    <row r="1198" spans="1:32" s="5" customFormat="1">
      <c r="A1198" s="56" t="s">
        <v>2474</v>
      </c>
      <c r="B1198" s="97" t="s">
        <v>1627</v>
      </c>
      <c r="C1198" s="95">
        <v>4430</v>
      </c>
      <c r="D1198" s="56" t="s">
        <v>1640</v>
      </c>
      <c r="E1198" s="129">
        <f>VLOOKUP($C1198,'2021-22 School Level AAFTE'!$C:$Z,11,FALSE)</f>
        <v>0.28813333333333335</v>
      </c>
      <c r="F1198" s="129" t="str">
        <f>VLOOKUP($C1198,'2021-22 School Level AAFTE'!$C:$Z,8,FALSE)</f>
        <v>No</v>
      </c>
      <c r="G1198" s="129" t="str">
        <f>VLOOKUP($C1198,'2021-22 School Level AAFTE'!$C:$Z,12,FALSE)</f>
        <v>No</v>
      </c>
      <c r="H1198" s="127">
        <f>VLOOKUP($C1198,'2021-22 School Level AAFTE'!$C:$I,7,FALSE)</f>
        <v>844.45</v>
      </c>
      <c r="I1198" s="112">
        <f>IFERROR(IF(OR(G1198="yes",F1198= "yes"),VLOOKUP(C1198,Summary!$B:$J,6,0),0),0)</f>
        <v>0</v>
      </c>
      <c r="J1198" s="111">
        <f t="shared" si="228"/>
        <v>0</v>
      </c>
      <c r="K1198" s="91">
        <f>VLOOKUP($A1198,'2022-23 Salary &amp; Benefits'!$A:$I,3,FALSE)</f>
        <v>1.18</v>
      </c>
      <c r="L1198" s="91">
        <f>VLOOKUP($A1198,'2022-23 Salary &amp; Benefits'!$A:$I,4,FALSE)</f>
        <v>1.18</v>
      </c>
      <c r="M1198" s="39">
        <f t="shared" si="235"/>
        <v>0</v>
      </c>
      <c r="N1198" s="24">
        <v>15</v>
      </c>
      <c r="O1198" s="26">
        <f t="shared" si="226"/>
        <v>0</v>
      </c>
      <c r="P1198" s="24">
        <v>1.1000000000000001</v>
      </c>
      <c r="Q1198" s="24">
        <v>36</v>
      </c>
      <c r="R1198" s="27">
        <f t="shared" si="227"/>
        <v>0</v>
      </c>
      <c r="S1198" s="102">
        <f t="shared" si="229"/>
        <v>0</v>
      </c>
      <c r="T1198" s="21">
        <f>VLOOKUP($A1198,'2022-23 Salary &amp; Benefits'!$A:$I,5,FALSE)</f>
        <v>68937</v>
      </c>
      <c r="U1198" s="21">
        <f>VLOOKUP($A1198,'2022-23 Salary &amp; Benefits'!$A:$I,6,FALSE)</f>
        <v>72728</v>
      </c>
      <c r="V1198" s="22">
        <f t="shared" si="230"/>
        <v>0</v>
      </c>
      <c r="W1198" s="22">
        <f t="shared" si="231"/>
        <v>0</v>
      </c>
      <c r="X1198" s="22">
        <f>'2022-23 Salary &amp; Benefits'!$G$6</f>
        <v>12558.24</v>
      </c>
      <c r="Y1198" s="23">
        <f>'2022-23 Salary &amp; Benefits'!$H$6</f>
        <v>0.2298</v>
      </c>
      <c r="Z1198" s="23">
        <f>'2022-23 Salary &amp; Benefits'!$I$6</f>
        <v>0.22339999999999999</v>
      </c>
      <c r="AA1198" s="22">
        <f t="shared" si="232"/>
        <v>0</v>
      </c>
      <c r="AB1198" s="22">
        <f t="shared" si="233"/>
        <v>0</v>
      </c>
      <c r="AC1198" s="22">
        <f t="shared" si="234"/>
        <v>0</v>
      </c>
      <c r="AD1198" s="22">
        <f t="shared" si="236"/>
        <v>0</v>
      </c>
      <c r="AE1198" s="22">
        <f t="shared" si="237"/>
        <v>0</v>
      </c>
      <c r="AF1198" s="19" t="str">
        <f>VLOOKUP(C1198,'2021-22 School Level AAFTE'!C:N,12,FALSE)</f>
        <v>No</v>
      </c>
    </row>
    <row r="1199" spans="1:32" s="5" customFormat="1">
      <c r="A1199" s="97" t="s">
        <v>2474</v>
      </c>
      <c r="B1199" s="97" t="s">
        <v>1627</v>
      </c>
      <c r="C1199" s="95">
        <v>4433</v>
      </c>
      <c r="D1199" s="95" t="s">
        <v>1641</v>
      </c>
      <c r="E1199" s="129">
        <f>VLOOKUP($C1199,'2021-22 School Level AAFTE'!$C:$Z,11,FALSE)</f>
        <v>0.23356666666666667</v>
      </c>
      <c r="F1199" s="129" t="str">
        <f>VLOOKUP($C1199,'2021-22 School Level AAFTE'!$C:$Z,8,FALSE)</f>
        <v>No</v>
      </c>
      <c r="G1199" s="129" t="str">
        <f>VLOOKUP($C1199,'2021-22 School Level AAFTE'!$C:$Z,12,FALSE)</f>
        <v>No</v>
      </c>
      <c r="H1199" s="127">
        <f>VLOOKUP($C1199,'2021-22 School Level AAFTE'!$C:$I,7,FALSE)</f>
        <v>2047.19</v>
      </c>
      <c r="I1199" s="112">
        <f>IFERROR(IF(OR(G1199="yes",F1199= "yes"),VLOOKUP(C1199,Summary!$B:$J,6,0),0),0)</f>
        <v>0</v>
      </c>
      <c r="J1199" s="111">
        <f t="shared" si="228"/>
        <v>0</v>
      </c>
      <c r="K1199" s="91">
        <f>VLOOKUP($A1199,'2022-23 Salary &amp; Benefits'!$A:$I,3,FALSE)</f>
        <v>1.18</v>
      </c>
      <c r="L1199" s="91">
        <f>VLOOKUP($A1199,'2022-23 Salary &amp; Benefits'!$A:$I,4,FALSE)</f>
        <v>1.18</v>
      </c>
      <c r="M1199" s="39">
        <f t="shared" si="235"/>
        <v>0</v>
      </c>
      <c r="N1199" s="24">
        <v>15</v>
      </c>
      <c r="O1199" s="26">
        <f t="shared" si="226"/>
        <v>0</v>
      </c>
      <c r="P1199" s="24">
        <v>1.1000000000000001</v>
      </c>
      <c r="Q1199" s="24">
        <v>36</v>
      </c>
      <c r="R1199" s="27">
        <f t="shared" si="227"/>
        <v>0</v>
      </c>
      <c r="S1199" s="102">
        <f t="shared" si="229"/>
        <v>0</v>
      </c>
      <c r="T1199" s="21">
        <f>VLOOKUP($A1199,'2022-23 Salary &amp; Benefits'!$A:$I,5,FALSE)</f>
        <v>68937</v>
      </c>
      <c r="U1199" s="21">
        <f>VLOOKUP($A1199,'2022-23 Salary &amp; Benefits'!$A:$I,6,FALSE)</f>
        <v>72728</v>
      </c>
      <c r="V1199" s="22">
        <f t="shared" si="230"/>
        <v>0</v>
      </c>
      <c r="W1199" s="22">
        <f t="shared" si="231"/>
        <v>0</v>
      </c>
      <c r="X1199" s="22">
        <f>'2022-23 Salary &amp; Benefits'!$G$6</f>
        <v>12558.24</v>
      </c>
      <c r="Y1199" s="23">
        <f>'2022-23 Salary &amp; Benefits'!$H$6</f>
        <v>0.2298</v>
      </c>
      <c r="Z1199" s="23">
        <f>'2022-23 Salary &amp; Benefits'!$I$6</f>
        <v>0.22339999999999999</v>
      </c>
      <c r="AA1199" s="22">
        <f t="shared" si="232"/>
        <v>0</v>
      </c>
      <c r="AB1199" s="22">
        <f t="shared" si="233"/>
        <v>0</v>
      </c>
      <c r="AC1199" s="22">
        <f t="shared" si="234"/>
        <v>0</v>
      </c>
      <c r="AD1199" s="22">
        <f t="shared" si="236"/>
        <v>0</v>
      </c>
      <c r="AE1199" s="22">
        <f t="shared" si="237"/>
        <v>0</v>
      </c>
      <c r="AF1199" s="19" t="str">
        <f>VLOOKUP(C1199,'2021-22 School Level AAFTE'!C:N,12,FALSE)</f>
        <v>No</v>
      </c>
    </row>
    <row r="1200" spans="1:32" s="5" customFormat="1">
      <c r="A1200" s="97" t="s">
        <v>2474</v>
      </c>
      <c r="B1200" s="97" t="s">
        <v>1627</v>
      </c>
      <c r="C1200" s="95">
        <v>4469</v>
      </c>
      <c r="D1200" s="95" t="s">
        <v>1642</v>
      </c>
      <c r="E1200" s="129">
        <f>VLOOKUP($C1200,'2021-22 School Level AAFTE'!$C:$Z,11,FALSE)</f>
        <v>0.19316666666666663</v>
      </c>
      <c r="F1200" s="129" t="str">
        <f>VLOOKUP($C1200,'2021-22 School Level AAFTE'!$C:$Z,8,FALSE)</f>
        <v>No</v>
      </c>
      <c r="G1200" s="129" t="str">
        <f>VLOOKUP($C1200,'2021-22 School Level AAFTE'!$C:$Z,12,FALSE)</f>
        <v>No</v>
      </c>
      <c r="H1200" s="127">
        <f>VLOOKUP($C1200,'2021-22 School Level AAFTE'!$C:$I,7,FALSE)</f>
        <v>385.42</v>
      </c>
      <c r="I1200" s="112">
        <f>IFERROR(IF(OR(G1200="yes",F1200= "yes"),VLOOKUP(C1200,Summary!$B:$J,6,0),0),0)</f>
        <v>0</v>
      </c>
      <c r="J1200" s="111">
        <f t="shared" si="228"/>
        <v>0</v>
      </c>
      <c r="K1200" s="91">
        <f>VLOOKUP($A1200,'2022-23 Salary &amp; Benefits'!$A:$I,3,FALSE)</f>
        <v>1.18</v>
      </c>
      <c r="L1200" s="91">
        <f>VLOOKUP($A1200,'2022-23 Salary &amp; Benefits'!$A:$I,4,FALSE)</f>
        <v>1.18</v>
      </c>
      <c r="M1200" s="39">
        <f t="shared" si="235"/>
        <v>0</v>
      </c>
      <c r="N1200" s="24">
        <v>15</v>
      </c>
      <c r="O1200" s="26">
        <f t="shared" si="226"/>
        <v>0</v>
      </c>
      <c r="P1200" s="24">
        <v>1.1000000000000001</v>
      </c>
      <c r="Q1200" s="24">
        <v>36</v>
      </c>
      <c r="R1200" s="27">
        <f t="shared" si="227"/>
        <v>0</v>
      </c>
      <c r="S1200" s="102">
        <f t="shared" si="229"/>
        <v>0</v>
      </c>
      <c r="T1200" s="21">
        <f>VLOOKUP($A1200,'2022-23 Salary &amp; Benefits'!$A:$I,5,FALSE)</f>
        <v>68937</v>
      </c>
      <c r="U1200" s="21">
        <f>VLOOKUP($A1200,'2022-23 Salary &amp; Benefits'!$A:$I,6,FALSE)</f>
        <v>72728</v>
      </c>
      <c r="V1200" s="22">
        <f t="shared" si="230"/>
        <v>0</v>
      </c>
      <c r="W1200" s="22">
        <f t="shared" si="231"/>
        <v>0</v>
      </c>
      <c r="X1200" s="22">
        <f>'2022-23 Salary &amp; Benefits'!$G$6</f>
        <v>12558.24</v>
      </c>
      <c r="Y1200" s="23">
        <f>'2022-23 Salary &amp; Benefits'!$H$6</f>
        <v>0.2298</v>
      </c>
      <c r="Z1200" s="23">
        <f>'2022-23 Salary &amp; Benefits'!$I$6</f>
        <v>0.22339999999999999</v>
      </c>
      <c r="AA1200" s="22">
        <f t="shared" si="232"/>
        <v>0</v>
      </c>
      <c r="AB1200" s="22">
        <f t="shared" si="233"/>
        <v>0</v>
      </c>
      <c r="AC1200" s="22">
        <f t="shared" si="234"/>
        <v>0</v>
      </c>
      <c r="AD1200" s="22">
        <f t="shared" si="236"/>
        <v>0</v>
      </c>
      <c r="AE1200" s="22">
        <f t="shared" si="237"/>
        <v>0</v>
      </c>
      <c r="AF1200" s="19" t="str">
        <f>VLOOKUP(C1200,'2021-22 School Level AAFTE'!C:N,12,FALSE)</f>
        <v>No</v>
      </c>
    </row>
    <row r="1201" spans="1:284" s="5" customFormat="1">
      <c r="A1201" s="97" t="s">
        <v>2474</v>
      </c>
      <c r="B1201" s="97" t="s">
        <v>1627</v>
      </c>
      <c r="C1201" s="95">
        <v>4583</v>
      </c>
      <c r="D1201" s="95" t="s">
        <v>1643</v>
      </c>
      <c r="E1201" s="129">
        <f>VLOOKUP($C1201,'2021-22 School Level AAFTE'!$C:$Z,11,FALSE)</f>
        <v>0.5865999999999999</v>
      </c>
      <c r="F1201" s="129" t="str">
        <f>VLOOKUP($C1201,'2021-22 School Level AAFTE'!$C:$Z,8,FALSE)</f>
        <v>Yes</v>
      </c>
      <c r="G1201" s="129" t="str">
        <f>VLOOKUP($C1201,'2021-22 School Level AAFTE'!$C:$Z,12,FALSE)</f>
        <v>No</v>
      </c>
      <c r="H1201" s="127">
        <f>VLOOKUP($C1201,'2021-22 School Level AAFTE'!$C:$I,7,FALSE)</f>
        <v>930.86</v>
      </c>
      <c r="I1201" s="112">
        <f>IFERROR(IF(OR(G1201="yes",F1201= "yes"),VLOOKUP(C1201,Summary!$B:$J,6,0),0),0)</f>
        <v>0</v>
      </c>
      <c r="J1201" s="111">
        <f t="shared" si="228"/>
        <v>930.86</v>
      </c>
      <c r="K1201" s="91">
        <f>VLOOKUP($A1201,'2022-23 Salary &amp; Benefits'!$A:$I,3,FALSE)</f>
        <v>1.18</v>
      </c>
      <c r="L1201" s="91">
        <f>VLOOKUP($A1201,'2022-23 Salary &amp; Benefits'!$A:$I,4,FALSE)</f>
        <v>1.18</v>
      </c>
      <c r="M1201" s="39">
        <f t="shared" si="235"/>
        <v>930.86</v>
      </c>
      <c r="N1201" s="24">
        <v>15</v>
      </c>
      <c r="O1201" s="26">
        <f t="shared" si="226"/>
        <v>62.057333333333332</v>
      </c>
      <c r="P1201" s="24">
        <v>1.1000000000000001</v>
      </c>
      <c r="Q1201" s="24">
        <v>36</v>
      </c>
      <c r="R1201" s="27">
        <f t="shared" si="227"/>
        <v>2457.4704000000002</v>
      </c>
      <c r="S1201" s="102">
        <f t="shared" si="229"/>
        <v>2.7309999999999999</v>
      </c>
      <c r="T1201" s="21">
        <f>VLOOKUP($A1201,'2022-23 Salary &amp; Benefits'!$A:$I,5,FALSE)</f>
        <v>68937</v>
      </c>
      <c r="U1201" s="21">
        <f>VLOOKUP($A1201,'2022-23 Salary &amp; Benefits'!$A:$I,6,FALSE)</f>
        <v>72728</v>
      </c>
      <c r="V1201" s="22">
        <f t="shared" si="230"/>
        <v>222155</v>
      </c>
      <c r="W1201" s="22">
        <f t="shared" si="231"/>
        <v>12216.799999999988</v>
      </c>
      <c r="X1201" s="22">
        <f>'2022-23 Salary &amp; Benefits'!$G$6</f>
        <v>12558.24</v>
      </c>
      <c r="Y1201" s="23">
        <f>'2022-23 Salary &amp; Benefits'!$H$6</f>
        <v>0.2298</v>
      </c>
      <c r="Z1201" s="23">
        <f>'2022-23 Salary &amp; Benefits'!$I$6</f>
        <v>0.22339999999999999</v>
      </c>
      <c r="AA1201" s="22">
        <f t="shared" si="232"/>
        <v>88077.01</v>
      </c>
      <c r="AB1201" s="22">
        <f t="shared" si="233"/>
        <v>3906.2</v>
      </c>
      <c r="AC1201" s="22">
        <f t="shared" si="234"/>
        <v>872.65</v>
      </c>
      <c r="AD1201" s="22">
        <f t="shared" si="236"/>
        <v>4778.8499999999995</v>
      </c>
      <c r="AE1201" s="22">
        <f t="shared" si="237"/>
        <v>327227.65999999997</v>
      </c>
      <c r="AF1201" s="19" t="str">
        <f>VLOOKUP(C1201,'2021-22 School Level AAFTE'!C:N,12,FALSE)</f>
        <v>No</v>
      </c>
    </row>
    <row r="1202" spans="1:284" s="5" customFormat="1">
      <c r="A1202" s="97" t="s">
        <v>2474</v>
      </c>
      <c r="B1202" s="97" t="s">
        <v>1627</v>
      </c>
      <c r="C1202" s="95">
        <v>5450</v>
      </c>
      <c r="D1202" s="95" t="s">
        <v>1644</v>
      </c>
      <c r="E1202" s="129">
        <f>VLOOKUP($C1202,'2021-22 School Level AAFTE'!$C:$Z,11,FALSE)</f>
        <v>0.54966666666666664</v>
      </c>
      <c r="F1202" s="129" t="str">
        <f>VLOOKUP($C1202,'2021-22 School Level AAFTE'!$C:$Z,8,FALSE)</f>
        <v>Yes</v>
      </c>
      <c r="G1202" s="129" t="str">
        <f>VLOOKUP($C1202,'2021-22 School Level AAFTE'!$C:$Z,12,FALSE)</f>
        <v>No</v>
      </c>
      <c r="H1202" s="127">
        <f>VLOOKUP($C1202,'2021-22 School Level AAFTE'!$C:$I,7,FALSE)</f>
        <v>542.29</v>
      </c>
      <c r="I1202" s="112">
        <f>IFERROR(IF(OR(G1202="yes",F1202= "yes"),VLOOKUP(C1202,Summary!$B:$J,6,0),0),0)</f>
        <v>0</v>
      </c>
      <c r="J1202" s="111">
        <f t="shared" si="228"/>
        <v>542.29</v>
      </c>
      <c r="K1202" s="91">
        <f>VLOOKUP($A1202,'2022-23 Salary &amp; Benefits'!$A:$I,3,FALSE)</f>
        <v>1.18</v>
      </c>
      <c r="L1202" s="91">
        <f>VLOOKUP($A1202,'2022-23 Salary &amp; Benefits'!$A:$I,4,FALSE)</f>
        <v>1.18</v>
      </c>
      <c r="M1202" s="39">
        <f t="shared" si="235"/>
        <v>542.29</v>
      </c>
      <c r="N1202" s="24">
        <v>15</v>
      </c>
      <c r="O1202" s="26">
        <f t="shared" si="226"/>
        <v>36.152666666666661</v>
      </c>
      <c r="P1202" s="24">
        <v>1.1000000000000001</v>
      </c>
      <c r="Q1202" s="24">
        <v>36</v>
      </c>
      <c r="R1202" s="27">
        <f t="shared" si="227"/>
        <v>1431.6455999999998</v>
      </c>
      <c r="S1202" s="102">
        <f t="shared" si="229"/>
        <v>1.591</v>
      </c>
      <c r="T1202" s="21">
        <f>VLOOKUP($A1202,'2022-23 Salary &amp; Benefits'!$A:$I,5,FALSE)</f>
        <v>68937</v>
      </c>
      <c r="U1202" s="21">
        <f>VLOOKUP($A1202,'2022-23 Salary &amp; Benefits'!$A:$I,6,FALSE)</f>
        <v>72728</v>
      </c>
      <c r="V1202" s="22">
        <f t="shared" si="230"/>
        <v>129420.95</v>
      </c>
      <c r="W1202" s="22">
        <f t="shared" si="231"/>
        <v>7117.1399999999994</v>
      </c>
      <c r="X1202" s="22">
        <f>'2022-23 Salary &amp; Benefits'!$G$6</f>
        <v>12558.24</v>
      </c>
      <c r="Y1202" s="23">
        <f>'2022-23 Salary &amp; Benefits'!$H$6</f>
        <v>0.2298</v>
      </c>
      <c r="Z1202" s="23">
        <f>'2022-23 Salary &amp; Benefits'!$I$6</f>
        <v>0.22339999999999999</v>
      </c>
      <c r="AA1202" s="22">
        <f t="shared" si="232"/>
        <v>51311.06</v>
      </c>
      <c r="AB1202" s="22">
        <f t="shared" si="233"/>
        <v>2275.63</v>
      </c>
      <c r="AC1202" s="22">
        <f t="shared" si="234"/>
        <v>508.38</v>
      </c>
      <c r="AD1202" s="22">
        <f t="shared" si="236"/>
        <v>2784.01</v>
      </c>
      <c r="AE1202" s="22">
        <f t="shared" si="237"/>
        <v>190633.16000000003</v>
      </c>
      <c r="AF1202" s="19" t="str">
        <f>VLOOKUP(C1202,'2021-22 School Level AAFTE'!C:N,12,FALSE)</f>
        <v>No</v>
      </c>
    </row>
    <row r="1203" spans="1:284" s="5" customFormat="1">
      <c r="A1203" s="97" t="s">
        <v>2474</v>
      </c>
      <c r="B1203" s="97" t="s">
        <v>1627</v>
      </c>
      <c r="C1203" s="95">
        <v>5482</v>
      </c>
      <c r="D1203" s="95" t="s">
        <v>2726</v>
      </c>
      <c r="E1203" s="129">
        <f>VLOOKUP($C1203,'2021-22 School Level AAFTE'!$C:$Z,11,FALSE)</f>
        <v>0.51090000000000002</v>
      </c>
      <c r="F1203" s="129" t="str">
        <f>VLOOKUP($C1203,'2021-22 School Level AAFTE'!$C:$Z,8,FALSE)</f>
        <v>Yes</v>
      </c>
      <c r="G1203" s="129" t="str">
        <f>VLOOKUP($C1203,'2021-22 School Level AAFTE'!$C:$Z,12,FALSE)</f>
        <v>No</v>
      </c>
      <c r="H1203" s="127">
        <f>VLOOKUP($C1203,'2021-22 School Level AAFTE'!$C:$I,7,FALSE)</f>
        <v>413.09</v>
      </c>
      <c r="I1203" s="112">
        <f>IFERROR(IF(OR(G1203="yes",F1203= "yes"),VLOOKUP(C1203,Summary!$B:$J,6,0),0),0)</f>
        <v>0</v>
      </c>
      <c r="J1203" s="111">
        <f t="shared" si="228"/>
        <v>413.09</v>
      </c>
      <c r="K1203" s="91">
        <f>VLOOKUP($A1203,'2022-23 Salary &amp; Benefits'!$A:$I,3,FALSE)</f>
        <v>1.18</v>
      </c>
      <c r="L1203" s="91">
        <f>VLOOKUP($A1203,'2022-23 Salary &amp; Benefits'!$A:$I,4,FALSE)</f>
        <v>1.18</v>
      </c>
      <c r="M1203" s="101">
        <f t="shared" si="235"/>
        <v>413.09</v>
      </c>
      <c r="N1203" s="24">
        <v>15</v>
      </c>
      <c r="O1203" s="26">
        <f t="shared" si="226"/>
        <v>27.539333333333332</v>
      </c>
      <c r="P1203" s="24">
        <v>1.1000000000000001</v>
      </c>
      <c r="Q1203" s="24">
        <v>36</v>
      </c>
      <c r="R1203" s="27">
        <f t="shared" si="227"/>
        <v>1090.5576000000001</v>
      </c>
      <c r="S1203" s="102">
        <f t="shared" si="229"/>
        <v>1.212</v>
      </c>
      <c r="T1203" s="21">
        <f>VLOOKUP($A1203,'2022-23 Salary &amp; Benefits'!$A:$I,5,FALSE)</f>
        <v>68937</v>
      </c>
      <c r="U1203" s="21">
        <f>VLOOKUP($A1203,'2022-23 Salary &amp; Benefits'!$A:$I,6,FALSE)</f>
        <v>72728</v>
      </c>
      <c r="V1203" s="22">
        <f t="shared" si="230"/>
        <v>98590.94</v>
      </c>
      <c r="W1203" s="22">
        <f t="shared" si="231"/>
        <v>5421.7399999999907</v>
      </c>
      <c r="X1203" s="22">
        <f>'2022-23 Salary &amp; Benefits'!$G$6</f>
        <v>12558.24</v>
      </c>
      <c r="Y1203" s="23">
        <f>'2022-23 Salary &amp; Benefits'!$H$6</f>
        <v>0.2298</v>
      </c>
      <c r="Z1203" s="23">
        <f>'2022-23 Salary &amp; Benefits'!$I$6</f>
        <v>0.22339999999999999</v>
      </c>
      <c r="AA1203" s="22">
        <f t="shared" si="232"/>
        <v>39088</v>
      </c>
      <c r="AB1203" s="22">
        <f t="shared" si="233"/>
        <v>1733.54</v>
      </c>
      <c r="AC1203" s="22">
        <f t="shared" si="234"/>
        <v>387.27</v>
      </c>
      <c r="AD1203" s="22">
        <f t="shared" si="236"/>
        <v>2120.81</v>
      </c>
      <c r="AE1203" s="22">
        <f t="shared" si="237"/>
        <v>145221.49</v>
      </c>
      <c r="AF1203" s="19" t="str">
        <f>VLOOKUP(C1203,'2021-22 School Level AAFTE'!C:N,12,FALSE)</f>
        <v>No</v>
      </c>
    </row>
    <row r="1204" spans="1:284" s="5" customFormat="1">
      <c r="A1204" s="97" t="s">
        <v>2474</v>
      </c>
      <c r="B1204" s="97" t="s">
        <v>1627</v>
      </c>
      <c r="C1204" s="95">
        <v>5498</v>
      </c>
      <c r="D1204" s="95" t="s">
        <v>2725</v>
      </c>
      <c r="E1204" s="129">
        <f>VLOOKUP($C1204,'2021-22 School Level AAFTE'!$C:$Z,11,FALSE)</f>
        <v>0.55576666666666663</v>
      </c>
      <c r="F1204" s="129" t="str">
        <f>VLOOKUP($C1204,'2021-22 School Level AAFTE'!$C:$Z,8,FALSE)</f>
        <v>Yes</v>
      </c>
      <c r="G1204" s="129" t="str">
        <f>VLOOKUP($C1204,'2021-22 School Level AAFTE'!$C:$Z,12,FALSE)</f>
        <v>No</v>
      </c>
      <c r="H1204" s="127">
        <f>VLOOKUP($C1204,'2021-22 School Level AAFTE'!$C:$I,7,FALSE)</f>
        <v>42.29</v>
      </c>
      <c r="I1204" s="112">
        <f>IFERROR(IF(OR(G1204="yes",F1204= "yes"),VLOOKUP(C1204,Summary!$B:$J,6,0),0),0)</f>
        <v>0</v>
      </c>
      <c r="J1204" s="111">
        <f t="shared" si="228"/>
        <v>42.29</v>
      </c>
      <c r="K1204" s="91">
        <f>VLOOKUP($A1204,'2022-23 Salary &amp; Benefits'!$A:$I,3,FALSE)</f>
        <v>1.18</v>
      </c>
      <c r="L1204" s="91">
        <f>VLOOKUP($A1204,'2022-23 Salary &amp; Benefits'!$A:$I,4,FALSE)</f>
        <v>1.18</v>
      </c>
      <c r="M1204" s="101">
        <f t="shared" si="235"/>
        <v>42.29</v>
      </c>
      <c r="N1204" s="24">
        <v>15</v>
      </c>
      <c r="O1204" s="26">
        <f t="shared" si="226"/>
        <v>2.8193333333333332</v>
      </c>
      <c r="P1204" s="24">
        <v>1.1000000000000001</v>
      </c>
      <c r="Q1204" s="24">
        <v>36</v>
      </c>
      <c r="R1204" s="27">
        <f t="shared" si="227"/>
        <v>111.6456</v>
      </c>
      <c r="S1204" s="102">
        <f t="shared" si="229"/>
        <v>0.124</v>
      </c>
      <c r="T1204" s="21">
        <f>VLOOKUP($A1204,'2022-23 Salary &amp; Benefits'!$A:$I,5,FALSE)</f>
        <v>68937</v>
      </c>
      <c r="U1204" s="21">
        <f>VLOOKUP($A1204,'2022-23 Salary &amp; Benefits'!$A:$I,6,FALSE)</f>
        <v>72728</v>
      </c>
      <c r="V1204" s="22">
        <f t="shared" si="230"/>
        <v>10086.86</v>
      </c>
      <c r="W1204" s="22">
        <f t="shared" si="231"/>
        <v>554.69999999999891</v>
      </c>
      <c r="X1204" s="22">
        <f>'2022-23 Salary &amp; Benefits'!$G$6</f>
        <v>12558.24</v>
      </c>
      <c r="Y1204" s="23">
        <f>'2022-23 Salary &amp; Benefits'!$H$6</f>
        <v>0.2298</v>
      </c>
      <c r="Z1204" s="23">
        <f>'2022-23 Salary &amp; Benefits'!$I$6</f>
        <v>0.22339999999999999</v>
      </c>
      <c r="AA1204" s="22">
        <f t="shared" si="232"/>
        <v>3999.1</v>
      </c>
      <c r="AB1204" s="22">
        <f t="shared" si="233"/>
        <v>177.36</v>
      </c>
      <c r="AC1204" s="22">
        <f t="shared" si="234"/>
        <v>39.619999999999997</v>
      </c>
      <c r="AD1204" s="22">
        <f t="shared" si="236"/>
        <v>216.98000000000002</v>
      </c>
      <c r="AE1204" s="22">
        <f t="shared" si="237"/>
        <v>14857.64</v>
      </c>
      <c r="AF1204" s="19" t="str">
        <f>VLOOKUP(C1204,'2021-22 School Level AAFTE'!C:N,12,FALSE)</f>
        <v>No</v>
      </c>
    </row>
    <row r="1205" spans="1:284" s="5" customFormat="1">
      <c r="A1205" s="97" t="s">
        <v>2474</v>
      </c>
      <c r="B1205" s="97" t="s">
        <v>1627</v>
      </c>
      <c r="C1205" s="95">
        <v>5703</v>
      </c>
      <c r="D1205" s="95" t="s">
        <v>3028</v>
      </c>
      <c r="E1205" s="129">
        <f>VLOOKUP($C1205,'2021-22 School Level AAFTE'!$C:$Z,11,FALSE)</f>
        <v>0.61399999999999999</v>
      </c>
      <c r="F1205" s="129" t="str">
        <f>VLOOKUP($C1205,'2021-22 School Level AAFTE'!$C:$Z,8,FALSE)</f>
        <v>Yes</v>
      </c>
      <c r="G1205" s="129" t="str">
        <f>VLOOKUP($C1205,'2021-22 School Level AAFTE'!$C:$Z,12,FALSE)</f>
        <v>No</v>
      </c>
      <c r="H1205" s="127">
        <f>VLOOKUP($C1205,'2021-22 School Level AAFTE'!$C:$I,7,FALSE)</f>
        <v>213.47</v>
      </c>
      <c r="I1205" s="112">
        <f>IFERROR(IF(OR(G1205="yes",F1205= "yes"),VLOOKUP(C1205,Summary!$B:$J,6,0),0),0)</f>
        <v>0</v>
      </c>
      <c r="J1205" s="111">
        <f t="shared" si="228"/>
        <v>213.47</v>
      </c>
      <c r="K1205" s="91">
        <f>VLOOKUP($A1205,'2022-23 Salary &amp; Benefits'!$A:$I,3,FALSE)</f>
        <v>1.18</v>
      </c>
      <c r="L1205" s="91">
        <f>VLOOKUP($A1205,'2022-23 Salary &amp; Benefits'!$A:$I,4,FALSE)</f>
        <v>1.18</v>
      </c>
      <c r="M1205" s="101">
        <f t="shared" si="235"/>
        <v>213.47</v>
      </c>
      <c r="N1205" s="24">
        <v>15</v>
      </c>
      <c r="O1205" s="26">
        <f t="shared" si="226"/>
        <v>14.231333333333334</v>
      </c>
      <c r="P1205" s="24">
        <v>1.1000000000000001</v>
      </c>
      <c r="Q1205" s="24">
        <v>36</v>
      </c>
      <c r="R1205" s="27">
        <f t="shared" si="227"/>
        <v>563.56080000000009</v>
      </c>
      <c r="S1205" s="102">
        <f t="shared" si="229"/>
        <v>0.626</v>
      </c>
      <c r="T1205" s="21">
        <f>VLOOKUP($A1205,'2022-23 Salary &amp; Benefits'!$A:$I,5,FALSE)</f>
        <v>68937</v>
      </c>
      <c r="U1205" s="21">
        <f>VLOOKUP($A1205,'2022-23 Salary &amp; Benefits'!$A:$I,6,FALSE)</f>
        <v>72728</v>
      </c>
      <c r="V1205" s="22">
        <f t="shared" si="230"/>
        <v>50922.38</v>
      </c>
      <c r="W1205" s="22">
        <f t="shared" si="231"/>
        <v>2800.3400000000038</v>
      </c>
      <c r="X1205" s="22">
        <f>'2022-23 Salary &amp; Benefits'!$G$6</f>
        <v>12558.24</v>
      </c>
      <c r="Y1205" s="23">
        <f>'2022-23 Salary &amp; Benefits'!$H$6</f>
        <v>0.2298</v>
      </c>
      <c r="Z1205" s="23">
        <f>'2022-23 Salary &amp; Benefits'!$I$6</f>
        <v>0.22339999999999999</v>
      </c>
      <c r="AA1205" s="22">
        <f t="shared" si="232"/>
        <v>20189.02</v>
      </c>
      <c r="AB1205" s="22">
        <f t="shared" si="233"/>
        <v>895.38</v>
      </c>
      <c r="AC1205" s="22">
        <f t="shared" si="234"/>
        <v>200.03</v>
      </c>
      <c r="AD1205" s="22">
        <f t="shared" si="236"/>
        <v>1095.4100000000001</v>
      </c>
      <c r="AE1205" s="22">
        <f t="shared" si="237"/>
        <v>75007.149999999994</v>
      </c>
      <c r="AF1205" s="19" t="str">
        <f>VLOOKUP(C1205,'2021-22 School Level AAFTE'!C:N,12,FALSE)</f>
        <v>No</v>
      </c>
    </row>
    <row r="1206" spans="1:284" s="5" customFormat="1">
      <c r="A1206" s="97" t="s">
        <v>2554</v>
      </c>
      <c r="B1206" s="97" t="s">
        <v>2166</v>
      </c>
      <c r="C1206" s="95">
        <v>2591</v>
      </c>
      <c r="D1206" s="95" t="s">
        <v>2167</v>
      </c>
      <c r="E1206" s="129">
        <f>VLOOKUP($C1206,'2021-22 School Level AAFTE'!$C:$Z,11,FALSE)</f>
        <v>0.49556666666666666</v>
      </c>
      <c r="F1206" s="129" t="str">
        <f>VLOOKUP($C1206,'2021-22 School Level AAFTE'!$C:$Z,8,FALSE)</f>
        <v>No</v>
      </c>
      <c r="G1206" s="129" t="str">
        <f>VLOOKUP($C1206,'2021-22 School Level AAFTE'!$C:$Z,12,FALSE)</f>
        <v>No</v>
      </c>
      <c r="H1206" s="127">
        <f>VLOOKUP($C1206,'2021-22 School Level AAFTE'!$C:$I,7,FALSE)</f>
        <v>377.96999999999997</v>
      </c>
      <c r="I1206" s="112">
        <f>IFERROR(IF(OR(G1206="yes",F1206= "yes"),VLOOKUP(C1206,Summary!$B:$J,6,0),0),0)</f>
        <v>0</v>
      </c>
      <c r="J1206" s="111">
        <f t="shared" si="228"/>
        <v>0</v>
      </c>
      <c r="K1206" s="91">
        <f>VLOOKUP($A1206,'2022-23 Salary &amp; Benefits'!$A:$I,3,FALSE)</f>
        <v>1</v>
      </c>
      <c r="L1206" s="91">
        <f>VLOOKUP($A1206,'2022-23 Salary &amp; Benefits'!$A:$I,4,FALSE)</f>
        <v>1</v>
      </c>
      <c r="M1206" s="101">
        <f t="shared" si="235"/>
        <v>0</v>
      </c>
      <c r="N1206" s="24">
        <v>15</v>
      </c>
      <c r="O1206" s="26">
        <f t="shared" si="226"/>
        <v>0</v>
      </c>
      <c r="P1206" s="24">
        <v>1.1000000000000001</v>
      </c>
      <c r="Q1206" s="24">
        <v>36</v>
      </c>
      <c r="R1206" s="27">
        <f t="shared" si="227"/>
        <v>0</v>
      </c>
      <c r="S1206" s="102">
        <f t="shared" si="229"/>
        <v>0</v>
      </c>
      <c r="T1206" s="21">
        <f>VLOOKUP($A1206,'2022-23 Salary &amp; Benefits'!$A:$I,5,FALSE)</f>
        <v>68937</v>
      </c>
      <c r="U1206" s="21">
        <f>VLOOKUP($A1206,'2022-23 Salary &amp; Benefits'!$A:$I,6,FALSE)</f>
        <v>72728</v>
      </c>
      <c r="V1206" s="22">
        <f t="shared" si="230"/>
        <v>0</v>
      </c>
      <c r="W1206" s="22">
        <f t="shared" si="231"/>
        <v>0</v>
      </c>
      <c r="X1206" s="22">
        <f>'2022-23 Salary &amp; Benefits'!$G$6</f>
        <v>12558.24</v>
      </c>
      <c r="Y1206" s="23">
        <f>'2022-23 Salary &amp; Benefits'!$H$6</f>
        <v>0.2298</v>
      </c>
      <c r="Z1206" s="23">
        <f>'2022-23 Salary &amp; Benefits'!$I$6</f>
        <v>0.22339999999999999</v>
      </c>
      <c r="AA1206" s="22">
        <f t="shared" si="232"/>
        <v>0</v>
      </c>
      <c r="AB1206" s="22">
        <f t="shared" si="233"/>
        <v>0</v>
      </c>
      <c r="AC1206" s="22">
        <f t="shared" si="234"/>
        <v>0</v>
      </c>
      <c r="AD1206" s="22">
        <f t="shared" si="236"/>
        <v>0</v>
      </c>
      <c r="AE1206" s="22">
        <f t="shared" si="237"/>
        <v>0</v>
      </c>
      <c r="AF1206" s="19" t="str">
        <f>VLOOKUP(C1206,'2021-22 School Level AAFTE'!C:N,12,FALSE)</f>
        <v>No</v>
      </c>
    </row>
    <row r="1207" spans="1:284" s="5" customFormat="1">
      <c r="A1207" s="97" t="s">
        <v>2554</v>
      </c>
      <c r="B1207" s="97" t="s">
        <v>2166</v>
      </c>
      <c r="C1207" s="95">
        <v>2898</v>
      </c>
      <c r="D1207" s="95" t="s">
        <v>2168</v>
      </c>
      <c r="E1207" s="129">
        <f>VLOOKUP($C1207,'2021-22 School Level AAFTE'!$C:$Z,11,FALSE)</f>
        <v>0.53166666666666662</v>
      </c>
      <c r="F1207" s="129" t="str">
        <f>VLOOKUP($C1207,'2021-22 School Level AAFTE'!$C:$Z,8,FALSE)</f>
        <v>Yes</v>
      </c>
      <c r="G1207" s="129" t="str">
        <f>VLOOKUP($C1207,'2021-22 School Level AAFTE'!$C:$Z,12,FALSE)</f>
        <v>No</v>
      </c>
      <c r="H1207" s="127">
        <f>VLOOKUP($C1207,'2021-22 School Level AAFTE'!$C:$I,7,FALSE)</f>
        <v>394.68</v>
      </c>
      <c r="I1207" s="112">
        <f>IFERROR(IF(OR(G1207="yes",F1207= "yes"),VLOOKUP(C1207,Summary!$B:$J,6,0),0),0)</f>
        <v>0</v>
      </c>
      <c r="J1207" s="111">
        <f t="shared" si="228"/>
        <v>394.68</v>
      </c>
      <c r="K1207" s="91">
        <f>VLOOKUP($A1207,'2022-23 Salary &amp; Benefits'!$A:$I,3,FALSE)</f>
        <v>1</v>
      </c>
      <c r="L1207" s="91">
        <f>VLOOKUP($A1207,'2022-23 Salary &amp; Benefits'!$A:$I,4,FALSE)</f>
        <v>1</v>
      </c>
      <c r="M1207" s="39">
        <f t="shared" si="235"/>
        <v>394.68</v>
      </c>
      <c r="N1207" s="24">
        <v>15</v>
      </c>
      <c r="O1207" s="26">
        <f t="shared" si="226"/>
        <v>26.312000000000001</v>
      </c>
      <c r="P1207" s="24">
        <v>1.1000000000000001</v>
      </c>
      <c r="Q1207" s="24">
        <v>36</v>
      </c>
      <c r="R1207" s="27">
        <f t="shared" si="227"/>
        <v>1041.9552000000001</v>
      </c>
      <c r="S1207" s="102">
        <f t="shared" si="229"/>
        <v>1.1579999999999999</v>
      </c>
      <c r="T1207" s="21">
        <f>VLOOKUP($A1207,'2022-23 Salary &amp; Benefits'!$A:$I,5,FALSE)</f>
        <v>68937</v>
      </c>
      <c r="U1207" s="21">
        <f>VLOOKUP($A1207,'2022-23 Salary &amp; Benefits'!$A:$I,6,FALSE)</f>
        <v>72728</v>
      </c>
      <c r="V1207" s="22">
        <f t="shared" si="230"/>
        <v>79829.05</v>
      </c>
      <c r="W1207" s="22">
        <f t="shared" si="231"/>
        <v>4389.9700000000012</v>
      </c>
      <c r="X1207" s="22">
        <f>'2022-23 Salary &amp; Benefits'!$G$6</f>
        <v>12558.24</v>
      </c>
      <c r="Y1207" s="23">
        <f>'2022-23 Salary &amp; Benefits'!$H$6</f>
        <v>0.2298</v>
      </c>
      <c r="Z1207" s="23">
        <f>'2022-23 Salary &amp; Benefits'!$I$6</f>
        <v>0.22339999999999999</v>
      </c>
      <c r="AA1207" s="22">
        <f t="shared" si="232"/>
        <v>33867.879999999997</v>
      </c>
      <c r="AB1207" s="22">
        <f t="shared" si="233"/>
        <v>1403.65</v>
      </c>
      <c r="AC1207" s="22">
        <f t="shared" si="234"/>
        <v>313.58</v>
      </c>
      <c r="AD1207" s="22">
        <f t="shared" si="236"/>
        <v>1717.23</v>
      </c>
      <c r="AE1207" s="22">
        <f t="shared" si="237"/>
        <v>119804.12999999999</v>
      </c>
      <c r="AF1207" s="19" t="str">
        <f>VLOOKUP(C1207,'2021-22 School Level AAFTE'!C:N,12,FALSE)</f>
        <v>No</v>
      </c>
    </row>
    <row r="1208" spans="1:284" s="5" customFormat="1">
      <c r="A1208" s="97" t="s">
        <v>2554</v>
      </c>
      <c r="B1208" s="97" t="s">
        <v>2166</v>
      </c>
      <c r="C1208" s="95">
        <v>5451</v>
      </c>
      <c r="D1208" s="95" t="s">
        <v>2169</v>
      </c>
      <c r="E1208" s="129">
        <f>VLOOKUP($C1208,'2021-22 School Level AAFTE'!$C:$Z,11,FALSE)</f>
        <v>0.51359999999999995</v>
      </c>
      <c r="F1208" s="129" t="str">
        <f>VLOOKUP($C1208,'2021-22 School Level AAFTE'!$C:$Z,8,FALSE)</f>
        <v>Yes</v>
      </c>
      <c r="G1208" s="129" t="str">
        <f>VLOOKUP($C1208,'2021-22 School Level AAFTE'!$C:$Z,12,FALSE)</f>
        <v>No</v>
      </c>
      <c r="H1208" s="127">
        <f>VLOOKUP($C1208,'2021-22 School Level AAFTE'!$C:$I,7,FALSE)</f>
        <v>453.89</v>
      </c>
      <c r="I1208" s="112">
        <f>IFERROR(IF(OR(G1208="yes",F1208= "yes"),VLOOKUP(C1208,Summary!$B:$J,6,0),0),0)</f>
        <v>0</v>
      </c>
      <c r="J1208" s="111">
        <f t="shared" si="228"/>
        <v>453.89</v>
      </c>
      <c r="K1208" s="91">
        <f>VLOOKUP($A1208,'2022-23 Salary &amp; Benefits'!$A:$I,3,FALSE)</f>
        <v>1</v>
      </c>
      <c r="L1208" s="91">
        <f>VLOOKUP($A1208,'2022-23 Salary &amp; Benefits'!$A:$I,4,FALSE)</f>
        <v>1</v>
      </c>
      <c r="M1208" s="39">
        <f t="shared" si="235"/>
        <v>453.89</v>
      </c>
      <c r="N1208" s="24">
        <v>15</v>
      </c>
      <c r="O1208" s="26">
        <f t="shared" si="226"/>
        <v>30.259333333333334</v>
      </c>
      <c r="P1208" s="24">
        <v>1.1000000000000001</v>
      </c>
      <c r="Q1208" s="24">
        <v>36</v>
      </c>
      <c r="R1208" s="27">
        <f t="shared" si="227"/>
        <v>1198.2696000000001</v>
      </c>
      <c r="S1208" s="102">
        <f t="shared" si="229"/>
        <v>1.331</v>
      </c>
      <c r="T1208" s="21">
        <f>VLOOKUP($A1208,'2022-23 Salary &amp; Benefits'!$A:$I,5,FALSE)</f>
        <v>68937</v>
      </c>
      <c r="U1208" s="21">
        <f>VLOOKUP($A1208,'2022-23 Salary &amp; Benefits'!$A:$I,6,FALSE)</f>
        <v>72728</v>
      </c>
      <c r="V1208" s="22">
        <f t="shared" si="230"/>
        <v>91755.15</v>
      </c>
      <c r="W1208" s="22">
        <f t="shared" si="231"/>
        <v>5045.820000000007</v>
      </c>
      <c r="X1208" s="22">
        <f>'2022-23 Salary &amp; Benefits'!$G$6</f>
        <v>12558.24</v>
      </c>
      <c r="Y1208" s="23">
        <f>'2022-23 Salary &amp; Benefits'!$H$6</f>
        <v>0.2298</v>
      </c>
      <c r="Z1208" s="23">
        <f>'2022-23 Salary &amp; Benefits'!$I$6</f>
        <v>0.22339999999999999</v>
      </c>
      <c r="AA1208" s="22">
        <f t="shared" si="232"/>
        <v>38927.589999999997</v>
      </c>
      <c r="AB1208" s="22">
        <f t="shared" si="233"/>
        <v>1613.35</v>
      </c>
      <c r="AC1208" s="22">
        <f t="shared" si="234"/>
        <v>360.42</v>
      </c>
      <c r="AD1208" s="22">
        <f t="shared" si="236"/>
        <v>1973.77</v>
      </c>
      <c r="AE1208" s="22">
        <f t="shared" si="237"/>
        <v>137702.32999999999</v>
      </c>
      <c r="AF1208" s="19" t="str">
        <f>VLOOKUP(C1208,'2021-22 School Level AAFTE'!C:N,12,FALSE)</f>
        <v>No</v>
      </c>
    </row>
    <row r="1209" spans="1:284" s="5" customFormat="1">
      <c r="A1209" s="97" t="s">
        <v>2554</v>
      </c>
      <c r="B1209" s="97" t="s">
        <v>2166</v>
      </c>
      <c r="C1209" s="95">
        <v>5580</v>
      </c>
      <c r="D1209" s="95" t="s">
        <v>2845</v>
      </c>
      <c r="E1209" s="129">
        <f>VLOOKUP($C1209,'2021-22 School Level AAFTE'!$C:$Z,11,FALSE)</f>
        <v>0.33333333333333331</v>
      </c>
      <c r="F1209" s="129" t="str">
        <f>VLOOKUP($C1209,'2021-22 School Level AAFTE'!$C:$Z,8,FALSE)</f>
        <v>No</v>
      </c>
      <c r="G1209" s="129" t="str">
        <f>VLOOKUP($C1209,'2021-22 School Level AAFTE'!$C:$Z,12,FALSE)</f>
        <v>Yes</v>
      </c>
      <c r="H1209" s="127">
        <f>VLOOKUP($C1209,'2021-22 School Level AAFTE'!$C:$I,7,FALSE)</f>
        <v>0.86</v>
      </c>
      <c r="I1209" s="112">
        <f>IFERROR(IF(OR(G1209="yes",F1209= "yes"),VLOOKUP(C1209,Summary!$B:$J,6,0),0),0)</f>
        <v>0</v>
      </c>
      <c r="J1209" s="111">
        <f t="shared" si="228"/>
        <v>0.86</v>
      </c>
      <c r="K1209" s="91">
        <f>VLOOKUP($A1209,'2022-23 Salary &amp; Benefits'!$A:$I,3,FALSE)</f>
        <v>1</v>
      </c>
      <c r="L1209" s="91">
        <f>VLOOKUP($A1209,'2022-23 Salary &amp; Benefits'!$A:$I,4,FALSE)</f>
        <v>1</v>
      </c>
      <c r="M1209" s="39">
        <f t="shared" si="235"/>
        <v>0.86</v>
      </c>
      <c r="N1209" s="24">
        <v>15</v>
      </c>
      <c r="O1209" s="26">
        <f t="shared" si="226"/>
        <v>5.7333333333333333E-2</v>
      </c>
      <c r="P1209" s="24">
        <v>1.1000000000000001</v>
      </c>
      <c r="Q1209" s="24">
        <v>36</v>
      </c>
      <c r="R1209" s="27">
        <f t="shared" si="227"/>
        <v>2.2704000000000004</v>
      </c>
      <c r="S1209" s="102">
        <f t="shared" si="229"/>
        <v>3.0000000000000001E-3</v>
      </c>
      <c r="T1209" s="21">
        <f>VLOOKUP($A1209,'2022-23 Salary &amp; Benefits'!$A:$I,5,FALSE)</f>
        <v>68937</v>
      </c>
      <c r="U1209" s="21">
        <f>VLOOKUP($A1209,'2022-23 Salary &amp; Benefits'!$A:$I,6,FALSE)</f>
        <v>72728</v>
      </c>
      <c r="V1209" s="22">
        <f t="shared" si="230"/>
        <v>206.81</v>
      </c>
      <c r="W1209" s="22">
        <f t="shared" si="231"/>
        <v>11.370000000000005</v>
      </c>
      <c r="X1209" s="22">
        <f>'2022-23 Salary &amp; Benefits'!$G$6</f>
        <v>12558.24</v>
      </c>
      <c r="Y1209" s="23">
        <f>'2022-23 Salary &amp; Benefits'!$H$6</f>
        <v>0.2298</v>
      </c>
      <c r="Z1209" s="23">
        <f>'2022-23 Salary &amp; Benefits'!$I$6</f>
        <v>0.22339999999999999</v>
      </c>
      <c r="AA1209" s="22">
        <f t="shared" si="232"/>
        <v>87.74</v>
      </c>
      <c r="AB1209" s="22">
        <f t="shared" si="233"/>
        <v>3.64</v>
      </c>
      <c r="AC1209" s="22">
        <f t="shared" si="234"/>
        <v>0.81</v>
      </c>
      <c r="AD1209" s="22">
        <f t="shared" si="236"/>
        <v>4.45</v>
      </c>
      <c r="AE1209" s="22">
        <f t="shared" si="237"/>
        <v>310.37</v>
      </c>
      <c r="AF1209" s="205" t="s">
        <v>3065</v>
      </c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  <c r="IW1209" s="3"/>
      <c r="IX1209" s="3"/>
      <c r="IY1209" s="3"/>
      <c r="IZ1209" s="3"/>
      <c r="JA1209" s="3"/>
      <c r="JB1209" s="3"/>
      <c r="JC1209" s="3"/>
      <c r="JD1209" s="3"/>
      <c r="JE1209" s="3"/>
      <c r="JF1209" s="3"/>
      <c r="JG1209" s="3"/>
      <c r="JH1209" s="3"/>
      <c r="JI1209" s="3"/>
      <c r="JJ1209" s="3"/>
      <c r="JK1209" s="3"/>
      <c r="JL1209" s="3"/>
      <c r="JM1209" s="3"/>
      <c r="JN1209" s="3"/>
      <c r="JO1209" s="3"/>
      <c r="JP1209" s="3"/>
      <c r="JQ1209" s="3"/>
      <c r="JR1209" s="3"/>
      <c r="JS1209" s="3"/>
      <c r="JT1209" s="3"/>
      <c r="JU1209" s="3"/>
      <c r="JV1209" s="3"/>
      <c r="JW1209" s="3"/>
      <c r="JX1209" s="3"/>
    </row>
    <row r="1210" spans="1:284" s="5" customFormat="1">
      <c r="A1210" s="97" t="s">
        <v>2393</v>
      </c>
      <c r="B1210" s="97" t="s">
        <v>1133</v>
      </c>
      <c r="C1210" s="95">
        <v>2273</v>
      </c>
      <c r="D1210" s="95" t="s">
        <v>1134</v>
      </c>
      <c r="E1210" s="129">
        <f>VLOOKUP($C1210,'2021-22 School Level AAFTE'!$C:$Z,11,FALSE)</f>
        <v>0.43239999999999995</v>
      </c>
      <c r="F1210" s="129" t="str">
        <f>VLOOKUP($C1210,'2021-22 School Level AAFTE'!$C:$Z,8,FALSE)</f>
        <v>No</v>
      </c>
      <c r="G1210" s="129" t="str">
        <f>VLOOKUP($C1210,'2021-22 School Level AAFTE'!$C:$Z,12,FALSE)</f>
        <v>No</v>
      </c>
      <c r="H1210" s="127">
        <f>VLOOKUP($C1210,'2021-22 School Level AAFTE'!$C:$I,7,FALSE)</f>
        <v>402.52</v>
      </c>
      <c r="I1210" s="112">
        <f>IFERROR(IF(OR(G1210="yes",F1210= "yes"),VLOOKUP(C1210,Summary!$B:$J,6,0),0),0)</f>
        <v>0</v>
      </c>
      <c r="J1210" s="111">
        <f t="shared" si="228"/>
        <v>0</v>
      </c>
      <c r="K1210" s="91">
        <f>VLOOKUP($A1210,'2022-23 Salary &amp; Benefits'!$A:$I,3,FALSE)</f>
        <v>1</v>
      </c>
      <c r="L1210" s="91">
        <f>VLOOKUP($A1210,'2022-23 Salary &amp; Benefits'!$A:$I,4,FALSE)</f>
        <v>1</v>
      </c>
      <c r="M1210" s="101">
        <f t="shared" si="235"/>
        <v>0</v>
      </c>
      <c r="N1210" s="24">
        <v>15</v>
      </c>
      <c r="O1210" s="26">
        <f t="shared" si="226"/>
        <v>0</v>
      </c>
      <c r="P1210" s="24">
        <v>1.1000000000000001</v>
      </c>
      <c r="Q1210" s="24">
        <v>36</v>
      </c>
      <c r="R1210" s="27">
        <f t="shared" si="227"/>
        <v>0</v>
      </c>
      <c r="S1210" s="102">
        <f t="shared" si="229"/>
        <v>0</v>
      </c>
      <c r="T1210" s="21">
        <f>VLOOKUP($A1210,'2022-23 Salary &amp; Benefits'!$A:$I,5,FALSE)</f>
        <v>68937</v>
      </c>
      <c r="U1210" s="21">
        <f>VLOOKUP($A1210,'2022-23 Salary &amp; Benefits'!$A:$I,6,FALSE)</f>
        <v>72728</v>
      </c>
      <c r="V1210" s="22">
        <f t="shared" si="230"/>
        <v>0</v>
      </c>
      <c r="W1210" s="22">
        <f t="shared" si="231"/>
        <v>0</v>
      </c>
      <c r="X1210" s="22">
        <f>'2022-23 Salary &amp; Benefits'!$G$6</f>
        <v>12558.24</v>
      </c>
      <c r="Y1210" s="23">
        <f>'2022-23 Salary &amp; Benefits'!$H$6</f>
        <v>0.2298</v>
      </c>
      <c r="Z1210" s="23">
        <f>'2022-23 Salary &amp; Benefits'!$I$6</f>
        <v>0.22339999999999999</v>
      </c>
      <c r="AA1210" s="22">
        <f t="shared" si="232"/>
        <v>0</v>
      </c>
      <c r="AB1210" s="22">
        <f t="shared" si="233"/>
        <v>0</v>
      </c>
      <c r="AC1210" s="22">
        <f t="shared" si="234"/>
        <v>0</v>
      </c>
      <c r="AD1210" s="22">
        <f t="shared" si="236"/>
        <v>0</v>
      </c>
      <c r="AE1210" s="22">
        <f t="shared" si="237"/>
        <v>0</v>
      </c>
      <c r="AF1210" s="19" t="str">
        <f>VLOOKUP(C1210,'2021-22 School Level AAFTE'!C:N,12,FALSE)</f>
        <v>No</v>
      </c>
    </row>
    <row r="1211" spans="1:284" s="5" customFormat="1">
      <c r="A1211" s="97" t="s">
        <v>2393</v>
      </c>
      <c r="B1211" s="97" t="s">
        <v>1133</v>
      </c>
      <c r="C1211" s="95">
        <v>3288</v>
      </c>
      <c r="D1211" s="95" t="s">
        <v>1135</v>
      </c>
      <c r="E1211" s="129">
        <f>VLOOKUP($C1211,'2021-22 School Level AAFTE'!$C:$Z,11,FALSE)</f>
        <v>0.42923333333333336</v>
      </c>
      <c r="F1211" s="129" t="str">
        <f>VLOOKUP($C1211,'2021-22 School Level AAFTE'!$C:$Z,8,FALSE)</f>
        <v>No</v>
      </c>
      <c r="G1211" s="129" t="str">
        <f>VLOOKUP($C1211,'2021-22 School Level AAFTE'!$C:$Z,12,FALSE)</f>
        <v>No</v>
      </c>
      <c r="H1211" s="127">
        <f>VLOOKUP($C1211,'2021-22 School Level AAFTE'!$C:$I,7,FALSE)</f>
        <v>367</v>
      </c>
      <c r="I1211" s="112">
        <f>IFERROR(IF(OR(G1211="yes",F1211= "yes"),VLOOKUP(C1211,Summary!$B:$J,6,0),0),0)</f>
        <v>0</v>
      </c>
      <c r="J1211" s="111">
        <f t="shared" si="228"/>
        <v>0</v>
      </c>
      <c r="K1211" s="91">
        <f>VLOOKUP($A1211,'2022-23 Salary &amp; Benefits'!$A:$I,3,FALSE)</f>
        <v>1</v>
      </c>
      <c r="L1211" s="91">
        <f>VLOOKUP($A1211,'2022-23 Salary &amp; Benefits'!$A:$I,4,FALSE)</f>
        <v>1</v>
      </c>
      <c r="M1211" s="39">
        <f t="shared" si="235"/>
        <v>0</v>
      </c>
      <c r="N1211" s="24">
        <v>15</v>
      </c>
      <c r="O1211" s="26">
        <f t="shared" si="226"/>
        <v>0</v>
      </c>
      <c r="P1211" s="24">
        <v>1.1000000000000001</v>
      </c>
      <c r="Q1211" s="24">
        <v>36</v>
      </c>
      <c r="R1211" s="27">
        <f t="shared" si="227"/>
        <v>0</v>
      </c>
      <c r="S1211" s="102">
        <f t="shared" si="229"/>
        <v>0</v>
      </c>
      <c r="T1211" s="21">
        <f>VLOOKUP($A1211,'2022-23 Salary &amp; Benefits'!$A:$I,5,FALSE)</f>
        <v>68937</v>
      </c>
      <c r="U1211" s="21">
        <f>VLOOKUP($A1211,'2022-23 Salary &amp; Benefits'!$A:$I,6,FALSE)</f>
        <v>72728</v>
      </c>
      <c r="V1211" s="22">
        <f t="shared" si="230"/>
        <v>0</v>
      </c>
      <c r="W1211" s="22">
        <f t="shared" si="231"/>
        <v>0</v>
      </c>
      <c r="X1211" s="22">
        <f>'2022-23 Salary &amp; Benefits'!$G$6</f>
        <v>12558.24</v>
      </c>
      <c r="Y1211" s="23">
        <f>'2022-23 Salary &amp; Benefits'!$H$6</f>
        <v>0.2298</v>
      </c>
      <c r="Z1211" s="23">
        <f>'2022-23 Salary &amp; Benefits'!$I$6</f>
        <v>0.22339999999999999</v>
      </c>
      <c r="AA1211" s="22">
        <f t="shared" si="232"/>
        <v>0</v>
      </c>
      <c r="AB1211" s="22">
        <f t="shared" si="233"/>
        <v>0</v>
      </c>
      <c r="AC1211" s="22">
        <f t="shared" si="234"/>
        <v>0</v>
      </c>
      <c r="AD1211" s="22">
        <f t="shared" si="236"/>
        <v>0</v>
      </c>
      <c r="AE1211" s="22">
        <f t="shared" si="237"/>
        <v>0</v>
      </c>
      <c r="AF1211" s="19" t="str">
        <f>VLOOKUP(C1211,'2021-22 School Level AAFTE'!C:N,12,FALSE)</f>
        <v>No</v>
      </c>
    </row>
    <row r="1212" spans="1:284" s="5" customFormat="1">
      <c r="A1212" s="97" t="s">
        <v>2432</v>
      </c>
      <c r="B1212" s="97" t="s">
        <v>1272</v>
      </c>
      <c r="C1212" s="95">
        <v>2868</v>
      </c>
      <c r="D1212" s="95" t="s">
        <v>1273</v>
      </c>
      <c r="E1212" s="129">
        <f>VLOOKUP($C1212,'2021-22 School Level AAFTE'!$C:$Z,11,FALSE)</f>
        <v>0.53826666666666667</v>
      </c>
      <c r="F1212" s="129" t="str">
        <f>VLOOKUP($C1212,'2021-22 School Level AAFTE'!$C:$Z,8,FALSE)</f>
        <v>Yes</v>
      </c>
      <c r="G1212" s="129" t="str">
        <f>VLOOKUP($C1212,'2021-22 School Level AAFTE'!$C:$Z,12,FALSE)</f>
        <v>No</v>
      </c>
      <c r="H1212" s="127">
        <f>VLOOKUP($C1212,'2021-22 School Level AAFTE'!$C:$I,7,FALSE)</f>
        <v>126.34</v>
      </c>
      <c r="I1212" s="112">
        <f>IFERROR(IF(OR(G1212="yes",F1212= "yes"),VLOOKUP(C1212,Summary!$B:$J,6,0),0),0)</f>
        <v>0</v>
      </c>
      <c r="J1212" s="111">
        <f t="shared" si="228"/>
        <v>126.34</v>
      </c>
      <c r="K1212" s="91">
        <f>VLOOKUP($A1212,'2022-23 Salary &amp; Benefits'!$A:$I,3,FALSE)</f>
        <v>1</v>
      </c>
      <c r="L1212" s="91">
        <f>VLOOKUP($A1212,'2022-23 Salary &amp; Benefits'!$A:$I,4,FALSE)</f>
        <v>1.04</v>
      </c>
      <c r="M1212" s="101">
        <f t="shared" si="235"/>
        <v>126.34</v>
      </c>
      <c r="N1212" s="24">
        <v>15</v>
      </c>
      <c r="O1212" s="26">
        <f t="shared" si="226"/>
        <v>8.4226666666666663</v>
      </c>
      <c r="P1212" s="24">
        <v>1.1000000000000001</v>
      </c>
      <c r="Q1212" s="24">
        <v>36</v>
      </c>
      <c r="R1212" s="27">
        <f t="shared" si="227"/>
        <v>333.5376</v>
      </c>
      <c r="S1212" s="102">
        <f t="shared" si="229"/>
        <v>0.371</v>
      </c>
      <c r="T1212" s="21">
        <f>VLOOKUP($A1212,'2022-23 Salary &amp; Benefits'!$A:$I,5,FALSE)</f>
        <v>68937</v>
      </c>
      <c r="U1212" s="21">
        <f>VLOOKUP($A1212,'2022-23 Salary &amp; Benefits'!$A:$I,6,FALSE)</f>
        <v>72728</v>
      </c>
      <c r="V1212" s="22">
        <f t="shared" si="230"/>
        <v>25575.63</v>
      </c>
      <c r="W1212" s="22">
        <f t="shared" si="231"/>
        <v>2485.739999999998</v>
      </c>
      <c r="X1212" s="22">
        <f>'2022-23 Salary &amp; Benefits'!$G$6</f>
        <v>12558.24</v>
      </c>
      <c r="Y1212" s="23">
        <f>'2022-23 Salary &amp; Benefits'!$H$6</f>
        <v>0.2298</v>
      </c>
      <c r="Z1212" s="23">
        <f>'2022-23 Salary &amp; Benefits'!$I$6</f>
        <v>0.22339999999999999</v>
      </c>
      <c r="AA1212" s="22">
        <f t="shared" si="232"/>
        <v>11091.7</v>
      </c>
      <c r="AB1212" s="22">
        <f t="shared" si="233"/>
        <v>467.69</v>
      </c>
      <c r="AC1212" s="22">
        <f t="shared" si="234"/>
        <v>104.48</v>
      </c>
      <c r="AD1212" s="22">
        <f t="shared" si="236"/>
        <v>572.16999999999996</v>
      </c>
      <c r="AE1212" s="22">
        <f t="shared" si="237"/>
        <v>39725.24</v>
      </c>
      <c r="AF1212" s="19" t="str">
        <f>VLOOKUP(C1212,'2021-22 School Level AAFTE'!C:N,12,FALSE)</f>
        <v>No</v>
      </c>
    </row>
    <row r="1213" spans="1:284" s="5" customFormat="1">
      <c r="A1213" s="97" t="s">
        <v>2432</v>
      </c>
      <c r="B1213" s="97" t="s">
        <v>1272</v>
      </c>
      <c r="C1213" s="95">
        <v>3295</v>
      </c>
      <c r="D1213" s="95" t="s">
        <v>1274</v>
      </c>
      <c r="E1213" s="129">
        <f>VLOOKUP($C1213,'2021-22 School Level AAFTE'!$C:$Z,11,FALSE)</f>
        <v>0.54976666666666674</v>
      </c>
      <c r="F1213" s="129" t="str">
        <f>VLOOKUP($C1213,'2021-22 School Level AAFTE'!$C:$Z,8,FALSE)</f>
        <v>Yes</v>
      </c>
      <c r="G1213" s="129" t="str">
        <f>VLOOKUP($C1213,'2021-22 School Level AAFTE'!$C:$Z,12,FALSE)</f>
        <v>No</v>
      </c>
      <c r="H1213" s="127">
        <f>VLOOKUP($C1213,'2021-22 School Level AAFTE'!$C:$I,7,FALSE)</f>
        <v>184.98</v>
      </c>
      <c r="I1213" s="112">
        <f>IFERROR(IF(OR(G1213="yes",F1213= "yes"),VLOOKUP(C1213,Summary!$B:$J,6,0),0),0)</f>
        <v>0</v>
      </c>
      <c r="J1213" s="111">
        <f t="shared" si="228"/>
        <v>184.98</v>
      </c>
      <c r="K1213" s="91">
        <f>VLOOKUP($A1213,'2022-23 Salary &amp; Benefits'!$A:$I,3,FALSE)</f>
        <v>1</v>
      </c>
      <c r="L1213" s="91">
        <f>VLOOKUP($A1213,'2022-23 Salary &amp; Benefits'!$A:$I,4,FALSE)</f>
        <v>1.04</v>
      </c>
      <c r="M1213" s="101">
        <f t="shared" si="235"/>
        <v>184.98</v>
      </c>
      <c r="N1213" s="24">
        <v>15</v>
      </c>
      <c r="O1213" s="26">
        <f t="shared" si="226"/>
        <v>12.331999999999999</v>
      </c>
      <c r="P1213" s="24">
        <v>1.1000000000000001</v>
      </c>
      <c r="Q1213" s="24">
        <v>36</v>
      </c>
      <c r="R1213" s="27">
        <f t="shared" si="227"/>
        <v>488.34720000000004</v>
      </c>
      <c r="S1213" s="102">
        <f t="shared" si="229"/>
        <v>0.54300000000000004</v>
      </c>
      <c r="T1213" s="21">
        <f>VLOOKUP($A1213,'2022-23 Salary &amp; Benefits'!$A:$I,5,FALSE)</f>
        <v>68937</v>
      </c>
      <c r="U1213" s="21">
        <f>VLOOKUP($A1213,'2022-23 Salary &amp; Benefits'!$A:$I,6,FALSE)</f>
        <v>72728</v>
      </c>
      <c r="V1213" s="22">
        <f t="shared" si="230"/>
        <v>37432.79</v>
      </c>
      <c r="W1213" s="22">
        <f t="shared" si="231"/>
        <v>3638.1699999999983</v>
      </c>
      <c r="X1213" s="22">
        <f>'2022-23 Salary &amp; Benefits'!$G$6</f>
        <v>12558.24</v>
      </c>
      <c r="Y1213" s="23">
        <f>'2022-23 Salary &amp; Benefits'!$H$6</f>
        <v>0.2298</v>
      </c>
      <c r="Z1213" s="23">
        <f>'2022-23 Salary &amp; Benefits'!$I$6</f>
        <v>0.22339999999999999</v>
      </c>
      <c r="AA1213" s="22">
        <f t="shared" si="232"/>
        <v>16233.95</v>
      </c>
      <c r="AB1213" s="22">
        <f t="shared" si="233"/>
        <v>684.52</v>
      </c>
      <c r="AC1213" s="22">
        <f t="shared" si="234"/>
        <v>152.91999999999999</v>
      </c>
      <c r="AD1213" s="22">
        <f t="shared" si="236"/>
        <v>837.43999999999994</v>
      </c>
      <c r="AE1213" s="22">
        <f t="shared" si="237"/>
        <v>58142.350000000006</v>
      </c>
      <c r="AF1213" s="19" t="str">
        <f>VLOOKUP(C1213,'2021-22 School Level AAFTE'!C:N,12,FALSE)</f>
        <v>No</v>
      </c>
    </row>
    <row r="1214" spans="1:284" s="5" customFormat="1">
      <c r="A1214" s="97" t="s">
        <v>2421</v>
      </c>
      <c r="B1214" s="97" t="s">
        <v>2765</v>
      </c>
      <c r="C1214" s="95">
        <v>2494</v>
      </c>
      <c r="D1214" s="95" t="s">
        <v>1225</v>
      </c>
      <c r="E1214" s="129">
        <f>VLOOKUP($C1214,'2021-22 School Level AAFTE'!$C:$Z,11,FALSE)</f>
        <v>0.97986666666666666</v>
      </c>
      <c r="F1214" s="129" t="str">
        <f>VLOOKUP($C1214,'2021-22 School Level AAFTE'!$C:$Z,8,FALSE)</f>
        <v>Yes</v>
      </c>
      <c r="G1214" s="129" t="str">
        <f>VLOOKUP($C1214,'2021-22 School Level AAFTE'!$C:$Z,12,FALSE)</f>
        <v>No</v>
      </c>
      <c r="H1214" s="127">
        <f>VLOOKUP($C1214,'2021-22 School Level AAFTE'!$C:$I,7,FALSE)</f>
        <v>128.29</v>
      </c>
      <c r="I1214" s="112">
        <f>IFERROR(IF(OR(G1214="yes",F1214= "yes"),VLOOKUP(C1214,Summary!$B:$J,6,0),0),0)</f>
        <v>0</v>
      </c>
      <c r="J1214" s="111">
        <f t="shared" si="228"/>
        <v>128.29</v>
      </c>
      <c r="K1214" s="91">
        <f>VLOOKUP($A1214,'2022-23 Salary &amp; Benefits'!$A:$I,3,FALSE)</f>
        <v>1</v>
      </c>
      <c r="L1214" s="91">
        <f>VLOOKUP($A1214,'2022-23 Salary &amp; Benefits'!$A:$I,4,FALSE)</f>
        <v>1</v>
      </c>
      <c r="M1214" s="39">
        <f t="shared" si="235"/>
        <v>128.29</v>
      </c>
      <c r="N1214" s="24">
        <v>15</v>
      </c>
      <c r="O1214" s="26">
        <f t="shared" si="226"/>
        <v>8.5526666666666653</v>
      </c>
      <c r="P1214" s="24">
        <v>1.1000000000000001</v>
      </c>
      <c r="Q1214" s="24">
        <v>36</v>
      </c>
      <c r="R1214" s="27">
        <f t="shared" si="227"/>
        <v>338.68559999999997</v>
      </c>
      <c r="S1214" s="102">
        <f t="shared" si="229"/>
        <v>0.376</v>
      </c>
      <c r="T1214" s="21">
        <f>VLOOKUP($A1214,'2022-23 Salary &amp; Benefits'!$A:$I,5,FALSE)</f>
        <v>68937</v>
      </c>
      <c r="U1214" s="21">
        <f>VLOOKUP($A1214,'2022-23 Salary &amp; Benefits'!$A:$I,6,FALSE)</f>
        <v>72728</v>
      </c>
      <c r="V1214" s="22">
        <f t="shared" si="230"/>
        <v>25920.31</v>
      </c>
      <c r="W1214" s="22">
        <f t="shared" si="231"/>
        <v>1425.4199999999983</v>
      </c>
      <c r="X1214" s="22">
        <f>'2022-23 Salary &amp; Benefits'!$G$6</f>
        <v>12558.24</v>
      </c>
      <c r="Y1214" s="23">
        <f>'2022-23 Salary &amp; Benefits'!$H$6</f>
        <v>0.2298</v>
      </c>
      <c r="Z1214" s="23">
        <f>'2022-23 Salary &amp; Benefits'!$I$6</f>
        <v>0.22339999999999999</v>
      </c>
      <c r="AA1214" s="22">
        <f t="shared" si="232"/>
        <v>10996.82</v>
      </c>
      <c r="AB1214" s="22">
        <f t="shared" si="233"/>
        <v>455.76</v>
      </c>
      <c r="AC1214" s="22">
        <f t="shared" si="234"/>
        <v>101.82</v>
      </c>
      <c r="AD1214" s="22">
        <f t="shared" si="236"/>
        <v>557.57999999999993</v>
      </c>
      <c r="AE1214" s="22">
        <f t="shared" si="237"/>
        <v>38900.130000000005</v>
      </c>
      <c r="AF1214" s="19" t="str">
        <f>VLOOKUP(C1214,'2021-22 School Level AAFTE'!C:N,12,FALSE)</f>
        <v>No</v>
      </c>
    </row>
    <row r="1215" spans="1:284" s="5" customFormat="1">
      <c r="A1215" s="97" t="s">
        <v>2435</v>
      </c>
      <c r="B1215" s="97" t="s">
        <v>1280</v>
      </c>
      <c r="C1215" s="95">
        <v>2518</v>
      </c>
      <c r="D1215" s="95" t="s">
        <v>1281</v>
      </c>
      <c r="E1215" s="129">
        <f>VLOOKUP($C1215,'2021-22 School Level AAFTE'!$C:$Z,11,FALSE)</f>
        <v>0.57079999999999997</v>
      </c>
      <c r="F1215" s="129" t="str">
        <f>VLOOKUP($C1215,'2021-22 School Level AAFTE'!$C:$Z,8,FALSE)</f>
        <v>Yes</v>
      </c>
      <c r="G1215" s="129" t="str">
        <f>VLOOKUP($C1215,'2021-22 School Level AAFTE'!$C:$Z,12,FALSE)</f>
        <v>No</v>
      </c>
      <c r="H1215" s="127">
        <f>VLOOKUP($C1215,'2021-22 School Level AAFTE'!$C:$I,7,FALSE)</f>
        <v>316.64999999999998</v>
      </c>
      <c r="I1215" s="112">
        <f>IFERROR(IF(OR(G1215="yes",F1215= "yes"),VLOOKUP(C1215,Summary!$B:$J,6,0),0),0)</f>
        <v>0</v>
      </c>
      <c r="J1215" s="111">
        <f t="shared" si="228"/>
        <v>316.64999999999998</v>
      </c>
      <c r="K1215" s="91">
        <f>VLOOKUP($A1215,'2022-23 Salary &amp; Benefits'!$A:$I,3,FALSE)</f>
        <v>1</v>
      </c>
      <c r="L1215" s="91">
        <f>VLOOKUP($A1215,'2022-23 Salary &amp; Benefits'!$A:$I,4,FALSE)</f>
        <v>1</v>
      </c>
      <c r="M1215" s="101">
        <f t="shared" si="235"/>
        <v>316.64999999999998</v>
      </c>
      <c r="N1215" s="24">
        <v>15</v>
      </c>
      <c r="O1215" s="26">
        <f t="shared" si="226"/>
        <v>21.11</v>
      </c>
      <c r="P1215" s="24">
        <v>1.1000000000000001</v>
      </c>
      <c r="Q1215" s="24">
        <v>36</v>
      </c>
      <c r="R1215" s="27">
        <f t="shared" si="227"/>
        <v>835.95600000000002</v>
      </c>
      <c r="S1215" s="102">
        <f t="shared" si="229"/>
        <v>0.92900000000000005</v>
      </c>
      <c r="T1215" s="21">
        <f>VLOOKUP($A1215,'2022-23 Salary &amp; Benefits'!$A:$I,5,FALSE)</f>
        <v>68937</v>
      </c>
      <c r="U1215" s="21">
        <f>VLOOKUP($A1215,'2022-23 Salary &amp; Benefits'!$A:$I,6,FALSE)</f>
        <v>72728</v>
      </c>
      <c r="V1215" s="22">
        <f t="shared" si="230"/>
        <v>64042.47</v>
      </c>
      <c r="W1215" s="22">
        <f t="shared" si="231"/>
        <v>3521.8399999999965</v>
      </c>
      <c r="X1215" s="22">
        <f>'2022-23 Salary &amp; Benefits'!$G$6</f>
        <v>12558.24</v>
      </c>
      <c r="Y1215" s="23">
        <f>'2022-23 Salary &amp; Benefits'!$H$6</f>
        <v>0.2298</v>
      </c>
      <c r="Z1215" s="23">
        <f>'2022-23 Salary &amp; Benefits'!$I$6</f>
        <v>0.22339999999999999</v>
      </c>
      <c r="AA1215" s="22">
        <f t="shared" si="232"/>
        <v>27170.34</v>
      </c>
      <c r="AB1215" s="22">
        <f t="shared" si="233"/>
        <v>1126.07</v>
      </c>
      <c r="AC1215" s="22">
        <f t="shared" si="234"/>
        <v>251.56</v>
      </c>
      <c r="AD1215" s="22">
        <f t="shared" si="236"/>
        <v>1377.6299999999999</v>
      </c>
      <c r="AE1215" s="22">
        <f t="shared" si="237"/>
        <v>96112.28</v>
      </c>
      <c r="AF1215" s="19" t="str">
        <f>VLOOKUP(C1215,'2021-22 School Level AAFTE'!C:N,12,FALSE)</f>
        <v>No</v>
      </c>
    </row>
    <row r="1216" spans="1:284" s="5" customFormat="1">
      <c r="A1216" s="97" t="s">
        <v>2435</v>
      </c>
      <c r="B1216" s="97" t="s">
        <v>1280</v>
      </c>
      <c r="C1216" s="95">
        <v>3968</v>
      </c>
      <c r="D1216" s="95" t="s">
        <v>1282</v>
      </c>
      <c r="E1216" s="129">
        <f>VLOOKUP($C1216,'2021-22 School Level AAFTE'!$C:$Z,11,FALSE)</f>
        <v>0.62519999999999998</v>
      </c>
      <c r="F1216" s="129" t="str">
        <f>VLOOKUP($C1216,'2021-22 School Level AAFTE'!$C:$Z,8,FALSE)</f>
        <v>Yes</v>
      </c>
      <c r="G1216" s="129" t="str">
        <f>VLOOKUP($C1216,'2021-22 School Level AAFTE'!$C:$Z,12,FALSE)</f>
        <v>No</v>
      </c>
      <c r="H1216" s="127">
        <f>VLOOKUP($C1216,'2021-22 School Level AAFTE'!$C:$I,7,FALSE)</f>
        <v>283.07</v>
      </c>
      <c r="I1216" s="112">
        <f>IFERROR(IF(OR(G1216="yes",F1216= "yes"),VLOOKUP(C1216,Summary!$B:$J,6,0),0),0)</f>
        <v>0</v>
      </c>
      <c r="J1216" s="111">
        <f t="shared" si="228"/>
        <v>283.07</v>
      </c>
      <c r="K1216" s="91">
        <f>VLOOKUP($A1216,'2022-23 Salary &amp; Benefits'!$A:$I,3,FALSE)</f>
        <v>1</v>
      </c>
      <c r="L1216" s="91">
        <f>VLOOKUP($A1216,'2022-23 Salary &amp; Benefits'!$A:$I,4,FALSE)</f>
        <v>1</v>
      </c>
      <c r="M1216" s="39">
        <f t="shared" si="235"/>
        <v>283.07</v>
      </c>
      <c r="N1216" s="24">
        <v>15</v>
      </c>
      <c r="O1216" s="26">
        <f t="shared" si="226"/>
        <v>18.871333333333332</v>
      </c>
      <c r="P1216" s="24">
        <v>1.1000000000000001</v>
      </c>
      <c r="Q1216" s="24">
        <v>36</v>
      </c>
      <c r="R1216" s="27">
        <f t="shared" si="227"/>
        <v>747.3048</v>
      </c>
      <c r="S1216" s="102">
        <f t="shared" si="229"/>
        <v>0.83</v>
      </c>
      <c r="T1216" s="21">
        <f>VLOOKUP($A1216,'2022-23 Salary &amp; Benefits'!$A:$I,5,FALSE)</f>
        <v>68937</v>
      </c>
      <c r="U1216" s="21">
        <f>VLOOKUP($A1216,'2022-23 Salary &amp; Benefits'!$A:$I,6,FALSE)</f>
        <v>72728</v>
      </c>
      <c r="V1216" s="22">
        <f t="shared" si="230"/>
        <v>57217.71</v>
      </c>
      <c r="W1216" s="22">
        <f t="shared" si="231"/>
        <v>3146.5299999999988</v>
      </c>
      <c r="X1216" s="22">
        <f>'2022-23 Salary &amp; Benefits'!$G$6</f>
        <v>12558.24</v>
      </c>
      <c r="Y1216" s="23">
        <f>'2022-23 Salary &amp; Benefits'!$H$6</f>
        <v>0.2298</v>
      </c>
      <c r="Z1216" s="23">
        <f>'2022-23 Salary &amp; Benefits'!$I$6</f>
        <v>0.22339999999999999</v>
      </c>
      <c r="AA1216" s="22">
        <f t="shared" si="232"/>
        <v>24274.9</v>
      </c>
      <c r="AB1216" s="22">
        <f t="shared" si="233"/>
        <v>1006.07</v>
      </c>
      <c r="AC1216" s="22">
        <f t="shared" si="234"/>
        <v>224.76</v>
      </c>
      <c r="AD1216" s="22">
        <f t="shared" si="236"/>
        <v>1230.83</v>
      </c>
      <c r="AE1216" s="22">
        <f t="shared" si="237"/>
        <v>85869.97</v>
      </c>
      <c r="AF1216" s="19" t="str">
        <f>VLOOKUP(C1216,'2021-22 School Level AAFTE'!C:N,12,FALSE)</f>
        <v>No</v>
      </c>
    </row>
    <row r="1217" spans="1:32" s="5" customFormat="1">
      <c r="A1217" s="97" t="s">
        <v>2435</v>
      </c>
      <c r="B1217" s="97" t="s">
        <v>1280</v>
      </c>
      <c r="C1217" s="95">
        <v>4478</v>
      </c>
      <c r="D1217" s="95" t="s">
        <v>1283</v>
      </c>
      <c r="E1217" s="129">
        <f>VLOOKUP($C1217,'2021-22 School Level AAFTE'!$C:$Z,11,FALSE)</f>
        <v>0.63906666666666656</v>
      </c>
      <c r="F1217" s="129" t="str">
        <f>VLOOKUP($C1217,'2021-22 School Level AAFTE'!$C:$Z,8,FALSE)</f>
        <v>Yes</v>
      </c>
      <c r="G1217" s="129" t="str">
        <f>VLOOKUP($C1217,'2021-22 School Level AAFTE'!$C:$Z,12,FALSE)</f>
        <v>No</v>
      </c>
      <c r="H1217" s="127">
        <f>VLOOKUP($C1217,'2021-22 School Level AAFTE'!$C:$I,7,FALSE)</f>
        <v>311.70999999999998</v>
      </c>
      <c r="I1217" s="112">
        <f>IFERROR(IF(OR(G1217="yes",F1217= "yes"),VLOOKUP(C1217,Summary!$B:$J,6,0),0),0)</f>
        <v>0</v>
      </c>
      <c r="J1217" s="111">
        <f t="shared" si="228"/>
        <v>311.70999999999998</v>
      </c>
      <c r="K1217" s="91">
        <f>VLOOKUP($A1217,'2022-23 Salary &amp; Benefits'!$A:$I,3,FALSE)</f>
        <v>1</v>
      </c>
      <c r="L1217" s="91">
        <f>VLOOKUP($A1217,'2022-23 Salary &amp; Benefits'!$A:$I,4,FALSE)</f>
        <v>1</v>
      </c>
      <c r="M1217" s="101">
        <f t="shared" si="235"/>
        <v>311.70999999999998</v>
      </c>
      <c r="N1217" s="24">
        <v>15</v>
      </c>
      <c r="O1217" s="26">
        <f t="shared" si="226"/>
        <v>20.780666666666665</v>
      </c>
      <c r="P1217" s="24">
        <v>1.1000000000000001</v>
      </c>
      <c r="Q1217" s="24">
        <v>36</v>
      </c>
      <c r="R1217" s="27">
        <f t="shared" si="227"/>
        <v>822.9144</v>
      </c>
      <c r="S1217" s="102">
        <f t="shared" si="229"/>
        <v>0.91400000000000003</v>
      </c>
      <c r="T1217" s="21">
        <f>VLOOKUP($A1217,'2022-23 Salary &amp; Benefits'!$A:$I,5,FALSE)</f>
        <v>68937</v>
      </c>
      <c r="U1217" s="21">
        <f>VLOOKUP($A1217,'2022-23 Salary &amp; Benefits'!$A:$I,6,FALSE)</f>
        <v>72728</v>
      </c>
      <c r="V1217" s="22">
        <f t="shared" si="230"/>
        <v>63008.42</v>
      </c>
      <c r="W1217" s="22">
        <f t="shared" si="231"/>
        <v>3464.9700000000012</v>
      </c>
      <c r="X1217" s="22">
        <f>'2022-23 Salary &amp; Benefits'!$G$6</f>
        <v>12558.24</v>
      </c>
      <c r="Y1217" s="23">
        <f>'2022-23 Salary &amp; Benefits'!$H$6</f>
        <v>0.2298</v>
      </c>
      <c r="Z1217" s="23">
        <f>'2022-23 Salary &amp; Benefits'!$I$6</f>
        <v>0.22339999999999999</v>
      </c>
      <c r="AA1217" s="22">
        <f t="shared" si="232"/>
        <v>26731.64</v>
      </c>
      <c r="AB1217" s="22">
        <f t="shared" si="233"/>
        <v>1107.8900000000001</v>
      </c>
      <c r="AC1217" s="22">
        <f t="shared" si="234"/>
        <v>247.5</v>
      </c>
      <c r="AD1217" s="22">
        <f t="shared" si="236"/>
        <v>1355.39</v>
      </c>
      <c r="AE1217" s="22">
        <f t="shared" si="237"/>
        <v>94560.42</v>
      </c>
      <c r="AF1217" s="19" t="str">
        <f>VLOOKUP(C1217,'2021-22 School Level AAFTE'!C:N,12,FALSE)</f>
        <v>No</v>
      </c>
    </row>
    <row r="1218" spans="1:32" s="5" customFormat="1">
      <c r="A1218" s="97" t="s">
        <v>2435</v>
      </c>
      <c r="B1218" s="97" t="s">
        <v>1280</v>
      </c>
      <c r="C1218" s="95">
        <v>5118</v>
      </c>
      <c r="D1218" s="95" t="s">
        <v>1284</v>
      </c>
      <c r="E1218" s="129">
        <f>VLOOKUP($C1218,'2021-22 School Level AAFTE'!$C:$Z,11,FALSE)</f>
        <v>0.75633333333333341</v>
      </c>
      <c r="F1218" s="129" t="str">
        <f>VLOOKUP($C1218,'2021-22 School Level AAFTE'!$C:$Z,8,FALSE)</f>
        <v>Yes</v>
      </c>
      <c r="G1218" s="129" t="str">
        <f>VLOOKUP($C1218,'2021-22 School Level AAFTE'!$C:$Z,12,FALSE)</f>
        <v>No</v>
      </c>
      <c r="H1218" s="127">
        <f>VLOOKUP($C1218,'2021-22 School Level AAFTE'!$C:$I,7,FALSE)</f>
        <v>38.549999999999997</v>
      </c>
      <c r="I1218" s="112">
        <f>IFERROR(IF(OR(G1218="yes",F1218= "yes"),VLOOKUP(C1218,Summary!$B:$J,6,0),0),0)</f>
        <v>0</v>
      </c>
      <c r="J1218" s="111">
        <f t="shared" si="228"/>
        <v>38.549999999999997</v>
      </c>
      <c r="K1218" s="91">
        <f>VLOOKUP($A1218,'2022-23 Salary &amp; Benefits'!$A:$I,3,FALSE)</f>
        <v>1</v>
      </c>
      <c r="L1218" s="91">
        <f>VLOOKUP($A1218,'2022-23 Salary &amp; Benefits'!$A:$I,4,FALSE)</f>
        <v>1</v>
      </c>
      <c r="M1218" s="101">
        <f t="shared" si="235"/>
        <v>38.549999999999997</v>
      </c>
      <c r="N1218" s="24">
        <v>15</v>
      </c>
      <c r="O1218" s="26">
        <f t="shared" si="226"/>
        <v>2.57</v>
      </c>
      <c r="P1218" s="24">
        <v>1.1000000000000001</v>
      </c>
      <c r="Q1218" s="24">
        <v>36</v>
      </c>
      <c r="R1218" s="27">
        <f t="shared" si="227"/>
        <v>101.77199999999999</v>
      </c>
      <c r="S1218" s="102">
        <f t="shared" si="229"/>
        <v>0.113</v>
      </c>
      <c r="T1218" s="21">
        <f>VLOOKUP($A1218,'2022-23 Salary &amp; Benefits'!$A:$I,5,FALSE)</f>
        <v>68937</v>
      </c>
      <c r="U1218" s="21">
        <f>VLOOKUP($A1218,'2022-23 Salary &amp; Benefits'!$A:$I,6,FALSE)</f>
        <v>72728</v>
      </c>
      <c r="V1218" s="22">
        <f t="shared" si="230"/>
        <v>7789.88</v>
      </c>
      <c r="W1218" s="22">
        <f t="shared" si="231"/>
        <v>428.38000000000011</v>
      </c>
      <c r="X1218" s="22">
        <f>'2022-23 Salary &amp; Benefits'!$G$6</f>
        <v>12558.24</v>
      </c>
      <c r="Y1218" s="23">
        <f>'2022-23 Salary &amp; Benefits'!$H$6</f>
        <v>0.2298</v>
      </c>
      <c r="Z1218" s="23">
        <f>'2022-23 Salary &amp; Benefits'!$I$6</f>
        <v>0.22339999999999999</v>
      </c>
      <c r="AA1218" s="22">
        <f t="shared" si="232"/>
        <v>3304.9</v>
      </c>
      <c r="AB1218" s="22">
        <f t="shared" si="233"/>
        <v>136.97</v>
      </c>
      <c r="AC1218" s="22">
        <f t="shared" si="234"/>
        <v>30.6</v>
      </c>
      <c r="AD1218" s="22">
        <f t="shared" si="236"/>
        <v>167.57</v>
      </c>
      <c r="AE1218" s="22">
        <f t="shared" si="237"/>
        <v>11690.73</v>
      </c>
      <c r="AF1218" s="19" t="str">
        <f>VLOOKUP(C1218,'2021-22 School Level AAFTE'!C:N,12,FALSE)</f>
        <v>No</v>
      </c>
    </row>
    <row r="1219" spans="1:32" s="5" customFormat="1">
      <c r="A1219" s="97" t="s">
        <v>2435</v>
      </c>
      <c r="B1219" s="97" t="s">
        <v>1280</v>
      </c>
      <c r="C1219" s="95">
        <v>5681</v>
      </c>
      <c r="D1219" s="95" t="s">
        <v>3029</v>
      </c>
      <c r="E1219" s="129">
        <f>VLOOKUP($C1219,'2021-22 School Level AAFTE'!$C:$Z,11,FALSE)</f>
        <v>0.56520000000000004</v>
      </c>
      <c r="F1219" s="129" t="str">
        <f>VLOOKUP($C1219,'2021-22 School Level AAFTE'!$C:$Z,8,FALSE)</f>
        <v>Yes</v>
      </c>
      <c r="G1219" s="129" t="str">
        <f>VLOOKUP($C1219,'2021-22 School Level AAFTE'!$C:$Z,12,FALSE)</f>
        <v>No</v>
      </c>
      <c r="H1219" s="127">
        <f>VLOOKUP($C1219,'2021-22 School Level AAFTE'!$C:$I,7,FALSE)</f>
        <v>77.599999999999994</v>
      </c>
      <c r="I1219" s="112">
        <f>IFERROR(IF(OR(G1219="yes",F1219= "yes"),VLOOKUP(C1219,Summary!$B:$J,6,0),0),0)</f>
        <v>0</v>
      </c>
      <c r="J1219" s="111">
        <f t="shared" si="228"/>
        <v>77.599999999999994</v>
      </c>
      <c r="K1219" s="91">
        <f>VLOOKUP($A1219,'2022-23 Salary &amp; Benefits'!$A:$I,3,FALSE)</f>
        <v>1</v>
      </c>
      <c r="L1219" s="91">
        <f>VLOOKUP($A1219,'2022-23 Salary &amp; Benefits'!$A:$I,4,FALSE)</f>
        <v>1</v>
      </c>
      <c r="M1219" s="101">
        <f t="shared" si="235"/>
        <v>77.599999999999994</v>
      </c>
      <c r="N1219" s="24">
        <v>15</v>
      </c>
      <c r="O1219" s="26">
        <f t="shared" si="226"/>
        <v>5.1733333333333329</v>
      </c>
      <c r="P1219" s="24">
        <v>1.1000000000000001</v>
      </c>
      <c r="Q1219" s="24">
        <v>36</v>
      </c>
      <c r="R1219" s="27">
        <f t="shared" si="227"/>
        <v>204.864</v>
      </c>
      <c r="S1219" s="102">
        <f t="shared" si="229"/>
        <v>0.22800000000000001</v>
      </c>
      <c r="T1219" s="21">
        <f>VLOOKUP($A1219,'2022-23 Salary &amp; Benefits'!$A:$I,5,FALSE)</f>
        <v>68937</v>
      </c>
      <c r="U1219" s="21">
        <f>VLOOKUP($A1219,'2022-23 Salary &amp; Benefits'!$A:$I,6,FALSE)</f>
        <v>72728</v>
      </c>
      <c r="V1219" s="22">
        <f t="shared" si="230"/>
        <v>15717.64</v>
      </c>
      <c r="W1219" s="22">
        <f t="shared" si="231"/>
        <v>864.34000000000015</v>
      </c>
      <c r="X1219" s="22">
        <f>'2022-23 Salary &amp; Benefits'!$G$6</f>
        <v>12558.24</v>
      </c>
      <c r="Y1219" s="23">
        <f>'2022-23 Salary &amp; Benefits'!$H$6</f>
        <v>0.2298</v>
      </c>
      <c r="Z1219" s="23">
        <f>'2022-23 Salary &amp; Benefits'!$I$6</f>
        <v>0.22339999999999999</v>
      </c>
      <c r="AA1219" s="22">
        <f t="shared" si="232"/>
        <v>6668.29</v>
      </c>
      <c r="AB1219" s="22">
        <f t="shared" si="233"/>
        <v>276.37</v>
      </c>
      <c r="AC1219" s="22">
        <f t="shared" si="234"/>
        <v>61.74</v>
      </c>
      <c r="AD1219" s="22">
        <f t="shared" si="236"/>
        <v>338.11</v>
      </c>
      <c r="AE1219" s="22">
        <f t="shared" si="237"/>
        <v>23588.38</v>
      </c>
      <c r="AF1219" s="19" t="str">
        <f>VLOOKUP(C1219,'2021-22 School Level AAFTE'!C:N,12,FALSE)</f>
        <v>No</v>
      </c>
    </row>
    <row r="1220" spans="1:32" s="5" customFormat="1">
      <c r="A1220" s="97" t="s">
        <v>2489</v>
      </c>
      <c r="B1220" s="97" t="s">
        <v>1826</v>
      </c>
      <c r="C1220" s="95">
        <v>2341</v>
      </c>
      <c r="D1220" s="95" t="s">
        <v>1827</v>
      </c>
      <c r="E1220" s="129">
        <f>VLOOKUP($C1220,'2021-22 School Level AAFTE'!$C:$Z,11,FALSE)</f>
        <v>0.20919999999999997</v>
      </c>
      <c r="F1220" s="129" t="str">
        <f>VLOOKUP($C1220,'2021-22 School Level AAFTE'!$C:$Z,8,FALSE)</f>
        <v>No</v>
      </c>
      <c r="G1220" s="129" t="str">
        <f>VLOOKUP($C1220,'2021-22 School Level AAFTE'!$C:$Z,12,FALSE)</f>
        <v>No</v>
      </c>
      <c r="H1220" s="127">
        <f>VLOOKUP($C1220,'2021-22 School Level AAFTE'!$C:$I,7,FALSE)</f>
        <v>147.6</v>
      </c>
      <c r="I1220" s="112">
        <f>IFERROR(IF(OR(G1220="yes",F1220= "yes"),VLOOKUP(C1220,Summary!$B:$J,6,0),0),0)</f>
        <v>0</v>
      </c>
      <c r="J1220" s="111">
        <f t="shared" si="228"/>
        <v>0</v>
      </c>
      <c r="K1220" s="91">
        <f>VLOOKUP($A1220,'2022-23 Salary &amp; Benefits'!$A:$I,3,FALSE)</f>
        <v>1</v>
      </c>
      <c r="L1220" s="91">
        <f>VLOOKUP($A1220,'2022-23 Salary &amp; Benefits'!$A:$I,4,FALSE)</f>
        <v>1</v>
      </c>
      <c r="M1220" s="39">
        <f t="shared" si="235"/>
        <v>0</v>
      </c>
      <c r="N1220" s="24">
        <v>15</v>
      </c>
      <c r="O1220" s="26">
        <f t="shared" si="226"/>
        <v>0</v>
      </c>
      <c r="P1220" s="24">
        <v>1.1000000000000001</v>
      </c>
      <c r="Q1220" s="24">
        <v>36</v>
      </c>
      <c r="R1220" s="27">
        <f t="shared" si="227"/>
        <v>0</v>
      </c>
      <c r="S1220" s="102">
        <f t="shared" si="229"/>
        <v>0</v>
      </c>
      <c r="T1220" s="21">
        <f>VLOOKUP($A1220,'2022-23 Salary &amp; Benefits'!$A:$I,5,FALSE)</f>
        <v>68937</v>
      </c>
      <c r="U1220" s="21">
        <f>VLOOKUP($A1220,'2022-23 Salary &amp; Benefits'!$A:$I,6,FALSE)</f>
        <v>72728</v>
      </c>
      <c r="V1220" s="22">
        <f t="shared" si="230"/>
        <v>0</v>
      </c>
      <c r="W1220" s="22">
        <f t="shared" si="231"/>
        <v>0</v>
      </c>
      <c r="X1220" s="22">
        <f>'2022-23 Salary &amp; Benefits'!$G$6</f>
        <v>12558.24</v>
      </c>
      <c r="Y1220" s="23">
        <f>'2022-23 Salary &amp; Benefits'!$H$6</f>
        <v>0.2298</v>
      </c>
      <c r="Z1220" s="23">
        <f>'2022-23 Salary &amp; Benefits'!$I$6</f>
        <v>0.22339999999999999</v>
      </c>
      <c r="AA1220" s="22">
        <f t="shared" si="232"/>
        <v>0</v>
      </c>
      <c r="AB1220" s="22">
        <f t="shared" si="233"/>
        <v>0</v>
      </c>
      <c r="AC1220" s="22">
        <f t="shared" si="234"/>
        <v>0</v>
      </c>
      <c r="AD1220" s="22">
        <f t="shared" si="236"/>
        <v>0</v>
      </c>
      <c r="AE1220" s="22">
        <f t="shared" si="237"/>
        <v>0</v>
      </c>
      <c r="AF1220" s="19" t="str">
        <f>VLOOKUP(C1220,'2021-22 School Level AAFTE'!C:N,12,FALSE)</f>
        <v>No</v>
      </c>
    </row>
    <row r="1221" spans="1:32" s="5" customFormat="1">
      <c r="A1221" s="97" t="s">
        <v>2489</v>
      </c>
      <c r="B1221" s="97" t="s">
        <v>1826</v>
      </c>
      <c r="C1221" s="95">
        <v>4036</v>
      </c>
      <c r="D1221" s="95" t="s">
        <v>1828</v>
      </c>
      <c r="E1221" s="129">
        <f>VLOOKUP($C1221,'2021-22 School Level AAFTE'!$C:$Z,11,FALSE)</f>
        <v>0.27226666666666666</v>
      </c>
      <c r="F1221" s="129" t="str">
        <f>VLOOKUP($C1221,'2021-22 School Level AAFTE'!$C:$Z,8,FALSE)</f>
        <v>No</v>
      </c>
      <c r="G1221" s="129" t="str">
        <f>VLOOKUP($C1221,'2021-22 School Level AAFTE'!$C:$Z,12,FALSE)</f>
        <v>No</v>
      </c>
      <c r="H1221" s="127">
        <f>VLOOKUP($C1221,'2021-22 School Level AAFTE'!$C:$I,7,FALSE)</f>
        <v>419</v>
      </c>
      <c r="I1221" s="112">
        <f>IFERROR(IF(OR(G1221="yes",F1221= "yes"),VLOOKUP(C1221,Summary!$B:$J,6,0),0),0)</f>
        <v>0</v>
      </c>
      <c r="J1221" s="111">
        <f t="shared" si="228"/>
        <v>0</v>
      </c>
      <c r="K1221" s="91">
        <f>VLOOKUP($A1221,'2022-23 Salary &amp; Benefits'!$A:$I,3,FALSE)</f>
        <v>1</v>
      </c>
      <c r="L1221" s="91">
        <f>VLOOKUP($A1221,'2022-23 Salary &amp; Benefits'!$A:$I,4,FALSE)</f>
        <v>1</v>
      </c>
      <c r="M1221" s="39">
        <f t="shared" si="235"/>
        <v>0</v>
      </c>
      <c r="N1221" s="24">
        <v>15</v>
      </c>
      <c r="O1221" s="26">
        <f t="shared" si="226"/>
        <v>0</v>
      </c>
      <c r="P1221" s="24">
        <v>1.1000000000000001</v>
      </c>
      <c r="Q1221" s="24">
        <v>36</v>
      </c>
      <c r="R1221" s="27">
        <f t="shared" si="227"/>
        <v>0</v>
      </c>
      <c r="S1221" s="102">
        <f t="shared" si="229"/>
        <v>0</v>
      </c>
      <c r="T1221" s="21">
        <f>VLOOKUP($A1221,'2022-23 Salary &amp; Benefits'!$A:$I,5,FALSE)</f>
        <v>68937</v>
      </c>
      <c r="U1221" s="21">
        <f>VLOOKUP($A1221,'2022-23 Salary &amp; Benefits'!$A:$I,6,FALSE)</f>
        <v>72728</v>
      </c>
      <c r="V1221" s="22">
        <f t="shared" si="230"/>
        <v>0</v>
      </c>
      <c r="W1221" s="22">
        <f t="shared" si="231"/>
        <v>0</v>
      </c>
      <c r="X1221" s="22">
        <f>'2022-23 Salary &amp; Benefits'!$G$6</f>
        <v>12558.24</v>
      </c>
      <c r="Y1221" s="23">
        <f>'2022-23 Salary &amp; Benefits'!$H$6</f>
        <v>0.2298</v>
      </c>
      <c r="Z1221" s="23">
        <f>'2022-23 Salary &amp; Benefits'!$I$6</f>
        <v>0.22339999999999999</v>
      </c>
      <c r="AA1221" s="22">
        <f t="shared" si="232"/>
        <v>0</v>
      </c>
      <c r="AB1221" s="22">
        <f t="shared" si="233"/>
        <v>0</v>
      </c>
      <c r="AC1221" s="22">
        <f t="shared" si="234"/>
        <v>0</v>
      </c>
      <c r="AD1221" s="22">
        <f t="shared" si="236"/>
        <v>0</v>
      </c>
      <c r="AE1221" s="22">
        <f t="shared" si="237"/>
        <v>0</v>
      </c>
      <c r="AF1221" s="19" t="str">
        <f>VLOOKUP(C1221,'2021-22 School Level AAFTE'!C:N,12,FALSE)</f>
        <v>No</v>
      </c>
    </row>
    <row r="1222" spans="1:32" s="5" customFormat="1">
      <c r="A1222" s="97" t="s">
        <v>2489</v>
      </c>
      <c r="B1222" s="97" t="s">
        <v>1826</v>
      </c>
      <c r="C1222" s="95">
        <v>4333</v>
      </c>
      <c r="D1222" s="95" t="s">
        <v>1829</v>
      </c>
      <c r="E1222" s="129">
        <f>VLOOKUP($C1222,'2021-22 School Level AAFTE'!$C:$Z,11,FALSE)</f>
        <v>0.23783333333333334</v>
      </c>
      <c r="F1222" s="129" t="str">
        <f>VLOOKUP($C1222,'2021-22 School Level AAFTE'!$C:$Z,8,FALSE)</f>
        <v>No</v>
      </c>
      <c r="G1222" s="129" t="str">
        <f>VLOOKUP($C1222,'2021-22 School Level AAFTE'!$C:$Z,12,FALSE)</f>
        <v>No</v>
      </c>
      <c r="H1222" s="127">
        <f>VLOOKUP($C1222,'2021-22 School Level AAFTE'!$C:$I,7,FALSE)</f>
        <v>500.73</v>
      </c>
      <c r="I1222" s="112">
        <f>IFERROR(IF(OR(G1222="yes",F1222= "yes"),VLOOKUP(C1222,Summary!$B:$J,6,0),0),0)</f>
        <v>0</v>
      </c>
      <c r="J1222" s="111">
        <f t="shared" si="228"/>
        <v>0</v>
      </c>
      <c r="K1222" s="91">
        <f>VLOOKUP($A1222,'2022-23 Salary &amp; Benefits'!$A:$I,3,FALSE)</f>
        <v>1</v>
      </c>
      <c r="L1222" s="91">
        <f>VLOOKUP($A1222,'2022-23 Salary &amp; Benefits'!$A:$I,4,FALSE)</f>
        <v>1</v>
      </c>
      <c r="M1222" s="101">
        <f t="shared" si="235"/>
        <v>0</v>
      </c>
      <c r="N1222" s="24">
        <v>15</v>
      </c>
      <c r="O1222" s="26">
        <f t="shared" si="226"/>
        <v>0</v>
      </c>
      <c r="P1222" s="24">
        <v>1.1000000000000001</v>
      </c>
      <c r="Q1222" s="24">
        <v>36</v>
      </c>
      <c r="R1222" s="27">
        <f t="shared" si="227"/>
        <v>0</v>
      </c>
      <c r="S1222" s="102">
        <f t="shared" si="229"/>
        <v>0</v>
      </c>
      <c r="T1222" s="21">
        <f>VLOOKUP($A1222,'2022-23 Salary &amp; Benefits'!$A:$I,5,FALSE)</f>
        <v>68937</v>
      </c>
      <c r="U1222" s="21">
        <f>VLOOKUP($A1222,'2022-23 Salary &amp; Benefits'!$A:$I,6,FALSE)</f>
        <v>72728</v>
      </c>
      <c r="V1222" s="22">
        <f t="shared" si="230"/>
        <v>0</v>
      </c>
      <c r="W1222" s="22">
        <f t="shared" si="231"/>
        <v>0</v>
      </c>
      <c r="X1222" s="22">
        <f>'2022-23 Salary &amp; Benefits'!$G$6</f>
        <v>12558.24</v>
      </c>
      <c r="Y1222" s="23">
        <f>'2022-23 Salary &amp; Benefits'!$H$6</f>
        <v>0.2298</v>
      </c>
      <c r="Z1222" s="23">
        <f>'2022-23 Salary &amp; Benefits'!$I$6</f>
        <v>0.22339999999999999</v>
      </c>
      <c r="AA1222" s="22">
        <f t="shared" si="232"/>
        <v>0</v>
      </c>
      <c r="AB1222" s="22">
        <f t="shared" si="233"/>
        <v>0</v>
      </c>
      <c r="AC1222" s="22">
        <f t="shared" si="234"/>
        <v>0</v>
      </c>
      <c r="AD1222" s="22">
        <f t="shared" si="236"/>
        <v>0</v>
      </c>
      <c r="AE1222" s="22">
        <f t="shared" si="237"/>
        <v>0</v>
      </c>
      <c r="AF1222" s="19" t="str">
        <f>VLOOKUP(C1222,'2021-22 School Level AAFTE'!C:N,12,FALSE)</f>
        <v>No</v>
      </c>
    </row>
    <row r="1223" spans="1:32" s="5" customFormat="1">
      <c r="A1223" s="97" t="s">
        <v>2489</v>
      </c>
      <c r="B1223" s="97" t="s">
        <v>1826</v>
      </c>
      <c r="C1223" s="95">
        <v>4521</v>
      </c>
      <c r="D1223" s="95" t="s">
        <v>1830</v>
      </c>
      <c r="E1223" s="129">
        <f>VLOOKUP($C1223,'2021-22 School Level AAFTE'!$C:$Z,11,FALSE)</f>
        <v>0.26756666666666667</v>
      </c>
      <c r="F1223" s="129" t="str">
        <f>VLOOKUP($C1223,'2021-22 School Level AAFTE'!$C:$Z,8,FALSE)</f>
        <v>No</v>
      </c>
      <c r="G1223" s="129" t="str">
        <f>VLOOKUP($C1223,'2021-22 School Level AAFTE'!$C:$Z,12,FALSE)</f>
        <v>No</v>
      </c>
      <c r="H1223" s="127">
        <f>VLOOKUP($C1223,'2021-22 School Level AAFTE'!$C:$I,7,FALSE)</f>
        <v>317.77999999999997</v>
      </c>
      <c r="I1223" s="112">
        <f>IFERROR(IF(OR(G1223="yes",F1223= "yes"),VLOOKUP(C1223,Summary!$B:$J,6,0),0),0)</f>
        <v>0</v>
      </c>
      <c r="J1223" s="111">
        <f t="shared" si="228"/>
        <v>0</v>
      </c>
      <c r="K1223" s="91">
        <f>VLOOKUP($A1223,'2022-23 Salary &amp; Benefits'!$A:$I,3,FALSE)</f>
        <v>1</v>
      </c>
      <c r="L1223" s="91">
        <f>VLOOKUP($A1223,'2022-23 Salary &amp; Benefits'!$A:$I,4,FALSE)</f>
        <v>1</v>
      </c>
      <c r="M1223" s="39">
        <f t="shared" si="235"/>
        <v>0</v>
      </c>
      <c r="N1223" s="24">
        <v>15</v>
      </c>
      <c r="O1223" s="26">
        <f t="shared" si="226"/>
        <v>0</v>
      </c>
      <c r="P1223" s="24">
        <v>1.1000000000000001</v>
      </c>
      <c r="Q1223" s="24">
        <v>36</v>
      </c>
      <c r="R1223" s="27">
        <f t="shared" si="227"/>
        <v>0</v>
      </c>
      <c r="S1223" s="102">
        <f t="shared" si="229"/>
        <v>0</v>
      </c>
      <c r="T1223" s="21">
        <f>VLOOKUP($A1223,'2022-23 Salary &amp; Benefits'!$A:$I,5,FALSE)</f>
        <v>68937</v>
      </c>
      <c r="U1223" s="21">
        <f>VLOOKUP($A1223,'2022-23 Salary &amp; Benefits'!$A:$I,6,FALSE)</f>
        <v>72728</v>
      </c>
      <c r="V1223" s="22">
        <f t="shared" si="230"/>
        <v>0</v>
      </c>
      <c r="W1223" s="22">
        <f t="shared" si="231"/>
        <v>0</v>
      </c>
      <c r="X1223" s="22">
        <f>'2022-23 Salary &amp; Benefits'!$G$6</f>
        <v>12558.24</v>
      </c>
      <c r="Y1223" s="23">
        <f>'2022-23 Salary &amp; Benefits'!$H$6</f>
        <v>0.2298</v>
      </c>
      <c r="Z1223" s="23">
        <f>'2022-23 Salary &amp; Benefits'!$I$6</f>
        <v>0.22339999999999999</v>
      </c>
      <c r="AA1223" s="22">
        <f t="shared" si="232"/>
        <v>0</v>
      </c>
      <c r="AB1223" s="22">
        <f t="shared" si="233"/>
        <v>0</v>
      </c>
      <c r="AC1223" s="22">
        <f t="shared" si="234"/>
        <v>0</v>
      </c>
      <c r="AD1223" s="22">
        <f t="shared" si="236"/>
        <v>0</v>
      </c>
      <c r="AE1223" s="22">
        <f t="shared" si="237"/>
        <v>0</v>
      </c>
      <c r="AF1223" s="19" t="str">
        <f>VLOOKUP(C1223,'2021-22 School Level AAFTE'!C:N,12,FALSE)</f>
        <v>No</v>
      </c>
    </row>
    <row r="1224" spans="1:32" s="5" customFormat="1">
      <c r="A1224" s="97" t="s">
        <v>2489</v>
      </c>
      <c r="B1224" s="97" t="s">
        <v>1826</v>
      </c>
      <c r="C1224" s="95">
        <v>5417</v>
      </c>
      <c r="D1224" s="95" t="s">
        <v>1831</v>
      </c>
      <c r="E1224" s="129">
        <f>VLOOKUP($C1224,'2021-22 School Level AAFTE'!$C:$Z,11,FALSE)</f>
        <v>0.33333333333333331</v>
      </c>
      <c r="F1224" s="129" t="str">
        <f>VLOOKUP($C1224,'2021-22 School Level AAFTE'!$C:$Z,8,FALSE)</f>
        <v>No</v>
      </c>
      <c r="G1224" s="129" t="str">
        <f>VLOOKUP($C1224,'2021-22 School Level AAFTE'!$C:$Z,12,FALSE)</f>
        <v>No</v>
      </c>
      <c r="H1224" s="127">
        <f>VLOOKUP($C1224,'2021-22 School Level AAFTE'!$C:$I,7,FALSE)</f>
        <v>2.1399999999999997</v>
      </c>
      <c r="I1224" s="112">
        <f>IFERROR(IF(OR(G1224="yes",F1224= "yes"),VLOOKUP(C1224,Summary!$B:$J,6,0),0),0)</f>
        <v>0</v>
      </c>
      <c r="J1224" s="111">
        <f t="shared" si="228"/>
        <v>0</v>
      </c>
      <c r="K1224" s="91">
        <f>VLOOKUP($A1224,'2022-23 Salary &amp; Benefits'!$A:$I,3,FALSE)</f>
        <v>1</v>
      </c>
      <c r="L1224" s="91">
        <f>VLOOKUP($A1224,'2022-23 Salary &amp; Benefits'!$A:$I,4,FALSE)</f>
        <v>1</v>
      </c>
      <c r="M1224" s="39">
        <f t="shared" si="235"/>
        <v>0</v>
      </c>
      <c r="N1224" s="24">
        <v>15</v>
      </c>
      <c r="O1224" s="26">
        <f t="shared" si="226"/>
        <v>0</v>
      </c>
      <c r="P1224" s="24">
        <v>1.1000000000000001</v>
      </c>
      <c r="Q1224" s="24">
        <v>36</v>
      </c>
      <c r="R1224" s="27">
        <f t="shared" si="227"/>
        <v>0</v>
      </c>
      <c r="S1224" s="102">
        <f t="shared" si="229"/>
        <v>0</v>
      </c>
      <c r="T1224" s="21">
        <f>VLOOKUP($A1224,'2022-23 Salary &amp; Benefits'!$A:$I,5,FALSE)</f>
        <v>68937</v>
      </c>
      <c r="U1224" s="21">
        <f>VLOOKUP($A1224,'2022-23 Salary &amp; Benefits'!$A:$I,6,FALSE)</f>
        <v>72728</v>
      </c>
      <c r="V1224" s="22">
        <f t="shared" si="230"/>
        <v>0</v>
      </c>
      <c r="W1224" s="22">
        <f t="shared" si="231"/>
        <v>0</v>
      </c>
      <c r="X1224" s="22">
        <f>'2022-23 Salary &amp; Benefits'!$G$6</f>
        <v>12558.24</v>
      </c>
      <c r="Y1224" s="23">
        <f>'2022-23 Salary &amp; Benefits'!$H$6</f>
        <v>0.2298</v>
      </c>
      <c r="Z1224" s="23">
        <f>'2022-23 Salary &amp; Benefits'!$I$6</f>
        <v>0.22339999999999999</v>
      </c>
      <c r="AA1224" s="22">
        <f t="shared" si="232"/>
        <v>0</v>
      </c>
      <c r="AB1224" s="22">
        <f t="shared" si="233"/>
        <v>0</v>
      </c>
      <c r="AC1224" s="22">
        <f t="shared" si="234"/>
        <v>0</v>
      </c>
      <c r="AD1224" s="22">
        <f t="shared" si="236"/>
        <v>0</v>
      </c>
      <c r="AE1224" s="22">
        <f t="shared" si="237"/>
        <v>0</v>
      </c>
      <c r="AF1224" s="19" t="str">
        <f>VLOOKUP(C1224,'2021-22 School Level AAFTE'!C:N,12,FALSE)</f>
        <v>No</v>
      </c>
    </row>
    <row r="1225" spans="1:32" s="5" customFormat="1">
      <c r="A1225" s="97" t="s">
        <v>2537</v>
      </c>
      <c r="B1225" s="97" t="s">
        <v>2115</v>
      </c>
      <c r="C1225" s="95">
        <v>2459</v>
      </c>
      <c r="D1225" s="95" t="s">
        <v>2116</v>
      </c>
      <c r="E1225" s="129">
        <f>VLOOKUP($C1225,'2021-22 School Level AAFTE'!$C:$Z,11,FALSE)</f>
        <v>0.50263333333333338</v>
      </c>
      <c r="F1225" s="129" t="str">
        <f>VLOOKUP($C1225,'2021-22 School Level AAFTE'!$C:$Z,8,FALSE)</f>
        <v>Yes</v>
      </c>
      <c r="G1225" s="129" t="str">
        <f>VLOOKUP($C1225,'2021-22 School Level AAFTE'!$C:$Z,12,FALSE)</f>
        <v>No</v>
      </c>
      <c r="H1225" s="127">
        <f>VLOOKUP($C1225,'2021-22 School Level AAFTE'!$C:$I,7,FALSE)</f>
        <v>455.25</v>
      </c>
      <c r="I1225" s="112">
        <f>IFERROR(IF(OR(G1225="yes",F1225= "yes"),VLOOKUP(C1225,Summary!$B:$J,6,0),0),0)</f>
        <v>0</v>
      </c>
      <c r="J1225" s="111">
        <f t="shared" si="228"/>
        <v>455.25</v>
      </c>
      <c r="K1225" s="91">
        <f>VLOOKUP($A1225,'2022-23 Salary &amp; Benefits'!$A:$I,3,FALSE)</f>
        <v>1.06</v>
      </c>
      <c r="L1225" s="91">
        <f>VLOOKUP($A1225,'2022-23 Salary &amp; Benefits'!$A:$I,4,FALSE)</f>
        <v>1.06</v>
      </c>
      <c r="M1225" s="101">
        <f t="shared" si="235"/>
        <v>455.25</v>
      </c>
      <c r="N1225" s="24">
        <v>15</v>
      </c>
      <c r="O1225" s="26">
        <f t="shared" si="226"/>
        <v>30.35</v>
      </c>
      <c r="P1225" s="24">
        <v>1.1000000000000001</v>
      </c>
      <c r="Q1225" s="24">
        <v>36</v>
      </c>
      <c r="R1225" s="27">
        <f t="shared" si="227"/>
        <v>1201.8600000000001</v>
      </c>
      <c r="S1225" s="102">
        <f t="shared" si="229"/>
        <v>1.335</v>
      </c>
      <c r="T1225" s="21">
        <f>VLOOKUP($A1225,'2022-23 Salary &amp; Benefits'!$A:$I,5,FALSE)</f>
        <v>68937</v>
      </c>
      <c r="U1225" s="21">
        <f>VLOOKUP($A1225,'2022-23 Salary &amp; Benefits'!$A:$I,6,FALSE)</f>
        <v>72728</v>
      </c>
      <c r="V1225" s="22">
        <f t="shared" si="230"/>
        <v>97552.75</v>
      </c>
      <c r="W1225" s="22">
        <f t="shared" si="231"/>
        <v>5364.6399999999994</v>
      </c>
      <c r="X1225" s="22">
        <f>'2022-23 Salary &amp; Benefits'!$G$6</f>
        <v>12558.24</v>
      </c>
      <c r="Y1225" s="23">
        <f>'2022-23 Salary &amp; Benefits'!$H$6</f>
        <v>0.2298</v>
      </c>
      <c r="Z1225" s="23">
        <f>'2022-23 Salary &amp; Benefits'!$I$6</f>
        <v>0.22339999999999999</v>
      </c>
      <c r="AA1225" s="22">
        <f t="shared" si="232"/>
        <v>40381.33</v>
      </c>
      <c r="AB1225" s="22">
        <f t="shared" si="233"/>
        <v>1715.29</v>
      </c>
      <c r="AC1225" s="22">
        <f t="shared" si="234"/>
        <v>383.2</v>
      </c>
      <c r="AD1225" s="22">
        <f t="shared" si="236"/>
        <v>2098.4899999999998</v>
      </c>
      <c r="AE1225" s="22">
        <f t="shared" si="237"/>
        <v>145397.21000000002</v>
      </c>
      <c r="AF1225" s="19" t="str">
        <f>VLOOKUP(C1225,'2021-22 School Level AAFTE'!C:N,12,FALSE)</f>
        <v>No</v>
      </c>
    </row>
    <row r="1226" spans="1:32" s="5" customFormat="1">
      <c r="A1226" s="97" t="s">
        <v>2537</v>
      </c>
      <c r="B1226" s="97" t="s">
        <v>2115</v>
      </c>
      <c r="C1226" s="95">
        <v>2489</v>
      </c>
      <c r="D1226" s="95" t="s">
        <v>2117</v>
      </c>
      <c r="E1226" s="129">
        <f>VLOOKUP($C1226,'2021-22 School Level AAFTE'!$C:$Z,11,FALSE)</f>
        <v>0.54086666666666661</v>
      </c>
      <c r="F1226" s="129" t="str">
        <f>VLOOKUP($C1226,'2021-22 School Level AAFTE'!$C:$Z,8,FALSE)</f>
        <v>Yes</v>
      </c>
      <c r="G1226" s="129" t="str">
        <f>VLOOKUP($C1226,'2021-22 School Level AAFTE'!$C:$Z,12,FALSE)</f>
        <v>No</v>
      </c>
      <c r="H1226" s="127">
        <f>VLOOKUP($C1226,'2021-22 School Level AAFTE'!$C:$I,7,FALSE)</f>
        <v>267.22000000000003</v>
      </c>
      <c r="I1226" s="112">
        <f>IFERROR(IF(OR(G1226="yes",F1226= "yes"),VLOOKUP(C1226,Summary!$B:$J,6,0),0),0)</f>
        <v>0</v>
      </c>
      <c r="J1226" s="111">
        <f t="shared" si="228"/>
        <v>267.22000000000003</v>
      </c>
      <c r="K1226" s="91">
        <f>VLOOKUP($A1226,'2022-23 Salary &amp; Benefits'!$A:$I,3,FALSE)</f>
        <v>1.06</v>
      </c>
      <c r="L1226" s="91">
        <f>VLOOKUP($A1226,'2022-23 Salary &amp; Benefits'!$A:$I,4,FALSE)</f>
        <v>1.06</v>
      </c>
      <c r="M1226" s="39">
        <f t="shared" si="235"/>
        <v>267.22000000000003</v>
      </c>
      <c r="N1226" s="24">
        <v>15</v>
      </c>
      <c r="O1226" s="26">
        <f t="shared" ref="O1226:O1289" si="238">IF(M1226="no",0,M1226/N1226)</f>
        <v>17.814666666666668</v>
      </c>
      <c r="P1226" s="24">
        <v>1.1000000000000001</v>
      </c>
      <c r="Q1226" s="24">
        <v>36</v>
      </c>
      <c r="R1226" s="27">
        <f t="shared" ref="R1226:R1289" si="239">IF(M1226="no",0,O1226*P1226*Q1226)</f>
        <v>705.46080000000006</v>
      </c>
      <c r="S1226" s="102">
        <f t="shared" si="229"/>
        <v>0.78400000000000003</v>
      </c>
      <c r="T1226" s="21">
        <f>VLOOKUP($A1226,'2022-23 Salary &amp; Benefits'!$A:$I,5,FALSE)</f>
        <v>68937</v>
      </c>
      <c r="U1226" s="21">
        <f>VLOOKUP($A1226,'2022-23 Salary &amp; Benefits'!$A:$I,6,FALSE)</f>
        <v>72728</v>
      </c>
      <c r="V1226" s="22">
        <f t="shared" si="230"/>
        <v>57289.4</v>
      </c>
      <c r="W1226" s="22">
        <f t="shared" si="231"/>
        <v>3150.4799999999959</v>
      </c>
      <c r="X1226" s="22">
        <f>'2022-23 Salary &amp; Benefits'!$G$6</f>
        <v>12558.24</v>
      </c>
      <c r="Y1226" s="23">
        <f>'2022-23 Salary &amp; Benefits'!$H$6</f>
        <v>0.2298</v>
      </c>
      <c r="Z1226" s="23">
        <f>'2022-23 Salary &amp; Benefits'!$I$6</f>
        <v>0.22339999999999999</v>
      </c>
      <c r="AA1226" s="22">
        <f t="shared" si="232"/>
        <v>23714.58</v>
      </c>
      <c r="AB1226" s="22">
        <f t="shared" si="233"/>
        <v>1007.33</v>
      </c>
      <c r="AC1226" s="22">
        <f t="shared" si="234"/>
        <v>225.04</v>
      </c>
      <c r="AD1226" s="22">
        <f t="shared" si="236"/>
        <v>1232.3700000000001</v>
      </c>
      <c r="AE1226" s="22">
        <f t="shared" si="237"/>
        <v>85386.83</v>
      </c>
      <c r="AF1226" s="19" t="str">
        <f>VLOOKUP(C1226,'2021-22 School Level AAFTE'!C:N,12,FALSE)</f>
        <v>No</v>
      </c>
    </row>
    <row r="1227" spans="1:32" s="5" customFormat="1">
      <c r="A1227" s="97" t="s">
        <v>2537</v>
      </c>
      <c r="B1227" s="97" t="s">
        <v>2115</v>
      </c>
      <c r="C1227" s="95">
        <v>2687</v>
      </c>
      <c r="D1227" s="95" t="s">
        <v>2118</v>
      </c>
      <c r="E1227" s="129">
        <f>VLOOKUP($C1227,'2021-22 School Level AAFTE'!$C:$Z,11,FALSE)</f>
        <v>0.55513333333333337</v>
      </c>
      <c r="F1227" s="129" t="str">
        <f>VLOOKUP($C1227,'2021-22 School Level AAFTE'!$C:$Z,8,FALSE)</f>
        <v>Yes</v>
      </c>
      <c r="G1227" s="129" t="str">
        <f>VLOOKUP($C1227,'2021-22 School Level AAFTE'!$C:$Z,12,FALSE)</f>
        <v>No</v>
      </c>
      <c r="H1227" s="127">
        <f>VLOOKUP($C1227,'2021-22 School Level AAFTE'!$C:$I,7,FALSE)</f>
        <v>429.5</v>
      </c>
      <c r="I1227" s="112">
        <f>IFERROR(IF(OR(G1227="yes",F1227= "yes"),VLOOKUP(C1227,Summary!$B:$J,6,0),0),0)</f>
        <v>0</v>
      </c>
      <c r="J1227" s="111">
        <f t="shared" ref="J1227:J1290" si="240">IF(OR(G1227="yes",F1227= "yes"), H1227,0)</f>
        <v>429.5</v>
      </c>
      <c r="K1227" s="91">
        <f>VLOOKUP($A1227,'2022-23 Salary &amp; Benefits'!$A:$I,3,FALSE)</f>
        <v>1.06</v>
      </c>
      <c r="L1227" s="91">
        <f>VLOOKUP($A1227,'2022-23 Salary &amp; Benefits'!$A:$I,4,FALSE)</f>
        <v>1.06</v>
      </c>
      <c r="M1227" s="39">
        <f t="shared" si="235"/>
        <v>429.5</v>
      </c>
      <c r="N1227" s="24">
        <v>15</v>
      </c>
      <c r="O1227" s="26">
        <f t="shared" si="238"/>
        <v>28.633333333333333</v>
      </c>
      <c r="P1227" s="24">
        <v>1.1000000000000001</v>
      </c>
      <c r="Q1227" s="24">
        <v>36</v>
      </c>
      <c r="R1227" s="27">
        <f t="shared" si="239"/>
        <v>1133.8800000000001</v>
      </c>
      <c r="S1227" s="102">
        <f t="shared" ref="S1227:S1290" si="241">ROUND(IF(M1227="no",0,R1227/900),3)</f>
        <v>1.26</v>
      </c>
      <c r="T1227" s="21">
        <f>VLOOKUP($A1227,'2022-23 Salary &amp; Benefits'!$A:$I,5,FALSE)</f>
        <v>68937</v>
      </c>
      <c r="U1227" s="21">
        <f>VLOOKUP($A1227,'2022-23 Salary &amp; Benefits'!$A:$I,6,FALSE)</f>
        <v>72728</v>
      </c>
      <c r="V1227" s="22">
        <f t="shared" ref="V1227:V1290" si="242">ROUND($K1227*$T1227*$S1227,2)</f>
        <v>92072.26</v>
      </c>
      <c r="W1227" s="22">
        <f t="shared" ref="W1227:W1290" si="243">ROUND($L1227*$U1227*$S1227,2)-V1227</f>
        <v>5063.2600000000093</v>
      </c>
      <c r="X1227" s="22">
        <f>'2022-23 Salary &amp; Benefits'!$G$6</f>
        <v>12558.24</v>
      </c>
      <c r="Y1227" s="23">
        <f>'2022-23 Salary &amp; Benefits'!$H$6</f>
        <v>0.2298</v>
      </c>
      <c r="Z1227" s="23">
        <f>'2022-23 Salary &amp; Benefits'!$I$6</f>
        <v>0.22339999999999999</v>
      </c>
      <c r="AA1227" s="22">
        <f t="shared" ref="AA1227:AA1290" si="244">ROUND(V1227*Y1227+W1227*Z1227+S1227*X1227,2)</f>
        <v>38112.720000000001</v>
      </c>
      <c r="AB1227" s="22">
        <f t="shared" ref="AB1227:AB1290" si="245">ROUND(($U1227*$L1227*$S1227/180*3),2)</f>
        <v>1618.93</v>
      </c>
      <c r="AC1227" s="22">
        <f t="shared" ref="AC1227:AC1290" si="246">ROUND(AB1227*Z1227,2)</f>
        <v>361.67</v>
      </c>
      <c r="AD1227" s="22">
        <f t="shared" si="236"/>
        <v>1980.6000000000001</v>
      </c>
      <c r="AE1227" s="22">
        <f t="shared" si="237"/>
        <v>137228.84</v>
      </c>
      <c r="AF1227" s="19" t="str">
        <f>VLOOKUP(C1227,'2021-22 School Level AAFTE'!C:N,12,FALSE)</f>
        <v>No</v>
      </c>
    </row>
    <row r="1228" spans="1:32" s="5" customFormat="1">
      <c r="A1228" s="97" t="s">
        <v>2537</v>
      </c>
      <c r="B1228" s="97" t="s">
        <v>2115</v>
      </c>
      <c r="C1228" s="95">
        <v>4428</v>
      </c>
      <c r="D1228" s="95" t="s">
        <v>2119</v>
      </c>
      <c r="E1228" s="129">
        <f>VLOOKUP($C1228,'2021-22 School Level AAFTE'!$C:$Z,11,FALSE)</f>
        <v>0.5762666666666667</v>
      </c>
      <c r="F1228" s="129" t="str">
        <f>VLOOKUP($C1228,'2021-22 School Level AAFTE'!$C:$Z,8,FALSE)</f>
        <v>Yes</v>
      </c>
      <c r="G1228" s="129" t="str">
        <f>VLOOKUP($C1228,'2021-22 School Level AAFTE'!$C:$Z,12,FALSE)</f>
        <v>No</v>
      </c>
      <c r="H1228" s="127">
        <f>VLOOKUP($C1228,'2021-22 School Level AAFTE'!$C:$I,7,FALSE)</f>
        <v>276.17</v>
      </c>
      <c r="I1228" s="112">
        <f>IFERROR(IF(OR(G1228="yes",F1228= "yes"),VLOOKUP(C1228,Summary!$B:$J,6,0),0),0)</f>
        <v>0</v>
      </c>
      <c r="J1228" s="111">
        <f t="shared" si="240"/>
        <v>276.17</v>
      </c>
      <c r="K1228" s="91">
        <f>VLOOKUP($A1228,'2022-23 Salary &amp; Benefits'!$A:$I,3,FALSE)</f>
        <v>1.06</v>
      </c>
      <c r="L1228" s="91">
        <f>VLOOKUP($A1228,'2022-23 Salary &amp; Benefits'!$A:$I,4,FALSE)</f>
        <v>1.06</v>
      </c>
      <c r="M1228" s="101">
        <f t="shared" si="235"/>
        <v>276.17</v>
      </c>
      <c r="N1228" s="24">
        <v>15</v>
      </c>
      <c r="O1228" s="26">
        <f t="shared" si="238"/>
        <v>18.411333333333335</v>
      </c>
      <c r="P1228" s="24">
        <v>1.1000000000000001</v>
      </c>
      <c r="Q1228" s="24">
        <v>36</v>
      </c>
      <c r="R1228" s="27">
        <f t="shared" si="239"/>
        <v>729.08880000000011</v>
      </c>
      <c r="S1228" s="102">
        <f t="shared" si="241"/>
        <v>0.81</v>
      </c>
      <c r="T1228" s="21">
        <f>VLOOKUP($A1228,'2022-23 Salary &amp; Benefits'!$A:$I,5,FALSE)</f>
        <v>68937</v>
      </c>
      <c r="U1228" s="21">
        <f>VLOOKUP($A1228,'2022-23 Salary &amp; Benefits'!$A:$I,6,FALSE)</f>
        <v>72728</v>
      </c>
      <c r="V1228" s="22">
        <f t="shared" si="242"/>
        <v>59189.31</v>
      </c>
      <c r="W1228" s="22">
        <f t="shared" si="243"/>
        <v>3254.9500000000044</v>
      </c>
      <c r="X1228" s="22">
        <f>'2022-23 Salary &amp; Benefits'!$G$6</f>
        <v>12558.24</v>
      </c>
      <c r="Y1228" s="23">
        <f>'2022-23 Salary &amp; Benefits'!$H$6</f>
        <v>0.2298</v>
      </c>
      <c r="Z1228" s="23">
        <f>'2022-23 Salary &amp; Benefits'!$I$6</f>
        <v>0.22339999999999999</v>
      </c>
      <c r="AA1228" s="22">
        <f t="shared" si="244"/>
        <v>24501.03</v>
      </c>
      <c r="AB1228" s="22">
        <f t="shared" si="245"/>
        <v>1040.74</v>
      </c>
      <c r="AC1228" s="22">
        <f t="shared" si="246"/>
        <v>232.5</v>
      </c>
      <c r="AD1228" s="22">
        <f t="shared" si="236"/>
        <v>1273.24</v>
      </c>
      <c r="AE1228" s="22">
        <f t="shared" si="237"/>
        <v>88218.530000000013</v>
      </c>
      <c r="AF1228" s="19" t="str">
        <f>VLOOKUP(C1228,'2021-22 School Level AAFTE'!C:N,12,FALSE)</f>
        <v>No</v>
      </c>
    </row>
    <row r="1229" spans="1:32" s="5" customFormat="1">
      <c r="A1229" s="97" t="s">
        <v>2537</v>
      </c>
      <c r="B1229" s="97" t="s">
        <v>2115</v>
      </c>
      <c r="C1229" s="95">
        <v>4525</v>
      </c>
      <c r="D1229" s="95" t="s">
        <v>2120</v>
      </c>
      <c r="E1229" s="129">
        <f>VLOOKUP($C1229,'2021-22 School Level AAFTE'!$C:$Z,11,FALSE)</f>
        <v>0.47269999999999995</v>
      </c>
      <c r="F1229" s="129" t="str">
        <f>VLOOKUP($C1229,'2021-22 School Level AAFTE'!$C:$Z,8,FALSE)</f>
        <v>No</v>
      </c>
      <c r="G1229" s="129" t="str">
        <f>VLOOKUP($C1229,'2021-22 School Level AAFTE'!$C:$Z,12,FALSE)</f>
        <v>No</v>
      </c>
      <c r="H1229" s="127">
        <f>VLOOKUP($C1229,'2021-22 School Level AAFTE'!$C:$I,7,FALSE)</f>
        <v>363.42</v>
      </c>
      <c r="I1229" s="112">
        <f>IFERROR(IF(OR(G1229="yes",F1229= "yes"),VLOOKUP(C1229,Summary!$B:$J,6,0),0),0)</f>
        <v>0</v>
      </c>
      <c r="J1229" s="111">
        <f t="shared" si="240"/>
        <v>0</v>
      </c>
      <c r="K1229" s="91">
        <f>VLOOKUP($A1229,'2022-23 Salary &amp; Benefits'!$A:$I,3,FALSE)</f>
        <v>1.06</v>
      </c>
      <c r="L1229" s="91">
        <f>VLOOKUP($A1229,'2022-23 Salary &amp; Benefits'!$A:$I,4,FALSE)</f>
        <v>1.06</v>
      </c>
      <c r="M1229" s="101">
        <f t="shared" si="235"/>
        <v>0</v>
      </c>
      <c r="N1229" s="24">
        <v>15</v>
      </c>
      <c r="O1229" s="26">
        <f t="shared" si="238"/>
        <v>0</v>
      </c>
      <c r="P1229" s="24">
        <v>1.1000000000000001</v>
      </c>
      <c r="Q1229" s="24">
        <v>36</v>
      </c>
      <c r="R1229" s="27">
        <f t="shared" si="239"/>
        <v>0</v>
      </c>
      <c r="S1229" s="102">
        <f t="shared" si="241"/>
        <v>0</v>
      </c>
      <c r="T1229" s="21">
        <f>VLOOKUP($A1229,'2022-23 Salary &amp; Benefits'!$A:$I,5,FALSE)</f>
        <v>68937</v>
      </c>
      <c r="U1229" s="21">
        <f>VLOOKUP($A1229,'2022-23 Salary &amp; Benefits'!$A:$I,6,FALSE)</f>
        <v>72728</v>
      </c>
      <c r="V1229" s="22">
        <f t="shared" si="242"/>
        <v>0</v>
      </c>
      <c r="W1229" s="22">
        <f t="shared" si="243"/>
        <v>0</v>
      </c>
      <c r="X1229" s="22">
        <f>'2022-23 Salary &amp; Benefits'!$G$6</f>
        <v>12558.24</v>
      </c>
      <c r="Y1229" s="23">
        <f>'2022-23 Salary &amp; Benefits'!$H$6</f>
        <v>0.2298</v>
      </c>
      <c r="Z1229" s="23">
        <f>'2022-23 Salary &amp; Benefits'!$I$6</f>
        <v>0.22339999999999999</v>
      </c>
      <c r="AA1229" s="22">
        <f t="shared" si="244"/>
        <v>0</v>
      </c>
      <c r="AB1229" s="22">
        <f t="shared" si="245"/>
        <v>0</v>
      </c>
      <c r="AC1229" s="22">
        <f t="shared" si="246"/>
        <v>0</v>
      </c>
      <c r="AD1229" s="22">
        <f t="shared" si="236"/>
        <v>0</v>
      </c>
      <c r="AE1229" s="22">
        <f t="shared" si="237"/>
        <v>0</v>
      </c>
      <c r="AF1229" s="19" t="str">
        <f>VLOOKUP(C1229,'2021-22 School Level AAFTE'!C:N,12,FALSE)</f>
        <v>No</v>
      </c>
    </row>
    <row r="1230" spans="1:32" s="5" customFormat="1">
      <c r="A1230" s="97" t="s">
        <v>2537</v>
      </c>
      <c r="B1230" s="97" t="s">
        <v>2115</v>
      </c>
      <c r="C1230" s="95">
        <v>5554</v>
      </c>
      <c r="D1230" s="95" t="s">
        <v>2844</v>
      </c>
      <c r="E1230" s="129">
        <f>VLOOKUP($C1230,'2021-22 School Level AAFTE'!$C:$Z,11,FALSE)</f>
        <v>0.35000000000000003</v>
      </c>
      <c r="F1230" s="129" t="str">
        <f>VLOOKUP($C1230,'2021-22 School Level AAFTE'!$C:$Z,8,FALSE)</f>
        <v>No</v>
      </c>
      <c r="G1230" s="129" t="str">
        <f>VLOOKUP($C1230,'2021-22 School Level AAFTE'!$C:$Z,12,FALSE)</f>
        <v>No</v>
      </c>
      <c r="H1230" s="127">
        <f>VLOOKUP($C1230,'2021-22 School Level AAFTE'!$C:$I,7,FALSE)</f>
        <v>7.14</v>
      </c>
      <c r="I1230" s="112">
        <f>IFERROR(IF(OR(G1230="yes",F1230= "yes"),VLOOKUP(C1230,Summary!$B:$J,6,0),0),0)</f>
        <v>0</v>
      </c>
      <c r="J1230" s="111">
        <f t="shared" si="240"/>
        <v>0</v>
      </c>
      <c r="K1230" s="91">
        <f>VLOOKUP($A1230,'2022-23 Salary &amp; Benefits'!$A:$I,3,FALSE)</f>
        <v>1.06</v>
      </c>
      <c r="L1230" s="91">
        <f>VLOOKUP($A1230,'2022-23 Salary &amp; Benefits'!$A:$I,4,FALSE)</f>
        <v>1.06</v>
      </c>
      <c r="M1230" s="39">
        <f t="shared" si="235"/>
        <v>0</v>
      </c>
      <c r="N1230" s="24">
        <v>15</v>
      </c>
      <c r="O1230" s="26">
        <f t="shared" si="238"/>
        <v>0</v>
      </c>
      <c r="P1230" s="24">
        <v>1.1000000000000001</v>
      </c>
      <c r="Q1230" s="24">
        <v>36</v>
      </c>
      <c r="R1230" s="27">
        <f t="shared" si="239"/>
        <v>0</v>
      </c>
      <c r="S1230" s="102">
        <f t="shared" si="241"/>
        <v>0</v>
      </c>
      <c r="T1230" s="21">
        <f>VLOOKUP($A1230,'2022-23 Salary &amp; Benefits'!$A:$I,5,FALSE)</f>
        <v>68937</v>
      </c>
      <c r="U1230" s="21">
        <f>VLOOKUP($A1230,'2022-23 Salary &amp; Benefits'!$A:$I,6,FALSE)</f>
        <v>72728</v>
      </c>
      <c r="V1230" s="22">
        <f t="shared" si="242"/>
        <v>0</v>
      </c>
      <c r="W1230" s="22">
        <f t="shared" si="243"/>
        <v>0</v>
      </c>
      <c r="X1230" s="22">
        <f>'2022-23 Salary &amp; Benefits'!$G$6</f>
        <v>12558.24</v>
      </c>
      <c r="Y1230" s="23">
        <f>'2022-23 Salary &amp; Benefits'!$H$6</f>
        <v>0.2298</v>
      </c>
      <c r="Z1230" s="23">
        <f>'2022-23 Salary &amp; Benefits'!$I$6</f>
        <v>0.22339999999999999</v>
      </c>
      <c r="AA1230" s="22">
        <f t="shared" si="244"/>
        <v>0</v>
      </c>
      <c r="AB1230" s="22">
        <f t="shared" si="245"/>
        <v>0</v>
      </c>
      <c r="AC1230" s="22">
        <f t="shared" si="246"/>
        <v>0</v>
      </c>
      <c r="AD1230" s="22">
        <f t="shared" si="236"/>
        <v>0</v>
      </c>
      <c r="AE1230" s="22">
        <f t="shared" si="237"/>
        <v>0</v>
      </c>
      <c r="AF1230" s="19" t="str">
        <f>VLOOKUP(C1230,'2021-22 School Level AAFTE'!C:N,12,FALSE)</f>
        <v>No</v>
      </c>
    </row>
    <row r="1231" spans="1:32" s="5" customFormat="1">
      <c r="A1231" s="97" t="s">
        <v>2329</v>
      </c>
      <c r="B1231" s="97" t="s">
        <v>480</v>
      </c>
      <c r="C1231" s="95">
        <v>2728</v>
      </c>
      <c r="D1231" s="95" t="s">
        <v>481</v>
      </c>
      <c r="E1231" s="129">
        <f>VLOOKUP($C1231,'2021-22 School Level AAFTE'!$C:$Z,11,FALSE)</f>
        <v>0.7043666666666667</v>
      </c>
      <c r="F1231" s="129" t="str">
        <f>VLOOKUP($C1231,'2021-22 School Level AAFTE'!$C:$Z,8,FALSE)</f>
        <v>Yes</v>
      </c>
      <c r="G1231" s="129" t="str">
        <f>VLOOKUP($C1231,'2021-22 School Level AAFTE'!$C:$Z,12,FALSE)</f>
        <v>No</v>
      </c>
      <c r="H1231" s="127">
        <f>VLOOKUP($C1231,'2021-22 School Level AAFTE'!$C:$I,7,FALSE)</f>
        <v>192.57</v>
      </c>
      <c r="I1231" s="112">
        <f>IFERROR(IF(OR(G1231="yes",F1231= "yes"),VLOOKUP(C1231,Summary!$B:$J,6,0),0),0)</f>
        <v>0</v>
      </c>
      <c r="J1231" s="111">
        <f t="shared" si="240"/>
        <v>192.57</v>
      </c>
      <c r="K1231" s="91">
        <f>VLOOKUP($A1231,'2022-23 Salary &amp; Benefits'!$A:$I,3,FALSE)</f>
        <v>1</v>
      </c>
      <c r="L1231" s="91">
        <f>VLOOKUP($A1231,'2022-23 Salary &amp; Benefits'!$A:$I,4,FALSE)</f>
        <v>1</v>
      </c>
      <c r="M1231" s="101">
        <f t="shared" si="235"/>
        <v>192.57</v>
      </c>
      <c r="N1231" s="24">
        <v>15</v>
      </c>
      <c r="O1231" s="26">
        <f t="shared" si="238"/>
        <v>12.837999999999999</v>
      </c>
      <c r="P1231" s="24">
        <v>1.1000000000000001</v>
      </c>
      <c r="Q1231" s="24">
        <v>36</v>
      </c>
      <c r="R1231" s="27">
        <f t="shared" si="239"/>
        <v>508.38480000000004</v>
      </c>
      <c r="S1231" s="102">
        <f t="shared" si="241"/>
        <v>0.56499999999999995</v>
      </c>
      <c r="T1231" s="21">
        <f>VLOOKUP($A1231,'2022-23 Salary &amp; Benefits'!$A:$I,5,FALSE)</f>
        <v>68937</v>
      </c>
      <c r="U1231" s="21">
        <f>VLOOKUP($A1231,'2022-23 Salary &amp; Benefits'!$A:$I,6,FALSE)</f>
        <v>72728</v>
      </c>
      <c r="V1231" s="22">
        <f t="shared" si="242"/>
        <v>38949.410000000003</v>
      </c>
      <c r="W1231" s="22">
        <f t="shared" si="243"/>
        <v>2141.9099999999962</v>
      </c>
      <c r="X1231" s="22">
        <f>'2022-23 Salary &amp; Benefits'!$G$6</f>
        <v>12558.24</v>
      </c>
      <c r="Y1231" s="23">
        <f>'2022-23 Salary &amp; Benefits'!$H$6</f>
        <v>0.2298</v>
      </c>
      <c r="Z1231" s="23">
        <f>'2022-23 Salary &amp; Benefits'!$I$6</f>
        <v>0.22339999999999999</v>
      </c>
      <c r="AA1231" s="22">
        <f t="shared" si="244"/>
        <v>16524.48</v>
      </c>
      <c r="AB1231" s="22">
        <f t="shared" si="245"/>
        <v>684.86</v>
      </c>
      <c r="AC1231" s="22">
        <f t="shared" si="246"/>
        <v>153</v>
      </c>
      <c r="AD1231" s="22">
        <f t="shared" si="236"/>
        <v>837.86</v>
      </c>
      <c r="AE1231" s="22">
        <f t="shared" si="237"/>
        <v>58453.659999999996</v>
      </c>
      <c r="AF1231" s="19" t="str">
        <f>VLOOKUP(C1231,'2021-22 School Level AAFTE'!C:N,12,FALSE)</f>
        <v>No</v>
      </c>
    </row>
    <row r="1232" spans="1:32" s="5" customFormat="1">
      <c r="A1232" s="97" t="s">
        <v>2329</v>
      </c>
      <c r="B1232" s="97" t="s">
        <v>480</v>
      </c>
      <c r="C1232" s="95">
        <v>3155</v>
      </c>
      <c r="D1232" s="139" t="s">
        <v>482</v>
      </c>
      <c r="E1232" s="129">
        <f>VLOOKUP($C1232,'2021-22 School Level AAFTE'!$C:$Z,11,FALSE)</f>
        <v>0.72129999999999994</v>
      </c>
      <c r="F1232" s="129" t="str">
        <f>VLOOKUP($C1232,'2021-22 School Level AAFTE'!$C:$Z,8,FALSE)</f>
        <v>Yes</v>
      </c>
      <c r="G1232" s="129" t="str">
        <f>VLOOKUP($C1232,'2021-22 School Level AAFTE'!$C:$Z,12,FALSE)</f>
        <v>No</v>
      </c>
      <c r="H1232" s="127">
        <f>VLOOKUP($C1232,'2021-22 School Level AAFTE'!$C:$I,7,FALSE)</f>
        <v>129.13999999999999</v>
      </c>
      <c r="I1232" s="112">
        <f>IFERROR(IF(OR(G1232="yes",F1232= "yes"),VLOOKUP(C1232,Summary!$B:$J,6,0),0),0)</f>
        <v>0</v>
      </c>
      <c r="J1232" s="111">
        <f t="shared" si="240"/>
        <v>129.13999999999999</v>
      </c>
      <c r="K1232" s="91">
        <f>VLOOKUP($A1232,'2022-23 Salary &amp; Benefits'!$A:$I,3,FALSE)</f>
        <v>1</v>
      </c>
      <c r="L1232" s="91">
        <f>VLOOKUP($A1232,'2022-23 Salary &amp; Benefits'!$A:$I,4,FALSE)</f>
        <v>1</v>
      </c>
      <c r="M1232" s="39">
        <f t="shared" si="235"/>
        <v>129.13999999999999</v>
      </c>
      <c r="N1232" s="24">
        <v>15</v>
      </c>
      <c r="O1232" s="26">
        <f t="shared" si="238"/>
        <v>8.609333333333332</v>
      </c>
      <c r="P1232" s="24">
        <v>1.1000000000000001</v>
      </c>
      <c r="Q1232" s="24">
        <v>36</v>
      </c>
      <c r="R1232" s="27">
        <f t="shared" si="239"/>
        <v>340.92959999999994</v>
      </c>
      <c r="S1232" s="102">
        <f t="shared" si="241"/>
        <v>0.379</v>
      </c>
      <c r="T1232" s="21">
        <f>VLOOKUP($A1232,'2022-23 Salary &amp; Benefits'!$A:$I,5,FALSE)</f>
        <v>68937</v>
      </c>
      <c r="U1232" s="21">
        <f>VLOOKUP($A1232,'2022-23 Salary &amp; Benefits'!$A:$I,6,FALSE)</f>
        <v>72728</v>
      </c>
      <c r="V1232" s="22">
        <f t="shared" si="242"/>
        <v>26127.119999999999</v>
      </c>
      <c r="W1232" s="22">
        <f t="shared" si="243"/>
        <v>1436.7900000000009</v>
      </c>
      <c r="X1232" s="22">
        <f>'2022-23 Salary &amp; Benefits'!$G$6</f>
        <v>12558.24</v>
      </c>
      <c r="Y1232" s="23">
        <f>'2022-23 Salary &amp; Benefits'!$H$6</f>
        <v>0.2298</v>
      </c>
      <c r="Z1232" s="23">
        <f>'2022-23 Salary &amp; Benefits'!$I$6</f>
        <v>0.22339999999999999</v>
      </c>
      <c r="AA1232" s="22">
        <f t="shared" si="244"/>
        <v>11084.56</v>
      </c>
      <c r="AB1232" s="22">
        <f t="shared" si="245"/>
        <v>459.4</v>
      </c>
      <c r="AC1232" s="22">
        <f t="shared" si="246"/>
        <v>102.63</v>
      </c>
      <c r="AD1232" s="22">
        <f t="shared" si="236"/>
        <v>562.03</v>
      </c>
      <c r="AE1232" s="22">
        <f t="shared" si="237"/>
        <v>39210.5</v>
      </c>
      <c r="AF1232" s="19" t="str">
        <f>VLOOKUP(C1232,'2021-22 School Level AAFTE'!C:N,12,FALSE)</f>
        <v>No</v>
      </c>
    </row>
    <row r="1233" spans="1:32" s="5" customFormat="1">
      <c r="A1233" s="97" t="s">
        <v>2329</v>
      </c>
      <c r="B1233" s="97" t="s">
        <v>480</v>
      </c>
      <c r="C1233" s="95">
        <v>3787</v>
      </c>
      <c r="D1233" s="95" t="s">
        <v>483</v>
      </c>
      <c r="E1233" s="129">
        <f>VLOOKUP($C1233,'2021-22 School Level AAFTE'!$C:$Z,11,FALSE)</f>
        <v>0.70466666666666666</v>
      </c>
      <c r="F1233" s="129" t="str">
        <f>VLOOKUP($C1233,'2021-22 School Level AAFTE'!$C:$Z,8,FALSE)</f>
        <v>Yes</v>
      </c>
      <c r="G1233" s="129" t="str">
        <f>VLOOKUP($C1233,'2021-22 School Level AAFTE'!$C:$Z,12,FALSE)</f>
        <v>No</v>
      </c>
      <c r="H1233" s="127">
        <f>VLOOKUP($C1233,'2021-22 School Level AAFTE'!$C:$I,7,FALSE)</f>
        <v>225.54</v>
      </c>
      <c r="I1233" s="112">
        <f>IFERROR(IF(OR(G1233="yes",F1233= "yes"),VLOOKUP(C1233,Summary!$B:$J,6,0),0),0)</f>
        <v>0</v>
      </c>
      <c r="J1233" s="111">
        <f t="shared" si="240"/>
        <v>225.54</v>
      </c>
      <c r="K1233" s="91">
        <f>VLOOKUP($A1233,'2022-23 Salary &amp; Benefits'!$A:$I,3,FALSE)</f>
        <v>1</v>
      </c>
      <c r="L1233" s="91">
        <f>VLOOKUP($A1233,'2022-23 Salary &amp; Benefits'!$A:$I,4,FALSE)</f>
        <v>1</v>
      </c>
      <c r="M1233" s="39">
        <f t="shared" si="235"/>
        <v>225.54</v>
      </c>
      <c r="N1233" s="24">
        <v>15</v>
      </c>
      <c r="O1233" s="26">
        <f t="shared" si="238"/>
        <v>15.036</v>
      </c>
      <c r="P1233" s="24">
        <v>1.1000000000000001</v>
      </c>
      <c r="Q1233" s="24">
        <v>36</v>
      </c>
      <c r="R1233" s="27">
        <f t="shared" si="239"/>
        <v>595.42560000000003</v>
      </c>
      <c r="S1233" s="102">
        <f t="shared" si="241"/>
        <v>0.66200000000000003</v>
      </c>
      <c r="T1233" s="21">
        <f>VLOOKUP($A1233,'2022-23 Salary &amp; Benefits'!$A:$I,5,FALSE)</f>
        <v>68937</v>
      </c>
      <c r="U1233" s="21">
        <f>VLOOKUP($A1233,'2022-23 Salary &amp; Benefits'!$A:$I,6,FALSE)</f>
        <v>72728</v>
      </c>
      <c r="V1233" s="22">
        <f t="shared" si="242"/>
        <v>45636.29</v>
      </c>
      <c r="W1233" s="22">
        <f t="shared" si="243"/>
        <v>2509.6500000000015</v>
      </c>
      <c r="X1233" s="22">
        <f>'2022-23 Salary &amp; Benefits'!$G$6</f>
        <v>12558.24</v>
      </c>
      <c r="Y1233" s="23">
        <f>'2022-23 Salary &amp; Benefits'!$H$6</f>
        <v>0.2298</v>
      </c>
      <c r="Z1233" s="23">
        <f>'2022-23 Salary &amp; Benefits'!$I$6</f>
        <v>0.22339999999999999</v>
      </c>
      <c r="AA1233" s="22">
        <f t="shared" si="244"/>
        <v>19361.43</v>
      </c>
      <c r="AB1233" s="22">
        <f t="shared" si="245"/>
        <v>802.43</v>
      </c>
      <c r="AC1233" s="22">
        <f t="shared" si="246"/>
        <v>179.26</v>
      </c>
      <c r="AD1233" s="22">
        <f t="shared" si="236"/>
        <v>981.68999999999994</v>
      </c>
      <c r="AE1233" s="22">
        <f t="shared" si="237"/>
        <v>68489.06</v>
      </c>
      <c r="AF1233" s="19" t="str">
        <f>VLOOKUP(C1233,'2021-22 School Level AAFTE'!C:N,12,FALSE)</f>
        <v>No</v>
      </c>
    </row>
    <row r="1234" spans="1:32" s="5" customFormat="1">
      <c r="A1234" s="97" t="s">
        <v>2329</v>
      </c>
      <c r="B1234" s="97" t="s">
        <v>480</v>
      </c>
      <c r="C1234" s="95">
        <v>3788</v>
      </c>
      <c r="D1234" s="95" t="s">
        <v>484</v>
      </c>
      <c r="E1234" s="129">
        <f>VLOOKUP($C1234,'2021-22 School Level AAFTE'!$C:$Z,11,FALSE)</f>
        <v>0.72413333333333341</v>
      </c>
      <c r="F1234" s="129" t="str">
        <f>VLOOKUP($C1234,'2021-22 School Level AAFTE'!$C:$Z,8,FALSE)</f>
        <v>Yes</v>
      </c>
      <c r="G1234" s="129" t="str">
        <f>VLOOKUP($C1234,'2021-22 School Level AAFTE'!$C:$Z,12,FALSE)</f>
        <v>No</v>
      </c>
      <c r="H1234" s="127">
        <f>VLOOKUP($C1234,'2021-22 School Level AAFTE'!$C:$I,7,FALSE)</f>
        <v>171.35</v>
      </c>
      <c r="I1234" s="112">
        <f>IFERROR(IF(OR(G1234="yes",F1234= "yes"),VLOOKUP(C1234,Summary!$B:$J,6,0),0),0)</f>
        <v>0</v>
      </c>
      <c r="J1234" s="111">
        <f t="shared" si="240"/>
        <v>171.35</v>
      </c>
      <c r="K1234" s="91">
        <f>VLOOKUP($A1234,'2022-23 Salary &amp; Benefits'!$A:$I,3,FALSE)</f>
        <v>1</v>
      </c>
      <c r="L1234" s="91">
        <f>VLOOKUP($A1234,'2022-23 Salary &amp; Benefits'!$A:$I,4,FALSE)</f>
        <v>1</v>
      </c>
      <c r="M1234" s="39">
        <f t="shared" si="235"/>
        <v>171.35</v>
      </c>
      <c r="N1234" s="24">
        <v>15</v>
      </c>
      <c r="O1234" s="26">
        <f t="shared" si="238"/>
        <v>11.423333333333334</v>
      </c>
      <c r="P1234" s="24">
        <v>1.1000000000000001</v>
      </c>
      <c r="Q1234" s="24">
        <v>36</v>
      </c>
      <c r="R1234" s="27">
        <f t="shared" si="239"/>
        <v>452.36400000000009</v>
      </c>
      <c r="S1234" s="102">
        <f t="shared" si="241"/>
        <v>0.503</v>
      </c>
      <c r="T1234" s="21">
        <f>VLOOKUP($A1234,'2022-23 Salary &amp; Benefits'!$A:$I,5,FALSE)</f>
        <v>68937</v>
      </c>
      <c r="U1234" s="21">
        <f>VLOOKUP($A1234,'2022-23 Salary &amp; Benefits'!$A:$I,6,FALSE)</f>
        <v>72728</v>
      </c>
      <c r="V1234" s="22">
        <f t="shared" si="242"/>
        <v>34675.31</v>
      </c>
      <c r="W1234" s="22">
        <f t="shared" si="243"/>
        <v>1906.8700000000026</v>
      </c>
      <c r="X1234" s="22">
        <f>'2022-23 Salary &amp; Benefits'!$G$6</f>
        <v>12558.24</v>
      </c>
      <c r="Y1234" s="23">
        <f>'2022-23 Salary &amp; Benefits'!$H$6</f>
        <v>0.2298</v>
      </c>
      <c r="Z1234" s="23">
        <f>'2022-23 Salary &amp; Benefits'!$I$6</f>
        <v>0.22339999999999999</v>
      </c>
      <c r="AA1234" s="22">
        <f t="shared" si="244"/>
        <v>14711.18</v>
      </c>
      <c r="AB1234" s="22">
        <f t="shared" si="245"/>
        <v>609.70000000000005</v>
      </c>
      <c r="AC1234" s="22">
        <f t="shared" si="246"/>
        <v>136.21</v>
      </c>
      <c r="AD1234" s="22">
        <f t="shared" si="236"/>
        <v>745.91000000000008</v>
      </c>
      <c r="AE1234" s="22">
        <f t="shared" si="237"/>
        <v>52039.270000000004</v>
      </c>
      <c r="AF1234" s="19" t="str">
        <f>VLOOKUP(C1234,'2021-22 School Level AAFTE'!C:N,12,FALSE)</f>
        <v>No</v>
      </c>
    </row>
    <row r="1235" spans="1:32" s="5" customFormat="1">
      <c r="A1235" s="97" t="s">
        <v>2313</v>
      </c>
      <c r="B1235" s="97" t="s">
        <v>393</v>
      </c>
      <c r="C1235" s="95">
        <v>1754</v>
      </c>
      <c r="D1235" s="95" t="s">
        <v>394</v>
      </c>
      <c r="E1235" s="129">
        <f>VLOOKUP($C1235,'2021-22 School Level AAFTE'!$C:$Z,11,FALSE)</f>
        <v>0.9321666666666667</v>
      </c>
      <c r="F1235" s="129" t="str">
        <f>VLOOKUP($C1235,'2021-22 School Level AAFTE'!$C:$Z,8,FALSE)</f>
        <v>Yes</v>
      </c>
      <c r="G1235" s="129" t="str">
        <f>VLOOKUP($C1235,'2021-22 School Level AAFTE'!$C:$Z,12,FALSE)</f>
        <v>No</v>
      </c>
      <c r="H1235" s="127">
        <f>VLOOKUP($C1235,'2021-22 School Level AAFTE'!$C:$I,7,FALSE)</f>
        <v>23.23</v>
      </c>
      <c r="I1235" s="112">
        <f>IFERROR(IF(OR(G1235="yes",F1235= "yes"),VLOOKUP(C1235,Summary!$B:$J,6,0),0),0)</f>
        <v>0</v>
      </c>
      <c r="J1235" s="111">
        <f t="shared" si="240"/>
        <v>23.23</v>
      </c>
      <c r="K1235" s="91">
        <f>VLOOKUP($A1235,'2022-23 Salary &amp; Benefits'!$A:$I,3,FALSE)</f>
        <v>1</v>
      </c>
      <c r="L1235" s="91">
        <f>VLOOKUP($A1235,'2022-23 Salary &amp; Benefits'!$A:$I,4,FALSE)</f>
        <v>1</v>
      </c>
      <c r="M1235" s="39">
        <f t="shared" si="235"/>
        <v>23.23</v>
      </c>
      <c r="N1235" s="24">
        <v>15</v>
      </c>
      <c r="O1235" s="26">
        <f t="shared" si="238"/>
        <v>1.5486666666666666</v>
      </c>
      <c r="P1235" s="24">
        <v>1.1000000000000001</v>
      </c>
      <c r="Q1235" s="24">
        <v>36</v>
      </c>
      <c r="R1235" s="27">
        <f t="shared" si="239"/>
        <v>61.327199999999998</v>
      </c>
      <c r="S1235" s="102">
        <f t="shared" si="241"/>
        <v>6.8000000000000005E-2</v>
      </c>
      <c r="T1235" s="21">
        <f>VLOOKUP($A1235,'2022-23 Salary &amp; Benefits'!$A:$I,5,FALSE)</f>
        <v>68937</v>
      </c>
      <c r="U1235" s="21">
        <f>VLOOKUP($A1235,'2022-23 Salary &amp; Benefits'!$A:$I,6,FALSE)</f>
        <v>72728</v>
      </c>
      <c r="V1235" s="22">
        <f t="shared" si="242"/>
        <v>4687.72</v>
      </c>
      <c r="W1235" s="22">
        <f t="shared" si="243"/>
        <v>257.77999999999975</v>
      </c>
      <c r="X1235" s="22">
        <f>'2022-23 Salary &amp; Benefits'!$G$6</f>
        <v>12558.24</v>
      </c>
      <c r="Y1235" s="23">
        <f>'2022-23 Salary &amp; Benefits'!$H$6</f>
        <v>0.2298</v>
      </c>
      <c r="Z1235" s="23">
        <f>'2022-23 Salary &amp; Benefits'!$I$6</f>
        <v>0.22339999999999999</v>
      </c>
      <c r="AA1235" s="22">
        <f t="shared" si="244"/>
        <v>1988.79</v>
      </c>
      <c r="AB1235" s="22">
        <f t="shared" si="245"/>
        <v>82.43</v>
      </c>
      <c r="AC1235" s="22">
        <f t="shared" si="246"/>
        <v>18.41</v>
      </c>
      <c r="AD1235" s="22">
        <f t="shared" si="236"/>
        <v>100.84</v>
      </c>
      <c r="AE1235" s="22">
        <f t="shared" si="237"/>
        <v>7035.13</v>
      </c>
      <c r="AF1235" s="19" t="str">
        <f>VLOOKUP(C1235,'2021-22 School Level AAFTE'!C:N,12,FALSE)</f>
        <v>No</v>
      </c>
    </row>
    <row r="1236" spans="1:32" s="5" customFormat="1">
      <c r="A1236" s="97" t="s">
        <v>2313</v>
      </c>
      <c r="B1236" s="97" t="s">
        <v>393</v>
      </c>
      <c r="C1236" s="95">
        <v>2198</v>
      </c>
      <c r="D1236" s="95" t="s">
        <v>395</v>
      </c>
      <c r="E1236" s="129">
        <f>VLOOKUP($C1236,'2021-22 School Level AAFTE'!$C:$Z,11,FALSE)</f>
        <v>0.77993333333333326</v>
      </c>
      <c r="F1236" s="129" t="str">
        <f>VLOOKUP($C1236,'2021-22 School Level AAFTE'!$C:$Z,8,FALSE)</f>
        <v>Yes</v>
      </c>
      <c r="G1236" s="129" t="str">
        <f>VLOOKUP($C1236,'2021-22 School Level AAFTE'!$C:$Z,12,FALSE)</f>
        <v>No</v>
      </c>
      <c r="H1236" s="127">
        <f>VLOOKUP($C1236,'2021-22 School Level AAFTE'!$C:$I,7,FALSE)</f>
        <v>313.87</v>
      </c>
      <c r="I1236" s="112">
        <f>IFERROR(IF(OR(G1236="yes",F1236= "yes"),VLOOKUP(C1236,Summary!$B:$J,6,0),0),0)</f>
        <v>0</v>
      </c>
      <c r="J1236" s="111">
        <f t="shared" si="240"/>
        <v>313.87</v>
      </c>
      <c r="K1236" s="91">
        <f>VLOOKUP($A1236,'2022-23 Salary &amp; Benefits'!$A:$I,3,FALSE)</f>
        <v>1</v>
      </c>
      <c r="L1236" s="91">
        <f>VLOOKUP($A1236,'2022-23 Salary &amp; Benefits'!$A:$I,4,FALSE)</f>
        <v>1</v>
      </c>
      <c r="M1236" s="39">
        <f t="shared" si="235"/>
        <v>313.87</v>
      </c>
      <c r="N1236" s="24">
        <v>15</v>
      </c>
      <c r="O1236" s="26">
        <f t="shared" si="238"/>
        <v>20.924666666666667</v>
      </c>
      <c r="P1236" s="24">
        <v>1.1000000000000001</v>
      </c>
      <c r="Q1236" s="24">
        <v>36</v>
      </c>
      <c r="R1236" s="27">
        <f t="shared" si="239"/>
        <v>828.61680000000013</v>
      </c>
      <c r="S1236" s="102">
        <f t="shared" si="241"/>
        <v>0.92100000000000004</v>
      </c>
      <c r="T1236" s="21">
        <f>VLOOKUP($A1236,'2022-23 Salary &amp; Benefits'!$A:$I,5,FALSE)</f>
        <v>68937</v>
      </c>
      <c r="U1236" s="21">
        <f>VLOOKUP($A1236,'2022-23 Salary &amp; Benefits'!$A:$I,6,FALSE)</f>
        <v>72728</v>
      </c>
      <c r="V1236" s="22">
        <f t="shared" si="242"/>
        <v>63490.98</v>
      </c>
      <c r="W1236" s="22">
        <f t="shared" si="243"/>
        <v>3491.510000000002</v>
      </c>
      <c r="X1236" s="22">
        <f>'2022-23 Salary &amp; Benefits'!$G$6</f>
        <v>12558.24</v>
      </c>
      <c r="Y1236" s="23">
        <f>'2022-23 Salary &amp; Benefits'!$H$6</f>
        <v>0.2298</v>
      </c>
      <c r="Z1236" s="23">
        <f>'2022-23 Salary &amp; Benefits'!$I$6</f>
        <v>0.22339999999999999</v>
      </c>
      <c r="AA1236" s="22">
        <f t="shared" si="244"/>
        <v>26936.37</v>
      </c>
      <c r="AB1236" s="22">
        <f t="shared" si="245"/>
        <v>1116.3699999999999</v>
      </c>
      <c r="AC1236" s="22">
        <f t="shared" si="246"/>
        <v>249.4</v>
      </c>
      <c r="AD1236" s="22">
        <f t="shared" si="236"/>
        <v>1365.77</v>
      </c>
      <c r="AE1236" s="22">
        <f t="shared" si="237"/>
        <v>95284.630000000019</v>
      </c>
      <c r="AF1236" s="19" t="str">
        <f>VLOOKUP(C1236,'2021-22 School Level AAFTE'!C:N,12,FALSE)</f>
        <v>No</v>
      </c>
    </row>
    <row r="1237" spans="1:32" s="5" customFormat="1">
      <c r="A1237" s="97" t="s">
        <v>2313</v>
      </c>
      <c r="B1237" s="97" t="s">
        <v>393</v>
      </c>
      <c r="C1237" s="95">
        <v>2918</v>
      </c>
      <c r="D1237" s="95" t="s">
        <v>396</v>
      </c>
      <c r="E1237" s="129">
        <f>VLOOKUP($C1237,'2021-22 School Level AAFTE'!$C:$Z,11,FALSE)</f>
        <v>0.77490000000000003</v>
      </c>
      <c r="F1237" s="129" t="str">
        <f>VLOOKUP($C1237,'2021-22 School Level AAFTE'!$C:$Z,8,FALSE)</f>
        <v>Yes</v>
      </c>
      <c r="G1237" s="129" t="str">
        <f>VLOOKUP($C1237,'2021-22 School Level AAFTE'!$C:$Z,12,FALSE)</f>
        <v>No</v>
      </c>
      <c r="H1237" s="127">
        <f>VLOOKUP($C1237,'2021-22 School Level AAFTE'!$C:$I,7,FALSE)</f>
        <v>508.5</v>
      </c>
      <c r="I1237" s="112">
        <f>IFERROR(IF(OR(G1237="yes",F1237= "yes"),VLOOKUP(C1237,Summary!$B:$J,6,0),0),0)</f>
        <v>0</v>
      </c>
      <c r="J1237" s="111">
        <f t="shared" si="240"/>
        <v>508.5</v>
      </c>
      <c r="K1237" s="91">
        <f>VLOOKUP($A1237,'2022-23 Salary &amp; Benefits'!$A:$I,3,FALSE)</f>
        <v>1</v>
      </c>
      <c r="L1237" s="91">
        <f>VLOOKUP($A1237,'2022-23 Salary &amp; Benefits'!$A:$I,4,FALSE)</f>
        <v>1</v>
      </c>
      <c r="M1237" s="101">
        <f t="shared" si="235"/>
        <v>508.5</v>
      </c>
      <c r="N1237" s="24">
        <v>15</v>
      </c>
      <c r="O1237" s="26">
        <f t="shared" si="238"/>
        <v>33.9</v>
      </c>
      <c r="P1237" s="24">
        <v>1.1000000000000001</v>
      </c>
      <c r="Q1237" s="24">
        <v>36</v>
      </c>
      <c r="R1237" s="27">
        <f t="shared" si="239"/>
        <v>1342.44</v>
      </c>
      <c r="S1237" s="102">
        <f t="shared" si="241"/>
        <v>1.492</v>
      </c>
      <c r="T1237" s="21">
        <f>VLOOKUP($A1237,'2022-23 Salary &amp; Benefits'!$A:$I,5,FALSE)</f>
        <v>68937</v>
      </c>
      <c r="U1237" s="21">
        <f>VLOOKUP($A1237,'2022-23 Salary &amp; Benefits'!$A:$I,6,FALSE)</f>
        <v>72728</v>
      </c>
      <c r="V1237" s="22">
        <f t="shared" si="242"/>
        <v>102854</v>
      </c>
      <c r="W1237" s="22">
        <f t="shared" si="243"/>
        <v>5656.179999999993</v>
      </c>
      <c r="X1237" s="22">
        <f>'2022-23 Salary &amp; Benefits'!$G$6</f>
        <v>12558.24</v>
      </c>
      <c r="Y1237" s="23">
        <f>'2022-23 Salary &amp; Benefits'!$H$6</f>
        <v>0.2298</v>
      </c>
      <c r="Z1237" s="23">
        <f>'2022-23 Salary &amp; Benefits'!$I$6</f>
        <v>0.22339999999999999</v>
      </c>
      <c r="AA1237" s="22">
        <f t="shared" si="244"/>
        <v>43636.33</v>
      </c>
      <c r="AB1237" s="22">
        <f t="shared" si="245"/>
        <v>1808.5</v>
      </c>
      <c r="AC1237" s="22">
        <f t="shared" si="246"/>
        <v>404.02</v>
      </c>
      <c r="AD1237" s="22">
        <f t="shared" si="236"/>
        <v>2212.52</v>
      </c>
      <c r="AE1237" s="22">
        <f t="shared" si="237"/>
        <v>154359.03</v>
      </c>
      <c r="AF1237" s="19" t="str">
        <f>VLOOKUP(C1237,'2021-22 School Level AAFTE'!C:N,12,FALSE)</f>
        <v>No</v>
      </c>
    </row>
    <row r="1238" spans="1:32" s="5" customFormat="1">
      <c r="A1238" s="97" t="s">
        <v>2313</v>
      </c>
      <c r="B1238" s="97" t="s">
        <v>393</v>
      </c>
      <c r="C1238" s="95">
        <v>3086</v>
      </c>
      <c r="D1238" s="95" t="s">
        <v>397</v>
      </c>
      <c r="E1238" s="129">
        <f>VLOOKUP($C1238,'2021-22 School Level AAFTE'!$C:$Z,11,FALSE)</f>
        <v>0.73083333333333333</v>
      </c>
      <c r="F1238" s="129" t="str">
        <f>VLOOKUP($C1238,'2021-22 School Level AAFTE'!$C:$Z,8,FALSE)</f>
        <v>Yes</v>
      </c>
      <c r="G1238" s="129" t="str">
        <f>VLOOKUP($C1238,'2021-22 School Level AAFTE'!$C:$Z,12,FALSE)</f>
        <v>No</v>
      </c>
      <c r="H1238" s="127">
        <f>VLOOKUP($C1238,'2021-22 School Level AAFTE'!$C:$I,7,FALSE)</f>
        <v>192.14</v>
      </c>
      <c r="I1238" s="112">
        <f>IFERROR(IF(OR(G1238="yes",F1238= "yes"),VLOOKUP(C1238,Summary!$B:$J,6,0),0),0)</f>
        <v>0</v>
      </c>
      <c r="J1238" s="111">
        <f t="shared" si="240"/>
        <v>192.14</v>
      </c>
      <c r="K1238" s="91">
        <f>VLOOKUP($A1238,'2022-23 Salary &amp; Benefits'!$A:$I,3,FALSE)</f>
        <v>1</v>
      </c>
      <c r="L1238" s="91">
        <f>VLOOKUP($A1238,'2022-23 Salary &amp; Benefits'!$A:$I,4,FALSE)</f>
        <v>1</v>
      </c>
      <c r="M1238" s="101">
        <f t="shared" ref="M1238:M1299" si="247">IF(I1238&gt;0,I1238,J1238)</f>
        <v>192.14</v>
      </c>
      <c r="N1238" s="24">
        <v>15</v>
      </c>
      <c r="O1238" s="26">
        <f t="shared" si="238"/>
        <v>12.809333333333333</v>
      </c>
      <c r="P1238" s="24">
        <v>1.1000000000000001</v>
      </c>
      <c r="Q1238" s="24">
        <v>36</v>
      </c>
      <c r="R1238" s="27">
        <f t="shared" si="239"/>
        <v>507.24960000000004</v>
      </c>
      <c r="S1238" s="102">
        <f t="shared" si="241"/>
        <v>0.56399999999999995</v>
      </c>
      <c r="T1238" s="21">
        <f>VLOOKUP($A1238,'2022-23 Salary &amp; Benefits'!$A:$I,5,FALSE)</f>
        <v>68937</v>
      </c>
      <c r="U1238" s="21">
        <f>VLOOKUP($A1238,'2022-23 Salary &amp; Benefits'!$A:$I,6,FALSE)</f>
        <v>72728</v>
      </c>
      <c r="V1238" s="22">
        <f t="shared" si="242"/>
        <v>38880.47</v>
      </c>
      <c r="W1238" s="22">
        <f t="shared" si="243"/>
        <v>2138.1199999999953</v>
      </c>
      <c r="X1238" s="22">
        <f>'2022-23 Salary &amp; Benefits'!$G$6</f>
        <v>12558.24</v>
      </c>
      <c r="Y1238" s="23">
        <f>'2022-23 Salary &amp; Benefits'!$H$6</f>
        <v>0.2298</v>
      </c>
      <c r="Z1238" s="23">
        <f>'2022-23 Salary &amp; Benefits'!$I$6</f>
        <v>0.22339999999999999</v>
      </c>
      <c r="AA1238" s="22">
        <f t="shared" si="244"/>
        <v>16495.240000000002</v>
      </c>
      <c r="AB1238" s="22">
        <f t="shared" si="245"/>
        <v>683.64</v>
      </c>
      <c r="AC1238" s="22">
        <f t="shared" si="246"/>
        <v>152.72999999999999</v>
      </c>
      <c r="AD1238" s="22">
        <f t="shared" ref="AD1238:AD1299" si="248">SUM(AB1238:AC1238)</f>
        <v>836.37</v>
      </c>
      <c r="AE1238" s="22">
        <f t="shared" ref="AE1238:AE1299" si="249">SUM(AA1238,V1238:W1238,AD1238)</f>
        <v>58350.200000000004</v>
      </c>
      <c r="AF1238" s="19" t="str">
        <f>VLOOKUP(C1238,'2021-22 School Level AAFTE'!C:N,12,FALSE)</f>
        <v>No</v>
      </c>
    </row>
    <row r="1239" spans="1:32" s="5" customFormat="1">
      <c r="A1239" s="97" t="s">
        <v>2313</v>
      </c>
      <c r="B1239" s="97" t="s">
        <v>393</v>
      </c>
      <c r="C1239" s="95">
        <v>3272</v>
      </c>
      <c r="D1239" s="95" t="s">
        <v>398</v>
      </c>
      <c r="E1239" s="129">
        <f>VLOOKUP($C1239,'2021-22 School Level AAFTE'!$C:$Z,11,FALSE)</f>
        <v>0.71813333333333329</v>
      </c>
      <c r="F1239" s="129" t="str">
        <f>VLOOKUP($C1239,'2021-22 School Level AAFTE'!$C:$Z,8,FALSE)</f>
        <v>Yes</v>
      </c>
      <c r="G1239" s="129" t="str">
        <f>VLOOKUP($C1239,'2021-22 School Level AAFTE'!$C:$Z,12,FALSE)</f>
        <v>No</v>
      </c>
      <c r="H1239" s="127">
        <f>VLOOKUP($C1239,'2021-22 School Level AAFTE'!$C:$I,7,FALSE)</f>
        <v>613.2600000000001</v>
      </c>
      <c r="I1239" s="112">
        <f>IFERROR(IF(OR(G1239="yes",F1239= "yes"),VLOOKUP(C1239,Summary!$B:$J,6,0),0),0)</f>
        <v>0</v>
      </c>
      <c r="J1239" s="111">
        <f t="shared" si="240"/>
        <v>613.2600000000001</v>
      </c>
      <c r="K1239" s="91">
        <f>VLOOKUP($A1239,'2022-23 Salary &amp; Benefits'!$A:$I,3,FALSE)</f>
        <v>1</v>
      </c>
      <c r="L1239" s="91">
        <f>VLOOKUP($A1239,'2022-23 Salary &amp; Benefits'!$A:$I,4,FALSE)</f>
        <v>1</v>
      </c>
      <c r="M1239" s="101">
        <f t="shared" si="247"/>
        <v>613.2600000000001</v>
      </c>
      <c r="N1239" s="24">
        <v>15</v>
      </c>
      <c r="O1239" s="26">
        <f t="shared" si="238"/>
        <v>40.884000000000007</v>
      </c>
      <c r="P1239" s="24">
        <v>1.1000000000000001</v>
      </c>
      <c r="Q1239" s="24">
        <v>36</v>
      </c>
      <c r="R1239" s="27">
        <f t="shared" si="239"/>
        <v>1619.0064000000004</v>
      </c>
      <c r="S1239" s="102">
        <f t="shared" si="241"/>
        <v>1.7989999999999999</v>
      </c>
      <c r="T1239" s="21">
        <f>VLOOKUP($A1239,'2022-23 Salary &amp; Benefits'!$A:$I,5,FALSE)</f>
        <v>68937</v>
      </c>
      <c r="U1239" s="21">
        <f>VLOOKUP($A1239,'2022-23 Salary &amp; Benefits'!$A:$I,6,FALSE)</f>
        <v>72728</v>
      </c>
      <c r="V1239" s="22">
        <f t="shared" si="242"/>
        <v>124017.66</v>
      </c>
      <c r="W1239" s="22">
        <f t="shared" si="243"/>
        <v>6820.0099999999948</v>
      </c>
      <c r="X1239" s="22">
        <f>'2022-23 Salary &amp; Benefits'!$G$6</f>
        <v>12558.24</v>
      </c>
      <c r="Y1239" s="23">
        <f>'2022-23 Salary &amp; Benefits'!$H$6</f>
        <v>0.2298</v>
      </c>
      <c r="Z1239" s="23">
        <f>'2022-23 Salary &amp; Benefits'!$I$6</f>
        <v>0.22339999999999999</v>
      </c>
      <c r="AA1239" s="22">
        <f t="shared" si="244"/>
        <v>52615.12</v>
      </c>
      <c r="AB1239" s="22">
        <f t="shared" si="245"/>
        <v>2180.63</v>
      </c>
      <c r="AC1239" s="22">
        <f t="shared" si="246"/>
        <v>487.15</v>
      </c>
      <c r="AD1239" s="22">
        <f t="shared" si="248"/>
        <v>2667.78</v>
      </c>
      <c r="AE1239" s="22">
        <f t="shared" si="249"/>
        <v>186120.56999999998</v>
      </c>
      <c r="AF1239" s="19" t="str">
        <f>VLOOKUP(C1239,'2021-22 School Level AAFTE'!C:N,12,FALSE)</f>
        <v>No</v>
      </c>
    </row>
    <row r="1240" spans="1:32" s="5" customFormat="1">
      <c r="A1240" s="97" t="s">
        <v>2313</v>
      </c>
      <c r="B1240" s="97" t="s">
        <v>393</v>
      </c>
      <c r="C1240" s="95">
        <v>3325</v>
      </c>
      <c r="D1240" s="95" t="s">
        <v>399</v>
      </c>
      <c r="E1240" s="129">
        <f>VLOOKUP($C1240,'2021-22 School Level AAFTE'!$C:$Z,11,FALSE)</f>
        <v>0.78983333333333328</v>
      </c>
      <c r="F1240" s="129" t="str">
        <f>VLOOKUP($C1240,'2021-22 School Level AAFTE'!$C:$Z,8,FALSE)</f>
        <v>Yes</v>
      </c>
      <c r="G1240" s="129" t="str">
        <f>VLOOKUP($C1240,'2021-22 School Level AAFTE'!$C:$Z,12,FALSE)</f>
        <v>No</v>
      </c>
      <c r="H1240" s="127">
        <f>VLOOKUP($C1240,'2021-22 School Level AAFTE'!$C:$I,7,FALSE)</f>
        <v>343.16</v>
      </c>
      <c r="I1240" s="112">
        <f>IFERROR(IF(OR(G1240="yes",F1240= "yes"),VLOOKUP(C1240,Summary!$B:$J,6,0),0),0)</f>
        <v>0</v>
      </c>
      <c r="J1240" s="111">
        <f t="shared" si="240"/>
        <v>343.16</v>
      </c>
      <c r="K1240" s="91">
        <f>VLOOKUP($A1240,'2022-23 Salary &amp; Benefits'!$A:$I,3,FALSE)</f>
        <v>1</v>
      </c>
      <c r="L1240" s="91">
        <f>VLOOKUP($A1240,'2022-23 Salary &amp; Benefits'!$A:$I,4,FALSE)</f>
        <v>1</v>
      </c>
      <c r="M1240" s="101">
        <f t="shared" si="247"/>
        <v>343.16</v>
      </c>
      <c r="N1240" s="24">
        <v>15</v>
      </c>
      <c r="O1240" s="26">
        <f t="shared" si="238"/>
        <v>22.877333333333336</v>
      </c>
      <c r="P1240" s="24">
        <v>1.1000000000000001</v>
      </c>
      <c r="Q1240" s="24">
        <v>36</v>
      </c>
      <c r="R1240" s="27">
        <f t="shared" si="239"/>
        <v>905.94240000000013</v>
      </c>
      <c r="S1240" s="102">
        <f t="shared" si="241"/>
        <v>1.0069999999999999</v>
      </c>
      <c r="T1240" s="21">
        <f>VLOOKUP($A1240,'2022-23 Salary &amp; Benefits'!$A:$I,5,FALSE)</f>
        <v>68937</v>
      </c>
      <c r="U1240" s="21">
        <f>VLOOKUP($A1240,'2022-23 Salary &amp; Benefits'!$A:$I,6,FALSE)</f>
        <v>72728</v>
      </c>
      <c r="V1240" s="22">
        <f t="shared" si="242"/>
        <v>69419.56</v>
      </c>
      <c r="W1240" s="22">
        <f t="shared" si="243"/>
        <v>3817.5400000000081</v>
      </c>
      <c r="X1240" s="22">
        <f>'2022-23 Salary &amp; Benefits'!$G$6</f>
        <v>12558.24</v>
      </c>
      <c r="Y1240" s="23">
        <f>'2022-23 Salary &amp; Benefits'!$H$6</f>
        <v>0.2298</v>
      </c>
      <c r="Z1240" s="23">
        <f>'2022-23 Salary &amp; Benefits'!$I$6</f>
        <v>0.22339999999999999</v>
      </c>
      <c r="AA1240" s="22">
        <f t="shared" si="244"/>
        <v>29451.599999999999</v>
      </c>
      <c r="AB1240" s="22">
        <f t="shared" si="245"/>
        <v>1220.6199999999999</v>
      </c>
      <c r="AC1240" s="22">
        <f t="shared" si="246"/>
        <v>272.69</v>
      </c>
      <c r="AD1240" s="22">
        <f t="shared" si="248"/>
        <v>1493.31</v>
      </c>
      <c r="AE1240" s="22">
        <f t="shared" si="249"/>
        <v>104182.01000000001</v>
      </c>
      <c r="AF1240" s="19" t="str">
        <f>VLOOKUP(C1240,'2021-22 School Level AAFTE'!C:N,12,FALSE)</f>
        <v>No</v>
      </c>
    </row>
    <row r="1241" spans="1:32" s="5" customFormat="1">
      <c r="A1241" s="97" t="s">
        <v>2313</v>
      </c>
      <c r="B1241" s="97" t="s">
        <v>393</v>
      </c>
      <c r="C1241" s="95">
        <v>5499</v>
      </c>
      <c r="D1241" s="139" t="s">
        <v>2727</v>
      </c>
      <c r="E1241" s="129">
        <f>VLOOKUP($C1241,'2021-22 School Level AAFTE'!$C:$Z,11,FALSE)</f>
        <v>6.25E-2</v>
      </c>
      <c r="F1241" s="129" t="str">
        <f>VLOOKUP($C1241,'2021-22 School Level AAFTE'!$C:$Z,8,FALSE)</f>
        <v>No</v>
      </c>
      <c r="G1241" s="129" t="str">
        <f>VLOOKUP($C1241,'2021-22 School Level AAFTE'!$C:$Z,12,FALSE)</f>
        <v>No</v>
      </c>
      <c r="H1241" s="127">
        <f>VLOOKUP($C1241,'2021-22 School Level AAFTE'!$C:$I,7,FALSE)</f>
        <v>3.14</v>
      </c>
      <c r="I1241" s="112">
        <f>IFERROR(IF(OR(G1241="yes",F1241= "yes"),VLOOKUP(C1241,Summary!$B:$J,6,0),0),0)</f>
        <v>0</v>
      </c>
      <c r="J1241" s="111">
        <f t="shared" si="240"/>
        <v>0</v>
      </c>
      <c r="K1241" s="91">
        <f>VLOOKUP($A1241,'2022-23 Salary &amp; Benefits'!$A:$I,3,FALSE)</f>
        <v>1</v>
      </c>
      <c r="L1241" s="91">
        <f>VLOOKUP($A1241,'2022-23 Salary &amp; Benefits'!$A:$I,4,FALSE)</f>
        <v>1</v>
      </c>
      <c r="M1241" s="101">
        <f t="shared" si="247"/>
        <v>0</v>
      </c>
      <c r="N1241" s="24">
        <v>15</v>
      </c>
      <c r="O1241" s="26">
        <f t="shared" si="238"/>
        <v>0</v>
      </c>
      <c r="P1241" s="24">
        <v>1.1000000000000001</v>
      </c>
      <c r="Q1241" s="24">
        <v>36</v>
      </c>
      <c r="R1241" s="27">
        <f t="shared" si="239"/>
        <v>0</v>
      </c>
      <c r="S1241" s="102">
        <f t="shared" si="241"/>
        <v>0</v>
      </c>
      <c r="T1241" s="21">
        <f>VLOOKUP($A1241,'2022-23 Salary &amp; Benefits'!$A:$I,5,FALSE)</f>
        <v>68937</v>
      </c>
      <c r="U1241" s="21">
        <f>VLOOKUP($A1241,'2022-23 Salary &amp; Benefits'!$A:$I,6,FALSE)</f>
        <v>72728</v>
      </c>
      <c r="V1241" s="22">
        <f t="shared" si="242"/>
        <v>0</v>
      </c>
      <c r="W1241" s="22">
        <f t="shared" si="243"/>
        <v>0</v>
      </c>
      <c r="X1241" s="22">
        <f>'2022-23 Salary &amp; Benefits'!$G$6</f>
        <v>12558.24</v>
      </c>
      <c r="Y1241" s="23">
        <f>'2022-23 Salary &amp; Benefits'!$H$6</f>
        <v>0.2298</v>
      </c>
      <c r="Z1241" s="23">
        <f>'2022-23 Salary &amp; Benefits'!$I$6</f>
        <v>0.22339999999999999</v>
      </c>
      <c r="AA1241" s="22">
        <f t="shared" si="244"/>
        <v>0</v>
      </c>
      <c r="AB1241" s="22">
        <f t="shared" si="245"/>
        <v>0</v>
      </c>
      <c r="AC1241" s="22">
        <f t="shared" si="246"/>
        <v>0</v>
      </c>
      <c r="AD1241" s="22">
        <f t="shared" si="248"/>
        <v>0</v>
      </c>
      <c r="AE1241" s="22">
        <f t="shared" si="249"/>
        <v>0</v>
      </c>
      <c r="AF1241" s="19" t="str">
        <f>VLOOKUP(C1241,'2021-22 School Level AAFTE'!C:N,12,FALSE)</f>
        <v>No</v>
      </c>
    </row>
    <row r="1242" spans="1:32" s="5" customFormat="1">
      <c r="A1242" s="97" t="s">
        <v>2313</v>
      </c>
      <c r="B1242" s="97" t="s">
        <v>393</v>
      </c>
      <c r="C1242" s="95">
        <v>5653</v>
      </c>
      <c r="D1242" s="95" t="s">
        <v>400</v>
      </c>
      <c r="E1242" s="129">
        <f>VLOOKUP($C1242,'2021-22 School Level AAFTE'!$C:$Z,11,FALSE)</f>
        <v>0.6895</v>
      </c>
      <c r="F1242" s="129" t="str">
        <f>VLOOKUP($C1242,'2021-22 School Level AAFTE'!$C:$Z,8,FALSE)</f>
        <v>Yes</v>
      </c>
      <c r="G1242" s="129" t="str">
        <f>VLOOKUP($C1242,'2021-22 School Level AAFTE'!$C:$Z,12,FALSE)</f>
        <v>No</v>
      </c>
      <c r="H1242" s="127">
        <f>VLOOKUP($C1242,'2021-22 School Level AAFTE'!$C:$I,7,FALSE)</f>
        <v>38.99</v>
      </c>
      <c r="I1242" s="112">
        <f>IFERROR(IF(OR(G1242="yes",F1242= "yes"),VLOOKUP(C1242,Summary!$B:$J,6,0),0),0)</f>
        <v>0</v>
      </c>
      <c r="J1242" s="111">
        <f t="shared" si="240"/>
        <v>38.99</v>
      </c>
      <c r="K1242" s="91">
        <f>VLOOKUP($A1242,'2022-23 Salary &amp; Benefits'!$A:$I,3,FALSE)</f>
        <v>1</v>
      </c>
      <c r="L1242" s="91">
        <f>VLOOKUP($A1242,'2022-23 Salary &amp; Benefits'!$A:$I,4,FALSE)</f>
        <v>1</v>
      </c>
      <c r="M1242" s="39">
        <f t="shared" si="247"/>
        <v>38.99</v>
      </c>
      <c r="N1242" s="24">
        <v>15</v>
      </c>
      <c r="O1242" s="26">
        <f t="shared" si="238"/>
        <v>2.5993333333333335</v>
      </c>
      <c r="P1242" s="24">
        <v>1.1000000000000001</v>
      </c>
      <c r="Q1242" s="24">
        <v>36</v>
      </c>
      <c r="R1242" s="27">
        <f t="shared" si="239"/>
        <v>102.93360000000001</v>
      </c>
      <c r="S1242" s="102">
        <f t="shared" si="241"/>
        <v>0.114</v>
      </c>
      <c r="T1242" s="21">
        <f>VLOOKUP($A1242,'2022-23 Salary &amp; Benefits'!$A:$I,5,FALSE)</f>
        <v>68937</v>
      </c>
      <c r="U1242" s="21">
        <f>VLOOKUP($A1242,'2022-23 Salary &amp; Benefits'!$A:$I,6,FALSE)</f>
        <v>72728</v>
      </c>
      <c r="V1242" s="22">
        <f t="shared" si="242"/>
        <v>7858.82</v>
      </c>
      <c r="W1242" s="22">
        <f t="shared" si="243"/>
        <v>432.17000000000007</v>
      </c>
      <c r="X1242" s="22">
        <f>'2022-23 Salary &amp; Benefits'!$G$6</f>
        <v>12558.24</v>
      </c>
      <c r="Y1242" s="23">
        <f>'2022-23 Salary &amp; Benefits'!$H$6</f>
        <v>0.2298</v>
      </c>
      <c r="Z1242" s="23">
        <f>'2022-23 Salary &amp; Benefits'!$I$6</f>
        <v>0.22339999999999999</v>
      </c>
      <c r="AA1242" s="22">
        <f t="shared" si="244"/>
        <v>3334.14</v>
      </c>
      <c r="AB1242" s="22">
        <f t="shared" si="245"/>
        <v>138.18</v>
      </c>
      <c r="AC1242" s="22">
        <f t="shared" si="246"/>
        <v>30.87</v>
      </c>
      <c r="AD1242" s="22">
        <f t="shared" si="248"/>
        <v>169.05</v>
      </c>
      <c r="AE1242" s="22">
        <f t="shared" si="249"/>
        <v>11794.179999999998</v>
      </c>
      <c r="AF1242" s="19" t="str">
        <f>VLOOKUP(C1242,'2021-22 School Level AAFTE'!C:N,12,FALSE)</f>
        <v>No</v>
      </c>
    </row>
    <row r="1243" spans="1:32" s="5" customFormat="1">
      <c r="A1243" s="97" t="s">
        <v>2373</v>
      </c>
      <c r="B1243" s="97" t="s">
        <v>1039</v>
      </c>
      <c r="C1243" s="95">
        <v>1677</v>
      </c>
      <c r="D1243" s="95" t="s">
        <v>78</v>
      </c>
      <c r="E1243" s="129">
        <f>VLOOKUP($C1243,'2021-22 School Level AAFTE'!$C:$Z,11,FALSE)</f>
        <v>0.21876666666666666</v>
      </c>
      <c r="F1243" s="129" t="str">
        <f>VLOOKUP($C1243,'2021-22 School Level AAFTE'!$C:$Z,8,FALSE)</f>
        <v>No</v>
      </c>
      <c r="G1243" s="129" t="str">
        <f>VLOOKUP($C1243,'2021-22 School Level AAFTE'!$C:$Z,12,FALSE)</f>
        <v>No</v>
      </c>
      <c r="H1243" s="127">
        <f>VLOOKUP($C1243,'2021-22 School Level AAFTE'!$C:$I,7,FALSE)</f>
        <v>3.14</v>
      </c>
      <c r="I1243" s="112">
        <f>IFERROR(IF(OR(G1243="yes",F1243= "yes"),VLOOKUP(C1243,Summary!$B:$J,6,0),0),0)</f>
        <v>0</v>
      </c>
      <c r="J1243" s="111">
        <f t="shared" si="240"/>
        <v>0</v>
      </c>
      <c r="K1243" s="91">
        <f>VLOOKUP($A1243,'2022-23 Salary &amp; Benefits'!$A:$I,3,FALSE)</f>
        <v>1.18</v>
      </c>
      <c r="L1243" s="91">
        <f>VLOOKUP($A1243,'2022-23 Salary &amp; Benefits'!$A:$I,4,FALSE)</f>
        <v>1.18</v>
      </c>
      <c r="M1243" s="39">
        <f t="shared" si="247"/>
        <v>0</v>
      </c>
      <c r="N1243" s="24">
        <v>15</v>
      </c>
      <c r="O1243" s="26">
        <f t="shared" si="238"/>
        <v>0</v>
      </c>
      <c r="P1243" s="24">
        <v>1.1000000000000001</v>
      </c>
      <c r="Q1243" s="24">
        <v>36</v>
      </c>
      <c r="R1243" s="27">
        <f t="shared" si="239"/>
        <v>0</v>
      </c>
      <c r="S1243" s="102">
        <f t="shared" si="241"/>
        <v>0</v>
      </c>
      <c r="T1243" s="21">
        <f>VLOOKUP($A1243,'2022-23 Salary &amp; Benefits'!$A:$I,5,FALSE)</f>
        <v>68937</v>
      </c>
      <c r="U1243" s="21">
        <f>VLOOKUP($A1243,'2022-23 Salary &amp; Benefits'!$A:$I,6,FALSE)</f>
        <v>72728</v>
      </c>
      <c r="V1243" s="22">
        <f t="shared" si="242"/>
        <v>0</v>
      </c>
      <c r="W1243" s="22">
        <f t="shared" si="243"/>
        <v>0</v>
      </c>
      <c r="X1243" s="22">
        <f>'2022-23 Salary &amp; Benefits'!$G$6</f>
        <v>12558.24</v>
      </c>
      <c r="Y1243" s="23">
        <f>'2022-23 Salary &amp; Benefits'!$H$6</f>
        <v>0.2298</v>
      </c>
      <c r="Z1243" s="23">
        <f>'2022-23 Salary &amp; Benefits'!$I$6</f>
        <v>0.22339999999999999</v>
      </c>
      <c r="AA1243" s="22">
        <f t="shared" si="244"/>
        <v>0</v>
      </c>
      <c r="AB1243" s="22">
        <f t="shared" si="245"/>
        <v>0</v>
      </c>
      <c r="AC1243" s="22">
        <f t="shared" si="246"/>
        <v>0</v>
      </c>
      <c r="AD1243" s="22">
        <f t="shared" si="248"/>
        <v>0</v>
      </c>
      <c r="AE1243" s="22">
        <f t="shared" si="249"/>
        <v>0</v>
      </c>
      <c r="AF1243" s="19" t="str">
        <f>VLOOKUP(C1243,'2021-22 School Level AAFTE'!C:N,12,FALSE)</f>
        <v>No</v>
      </c>
    </row>
    <row r="1244" spans="1:32" s="5" customFormat="1">
      <c r="A1244" s="97" t="s">
        <v>2373</v>
      </c>
      <c r="B1244" s="97" t="s">
        <v>1039</v>
      </c>
      <c r="C1244" s="95">
        <v>1733</v>
      </c>
      <c r="D1244" s="95" t="s">
        <v>2895</v>
      </c>
      <c r="E1244" s="129">
        <f>VLOOKUP($C1244,'2021-22 School Level AAFTE'!$C:$Z,11,FALSE)</f>
        <v>0.32629999999999998</v>
      </c>
      <c r="F1244" s="129" t="str">
        <f>VLOOKUP($C1244,'2021-22 School Level AAFTE'!$C:$Z,8,FALSE)</f>
        <v>No</v>
      </c>
      <c r="G1244" s="129" t="str">
        <f>VLOOKUP($C1244,'2021-22 School Level AAFTE'!$C:$Z,12,FALSE)</f>
        <v>No</v>
      </c>
      <c r="H1244" s="127">
        <f>VLOOKUP($C1244,'2021-22 School Level AAFTE'!$C:$I,7,FALSE)</f>
        <v>210.65</v>
      </c>
      <c r="I1244" s="112">
        <f>IFERROR(IF(OR(G1244="yes",F1244= "yes"),VLOOKUP(C1244,Summary!$B:$J,6,0),0),0)</f>
        <v>0</v>
      </c>
      <c r="J1244" s="111">
        <f t="shared" si="240"/>
        <v>0</v>
      </c>
      <c r="K1244" s="91">
        <f>VLOOKUP($A1244,'2022-23 Salary &amp; Benefits'!$A:$I,3,FALSE)</f>
        <v>1.18</v>
      </c>
      <c r="L1244" s="91">
        <f>VLOOKUP($A1244,'2022-23 Salary &amp; Benefits'!$A:$I,4,FALSE)</f>
        <v>1.18</v>
      </c>
      <c r="M1244" s="39">
        <f t="shared" si="247"/>
        <v>0</v>
      </c>
      <c r="N1244" s="24">
        <v>15</v>
      </c>
      <c r="O1244" s="26">
        <f t="shared" si="238"/>
        <v>0</v>
      </c>
      <c r="P1244" s="24">
        <v>1.1000000000000001</v>
      </c>
      <c r="Q1244" s="24">
        <v>36</v>
      </c>
      <c r="R1244" s="27">
        <f t="shared" si="239"/>
        <v>0</v>
      </c>
      <c r="S1244" s="102">
        <f t="shared" si="241"/>
        <v>0</v>
      </c>
      <c r="T1244" s="21">
        <f>VLOOKUP($A1244,'2022-23 Salary &amp; Benefits'!$A:$I,5,FALSE)</f>
        <v>68937</v>
      </c>
      <c r="U1244" s="21">
        <f>VLOOKUP($A1244,'2022-23 Salary &amp; Benefits'!$A:$I,6,FALSE)</f>
        <v>72728</v>
      </c>
      <c r="V1244" s="22">
        <f t="shared" si="242"/>
        <v>0</v>
      </c>
      <c r="W1244" s="22">
        <f t="shared" si="243"/>
        <v>0</v>
      </c>
      <c r="X1244" s="22">
        <f>'2022-23 Salary &amp; Benefits'!$G$6</f>
        <v>12558.24</v>
      </c>
      <c r="Y1244" s="23">
        <f>'2022-23 Salary &amp; Benefits'!$H$6</f>
        <v>0.2298</v>
      </c>
      <c r="Z1244" s="23">
        <f>'2022-23 Salary &amp; Benefits'!$I$6</f>
        <v>0.22339999999999999</v>
      </c>
      <c r="AA1244" s="22">
        <f t="shared" si="244"/>
        <v>0</v>
      </c>
      <c r="AB1244" s="22">
        <f t="shared" si="245"/>
        <v>0</v>
      </c>
      <c r="AC1244" s="22">
        <f t="shared" si="246"/>
        <v>0</v>
      </c>
      <c r="AD1244" s="22">
        <f t="shared" si="248"/>
        <v>0</v>
      </c>
      <c r="AE1244" s="22">
        <f t="shared" si="249"/>
        <v>0</v>
      </c>
      <c r="AF1244" s="19" t="str">
        <f>VLOOKUP(C1244,'2021-22 School Level AAFTE'!C:N,12,FALSE)</f>
        <v>No</v>
      </c>
    </row>
    <row r="1245" spans="1:32" s="5" customFormat="1">
      <c r="A1245" s="97" t="s">
        <v>2373</v>
      </c>
      <c r="B1245" s="97" t="s">
        <v>1039</v>
      </c>
      <c r="C1245" s="95">
        <v>2026</v>
      </c>
      <c r="D1245" s="95" t="s">
        <v>1040</v>
      </c>
      <c r="E1245" s="129">
        <f>VLOOKUP($C1245,'2021-22 School Level AAFTE'!$C:$Z,11,FALSE)</f>
        <v>0.25716666666666665</v>
      </c>
      <c r="F1245" s="129" t="str">
        <f>VLOOKUP($C1245,'2021-22 School Level AAFTE'!$C:$Z,8,FALSE)</f>
        <v>No</v>
      </c>
      <c r="G1245" s="129" t="str">
        <f>VLOOKUP($C1245,'2021-22 School Level AAFTE'!$C:$Z,12,FALSE)</f>
        <v>No</v>
      </c>
      <c r="H1245" s="127">
        <f>VLOOKUP($C1245,'2021-22 School Level AAFTE'!$C:$I,7,FALSE)</f>
        <v>428.15</v>
      </c>
      <c r="I1245" s="112">
        <f>IFERROR(IF(OR(G1245="yes",F1245= "yes"),VLOOKUP(C1245,Summary!$B:$J,6,0),0),0)</f>
        <v>0</v>
      </c>
      <c r="J1245" s="111">
        <f t="shared" si="240"/>
        <v>0</v>
      </c>
      <c r="K1245" s="91">
        <f>VLOOKUP($A1245,'2022-23 Salary &amp; Benefits'!$A:$I,3,FALSE)</f>
        <v>1.18</v>
      </c>
      <c r="L1245" s="91">
        <f>VLOOKUP($A1245,'2022-23 Salary &amp; Benefits'!$A:$I,4,FALSE)</f>
        <v>1.18</v>
      </c>
      <c r="M1245" s="101">
        <f t="shared" si="247"/>
        <v>0</v>
      </c>
      <c r="N1245" s="24">
        <v>15</v>
      </c>
      <c r="O1245" s="26">
        <f t="shared" si="238"/>
        <v>0</v>
      </c>
      <c r="P1245" s="24">
        <v>1.1000000000000001</v>
      </c>
      <c r="Q1245" s="24">
        <v>36</v>
      </c>
      <c r="R1245" s="27">
        <f t="shared" si="239"/>
        <v>0</v>
      </c>
      <c r="S1245" s="102">
        <f t="shared" si="241"/>
        <v>0</v>
      </c>
      <c r="T1245" s="21">
        <f>VLOOKUP($A1245,'2022-23 Salary &amp; Benefits'!$A:$I,5,FALSE)</f>
        <v>68937</v>
      </c>
      <c r="U1245" s="21">
        <f>VLOOKUP($A1245,'2022-23 Salary &amp; Benefits'!$A:$I,6,FALSE)</f>
        <v>72728</v>
      </c>
      <c r="V1245" s="22">
        <f t="shared" si="242"/>
        <v>0</v>
      </c>
      <c r="W1245" s="22">
        <f t="shared" si="243"/>
        <v>0</v>
      </c>
      <c r="X1245" s="22">
        <f>'2022-23 Salary &amp; Benefits'!$G$6</f>
        <v>12558.24</v>
      </c>
      <c r="Y1245" s="23">
        <f>'2022-23 Salary &amp; Benefits'!$H$6</f>
        <v>0.2298</v>
      </c>
      <c r="Z1245" s="23">
        <f>'2022-23 Salary &amp; Benefits'!$I$6</f>
        <v>0.22339999999999999</v>
      </c>
      <c r="AA1245" s="22">
        <f t="shared" si="244"/>
        <v>0</v>
      </c>
      <c r="AB1245" s="22">
        <f t="shared" si="245"/>
        <v>0</v>
      </c>
      <c r="AC1245" s="22">
        <f t="shared" si="246"/>
        <v>0</v>
      </c>
      <c r="AD1245" s="22">
        <f t="shared" si="248"/>
        <v>0</v>
      </c>
      <c r="AE1245" s="22">
        <f t="shared" si="249"/>
        <v>0</v>
      </c>
      <c r="AF1245" s="19" t="str">
        <f>VLOOKUP(C1245,'2021-22 School Level AAFTE'!C:N,12,FALSE)</f>
        <v>No</v>
      </c>
    </row>
    <row r="1246" spans="1:32" s="5" customFormat="1">
      <c r="A1246" s="97" t="s">
        <v>2373</v>
      </c>
      <c r="B1246" s="97" t="s">
        <v>1039</v>
      </c>
      <c r="C1246" s="95">
        <v>2476</v>
      </c>
      <c r="D1246" s="95" t="s">
        <v>1041</v>
      </c>
      <c r="E1246" s="129">
        <f>VLOOKUP($C1246,'2021-22 School Level AAFTE'!$C:$Z,11,FALSE)</f>
        <v>0.2824666666666667</v>
      </c>
      <c r="F1246" s="129" t="str">
        <f>VLOOKUP($C1246,'2021-22 School Level AAFTE'!$C:$Z,8,FALSE)</f>
        <v>No</v>
      </c>
      <c r="G1246" s="129" t="str">
        <f>VLOOKUP($C1246,'2021-22 School Level AAFTE'!$C:$Z,12,FALSE)</f>
        <v>No</v>
      </c>
      <c r="H1246" s="127">
        <f>VLOOKUP($C1246,'2021-22 School Level AAFTE'!$C:$I,7,FALSE)</f>
        <v>674.91</v>
      </c>
      <c r="I1246" s="112">
        <f>IFERROR(IF(OR(G1246="yes",F1246= "yes"),VLOOKUP(C1246,Summary!$B:$J,6,0),0),0)</f>
        <v>0</v>
      </c>
      <c r="J1246" s="111">
        <f t="shared" si="240"/>
        <v>0</v>
      </c>
      <c r="K1246" s="91">
        <f>VLOOKUP($A1246,'2022-23 Salary &amp; Benefits'!$A:$I,3,FALSE)</f>
        <v>1.18</v>
      </c>
      <c r="L1246" s="91">
        <f>VLOOKUP($A1246,'2022-23 Salary &amp; Benefits'!$A:$I,4,FALSE)</f>
        <v>1.18</v>
      </c>
      <c r="M1246" s="39">
        <f t="shared" si="247"/>
        <v>0</v>
      </c>
      <c r="N1246" s="24">
        <v>15</v>
      </c>
      <c r="O1246" s="26">
        <f t="shared" si="238"/>
        <v>0</v>
      </c>
      <c r="P1246" s="24">
        <v>1.1000000000000001</v>
      </c>
      <c r="Q1246" s="24">
        <v>36</v>
      </c>
      <c r="R1246" s="27">
        <f t="shared" si="239"/>
        <v>0</v>
      </c>
      <c r="S1246" s="102">
        <f t="shared" si="241"/>
        <v>0</v>
      </c>
      <c r="T1246" s="21">
        <f>VLOOKUP($A1246,'2022-23 Salary &amp; Benefits'!$A:$I,5,FALSE)</f>
        <v>68937</v>
      </c>
      <c r="U1246" s="21">
        <f>VLOOKUP($A1246,'2022-23 Salary &amp; Benefits'!$A:$I,6,FALSE)</f>
        <v>72728</v>
      </c>
      <c r="V1246" s="22">
        <f t="shared" si="242"/>
        <v>0</v>
      </c>
      <c r="W1246" s="22">
        <f t="shared" si="243"/>
        <v>0</v>
      </c>
      <c r="X1246" s="22">
        <f>'2022-23 Salary &amp; Benefits'!$G$6</f>
        <v>12558.24</v>
      </c>
      <c r="Y1246" s="23">
        <f>'2022-23 Salary &amp; Benefits'!$H$6</f>
        <v>0.2298</v>
      </c>
      <c r="Z1246" s="23">
        <f>'2022-23 Salary &amp; Benefits'!$I$6</f>
        <v>0.22339999999999999</v>
      </c>
      <c r="AA1246" s="22">
        <f t="shared" si="244"/>
        <v>0</v>
      </c>
      <c r="AB1246" s="22">
        <f t="shared" si="245"/>
        <v>0</v>
      </c>
      <c r="AC1246" s="22">
        <f t="shared" si="246"/>
        <v>0</v>
      </c>
      <c r="AD1246" s="22">
        <f t="shared" si="248"/>
        <v>0</v>
      </c>
      <c r="AE1246" s="22">
        <f t="shared" si="249"/>
        <v>0</v>
      </c>
      <c r="AF1246" s="19" t="str">
        <f>VLOOKUP(C1246,'2021-22 School Level AAFTE'!C:N,12,FALSE)</f>
        <v>No</v>
      </c>
    </row>
    <row r="1247" spans="1:32" s="5" customFormat="1">
      <c r="A1247" s="97" t="s">
        <v>2373</v>
      </c>
      <c r="B1247" s="97" t="s">
        <v>1039</v>
      </c>
      <c r="C1247" s="95">
        <v>2798</v>
      </c>
      <c r="D1247" s="95" t="s">
        <v>1042</v>
      </c>
      <c r="E1247" s="129">
        <f>VLOOKUP($C1247,'2021-22 School Level AAFTE'!$C:$Z,11,FALSE)</f>
        <v>0.50946666666666662</v>
      </c>
      <c r="F1247" s="129" t="str">
        <f>VLOOKUP($C1247,'2021-22 School Level AAFTE'!$C:$Z,8,FALSE)</f>
        <v>Yes</v>
      </c>
      <c r="G1247" s="129" t="str">
        <f>VLOOKUP($C1247,'2021-22 School Level AAFTE'!$C:$Z,12,FALSE)</f>
        <v>No</v>
      </c>
      <c r="H1247" s="127">
        <f>VLOOKUP($C1247,'2021-22 School Level AAFTE'!$C:$I,7,FALSE)</f>
        <v>297.16000000000003</v>
      </c>
      <c r="I1247" s="112">
        <f>IFERROR(IF(OR(G1247="yes",F1247= "yes"),VLOOKUP(C1247,Summary!$B:$J,6,0),0),0)</f>
        <v>0</v>
      </c>
      <c r="J1247" s="111">
        <f t="shared" si="240"/>
        <v>297.16000000000003</v>
      </c>
      <c r="K1247" s="91">
        <f>VLOOKUP($A1247,'2022-23 Salary &amp; Benefits'!$A:$I,3,FALSE)</f>
        <v>1.18</v>
      </c>
      <c r="L1247" s="91">
        <f>VLOOKUP($A1247,'2022-23 Salary &amp; Benefits'!$A:$I,4,FALSE)</f>
        <v>1.18</v>
      </c>
      <c r="M1247" s="39">
        <f t="shared" si="247"/>
        <v>297.16000000000003</v>
      </c>
      <c r="N1247" s="24">
        <v>15</v>
      </c>
      <c r="O1247" s="26">
        <f t="shared" si="238"/>
        <v>19.81066666666667</v>
      </c>
      <c r="P1247" s="24">
        <v>1.1000000000000001</v>
      </c>
      <c r="Q1247" s="24">
        <v>36</v>
      </c>
      <c r="R1247" s="27">
        <f t="shared" si="239"/>
        <v>784.50240000000008</v>
      </c>
      <c r="S1247" s="102">
        <f t="shared" si="241"/>
        <v>0.872</v>
      </c>
      <c r="T1247" s="21">
        <f>VLOOKUP($A1247,'2022-23 Salary &amp; Benefits'!$A:$I,5,FALSE)</f>
        <v>68937</v>
      </c>
      <c r="U1247" s="21">
        <f>VLOOKUP($A1247,'2022-23 Salary &amp; Benefits'!$A:$I,6,FALSE)</f>
        <v>72728</v>
      </c>
      <c r="V1247" s="22">
        <f t="shared" si="242"/>
        <v>70933.42</v>
      </c>
      <c r="W1247" s="22">
        <f t="shared" si="243"/>
        <v>3900.7799999999988</v>
      </c>
      <c r="X1247" s="22">
        <f>'2022-23 Salary &amp; Benefits'!$G$6</f>
        <v>12558.24</v>
      </c>
      <c r="Y1247" s="23">
        <f>'2022-23 Salary &amp; Benefits'!$H$6</f>
        <v>0.2298</v>
      </c>
      <c r="Z1247" s="23">
        <f>'2022-23 Salary &amp; Benefits'!$I$6</f>
        <v>0.22339999999999999</v>
      </c>
      <c r="AA1247" s="22">
        <f t="shared" si="244"/>
        <v>28122.720000000001</v>
      </c>
      <c r="AB1247" s="22">
        <f t="shared" si="245"/>
        <v>1247.24</v>
      </c>
      <c r="AC1247" s="22">
        <f t="shared" si="246"/>
        <v>278.63</v>
      </c>
      <c r="AD1247" s="22">
        <f t="shared" si="248"/>
        <v>1525.87</v>
      </c>
      <c r="AE1247" s="22">
        <f t="shared" si="249"/>
        <v>104482.79</v>
      </c>
      <c r="AF1247" s="19" t="str">
        <f>VLOOKUP(C1247,'2021-22 School Level AAFTE'!C:N,12,FALSE)</f>
        <v>No</v>
      </c>
    </row>
    <row r="1248" spans="1:32" s="5" customFormat="1">
      <c r="A1248" s="97" t="s">
        <v>2373</v>
      </c>
      <c r="B1248" s="97" t="s">
        <v>1039</v>
      </c>
      <c r="C1248" s="95">
        <v>2854</v>
      </c>
      <c r="D1248" s="95" t="s">
        <v>1043</v>
      </c>
      <c r="E1248" s="129">
        <f>VLOOKUP($C1248,'2021-22 School Level AAFTE'!$C:$Z,11,FALSE)</f>
        <v>0.27120000000000005</v>
      </c>
      <c r="F1248" s="129" t="str">
        <f>VLOOKUP($C1248,'2021-22 School Level AAFTE'!$C:$Z,8,FALSE)</f>
        <v>No</v>
      </c>
      <c r="G1248" s="129" t="str">
        <f>VLOOKUP($C1248,'2021-22 School Level AAFTE'!$C:$Z,12,FALSE)</f>
        <v>No</v>
      </c>
      <c r="H1248" s="127">
        <f>VLOOKUP($C1248,'2021-22 School Level AAFTE'!$C:$I,7,FALSE)</f>
        <v>293.74</v>
      </c>
      <c r="I1248" s="112">
        <f>IFERROR(IF(OR(G1248="yes",F1248= "yes"),VLOOKUP(C1248,Summary!$B:$J,6,0),0),0)</f>
        <v>0</v>
      </c>
      <c r="J1248" s="111">
        <f t="shared" si="240"/>
        <v>0</v>
      </c>
      <c r="K1248" s="91">
        <f>VLOOKUP($A1248,'2022-23 Salary &amp; Benefits'!$A:$I,3,FALSE)</f>
        <v>1.18</v>
      </c>
      <c r="L1248" s="91">
        <f>VLOOKUP($A1248,'2022-23 Salary &amp; Benefits'!$A:$I,4,FALSE)</f>
        <v>1.18</v>
      </c>
      <c r="M1248" s="101">
        <f t="shared" si="247"/>
        <v>0</v>
      </c>
      <c r="N1248" s="24">
        <v>15</v>
      </c>
      <c r="O1248" s="26">
        <f t="shared" si="238"/>
        <v>0</v>
      </c>
      <c r="P1248" s="24">
        <v>1.1000000000000001</v>
      </c>
      <c r="Q1248" s="24">
        <v>36</v>
      </c>
      <c r="R1248" s="27">
        <f t="shared" si="239"/>
        <v>0</v>
      </c>
      <c r="S1248" s="102">
        <f t="shared" si="241"/>
        <v>0</v>
      </c>
      <c r="T1248" s="21">
        <f>VLOOKUP($A1248,'2022-23 Salary &amp; Benefits'!$A:$I,5,FALSE)</f>
        <v>68937</v>
      </c>
      <c r="U1248" s="21">
        <f>VLOOKUP($A1248,'2022-23 Salary &amp; Benefits'!$A:$I,6,FALSE)</f>
        <v>72728</v>
      </c>
      <c r="V1248" s="22">
        <f t="shared" si="242"/>
        <v>0</v>
      </c>
      <c r="W1248" s="22">
        <f t="shared" si="243"/>
        <v>0</v>
      </c>
      <c r="X1248" s="22">
        <f>'2022-23 Salary &amp; Benefits'!$G$6</f>
        <v>12558.24</v>
      </c>
      <c r="Y1248" s="23">
        <f>'2022-23 Salary &amp; Benefits'!$H$6</f>
        <v>0.2298</v>
      </c>
      <c r="Z1248" s="23">
        <f>'2022-23 Salary &amp; Benefits'!$I$6</f>
        <v>0.22339999999999999</v>
      </c>
      <c r="AA1248" s="22">
        <f t="shared" si="244"/>
        <v>0</v>
      </c>
      <c r="AB1248" s="22">
        <f t="shared" si="245"/>
        <v>0</v>
      </c>
      <c r="AC1248" s="22">
        <f t="shared" si="246"/>
        <v>0</v>
      </c>
      <c r="AD1248" s="22">
        <f t="shared" si="248"/>
        <v>0</v>
      </c>
      <c r="AE1248" s="22">
        <f t="shared" si="249"/>
        <v>0</v>
      </c>
      <c r="AF1248" s="19" t="str">
        <f>VLOOKUP(C1248,'2021-22 School Level AAFTE'!C:N,12,FALSE)</f>
        <v>No</v>
      </c>
    </row>
    <row r="1249" spans="1:284" s="5" customFormat="1">
      <c r="A1249" s="97" t="s">
        <v>2373</v>
      </c>
      <c r="B1249" s="97" t="s">
        <v>1039</v>
      </c>
      <c r="C1249" s="95">
        <v>3236</v>
      </c>
      <c r="D1249" s="95" t="s">
        <v>1044</v>
      </c>
      <c r="E1249" s="129">
        <f>VLOOKUP($C1249,'2021-22 School Level AAFTE'!$C:$Z,11,FALSE)</f>
        <v>0.2298</v>
      </c>
      <c r="F1249" s="129" t="str">
        <f>VLOOKUP($C1249,'2021-22 School Level AAFTE'!$C:$Z,8,FALSE)</f>
        <v>No</v>
      </c>
      <c r="G1249" s="129" t="str">
        <f>VLOOKUP($C1249,'2021-22 School Level AAFTE'!$C:$Z,12,FALSE)</f>
        <v>No</v>
      </c>
      <c r="H1249" s="127">
        <f>VLOOKUP($C1249,'2021-22 School Level AAFTE'!$C:$I,7,FALSE)</f>
        <v>1046.28</v>
      </c>
      <c r="I1249" s="112">
        <f>IFERROR(IF(OR(G1249="yes",F1249= "yes"),VLOOKUP(C1249,Summary!$B:$J,6,0),0),0)</f>
        <v>0</v>
      </c>
      <c r="J1249" s="111">
        <f t="shared" si="240"/>
        <v>0</v>
      </c>
      <c r="K1249" s="91">
        <f>VLOOKUP($A1249,'2022-23 Salary &amp; Benefits'!$A:$I,3,FALSE)</f>
        <v>1.18</v>
      </c>
      <c r="L1249" s="91">
        <f>VLOOKUP($A1249,'2022-23 Salary &amp; Benefits'!$A:$I,4,FALSE)</f>
        <v>1.18</v>
      </c>
      <c r="M1249" s="39">
        <f t="shared" si="247"/>
        <v>0</v>
      </c>
      <c r="N1249" s="24">
        <v>15</v>
      </c>
      <c r="O1249" s="26">
        <f t="shared" si="238"/>
        <v>0</v>
      </c>
      <c r="P1249" s="24">
        <v>1.1000000000000001</v>
      </c>
      <c r="Q1249" s="24">
        <v>36</v>
      </c>
      <c r="R1249" s="27">
        <f t="shared" si="239"/>
        <v>0</v>
      </c>
      <c r="S1249" s="102">
        <f t="shared" si="241"/>
        <v>0</v>
      </c>
      <c r="T1249" s="21">
        <f>VLOOKUP($A1249,'2022-23 Salary &amp; Benefits'!$A:$I,5,FALSE)</f>
        <v>68937</v>
      </c>
      <c r="U1249" s="21">
        <f>VLOOKUP($A1249,'2022-23 Salary &amp; Benefits'!$A:$I,6,FALSE)</f>
        <v>72728</v>
      </c>
      <c r="V1249" s="22">
        <f t="shared" si="242"/>
        <v>0</v>
      </c>
      <c r="W1249" s="22">
        <f t="shared" si="243"/>
        <v>0</v>
      </c>
      <c r="X1249" s="22">
        <f>'2022-23 Salary &amp; Benefits'!$G$6</f>
        <v>12558.24</v>
      </c>
      <c r="Y1249" s="23">
        <f>'2022-23 Salary &amp; Benefits'!$H$6</f>
        <v>0.2298</v>
      </c>
      <c r="Z1249" s="23">
        <f>'2022-23 Salary &amp; Benefits'!$I$6</f>
        <v>0.22339999999999999</v>
      </c>
      <c r="AA1249" s="22">
        <f t="shared" si="244"/>
        <v>0</v>
      </c>
      <c r="AB1249" s="22">
        <f t="shared" si="245"/>
        <v>0</v>
      </c>
      <c r="AC1249" s="22">
        <f t="shared" si="246"/>
        <v>0</v>
      </c>
      <c r="AD1249" s="22">
        <f t="shared" si="248"/>
        <v>0</v>
      </c>
      <c r="AE1249" s="22">
        <f t="shared" si="249"/>
        <v>0</v>
      </c>
      <c r="AF1249" s="19" t="str">
        <f>VLOOKUP(C1249,'2021-22 School Level AAFTE'!C:N,12,FALSE)</f>
        <v>No</v>
      </c>
    </row>
    <row r="1250" spans="1:284" s="5" customFormat="1">
      <c r="A1250" s="97" t="s">
        <v>2373</v>
      </c>
      <c r="B1250" s="97" t="s">
        <v>1039</v>
      </c>
      <c r="C1250" s="95">
        <v>3391</v>
      </c>
      <c r="D1250" s="95" t="s">
        <v>1045</v>
      </c>
      <c r="E1250" s="129">
        <f>VLOOKUP($C1250,'2021-22 School Level AAFTE'!$C:$Z,11,FALSE)</f>
        <v>0.40240000000000004</v>
      </c>
      <c r="F1250" s="129" t="str">
        <f>VLOOKUP($C1250,'2021-22 School Level AAFTE'!$C:$Z,8,FALSE)</f>
        <v>No</v>
      </c>
      <c r="G1250" s="129" t="str">
        <f>VLOOKUP($C1250,'2021-22 School Level AAFTE'!$C:$Z,12,FALSE)</f>
        <v>No</v>
      </c>
      <c r="H1250" s="127">
        <f>VLOOKUP($C1250,'2021-22 School Level AAFTE'!$C:$I,7,FALSE)</f>
        <v>327.04000000000002</v>
      </c>
      <c r="I1250" s="112">
        <f>IFERROR(IF(OR(G1250="yes",F1250= "yes"),VLOOKUP(C1250,Summary!$B:$J,6,0),0),0)</f>
        <v>0</v>
      </c>
      <c r="J1250" s="111">
        <f t="shared" si="240"/>
        <v>0</v>
      </c>
      <c r="K1250" s="91">
        <f>VLOOKUP($A1250,'2022-23 Salary &amp; Benefits'!$A:$I,3,FALSE)</f>
        <v>1.18</v>
      </c>
      <c r="L1250" s="91">
        <f>VLOOKUP($A1250,'2022-23 Salary &amp; Benefits'!$A:$I,4,FALSE)</f>
        <v>1.18</v>
      </c>
      <c r="M1250" s="39">
        <f t="shared" si="247"/>
        <v>0</v>
      </c>
      <c r="N1250" s="24">
        <v>15</v>
      </c>
      <c r="O1250" s="26">
        <f t="shared" si="238"/>
        <v>0</v>
      </c>
      <c r="P1250" s="24">
        <v>1.1000000000000001</v>
      </c>
      <c r="Q1250" s="24">
        <v>36</v>
      </c>
      <c r="R1250" s="27">
        <f t="shared" si="239"/>
        <v>0</v>
      </c>
      <c r="S1250" s="102">
        <f t="shared" si="241"/>
        <v>0</v>
      </c>
      <c r="T1250" s="21">
        <f>VLOOKUP($A1250,'2022-23 Salary &amp; Benefits'!$A:$I,5,FALSE)</f>
        <v>68937</v>
      </c>
      <c r="U1250" s="21">
        <f>VLOOKUP($A1250,'2022-23 Salary &amp; Benefits'!$A:$I,6,FALSE)</f>
        <v>72728</v>
      </c>
      <c r="V1250" s="22">
        <f t="shared" si="242"/>
        <v>0</v>
      </c>
      <c r="W1250" s="22">
        <f t="shared" si="243"/>
        <v>0</v>
      </c>
      <c r="X1250" s="22">
        <f>'2022-23 Salary &amp; Benefits'!$G$6</f>
        <v>12558.24</v>
      </c>
      <c r="Y1250" s="23">
        <f>'2022-23 Salary &amp; Benefits'!$H$6</f>
        <v>0.2298</v>
      </c>
      <c r="Z1250" s="23">
        <f>'2022-23 Salary &amp; Benefits'!$I$6</f>
        <v>0.22339999999999999</v>
      </c>
      <c r="AA1250" s="22">
        <f t="shared" si="244"/>
        <v>0</v>
      </c>
      <c r="AB1250" s="22">
        <f t="shared" si="245"/>
        <v>0</v>
      </c>
      <c r="AC1250" s="22">
        <f t="shared" si="246"/>
        <v>0</v>
      </c>
      <c r="AD1250" s="22">
        <f t="shared" si="248"/>
        <v>0</v>
      </c>
      <c r="AE1250" s="22">
        <f t="shared" si="249"/>
        <v>0</v>
      </c>
      <c r="AF1250" s="19" t="str">
        <f>VLOOKUP(C1250,'2021-22 School Level AAFTE'!C:N,12,FALSE)</f>
        <v>No</v>
      </c>
    </row>
    <row r="1251" spans="1:284" s="5" customFormat="1">
      <c r="A1251" s="97" t="s">
        <v>2373</v>
      </c>
      <c r="B1251" s="97" t="s">
        <v>1039</v>
      </c>
      <c r="C1251" s="95">
        <v>4359</v>
      </c>
      <c r="D1251" s="95" t="s">
        <v>1046</v>
      </c>
      <c r="E1251" s="129">
        <f>VLOOKUP($C1251,'2021-22 School Level AAFTE'!$C:$Z,11,FALSE)</f>
        <v>0.46613333333333329</v>
      </c>
      <c r="F1251" s="129" t="str">
        <f>VLOOKUP($C1251,'2021-22 School Level AAFTE'!$C:$Z,8,FALSE)</f>
        <v>No</v>
      </c>
      <c r="G1251" s="129" t="str">
        <f>VLOOKUP($C1251,'2021-22 School Level AAFTE'!$C:$Z,12,FALSE)</f>
        <v>No</v>
      </c>
      <c r="H1251" s="127">
        <f>VLOOKUP($C1251,'2021-22 School Level AAFTE'!$C:$I,7,FALSE)</f>
        <v>489.85</v>
      </c>
      <c r="I1251" s="112">
        <f>IFERROR(IF(OR(G1251="yes",F1251= "yes"),VLOOKUP(C1251,Summary!$B:$J,6,0),0),0)</f>
        <v>0</v>
      </c>
      <c r="J1251" s="111">
        <f t="shared" si="240"/>
        <v>0</v>
      </c>
      <c r="K1251" s="91">
        <f>VLOOKUP($A1251,'2022-23 Salary &amp; Benefits'!$A:$I,3,FALSE)</f>
        <v>1.18</v>
      </c>
      <c r="L1251" s="91">
        <f>VLOOKUP($A1251,'2022-23 Salary &amp; Benefits'!$A:$I,4,FALSE)</f>
        <v>1.18</v>
      </c>
      <c r="M1251" s="39">
        <f t="shared" si="247"/>
        <v>0</v>
      </c>
      <c r="N1251" s="24">
        <v>15</v>
      </c>
      <c r="O1251" s="26">
        <f t="shared" si="238"/>
        <v>0</v>
      </c>
      <c r="P1251" s="24">
        <v>1.1000000000000001</v>
      </c>
      <c r="Q1251" s="24">
        <v>36</v>
      </c>
      <c r="R1251" s="27">
        <f t="shared" si="239"/>
        <v>0</v>
      </c>
      <c r="S1251" s="102">
        <f t="shared" si="241"/>
        <v>0</v>
      </c>
      <c r="T1251" s="21">
        <f>VLOOKUP($A1251,'2022-23 Salary &amp; Benefits'!$A:$I,5,FALSE)</f>
        <v>68937</v>
      </c>
      <c r="U1251" s="21">
        <f>VLOOKUP($A1251,'2022-23 Salary &amp; Benefits'!$A:$I,6,FALSE)</f>
        <v>72728</v>
      </c>
      <c r="V1251" s="22">
        <f t="shared" si="242"/>
        <v>0</v>
      </c>
      <c r="W1251" s="22">
        <f t="shared" si="243"/>
        <v>0</v>
      </c>
      <c r="X1251" s="22">
        <f>'2022-23 Salary &amp; Benefits'!$G$6</f>
        <v>12558.24</v>
      </c>
      <c r="Y1251" s="23">
        <f>'2022-23 Salary &amp; Benefits'!$H$6</f>
        <v>0.2298</v>
      </c>
      <c r="Z1251" s="23">
        <f>'2022-23 Salary &amp; Benefits'!$I$6</f>
        <v>0.22339999999999999</v>
      </c>
      <c r="AA1251" s="22">
        <f t="shared" si="244"/>
        <v>0</v>
      </c>
      <c r="AB1251" s="22">
        <f t="shared" si="245"/>
        <v>0</v>
      </c>
      <c r="AC1251" s="22">
        <f t="shared" si="246"/>
        <v>0</v>
      </c>
      <c r="AD1251" s="22">
        <f t="shared" si="248"/>
        <v>0</v>
      </c>
      <c r="AE1251" s="22">
        <f t="shared" si="249"/>
        <v>0</v>
      </c>
      <c r="AF1251" s="19" t="str">
        <f>VLOOKUP(C1251,'2021-22 School Level AAFTE'!C:N,12,FALSE)</f>
        <v>No</v>
      </c>
    </row>
    <row r="1252" spans="1:284" s="5" customFormat="1">
      <c r="A1252" s="97" t="s">
        <v>2373</v>
      </c>
      <c r="B1252" s="97" t="s">
        <v>1039</v>
      </c>
      <c r="C1252" s="95">
        <v>4461</v>
      </c>
      <c r="D1252" s="95" t="s">
        <v>1047</v>
      </c>
      <c r="E1252" s="129">
        <f>VLOOKUP($C1252,'2021-22 School Level AAFTE'!$C:$Z,11,FALSE)</f>
        <v>0.2861333333333333</v>
      </c>
      <c r="F1252" s="129" t="str">
        <f>VLOOKUP($C1252,'2021-22 School Level AAFTE'!$C:$Z,8,FALSE)</f>
        <v>No</v>
      </c>
      <c r="G1252" s="129" t="str">
        <f>VLOOKUP($C1252,'2021-22 School Level AAFTE'!$C:$Z,12,FALSE)</f>
        <v>No</v>
      </c>
      <c r="H1252" s="127">
        <f>VLOOKUP($C1252,'2021-22 School Level AAFTE'!$C:$I,7,FALSE)</f>
        <v>520.16999999999996</v>
      </c>
      <c r="I1252" s="112">
        <f>IFERROR(IF(OR(G1252="yes",F1252= "yes"),VLOOKUP(C1252,Summary!$B:$J,6,0),0),0)</f>
        <v>0</v>
      </c>
      <c r="J1252" s="111">
        <f t="shared" si="240"/>
        <v>0</v>
      </c>
      <c r="K1252" s="91">
        <f>VLOOKUP($A1252,'2022-23 Salary &amp; Benefits'!$A:$I,3,FALSE)</f>
        <v>1.18</v>
      </c>
      <c r="L1252" s="91">
        <f>VLOOKUP($A1252,'2022-23 Salary &amp; Benefits'!$A:$I,4,FALSE)</f>
        <v>1.18</v>
      </c>
      <c r="M1252" s="39">
        <f t="shared" si="247"/>
        <v>0</v>
      </c>
      <c r="N1252" s="24">
        <v>15</v>
      </c>
      <c r="O1252" s="26">
        <f t="shared" si="238"/>
        <v>0</v>
      </c>
      <c r="P1252" s="24">
        <v>1.1000000000000001</v>
      </c>
      <c r="Q1252" s="24">
        <v>36</v>
      </c>
      <c r="R1252" s="27">
        <f t="shared" si="239"/>
        <v>0</v>
      </c>
      <c r="S1252" s="102">
        <f t="shared" si="241"/>
        <v>0</v>
      </c>
      <c r="T1252" s="21">
        <f>VLOOKUP($A1252,'2022-23 Salary &amp; Benefits'!$A:$I,5,FALSE)</f>
        <v>68937</v>
      </c>
      <c r="U1252" s="21">
        <f>VLOOKUP($A1252,'2022-23 Salary &amp; Benefits'!$A:$I,6,FALSE)</f>
        <v>72728</v>
      </c>
      <c r="V1252" s="22">
        <f t="shared" si="242"/>
        <v>0</v>
      </c>
      <c r="W1252" s="22">
        <f t="shared" si="243"/>
        <v>0</v>
      </c>
      <c r="X1252" s="22">
        <f>'2022-23 Salary &amp; Benefits'!$G$6</f>
        <v>12558.24</v>
      </c>
      <c r="Y1252" s="23">
        <f>'2022-23 Salary &amp; Benefits'!$H$6</f>
        <v>0.2298</v>
      </c>
      <c r="Z1252" s="23">
        <f>'2022-23 Salary &amp; Benefits'!$I$6</f>
        <v>0.22339999999999999</v>
      </c>
      <c r="AA1252" s="22">
        <f t="shared" si="244"/>
        <v>0</v>
      </c>
      <c r="AB1252" s="22">
        <f t="shared" si="245"/>
        <v>0</v>
      </c>
      <c r="AC1252" s="22">
        <f t="shared" si="246"/>
        <v>0</v>
      </c>
      <c r="AD1252" s="22">
        <f t="shared" si="248"/>
        <v>0</v>
      </c>
      <c r="AE1252" s="22">
        <f t="shared" si="249"/>
        <v>0</v>
      </c>
      <c r="AF1252" s="19" t="str">
        <f>VLOOKUP(C1252,'2021-22 School Level AAFTE'!C:N,12,FALSE)</f>
        <v>No</v>
      </c>
    </row>
    <row r="1253" spans="1:284" s="5" customFormat="1">
      <c r="A1253" s="97" t="s">
        <v>2373</v>
      </c>
      <c r="B1253" s="97" t="s">
        <v>1039</v>
      </c>
      <c r="C1253" s="95">
        <v>4467</v>
      </c>
      <c r="D1253" s="139" t="s">
        <v>1048</v>
      </c>
      <c r="E1253" s="129">
        <f>VLOOKUP($C1253,'2021-22 School Level AAFTE'!$C:$Z,11,FALSE)</f>
        <v>0.32653333333333334</v>
      </c>
      <c r="F1253" s="129" t="str">
        <f>VLOOKUP($C1253,'2021-22 School Level AAFTE'!$C:$Z,8,FALSE)</f>
        <v>No</v>
      </c>
      <c r="G1253" s="129" t="str">
        <f>VLOOKUP($C1253,'2021-22 School Level AAFTE'!$C:$Z,12,FALSE)</f>
        <v>No</v>
      </c>
      <c r="H1253" s="127">
        <f>VLOOKUP($C1253,'2021-22 School Level AAFTE'!$C:$I,7,FALSE)</f>
        <v>368.19</v>
      </c>
      <c r="I1253" s="112">
        <f>IFERROR(IF(OR(G1253="yes",F1253= "yes"),VLOOKUP(C1253,Summary!$B:$J,6,0),0),0)</f>
        <v>0</v>
      </c>
      <c r="J1253" s="111">
        <f t="shared" si="240"/>
        <v>0</v>
      </c>
      <c r="K1253" s="91">
        <f>VLOOKUP($A1253,'2022-23 Salary &amp; Benefits'!$A:$I,3,FALSE)</f>
        <v>1.18</v>
      </c>
      <c r="L1253" s="91">
        <f>VLOOKUP($A1253,'2022-23 Salary &amp; Benefits'!$A:$I,4,FALSE)</f>
        <v>1.18</v>
      </c>
      <c r="M1253" s="39">
        <f t="shared" si="247"/>
        <v>0</v>
      </c>
      <c r="N1253" s="24">
        <v>15</v>
      </c>
      <c r="O1253" s="26">
        <f t="shared" si="238"/>
        <v>0</v>
      </c>
      <c r="P1253" s="24">
        <v>1.1000000000000001</v>
      </c>
      <c r="Q1253" s="24">
        <v>36</v>
      </c>
      <c r="R1253" s="27">
        <f t="shared" si="239"/>
        <v>0</v>
      </c>
      <c r="S1253" s="102">
        <f t="shared" si="241"/>
        <v>0</v>
      </c>
      <c r="T1253" s="21">
        <f>VLOOKUP($A1253,'2022-23 Salary &amp; Benefits'!$A:$I,5,FALSE)</f>
        <v>68937</v>
      </c>
      <c r="U1253" s="21">
        <f>VLOOKUP($A1253,'2022-23 Salary &amp; Benefits'!$A:$I,6,FALSE)</f>
        <v>72728</v>
      </c>
      <c r="V1253" s="22">
        <f t="shared" si="242"/>
        <v>0</v>
      </c>
      <c r="W1253" s="22">
        <f t="shared" si="243"/>
        <v>0</v>
      </c>
      <c r="X1253" s="22">
        <f>'2022-23 Salary &amp; Benefits'!$G$6</f>
        <v>12558.24</v>
      </c>
      <c r="Y1253" s="23">
        <f>'2022-23 Salary &amp; Benefits'!$H$6</f>
        <v>0.2298</v>
      </c>
      <c r="Z1253" s="23">
        <f>'2022-23 Salary &amp; Benefits'!$I$6</f>
        <v>0.22339999999999999</v>
      </c>
      <c r="AA1253" s="22">
        <f t="shared" si="244"/>
        <v>0</v>
      </c>
      <c r="AB1253" s="22">
        <f t="shared" si="245"/>
        <v>0</v>
      </c>
      <c r="AC1253" s="22">
        <f t="shared" si="246"/>
        <v>0</v>
      </c>
      <c r="AD1253" s="22">
        <f t="shared" si="248"/>
        <v>0</v>
      </c>
      <c r="AE1253" s="22">
        <f t="shared" si="249"/>
        <v>0</v>
      </c>
      <c r="AF1253" s="19" t="str">
        <f>VLOOKUP(C1253,'2021-22 School Level AAFTE'!C:N,12,FALSE)</f>
        <v>No</v>
      </c>
    </row>
    <row r="1254" spans="1:284" s="5" customFormat="1">
      <c r="A1254" s="97" t="s">
        <v>2373</v>
      </c>
      <c r="B1254" s="97" t="s">
        <v>1039</v>
      </c>
      <c r="C1254" s="95">
        <v>5085</v>
      </c>
      <c r="D1254" s="95" t="s">
        <v>1049</v>
      </c>
      <c r="E1254" s="129">
        <f>VLOOKUP($C1254,'2021-22 School Level AAFTE'!$C:$Z,11,FALSE)</f>
        <v>0.35556666666666664</v>
      </c>
      <c r="F1254" s="129" t="str">
        <f>VLOOKUP($C1254,'2021-22 School Level AAFTE'!$C:$Z,8,FALSE)</f>
        <v>No</v>
      </c>
      <c r="G1254" s="129" t="str">
        <f>VLOOKUP($C1254,'2021-22 School Level AAFTE'!$C:$Z,12,FALSE)</f>
        <v>No</v>
      </c>
      <c r="H1254" s="127">
        <f>VLOOKUP($C1254,'2021-22 School Level AAFTE'!$C:$I,7,FALSE)</f>
        <v>622.1099999999999</v>
      </c>
      <c r="I1254" s="112">
        <f>IFERROR(IF(OR(G1254="yes",F1254= "yes"),VLOOKUP(C1254,Summary!$B:$J,6,0),0),0)</f>
        <v>0</v>
      </c>
      <c r="J1254" s="111">
        <f t="shared" si="240"/>
        <v>0</v>
      </c>
      <c r="K1254" s="91">
        <f>VLOOKUP($A1254,'2022-23 Salary &amp; Benefits'!$A:$I,3,FALSE)</f>
        <v>1.18</v>
      </c>
      <c r="L1254" s="91">
        <f>VLOOKUP($A1254,'2022-23 Salary &amp; Benefits'!$A:$I,4,FALSE)</f>
        <v>1.18</v>
      </c>
      <c r="M1254" s="39">
        <f t="shared" si="247"/>
        <v>0</v>
      </c>
      <c r="N1254" s="24">
        <v>15</v>
      </c>
      <c r="O1254" s="26">
        <f t="shared" si="238"/>
        <v>0</v>
      </c>
      <c r="P1254" s="24">
        <v>1.1000000000000001</v>
      </c>
      <c r="Q1254" s="24">
        <v>36</v>
      </c>
      <c r="R1254" s="27">
        <f t="shared" si="239"/>
        <v>0</v>
      </c>
      <c r="S1254" s="102">
        <f t="shared" si="241"/>
        <v>0</v>
      </c>
      <c r="T1254" s="21">
        <f>VLOOKUP($A1254,'2022-23 Salary &amp; Benefits'!$A:$I,5,FALSE)</f>
        <v>68937</v>
      </c>
      <c r="U1254" s="21">
        <f>VLOOKUP($A1254,'2022-23 Salary &amp; Benefits'!$A:$I,6,FALSE)</f>
        <v>72728</v>
      </c>
      <c r="V1254" s="22">
        <f t="shared" si="242"/>
        <v>0</v>
      </c>
      <c r="W1254" s="22">
        <f t="shared" si="243"/>
        <v>0</v>
      </c>
      <c r="X1254" s="22">
        <f>'2022-23 Salary &amp; Benefits'!$G$6</f>
        <v>12558.24</v>
      </c>
      <c r="Y1254" s="23">
        <f>'2022-23 Salary &amp; Benefits'!$H$6</f>
        <v>0.2298</v>
      </c>
      <c r="Z1254" s="23">
        <f>'2022-23 Salary &amp; Benefits'!$I$6</f>
        <v>0.22339999999999999</v>
      </c>
      <c r="AA1254" s="22">
        <f t="shared" si="244"/>
        <v>0</v>
      </c>
      <c r="AB1254" s="22">
        <f t="shared" si="245"/>
        <v>0</v>
      </c>
      <c r="AC1254" s="22">
        <f t="shared" si="246"/>
        <v>0</v>
      </c>
      <c r="AD1254" s="22">
        <f t="shared" si="248"/>
        <v>0</v>
      </c>
      <c r="AE1254" s="22">
        <f t="shared" si="249"/>
        <v>0</v>
      </c>
      <c r="AF1254" s="19" t="str">
        <f>VLOOKUP(C1254,'2021-22 School Level AAFTE'!C:N,12,FALSE)</f>
        <v>No</v>
      </c>
    </row>
    <row r="1255" spans="1:284" s="5" customFormat="1">
      <c r="A1255" s="97" t="s">
        <v>2373</v>
      </c>
      <c r="B1255" s="97" t="s">
        <v>1039</v>
      </c>
      <c r="C1255" s="95">
        <v>5546</v>
      </c>
      <c r="D1255" s="95" t="s">
        <v>703</v>
      </c>
      <c r="E1255" s="129">
        <f>VLOOKUP($C1255,'2021-22 School Level AAFTE'!$C:$Z,11,FALSE)</f>
        <v>0.4793</v>
      </c>
      <c r="F1255" s="129" t="str">
        <f>VLOOKUP($C1255,'2021-22 School Level AAFTE'!$C:$Z,8,FALSE)</f>
        <v>No</v>
      </c>
      <c r="G1255" s="129" t="str">
        <f>VLOOKUP($C1255,'2021-22 School Level AAFTE'!$C:$Z,12,FALSE)</f>
        <v>Yes</v>
      </c>
      <c r="H1255" s="127">
        <f>VLOOKUP($C1255,'2021-22 School Level AAFTE'!$C:$I,7,FALSE)</f>
        <v>51.85</v>
      </c>
      <c r="I1255" s="112">
        <f>IFERROR(IF(OR(G1255="yes",F1255= "yes"),VLOOKUP(C1255,Summary!$B:$J,6,0),0),0)</f>
        <v>0</v>
      </c>
      <c r="J1255" s="111">
        <f t="shared" si="240"/>
        <v>51.85</v>
      </c>
      <c r="K1255" s="91">
        <f>VLOOKUP($A1255,'2022-23 Salary &amp; Benefits'!$A:$I,3,FALSE)</f>
        <v>1.18</v>
      </c>
      <c r="L1255" s="91">
        <f>VLOOKUP($A1255,'2022-23 Salary &amp; Benefits'!$A:$I,4,FALSE)</f>
        <v>1.18</v>
      </c>
      <c r="M1255" s="39">
        <f t="shared" si="247"/>
        <v>51.85</v>
      </c>
      <c r="N1255" s="24">
        <v>15</v>
      </c>
      <c r="O1255" s="26">
        <f t="shared" si="238"/>
        <v>3.4566666666666666</v>
      </c>
      <c r="P1255" s="24">
        <v>1.1000000000000001</v>
      </c>
      <c r="Q1255" s="24">
        <v>36</v>
      </c>
      <c r="R1255" s="27">
        <f t="shared" si="239"/>
        <v>136.88400000000001</v>
      </c>
      <c r="S1255" s="102">
        <f t="shared" si="241"/>
        <v>0.152</v>
      </c>
      <c r="T1255" s="21">
        <f>VLOOKUP($A1255,'2022-23 Salary &amp; Benefits'!$A:$I,5,FALSE)</f>
        <v>68937</v>
      </c>
      <c r="U1255" s="21">
        <f>VLOOKUP($A1255,'2022-23 Salary &amp; Benefits'!$A:$I,6,FALSE)</f>
        <v>72728</v>
      </c>
      <c r="V1255" s="22">
        <f t="shared" si="242"/>
        <v>12364.54</v>
      </c>
      <c r="W1255" s="22">
        <f t="shared" si="243"/>
        <v>679.94999999999891</v>
      </c>
      <c r="X1255" s="22">
        <f>'2022-23 Salary &amp; Benefits'!$G$6</f>
        <v>12558.24</v>
      </c>
      <c r="Y1255" s="23">
        <f>'2022-23 Salary &amp; Benefits'!$H$6</f>
        <v>0.2298</v>
      </c>
      <c r="Z1255" s="23">
        <f>'2022-23 Salary &amp; Benefits'!$I$6</f>
        <v>0.22339999999999999</v>
      </c>
      <c r="AA1255" s="22">
        <f t="shared" si="244"/>
        <v>4902.12</v>
      </c>
      <c r="AB1255" s="22">
        <f t="shared" si="245"/>
        <v>217.41</v>
      </c>
      <c r="AC1255" s="22">
        <f t="shared" si="246"/>
        <v>48.57</v>
      </c>
      <c r="AD1255" s="22">
        <f t="shared" si="248"/>
        <v>265.98</v>
      </c>
      <c r="AE1255" s="22">
        <f t="shared" si="249"/>
        <v>18212.59</v>
      </c>
      <c r="AF1255" s="19" t="str">
        <f>VLOOKUP(C1255,'2021-22 School Level AAFTE'!C:N,12,FALSE)</f>
        <v>Yes</v>
      </c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  <c r="IU1255" s="3"/>
      <c r="IV1255" s="3"/>
      <c r="IW1255" s="3"/>
      <c r="IX1255" s="3"/>
      <c r="IY1255" s="3"/>
      <c r="IZ1255" s="3"/>
      <c r="JA1255" s="3"/>
      <c r="JB1255" s="3"/>
      <c r="JC1255" s="3"/>
      <c r="JD1255" s="3"/>
      <c r="JE1255" s="3"/>
      <c r="JF1255" s="3"/>
      <c r="JG1255" s="3"/>
      <c r="JH1255" s="3"/>
      <c r="JI1255" s="3"/>
      <c r="JJ1255" s="3"/>
      <c r="JK1255" s="3"/>
      <c r="JL1255" s="3"/>
      <c r="JM1255" s="3"/>
      <c r="JN1255" s="3"/>
      <c r="JO1255" s="3"/>
      <c r="JP1255" s="3"/>
      <c r="JQ1255" s="3"/>
      <c r="JR1255" s="3"/>
      <c r="JS1255" s="3"/>
      <c r="JT1255" s="3"/>
      <c r="JU1255" s="3"/>
      <c r="JV1255" s="3"/>
      <c r="JW1255" s="3"/>
      <c r="JX1255" s="3"/>
    </row>
    <row r="1256" spans="1:284" s="5" customFormat="1">
      <c r="A1256" s="97" t="s">
        <v>2373</v>
      </c>
      <c r="B1256" s="97" t="s">
        <v>1039</v>
      </c>
      <c r="C1256" s="95">
        <v>5646</v>
      </c>
      <c r="D1256" s="95" t="s">
        <v>2894</v>
      </c>
      <c r="E1256" s="129">
        <f>VLOOKUP($C1256,'2021-22 School Level AAFTE'!$C:$Z,11,FALSE)</f>
        <v>0.12465000000000001</v>
      </c>
      <c r="F1256" s="129" t="str">
        <f>VLOOKUP($C1256,'2021-22 School Level AAFTE'!$C:$Z,8,FALSE)</f>
        <v>No</v>
      </c>
      <c r="G1256" s="129" t="str">
        <f>VLOOKUP($C1256,'2021-22 School Level AAFTE'!$C:$Z,12,FALSE)</f>
        <v>No</v>
      </c>
      <c r="H1256" s="127">
        <f>VLOOKUP($C1256,'2021-22 School Level AAFTE'!$C:$I,7,FALSE)</f>
        <v>84.91</v>
      </c>
      <c r="I1256" s="112">
        <f>IFERROR(IF(OR(G1256="yes",F1256= "yes"),VLOOKUP(C1256,Summary!$B:$J,6,0),0),0)</f>
        <v>0</v>
      </c>
      <c r="J1256" s="111">
        <f t="shared" si="240"/>
        <v>0</v>
      </c>
      <c r="K1256" s="91">
        <f>VLOOKUP($A1256,'2022-23 Salary &amp; Benefits'!$A:$I,3,FALSE)</f>
        <v>1.18</v>
      </c>
      <c r="L1256" s="91">
        <f>VLOOKUP($A1256,'2022-23 Salary &amp; Benefits'!$A:$I,4,FALSE)</f>
        <v>1.18</v>
      </c>
      <c r="M1256" s="39">
        <f t="shared" si="247"/>
        <v>0</v>
      </c>
      <c r="N1256" s="24">
        <v>15</v>
      </c>
      <c r="O1256" s="26">
        <f t="shared" si="238"/>
        <v>0</v>
      </c>
      <c r="P1256" s="24">
        <v>1.1000000000000001</v>
      </c>
      <c r="Q1256" s="24">
        <v>36</v>
      </c>
      <c r="R1256" s="27">
        <f t="shared" si="239"/>
        <v>0</v>
      </c>
      <c r="S1256" s="102">
        <f t="shared" si="241"/>
        <v>0</v>
      </c>
      <c r="T1256" s="21">
        <f>VLOOKUP($A1256,'2022-23 Salary &amp; Benefits'!$A:$I,5,FALSE)</f>
        <v>68937</v>
      </c>
      <c r="U1256" s="21">
        <f>VLOOKUP($A1256,'2022-23 Salary &amp; Benefits'!$A:$I,6,FALSE)</f>
        <v>72728</v>
      </c>
      <c r="V1256" s="22">
        <f t="shared" si="242"/>
        <v>0</v>
      </c>
      <c r="W1256" s="22">
        <f t="shared" si="243"/>
        <v>0</v>
      </c>
      <c r="X1256" s="22">
        <f>'2022-23 Salary &amp; Benefits'!$G$6</f>
        <v>12558.24</v>
      </c>
      <c r="Y1256" s="23">
        <f>'2022-23 Salary &amp; Benefits'!$H$6</f>
        <v>0.2298</v>
      </c>
      <c r="Z1256" s="23">
        <f>'2022-23 Salary &amp; Benefits'!$I$6</f>
        <v>0.22339999999999999</v>
      </c>
      <c r="AA1256" s="22">
        <f t="shared" si="244"/>
        <v>0</v>
      </c>
      <c r="AB1256" s="22">
        <f t="shared" si="245"/>
        <v>0</v>
      </c>
      <c r="AC1256" s="22">
        <f t="shared" si="246"/>
        <v>0</v>
      </c>
      <c r="AD1256" s="22">
        <f t="shared" si="248"/>
        <v>0</v>
      </c>
      <c r="AE1256" s="22">
        <f t="shared" si="249"/>
        <v>0</v>
      </c>
      <c r="AF1256" s="19" t="str">
        <f>VLOOKUP(C1256,'2021-22 School Level AAFTE'!C:N,12,FALSE)</f>
        <v>No</v>
      </c>
    </row>
    <row r="1257" spans="1:284" s="5" customFormat="1">
      <c r="A1257" s="97" t="s">
        <v>2419</v>
      </c>
      <c r="B1257" s="97" t="s">
        <v>1217</v>
      </c>
      <c r="C1257" s="95">
        <v>1680</v>
      </c>
      <c r="D1257" s="95" t="s">
        <v>1218</v>
      </c>
      <c r="E1257" s="129">
        <f>VLOOKUP($C1257,'2021-22 School Level AAFTE'!$C:$Z,11,FALSE)</f>
        <v>0.57786666666666664</v>
      </c>
      <c r="F1257" s="129" t="str">
        <f>VLOOKUP($C1257,'2021-22 School Level AAFTE'!$C:$Z,8,FALSE)</f>
        <v>Yes</v>
      </c>
      <c r="G1257" s="129" t="str">
        <f>VLOOKUP($C1257,'2021-22 School Level AAFTE'!$C:$Z,12,FALSE)</f>
        <v>No</v>
      </c>
      <c r="H1257" s="127">
        <f>VLOOKUP($C1257,'2021-22 School Level AAFTE'!$C:$I,7,FALSE)</f>
        <v>42.01</v>
      </c>
      <c r="I1257" s="112">
        <f>IFERROR(IF(OR(G1257="yes",F1257= "yes"),VLOOKUP(C1257,Summary!$B:$J,6,0),0),0)</f>
        <v>0</v>
      </c>
      <c r="J1257" s="111">
        <f t="shared" si="240"/>
        <v>42.01</v>
      </c>
      <c r="K1257" s="91">
        <f>VLOOKUP($A1257,'2022-23 Salary &amp; Benefits'!$A:$I,3,FALSE)</f>
        <v>1.06</v>
      </c>
      <c r="L1257" s="91">
        <f>VLOOKUP($A1257,'2022-23 Salary &amp; Benefits'!$A:$I,4,FALSE)</f>
        <v>1.06</v>
      </c>
      <c r="M1257" s="39">
        <f t="shared" si="247"/>
        <v>42.01</v>
      </c>
      <c r="N1257" s="24">
        <v>15</v>
      </c>
      <c r="O1257" s="26">
        <f t="shared" si="238"/>
        <v>2.8006666666666664</v>
      </c>
      <c r="P1257" s="24">
        <v>1.1000000000000001</v>
      </c>
      <c r="Q1257" s="24">
        <v>36</v>
      </c>
      <c r="R1257" s="27">
        <f t="shared" si="239"/>
        <v>110.9064</v>
      </c>
      <c r="S1257" s="102">
        <f t="shared" si="241"/>
        <v>0.123</v>
      </c>
      <c r="T1257" s="21">
        <f>VLOOKUP($A1257,'2022-23 Salary &amp; Benefits'!$A:$I,5,FALSE)</f>
        <v>68937</v>
      </c>
      <c r="U1257" s="21">
        <f>VLOOKUP($A1257,'2022-23 Salary &amp; Benefits'!$A:$I,6,FALSE)</f>
        <v>72728</v>
      </c>
      <c r="V1257" s="22">
        <f t="shared" si="242"/>
        <v>8988.01</v>
      </c>
      <c r="W1257" s="22">
        <f t="shared" si="243"/>
        <v>494.27000000000044</v>
      </c>
      <c r="X1257" s="22">
        <f>'2022-23 Salary &amp; Benefits'!$G$6</f>
        <v>12558.24</v>
      </c>
      <c r="Y1257" s="23">
        <f>'2022-23 Salary &amp; Benefits'!$H$6</f>
        <v>0.2298</v>
      </c>
      <c r="Z1257" s="23">
        <f>'2022-23 Salary &amp; Benefits'!$I$6</f>
        <v>0.22339999999999999</v>
      </c>
      <c r="AA1257" s="22">
        <f t="shared" si="244"/>
        <v>3720.53</v>
      </c>
      <c r="AB1257" s="22">
        <f t="shared" si="245"/>
        <v>158.04</v>
      </c>
      <c r="AC1257" s="22">
        <f t="shared" si="246"/>
        <v>35.31</v>
      </c>
      <c r="AD1257" s="22">
        <f t="shared" si="248"/>
        <v>193.35</v>
      </c>
      <c r="AE1257" s="22">
        <f t="shared" si="249"/>
        <v>13396.160000000002</v>
      </c>
      <c r="AF1257" s="19" t="str">
        <f>VLOOKUP(C1257,'2021-22 School Level AAFTE'!C:N,12,FALSE)</f>
        <v>No</v>
      </c>
    </row>
    <row r="1258" spans="1:284" s="5" customFormat="1">
      <c r="A1258" s="97" t="s">
        <v>2419</v>
      </c>
      <c r="B1258" s="97" t="s">
        <v>1217</v>
      </c>
      <c r="C1258" s="95">
        <v>1861</v>
      </c>
      <c r="D1258" s="95" t="s">
        <v>1219</v>
      </c>
      <c r="E1258" s="129">
        <f>VLOOKUP($C1258,'2021-22 School Level AAFTE'!$C:$Z,11,FALSE)</f>
        <v>0.26883333333333331</v>
      </c>
      <c r="F1258" s="129" t="str">
        <f>VLOOKUP($C1258,'2021-22 School Level AAFTE'!$C:$Z,8,FALSE)</f>
        <v>No</v>
      </c>
      <c r="G1258" s="129" t="str">
        <f>VLOOKUP($C1258,'2021-22 School Level AAFTE'!$C:$Z,12,FALSE)</f>
        <v>No</v>
      </c>
      <c r="H1258" s="127">
        <f>VLOOKUP($C1258,'2021-22 School Level AAFTE'!$C:$I,7,FALSE)</f>
        <v>125.23</v>
      </c>
      <c r="I1258" s="112">
        <f>IFERROR(IF(OR(G1258="yes",F1258= "yes"),VLOOKUP(C1258,Summary!$B:$J,6,0),0),0)</f>
        <v>0</v>
      </c>
      <c r="J1258" s="111">
        <f t="shared" si="240"/>
        <v>0</v>
      </c>
      <c r="K1258" s="91">
        <f>VLOOKUP($A1258,'2022-23 Salary &amp; Benefits'!$A:$I,3,FALSE)</f>
        <v>1.06</v>
      </c>
      <c r="L1258" s="91">
        <f>VLOOKUP($A1258,'2022-23 Salary &amp; Benefits'!$A:$I,4,FALSE)</f>
        <v>1.06</v>
      </c>
      <c r="M1258" s="39">
        <f t="shared" si="247"/>
        <v>0</v>
      </c>
      <c r="N1258" s="24">
        <v>15</v>
      </c>
      <c r="O1258" s="26">
        <f t="shared" si="238"/>
        <v>0</v>
      </c>
      <c r="P1258" s="24">
        <v>1.1000000000000001</v>
      </c>
      <c r="Q1258" s="24">
        <v>36</v>
      </c>
      <c r="R1258" s="27">
        <f t="shared" si="239"/>
        <v>0</v>
      </c>
      <c r="S1258" s="102">
        <f t="shared" si="241"/>
        <v>0</v>
      </c>
      <c r="T1258" s="21">
        <f>VLOOKUP($A1258,'2022-23 Salary &amp; Benefits'!$A:$I,5,FALSE)</f>
        <v>68937</v>
      </c>
      <c r="U1258" s="21">
        <f>VLOOKUP($A1258,'2022-23 Salary &amp; Benefits'!$A:$I,6,FALSE)</f>
        <v>72728</v>
      </c>
      <c r="V1258" s="22">
        <f t="shared" si="242"/>
        <v>0</v>
      </c>
      <c r="W1258" s="22">
        <f t="shared" si="243"/>
        <v>0</v>
      </c>
      <c r="X1258" s="22">
        <f>'2022-23 Salary &amp; Benefits'!$G$6</f>
        <v>12558.24</v>
      </c>
      <c r="Y1258" s="23">
        <f>'2022-23 Salary &amp; Benefits'!$H$6</f>
        <v>0.2298</v>
      </c>
      <c r="Z1258" s="23">
        <f>'2022-23 Salary &amp; Benefits'!$I$6</f>
        <v>0.22339999999999999</v>
      </c>
      <c r="AA1258" s="22">
        <f t="shared" si="244"/>
        <v>0</v>
      </c>
      <c r="AB1258" s="22">
        <f t="shared" si="245"/>
        <v>0</v>
      </c>
      <c r="AC1258" s="22">
        <f t="shared" si="246"/>
        <v>0</v>
      </c>
      <c r="AD1258" s="22">
        <f t="shared" si="248"/>
        <v>0</v>
      </c>
      <c r="AE1258" s="22">
        <f t="shared" si="249"/>
        <v>0</v>
      </c>
      <c r="AF1258" s="19" t="str">
        <f>VLOOKUP(C1258,'2021-22 School Level AAFTE'!C:N,12,FALSE)</f>
        <v>No</v>
      </c>
    </row>
    <row r="1259" spans="1:284" s="5" customFormat="1">
      <c r="A1259" s="97" t="s">
        <v>2419</v>
      </c>
      <c r="B1259" s="97" t="s">
        <v>1217</v>
      </c>
      <c r="C1259" s="95">
        <v>2662</v>
      </c>
      <c r="D1259" s="95" t="s">
        <v>1220</v>
      </c>
      <c r="E1259" s="129">
        <f>VLOOKUP($C1259,'2021-22 School Level AAFTE'!$C:$Z,11,FALSE)</f>
        <v>0.51910000000000001</v>
      </c>
      <c r="F1259" s="129" t="str">
        <f>VLOOKUP($C1259,'2021-22 School Level AAFTE'!$C:$Z,8,FALSE)</f>
        <v>Yes</v>
      </c>
      <c r="G1259" s="129" t="str">
        <f>VLOOKUP($C1259,'2021-22 School Level AAFTE'!$C:$Z,12,FALSE)</f>
        <v>No</v>
      </c>
      <c r="H1259" s="127">
        <f>VLOOKUP($C1259,'2021-22 School Level AAFTE'!$C:$I,7,FALSE)</f>
        <v>434.49</v>
      </c>
      <c r="I1259" s="112">
        <f>IFERROR(IF(OR(G1259="yes",F1259= "yes"),VLOOKUP(C1259,Summary!$B:$J,6,0),0),0)</f>
        <v>0</v>
      </c>
      <c r="J1259" s="111">
        <f t="shared" si="240"/>
        <v>434.49</v>
      </c>
      <c r="K1259" s="91">
        <f>VLOOKUP($A1259,'2022-23 Salary &amp; Benefits'!$A:$I,3,FALSE)</f>
        <v>1.06</v>
      </c>
      <c r="L1259" s="91">
        <f>VLOOKUP($A1259,'2022-23 Salary &amp; Benefits'!$A:$I,4,FALSE)</f>
        <v>1.06</v>
      </c>
      <c r="M1259" s="101">
        <f t="shared" si="247"/>
        <v>434.49</v>
      </c>
      <c r="N1259" s="24">
        <v>15</v>
      </c>
      <c r="O1259" s="26">
        <f t="shared" si="238"/>
        <v>28.966000000000001</v>
      </c>
      <c r="P1259" s="24">
        <v>1.1000000000000001</v>
      </c>
      <c r="Q1259" s="24">
        <v>36</v>
      </c>
      <c r="R1259" s="27">
        <f t="shared" si="239"/>
        <v>1147.0536000000002</v>
      </c>
      <c r="S1259" s="102">
        <f t="shared" si="241"/>
        <v>1.2749999999999999</v>
      </c>
      <c r="T1259" s="21">
        <f>VLOOKUP($A1259,'2022-23 Salary &amp; Benefits'!$A:$I,5,FALSE)</f>
        <v>68937</v>
      </c>
      <c r="U1259" s="21">
        <f>VLOOKUP($A1259,'2022-23 Salary &amp; Benefits'!$A:$I,6,FALSE)</f>
        <v>72728</v>
      </c>
      <c r="V1259" s="22">
        <f t="shared" si="242"/>
        <v>93168.36</v>
      </c>
      <c r="W1259" s="22">
        <f t="shared" si="243"/>
        <v>5123.5299999999988</v>
      </c>
      <c r="X1259" s="22">
        <f>'2022-23 Salary &amp; Benefits'!$G$6</f>
        <v>12558.24</v>
      </c>
      <c r="Y1259" s="23">
        <f>'2022-23 Salary &amp; Benefits'!$H$6</f>
        <v>0.2298</v>
      </c>
      <c r="Z1259" s="23">
        <f>'2022-23 Salary &amp; Benefits'!$I$6</f>
        <v>0.22339999999999999</v>
      </c>
      <c r="AA1259" s="22">
        <f t="shared" si="244"/>
        <v>38566.44</v>
      </c>
      <c r="AB1259" s="22">
        <f t="shared" si="245"/>
        <v>1638.2</v>
      </c>
      <c r="AC1259" s="22">
        <f t="shared" si="246"/>
        <v>365.97</v>
      </c>
      <c r="AD1259" s="22">
        <f t="shared" si="248"/>
        <v>2004.17</v>
      </c>
      <c r="AE1259" s="22">
        <f t="shared" si="249"/>
        <v>138862.5</v>
      </c>
      <c r="AF1259" s="19" t="str">
        <f>VLOOKUP(C1259,'2021-22 School Level AAFTE'!C:N,12,FALSE)</f>
        <v>No</v>
      </c>
    </row>
    <row r="1260" spans="1:284" s="5" customFormat="1">
      <c r="A1260" s="97" t="s">
        <v>2419</v>
      </c>
      <c r="B1260" s="97" t="s">
        <v>1217</v>
      </c>
      <c r="C1260" s="95">
        <v>3174</v>
      </c>
      <c r="D1260" s="139" t="s">
        <v>1221</v>
      </c>
      <c r="E1260" s="129">
        <f>VLOOKUP($C1260,'2021-22 School Level AAFTE'!$C:$Z,11,FALSE)</f>
        <v>0.57153333333333334</v>
      </c>
      <c r="F1260" s="129" t="str">
        <f>VLOOKUP($C1260,'2021-22 School Level AAFTE'!$C:$Z,8,FALSE)</f>
        <v>Yes</v>
      </c>
      <c r="G1260" s="129" t="str">
        <f>VLOOKUP($C1260,'2021-22 School Level AAFTE'!$C:$Z,12,FALSE)</f>
        <v>No</v>
      </c>
      <c r="H1260" s="127">
        <f>VLOOKUP($C1260,'2021-22 School Level AAFTE'!$C:$I,7,FALSE)</f>
        <v>462.16</v>
      </c>
      <c r="I1260" s="112">
        <f>IFERROR(IF(OR(G1260="yes",F1260= "yes"),VLOOKUP(C1260,Summary!$B:$J,6,0),0),0)</f>
        <v>0</v>
      </c>
      <c r="J1260" s="111">
        <f t="shared" si="240"/>
        <v>462.16</v>
      </c>
      <c r="K1260" s="91">
        <f>VLOOKUP($A1260,'2022-23 Salary &amp; Benefits'!$A:$I,3,FALSE)</f>
        <v>1.06</v>
      </c>
      <c r="L1260" s="91">
        <f>VLOOKUP($A1260,'2022-23 Salary &amp; Benefits'!$A:$I,4,FALSE)</f>
        <v>1.06</v>
      </c>
      <c r="M1260" s="39">
        <f t="shared" si="247"/>
        <v>462.16</v>
      </c>
      <c r="N1260" s="24">
        <v>15</v>
      </c>
      <c r="O1260" s="26">
        <f t="shared" si="238"/>
        <v>30.81066666666667</v>
      </c>
      <c r="P1260" s="24">
        <v>1.1000000000000001</v>
      </c>
      <c r="Q1260" s="24">
        <v>36</v>
      </c>
      <c r="R1260" s="27">
        <f t="shared" si="239"/>
        <v>1220.1024000000002</v>
      </c>
      <c r="S1260" s="102">
        <f t="shared" si="241"/>
        <v>1.3560000000000001</v>
      </c>
      <c r="T1260" s="21">
        <f>VLOOKUP($A1260,'2022-23 Salary &amp; Benefits'!$A:$I,5,FALSE)</f>
        <v>68937</v>
      </c>
      <c r="U1260" s="21">
        <f>VLOOKUP($A1260,'2022-23 Salary &amp; Benefits'!$A:$I,6,FALSE)</f>
        <v>72728</v>
      </c>
      <c r="V1260" s="22">
        <f t="shared" si="242"/>
        <v>99087.29</v>
      </c>
      <c r="W1260" s="22">
        <f t="shared" si="243"/>
        <v>5449.0300000000134</v>
      </c>
      <c r="X1260" s="22">
        <f>'2022-23 Salary &amp; Benefits'!$G$6</f>
        <v>12558.24</v>
      </c>
      <c r="Y1260" s="23">
        <f>'2022-23 Salary &amp; Benefits'!$H$6</f>
        <v>0.2298</v>
      </c>
      <c r="Z1260" s="23">
        <f>'2022-23 Salary &amp; Benefits'!$I$6</f>
        <v>0.22339999999999999</v>
      </c>
      <c r="AA1260" s="22">
        <f t="shared" si="244"/>
        <v>41016.550000000003</v>
      </c>
      <c r="AB1260" s="22">
        <f t="shared" si="245"/>
        <v>1742.27</v>
      </c>
      <c r="AC1260" s="22">
        <f t="shared" si="246"/>
        <v>389.22</v>
      </c>
      <c r="AD1260" s="22">
        <f t="shared" si="248"/>
        <v>2131.4899999999998</v>
      </c>
      <c r="AE1260" s="22">
        <f t="shared" si="249"/>
        <v>147684.35999999999</v>
      </c>
      <c r="AF1260" s="19" t="str">
        <f>VLOOKUP(C1260,'2021-22 School Level AAFTE'!C:N,12,FALSE)</f>
        <v>No</v>
      </c>
    </row>
    <row r="1261" spans="1:284" s="5" customFormat="1">
      <c r="A1261" s="97" t="s">
        <v>2419</v>
      </c>
      <c r="B1261" s="97" t="s">
        <v>1217</v>
      </c>
      <c r="C1261" s="95">
        <v>3175</v>
      </c>
      <c r="D1261" s="95" t="s">
        <v>1222</v>
      </c>
      <c r="E1261" s="129">
        <f>VLOOKUP($C1261,'2021-22 School Level AAFTE'!$C:$Z,11,FALSE)</f>
        <v>0.49879999999999997</v>
      </c>
      <c r="F1261" s="129" t="str">
        <f>VLOOKUP($C1261,'2021-22 School Level AAFTE'!$C:$Z,8,FALSE)</f>
        <v>No</v>
      </c>
      <c r="G1261" s="129" t="str">
        <f>VLOOKUP($C1261,'2021-22 School Level AAFTE'!$C:$Z,12,FALSE)</f>
        <v>No</v>
      </c>
      <c r="H1261" s="127">
        <f>VLOOKUP($C1261,'2021-22 School Level AAFTE'!$C:$I,7,FALSE)</f>
        <v>692.68000000000006</v>
      </c>
      <c r="I1261" s="112">
        <f>IFERROR(IF(OR(G1261="yes",F1261= "yes"),VLOOKUP(C1261,Summary!$B:$J,6,0),0),0)</f>
        <v>0</v>
      </c>
      <c r="J1261" s="111">
        <f t="shared" si="240"/>
        <v>0</v>
      </c>
      <c r="K1261" s="91">
        <f>VLOOKUP($A1261,'2022-23 Salary &amp; Benefits'!$A:$I,3,FALSE)</f>
        <v>1.06</v>
      </c>
      <c r="L1261" s="91">
        <f>VLOOKUP($A1261,'2022-23 Salary &amp; Benefits'!$A:$I,4,FALSE)</f>
        <v>1.06</v>
      </c>
      <c r="M1261" s="39">
        <f t="shared" si="247"/>
        <v>0</v>
      </c>
      <c r="N1261" s="24">
        <v>15</v>
      </c>
      <c r="O1261" s="26">
        <f t="shared" si="238"/>
        <v>0</v>
      </c>
      <c r="P1261" s="24">
        <v>1.1000000000000001</v>
      </c>
      <c r="Q1261" s="24">
        <v>36</v>
      </c>
      <c r="R1261" s="27">
        <f t="shared" si="239"/>
        <v>0</v>
      </c>
      <c r="S1261" s="102">
        <f t="shared" si="241"/>
        <v>0</v>
      </c>
      <c r="T1261" s="21">
        <f>VLOOKUP($A1261,'2022-23 Salary &amp; Benefits'!$A:$I,5,FALSE)</f>
        <v>68937</v>
      </c>
      <c r="U1261" s="21">
        <f>VLOOKUP($A1261,'2022-23 Salary &amp; Benefits'!$A:$I,6,FALSE)</f>
        <v>72728</v>
      </c>
      <c r="V1261" s="22">
        <f t="shared" si="242"/>
        <v>0</v>
      </c>
      <c r="W1261" s="22">
        <f t="shared" si="243"/>
        <v>0</v>
      </c>
      <c r="X1261" s="22">
        <f>'2022-23 Salary &amp; Benefits'!$G$6</f>
        <v>12558.24</v>
      </c>
      <c r="Y1261" s="23">
        <f>'2022-23 Salary &amp; Benefits'!$H$6</f>
        <v>0.2298</v>
      </c>
      <c r="Z1261" s="23">
        <f>'2022-23 Salary &amp; Benefits'!$I$6</f>
        <v>0.22339999999999999</v>
      </c>
      <c r="AA1261" s="22">
        <f t="shared" si="244"/>
        <v>0</v>
      </c>
      <c r="AB1261" s="22">
        <f t="shared" si="245"/>
        <v>0</v>
      </c>
      <c r="AC1261" s="22">
        <f t="shared" si="246"/>
        <v>0</v>
      </c>
      <c r="AD1261" s="22">
        <f t="shared" si="248"/>
        <v>0</v>
      </c>
      <c r="AE1261" s="22">
        <f t="shared" si="249"/>
        <v>0</v>
      </c>
      <c r="AF1261" s="19" t="str">
        <f>VLOOKUP(C1261,'2021-22 School Level AAFTE'!C:N,12,FALSE)</f>
        <v>No</v>
      </c>
    </row>
    <row r="1262" spans="1:284" s="5" customFormat="1">
      <c r="A1262" s="97" t="s">
        <v>2419</v>
      </c>
      <c r="B1262" s="97" t="s">
        <v>1217</v>
      </c>
      <c r="C1262" s="95">
        <v>4320</v>
      </c>
      <c r="D1262" s="95" t="s">
        <v>1223</v>
      </c>
      <c r="E1262" s="129">
        <f>VLOOKUP($C1262,'2021-22 School Level AAFTE'!$C:$Z,11,FALSE)</f>
        <v>0.57553333333333334</v>
      </c>
      <c r="F1262" s="129" t="str">
        <f>VLOOKUP($C1262,'2021-22 School Level AAFTE'!$C:$Z,8,FALSE)</f>
        <v>Yes</v>
      </c>
      <c r="G1262" s="129" t="str">
        <f>VLOOKUP($C1262,'2021-22 School Level AAFTE'!$C:$Z,12,FALSE)</f>
        <v>No</v>
      </c>
      <c r="H1262" s="127">
        <f>VLOOKUP($C1262,'2021-22 School Level AAFTE'!$C:$I,7,FALSE)</f>
        <v>501.71</v>
      </c>
      <c r="I1262" s="112">
        <f>IFERROR(IF(OR(G1262="yes",F1262= "yes"),VLOOKUP(C1262,Summary!$B:$J,6,0),0),0)</f>
        <v>0</v>
      </c>
      <c r="J1262" s="111">
        <f t="shared" si="240"/>
        <v>501.71</v>
      </c>
      <c r="K1262" s="91">
        <f>VLOOKUP($A1262,'2022-23 Salary &amp; Benefits'!$A:$I,3,FALSE)</f>
        <v>1.06</v>
      </c>
      <c r="L1262" s="91">
        <f>VLOOKUP($A1262,'2022-23 Salary &amp; Benefits'!$A:$I,4,FALSE)</f>
        <v>1.06</v>
      </c>
      <c r="M1262" s="101">
        <f t="shared" si="247"/>
        <v>501.71</v>
      </c>
      <c r="N1262" s="24">
        <v>15</v>
      </c>
      <c r="O1262" s="26">
        <f t="shared" si="238"/>
        <v>33.447333333333333</v>
      </c>
      <c r="P1262" s="24">
        <v>1.1000000000000001</v>
      </c>
      <c r="Q1262" s="24">
        <v>36</v>
      </c>
      <c r="R1262" s="27">
        <f t="shared" si="239"/>
        <v>1324.5144</v>
      </c>
      <c r="S1262" s="102">
        <f t="shared" si="241"/>
        <v>1.472</v>
      </c>
      <c r="T1262" s="21">
        <f>VLOOKUP($A1262,'2022-23 Salary &amp; Benefits'!$A:$I,5,FALSE)</f>
        <v>68937</v>
      </c>
      <c r="U1262" s="21">
        <f>VLOOKUP($A1262,'2022-23 Salary &amp; Benefits'!$A:$I,6,FALSE)</f>
        <v>72728</v>
      </c>
      <c r="V1262" s="22">
        <f t="shared" si="242"/>
        <v>107563.78</v>
      </c>
      <c r="W1262" s="22">
        <f t="shared" si="243"/>
        <v>5915.1699999999983</v>
      </c>
      <c r="X1262" s="22">
        <f>'2022-23 Salary &amp; Benefits'!$G$6</f>
        <v>12558.24</v>
      </c>
      <c r="Y1262" s="23">
        <f>'2022-23 Salary &amp; Benefits'!$H$6</f>
        <v>0.2298</v>
      </c>
      <c r="Z1262" s="23">
        <f>'2022-23 Salary &amp; Benefits'!$I$6</f>
        <v>0.22339999999999999</v>
      </c>
      <c r="AA1262" s="22">
        <f t="shared" si="244"/>
        <v>44525.33</v>
      </c>
      <c r="AB1262" s="22">
        <f t="shared" si="245"/>
        <v>1891.32</v>
      </c>
      <c r="AC1262" s="22">
        <f t="shared" si="246"/>
        <v>422.52</v>
      </c>
      <c r="AD1262" s="22">
        <f t="shared" si="248"/>
        <v>2313.84</v>
      </c>
      <c r="AE1262" s="22">
        <f t="shared" si="249"/>
        <v>160318.11999999997</v>
      </c>
      <c r="AF1262" s="19" t="str">
        <f>VLOOKUP(C1262,'2021-22 School Level AAFTE'!C:N,12,FALSE)</f>
        <v>No</v>
      </c>
    </row>
    <row r="1263" spans="1:284" s="5" customFormat="1">
      <c r="A1263" s="97" t="s">
        <v>2434</v>
      </c>
      <c r="B1263" s="97" t="s">
        <v>1278</v>
      </c>
      <c r="C1263" s="95">
        <v>2292</v>
      </c>
      <c r="D1263" s="95" t="s">
        <v>1279</v>
      </c>
      <c r="E1263" s="129">
        <f>VLOOKUP($C1263,'2021-22 School Level AAFTE'!$C:$Z,11,FALSE)</f>
        <v>0.62703333333333333</v>
      </c>
      <c r="F1263" s="129" t="str">
        <f>VLOOKUP($C1263,'2021-22 School Level AAFTE'!$C:$Z,8,FALSE)</f>
        <v>Yes</v>
      </c>
      <c r="G1263" s="129" t="str">
        <f>VLOOKUP($C1263,'2021-22 School Level AAFTE'!$C:$Z,12,FALSE)</f>
        <v>No</v>
      </c>
      <c r="H1263" s="127">
        <f>VLOOKUP($C1263,'2021-22 School Level AAFTE'!$C:$I,7,FALSE)</f>
        <v>85.17</v>
      </c>
      <c r="I1263" s="112">
        <f>IFERROR(IF(OR(G1263="yes",F1263= "yes"),VLOOKUP(C1263,Summary!$B:$J,6,0),0),0)</f>
        <v>0</v>
      </c>
      <c r="J1263" s="111">
        <f t="shared" si="240"/>
        <v>85.17</v>
      </c>
      <c r="K1263" s="91">
        <f>VLOOKUP($A1263,'2022-23 Salary &amp; Benefits'!$A:$I,3,FALSE)</f>
        <v>1</v>
      </c>
      <c r="L1263" s="91">
        <f>VLOOKUP($A1263,'2022-23 Salary &amp; Benefits'!$A:$I,4,FALSE)</f>
        <v>1</v>
      </c>
      <c r="M1263" s="39">
        <f t="shared" si="247"/>
        <v>85.17</v>
      </c>
      <c r="N1263" s="24">
        <v>15</v>
      </c>
      <c r="O1263" s="26">
        <f t="shared" si="238"/>
        <v>5.6779999999999999</v>
      </c>
      <c r="P1263" s="24">
        <v>1.1000000000000001</v>
      </c>
      <c r="Q1263" s="24">
        <v>36</v>
      </c>
      <c r="R1263" s="27">
        <f t="shared" si="239"/>
        <v>224.84880000000001</v>
      </c>
      <c r="S1263" s="102">
        <f t="shared" si="241"/>
        <v>0.25</v>
      </c>
      <c r="T1263" s="21">
        <f>VLOOKUP($A1263,'2022-23 Salary &amp; Benefits'!$A:$I,5,FALSE)</f>
        <v>68937</v>
      </c>
      <c r="U1263" s="21">
        <f>VLOOKUP($A1263,'2022-23 Salary &amp; Benefits'!$A:$I,6,FALSE)</f>
        <v>72728</v>
      </c>
      <c r="V1263" s="22">
        <f t="shared" si="242"/>
        <v>17234.25</v>
      </c>
      <c r="W1263" s="22">
        <f t="shared" si="243"/>
        <v>947.75</v>
      </c>
      <c r="X1263" s="22">
        <f>'2022-23 Salary &amp; Benefits'!$G$6</f>
        <v>12558.24</v>
      </c>
      <c r="Y1263" s="23">
        <f>'2022-23 Salary &amp; Benefits'!$H$6</f>
        <v>0.2298</v>
      </c>
      <c r="Z1263" s="23">
        <f>'2022-23 Salary &amp; Benefits'!$I$6</f>
        <v>0.22339999999999999</v>
      </c>
      <c r="AA1263" s="22">
        <f t="shared" si="244"/>
        <v>7311.72</v>
      </c>
      <c r="AB1263" s="22">
        <f t="shared" si="245"/>
        <v>303.02999999999997</v>
      </c>
      <c r="AC1263" s="22">
        <f t="shared" si="246"/>
        <v>67.7</v>
      </c>
      <c r="AD1263" s="22">
        <f t="shared" si="248"/>
        <v>370.72999999999996</v>
      </c>
      <c r="AE1263" s="22">
        <f t="shared" si="249"/>
        <v>25864.45</v>
      </c>
      <c r="AF1263" s="19" t="str">
        <f>VLOOKUP(C1263,'2021-22 School Level AAFTE'!C:N,12,FALSE)</f>
        <v>No</v>
      </c>
    </row>
    <row r="1264" spans="1:284" s="5" customFormat="1">
      <c r="A1264" s="97" t="s">
        <v>2516</v>
      </c>
      <c r="B1264" s="97" t="s">
        <v>1975</v>
      </c>
      <c r="C1264" s="95">
        <v>2754</v>
      </c>
      <c r="D1264" s="95" t="s">
        <v>1976</v>
      </c>
      <c r="E1264" s="129">
        <f>VLOOKUP($C1264,'2021-22 School Level AAFTE'!$C:$Z,11,FALSE)</f>
        <v>0.31563333333333338</v>
      </c>
      <c r="F1264" s="129" t="str">
        <f>VLOOKUP($C1264,'2021-22 School Level AAFTE'!$C:$Z,8,FALSE)</f>
        <v>No</v>
      </c>
      <c r="G1264" s="129" t="str">
        <f>VLOOKUP($C1264,'2021-22 School Level AAFTE'!$C:$Z,12,FALSE)</f>
        <v>No</v>
      </c>
      <c r="H1264" s="127">
        <f>VLOOKUP($C1264,'2021-22 School Level AAFTE'!$C:$I,7,FALSE)</f>
        <v>560.87</v>
      </c>
      <c r="I1264" s="112">
        <f>IFERROR(IF(OR(G1264="yes",F1264= "yes"),VLOOKUP(C1264,Summary!$B:$J,6,0),0),0)</f>
        <v>0</v>
      </c>
      <c r="J1264" s="111">
        <f t="shared" si="240"/>
        <v>0</v>
      </c>
      <c r="K1264" s="91">
        <f>VLOOKUP($A1264,'2022-23 Salary &amp; Benefits'!$A:$I,3,FALSE)</f>
        <v>1.03</v>
      </c>
      <c r="L1264" s="91">
        <f>VLOOKUP($A1264,'2022-23 Salary &amp; Benefits'!$A:$I,4,FALSE)</f>
        <v>1.03</v>
      </c>
      <c r="M1264" s="39">
        <f t="shared" si="247"/>
        <v>0</v>
      </c>
      <c r="N1264" s="24">
        <v>15</v>
      </c>
      <c r="O1264" s="26">
        <f t="shared" si="238"/>
        <v>0</v>
      </c>
      <c r="P1264" s="24">
        <v>1.1000000000000001</v>
      </c>
      <c r="Q1264" s="24">
        <v>36</v>
      </c>
      <c r="R1264" s="27">
        <f t="shared" si="239"/>
        <v>0</v>
      </c>
      <c r="S1264" s="102">
        <f t="shared" si="241"/>
        <v>0</v>
      </c>
      <c r="T1264" s="21">
        <f>VLOOKUP($A1264,'2022-23 Salary &amp; Benefits'!$A:$I,5,FALSE)</f>
        <v>68937</v>
      </c>
      <c r="U1264" s="21">
        <f>VLOOKUP($A1264,'2022-23 Salary &amp; Benefits'!$A:$I,6,FALSE)</f>
        <v>72728</v>
      </c>
      <c r="V1264" s="22">
        <f t="shared" si="242"/>
        <v>0</v>
      </c>
      <c r="W1264" s="22">
        <f t="shared" si="243"/>
        <v>0</v>
      </c>
      <c r="X1264" s="22">
        <f>'2022-23 Salary &amp; Benefits'!$G$6</f>
        <v>12558.24</v>
      </c>
      <c r="Y1264" s="23">
        <f>'2022-23 Salary &amp; Benefits'!$H$6</f>
        <v>0.2298</v>
      </c>
      <c r="Z1264" s="23">
        <f>'2022-23 Salary &amp; Benefits'!$I$6</f>
        <v>0.22339999999999999</v>
      </c>
      <c r="AA1264" s="22">
        <f t="shared" si="244"/>
        <v>0</v>
      </c>
      <c r="AB1264" s="22">
        <f t="shared" si="245"/>
        <v>0</v>
      </c>
      <c r="AC1264" s="22">
        <f t="shared" si="246"/>
        <v>0</v>
      </c>
      <c r="AD1264" s="22">
        <f t="shared" si="248"/>
        <v>0</v>
      </c>
      <c r="AE1264" s="22">
        <f t="shared" si="249"/>
        <v>0</v>
      </c>
      <c r="AF1264" s="19" t="str">
        <f>VLOOKUP(C1264,'2021-22 School Level AAFTE'!C:N,12,FALSE)</f>
        <v>No</v>
      </c>
    </row>
    <row r="1265" spans="1:32" s="5" customFormat="1">
      <c r="A1265" s="97" t="s">
        <v>2516</v>
      </c>
      <c r="B1265" s="97" t="s">
        <v>1975</v>
      </c>
      <c r="C1265" s="95">
        <v>3010</v>
      </c>
      <c r="D1265" s="95" t="s">
        <v>1977</v>
      </c>
      <c r="E1265" s="129">
        <f>VLOOKUP($C1265,'2021-22 School Level AAFTE'!$C:$Z,11,FALSE)</f>
        <v>0.42053333333333337</v>
      </c>
      <c r="F1265" s="129" t="str">
        <f>VLOOKUP($C1265,'2021-22 School Level AAFTE'!$C:$Z,8,FALSE)</f>
        <v>No</v>
      </c>
      <c r="G1265" s="129" t="str">
        <f>VLOOKUP($C1265,'2021-22 School Level AAFTE'!$C:$Z,12,FALSE)</f>
        <v>No</v>
      </c>
      <c r="H1265" s="127">
        <f>VLOOKUP($C1265,'2021-22 School Level AAFTE'!$C:$I,7,FALSE)</f>
        <v>1388.77</v>
      </c>
      <c r="I1265" s="112">
        <f>IFERROR(IF(OR(G1265="yes",F1265= "yes"),VLOOKUP(C1265,Summary!$B:$J,6,0),0),0)</f>
        <v>0</v>
      </c>
      <c r="J1265" s="111">
        <f t="shared" si="240"/>
        <v>0</v>
      </c>
      <c r="K1265" s="91">
        <f>VLOOKUP($A1265,'2022-23 Salary &amp; Benefits'!$A:$I,3,FALSE)</f>
        <v>1.03</v>
      </c>
      <c r="L1265" s="91">
        <f>VLOOKUP($A1265,'2022-23 Salary &amp; Benefits'!$A:$I,4,FALSE)</f>
        <v>1.03</v>
      </c>
      <c r="M1265" s="39">
        <f t="shared" si="247"/>
        <v>0</v>
      </c>
      <c r="N1265" s="24">
        <v>15</v>
      </c>
      <c r="O1265" s="26">
        <f t="shared" si="238"/>
        <v>0</v>
      </c>
      <c r="P1265" s="24">
        <v>1.1000000000000001</v>
      </c>
      <c r="Q1265" s="24">
        <v>36</v>
      </c>
      <c r="R1265" s="27">
        <f t="shared" si="239"/>
        <v>0</v>
      </c>
      <c r="S1265" s="102">
        <f t="shared" si="241"/>
        <v>0</v>
      </c>
      <c r="T1265" s="21">
        <f>VLOOKUP($A1265,'2022-23 Salary &amp; Benefits'!$A:$I,5,FALSE)</f>
        <v>68937</v>
      </c>
      <c r="U1265" s="21">
        <f>VLOOKUP($A1265,'2022-23 Salary &amp; Benefits'!$A:$I,6,FALSE)</f>
        <v>72728</v>
      </c>
      <c r="V1265" s="22">
        <f t="shared" si="242"/>
        <v>0</v>
      </c>
      <c r="W1265" s="22">
        <f t="shared" si="243"/>
        <v>0</v>
      </c>
      <c r="X1265" s="22">
        <f>'2022-23 Salary &amp; Benefits'!$G$6</f>
        <v>12558.24</v>
      </c>
      <c r="Y1265" s="23">
        <f>'2022-23 Salary &amp; Benefits'!$H$6</f>
        <v>0.2298</v>
      </c>
      <c r="Z1265" s="23">
        <f>'2022-23 Salary &amp; Benefits'!$I$6</f>
        <v>0.22339999999999999</v>
      </c>
      <c r="AA1265" s="22">
        <f t="shared" si="244"/>
        <v>0</v>
      </c>
      <c r="AB1265" s="22">
        <f t="shared" si="245"/>
        <v>0</v>
      </c>
      <c r="AC1265" s="22">
        <f t="shared" si="246"/>
        <v>0</v>
      </c>
      <c r="AD1265" s="22">
        <f t="shared" si="248"/>
        <v>0</v>
      </c>
      <c r="AE1265" s="22">
        <f t="shared" si="249"/>
        <v>0</v>
      </c>
      <c r="AF1265" s="19" t="str">
        <f>VLOOKUP(C1265,'2021-22 School Level AAFTE'!C:N,12,FALSE)</f>
        <v>No</v>
      </c>
    </row>
    <row r="1266" spans="1:32" s="5" customFormat="1">
      <c r="A1266" s="97" t="s">
        <v>2516</v>
      </c>
      <c r="B1266" s="97" t="s">
        <v>1975</v>
      </c>
      <c r="C1266" s="95">
        <v>3130</v>
      </c>
      <c r="D1266" s="95" t="s">
        <v>417</v>
      </c>
      <c r="E1266" s="129">
        <f>VLOOKUP($C1266,'2021-22 School Level AAFTE'!$C:$Z,11,FALSE)</f>
        <v>0.55233333333333334</v>
      </c>
      <c r="F1266" s="129" t="str">
        <f>VLOOKUP($C1266,'2021-22 School Level AAFTE'!$C:$Z,8,FALSE)</f>
        <v>Yes</v>
      </c>
      <c r="G1266" s="129" t="str">
        <f>VLOOKUP($C1266,'2021-22 School Level AAFTE'!$C:$Z,12,FALSE)</f>
        <v>No</v>
      </c>
      <c r="H1266" s="127">
        <f>VLOOKUP($C1266,'2021-22 School Level AAFTE'!$C:$I,7,FALSE)</f>
        <v>489.57</v>
      </c>
      <c r="I1266" s="112">
        <f>IFERROR(IF(OR(G1266="yes",F1266= "yes"),VLOOKUP(C1266,Summary!$B:$J,6,0),0),0)</f>
        <v>0</v>
      </c>
      <c r="J1266" s="111">
        <f t="shared" si="240"/>
        <v>489.57</v>
      </c>
      <c r="K1266" s="91">
        <f>VLOOKUP($A1266,'2022-23 Salary &amp; Benefits'!$A:$I,3,FALSE)</f>
        <v>1.03</v>
      </c>
      <c r="L1266" s="91">
        <f>VLOOKUP($A1266,'2022-23 Salary &amp; Benefits'!$A:$I,4,FALSE)</f>
        <v>1.03</v>
      </c>
      <c r="M1266" s="39">
        <f t="shared" si="247"/>
        <v>489.57</v>
      </c>
      <c r="N1266" s="24">
        <v>15</v>
      </c>
      <c r="O1266" s="26">
        <f t="shared" si="238"/>
        <v>32.637999999999998</v>
      </c>
      <c r="P1266" s="24">
        <v>1.1000000000000001</v>
      </c>
      <c r="Q1266" s="24">
        <v>36</v>
      </c>
      <c r="R1266" s="27">
        <f t="shared" si="239"/>
        <v>1292.4648</v>
      </c>
      <c r="S1266" s="102">
        <f t="shared" si="241"/>
        <v>1.4359999999999999</v>
      </c>
      <c r="T1266" s="21">
        <f>VLOOKUP($A1266,'2022-23 Salary &amp; Benefits'!$A:$I,5,FALSE)</f>
        <v>68937</v>
      </c>
      <c r="U1266" s="21">
        <f>VLOOKUP($A1266,'2022-23 Salary &amp; Benefits'!$A:$I,6,FALSE)</f>
        <v>72728</v>
      </c>
      <c r="V1266" s="22">
        <f t="shared" si="242"/>
        <v>101963.34</v>
      </c>
      <c r="W1266" s="22">
        <f t="shared" si="243"/>
        <v>5607.1900000000023</v>
      </c>
      <c r="X1266" s="22">
        <f>'2022-23 Salary &amp; Benefits'!$G$6</f>
        <v>12558.24</v>
      </c>
      <c r="Y1266" s="23">
        <f>'2022-23 Salary &amp; Benefits'!$H$6</f>
        <v>0.2298</v>
      </c>
      <c r="Z1266" s="23">
        <f>'2022-23 Salary &amp; Benefits'!$I$6</f>
        <v>0.22339999999999999</v>
      </c>
      <c r="AA1266" s="22">
        <f t="shared" si="244"/>
        <v>42717.45</v>
      </c>
      <c r="AB1266" s="22">
        <f t="shared" si="245"/>
        <v>1792.84</v>
      </c>
      <c r="AC1266" s="22">
        <f t="shared" si="246"/>
        <v>400.52</v>
      </c>
      <c r="AD1266" s="22">
        <f t="shared" si="248"/>
        <v>2193.3599999999997</v>
      </c>
      <c r="AE1266" s="22">
        <f t="shared" si="249"/>
        <v>152481.33999999997</v>
      </c>
      <c r="AF1266" s="19" t="str">
        <f>VLOOKUP(C1266,'2021-22 School Level AAFTE'!C:N,12,FALSE)</f>
        <v>No</v>
      </c>
    </row>
    <row r="1267" spans="1:32" s="5" customFormat="1">
      <c r="A1267" s="97" t="s">
        <v>2516</v>
      </c>
      <c r="B1267" s="97" t="s">
        <v>1975</v>
      </c>
      <c r="C1267" s="95">
        <v>3262</v>
      </c>
      <c r="D1267" s="95" t="s">
        <v>1978</v>
      </c>
      <c r="E1267" s="129">
        <f>VLOOKUP($C1267,'2021-22 School Level AAFTE'!$C:$Z,11,FALSE)</f>
        <v>0.66106666666666669</v>
      </c>
      <c r="F1267" s="129" t="str">
        <f>VLOOKUP($C1267,'2021-22 School Level AAFTE'!$C:$Z,8,FALSE)</f>
        <v>Yes</v>
      </c>
      <c r="G1267" s="129" t="str">
        <f>VLOOKUP($C1267,'2021-22 School Level AAFTE'!$C:$Z,12,FALSE)</f>
        <v>No</v>
      </c>
      <c r="H1267" s="127">
        <f>VLOOKUP($C1267,'2021-22 School Level AAFTE'!$C:$I,7,FALSE)</f>
        <v>490.12</v>
      </c>
      <c r="I1267" s="112">
        <f>IFERROR(IF(OR(G1267="yes",F1267= "yes"),VLOOKUP(C1267,Summary!$B:$J,6,0),0),0)</f>
        <v>0</v>
      </c>
      <c r="J1267" s="111">
        <f t="shared" si="240"/>
        <v>490.12</v>
      </c>
      <c r="K1267" s="91">
        <f>VLOOKUP($A1267,'2022-23 Salary &amp; Benefits'!$A:$I,3,FALSE)</f>
        <v>1.03</v>
      </c>
      <c r="L1267" s="91">
        <f>VLOOKUP($A1267,'2022-23 Salary &amp; Benefits'!$A:$I,4,FALSE)</f>
        <v>1.03</v>
      </c>
      <c r="M1267" s="101">
        <f t="shared" si="247"/>
        <v>490.12</v>
      </c>
      <c r="N1267" s="24">
        <v>15</v>
      </c>
      <c r="O1267" s="26">
        <f t="shared" si="238"/>
        <v>32.674666666666667</v>
      </c>
      <c r="P1267" s="24">
        <v>1.1000000000000001</v>
      </c>
      <c r="Q1267" s="24">
        <v>36</v>
      </c>
      <c r="R1267" s="27">
        <f t="shared" si="239"/>
        <v>1293.9168000000002</v>
      </c>
      <c r="S1267" s="102">
        <f t="shared" si="241"/>
        <v>1.4379999999999999</v>
      </c>
      <c r="T1267" s="21">
        <f>VLOOKUP($A1267,'2022-23 Salary &amp; Benefits'!$A:$I,5,FALSE)</f>
        <v>68937</v>
      </c>
      <c r="U1267" s="21">
        <f>VLOOKUP($A1267,'2022-23 Salary &amp; Benefits'!$A:$I,6,FALSE)</f>
        <v>72728</v>
      </c>
      <c r="V1267" s="22">
        <f t="shared" si="242"/>
        <v>102105.35</v>
      </c>
      <c r="W1267" s="22">
        <f t="shared" si="243"/>
        <v>5615</v>
      </c>
      <c r="X1267" s="22">
        <f>'2022-23 Salary &amp; Benefits'!$G$6</f>
        <v>12558.24</v>
      </c>
      <c r="Y1267" s="23">
        <f>'2022-23 Salary &amp; Benefits'!$H$6</f>
        <v>0.2298</v>
      </c>
      <c r="Z1267" s="23">
        <f>'2022-23 Salary &amp; Benefits'!$I$6</f>
        <v>0.22339999999999999</v>
      </c>
      <c r="AA1267" s="22">
        <f t="shared" si="244"/>
        <v>42776.95</v>
      </c>
      <c r="AB1267" s="22">
        <f t="shared" si="245"/>
        <v>1795.34</v>
      </c>
      <c r="AC1267" s="22">
        <f t="shared" si="246"/>
        <v>401.08</v>
      </c>
      <c r="AD1267" s="22">
        <f t="shared" si="248"/>
        <v>2196.42</v>
      </c>
      <c r="AE1267" s="22">
        <f t="shared" si="249"/>
        <v>152693.72</v>
      </c>
      <c r="AF1267" s="19" t="str">
        <f>VLOOKUP(C1267,'2021-22 School Level AAFTE'!C:N,12,FALSE)</f>
        <v>No</v>
      </c>
    </row>
    <row r="1268" spans="1:32" s="5" customFormat="1">
      <c r="A1268" s="97" t="s">
        <v>2516</v>
      </c>
      <c r="B1268" s="97" t="s">
        <v>1975</v>
      </c>
      <c r="C1268" s="95">
        <v>3361</v>
      </c>
      <c r="D1268" s="95" t="s">
        <v>59</v>
      </c>
      <c r="E1268" s="129">
        <f>VLOOKUP($C1268,'2021-22 School Level AAFTE'!$C:$Z,11,FALSE)</f>
        <v>0.47923333333333334</v>
      </c>
      <c r="F1268" s="129" t="str">
        <f>VLOOKUP($C1268,'2021-22 School Level AAFTE'!$C:$Z,8,FALSE)</f>
        <v>No</v>
      </c>
      <c r="G1268" s="129" t="str">
        <f>VLOOKUP($C1268,'2021-22 School Level AAFTE'!$C:$Z,12,FALSE)</f>
        <v>No</v>
      </c>
      <c r="H1268" s="127">
        <f>VLOOKUP($C1268,'2021-22 School Level AAFTE'!$C:$I,7,FALSE)</f>
        <v>766.95</v>
      </c>
      <c r="I1268" s="112">
        <f>IFERROR(IF(OR(G1268="yes",F1268= "yes"),VLOOKUP(C1268,Summary!$B:$J,6,0),0),0)</f>
        <v>0</v>
      </c>
      <c r="J1268" s="111">
        <f t="shared" si="240"/>
        <v>0</v>
      </c>
      <c r="K1268" s="91">
        <f>VLOOKUP($A1268,'2022-23 Salary &amp; Benefits'!$A:$I,3,FALSE)</f>
        <v>1.03</v>
      </c>
      <c r="L1268" s="91">
        <f>VLOOKUP($A1268,'2022-23 Salary &amp; Benefits'!$A:$I,4,FALSE)</f>
        <v>1.03</v>
      </c>
      <c r="M1268" s="101">
        <f t="shared" si="247"/>
        <v>0</v>
      </c>
      <c r="N1268" s="24">
        <v>15</v>
      </c>
      <c r="O1268" s="26">
        <f t="shared" si="238"/>
        <v>0</v>
      </c>
      <c r="P1268" s="24">
        <v>1.1000000000000001</v>
      </c>
      <c r="Q1268" s="24">
        <v>36</v>
      </c>
      <c r="R1268" s="27">
        <f t="shared" si="239"/>
        <v>0</v>
      </c>
      <c r="S1268" s="102">
        <f t="shared" si="241"/>
        <v>0</v>
      </c>
      <c r="T1268" s="21">
        <f>VLOOKUP($A1268,'2022-23 Salary &amp; Benefits'!$A:$I,5,FALSE)</f>
        <v>68937</v>
      </c>
      <c r="U1268" s="21">
        <f>VLOOKUP($A1268,'2022-23 Salary &amp; Benefits'!$A:$I,6,FALSE)</f>
        <v>72728</v>
      </c>
      <c r="V1268" s="22">
        <f t="shared" si="242"/>
        <v>0</v>
      </c>
      <c r="W1268" s="22">
        <f t="shared" si="243"/>
        <v>0</v>
      </c>
      <c r="X1268" s="22">
        <f>'2022-23 Salary &amp; Benefits'!$G$6</f>
        <v>12558.24</v>
      </c>
      <c r="Y1268" s="23">
        <f>'2022-23 Salary &amp; Benefits'!$H$6</f>
        <v>0.2298</v>
      </c>
      <c r="Z1268" s="23">
        <f>'2022-23 Salary &amp; Benefits'!$I$6</f>
        <v>0.22339999999999999</v>
      </c>
      <c r="AA1268" s="22">
        <f t="shared" si="244"/>
        <v>0</v>
      </c>
      <c r="AB1268" s="22">
        <f t="shared" si="245"/>
        <v>0</v>
      </c>
      <c r="AC1268" s="22">
        <f t="shared" si="246"/>
        <v>0</v>
      </c>
      <c r="AD1268" s="22">
        <f t="shared" si="248"/>
        <v>0</v>
      </c>
      <c r="AE1268" s="22">
        <f t="shared" si="249"/>
        <v>0</v>
      </c>
      <c r="AF1268" s="19" t="str">
        <f>VLOOKUP(C1268,'2021-22 School Level AAFTE'!C:N,12,FALSE)</f>
        <v>No</v>
      </c>
    </row>
    <row r="1269" spans="1:32" s="5" customFormat="1">
      <c r="A1269" s="97" t="s">
        <v>2516</v>
      </c>
      <c r="B1269" s="97" t="s">
        <v>1975</v>
      </c>
      <c r="C1269" s="95">
        <v>3539</v>
      </c>
      <c r="D1269" s="95" t="s">
        <v>1979</v>
      </c>
      <c r="E1269" s="129">
        <f>VLOOKUP($C1269,'2021-22 School Level AAFTE'!$C:$Z,11,FALSE)</f>
        <v>0.37336666666666662</v>
      </c>
      <c r="F1269" s="129" t="str">
        <f>VLOOKUP($C1269,'2021-22 School Level AAFTE'!$C:$Z,8,FALSE)</f>
        <v>No</v>
      </c>
      <c r="G1269" s="129" t="str">
        <f>VLOOKUP($C1269,'2021-22 School Level AAFTE'!$C:$Z,12,FALSE)</f>
        <v>No</v>
      </c>
      <c r="H1269" s="127">
        <f>VLOOKUP($C1269,'2021-22 School Level AAFTE'!$C:$I,7,FALSE)</f>
        <v>504.79</v>
      </c>
      <c r="I1269" s="112">
        <f>IFERROR(IF(OR(G1269="yes",F1269= "yes"),VLOOKUP(C1269,Summary!$B:$J,6,0),0),0)</f>
        <v>0</v>
      </c>
      <c r="J1269" s="111">
        <f t="shared" si="240"/>
        <v>0</v>
      </c>
      <c r="K1269" s="91">
        <f>VLOOKUP($A1269,'2022-23 Salary &amp; Benefits'!$A:$I,3,FALSE)</f>
        <v>1.03</v>
      </c>
      <c r="L1269" s="91">
        <f>VLOOKUP($A1269,'2022-23 Salary &amp; Benefits'!$A:$I,4,FALSE)</f>
        <v>1.03</v>
      </c>
      <c r="M1269" s="39">
        <f t="shared" si="247"/>
        <v>0</v>
      </c>
      <c r="N1269" s="24">
        <v>15</v>
      </c>
      <c r="O1269" s="26">
        <f t="shared" si="238"/>
        <v>0</v>
      </c>
      <c r="P1269" s="24">
        <v>1.1000000000000001</v>
      </c>
      <c r="Q1269" s="24">
        <v>36</v>
      </c>
      <c r="R1269" s="27">
        <f t="shared" si="239"/>
        <v>0</v>
      </c>
      <c r="S1269" s="102">
        <f t="shared" si="241"/>
        <v>0</v>
      </c>
      <c r="T1269" s="21">
        <f>VLOOKUP($A1269,'2022-23 Salary &amp; Benefits'!$A:$I,5,FALSE)</f>
        <v>68937</v>
      </c>
      <c r="U1269" s="21">
        <f>VLOOKUP($A1269,'2022-23 Salary &amp; Benefits'!$A:$I,6,FALSE)</f>
        <v>72728</v>
      </c>
      <c r="V1269" s="22">
        <f t="shared" si="242"/>
        <v>0</v>
      </c>
      <c r="W1269" s="22">
        <f t="shared" si="243"/>
        <v>0</v>
      </c>
      <c r="X1269" s="22">
        <f>'2022-23 Salary &amp; Benefits'!$G$6</f>
        <v>12558.24</v>
      </c>
      <c r="Y1269" s="23">
        <f>'2022-23 Salary &amp; Benefits'!$H$6</f>
        <v>0.2298</v>
      </c>
      <c r="Z1269" s="23">
        <f>'2022-23 Salary &amp; Benefits'!$I$6</f>
        <v>0.22339999999999999</v>
      </c>
      <c r="AA1269" s="22">
        <f t="shared" si="244"/>
        <v>0</v>
      </c>
      <c r="AB1269" s="22">
        <f t="shared" si="245"/>
        <v>0</v>
      </c>
      <c r="AC1269" s="22">
        <f t="shared" si="246"/>
        <v>0</v>
      </c>
      <c r="AD1269" s="22">
        <f t="shared" si="248"/>
        <v>0</v>
      </c>
      <c r="AE1269" s="22">
        <f t="shared" si="249"/>
        <v>0</v>
      </c>
      <c r="AF1269" s="19" t="str">
        <f>VLOOKUP(C1269,'2021-22 School Level AAFTE'!C:N,12,FALSE)</f>
        <v>No</v>
      </c>
    </row>
    <row r="1270" spans="1:32" s="5" customFormat="1">
      <c r="A1270" s="97" t="s">
        <v>2516</v>
      </c>
      <c r="B1270" s="97" t="s">
        <v>1975</v>
      </c>
      <c r="C1270" s="95">
        <v>3611</v>
      </c>
      <c r="D1270" s="95" t="s">
        <v>1980</v>
      </c>
      <c r="E1270" s="129">
        <f>VLOOKUP($C1270,'2021-22 School Level AAFTE'!$C:$Z,11,FALSE)</f>
        <v>0.5033333333333333</v>
      </c>
      <c r="F1270" s="129" t="str">
        <f>VLOOKUP($C1270,'2021-22 School Level AAFTE'!$C:$Z,8,FALSE)</f>
        <v>Yes</v>
      </c>
      <c r="G1270" s="129" t="str">
        <f>VLOOKUP($C1270,'2021-22 School Level AAFTE'!$C:$Z,12,FALSE)</f>
        <v>No</v>
      </c>
      <c r="H1270" s="127">
        <f>VLOOKUP($C1270,'2021-22 School Level AAFTE'!$C:$I,7,FALSE)</f>
        <v>848.85</v>
      </c>
      <c r="I1270" s="112">
        <f>IFERROR(IF(OR(G1270="yes",F1270= "yes"),VLOOKUP(C1270,Summary!$B:$J,6,0),0),0)</f>
        <v>0</v>
      </c>
      <c r="J1270" s="111">
        <f t="shared" si="240"/>
        <v>848.85</v>
      </c>
      <c r="K1270" s="91">
        <f>VLOOKUP($A1270,'2022-23 Salary &amp; Benefits'!$A:$I,3,FALSE)</f>
        <v>1.03</v>
      </c>
      <c r="L1270" s="91">
        <f>VLOOKUP($A1270,'2022-23 Salary &amp; Benefits'!$A:$I,4,FALSE)</f>
        <v>1.03</v>
      </c>
      <c r="M1270" s="39">
        <f t="shared" si="247"/>
        <v>848.85</v>
      </c>
      <c r="N1270" s="24">
        <v>15</v>
      </c>
      <c r="O1270" s="26">
        <f t="shared" si="238"/>
        <v>56.59</v>
      </c>
      <c r="P1270" s="24">
        <v>1.1000000000000001</v>
      </c>
      <c r="Q1270" s="24">
        <v>36</v>
      </c>
      <c r="R1270" s="27">
        <f t="shared" si="239"/>
        <v>2240.9640000000004</v>
      </c>
      <c r="S1270" s="102">
        <f t="shared" si="241"/>
        <v>2.4900000000000002</v>
      </c>
      <c r="T1270" s="21">
        <f>VLOOKUP($A1270,'2022-23 Salary &amp; Benefits'!$A:$I,5,FALSE)</f>
        <v>68937</v>
      </c>
      <c r="U1270" s="21">
        <f>VLOOKUP($A1270,'2022-23 Salary &amp; Benefits'!$A:$I,6,FALSE)</f>
        <v>72728</v>
      </c>
      <c r="V1270" s="22">
        <f t="shared" si="242"/>
        <v>176802.72</v>
      </c>
      <c r="W1270" s="22">
        <f t="shared" si="243"/>
        <v>9722.7799999999988</v>
      </c>
      <c r="X1270" s="22">
        <f>'2022-23 Salary &amp; Benefits'!$G$6</f>
        <v>12558.24</v>
      </c>
      <c r="Y1270" s="23">
        <f>'2022-23 Salary &amp; Benefits'!$H$6</f>
        <v>0.2298</v>
      </c>
      <c r="Z1270" s="23">
        <f>'2022-23 Salary &amp; Benefits'!$I$6</f>
        <v>0.22339999999999999</v>
      </c>
      <c r="AA1270" s="22">
        <f t="shared" si="244"/>
        <v>74071.350000000006</v>
      </c>
      <c r="AB1270" s="22">
        <f t="shared" si="245"/>
        <v>3108.76</v>
      </c>
      <c r="AC1270" s="22">
        <f t="shared" si="246"/>
        <v>694.5</v>
      </c>
      <c r="AD1270" s="22">
        <f t="shared" si="248"/>
        <v>3803.26</v>
      </c>
      <c r="AE1270" s="22">
        <f t="shared" si="249"/>
        <v>264400.11</v>
      </c>
      <c r="AF1270" s="19" t="str">
        <f>VLOOKUP(C1270,'2021-22 School Level AAFTE'!C:N,12,FALSE)</f>
        <v>No</v>
      </c>
    </row>
    <row r="1271" spans="1:32" s="5" customFormat="1">
      <c r="A1271" s="97" t="s">
        <v>2516</v>
      </c>
      <c r="B1271" s="97" t="s">
        <v>1975</v>
      </c>
      <c r="C1271" s="95">
        <v>3653</v>
      </c>
      <c r="D1271" s="95" t="s">
        <v>1981</v>
      </c>
      <c r="E1271" s="129">
        <f>VLOOKUP($C1271,'2021-22 School Level AAFTE'!$C:$Z,11,FALSE)</f>
        <v>0.57779999999999998</v>
      </c>
      <c r="F1271" s="129" t="str">
        <f>VLOOKUP($C1271,'2021-22 School Level AAFTE'!$C:$Z,8,FALSE)</f>
        <v>Yes</v>
      </c>
      <c r="G1271" s="129" t="str">
        <f>VLOOKUP($C1271,'2021-22 School Level AAFTE'!$C:$Z,12,FALSE)</f>
        <v>No</v>
      </c>
      <c r="H1271" s="127">
        <f>VLOOKUP($C1271,'2021-22 School Level AAFTE'!$C:$I,7,FALSE)</f>
        <v>400.05</v>
      </c>
      <c r="I1271" s="112">
        <f>IFERROR(IF(OR(G1271="yes",F1271= "yes"),VLOOKUP(C1271,Summary!$B:$J,6,0),0),0)</f>
        <v>0</v>
      </c>
      <c r="J1271" s="111">
        <f t="shared" si="240"/>
        <v>400.05</v>
      </c>
      <c r="K1271" s="91">
        <f>VLOOKUP($A1271,'2022-23 Salary &amp; Benefits'!$A:$I,3,FALSE)</f>
        <v>1.03</v>
      </c>
      <c r="L1271" s="91">
        <f>VLOOKUP($A1271,'2022-23 Salary &amp; Benefits'!$A:$I,4,FALSE)</f>
        <v>1.03</v>
      </c>
      <c r="M1271" s="101">
        <f t="shared" si="247"/>
        <v>400.05</v>
      </c>
      <c r="N1271" s="24">
        <v>15</v>
      </c>
      <c r="O1271" s="26">
        <f t="shared" si="238"/>
        <v>26.67</v>
      </c>
      <c r="P1271" s="24">
        <v>1.1000000000000001</v>
      </c>
      <c r="Q1271" s="24">
        <v>36</v>
      </c>
      <c r="R1271" s="27">
        <f t="shared" si="239"/>
        <v>1056.1320000000001</v>
      </c>
      <c r="S1271" s="102">
        <f t="shared" si="241"/>
        <v>1.173</v>
      </c>
      <c r="T1271" s="21">
        <f>VLOOKUP($A1271,'2022-23 Salary &amp; Benefits'!$A:$I,5,FALSE)</f>
        <v>68937</v>
      </c>
      <c r="U1271" s="21">
        <f>VLOOKUP($A1271,'2022-23 Salary &amp; Benefits'!$A:$I,6,FALSE)</f>
        <v>72728</v>
      </c>
      <c r="V1271" s="22">
        <f t="shared" si="242"/>
        <v>83288.990000000005</v>
      </c>
      <c r="W1271" s="22">
        <f t="shared" si="243"/>
        <v>4580.25</v>
      </c>
      <c r="X1271" s="22">
        <f>'2022-23 Salary &amp; Benefits'!$G$6</f>
        <v>12558.24</v>
      </c>
      <c r="Y1271" s="23">
        <f>'2022-23 Salary &amp; Benefits'!$H$6</f>
        <v>0.2298</v>
      </c>
      <c r="Z1271" s="23">
        <f>'2022-23 Salary &amp; Benefits'!$I$6</f>
        <v>0.22339999999999999</v>
      </c>
      <c r="AA1271" s="22">
        <f t="shared" si="244"/>
        <v>34893.85</v>
      </c>
      <c r="AB1271" s="22">
        <f t="shared" si="245"/>
        <v>1464.49</v>
      </c>
      <c r="AC1271" s="22">
        <f t="shared" si="246"/>
        <v>327.17</v>
      </c>
      <c r="AD1271" s="22">
        <f t="shared" si="248"/>
        <v>1791.66</v>
      </c>
      <c r="AE1271" s="22">
        <f t="shared" si="249"/>
        <v>124554.75</v>
      </c>
      <c r="AF1271" s="19" t="str">
        <f>VLOOKUP(C1271,'2021-22 School Level AAFTE'!C:N,12,FALSE)</f>
        <v>No</v>
      </c>
    </row>
    <row r="1272" spans="1:32" s="5" customFormat="1">
      <c r="A1272" s="97" t="s">
        <v>2516</v>
      </c>
      <c r="B1272" s="97" t="s">
        <v>1975</v>
      </c>
      <c r="C1272" s="95">
        <v>3709</v>
      </c>
      <c r="D1272" s="95" t="s">
        <v>1982</v>
      </c>
      <c r="E1272" s="129">
        <f>VLOOKUP($C1272,'2021-22 School Level AAFTE'!$C:$Z,11,FALSE)</f>
        <v>0.39756666666666662</v>
      </c>
      <c r="F1272" s="129" t="str">
        <f>VLOOKUP($C1272,'2021-22 School Level AAFTE'!$C:$Z,8,FALSE)</f>
        <v>No</v>
      </c>
      <c r="G1272" s="129" t="str">
        <f>VLOOKUP($C1272,'2021-22 School Level AAFTE'!$C:$Z,12,FALSE)</f>
        <v>No</v>
      </c>
      <c r="H1272" s="127">
        <f>VLOOKUP($C1272,'2021-22 School Level AAFTE'!$C:$I,7,FALSE)</f>
        <v>566.87</v>
      </c>
      <c r="I1272" s="112">
        <f>IFERROR(IF(OR(G1272="yes",F1272= "yes"),VLOOKUP(C1272,Summary!$B:$J,6,0),0),0)</f>
        <v>0</v>
      </c>
      <c r="J1272" s="111">
        <f t="shared" si="240"/>
        <v>0</v>
      </c>
      <c r="K1272" s="91">
        <f>VLOOKUP($A1272,'2022-23 Salary &amp; Benefits'!$A:$I,3,FALSE)</f>
        <v>1.03</v>
      </c>
      <c r="L1272" s="91">
        <f>VLOOKUP($A1272,'2022-23 Salary &amp; Benefits'!$A:$I,4,FALSE)</f>
        <v>1.03</v>
      </c>
      <c r="M1272" s="39">
        <f t="shared" si="247"/>
        <v>0</v>
      </c>
      <c r="N1272" s="24">
        <v>15</v>
      </c>
      <c r="O1272" s="26">
        <f t="shared" si="238"/>
        <v>0</v>
      </c>
      <c r="P1272" s="24">
        <v>1.1000000000000001</v>
      </c>
      <c r="Q1272" s="24">
        <v>36</v>
      </c>
      <c r="R1272" s="27">
        <f t="shared" si="239"/>
        <v>0</v>
      </c>
      <c r="S1272" s="102">
        <f t="shared" si="241"/>
        <v>0</v>
      </c>
      <c r="T1272" s="21">
        <f>VLOOKUP($A1272,'2022-23 Salary &amp; Benefits'!$A:$I,5,FALSE)</f>
        <v>68937</v>
      </c>
      <c r="U1272" s="21">
        <f>VLOOKUP($A1272,'2022-23 Salary &amp; Benefits'!$A:$I,6,FALSE)</f>
        <v>72728</v>
      </c>
      <c r="V1272" s="22">
        <f t="shared" si="242"/>
        <v>0</v>
      </c>
      <c r="W1272" s="22">
        <f t="shared" si="243"/>
        <v>0</v>
      </c>
      <c r="X1272" s="22">
        <f>'2022-23 Salary &amp; Benefits'!$G$6</f>
        <v>12558.24</v>
      </c>
      <c r="Y1272" s="23">
        <f>'2022-23 Salary &amp; Benefits'!$H$6</f>
        <v>0.2298</v>
      </c>
      <c r="Z1272" s="23">
        <f>'2022-23 Salary &amp; Benefits'!$I$6</f>
        <v>0.22339999999999999</v>
      </c>
      <c r="AA1272" s="22">
        <f t="shared" si="244"/>
        <v>0</v>
      </c>
      <c r="AB1272" s="22">
        <f t="shared" si="245"/>
        <v>0</v>
      </c>
      <c r="AC1272" s="22">
        <f t="shared" si="246"/>
        <v>0</v>
      </c>
      <c r="AD1272" s="22">
        <f t="shared" si="248"/>
        <v>0</v>
      </c>
      <c r="AE1272" s="22">
        <f t="shared" si="249"/>
        <v>0</v>
      </c>
      <c r="AF1272" s="19" t="str">
        <f>VLOOKUP(C1272,'2021-22 School Level AAFTE'!C:N,12,FALSE)</f>
        <v>No</v>
      </c>
    </row>
    <row r="1273" spans="1:32" s="5" customFormat="1">
      <c r="A1273" s="97" t="s">
        <v>2516</v>
      </c>
      <c r="B1273" s="97" t="s">
        <v>1975</v>
      </c>
      <c r="C1273" s="95">
        <v>3710</v>
      </c>
      <c r="D1273" s="95" t="s">
        <v>1983</v>
      </c>
      <c r="E1273" s="129">
        <f>VLOOKUP($C1273,'2021-22 School Level AAFTE'!$C:$Z,11,FALSE)</f>
        <v>0.37709999999999999</v>
      </c>
      <c r="F1273" s="129" t="str">
        <f>VLOOKUP($C1273,'2021-22 School Level AAFTE'!$C:$Z,8,FALSE)</f>
        <v>No</v>
      </c>
      <c r="G1273" s="129" t="str">
        <f>VLOOKUP($C1273,'2021-22 School Level AAFTE'!$C:$Z,12,FALSE)</f>
        <v>No</v>
      </c>
      <c r="H1273" s="127">
        <f>VLOOKUP($C1273,'2021-22 School Level AAFTE'!$C:$I,7,FALSE)</f>
        <v>1347.07</v>
      </c>
      <c r="I1273" s="112">
        <f>IFERROR(IF(OR(G1273="yes",F1273= "yes"),VLOOKUP(C1273,Summary!$B:$J,6,0),0),0)</f>
        <v>0</v>
      </c>
      <c r="J1273" s="111">
        <f t="shared" si="240"/>
        <v>0</v>
      </c>
      <c r="K1273" s="91">
        <f>VLOOKUP($A1273,'2022-23 Salary &amp; Benefits'!$A:$I,3,FALSE)</f>
        <v>1.03</v>
      </c>
      <c r="L1273" s="91">
        <f>VLOOKUP($A1273,'2022-23 Salary &amp; Benefits'!$A:$I,4,FALSE)</f>
        <v>1.03</v>
      </c>
      <c r="M1273" s="101">
        <f t="shared" si="247"/>
        <v>0</v>
      </c>
      <c r="N1273" s="24">
        <v>15</v>
      </c>
      <c r="O1273" s="26">
        <f t="shared" si="238"/>
        <v>0</v>
      </c>
      <c r="P1273" s="24">
        <v>1.1000000000000001</v>
      </c>
      <c r="Q1273" s="24">
        <v>36</v>
      </c>
      <c r="R1273" s="27">
        <f t="shared" si="239"/>
        <v>0</v>
      </c>
      <c r="S1273" s="102">
        <f t="shared" si="241"/>
        <v>0</v>
      </c>
      <c r="T1273" s="21">
        <f>VLOOKUP($A1273,'2022-23 Salary &amp; Benefits'!$A:$I,5,FALSE)</f>
        <v>68937</v>
      </c>
      <c r="U1273" s="21">
        <f>VLOOKUP($A1273,'2022-23 Salary &amp; Benefits'!$A:$I,6,FALSE)</f>
        <v>72728</v>
      </c>
      <c r="V1273" s="22">
        <f t="shared" si="242"/>
        <v>0</v>
      </c>
      <c r="W1273" s="22">
        <f t="shared" si="243"/>
        <v>0</v>
      </c>
      <c r="X1273" s="22">
        <f>'2022-23 Salary &amp; Benefits'!$G$6</f>
        <v>12558.24</v>
      </c>
      <c r="Y1273" s="23">
        <f>'2022-23 Salary &amp; Benefits'!$H$6</f>
        <v>0.2298</v>
      </c>
      <c r="Z1273" s="23">
        <f>'2022-23 Salary &amp; Benefits'!$I$6</f>
        <v>0.22339999999999999</v>
      </c>
      <c r="AA1273" s="22">
        <f t="shared" si="244"/>
        <v>0</v>
      </c>
      <c r="AB1273" s="22">
        <f t="shared" si="245"/>
        <v>0</v>
      </c>
      <c r="AC1273" s="22">
        <f t="shared" si="246"/>
        <v>0</v>
      </c>
      <c r="AD1273" s="22">
        <f t="shared" si="248"/>
        <v>0</v>
      </c>
      <c r="AE1273" s="22">
        <f t="shared" si="249"/>
        <v>0</v>
      </c>
      <c r="AF1273" s="19" t="str">
        <f>VLOOKUP(C1273,'2021-22 School Level AAFTE'!C:N,12,FALSE)</f>
        <v>No</v>
      </c>
    </row>
    <row r="1274" spans="1:32" s="5" customFormat="1">
      <c r="A1274" s="97" t="s">
        <v>2516</v>
      </c>
      <c r="B1274" s="97" t="s">
        <v>1975</v>
      </c>
      <c r="C1274" s="95">
        <v>4058</v>
      </c>
      <c r="D1274" s="95" t="s">
        <v>1984</v>
      </c>
      <c r="E1274" s="129">
        <f>VLOOKUP($C1274,'2021-22 School Level AAFTE'!$C:$Z,11,FALSE)</f>
        <v>0.34293333333333331</v>
      </c>
      <c r="F1274" s="129" t="str">
        <f>VLOOKUP($C1274,'2021-22 School Level AAFTE'!$C:$Z,8,FALSE)</f>
        <v>No</v>
      </c>
      <c r="G1274" s="129" t="str">
        <f>VLOOKUP($C1274,'2021-22 School Level AAFTE'!$C:$Z,12,FALSE)</f>
        <v>No</v>
      </c>
      <c r="H1274" s="127">
        <f>VLOOKUP($C1274,'2021-22 School Level AAFTE'!$C:$I,7,FALSE)</f>
        <v>461.43</v>
      </c>
      <c r="I1274" s="112">
        <f>IFERROR(IF(OR(G1274="yes",F1274= "yes"),VLOOKUP(C1274,Summary!$B:$J,6,0),0),0)</f>
        <v>0</v>
      </c>
      <c r="J1274" s="111">
        <f t="shared" si="240"/>
        <v>0</v>
      </c>
      <c r="K1274" s="91">
        <f>VLOOKUP($A1274,'2022-23 Salary &amp; Benefits'!$A:$I,3,FALSE)</f>
        <v>1.03</v>
      </c>
      <c r="L1274" s="91">
        <f>VLOOKUP($A1274,'2022-23 Salary &amp; Benefits'!$A:$I,4,FALSE)</f>
        <v>1.03</v>
      </c>
      <c r="M1274" s="101">
        <f t="shared" si="247"/>
        <v>0</v>
      </c>
      <c r="N1274" s="24">
        <v>15</v>
      </c>
      <c r="O1274" s="26">
        <f t="shared" si="238"/>
        <v>0</v>
      </c>
      <c r="P1274" s="24">
        <v>1.1000000000000001</v>
      </c>
      <c r="Q1274" s="24">
        <v>36</v>
      </c>
      <c r="R1274" s="27">
        <f t="shared" si="239"/>
        <v>0</v>
      </c>
      <c r="S1274" s="102">
        <f t="shared" si="241"/>
        <v>0</v>
      </c>
      <c r="T1274" s="21">
        <f>VLOOKUP($A1274,'2022-23 Salary &amp; Benefits'!$A:$I,5,FALSE)</f>
        <v>68937</v>
      </c>
      <c r="U1274" s="21">
        <f>VLOOKUP($A1274,'2022-23 Salary &amp; Benefits'!$A:$I,6,FALSE)</f>
        <v>72728</v>
      </c>
      <c r="V1274" s="22">
        <f t="shared" si="242"/>
        <v>0</v>
      </c>
      <c r="W1274" s="22">
        <f t="shared" si="243"/>
        <v>0</v>
      </c>
      <c r="X1274" s="22">
        <f>'2022-23 Salary &amp; Benefits'!$G$6</f>
        <v>12558.24</v>
      </c>
      <c r="Y1274" s="23">
        <f>'2022-23 Salary &amp; Benefits'!$H$6</f>
        <v>0.2298</v>
      </c>
      <c r="Z1274" s="23">
        <f>'2022-23 Salary &amp; Benefits'!$I$6</f>
        <v>0.22339999999999999</v>
      </c>
      <c r="AA1274" s="22">
        <f t="shared" si="244"/>
        <v>0</v>
      </c>
      <c r="AB1274" s="22">
        <f t="shared" si="245"/>
        <v>0</v>
      </c>
      <c r="AC1274" s="22">
        <f t="shared" si="246"/>
        <v>0</v>
      </c>
      <c r="AD1274" s="22">
        <f t="shared" si="248"/>
        <v>0</v>
      </c>
      <c r="AE1274" s="22">
        <f t="shared" si="249"/>
        <v>0</v>
      </c>
      <c r="AF1274" s="19" t="str">
        <f>VLOOKUP(C1274,'2021-22 School Level AAFTE'!C:N,12,FALSE)</f>
        <v>No</v>
      </c>
    </row>
    <row r="1275" spans="1:32" s="5" customFormat="1">
      <c r="A1275" s="97" t="s">
        <v>2516</v>
      </c>
      <c r="B1275" s="97" t="s">
        <v>1975</v>
      </c>
      <c r="C1275" s="95">
        <v>4122</v>
      </c>
      <c r="D1275" s="95" t="s">
        <v>1307</v>
      </c>
      <c r="E1275" s="129">
        <f>VLOOKUP($C1275,'2021-22 School Level AAFTE'!$C:$Z,11,FALSE)</f>
        <v>0.37873333333333337</v>
      </c>
      <c r="F1275" s="129" t="str">
        <f>VLOOKUP($C1275,'2021-22 School Level AAFTE'!$C:$Z,8,FALSE)</f>
        <v>No</v>
      </c>
      <c r="G1275" s="129" t="str">
        <f>VLOOKUP($C1275,'2021-22 School Level AAFTE'!$C:$Z,12,FALSE)</f>
        <v>No</v>
      </c>
      <c r="H1275" s="127">
        <f>VLOOKUP($C1275,'2021-22 School Level AAFTE'!$C:$I,7,FALSE)</f>
        <v>434.6</v>
      </c>
      <c r="I1275" s="112">
        <f>IFERROR(IF(OR(G1275="yes",F1275= "yes"),VLOOKUP(C1275,Summary!$B:$J,6,0),0),0)</f>
        <v>0</v>
      </c>
      <c r="J1275" s="111">
        <f t="shared" si="240"/>
        <v>0</v>
      </c>
      <c r="K1275" s="91">
        <f>VLOOKUP($A1275,'2022-23 Salary &amp; Benefits'!$A:$I,3,FALSE)</f>
        <v>1.03</v>
      </c>
      <c r="L1275" s="91">
        <f>VLOOKUP($A1275,'2022-23 Salary &amp; Benefits'!$A:$I,4,FALSE)</f>
        <v>1.03</v>
      </c>
      <c r="M1275" s="101">
        <f t="shared" si="247"/>
        <v>0</v>
      </c>
      <c r="N1275" s="24">
        <v>15</v>
      </c>
      <c r="O1275" s="26">
        <f t="shared" si="238"/>
        <v>0</v>
      </c>
      <c r="P1275" s="24">
        <v>1.1000000000000001</v>
      </c>
      <c r="Q1275" s="24">
        <v>36</v>
      </c>
      <c r="R1275" s="27">
        <f t="shared" si="239"/>
        <v>0</v>
      </c>
      <c r="S1275" s="102">
        <f t="shared" si="241"/>
        <v>0</v>
      </c>
      <c r="T1275" s="21">
        <f>VLOOKUP($A1275,'2022-23 Salary &amp; Benefits'!$A:$I,5,FALSE)</f>
        <v>68937</v>
      </c>
      <c r="U1275" s="21">
        <f>VLOOKUP($A1275,'2022-23 Salary &amp; Benefits'!$A:$I,6,FALSE)</f>
        <v>72728</v>
      </c>
      <c r="V1275" s="22">
        <f t="shared" si="242"/>
        <v>0</v>
      </c>
      <c r="W1275" s="22">
        <f t="shared" si="243"/>
        <v>0</v>
      </c>
      <c r="X1275" s="22">
        <f>'2022-23 Salary &amp; Benefits'!$G$6</f>
        <v>12558.24</v>
      </c>
      <c r="Y1275" s="23">
        <f>'2022-23 Salary &amp; Benefits'!$H$6</f>
        <v>0.2298</v>
      </c>
      <c r="Z1275" s="23">
        <f>'2022-23 Salary &amp; Benefits'!$I$6</f>
        <v>0.22339999999999999</v>
      </c>
      <c r="AA1275" s="22">
        <f t="shared" si="244"/>
        <v>0</v>
      </c>
      <c r="AB1275" s="22">
        <f t="shared" si="245"/>
        <v>0</v>
      </c>
      <c r="AC1275" s="22">
        <f t="shared" si="246"/>
        <v>0</v>
      </c>
      <c r="AD1275" s="22">
        <f t="shared" si="248"/>
        <v>0</v>
      </c>
      <c r="AE1275" s="22">
        <f t="shared" si="249"/>
        <v>0</v>
      </c>
      <c r="AF1275" s="19" t="str">
        <f>VLOOKUP(C1275,'2021-22 School Level AAFTE'!C:N,12,FALSE)</f>
        <v>No</v>
      </c>
    </row>
    <row r="1276" spans="1:32" s="5" customFormat="1">
      <c r="A1276" s="97" t="s">
        <v>2516</v>
      </c>
      <c r="B1276" s="97" t="s">
        <v>1975</v>
      </c>
      <c r="C1276" s="95">
        <v>4255</v>
      </c>
      <c r="D1276" s="95" t="s">
        <v>1985</v>
      </c>
      <c r="E1276" s="129">
        <f>VLOOKUP($C1276,'2021-22 School Level AAFTE'!$C:$Z,11,FALSE)</f>
        <v>0.29046666666666665</v>
      </c>
      <c r="F1276" s="129" t="str">
        <f>VLOOKUP($C1276,'2021-22 School Level AAFTE'!$C:$Z,8,FALSE)</f>
        <v>No</v>
      </c>
      <c r="G1276" s="129" t="str">
        <f>VLOOKUP($C1276,'2021-22 School Level AAFTE'!$C:$Z,12,FALSE)</f>
        <v>No</v>
      </c>
      <c r="H1276" s="127">
        <f>VLOOKUP($C1276,'2021-22 School Level AAFTE'!$C:$I,7,FALSE)</f>
        <v>625.55999999999995</v>
      </c>
      <c r="I1276" s="112">
        <f>IFERROR(IF(OR(G1276="yes",F1276= "yes"),VLOOKUP(C1276,Summary!$B:$J,6,0),0),0)</f>
        <v>0</v>
      </c>
      <c r="J1276" s="111">
        <f t="shared" si="240"/>
        <v>0</v>
      </c>
      <c r="K1276" s="91">
        <f>VLOOKUP($A1276,'2022-23 Salary &amp; Benefits'!$A:$I,3,FALSE)</f>
        <v>1.03</v>
      </c>
      <c r="L1276" s="91">
        <f>VLOOKUP($A1276,'2022-23 Salary &amp; Benefits'!$A:$I,4,FALSE)</f>
        <v>1.03</v>
      </c>
      <c r="M1276" s="101">
        <f t="shared" si="247"/>
        <v>0</v>
      </c>
      <c r="N1276" s="24">
        <v>15</v>
      </c>
      <c r="O1276" s="26">
        <f t="shared" si="238"/>
        <v>0</v>
      </c>
      <c r="P1276" s="24">
        <v>1.1000000000000001</v>
      </c>
      <c r="Q1276" s="24">
        <v>36</v>
      </c>
      <c r="R1276" s="27">
        <f t="shared" si="239"/>
        <v>0</v>
      </c>
      <c r="S1276" s="102">
        <f t="shared" si="241"/>
        <v>0</v>
      </c>
      <c r="T1276" s="21">
        <f>VLOOKUP($A1276,'2022-23 Salary &amp; Benefits'!$A:$I,5,FALSE)</f>
        <v>68937</v>
      </c>
      <c r="U1276" s="21">
        <f>VLOOKUP($A1276,'2022-23 Salary &amp; Benefits'!$A:$I,6,FALSE)</f>
        <v>72728</v>
      </c>
      <c r="V1276" s="22">
        <f t="shared" si="242"/>
        <v>0</v>
      </c>
      <c r="W1276" s="22">
        <f t="shared" si="243"/>
        <v>0</v>
      </c>
      <c r="X1276" s="22">
        <f>'2022-23 Salary &amp; Benefits'!$G$6</f>
        <v>12558.24</v>
      </c>
      <c r="Y1276" s="23">
        <f>'2022-23 Salary &amp; Benefits'!$H$6</f>
        <v>0.2298</v>
      </c>
      <c r="Z1276" s="23">
        <f>'2022-23 Salary &amp; Benefits'!$I$6</f>
        <v>0.22339999999999999</v>
      </c>
      <c r="AA1276" s="22">
        <f t="shared" si="244"/>
        <v>0</v>
      </c>
      <c r="AB1276" s="22">
        <f t="shared" si="245"/>
        <v>0</v>
      </c>
      <c r="AC1276" s="22">
        <f t="shared" si="246"/>
        <v>0</v>
      </c>
      <c r="AD1276" s="22">
        <f t="shared" si="248"/>
        <v>0</v>
      </c>
      <c r="AE1276" s="22">
        <f t="shared" si="249"/>
        <v>0</v>
      </c>
      <c r="AF1276" s="19" t="str">
        <f>VLOOKUP(C1276,'2021-22 School Level AAFTE'!C:N,12,FALSE)</f>
        <v>No</v>
      </c>
    </row>
    <row r="1277" spans="1:32" s="5" customFormat="1">
      <c r="A1277" s="97" t="s">
        <v>2516</v>
      </c>
      <c r="B1277" s="97" t="s">
        <v>1975</v>
      </c>
      <c r="C1277" s="95">
        <v>4271</v>
      </c>
      <c r="D1277" s="95" t="s">
        <v>1986</v>
      </c>
      <c r="E1277" s="129">
        <f>VLOOKUP($C1277,'2021-22 School Level AAFTE'!$C:$Z,11,FALSE)</f>
        <v>0.51049999999999995</v>
      </c>
      <c r="F1277" s="129" t="str">
        <f>VLOOKUP($C1277,'2021-22 School Level AAFTE'!$C:$Z,8,FALSE)</f>
        <v>Yes</v>
      </c>
      <c r="G1277" s="129" t="str">
        <f>VLOOKUP($C1277,'2021-22 School Level AAFTE'!$C:$Z,12,FALSE)</f>
        <v>No</v>
      </c>
      <c r="H1277" s="127">
        <f>VLOOKUP($C1277,'2021-22 School Level AAFTE'!$C:$I,7,FALSE)</f>
        <v>565.73</v>
      </c>
      <c r="I1277" s="112">
        <f>IFERROR(IF(OR(G1277="yes",F1277= "yes"),VLOOKUP(C1277,Summary!$B:$J,6,0),0),0)</f>
        <v>0</v>
      </c>
      <c r="J1277" s="111">
        <f t="shared" si="240"/>
        <v>565.73</v>
      </c>
      <c r="K1277" s="91">
        <f>VLOOKUP($A1277,'2022-23 Salary &amp; Benefits'!$A:$I,3,FALSE)</f>
        <v>1.03</v>
      </c>
      <c r="L1277" s="91">
        <f>VLOOKUP($A1277,'2022-23 Salary &amp; Benefits'!$A:$I,4,FALSE)</f>
        <v>1.03</v>
      </c>
      <c r="M1277" s="101">
        <f t="shared" si="247"/>
        <v>565.73</v>
      </c>
      <c r="N1277" s="24">
        <v>15</v>
      </c>
      <c r="O1277" s="26">
        <f t="shared" si="238"/>
        <v>37.715333333333334</v>
      </c>
      <c r="P1277" s="24">
        <v>1.1000000000000001</v>
      </c>
      <c r="Q1277" s="24">
        <v>36</v>
      </c>
      <c r="R1277" s="27">
        <f t="shared" si="239"/>
        <v>1493.5272000000002</v>
      </c>
      <c r="S1277" s="102">
        <f t="shared" si="241"/>
        <v>1.659</v>
      </c>
      <c r="T1277" s="21">
        <f>VLOOKUP($A1277,'2022-23 Salary &amp; Benefits'!$A:$I,5,FALSE)</f>
        <v>68937</v>
      </c>
      <c r="U1277" s="21">
        <f>VLOOKUP($A1277,'2022-23 Salary &amp; Benefits'!$A:$I,6,FALSE)</f>
        <v>72728</v>
      </c>
      <c r="V1277" s="22">
        <f t="shared" si="242"/>
        <v>117797.48</v>
      </c>
      <c r="W1277" s="22">
        <f t="shared" si="243"/>
        <v>6477.9400000000023</v>
      </c>
      <c r="X1277" s="22">
        <f>'2022-23 Salary &amp; Benefits'!$G$6</f>
        <v>12558.24</v>
      </c>
      <c r="Y1277" s="23">
        <f>'2022-23 Salary &amp; Benefits'!$H$6</f>
        <v>0.2298</v>
      </c>
      <c r="Z1277" s="23">
        <f>'2022-23 Salary &amp; Benefits'!$I$6</f>
        <v>0.22339999999999999</v>
      </c>
      <c r="AA1277" s="22">
        <f t="shared" si="244"/>
        <v>49351.15</v>
      </c>
      <c r="AB1277" s="22">
        <f t="shared" si="245"/>
        <v>2071.2600000000002</v>
      </c>
      <c r="AC1277" s="22">
        <f t="shared" si="246"/>
        <v>462.72</v>
      </c>
      <c r="AD1277" s="22">
        <f t="shared" si="248"/>
        <v>2533.9800000000005</v>
      </c>
      <c r="AE1277" s="22">
        <f t="shared" si="249"/>
        <v>176160.55000000002</v>
      </c>
      <c r="AF1277" s="19" t="str">
        <f>VLOOKUP(C1277,'2021-22 School Level AAFTE'!C:N,12,FALSE)</f>
        <v>No</v>
      </c>
    </row>
    <row r="1278" spans="1:32" s="5" customFormat="1">
      <c r="A1278" s="97" t="s">
        <v>2516</v>
      </c>
      <c r="B1278" s="97" t="s">
        <v>1975</v>
      </c>
      <c r="C1278" s="95">
        <v>4368</v>
      </c>
      <c r="D1278" s="95" t="s">
        <v>1987</v>
      </c>
      <c r="E1278" s="129">
        <f>VLOOKUP($C1278,'2021-22 School Level AAFTE'!$C:$Z,11,FALSE)</f>
        <v>0.4538666666666667</v>
      </c>
      <c r="F1278" s="129" t="str">
        <f>VLOOKUP($C1278,'2021-22 School Level AAFTE'!$C:$Z,8,FALSE)</f>
        <v>No</v>
      </c>
      <c r="G1278" s="129" t="str">
        <f>VLOOKUP($C1278,'2021-22 School Level AAFTE'!$C:$Z,12,FALSE)</f>
        <v>No</v>
      </c>
      <c r="H1278" s="127">
        <f>VLOOKUP($C1278,'2021-22 School Level AAFTE'!$C:$I,7,FALSE)</f>
        <v>406.29</v>
      </c>
      <c r="I1278" s="112">
        <f>IFERROR(IF(OR(G1278="yes",F1278= "yes"),VLOOKUP(C1278,Summary!$B:$J,6,0),0),0)</f>
        <v>0</v>
      </c>
      <c r="J1278" s="111">
        <f t="shared" si="240"/>
        <v>0</v>
      </c>
      <c r="K1278" s="91">
        <f>VLOOKUP($A1278,'2022-23 Salary &amp; Benefits'!$A:$I,3,FALSE)</f>
        <v>1.03</v>
      </c>
      <c r="L1278" s="91">
        <f>VLOOKUP($A1278,'2022-23 Salary &amp; Benefits'!$A:$I,4,FALSE)</f>
        <v>1.03</v>
      </c>
      <c r="M1278" s="39">
        <f t="shared" si="247"/>
        <v>0</v>
      </c>
      <c r="N1278" s="24">
        <v>15</v>
      </c>
      <c r="O1278" s="26">
        <f t="shared" si="238"/>
        <v>0</v>
      </c>
      <c r="P1278" s="24">
        <v>1.1000000000000001</v>
      </c>
      <c r="Q1278" s="24">
        <v>36</v>
      </c>
      <c r="R1278" s="27">
        <f t="shared" si="239"/>
        <v>0</v>
      </c>
      <c r="S1278" s="102">
        <f t="shared" si="241"/>
        <v>0</v>
      </c>
      <c r="T1278" s="21">
        <f>VLOOKUP($A1278,'2022-23 Salary &amp; Benefits'!$A:$I,5,FALSE)</f>
        <v>68937</v>
      </c>
      <c r="U1278" s="21">
        <f>VLOOKUP($A1278,'2022-23 Salary &amp; Benefits'!$A:$I,6,FALSE)</f>
        <v>72728</v>
      </c>
      <c r="V1278" s="22">
        <f t="shared" si="242"/>
        <v>0</v>
      </c>
      <c r="W1278" s="22">
        <f t="shared" si="243"/>
        <v>0</v>
      </c>
      <c r="X1278" s="22">
        <f>'2022-23 Salary &amp; Benefits'!$G$6</f>
        <v>12558.24</v>
      </c>
      <c r="Y1278" s="23">
        <f>'2022-23 Salary &amp; Benefits'!$H$6</f>
        <v>0.2298</v>
      </c>
      <c r="Z1278" s="23">
        <f>'2022-23 Salary &amp; Benefits'!$I$6</f>
        <v>0.22339999999999999</v>
      </c>
      <c r="AA1278" s="22">
        <f t="shared" si="244"/>
        <v>0</v>
      </c>
      <c r="AB1278" s="22">
        <f t="shared" si="245"/>
        <v>0</v>
      </c>
      <c r="AC1278" s="22">
        <f t="shared" si="246"/>
        <v>0</v>
      </c>
      <c r="AD1278" s="22">
        <f t="shared" si="248"/>
        <v>0</v>
      </c>
      <c r="AE1278" s="22">
        <f t="shared" si="249"/>
        <v>0</v>
      </c>
      <c r="AF1278" s="19" t="str">
        <f>VLOOKUP(C1278,'2021-22 School Level AAFTE'!C:N,12,FALSE)</f>
        <v>No</v>
      </c>
    </row>
    <row r="1279" spans="1:32" s="5" customFormat="1">
      <c r="A1279" s="97" t="s">
        <v>2516</v>
      </c>
      <c r="B1279" s="97" t="s">
        <v>1975</v>
      </c>
      <c r="C1279" s="95">
        <v>4408</v>
      </c>
      <c r="D1279" s="95" t="s">
        <v>1988</v>
      </c>
      <c r="E1279" s="129">
        <f>VLOOKUP($C1279,'2021-22 School Level AAFTE'!$C:$Z,11,FALSE)</f>
        <v>0.27833333333333332</v>
      </c>
      <c r="F1279" s="129" t="str">
        <f>VLOOKUP($C1279,'2021-22 School Level AAFTE'!$C:$Z,8,FALSE)</f>
        <v>No</v>
      </c>
      <c r="G1279" s="129" t="str">
        <f>VLOOKUP($C1279,'2021-22 School Level AAFTE'!$C:$Z,12,FALSE)</f>
        <v>No</v>
      </c>
      <c r="H1279" s="127">
        <f>VLOOKUP($C1279,'2021-22 School Level AAFTE'!$C:$I,7,FALSE)</f>
        <v>449.37</v>
      </c>
      <c r="I1279" s="112">
        <f>IFERROR(IF(OR(G1279="yes",F1279= "yes"),VLOOKUP(C1279,Summary!$B:$J,6,0),0),0)</f>
        <v>0</v>
      </c>
      <c r="J1279" s="111">
        <f t="shared" si="240"/>
        <v>0</v>
      </c>
      <c r="K1279" s="91">
        <f>VLOOKUP($A1279,'2022-23 Salary &amp; Benefits'!$A:$I,3,FALSE)</f>
        <v>1.03</v>
      </c>
      <c r="L1279" s="91">
        <f>VLOOKUP($A1279,'2022-23 Salary &amp; Benefits'!$A:$I,4,FALSE)</f>
        <v>1.03</v>
      </c>
      <c r="M1279" s="101">
        <f t="shared" si="247"/>
        <v>0</v>
      </c>
      <c r="N1279" s="24">
        <v>15</v>
      </c>
      <c r="O1279" s="26">
        <f t="shared" si="238"/>
        <v>0</v>
      </c>
      <c r="P1279" s="24">
        <v>1.1000000000000001</v>
      </c>
      <c r="Q1279" s="24">
        <v>36</v>
      </c>
      <c r="R1279" s="27">
        <f t="shared" si="239"/>
        <v>0</v>
      </c>
      <c r="S1279" s="102">
        <f t="shared" si="241"/>
        <v>0</v>
      </c>
      <c r="T1279" s="21">
        <f>VLOOKUP($A1279,'2022-23 Salary &amp; Benefits'!$A:$I,5,FALSE)</f>
        <v>68937</v>
      </c>
      <c r="U1279" s="21">
        <f>VLOOKUP($A1279,'2022-23 Salary &amp; Benefits'!$A:$I,6,FALSE)</f>
        <v>72728</v>
      </c>
      <c r="V1279" s="22">
        <f t="shared" si="242"/>
        <v>0</v>
      </c>
      <c r="W1279" s="22">
        <f t="shared" si="243"/>
        <v>0</v>
      </c>
      <c r="X1279" s="22">
        <f>'2022-23 Salary &amp; Benefits'!$G$6</f>
        <v>12558.24</v>
      </c>
      <c r="Y1279" s="23">
        <f>'2022-23 Salary &amp; Benefits'!$H$6</f>
        <v>0.2298</v>
      </c>
      <c r="Z1279" s="23">
        <f>'2022-23 Salary &amp; Benefits'!$I$6</f>
        <v>0.22339999999999999</v>
      </c>
      <c r="AA1279" s="22">
        <f t="shared" si="244"/>
        <v>0</v>
      </c>
      <c r="AB1279" s="22">
        <f t="shared" si="245"/>
        <v>0</v>
      </c>
      <c r="AC1279" s="22">
        <f t="shared" si="246"/>
        <v>0</v>
      </c>
      <c r="AD1279" s="22">
        <f t="shared" si="248"/>
        <v>0</v>
      </c>
      <c r="AE1279" s="22">
        <f t="shared" si="249"/>
        <v>0</v>
      </c>
      <c r="AF1279" s="19" t="str">
        <f>VLOOKUP(C1279,'2021-22 School Level AAFTE'!C:N,12,FALSE)</f>
        <v>No</v>
      </c>
    </row>
    <row r="1280" spans="1:32" s="5" customFormat="1">
      <c r="A1280" s="97" t="s">
        <v>2516</v>
      </c>
      <c r="B1280" s="97" t="s">
        <v>1975</v>
      </c>
      <c r="C1280" s="95">
        <v>4409</v>
      </c>
      <c r="D1280" s="95" t="s">
        <v>1989</v>
      </c>
      <c r="E1280" s="129">
        <f>VLOOKUP($C1280,'2021-22 School Level AAFTE'!$C:$Z,11,FALSE)</f>
        <v>0.45563333333333333</v>
      </c>
      <c r="F1280" s="129" t="str">
        <f>VLOOKUP($C1280,'2021-22 School Level AAFTE'!$C:$Z,8,FALSE)</f>
        <v>No</v>
      </c>
      <c r="G1280" s="129" t="str">
        <f>VLOOKUP($C1280,'2021-22 School Level AAFTE'!$C:$Z,12,FALSE)</f>
        <v>No</v>
      </c>
      <c r="H1280" s="127">
        <f>VLOOKUP($C1280,'2021-22 School Level AAFTE'!$C:$I,7,FALSE)</f>
        <v>661.96</v>
      </c>
      <c r="I1280" s="112">
        <f>IFERROR(IF(OR(G1280="yes",F1280= "yes"),VLOOKUP(C1280,Summary!$B:$J,6,0),0),0)</f>
        <v>0</v>
      </c>
      <c r="J1280" s="111">
        <f t="shared" si="240"/>
        <v>0</v>
      </c>
      <c r="K1280" s="91">
        <f>VLOOKUP($A1280,'2022-23 Salary &amp; Benefits'!$A:$I,3,FALSE)</f>
        <v>1.03</v>
      </c>
      <c r="L1280" s="91">
        <f>VLOOKUP($A1280,'2022-23 Salary &amp; Benefits'!$A:$I,4,FALSE)</f>
        <v>1.03</v>
      </c>
      <c r="M1280" s="39">
        <f t="shared" si="247"/>
        <v>0</v>
      </c>
      <c r="N1280" s="24">
        <v>15</v>
      </c>
      <c r="O1280" s="26">
        <f t="shared" si="238"/>
        <v>0</v>
      </c>
      <c r="P1280" s="24">
        <v>1.1000000000000001</v>
      </c>
      <c r="Q1280" s="24">
        <v>36</v>
      </c>
      <c r="R1280" s="27">
        <f t="shared" si="239"/>
        <v>0</v>
      </c>
      <c r="S1280" s="102">
        <f t="shared" si="241"/>
        <v>0</v>
      </c>
      <c r="T1280" s="21">
        <f>VLOOKUP($A1280,'2022-23 Salary &amp; Benefits'!$A:$I,5,FALSE)</f>
        <v>68937</v>
      </c>
      <c r="U1280" s="21">
        <f>VLOOKUP($A1280,'2022-23 Salary &amp; Benefits'!$A:$I,6,FALSE)</f>
        <v>72728</v>
      </c>
      <c r="V1280" s="22">
        <f t="shared" si="242"/>
        <v>0</v>
      </c>
      <c r="W1280" s="22">
        <f t="shared" si="243"/>
        <v>0</v>
      </c>
      <c r="X1280" s="22">
        <f>'2022-23 Salary &amp; Benefits'!$G$6</f>
        <v>12558.24</v>
      </c>
      <c r="Y1280" s="23">
        <f>'2022-23 Salary &amp; Benefits'!$H$6</f>
        <v>0.2298</v>
      </c>
      <c r="Z1280" s="23">
        <f>'2022-23 Salary &amp; Benefits'!$I$6</f>
        <v>0.22339999999999999</v>
      </c>
      <c r="AA1280" s="22">
        <f t="shared" si="244"/>
        <v>0</v>
      </c>
      <c r="AB1280" s="22">
        <f t="shared" si="245"/>
        <v>0</v>
      </c>
      <c r="AC1280" s="22">
        <f t="shared" si="246"/>
        <v>0</v>
      </c>
      <c r="AD1280" s="22">
        <f t="shared" si="248"/>
        <v>0</v>
      </c>
      <c r="AE1280" s="22">
        <f t="shared" si="249"/>
        <v>0</v>
      </c>
      <c r="AF1280" s="19" t="str">
        <f>VLOOKUP(C1280,'2021-22 School Level AAFTE'!C:N,12,FALSE)</f>
        <v>No</v>
      </c>
    </row>
    <row r="1281" spans="1:32" s="5" customFormat="1">
      <c r="A1281" s="97" t="s">
        <v>2516</v>
      </c>
      <c r="B1281" s="97" t="s">
        <v>1975</v>
      </c>
      <c r="C1281" s="95">
        <v>4427</v>
      </c>
      <c r="D1281" s="95" t="s">
        <v>1990</v>
      </c>
      <c r="E1281" s="129">
        <f>VLOOKUP($C1281,'2021-22 School Level AAFTE'!$C:$Z,11,FALSE)</f>
        <v>0.40166666666666662</v>
      </c>
      <c r="F1281" s="129" t="str">
        <f>VLOOKUP($C1281,'2021-22 School Level AAFTE'!$C:$Z,8,FALSE)</f>
        <v>No</v>
      </c>
      <c r="G1281" s="129" t="str">
        <f>VLOOKUP($C1281,'2021-22 School Level AAFTE'!$C:$Z,12,FALSE)</f>
        <v>No</v>
      </c>
      <c r="H1281" s="127">
        <f>VLOOKUP($C1281,'2021-22 School Level AAFTE'!$C:$I,7,FALSE)</f>
        <v>1447.1699999999998</v>
      </c>
      <c r="I1281" s="112">
        <f>IFERROR(IF(OR(G1281="yes",F1281= "yes"),VLOOKUP(C1281,Summary!$B:$J,6,0),0),0)</f>
        <v>0</v>
      </c>
      <c r="J1281" s="111">
        <f t="shared" si="240"/>
        <v>0</v>
      </c>
      <c r="K1281" s="91">
        <f>VLOOKUP($A1281,'2022-23 Salary &amp; Benefits'!$A:$I,3,FALSE)</f>
        <v>1.03</v>
      </c>
      <c r="L1281" s="91">
        <f>VLOOKUP($A1281,'2022-23 Salary &amp; Benefits'!$A:$I,4,FALSE)</f>
        <v>1.03</v>
      </c>
      <c r="M1281" s="101">
        <f t="shared" si="247"/>
        <v>0</v>
      </c>
      <c r="N1281" s="24">
        <v>15</v>
      </c>
      <c r="O1281" s="26">
        <f t="shared" si="238"/>
        <v>0</v>
      </c>
      <c r="P1281" s="24">
        <v>1.1000000000000001</v>
      </c>
      <c r="Q1281" s="24">
        <v>36</v>
      </c>
      <c r="R1281" s="27">
        <f t="shared" si="239"/>
        <v>0</v>
      </c>
      <c r="S1281" s="102">
        <f t="shared" si="241"/>
        <v>0</v>
      </c>
      <c r="T1281" s="21">
        <f>VLOOKUP($A1281,'2022-23 Salary &amp; Benefits'!$A:$I,5,FALSE)</f>
        <v>68937</v>
      </c>
      <c r="U1281" s="21">
        <f>VLOOKUP($A1281,'2022-23 Salary &amp; Benefits'!$A:$I,6,FALSE)</f>
        <v>72728</v>
      </c>
      <c r="V1281" s="22">
        <f t="shared" si="242"/>
        <v>0</v>
      </c>
      <c r="W1281" s="22">
        <f t="shared" si="243"/>
        <v>0</v>
      </c>
      <c r="X1281" s="22">
        <f>'2022-23 Salary &amp; Benefits'!$G$6</f>
        <v>12558.24</v>
      </c>
      <c r="Y1281" s="23">
        <f>'2022-23 Salary &amp; Benefits'!$H$6</f>
        <v>0.2298</v>
      </c>
      <c r="Z1281" s="23">
        <f>'2022-23 Salary &amp; Benefits'!$I$6</f>
        <v>0.22339999999999999</v>
      </c>
      <c r="AA1281" s="22">
        <f t="shared" si="244"/>
        <v>0</v>
      </c>
      <c r="AB1281" s="22">
        <f t="shared" si="245"/>
        <v>0</v>
      </c>
      <c r="AC1281" s="22">
        <f t="shared" si="246"/>
        <v>0</v>
      </c>
      <c r="AD1281" s="22">
        <f t="shared" si="248"/>
        <v>0</v>
      </c>
      <c r="AE1281" s="22">
        <f t="shared" si="249"/>
        <v>0</v>
      </c>
      <c r="AF1281" s="19" t="str">
        <f>VLOOKUP(C1281,'2021-22 School Level AAFTE'!C:N,12,FALSE)</f>
        <v>No</v>
      </c>
    </row>
    <row r="1282" spans="1:32" s="5" customFormat="1">
      <c r="A1282" s="97" t="s">
        <v>2516</v>
      </c>
      <c r="B1282" s="97" t="s">
        <v>1975</v>
      </c>
      <c r="C1282" s="95">
        <v>5167</v>
      </c>
      <c r="D1282" s="95" t="s">
        <v>1991</v>
      </c>
      <c r="E1282" s="129">
        <f>VLOOKUP($C1282,'2021-22 School Level AAFTE'!$C:$Z,11,FALSE)</f>
        <v>0.51200000000000001</v>
      </c>
      <c r="F1282" s="129" t="str">
        <f>VLOOKUP($C1282,'2021-22 School Level AAFTE'!$C:$Z,8,FALSE)</f>
        <v>Yes</v>
      </c>
      <c r="G1282" s="129" t="str">
        <f>VLOOKUP($C1282,'2021-22 School Level AAFTE'!$C:$Z,12,FALSE)</f>
        <v>No</v>
      </c>
      <c r="H1282" s="127">
        <f>VLOOKUP($C1282,'2021-22 School Level AAFTE'!$C:$I,7,FALSE)</f>
        <v>487.82</v>
      </c>
      <c r="I1282" s="112">
        <f>IFERROR(IF(OR(G1282="yes",F1282= "yes"),VLOOKUP(C1282,Summary!$B:$J,6,0),0),0)</f>
        <v>0</v>
      </c>
      <c r="J1282" s="111">
        <f t="shared" si="240"/>
        <v>487.82</v>
      </c>
      <c r="K1282" s="91">
        <f>VLOOKUP($A1282,'2022-23 Salary &amp; Benefits'!$A:$I,3,FALSE)</f>
        <v>1.03</v>
      </c>
      <c r="L1282" s="91">
        <f>VLOOKUP($A1282,'2022-23 Salary &amp; Benefits'!$A:$I,4,FALSE)</f>
        <v>1.03</v>
      </c>
      <c r="M1282" s="39">
        <f t="shared" si="247"/>
        <v>487.82</v>
      </c>
      <c r="N1282" s="24">
        <v>15</v>
      </c>
      <c r="O1282" s="26">
        <f t="shared" si="238"/>
        <v>32.521333333333331</v>
      </c>
      <c r="P1282" s="24">
        <v>1.1000000000000001</v>
      </c>
      <c r="Q1282" s="24">
        <v>36</v>
      </c>
      <c r="R1282" s="27">
        <f t="shared" si="239"/>
        <v>1287.8447999999999</v>
      </c>
      <c r="S1282" s="102">
        <f t="shared" si="241"/>
        <v>1.431</v>
      </c>
      <c r="T1282" s="21">
        <f>VLOOKUP($A1282,'2022-23 Salary &amp; Benefits'!$A:$I,5,FALSE)</f>
        <v>68937</v>
      </c>
      <c r="U1282" s="21">
        <f>VLOOKUP($A1282,'2022-23 Salary &amp; Benefits'!$A:$I,6,FALSE)</f>
        <v>72728</v>
      </c>
      <c r="V1282" s="22">
        <f t="shared" si="242"/>
        <v>101608.31</v>
      </c>
      <c r="W1282" s="22">
        <f t="shared" si="243"/>
        <v>5587.6699999999983</v>
      </c>
      <c r="X1282" s="22">
        <f>'2022-23 Salary &amp; Benefits'!$G$6</f>
        <v>12558.24</v>
      </c>
      <c r="Y1282" s="23">
        <f>'2022-23 Salary &amp; Benefits'!$H$6</f>
        <v>0.2298</v>
      </c>
      <c r="Z1282" s="23">
        <f>'2022-23 Salary &amp; Benefits'!$I$6</f>
        <v>0.22339999999999999</v>
      </c>
      <c r="AA1282" s="22">
        <f t="shared" si="244"/>
        <v>42568.72</v>
      </c>
      <c r="AB1282" s="22">
        <f t="shared" si="245"/>
        <v>1786.6</v>
      </c>
      <c r="AC1282" s="22">
        <f t="shared" si="246"/>
        <v>399.13</v>
      </c>
      <c r="AD1282" s="22">
        <f t="shared" si="248"/>
        <v>2185.73</v>
      </c>
      <c r="AE1282" s="22">
        <f t="shared" si="249"/>
        <v>151950.43000000002</v>
      </c>
      <c r="AF1282" s="19" t="str">
        <f>VLOOKUP(C1282,'2021-22 School Level AAFTE'!C:N,12,FALSE)</f>
        <v>No</v>
      </c>
    </row>
    <row r="1283" spans="1:32" s="5" customFormat="1">
      <c r="A1283" s="97" t="s">
        <v>2516</v>
      </c>
      <c r="B1283" s="97" t="s">
        <v>1975</v>
      </c>
      <c r="C1283" s="95">
        <v>5168</v>
      </c>
      <c r="D1283" s="95" t="s">
        <v>1992</v>
      </c>
      <c r="E1283" s="129">
        <f>VLOOKUP($C1283,'2021-22 School Level AAFTE'!$C:$Z,11,FALSE)</f>
        <v>0.2703666666666667</v>
      </c>
      <c r="F1283" s="129" t="str">
        <f>VLOOKUP($C1283,'2021-22 School Level AAFTE'!$C:$Z,8,FALSE)</f>
        <v>No</v>
      </c>
      <c r="G1283" s="129" t="str">
        <f>VLOOKUP($C1283,'2021-22 School Level AAFTE'!$C:$Z,12,FALSE)</f>
        <v>No</v>
      </c>
      <c r="H1283" s="127">
        <f>VLOOKUP($C1283,'2021-22 School Level AAFTE'!$C:$I,7,FALSE)</f>
        <v>308.79000000000002</v>
      </c>
      <c r="I1283" s="112">
        <f>IFERROR(IF(OR(G1283="yes",F1283= "yes"),VLOOKUP(C1283,Summary!$B:$J,6,0),0),0)</f>
        <v>0</v>
      </c>
      <c r="J1283" s="111">
        <f t="shared" si="240"/>
        <v>0</v>
      </c>
      <c r="K1283" s="91">
        <f>VLOOKUP($A1283,'2022-23 Salary &amp; Benefits'!$A:$I,3,FALSE)</f>
        <v>1.03</v>
      </c>
      <c r="L1283" s="91">
        <f>VLOOKUP($A1283,'2022-23 Salary &amp; Benefits'!$A:$I,4,FALSE)</f>
        <v>1.03</v>
      </c>
      <c r="M1283" s="39">
        <f t="shared" si="247"/>
        <v>0</v>
      </c>
      <c r="N1283" s="24">
        <v>15</v>
      </c>
      <c r="O1283" s="26">
        <f t="shared" si="238"/>
        <v>0</v>
      </c>
      <c r="P1283" s="24">
        <v>1.1000000000000001</v>
      </c>
      <c r="Q1283" s="24">
        <v>36</v>
      </c>
      <c r="R1283" s="27">
        <f t="shared" si="239"/>
        <v>0</v>
      </c>
      <c r="S1283" s="102">
        <f t="shared" si="241"/>
        <v>0</v>
      </c>
      <c r="T1283" s="21">
        <f>VLOOKUP($A1283,'2022-23 Salary &amp; Benefits'!$A:$I,5,FALSE)</f>
        <v>68937</v>
      </c>
      <c r="U1283" s="21">
        <f>VLOOKUP($A1283,'2022-23 Salary &amp; Benefits'!$A:$I,6,FALSE)</f>
        <v>72728</v>
      </c>
      <c r="V1283" s="22">
        <f t="shared" si="242"/>
        <v>0</v>
      </c>
      <c r="W1283" s="22">
        <f t="shared" si="243"/>
        <v>0</v>
      </c>
      <c r="X1283" s="22">
        <f>'2022-23 Salary &amp; Benefits'!$G$6</f>
        <v>12558.24</v>
      </c>
      <c r="Y1283" s="23">
        <f>'2022-23 Salary &amp; Benefits'!$H$6</f>
        <v>0.2298</v>
      </c>
      <c r="Z1283" s="23">
        <f>'2022-23 Salary &amp; Benefits'!$I$6</f>
        <v>0.22339999999999999</v>
      </c>
      <c r="AA1283" s="22">
        <f t="shared" si="244"/>
        <v>0</v>
      </c>
      <c r="AB1283" s="22">
        <f t="shared" si="245"/>
        <v>0</v>
      </c>
      <c r="AC1283" s="22">
        <f t="shared" si="246"/>
        <v>0</v>
      </c>
      <c r="AD1283" s="22">
        <f t="shared" si="248"/>
        <v>0</v>
      </c>
      <c r="AE1283" s="22">
        <f t="shared" si="249"/>
        <v>0</v>
      </c>
      <c r="AF1283" s="19" t="str">
        <f>VLOOKUP(C1283,'2021-22 School Level AAFTE'!C:N,12,FALSE)</f>
        <v>No</v>
      </c>
    </row>
    <row r="1284" spans="1:32" s="5" customFormat="1">
      <c r="A1284" s="97" t="s">
        <v>2516</v>
      </c>
      <c r="B1284" s="97" t="s">
        <v>1975</v>
      </c>
      <c r="C1284" s="95">
        <v>5452</v>
      </c>
      <c r="D1284" s="95" t="s">
        <v>1993</v>
      </c>
      <c r="E1284" s="129">
        <f>VLOOKUP($C1284,'2021-22 School Level AAFTE'!$C:$Z,11,FALSE)</f>
        <v>0.41930000000000001</v>
      </c>
      <c r="F1284" s="129" t="str">
        <f>VLOOKUP($C1284,'2021-22 School Level AAFTE'!$C:$Z,8,FALSE)</f>
        <v>No</v>
      </c>
      <c r="G1284" s="129" t="str">
        <f>VLOOKUP($C1284,'2021-22 School Level AAFTE'!$C:$Z,12,FALSE)</f>
        <v>No</v>
      </c>
      <c r="H1284" s="127">
        <f>VLOOKUP($C1284,'2021-22 School Level AAFTE'!$C:$I,7,FALSE)</f>
        <v>732.32</v>
      </c>
      <c r="I1284" s="112">
        <f>IFERROR(IF(OR(G1284="yes",F1284= "yes"),VLOOKUP(C1284,Summary!$B:$J,6,0),0),0)</f>
        <v>0</v>
      </c>
      <c r="J1284" s="111">
        <f t="shared" si="240"/>
        <v>0</v>
      </c>
      <c r="K1284" s="91">
        <f>VLOOKUP($A1284,'2022-23 Salary &amp; Benefits'!$A:$I,3,FALSE)</f>
        <v>1.03</v>
      </c>
      <c r="L1284" s="91">
        <f>VLOOKUP($A1284,'2022-23 Salary &amp; Benefits'!$A:$I,4,FALSE)</f>
        <v>1.03</v>
      </c>
      <c r="M1284" s="39">
        <f t="shared" si="247"/>
        <v>0</v>
      </c>
      <c r="N1284" s="24">
        <v>15</v>
      </c>
      <c r="O1284" s="26">
        <f t="shared" si="238"/>
        <v>0</v>
      </c>
      <c r="P1284" s="24">
        <v>1.1000000000000001</v>
      </c>
      <c r="Q1284" s="24">
        <v>36</v>
      </c>
      <c r="R1284" s="27">
        <f t="shared" si="239"/>
        <v>0</v>
      </c>
      <c r="S1284" s="102">
        <f t="shared" si="241"/>
        <v>0</v>
      </c>
      <c r="T1284" s="21">
        <f>VLOOKUP($A1284,'2022-23 Salary &amp; Benefits'!$A:$I,5,FALSE)</f>
        <v>68937</v>
      </c>
      <c r="U1284" s="21">
        <f>VLOOKUP($A1284,'2022-23 Salary &amp; Benefits'!$A:$I,6,FALSE)</f>
        <v>72728</v>
      </c>
      <c r="V1284" s="22">
        <f t="shared" si="242"/>
        <v>0</v>
      </c>
      <c r="W1284" s="22">
        <f t="shared" si="243"/>
        <v>0</v>
      </c>
      <c r="X1284" s="22">
        <f>'2022-23 Salary &amp; Benefits'!$G$6</f>
        <v>12558.24</v>
      </c>
      <c r="Y1284" s="23">
        <f>'2022-23 Salary &amp; Benefits'!$H$6</f>
        <v>0.2298</v>
      </c>
      <c r="Z1284" s="23">
        <f>'2022-23 Salary &amp; Benefits'!$I$6</f>
        <v>0.22339999999999999</v>
      </c>
      <c r="AA1284" s="22">
        <f t="shared" si="244"/>
        <v>0</v>
      </c>
      <c r="AB1284" s="22">
        <f t="shared" si="245"/>
        <v>0</v>
      </c>
      <c r="AC1284" s="22">
        <f t="shared" si="246"/>
        <v>0</v>
      </c>
      <c r="AD1284" s="22">
        <f t="shared" si="248"/>
        <v>0</v>
      </c>
      <c r="AE1284" s="22">
        <f t="shared" si="249"/>
        <v>0</v>
      </c>
      <c r="AF1284" s="19" t="str">
        <f>VLOOKUP(C1284,'2021-22 School Level AAFTE'!C:N,12,FALSE)</f>
        <v>No</v>
      </c>
    </row>
    <row r="1285" spans="1:32" s="5" customFormat="1">
      <c r="A1285" s="97" t="s">
        <v>2516</v>
      </c>
      <c r="B1285" s="97" t="s">
        <v>1975</v>
      </c>
      <c r="C1285" s="95">
        <v>5654</v>
      </c>
      <c r="D1285" s="95" t="s">
        <v>2897</v>
      </c>
      <c r="E1285" s="129">
        <f>VLOOKUP($C1285,'2021-22 School Level AAFTE'!$C:$Z,11,FALSE)</f>
        <v>0.56109999999999993</v>
      </c>
      <c r="F1285" s="129" t="str">
        <f>VLOOKUP($C1285,'2021-22 School Level AAFTE'!$C:$Z,8,FALSE)</f>
        <v>Yes</v>
      </c>
      <c r="G1285" s="129" t="str">
        <f>VLOOKUP($C1285,'2021-22 School Level AAFTE'!$C:$Z,12,FALSE)</f>
        <v>No</v>
      </c>
      <c r="H1285" s="127">
        <f>VLOOKUP($C1285,'2021-22 School Level AAFTE'!$C:$I,7,FALSE)</f>
        <v>212.03</v>
      </c>
      <c r="I1285" s="112">
        <f>IFERROR(IF(OR(G1285="yes",F1285= "yes"),VLOOKUP(C1285,Summary!$B:$J,6,0),0),0)</f>
        <v>0</v>
      </c>
      <c r="J1285" s="111">
        <f t="shared" si="240"/>
        <v>212.03</v>
      </c>
      <c r="K1285" s="91">
        <f>VLOOKUP($A1285,'2022-23 Salary &amp; Benefits'!$A:$I,3,FALSE)</f>
        <v>1.03</v>
      </c>
      <c r="L1285" s="91">
        <f>VLOOKUP($A1285,'2022-23 Salary &amp; Benefits'!$A:$I,4,FALSE)</f>
        <v>1.03</v>
      </c>
      <c r="M1285" s="39">
        <f t="shared" si="247"/>
        <v>212.03</v>
      </c>
      <c r="N1285" s="24">
        <v>15</v>
      </c>
      <c r="O1285" s="26">
        <f t="shared" si="238"/>
        <v>14.135333333333334</v>
      </c>
      <c r="P1285" s="24">
        <v>1.1000000000000001</v>
      </c>
      <c r="Q1285" s="24">
        <v>36</v>
      </c>
      <c r="R1285" s="27">
        <f t="shared" si="239"/>
        <v>559.75920000000008</v>
      </c>
      <c r="S1285" s="102">
        <f t="shared" si="241"/>
        <v>0.622</v>
      </c>
      <c r="T1285" s="21">
        <f>VLOOKUP($A1285,'2022-23 Salary &amp; Benefits'!$A:$I,5,FALSE)</f>
        <v>68937</v>
      </c>
      <c r="U1285" s="21">
        <f>VLOOKUP($A1285,'2022-23 Salary &amp; Benefits'!$A:$I,6,FALSE)</f>
        <v>72728</v>
      </c>
      <c r="V1285" s="22">
        <f t="shared" si="242"/>
        <v>44165.18</v>
      </c>
      <c r="W1285" s="22">
        <f t="shared" si="243"/>
        <v>2428.739999999998</v>
      </c>
      <c r="X1285" s="22">
        <f>'2022-23 Salary &amp; Benefits'!$G$6</f>
        <v>12558.24</v>
      </c>
      <c r="Y1285" s="23">
        <f>'2022-23 Salary &amp; Benefits'!$H$6</f>
        <v>0.2298</v>
      </c>
      <c r="Z1285" s="23">
        <f>'2022-23 Salary &amp; Benefits'!$I$6</f>
        <v>0.22339999999999999</v>
      </c>
      <c r="AA1285" s="22">
        <f t="shared" si="244"/>
        <v>18502.96</v>
      </c>
      <c r="AB1285" s="22">
        <f t="shared" si="245"/>
        <v>776.57</v>
      </c>
      <c r="AC1285" s="22">
        <f t="shared" si="246"/>
        <v>173.49</v>
      </c>
      <c r="AD1285" s="22">
        <f t="shared" si="248"/>
        <v>950.06000000000006</v>
      </c>
      <c r="AE1285" s="22">
        <f t="shared" si="249"/>
        <v>66046.94</v>
      </c>
      <c r="AF1285" s="19" t="str">
        <f>VLOOKUP(C1285,'2021-22 School Level AAFTE'!C:N,12,FALSE)</f>
        <v>No</v>
      </c>
    </row>
    <row r="1286" spans="1:32" s="5" customFormat="1">
      <c r="A1286" s="97" t="s">
        <v>2516</v>
      </c>
      <c r="B1286" s="97" t="s">
        <v>1975</v>
      </c>
      <c r="C1286" s="95">
        <v>5682</v>
      </c>
      <c r="D1286" s="95" t="s">
        <v>3031</v>
      </c>
      <c r="E1286" s="129">
        <f>VLOOKUP($C1286,'2021-22 School Level AAFTE'!$C:$Z,11,FALSE)</f>
        <v>0.1905</v>
      </c>
      <c r="F1286" s="129" t="str">
        <f>VLOOKUP($C1286,'2021-22 School Level AAFTE'!$C:$Z,8,FALSE)</f>
        <v>No</v>
      </c>
      <c r="G1286" s="129" t="str">
        <f>VLOOKUP($C1286,'2021-22 School Level AAFTE'!$C:$Z,12,FALSE)</f>
        <v>No</v>
      </c>
      <c r="H1286" s="127">
        <f>VLOOKUP($C1286,'2021-22 School Level AAFTE'!$C:$I,7,FALSE)</f>
        <v>39.01</v>
      </c>
      <c r="I1286" s="112">
        <f>IFERROR(IF(OR(G1286="yes",F1286= "yes"),VLOOKUP(C1286,Summary!$B:$J,6,0),0),0)</f>
        <v>0</v>
      </c>
      <c r="J1286" s="111">
        <f t="shared" si="240"/>
        <v>0</v>
      </c>
      <c r="K1286" s="91">
        <f>VLOOKUP($A1286,'2022-23 Salary &amp; Benefits'!$A:$I,3,FALSE)</f>
        <v>1.03</v>
      </c>
      <c r="L1286" s="91">
        <f>VLOOKUP($A1286,'2022-23 Salary &amp; Benefits'!$A:$I,4,FALSE)</f>
        <v>1.03</v>
      </c>
      <c r="M1286" s="39">
        <f t="shared" si="247"/>
        <v>0</v>
      </c>
      <c r="N1286" s="24">
        <v>15</v>
      </c>
      <c r="O1286" s="26">
        <f t="shared" si="238"/>
        <v>0</v>
      </c>
      <c r="P1286" s="24">
        <v>1.1000000000000001</v>
      </c>
      <c r="Q1286" s="24">
        <v>36</v>
      </c>
      <c r="R1286" s="27">
        <f t="shared" si="239"/>
        <v>0</v>
      </c>
      <c r="S1286" s="102">
        <f t="shared" si="241"/>
        <v>0</v>
      </c>
      <c r="T1286" s="21">
        <f>VLOOKUP($A1286,'2022-23 Salary &amp; Benefits'!$A:$I,5,FALSE)</f>
        <v>68937</v>
      </c>
      <c r="U1286" s="21">
        <f>VLOOKUP($A1286,'2022-23 Salary &amp; Benefits'!$A:$I,6,FALSE)</f>
        <v>72728</v>
      </c>
      <c r="V1286" s="22">
        <f t="shared" si="242"/>
        <v>0</v>
      </c>
      <c r="W1286" s="22">
        <f t="shared" si="243"/>
        <v>0</v>
      </c>
      <c r="X1286" s="22">
        <f>'2022-23 Salary &amp; Benefits'!$G$6</f>
        <v>12558.24</v>
      </c>
      <c r="Y1286" s="23">
        <f>'2022-23 Salary &amp; Benefits'!$H$6</f>
        <v>0.2298</v>
      </c>
      <c r="Z1286" s="23">
        <f>'2022-23 Salary &amp; Benefits'!$I$6</f>
        <v>0.22339999999999999</v>
      </c>
      <c r="AA1286" s="22">
        <f t="shared" si="244"/>
        <v>0</v>
      </c>
      <c r="AB1286" s="22">
        <f t="shared" si="245"/>
        <v>0</v>
      </c>
      <c r="AC1286" s="22">
        <f t="shared" si="246"/>
        <v>0</v>
      </c>
      <c r="AD1286" s="22">
        <f t="shared" si="248"/>
        <v>0</v>
      </c>
      <c r="AE1286" s="22">
        <f t="shared" si="249"/>
        <v>0</v>
      </c>
      <c r="AF1286" s="19" t="str">
        <f>VLOOKUP(C1286,'2021-22 School Level AAFTE'!C:N,12,FALSE)</f>
        <v>No</v>
      </c>
    </row>
    <row r="1287" spans="1:32" s="5" customFormat="1">
      <c r="A1287" s="97" t="s">
        <v>2516</v>
      </c>
      <c r="B1287" s="97" t="s">
        <v>1975</v>
      </c>
      <c r="C1287" s="95">
        <v>5683</v>
      </c>
      <c r="D1287" s="95" t="s">
        <v>3032</v>
      </c>
      <c r="E1287" s="129">
        <f>VLOOKUP($C1287,'2021-22 School Level AAFTE'!$C:$Z,11,FALSE)</f>
        <v>0.46689999999999998</v>
      </c>
      <c r="F1287" s="129" t="str">
        <f>VLOOKUP($C1287,'2021-22 School Level AAFTE'!$C:$Z,8,FALSE)</f>
        <v>No</v>
      </c>
      <c r="G1287" s="129" t="str">
        <f>VLOOKUP($C1287,'2021-22 School Level AAFTE'!$C:$Z,12,FALSE)</f>
        <v>No</v>
      </c>
      <c r="H1287" s="127">
        <f>VLOOKUP($C1287,'2021-22 School Level AAFTE'!$C:$I,7,FALSE)</f>
        <v>611.74</v>
      </c>
      <c r="I1287" s="112">
        <f>IFERROR(IF(OR(G1287="yes",F1287= "yes"),VLOOKUP(C1287,Summary!$B:$J,6,0),0),0)</f>
        <v>0</v>
      </c>
      <c r="J1287" s="111">
        <f t="shared" si="240"/>
        <v>0</v>
      </c>
      <c r="K1287" s="91">
        <f>VLOOKUP($A1287,'2022-23 Salary &amp; Benefits'!$A:$I,3,FALSE)</f>
        <v>1.03</v>
      </c>
      <c r="L1287" s="91">
        <f>VLOOKUP($A1287,'2022-23 Salary &amp; Benefits'!$A:$I,4,FALSE)</f>
        <v>1.03</v>
      </c>
      <c r="M1287" s="39">
        <f t="shared" si="247"/>
        <v>0</v>
      </c>
      <c r="N1287" s="24">
        <v>15</v>
      </c>
      <c r="O1287" s="26">
        <f t="shared" si="238"/>
        <v>0</v>
      </c>
      <c r="P1287" s="24">
        <v>1.1000000000000001</v>
      </c>
      <c r="Q1287" s="24">
        <v>36</v>
      </c>
      <c r="R1287" s="27">
        <f t="shared" si="239"/>
        <v>0</v>
      </c>
      <c r="S1287" s="102">
        <f t="shared" si="241"/>
        <v>0</v>
      </c>
      <c r="T1287" s="21">
        <f>VLOOKUP($A1287,'2022-23 Salary &amp; Benefits'!$A:$I,5,FALSE)</f>
        <v>68937</v>
      </c>
      <c r="U1287" s="21">
        <f>VLOOKUP($A1287,'2022-23 Salary &amp; Benefits'!$A:$I,6,FALSE)</f>
        <v>72728</v>
      </c>
      <c r="V1287" s="22">
        <f t="shared" si="242"/>
        <v>0</v>
      </c>
      <c r="W1287" s="22">
        <f t="shared" si="243"/>
        <v>0</v>
      </c>
      <c r="X1287" s="22">
        <f>'2022-23 Salary &amp; Benefits'!$G$6</f>
        <v>12558.24</v>
      </c>
      <c r="Y1287" s="23">
        <f>'2022-23 Salary &amp; Benefits'!$H$6</f>
        <v>0.2298</v>
      </c>
      <c r="Z1287" s="23">
        <f>'2022-23 Salary &amp; Benefits'!$I$6</f>
        <v>0.22339999999999999</v>
      </c>
      <c r="AA1287" s="22">
        <f t="shared" si="244"/>
        <v>0</v>
      </c>
      <c r="AB1287" s="22">
        <f t="shared" si="245"/>
        <v>0</v>
      </c>
      <c r="AC1287" s="22">
        <f t="shared" si="246"/>
        <v>0</v>
      </c>
      <c r="AD1287" s="22">
        <f t="shared" si="248"/>
        <v>0</v>
      </c>
      <c r="AE1287" s="22">
        <f t="shared" si="249"/>
        <v>0</v>
      </c>
      <c r="AF1287" s="19" t="str">
        <f>VLOOKUP(C1287,'2021-22 School Level AAFTE'!C:N,12,FALSE)</f>
        <v>No</v>
      </c>
    </row>
    <row r="1288" spans="1:32" s="5" customFormat="1">
      <c r="A1288" s="97" t="s">
        <v>2513</v>
      </c>
      <c r="B1288" s="97" t="s">
        <v>1955</v>
      </c>
      <c r="C1288" s="95">
        <v>2062</v>
      </c>
      <c r="D1288" s="95" t="s">
        <v>1956</v>
      </c>
      <c r="E1288" s="129">
        <f>VLOOKUP($C1288,'2021-22 School Level AAFTE'!$C:$Z,11,FALSE)</f>
        <v>0.79059999999999997</v>
      </c>
      <c r="F1288" s="129" t="str">
        <f>VLOOKUP($C1288,'2021-22 School Level AAFTE'!$C:$Z,8,FALSE)</f>
        <v>Yes</v>
      </c>
      <c r="G1288" s="129" t="str">
        <f>VLOOKUP($C1288,'2021-22 School Level AAFTE'!$C:$Z,12,FALSE)</f>
        <v>No</v>
      </c>
      <c r="H1288" s="127">
        <f>VLOOKUP($C1288,'2021-22 School Level AAFTE'!$C:$I,7,FALSE)</f>
        <v>101.59</v>
      </c>
      <c r="I1288" s="112">
        <f>IFERROR(IF(OR(G1288="yes",F1288= "yes"),VLOOKUP(C1288,Summary!$B:$J,6,0),0),0)</f>
        <v>0</v>
      </c>
      <c r="J1288" s="111">
        <f t="shared" si="240"/>
        <v>101.59</v>
      </c>
      <c r="K1288" s="91">
        <f>VLOOKUP($A1288,'2022-23 Salary &amp; Benefits'!$A:$I,3,FALSE)</f>
        <v>1</v>
      </c>
      <c r="L1288" s="91">
        <f>VLOOKUP($A1288,'2022-23 Salary &amp; Benefits'!$A:$I,4,FALSE)</f>
        <v>1</v>
      </c>
      <c r="M1288" s="39">
        <f t="shared" si="247"/>
        <v>101.59</v>
      </c>
      <c r="N1288" s="24">
        <v>15</v>
      </c>
      <c r="O1288" s="26">
        <f t="shared" si="238"/>
        <v>6.7726666666666668</v>
      </c>
      <c r="P1288" s="24">
        <v>1.1000000000000001</v>
      </c>
      <c r="Q1288" s="24">
        <v>36</v>
      </c>
      <c r="R1288" s="27">
        <f t="shared" si="239"/>
        <v>268.19760000000002</v>
      </c>
      <c r="S1288" s="102">
        <f t="shared" si="241"/>
        <v>0.29799999999999999</v>
      </c>
      <c r="T1288" s="21">
        <f>VLOOKUP($A1288,'2022-23 Salary &amp; Benefits'!$A:$I,5,FALSE)</f>
        <v>68937</v>
      </c>
      <c r="U1288" s="21">
        <f>VLOOKUP($A1288,'2022-23 Salary &amp; Benefits'!$A:$I,6,FALSE)</f>
        <v>72728</v>
      </c>
      <c r="V1288" s="22">
        <f t="shared" si="242"/>
        <v>20543.23</v>
      </c>
      <c r="W1288" s="22">
        <f t="shared" si="243"/>
        <v>1129.7099999999991</v>
      </c>
      <c r="X1288" s="22">
        <f>'2022-23 Salary &amp; Benefits'!$G$6</f>
        <v>12558.24</v>
      </c>
      <c r="Y1288" s="23">
        <f>'2022-23 Salary &amp; Benefits'!$H$6</f>
        <v>0.2298</v>
      </c>
      <c r="Z1288" s="23">
        <f>'2022-23 Salary &amp; Benefits'!$I$6</f>
        <v>0.22339999999999999</v>
      </c>
      <c r="AA1288" s="22">
        <f t="shared" si="244"/>
        <v>8715.57</v>
      </c>
      <c r="AB1288" s="22">
        <f t="shared" si="245"/>
        <v>361.22</v>
      </c>
      <c r="AC1288" s="22">
        <f t="shared" si="246"/>
        <v>80.7</v>
      </c>
      <c r="AD1288" s="22">
        <f t="shared" si="248"/>
        <v>441.92</v>
      </c>
      <c r="AE1288" s="22">
        <f t="shared" si="249"/>
        <v>30830.429999999997</v>
      </c>
      <c r="AF1288" s="19" t="str">
        <f>VLOOKUP(C1288,'2021-22 School Level AAFTE'!C:N,12,FALSE)</f>
        <v>No</v>
      </c>
    </row>
    <row r="1289" spans="1:32" s="5" customFormat="1">
      <c r="A1289" s="97" t="s">
        <v>2513</v>
      </c>
      <c r="B1289" s="97" t="s">
        <v>1955</v>
      </c>
      <c r="C1289" s="95">
        <v>2958</v>
      </c>
      <c r="D1289" s="95" t="s">
        <v>1957</v>
      </c>
      <c r="E1289" s="129">
        <f>VLOOKUP($C1289,'2021-22 School Level AAFTE'!$C:$Z,11,FALSE)</f>
        <v>0.76273333333333337</v>
      </c>
      <c r="F1289" s="129" t="str">
        <f>VLOOKUP($C1289,'2021-22 School Level AAFTE'!$C:$Z,8,FALSE)</f>
        <v>Yes</v>
      </c>
      <c r="G1289" s="129" t="str">
        <f>VLOOKUP($C1289,'2021-22 School Level AAFTE'!$C:$Z,12,FALSE)</f>
        <v>No</v>
      </c>
      <c r="H1289" s="127">
        <f>VLOOKUP($C1289,'2021-22 School Level AAFTE'!$C:$I,7,FALSE)</f>
        <v>42.94</v>
      </c>
      <c r="I1289" s="112">
        <f>IFERROR(IF(OR(G1289="yes",F1289= "yes"),VLOOKUP(C1289,Summary!$B:$J,6,0),0),0)</f>
        <v>0</v>
      </c>
      <c r="J1289" s="111">
        <f t="shared" si="240"/>
        <v>42.94</v>
      </c>
      <c r="K1289" s="91">
        <f>VLOOKUP($A1289,'2022-23 Salary &amp; Benefits'!$A:$I,3,FALSE)</f>
        <v>1</v>
      </c>
      <c r="L1289" s="91">
        <f>VLOOKUP($A1289,'2022-23 Salary &amp; Benefits'!$A:$I,4,FALSE)</f>
        <v>1</v>
      </c>
      <c r="M1289" s="39">
        <f t="shared" si="247"/>
        <v>42.94</v>
      </c>
      <c r="N1289" s="24">
        <v>15</v>
      </c>
      <c r="O1289" s="26">
        <f t="shared" si="238"/>
        <v>2.8626666666666667</v>
      </c>
      <c r="P1289" s="24">
        <v>1.1000000000000001</v>
      </c>
      <c r="Q1289" s="24">
        <v>36</v>
      </c>
      <c r="R1289" s="27">
        <f t="shared" si="239"/>
        <v>113.36160000000001</v>
      </c>
      <c r="S1289" s="102">
        <f t="shared" si="241"/>
        <v>0.126</v>
      </c>
      <c r="T1289" s="21">
        <f>VLOOKUP($A1289,'2022-23 Salary &amp; Benefits'!$A:$I,5,FALSE)</f>
        <v>68937</v>
      </c>
      <c r="U1289" s="21">
        <f>VLOOKUP($A1289,'2022-23 Salary &amp; Benefits'!$A:$I,6,FALSE)</f>
        <v>72728</v>
      </c>
      <c r="V1289" s="22">
        <f t="shared" si="242"/>
        <v>8686.06</v>
      </c>
      <c r="W1289" s="22">
        <f t="shared" si="243"/>
        <v>477.67000000000007</v>
      </c>
      <c r="X1289" s="22">
        <f>'2022-23 Salary &amp; Benefits'!$G$6</f>
        <v>12558.24</v>
      </c>
      <c r="Y1289" s="23">
        <f>'2022-23 Salary &amp; Benefits'!$H$6</f>
        <v>0.2298</v>
      </c>
      <c r="Z1289" s="23">
        <f>'2022-23 Salary &amp; Benefits'!$I$6</f>
        <v>0.22339999999999999</v>
      </c>
      <c r="AA1289" s="22">
        <f t="shared" si="244"/>
        <v>3685.11</v>
      </c>
      <c r="AB1289" s="22">
        <f t="shared" si="245"/>
        <v>152.72999999999999</v>
      </c>
      <c r="AC1289" s="22">
        <f t="shared" si="246"/>
        <v>34.119999999999997</v>
      </c>
      <c r="AD1289" s="22">
        <f t="shared" si="248"/>
        <v>186.85</v>
      </c>
      <c r="AE1289" s="22">
        <f t="shared" si="249"/>
        <v>13035.69</v>
      </c>
      <c r="AF1289" s="19" t="str">
        <f>VLOOKUP(C1289,'2021-22 School Level AAFTE'!C:N,12,FALSE)</f>
        <v>No</v>
      </c>
    </row>
    <row r="1290" spans="1:32" s="5" customFormat="1">
      <c r="A1290" s="97" t="s">
        <v>2513</v>
      </c>
      <c r="B1290" s="97" t="s">
        <v>1955</v>
      </c>
      <c r="C1290" s="95">
        <v>5252</v>
      </c>
      <c r="D1290" s="95" t="s">
        <v>1958</v>
      </c>
      <c r="E1290" s="129">
        <f>VLOOKUP($C1290,'2021-22 School Level AAFTE'!$C:$Z,11,FALSE)</f>
        <v>0.25430000000000003</v>
      </c>
      <c r="F1290" s="129" t="str">
        <f>VLOOKUP($C1290,'2021-22 School Level AAFTE'!$C:$Z,8,FALSE)</f>
        <v>No</v>
      </c>
      <c r="G1290" s="129" t="str">
        <f>VLOOKUP($C1290,'2021-22 School Level AAFTE'!$C:$Z,12,FALSE)</f>
        <v>No</v>
      </c>
      <c r="H1290" s="127">
        <f>VLOOKUP($C1290,'2021-22 School Level AAFTE'!$C:$I,7,FALSE)</f>
        <v>107.19</v>
      </c>
      <c r="I1290" s="112">
        <f>IFERROR(IF(OR(G1290="yes",F1290= "yes"),VLOOKUP(C1290,Summary!$B:$J,6,0),0),0)</f>
        <v>0</v>
      </c>
      <c r="J1290" s="111">
        <f t="shared" si="240"/>
        <v>0</v>
      </c>
      <c r="K1290" s="91">
        <f>VLOOKUP($A1290,'2022-23 Salary &amp; Benefits'!$A:$I,3,FALSE)</f>
        <v>1</v>
      </c>
      <c r="L1290" s="91">
        <f>VLOOKUP($A1290,'2022-23 Salary &amp; Benefits'!$A:$I,4,FALSE)</f>
        <v>1</v>
      </c>
      <c r="M1290" s="39">
        <f t="shared" si="247"/>
        <v>0</v>
      </c>
      <c r="N1290" s="24">
        <v>15</v>
      </c>
      <c r="O1290" s="26">
        <f t="shared" ref="O1290:O1353" si="250">IF(M1290="no",0,M1290/N1290)</f>
        <v>0</v>
      </c>
      <c r="P1290" s="24">
        <v>1.1000000000000001</v>
      </c>
      <c r="Q1290" s="24">
        <v>36</v>
      </c>
      <c r="R1290" s="27">
        <f t="shared" ref="R1290:R1353" si="251">IF(M1290="no",0,O1290*P1290*Q1290)</f>
        <v>0</v>
      </c>
      <c r="S1290" s="102">
        <f t="shared" si="241"/>
        <v>0</v>
      </c>
      <c r="T1290" s="21">
        <f>VLOOKUP($A1290,'2022-23 Salary &amp; Benefits'!$A:$I,5,FALSE)</f>
        <v>68937</v>
      </c>
      <c r="U1290" s="21">
        <f>VLOOKUP($A1290,'2022-23 Salary &amp; Benefits'!$A:$I,6,FALSE)</f>
        <v>72728</v>
      </c>
      <c r="V1290" s="22">
        <f t="shared" si="242"/>
        <v>0</v>
      </c>
      <c r="W1290" s="22">
        <f t="shared" si="243"/>
        <v>0</v>
      </c>
      <c r="X1290" s="22">
        <f>'2022-23 Salary &amp; Benefits'!$G$6</f>
        <v>12558.24</v>
      </c>
      <c r="Y1290" s="23">
        <f>'2022-23 Salary &amp; Benefits'!$H$6</f>
        <v>0.2298</v>
      </c>
      <c r="Z1290" s="23">
        <f>'2022-23 Salary &amp; Benefits'!$I$6</f>
        <v>0.22339999999999999</v>
      </c>
      <c r="AA1290" s="22">
        <f t="shared" si="244"/>
        <v>0</v>
      </c>
      <c r="AB1290" s="22">
        <f t="shared" si="245"/>
        <v>0</v>
      </c>
      <c r="AC1290" s="22">
        <f t="shared" si="246"/>
        <v>0</v>
      </c>
      <c r="AD1290" s="22">
        <f t="shared" si="248"/>
        <v>0</v>
      </c>
      <c r="AE1290" s="22">
        <f t="shared" si="249"/>
        <v>0</v>
      </c>
      <c r="AF1290" s="19" t="str">
        <f>VLOOKUP(C1290,'2021-22 School Level AAFTE'!C:N,12,FALSE)</f>
        <v>No</v>
      </c>
    </row>
    <row r="1291" spans="1:32" s="5" customFormat="1">
      <c r="A1291" s="97" t="s">
        <v>2366</v>
      </c>
      <c r="B1291" s="97" t="s">
        <v>979</v>
      </c>
      <c r="C1291" s="95">
        <v>1814</v>
      </c>
      <c r="D1291" s="95" t="s">
        <v>980</v>
      </c>
      <c r="E1291" s="129">
        <f>VLOOKUP($C1291,'2021-22 School Level AAFTE'!$C:$Z,11,FALSE)</f>
        <v>8.4466666666666676E-2</v>
      </c>
      <c r="F1291" s="129" t="str">
        <f>VLOOKUP($C1291,'2021-22 School Level AAFTE'!$C:$Z,8,FALSE)</f>
        <v>No</v>
      </c>
      <c r="G1291" s="129" t="str">
        <f>VLOOKUP($C1291,'2021-22 School Level AAFTE'!$C:$Z,12,FALSE)</f>
        <v>No</v>
      </c>
      <c r="H1291" s="127">
        <f>VLOOKUP($C1291,'2021-22 School Level AAFTE'!$C:$I,7,FALSE)</f>
        <v>326.45000000000005</v>
      </c>
      <c r="I1291" s="112">
        <f>IFERROR(IF(OR(G1291="yes",F1291= "yes"),VLOOKUP(C1291,Summary!$B:$J,6,0),0),0)</f>
        <v>0</v>
      </c>
      <c r="J1291" s="111">
        <f t="shared" ref="J1291:J1354" si="252">IF(OR(G1291="yes",F1291= "yes"), H1291,0)</f>
        <v>0</v>
      </c>
      <c r="K1291" s="91">
        <f>VLOOKUP($A1291,'2022-23 Salary &amp; Benefits'!$A:$I,3,FALSE)</f>
        <v>1.18</v>
      </c>
      <c r="L1291" s="91">
        <f>VLOOKUP($A1291,'2022-23 Salary &amp; Benefits'!$A:$I,4,FALSE)</f>
        <v>1.18</v>
      </c>
      <c r="M1291" s="39">
        <f t="shared" si="247"/>
        <v>0</v>
      </c>
      <c r="N1291" s="24">
        <v>15</v>
      </c>
      <c r="O1291" s="26">
        <f t="shared" si="250"/>
        <v>0</v>
      </c>
      <c r="P1291" s="24">
        <v>1.1000000000000001</v>
      </c>
      <c r="Q1291" s="24">
        <v>36</v>
      </c>
      <c r="R1291" s="27">
        <f t="shared" si="251"/>
        <v>0</v>
      </c>
      <c r="S1291" s="102">
        <f t="shared" ref="S1291:S1354" si="253">ROUND(IF(M1291="no",0,R1291/900),3)</f>
        <v>0</v>
      </c>
      <c r="T1291" s="21">
        <f>VLOOKUP($A1291,'2022-23 Salary &amp; Benefits'!$A:$I,5,FALSE)</f>
        <v>68937</v>
      </c>
      <c r="U1291" s="21">
        <f>VLOOKUP($A1291,'2022-23 Salary &amp; Benefits'!$A:$I,6,FALSE)</f>
        <v>72728</v>
      </c>
      <c r="V1291" s="22">
        <f t="shared" ref="V1291:V1354" si="254">ROUND($K1291*$T1291*$S1291,2)</f>
        <v>0</v>
      </c>
      <c r="W1291" s="22">
        <f t="shared" ref="W1291:W1354" si="255">ROUND($L1291*$U1291*$S1291,2)-V1291</f>
        <v>0</v>
      </c>
      <c r="X1291" s="22">
        <f>'2022-23 Salary &amp; Benefits'!$G$6</f>
        <v>12558.24</v>
      </c>
      <c r="Y1291" s="23">
        <f>'2022-23 Salary &amp; Benefits'!$H$6</f>
        <v>0.2298</v>
      </c>
      <c r="Z1291" s="23">
        <f>'2022-23 Salary &amp; Benefits'!$I$6</f>
        <v>0.22339999999999999</v>
      </c>
      <c r="AA1291" s="22">
        <f t="shared" ref="AA1291:AA1354" si="256">ROUND(V1291*Y1291+W1291*Z1291+S1291*X1291,2)</f>
        <v>0</v>
      </c>
      <c r="AB1291" s="22">
        <f t="shared" ref="AB1291:AB1354" si="257">ROUND(($U1291*$L1291*$S1291/180*3),2)</f>
        <v>0</v>
      </c>
      <c r="AC1291" s="22">
        <f t="shared" ref="AC1291:AC1354" si="258">ROUND(AB1291*Z1291,2)</f>
        <v>0</v>
      </c>
      <c r="AD1291" s="22">
        <f t="shared" si="248"/>
        <v>0</v>
      </c>
      <c r="AE1291" s="22">
        <f t="shared" si="249"/>
        <v>0</v>
      </c>
      <c r="AF1291" s="19" t="str">
        <f>VLOOKUP(C1291,'2021-22 School Level AAFTE'!C:N,12,FALSE)</f>
        <v>No</v>
      </c>
    </row>
    <row r="1292" spans="1:32" s="5" customFormat="1">
      <c r="A1292" s="97" t="s">
        <v>2366</v>
      </c>
      <c r="B1292" s="97" t="s">
        <v>979</v>
      </c>
      <c r="C1292" s="95">
        <v>1815</v>
      </c>
      <c r="D1292" s="95" t="s">
        <v>981</v>
      </c>
      <c r="E1292" s="129">
        <f>VLOOKUP($C1292,'2021-22 School Level AAFTE'!$C:$Z,11,FALSE)</f>
        <v>8.3966666666666676E-2</v>
      </c>
      <c r="F1292" s="129" t="str">
        <f>VLOOKUP($C1292,'2021-22 School Level AAFTE'!$C:$Z,8,FALSE)</f>
        <v>No</v>
      </c>
      <c r="G1292" s="129" t="str">
        <f>VLOOKUP($C1292,'2021-22 School Level AAFTE'!$C:$Z,12,FALSE)</f>
        <v>No</v>
      </c>
      <c r="H1292" s="127">
        <f>VLOOKUP($C1292,'2021-22 School Level AAFTE'!$C:$I,7,FALSE)</f>
        <v>25.92</v>
      </c>
      <c r="I1292" s="112">
        <f>IFERROR(IF(OR(G1292="yes",F1292= "yes"),VLOOKUP(C1292,Summary!$B:$J,6,0),0),0)</f>
        <v>0</v>
      </c>
      <c r="J1292" s="111">
        <f t="shared" si="252"/>
        <v>0</v>
      </c>
      <c r="K1292" s="91">
        <f>VLOOKUP($A1292,'2022-23 Salary &amp; Benefits'!$A:$I,3,FALSE)</f>
        <v>1.18</v>
      </c>
      <c r="L1292" s="91">
        <f>VLOOKUP($A1292,'2022-23 Salary &amp; Benefits'!$A:$I,4,FALSE)</f>
        <v>1.18</v>
      </c>
      <c r="M1292" s="101">
        <f t="shared" si="247"/>
        <v>0</v>
      </c>
      <c r="N1292" s="24">
        <v>15</v>
      </c>
      <c r="O1292" s="26">
        <f t="shared" si="250"/>
        <v>0</v>
      </c>
      <c r="P1292" s="24">
        <v>1.1000000000000001</v>
      </c>
      <c r="Q1292" s="24">
        <v>36</v>
      </c>
      <c r="R1292" s="27">
        <f t="shared" si="251"/>
        <v>0</v>
      </c>
      <c r="S1292" s="102">
        <f t="shared" si="253"/>
        <v>0</v>
      </c>
      <c r="T1292" s="21">
        <f>VLOOKUP($A1292,'2022-23 Salary &amp; Benefits'!$A:$I,5,FALSE)</f>
        <v>68937</v>
      </c>
      <c r="U1292" s="21">
        <f>VLOOKUP($A1292,'2022-23 Salary &amp; Benefits'!$A:$I,6,FALSE)</f>
        <v>72728</v>
      </c>
      <c r="V1292" s="22">
        <f t="shared" si="254"/>
        <v>0</v>
      </c>
      <c r="W1292" s="22">
        <f t="shared" si="255"/>
        <v>0</v>
      </c>
      <c r="X1292" s="22">
        <f>'2022-23 Salary &amp; Benefits'!$G$6</f>
        <v>12558.24</v>
      </c>
      <c r="Y1292" s="23">
        <f>'2022-23 Salary &amp; Benefits'!$H$6</f>
        <v>0.2298</v>
      </c>
      <c r="Z1292" s="23">
        <f>'2022-23 Salary &amp; Benefits'!$I$6</f>
        <v>0.22339999999999999</v>
      </c>
      <c r="AA1292" s="22">
        <f t="shared" si="256"/>
        <v>0</v>
      </c>
      <c r="AB1292" s="22">
        <f t="shared" si="257"/>
        <v>0</v>
      </c>
      <c r="AC1292" s="22">
        <f t="shared" si="258"/>
        <v>0</v>
      </c>
      <c r="AD1292" s="22">
        <f t="shared" si="248"/>
        <v>0</v>
      </c>
      <c r="AE1292" s="22">
        <f t="shared" si="249"/>
        <v>0</v>
      </c>
      <c r="AF1292" s="19" t="str">
        <f>VLOOKUP(C1292,'2021-22 School Level AAFTE'!C:N,12,FALSE)</f>
        <v>No</v>
      </c>
    </row>
    <row r="1293" spans="1:32" s="5" customFormat="1">
      <c r="A1293" s="97" t="s">
        <v>2366</v>
      </c>
      <c r="B1293" s="97" t="s">
        <v>979</v>
      </c>
      <c r="C1293" s="95">
        <v>2993</v>
      </c>
      <c r="D1293" s="140" t="s">
        <v>982</v>
      </c>
      <c r="E1293" s="129">
        <f>VLOOKUP($C1293,'2021-22 School Level AAFTE'!$C:$Z,11,FALSE)</f>
        <v>0.30456666666666665</v>
      </c>
      <c r="F1293" s="129" t="str">
        <f>VLOOKUP($C1293,'2021-22 School Level AAFTE'!$C:$Z,8,FALSE)</f>
        <v>No</v>
      </c>
      <c r="G1293" s="129" t="str">
        <f>VLOOKUP($C1293,'2021-22 School Level AAFTE'!$C:$Z,12,FALSE)</f>
        <v>No</v>
      </c>
      <c r="H1293" s="127">
        <f>VLOOKUP($C1293,'2021-22 School Level AAFTE'!$C:$I,7,FALSE)</f>
        <v>383.27</v>
      </c>
      <c r="I1293" s="112">
        <f>IFERROR(IF(OR(G1293="yes",F1293= "yes"),VLOOKUP(C1293,Summary!$B:$J,6,0),0),0)</f>
        <v>0</v>
      </c>
      <c r="J1293" s="111">
        <f t="shared" si="252"/>
        <v>0</v>
      </c>
      <c r="K1293" s="91">
        <f>VLOOKUP($A1293,'2022-23 Salary &amp; Benefits'!$A:$I,3,FALSE)</f>
        <v>1.18</v>
      </c>
      <c r="L1293" s="91">
        <f>VLOOKUP($A1293,'2022-23 Salary &amp; Benefits'!$A:$I,4,FALSE)</f>
        <v>1.18</v>
      </c>
      <c r="M1293" s="101">
        <f t="shared" si="247"/>
        <v>0</v>
      </c>
      <c r="N1293" s="24">
        <v>15</v>
      </c>
      <c r="O1293" s="26">
        <f t="shared" si="250"/>
        <v>0</v>
      </c>
      <c r="P1293" s="24">
        <v>1.1000000000000001</v>
      </c>
      <c r="Q1293" s="24">
        <v>36</v>
      </c>
      <c r="R1293" s="27">
        <f t="shared" si="251"/>
        <v>0</v>
      </c>
      <c r="S1293" s="102">
        <f t="shared" si="253"/>
        <v>0</v>
      </c>
      <c r="T1293" s="21">
        <f>VLOOKUP($A1293,'2022-23 Salary &amp; Benefits'!$A:$I,5,FALSE)</f>
        <v>68937</v>
      </c>
      <c r="U1293" s="21">
        <f>VLOOKUP($A1293,'2022-23 Salary &amp; Benefits'!$A:$I,6,FALSE)</f>
        <v>72728</v>
      </c>
      <c r="V1293" s="22">
        <f t="shared" si="254"/>
        <v>0</v>
      </c>
      <c r="W1293" s="22">
        <f t="shared" si="255"/>
        <v>0</v>
      </c>
      <c r="X1293" s="22">
        <f>'2022-23 Salary &amp; Benefits'!$G$6</f>
        <v>12558.24</v>
      </c>
      <c r="Y1293" s="23">
        <f>'2022-23 Salary &amp; Benefits'!$H$6</f>
        <v>0.2298</v>
      </c>
      <c r="Z1293" s="23">
        <f>'2022-23 Salary &amp; Benefits'!$I$6</f>
        <v>0.22339999999999999</v>
      </c>
      <c r="AA1293" s="22">
        <f t="shared" si="256"/>
        <v>0</v>
      </c>
      <c r="AB1293" s="22">
        <f t="shared" si="257"/>
        <v>0</v>
      </c>
      <c r="AC1293" s="22">
        <f t="shared" si="258"/>
        <v>0</v>
      </c>
      <c r="AD1293" s="22">
        <f t="shared" si="248"/>
        <v>0</v>
      </c>
      <c r="AE1293" s="22">
        <f t="shared" si="249"/>
        <v>0</v>
      </c>
      <c r="AF1293" s="19" t="str">
        <f>VLOOKUP(C1293,'2021-22 School Level AAFTE'!C:N,12,FALSE)</f>
        <v>No</v>
      </c>
    </row>
    <row r="1294" spans="1:32" s="5" customFormat="1">
      <c r="A1294" s="97" t="s">
        <v>2366</v>
      </c>
      <c r="B1294" s="97" t="s">
        <v>979</v>
      </c>
      <c r="C1294" s="95">
        <v>3105</v>
      </c>
      <c r="D1294" s="95" t="s">
        <v>983</v>
      </c>
      <c r="E1294" s="129">
        <f>VLOOKUP($C1294,'2021-22 School Level AAFTE'!$C:$Z,11,FALSE)</f>
        <v>0.24086666666666667</v>
      </c>
      <c r="F1294" s="129" t="str">
        <f>VLOOKUP($C1294,'2021-22 School Level AAFTE'!$C:$Z,8,FALSE)</f>
        <v>No</v>
      </c>
      <c r="G1294" s="129" t="str">
        <f>VLOOKUP($C1294,'2021-22 School Level AAFTE'!$C:$Z,12,FALSE)</f>
        <v>No</v>
      </c>
      <c r="H1294" s="127">
        <f>VLOOKUP($C1294,'2021-22 School Level AAFTE'!$C:$I,7,FALSE)</f>
        <v>502.89</v>
      </c>
      <c r="I1294" s="112">
        <f>IFERROR(IF(OR(G1294="yes",F1294= "yes"),VLOOKUP(C1294,Summary!$B:$J,6,0),0),0)</f>
        <v>0</v>
      </c>
      <c r="J1294" s="111">
        <f t="shared" si="252"/>
        <v>0</v>
      </c>
      <c r="K1294" s="91">
        <f>VLOOKUP($A1294,'2022-23 Salary &amp; Benefits'!$A:$I,3,FALSE)</f>
        <v>1.18</v>
      </c>
      <c r="L1294" s="91">
        <f>VLOOKUP($A1294,'2022-23 Salary &amp; Benefits'!$A:$I,4,FALSE)</f>
        <v>1.18</v>
      </c>
      <c r="M1294" s="39">
        <f t="shared" si="247"/>
        <v>0</v>
      </c>
      <c r="N1294" s="24">
        <v>15</v>
      </c>
      <c r="O1294" s="26">
        <f t="shared" si="250"/>
        <v>0</v>
      </c>
      <c r="P1294" s="24">
        <v>1.1000000000000001</v>
      </c>
      <c r="Q1294" s="24">
        <v>36</v>
      </c>
      <c r="R1294" s="27">
        <f t="shared" si="251"/>
        <v>0</v>
      </c>
      <c r="S1294" s="102">
        <f t="shared" si="253"/>
        <v>0</v>
      </c>
      <c r="T1294" s="21">
        <f>VLOOKUP($A1294,'2022-23 Salary &amp; Benefits'!$A:$I,5,FALSE)</f>
        <v>68937</v>
      </c>
      <c r="U1294" s="21">
        <f>VLOOKUP($A1294,'2022-23 Salary &amp; Benefits'!$A:$I,6,FALSE)</f>
        <v>72728</v>
      </c>
      <c r="V1294" s="22">
        <f t="shared" si="254"/>
        <v>0</v>
      </c>
      <c r="W1294" s="22">
        <f t="shared" si="255"/>
        <v>0</v>
      </c>
      <c r="X1294" s="22">
        <f>'2022-23 Salary &amp; Benefits'!$G$6</f>
        <v>12558.24</v>
      </c>
      <c r="Y1294" s="23">
        <f>'2022-23 Salary &amp; Benefits'!$H$6</f>
        <v>0.2298</v>
      </c>
      <c r="Z1294" s="23">
        <f>'2022-23 Salary &amp; Benefits'!$I$6</f>
        <v>0.22339999999999999</v>
      </c>
      <c r="AA1294" s="22">
        <f t="shared" si="256"/>
        <v>0</v>
      </c>
      <c r="AB1294" s="22">
        <f t="shared" si="257"/>
        <v>0</v>
      </c>
      <c r="AC1294" s="22">
        <f t="shared" si="258"/>
        <v>0</v>
      </c>
      <c r="AD1294" s="22">
        <f t="shared" si="248"/>
        <v>0</v>
      </c>
      <c r="AE1294" s="22">
        <f t="shared" si="249"/>
        <v>0</v>
      </c>
      <c r="AF1294" s="19" t="str">
        <f>VLOOKUP(C1294,'2021-22 School Level AAFTE'!C:N,12,FALSE)</f>
        <v>No</v>
      </c>
    </row>
    <row r="1295" spans="1:32" s="5" customFormat="1">
      <c r="A1295" s="97" t="s">
        <v>2366</v>
      </c>
      <c r="B1295" s="97" t="s">
        <v>979</v>
      </c>
      <c r="C1295" s="95">
        <v>3106</v>
      </c>
      <c r="D1295" s="95" t="s">
        <v>984</v>
      </c>
      <c r="E1295" s="129">
        <f>VLOOKUP($C1295,'2021-22 School Level AAFTE'!$C:$Z,11,FALSE)</f>
        <v>0.16816666666666669</v>
      </c>
      <c r="F1295" s="129" t="str">
        <f>VLOOKUP($C1295,'2021-22 School Level AAFTE'!$C:$Z,8,FALSE)</f>
        <v>No</v>
      </c>
      <c r="G1295" s="129" t="str">
        <f>VLOOKUP($C1295,'2021-22 School Level AAFTE'!$C:$Z,12,FALSE)</f>
        <v>No</v>
      </c>
      <c r="H1295" s="127">
        <f>VLOOKUP($C1295,'2021-22 School Level AAFTE'!$C:$I,7,FALSE)</f>
        <v>1713.54</v>
      </c>
      <c r="I1295" s="112">
        <f>IFERROR(IF(OR(G1295="yes",F1295= "yes"),VLOOKUP(C1295,Summary!$B:$J,6,0),0),0)</f>
        <v>0</v>
      </c>
      <c r="J1295" s="111">
        <f t="shared" si="252"/>
        <v>0</v>
      </c>
      <c r="K1295" s="91">
        <f>VLOOKUP($A1295,'2022-23 Salary &amp; Benefits'!$A:$I,3,FALSE)</f>
        <v>1.18</v>
      </c>
      <c r="L1295" s="91">
        <f>VLOOKUP($A1295,'2022-23 Salary &amp; Benefits'!$A:$I,4,FALSE)</f>
        <v>1.18</v>
      </c>
      <c r="M1295" s="101">
        <f t="shared" si="247"/>
        <v>0</v>
      </c>
      <c r="N1295" s="24">
        <v>15</v>
      </c>
      <c r="O1295" s="26">
        <f t="shared" si="250"/>
        <v>0</v>
      </c>
      <c r="P1295" s="24">
        <v>1.1000000000000001</v>
      </c>
      <c r="Q1295" s="24">
        <v>36</v>
      </c>
      <c r="R1295" s="27">
        <f t="shared" si="251"/>
        <v>0</v>
      </c>
      <c r="S1295" s="102">
        <f t="shared" si="253"/>
        <v>0</v>
      </c>
      <c r="T1295" s="21">
        <f>VLOOKUP($A1295,'2022-23 Salary &amp; Benefits'!$A:$I,5,FALSE)</f>
        <v>68937</v>
      </c>
      <c r="U1295" s="21">
        <f>VLOOKUP($A1295,'2022-23 Salary &amp; Benefits'!$A:$I,6,FALSE)</f>
        <v>72728</v>
      </c>
      <c r="V1295" s="22">
        <f t="shared" si="254"/>
        <v>0</v>
      </c>
      <c r="W1295" s="22">
        <f t="shared" si="255"/>
        <v>0</v>
      </c>
      <c r="X1295" s="22">
        <f>'2022-23 Salary &amp; Benefits'!$G$6</f>
        <v>12558.24</v>
      </c>
      <c r="Y1295" s="23">
        <f>'2022-23 Salary &amp; Benefits'!$H$6</f>
        <v>0.2298</v>
      </c>
      <c r="Z1295" s="23">
        <f>'2022-23 Salary &amp; Benefits'!$I$6</f>
        <v>0.22339999999999999</v>
      </c>
      <c r="AA1295" s="22">
        <f t="shared" si="256"/>
        <v>0</v>
      </c>
      <c r="AB1295" s="22">
        <f t="shared" si="257"/>
        <v>0</v>
      </c>
      <c r="AC1295" s="22">
        <f t="shared" si="258"/>
        <v>0</v>
      </c>
      <c r="AD1295" s="22">
        <f t="shared" si="248"/>
        <v>0</v>
      </c>
      <c r="AE1295" s="22">
        <f t="shared" si="249"/>
        <v>0</v>
      </c>
      <c r="AF1295" s="19" t="str">
        <f>VLOOKUP(C1295,'2021-22 School Level AAFTE'!C:N,12,FALSE)</f>
        <v>No</v>
      </c>
    </row>
    <row r="1296" spans="1:32" s="5" customFormat="1">
      <c r="A1296" s="97" t="s">
        <v>2366</v>
      </c>
      <c r="B1296" s="97" t="s">
        <v>979</v>
      </c>
      <c r="C1296" s="95">
        <v>3107</v>
      </c>
      <c r="D1296" s="95" t="s">
        <v>985</v>
      </c>
      <c r="E1296" s="129">
        <f>VLOOKUP($C1296,'2021-22 School Level AAFTE'!$C:$Z,11,FALSE)</f>
        <v>0.1134</v>
      </c>
      <c r="F1296" s="129" t="str">
        <f>VLOOKUP($C1296,'2021-22 School Level AAFTE'!$C:$Z,8,FALSE)</f>
        <v>No</v>
      </c>
      <c r="G1296" s="129" t="str">
        <f>VLOOKUP($C1296,'2021-22 School Level AAFTE'!$C:$Z,12,FALSE)</f>
        <v>No</v>
      </c>
      <c r="H1296" s="127">
        <f>VLOOKUP($C1296,'2021-22 School Level AAFTE'!$C:$I,7,FALSE)</f>
        <v>322.5</v>
      </c>
      <c r="I1296" s="112">
        <f>IFERROR(IF(OR(G1296="yes",F1296= "yes"),VLOOKUP(C1296,Summary!$B:$J,6,0),0),0)</f>
        <v>0</v>
      </c>
      <c r="J1296" s="111">
        <f t="shared" si="252"/>
        <v>0</v>
      </c>
      <c r="K1296" s="91">
        <f>VLOOKUP($A1296,'2022-23 Salary &amp; Benefits'!$A:$I,3,FALSE)</f>
        <v>1.18</v>
      </c>
      <c r="L1296" s="91">
        <f>VLOOKUP($A1296,'2022-23 Salary &amp; Benefits'!$A:$I,4,FALSE)</f>
        <v>1.18</v>
      </c>
      <c r="M1296" s="101">
        <f t="shared" si="247"/>
        <v>0</v>
      </c>
      <c r="N1296" s="24">
        <v>15</v>
      </c>
      <c r="O1296" s="26">
        <f t="shared" si="250"/>
        <v>0</v>
      </c>
      <c r="P1296" s="24">
        <v>1.1000000000000001</v>
      </c>
      <c r="Q1296" s="24">
        <v>36</v>
      </c>
      <c r="R1296" s="27">
        <f t="shared" si="251"/>
        <v>0</v>
      </c>
      <c r="S1296" s="102">
        <f t="shared" si="253"/>
        <v>0</v>
      </c>
      <c r="T1296" s="21">
        <f>VLOOKUP($A1296,'2022-23 Salary &amp; Benefits'!$A:$I,5,FALSE)</f>
        <v>68937</v>
      </c>
      <c r="U1296" s="21">
        <f>VLOOKUP($A1296,'2022-23 Salary &amp; Benefits'!$A:$I,6,FALSE)</f>
        <v>72728</v>
      </c>
      <c r="V1296" s="22">
        <f t="shared" si="254"/>
        <v>0</v>
      </c>
      <c r="W1296" s="22">
        <f t="shared" si="255"/>
        <v>0</v>
      </c>
      <c r="X1296" s="22">
        <f>'2022-23 Salary &amp; Benefits'!$G$6</f>
        <v>12558.24</v>
      </c>
      <c r="Y1296" s="23">
        <f>'2022-23 Salary &amp; Benefits'!$H$6</f>
        <v>0.2298</v>
      </c>
      <c r="Z1296" s="23">
        <f>'2022-23 Salary &amp; Benefits'!$I$6</f>
        <v>0.22339999999999999</v>
      </c>
      <c r="AA1296" s="22">
        <f t="shared" si="256"/>
        <v>0</v>
      </c>
      <c r="AB1296" s="22">
        <f t="shared" si="257"/>
        <v>0</v>
      </c>
      <c r="AC1296" s="22">
        <f t="shared" si="258"/>
        <v>0</v>
      </c>
      <c r="AD1296" s="22">
        <f t="shared" si="248"/>
        <v>0</v>
      </c>
      <c r="AE1296" s="22">
        <f t="shared" si="249"/>
        <v>0</v>
      </c>
      <c r="AF1296" s="19" t="str">
        <f>VLOOKUP(C1296,'2021-22 School Level AAFTE'!C:N,12,FALSE)</f>
        <v>No</v>
      </c>
    </row>
    <row r="1297" spans="1:32" s="5" customFormat="1">
      <c r="A1297" s="97" t="s">
        <v>2366</v>
      </c>
      <c r="B1297" s="97" t="s">
        <v>979</v>
      </c>
      <c r="C1297" s="95">
        <v>3234</v>
      </c>
      <c r="D1297" s="95" t="s">
        <v>986</v>
      </c>
      <c r="E1297" s="129">
        <f>VLOOKUP($C1297,'2021-22 School Level AAFTE'!$C:$Z,11,FALSE)</f>
        <v>8.7099999999999997E-2</v>
      </c>
      <c r="F1297" s="129" t="str">
        <f>VLOOKUP($C1297,'2021-22 School Level AAFTE'!$C:$Z,8,FALSE)</f>
        <v>No</v>
      </c>
      <c r="G1297" s="129" t="str">
        <f>VLOOKUP($C1297,'2021-22 School Level AAFTE'!$C:$Z,12,FALSE)</f>
        <v>No</v>
      </c>
      <c r="H1297" s="127">
        <f>VLOOKUP($C1297,'2021-22 School Level AAFTE'!$C:$I,7,FALSE)</f>
        <v>288.48</v>
      </c>
      <c r="I1297" s="112">
        <f>IFERROR(IF(OR(G1297="yes",F1297= "yes"),VLOOKUP(C1297,Summary!$B:$J,6,0),0),0)</f>
        <v>0</v>
      </c>
      <c r="J1297" s="111">
        <f t="shared" si="252"/>
        <v>0</v>
      </c>
      <c r="K1297" s="91">
        <f>VLOOKUP($A1297,'2022-23 Salary &amp; Benefits'!$A:$I,3,FALSE)</f>
        <v>1.18</v>
      </c>
      <c r="L1297" s="91">
        <f>VLOOKUP($A1297,'2022-23 Salary &amp; Benefits'!$A:$I,4,FALSE)</f>
        <v>1.18</v>
      </c>
      <c r="M1297" s="39">
        <f t="shared" si="247"/>
        <v>0</v>
      </c>
      <c r="N1297" s="24">
        <v>15</v>
      </c>
      <c r="O1297" s="26">
        <f t="shared" si="250"/>
        <v>0</v>
      </c>
      <c r="P1297" s="24">
        <v>1.1000000000000001</v>
      </c>
      <c r="Q1297" s="24">
        <v>36</v>
      </c>
      <c r="R1297" s="27">
        <f t="shared" si="251"/>
        <v>0</v>
      </c>
      <c r="S1297" s="102">
        <f t="shared" si="253"/>
        <v>0</v>
      </c>
      <c r="T1297" s="21">
        <f>VLOOKUP($A1297,'2022-23 Salary &amp; Benefits'!$A:$I,5,FALSE)</f>
        <v>68937</v>
      </c>
      <c r="U1297" s="21">
        <f>VLOOKUP($A1297,'2022-23 Salary &amp; Benefits'!$A:$I,6,FALSE)</f>
        <v>72728</v>
      </c>
      <c r="V1297" s="22">
        <f t="shared" si="254"/>
        <v>0</v>
      </c>
      <c r="W1297" s="22">
        <f t="shared" si="255"/>
        <v>0</v>
      </c>
      <c r="X1297" s="22">
        <f>'2022-23 Salary &amp; Benefits'!$G$6</f>
        <v>12558.24</v>
      </c>
      <c r="Y1297" s="23">
        <f>'2022-23 Salary &amp; Benefits'!$H$6</f>
        <v>0.2298</v>
      </c>
      <c r="Z1297" s="23">
        <f>'2022-23 Salary &amp; Benefits'!$I$6</f>
        <v>0.22339999999999999</v>
      </c>
      <c r="AA1297" s="22">
        <f t="shared" si="256"/>
        <v>0</v>
      </c>
      <c r="AB1297" s="22">
        <f t="shared" si="257"/>
        <v>0</v>
      </c>
      <c r="AC1297" s="22">
        <f t="shared" si="258"/>
        <v>0</v>
      </c>
      <c r="AD1297" s="22">
        <f t="shared" si="248"/>
        <v>0</v>
      </c>
      <c r="AE1297" s="22">
        <f t="shared" si="249"/>
        <v>0</v>
      </c>
      <c r="AF1297" s="19" t="str">
        <f>VLOOKUP(C1297,'2021-22 School Level AAFTE'!C:N,12,FALSE)</f>
        <v>No</v>
      </c>
    </row>
    <row r="1298" spans="1:32" s="5" customFormat="1">
      <c r="A1298" s="97" t="s">
        <v>2366</v>
      </c>
      <c r="B1298" s="97" t="s">
        <v>979</v>
      </c>
      <c r="C1298" s="95">
        <v>3287</v>
      </c>
      <c r="D1298" s="95" t="s">
        <v>987</v>
      </c>
      <c r="E1298" s="129">
        <f>VLOOKUP($C1298,'2021-22 School Level AAFTE'!$C:$Z,11,FALSE)</f>
        <v>0.13009999999999999</v>
      </c>
      <c r="F1298" s="129" t="str">
        <f>VLOOKUP($C1298,'2021-22 School Level AAFTE'!$C:$Z,8,FALSE)</f>
        <v>No</v>
      </c>
      <c r="G1298" s="129" t="str">
        <f>VLOOKUP($C1298,'2021-22 School Level AAFTE'!$C:$Z,12,FALSE)</f>
        <v>No</v>
      </c>
      <c r="H1298" s="127">
        <f>VLOOKUP($C1298,'2021-22 School Level AAFTE'!$C:$I,7,FALSE)</f>
        <v>409.77</v>
      </c>
      <c r="I1298" s="112">
        <f>IFERROR(IF(OR(G1298="yes",F1298= "yes"),VLOOKUP(C1298,Summary!$B:$J,6,0),0),0)</f>
        <v>0</v>
      </c>
      <c r="J1298" s="111">
        <f t="shared" si="252"/>
        <v>0</v>
      </c>
      <c r="K1298" s="91">
        <f>VLOOKUP($A1298,'2022-23 Salary &amp; Benefits'!$A:$I,3,FALSE)</f>
        <v>1.18</v>
      </c>
      <c r="L1298" s="91">
        <f>VLOOKUP($A1298,'2022-23 Salary &amp; Benefits'!$A:$I,4,FALSE)</f>
        <v>1.18</v>
      </c>
      <c r="M1298" s="39">
        <f t="shared" si="247"/>
        <v>0</v>
      </c>
      <c r="N1298" s="24">
        <v>15</v>
      </c>
      <c r="O1298" s="26">
        <f t="shared" si="250"/>
        <v>0</v>
      </c>
      <c r="P1298" s="24">
        <v>1.1000000000000001</v>
      </c>
      <c r="Q1298" s="24">
        <v>36</v>
      </c>
      <c r="R1298" s="27">
        <f t="shared" si="251"/>
        <v>0</v>
      </c>
      <c r="S1298" s="102">
        <f t="shared" si="253"/>
        <v>0</v>
      </c>
      <c r="T1298" s="21">
        <f>VLOOKUP($A1298,'2022-23 Salary &amp; Benefits'!$A:$I,5,FALSE)</f>
        <v>68937</v>
      </c>
      <c r="U1298" s="21">
        <f>VLOOKUP($A1298,'2022-23 Salary &amp; Benefits'!$A:$I,6,FALSE)</f>
        <v>72728</v>
      </c>
      <c r="V1298" s="22">
        <f t="shared" si="254"/>
        <v>0</v>
      </c>
      <c r="W1298" s="22">
        <f t="shared" si="255"/>
        <v>0</v>
      </c>
      <c r="X1298" s="22">
        <f>'2022-23 Salary &amp; Benefits'!$G$6</f>
        <v>12558.24</v>
      </c>
      <c r="Y1298" s="23">
        <f>'2022-23 Salary &amp; Benefits'!$H$6</f>
        <v>0.2298</v>
      </c>
      <c r="Z1298" s="23">
        <f>'2022-23 Salary &amp; Benefits'!$I$6</f>
        <v>0.22339999999999999</v>
      </c>
      <c r="AA1298" s="22">
        <f t="shared" si="256"/>
        <v>0</v>
      </c>
      <c r="AB1298" s="22">
        <f t="shared" si="257"/>
        <v>0</v>
      </c>
      <c r="AC1298" s="22">
        <f t="shared" si="258"/>
        <v>0</v>
      </c>
      <c r="AD1298" s="22">
        <f t="shared" si="248"/>
        <v>0</v>
      </c>
      <c r="AE1298" s="22">
        <f t="shared" si="249"/>
        <v>0</v>
      </c>
      <c r="AF1298" s="19" t="str">
        <f>VLOOKUP(C1298,'2021-22 School Level AAFTE'!C:N,12,FALSE)</f>
        <v>No</v>
      </c>
    </row>
    <row r="1299" spans="1:32" s="5" customFormat="1">
      <c r="A1299" s="97" t="s">
        <v>2366</v>
      </c>
      <c r="B1299" s="97" t="s">
        <v>979</v>
      </c>
      <c r="C1299" s="95">
        <v>3344</v>
      </c>
      <c r="D1299" s="95" t="s">
        <v>988</v>
      </c>
      <c r="E1299" s="129">
        <f>VLOOKUP($C1299,'2021-22 School Level AAFTE'!$C:$Z,11,FALSE)</f>
        <v>0.14536666666666667</v>
      </c>
      <c r="F1299" s="129" t="str">
        <f>VLOOKUP($C1299,'2021-22 School Level AAFTE'!$C:$Z,8,FALSE)</f>
        <v>No</v>
      </c>
      <c r="G1299" s="129" t="str">
        <f>VLOOKUP($C1299,'2021-22 School Level AAFTE'!$C:$Z,12,FALSE)</f>
        <v>No</v>
      </c>
      <c r="H1299" s="127">
        <f>VLOOKUP($C1299,'2021-22 School Level AAFTE'!$C:$I,7,FALSE)</f>
        <v>527.28</v>
      </c>
      <c r="I1299" s="112">
        <f>IFERROR(IF(OR(G1299="yes",F1299= "yes"),VLOOKUP(C1299,Summary!$B:$J,6,0),0),0)</f>
        <v>0</v>
      </c>
      <c r="J1299" s="111">
        <f t="shared" si="252"/>
        <v>0</v>
      </c>
      <c r="K1299" s="91">
        <f>VLOOKUP($A1299,'2022-23 Salary &amp; Benefits'!$A:$I,3,FALSE)</f>
        <v>1.18</v>
      </c>
      <c r="L1299" s="91">
        <f>VLOOKUP($A1299,'2022-23 Salary &amp; Benefits'!$A:$I,4,FALSE)</f>
        <v>1.18</v>
      </c>
      <c r="M1299" s="101">
        <f t="shared" si="247"/>
        <v>0</v>
      </c>
      <c r="N1299" s="24">
        <v>15</v>
      </c>
      <c r="O1299" s="26">
        <f t="shared" si="250"/>
        <v>0</v>
      </c>
      <c r="P1299" s="24">
        <v>1.1000000000000001</v>
      </c>
      <c r="Q1299" s="24">
        <v>36</v>
      </c>
      <c r="R1299" s="27">
        <f t="shared" si="251"/>
        <v>0</v>
      </c>
      <c r="S1299" s="102">
        <f t="shared" si="253"/>
        <v>0</v>
      </c>
      <c r="T1299" s="21">
        <f>VLOOKUP($A1299,'2022-23 Salary &amp; Benefits'!$A:$I,5,FALSE)</f>
        <v>68937</v>
      </c>
      <c r="U1299" s="21">
        <f>VLOOKUP($A1299,'2022-23 Salary &amp; Benefits'!$A:$I,6,FALSE)</f>
        <v>72728</v>
      </c>
      <c r="V1299" s="22">
        <f t="shared" si="254"/>
        <v>0</v>
      </c>
      <c r="W1299" s="22">
        <f t="shared" si="255"/>
        <v>0</v>
      </c>
      <c r="X1299" s="22">
        <f>'2022-23 Salary &amp; Benefits'!$G$6</f>
        <v>12558.24</v>
      </c>
      <c r="Y1299" s="23">
        <f>'2022-23 Salary &amp; Benefits'!$H$6</f>
        <v>0.2298</v>
      </c>
      <c r="Z1299" s="23">
        <f>'2022-23 Salary &amp; Benefits'!$I$6</f>
        <v>0.22339999999999999</v>
      </c>
      <c r="AA1299" s="22">
        <f t="shared" si="256"/>
        <v>0</v>
      </c>
      <c r="AB1299" s="22">
        <f t="shared" si="257"/>
        <v>0</v>
      </c>
      <c r="AC1299" s="22">
        <f t="shared" si="258"/>
        <v>0</v>
      </c>
      <c r="AD1299" s="22">
        <f t="shared" si="248"/>
        <v>0</v>
      </c>
      <c r="AE1299" s="22">
        <f t="shared" si="249"/>
        <v>0</v>
      </c>
      <c r="AF1299" s="19" t="str">
        <f>VLOOKUP(C1299,'2021-22 School Level AAFTE'!C:N,12,FALSE)</f>
        <v>No</v>
      </c>
    </row>
    <row r="1300" spans="1:32" s="5" customFormat="1">
      <c r="A1300" s="97" t="s">
        <v>2366</v>
      </c>
      <c r="B1300" s="97" t="s">
        <v>979</v>
      </c>
      <c r="C1300" s="95">
        <v>3345</v>
      </c>
      <c r="D1300" s="95" t="s">
        <v>989</v>
      </c>
      <c r="E1300" s="129">
        <f>VLOOKUP($C1300,'2021-22 School Level AAFTE'!$C:$Z,11,FALSE)</f>
        <v>0.22789999999999999</v>
      </c>
      <c r="F1300" s="129" t="str">
        <f>VLOOKUP($C1300,'2021-22 School Level AAFTE'!$C:$Z,8,FALSE)</f>
        <v>No</v>
      </c>
      <c r="G1300" s="129" t="str">
        <f>VLOOKUP($C1300,'2021-22 School Level AAFTE'!$C:$Z,12,FALSE)</f>
        <v>No</v>
      </c>
      <c r="H1300" s="127">
        <f>VLOOKUP($C1300,'2021-22 School Level AAFTE'!$C:$I,7,FALSE)</f>
        <v>721.33</v>
      </c>
      <c r="I1300" s="112">
        <f>IFERROR(IF(OR(G1300="yes",F1300= "yes"),VLOOKUP(C1300,Summary!$B:$J,6,0),0),0)</f>
        <v>0</v>
      </c>
      <c r="J1300" s="111">
        <f t="shared" si="252"/>
        <v>0</v>
      </c>
      <c r="K1300" s="91">
        <f>VLOOKUP($A1300,'2022-23 Salary &amp; Benefits'!$A:$I,3,FALSE)</f>
        <v>1.18</v>
      </c>
      <c r="L1300" s="91">
        <f>VLOOKUP($A1300,'2022-23 Salary &amp; Benefits'!$A:$I,4,FALSE)</f>
        <v>1.18</v>
      </c>
      <c r="M1300" s="101">
        <f t="shared" ref="M1300:M1359" si="259">IF(I1300&gt;0,I1300,J1300)</f>
        <v>0</v>
      </c>
      <c r="N1300" s="24">
        <v>15</v>
      </c>
      <c r="O1300" s="26">
        <f t="shared" si="250"/>
        <v>0</v>
      </c>
      <c r="P1300" s="24">
        <v>1.1000000000000001</v>
      </c>
      <c r="Q1300" s="24">
        <v>36</v>
      </c>
      <c r="R1300" s="27">
        <f t="shared" si="251"/>
        <v>0</v>
      </c>
      <c r="S1300" s="102">
        <f t="shared" si="253"/>
        <v>0</v>
      </c>
      <c r="T1300" s="21">
        <f>VLOOKUP($A1300,'2022-23 Salary &amp; Benefits'!$A:$I,5,FALSE)</f>
        <v>68937</v>
      </c>
      <c r="U1300" s="21">
        <f>VLOOKUP($A1300,'2022-23 Salary &amp; Benefits'!$A:$I,6,FALSE)</f>
        <v>72728</v>
      </c>
      <c r="V1300" s="22">
        <f t="shared" si="254"/>
        <v>0</v>
      </c>
      <c r="W1300" s="22">
        <f t="shared" si="255"/>
        <v>0</v>
      </c>
      <c r="X1300" s="22">
        <f>'2022-23 Salary &amp; Benefits'!$G$6</f>
        <v>12558.24</v>
      </c>
      <c r="Y1300" s="23">
        <f>'2022-23 Salary &amp; Benefits'!$H$6</f>
        <v>0.2298</v>
      </c>
      <c r="Z1300" s="23">
        <f>'2022-23 Salary &amp; Benefits'!$I$6</f>
        <v>0.22339999999999999</v>
      </c>
      <c r="AA1300" s="22">
        <f t="shared" si="256"/>
        <v>0</v>
      </c>
      <c r="AB1300" s="22">
        <f t="shared" si="257"/>
        <v>0</v>
      </c>
      <c r="AC1300" s="22">
        <f t="shared" si="258"/>
        <v>0</v>
      </c>
      <c r="AD1300" s="22">
        <f t="shared" ref="AD1300:AD1359" si="260">SUM(AB1300:AC1300)</f>
        <v>0</v>
      </c>
      <c r="AE1300" s="22">
        <f t="shared" ref="AE1300:AE1359" si="261">SUM(AA1300,V1300:W1300,AD1300)</f>
        <v>0</v>
      </c>
      <c r="AF1300" s="19" t="str">
        <f>VLOOKUP(C1300,'2021-22 School Level AAFTE'!C:N,12,FALSE)</f>
        <v>No</v>
      </c>
    </row>
    <row r="1301" spans="1:32" s="5" customFormat="1">
      <c r="A1301" s="97" t="s">
        <v>2366</v>
      </c>
      <c r="B1301" s="97" t="s">
        <v>979</v>
      </c>
      <c r="C1301" s="95">
        <v>3390</v>
      </c>
      <c r="D1301" s="95" t="s">
        <v>990</v>
      </c>
      <c r="E1301" s="129">
        <f>VLOOKUP($C1301,'2021-22 School Level AAFTE'!$C:$Z,11,FALSE)</f>
        <v>7.1833333333333318E-2</v>
      </c>
      <c r="F1301" s="129" t="str">
        <f>VLOOKUP($C1301,'2021-22 School Level AAFTE'!$C:$Z,8,FALSE)</f>
        <v>No</v>
      </c>
      <c r="G1301" s="129" t="str">
        <f>VLOOKUP($C1301,'2021-22 School Level AAFTE'!$C:$Z,12,FALSE)</f>
        <v>No</v>
      </c>
      <c r="H1301" s="127">
        <f>VLOOKUP($C1301,'2021-22 School Level AAFTE'!$C:$I,7,FALSE)</f>
        <v>564.57000000000005</v>
      </c>
      <c r="I1301" s="112">
        <f>IFERROR(IF(OR(G1301="yes",F1301= "yes"),VLOOKUP(C1301,Summary!$B:$J,6,0),0),0)</f>
        <v>0</v>
      </c>
      <c r="J1301" s="111">
        <f t="shared" si="252"/>
        <v>0</v>
      </c>
      <c r="K1301" s="91">
        <f>VLOOKUP($A1301,'2022-23 Salary &amp; Benefits'!$A:$I,3,FALSE)</f>
        <v>1.18</v>
      </c>
      <c r="L1301" s="91">
        <f>VLOOKUP($A1301,'2022-23 Salary &amp; Benefits'!$A:$I,4,FALSE)</f>
        <v>1.18</v>
      </c>
      <c r="M1301" s="101">
        <f t="shared" si="259"/>
        <v>0</v>
      </c>
      <c r="N1301" s="24">
        <v>15</v>
      </c>
      <c r="O1301" s="26">
        <f t="shared" si="250"/>
        <v>0</v>
      </c>
      <c r="P1301" s="24">
        <v>1.1000000000000001</v>
      </c>
      <c r="Q1301" s="24">
        <v>36</v>
      </c>
      <c r="R1301" s="27">
        <f t="shared" si="251"/>
        <v>0</v>
      </c>
      <c r="S1301" s="102">
        <f t="shared" si="253"/>
        <v>0</v>
      </c>
      <c r="T1301" s="21">
        <f>VLOOKUP($A1301,'2022-23 Salary &amp; Benefits'!$A:$I,5,FALSE)</f>
        <v>68937</v>
      </c>
      <c r="U1301" s="21">
        <f>VLOOKUP($A1301,'2022-23 Salary &amp; Benefits'!$A:$I,6,FALSE)</f>
        <v>72728</v>
      </c>
      <c r="V1301" s="22">
        <f t="shared" si="254"/>
        <v>0</v>
      </c>
      <c r="W1301" s="22">
        <f t="shared" si="255"/>
        <v>0</v>
      </c>
      <c r="X1301" s="22">
        <f>'2022-23 Salary &amp; Benefits'!$G$6</f>
        <v>12558.24</v>
      </c>
      <c r="Y1301" s="23">
        <f>'2022-23 Salary &amp; Benefits'!$H$6</f>
        <v>0.2298</v>
      </c>
      <c r="Z1301" s="23">
        <f>'2022-23 Salary &amp; Benefits'!$I$6</f>
        <v>0.22339999999999999</v>
      </c>
      <c r="AA1301" s="22">
        <f t="shared" si="256"/>
        <v>0</v>
      </c>
      <c r="AB1301" s="22">
        <f t="shared" si="257"/>
        <v>0</v>
      </c>
      <c r="AC1301" s="22">
        <f t="shared" si="258"/>
        <v>0</v>
      </c>
      <c r="AD1301" s="22">
        <f t="shared" si="260"/>
        <v>0</v>
      </c>
      <c r="AE1301" s="22">
        <f t="shared" si="261"/>
        <v>0</v>
      </c>
      <c r="AF1301" s="19" t="str">
        <f>VLOOKUP(C1301,'2021-22 School Level AAFTE'!C:N,12,FALSE)</f>
        <v>No</v>
      </c>
    </row>
    <row r="1302" spans="1:32" s="5" customFormat="1">
      <c r="A1302" s="97" t="s">
        <v>2366</v>
      </c>
      <c r="B1302" s="97" t="s">
        <v>979</v>
      </c>
      <c r="C1302" s="95">
        <v>3442</v>
      </c>
      <c r="D1302" s="95" t="s">
        <v>991</v>
      </c>
      <c r="E1302" s="129">
        <f>VLOOKUP($C1302,'2021-22 School Level AAFTE'!$C:$Z,11,FALSE)</f>
        <v>5.4900000000000004E-2</v>
      </c>
      <c r="F1302" s="129" t="str">
        <f>VLOOKUP($C1302,'2021-22 School Level AAFTE'!$C:$Z,8,FALSE)</f>
        <v>No</v>
      </c>
      <c r="G1302" s="129" t="str">
        <f>VLOOKUP($C1302,'2021-22 School Level AAFTE'!$C:$Z,12,FALSE)</f>
        <v>No</v>
      </c>
      <c r="H1302" s="127">
        <f>VLOOKUP($C1302,'2021-22 School Level AAFTE'!$C:$I,7,FALSE)</f>
        <v>624.51</v>
      </c>
      <c r="I1302" s="112">
        <f>IFERROR(IF(OR(G1302="yes",F1302= "yes"),VLOOKUP(C1302,Summary!$B:$J,6,0),0),0)</f>
        <v>0</v>
      </c>
      <c r="J1302" s="111">
        <f t="shared" si="252"/>
        <v>0</v>
      </c>
      <c r="K1302" s="91">
        <f>VLOOKUP($A1302,'2022-23 Salary &amp; Benefits'!$A:$I,3,FALSE)</f>
        <v>1.18</v>
      </c>
      <c r="L1302" s="91">
        <f>VLOOKUP($A1302,'2022-23 Salary &amp; Benefits'!$A:$I,4,FALSE)</f>
        <v>1.18</v>
      </c>
      <c r="M1302" s="39">
        <f t="shared" si="259"/>
        <v>0</v>
      </c>
      <c r="N1302" s="24">
        <v>15</v>
      </c>
      <c r="O1302" s="26">
        <f t="shared" si="250"/>
        <v>0</v>
      </c>
      <c r="P1302" s="24">
        <v>1.1000000000000001</v>
      </c>
      <c r="Q1302" s="24">
        <v>36</v>
      </c>
      <c r="R1302" s="27">
        <f t="shared" si="251"/>
        <v>0</v>
      </c>
      <c r="S1302" s="102">
        <f t="shared" si="253"/>
        <v>0</v>
      </c>
      <c r="T1302" s="21">
        <f>VLOOKUP($A1302,'2022-23 Salary &amp; Benefits'!$A:$I,5,FALSE)</f>
        <v>68937</v>
      </c>
      <c r="U1302" s="21">
        <f>VLOOKUP($A1302,'2022-23 Salary &amp; Benefits'!$A:$I,6,FALSE)</f>
        <v>72728</v>
      </c>
      <c r="V1302" s="22">
        <f t="shared" si="254"/>
        <v>0</v>
      </c>
      <c r="W1302" s="22">
        <f t="shared" si="255"/>
        <v>0</v>
      </c>
      <c r="X1302" s="22">
        <f>'2022-23 Salary &amp; Benefits'!$G$6</f>
        <v>12558.24</v>
      </c>
      <c r="Y1302" s="23">
        <f>'2022-23 Salary &amp; Benefits'!$H$6</f>
        <v>0.2298</v>
      </c>
      <c r="Z1302" s="23">
        <f>'2022-23 Salary &amp; Benefits'!$I$6</f>
        <v>0.22339999999999999</v>
      </c>
      <c r="AA1302" s="22">
        <f t="shared" si="256"/>
        <v>0</v>
      </c>
      <c r="AB1302" s="22">
        <f t="shared" si="257"/>
        <v>0</v>
      </c>
      <c r="AC1302" s="22">
        <f t="shared" si="258"/>
        <v>0</v>
      </c>
      <c r="AD1302" s="22">
        <f t="shared" si="260"/>
        <v>0</v>
      </c>
      <c r="AE1302" s="22">
        <f t="shared" si="261"/>
        <v>0</v>
      </c>
      <c r="AF1302" s="19" t="str">
        <f>VLOOKUP(C1302,'2021-22 School Level AAFTE'!C:N,12,FALSE)</f>
        <v>No</v>
      </c>
    </row>
    <row r="1303" spans="1:32" s="5" customFormat="1">
      <c r="A1303" s="97" t="s">
        <v>2366</v>
      </c>
      <c r="B1303" s="97" t="s">
        <v>979</v>
      </c>
      <c r="C1303" s="95">
        <v>3492</v>
      </c>
      <c r="D1303" s="95" t="s">
        <v>992</v>
      </c>
      <c r="E1303" s="129">
        <f>VLOOKUP($C1303,'2021-22 School Level AAFTE'!$C:$Z,11,FALSE)</f>
        <v>0.1555</v>
      </c>
      <c r="F1303" s="129" t="str">
        <f>VLOOKUP($C1303,'2021-22 School Level AAFTE'!$C:$Z,8,FALSE)</f>
        <v>No</v>
      </c>
      <c r="G1303" s="129" t="str">
        <f>VLOOKUP($C1303,'2021-22 School Level AAFTE'!$C:$Z,12,FALSE)</f>
        <v>No</v>
      </c>
      <c r="H1303" s="127">
        <f>VLOOKUP($C1303,'2021-22 School Level AAFTE'!$C:$I,7,FALSE)</f>
        <v>1534.6299999999999</v>
      </c>
      <c r="I1303" s="112">
        <f>IFERROR(IF(OR(G1303="yes",F1303= "yes"),VLOOKUP(C1303,Summary!$B:$J,6,0),0),0)</f>
        <v>0</v>
      </c>
      <c r="J1303" s="111">
        <f t="shared" si="252"/>
        <v>0</v>
      </c>
      <c r="K1303" s="91">
        <f>VLOOKUP($A1303,'2022-23 Salary &amp; Benefits'!$A:$I,3,FALSE)</f>
        <v>1.18</v>
      </c>
      <c r="L1303" s="91">
        <f>VLOOKUP($A1303,'2022-23 Salary &amp; Benefits'!$A:$I,4,FALSE)</f>
        <v>1.18</v>
      </c>
      <c r="M1303" s="101">
        <f t="shared" si="259"/>
        <v>0</v>
      </c>
      <c r="N1303" s="24">
        <v>15</v>
      </c>
      <c r="O1303" s="26">
        <f t="shared" si="250"/>
        <v>0</v>
      </c>
      <c r="P1303" s="24">
        <v>1.1000000000000001</v>
      </c>
      <c r="Q1303" s="24">
        <v>36</v>
      </c>
      <c r="R1303" s="27">
        <f t="shared" si="251"/>
        <v>0</v>
      </c>
      <c r="S1303" s="102">
        <f t="shared" si="253"/>
        <v>0</v>
      </c>
      <c r="T1303" s="21">
        <f>VLOOKUP($A1303,'2022-23 Salary &amp; Benefits'!$A:$I,5,FALSE)</f>
        <v>68937</v>
      </c>
      <c r="U1303" s="21">
        <f>VLOOKUP($A1303,'2022-23 Salary &amp; Benefits'!$A:$I,6,FALSE)</f>
        <v>72728</v>
      </c>
      <c r="V1303" s="22">
        <f t="shared" si="254"/>
        <v>0</v>
      </c>
      <c r="W1303" s="22">
        <f t="shared" si="255"/>
        <v>0</v>
      </c>
      <c r="X1303" s="22">
        <f>'2022-23 Salary &amp; Benefits'!$G$6</f>
        <v>12558.24</v>
      </c>
      <c r="Y1303" s="23">
        <f>'2022-23 Salary &amp; Benefits'!$H$6</f>
        <v>0.2298</v>
      </c>
      <c r="Z1303" s="23">
        <f>'2022-23 Salary &amp; Benefits'!$I$6</f>
        <v>0.22339999999999999</v>
      </c>
      <c r="AA1303" s="22">
        <f t="shared" si="256"/>
        <v>0</v>
      </c>
      <c r="AB1303" s="22">
        <f t="shared" si="257"/>
        <v>0</v>
      </c>
      <c r="AC1303" s="22">
        <f t="shared" si="258"/>
        <v>0</v>
      </c>
      <c r="AD1303" s="22">
        <f t="shared" si="260"/>
        <v>0</v>
      </c>
      <c r="AE1303" s="22">
        <f t="shared" si="261"/>
        <v>0</v>
      </c>
      <c r="AF1303" s="19" t="str">
        <f>VLOOKUP(C1303,'2021-22 School Level AAFTE'!C:N,12,FALSE)</f>
        <v>No</v>
      </c>
    </row>
    <row r="1304" spans="1:32" s="5" customFormat="1">
      <c r="A1304" s="97" t="s">
        <v>2366</v>
      </c>
      <c r="B1304" s="97" t="s">
        <v>979</v>
      </c>
      <c r="C1304" s="95">
        <v>3493</v>
      </c>
      <c r="D1304" s="95" t="s">
        <v>993</v>
      </c>
      <c r="E1304" s="129">
        <f>VLOOKUP($C1304,'2021-22 School Level AAFTE'!$C:$Z,11,FALSE)</f>
        <v>0.17473333333333332</v>
      </c>
      <c r="F1304" s="129" t="str">
        <f>VLOOKUP($C1304,'2021-22 School Level AAFTE'!$C:$Z,8,FALSE)</f>
        <v>No</v>
      </c>
      <c r="G1304" s="129" t="str">
        <f>VLOOKUP($C1304,'2021-22 School Level AAFTE'!$C:$Z,12,FALSE)</f>
        <v>No</v>
      </c>
      <c r="H1304" s="127">
        <f>VLOOKUP($C1304,'2021-22 School Level AAFTE'!$C:$I,7,FALSE)</f>
        <v>899.77</v>
      </c>
      <c r="I1304" s="112">
        <f>IFERROR(IF(OR(G1304="yes",F1304= "yes"),VLOOKUP(C1304,Summary!$B:$J,6,0),0),0)</f>
        <v>0</v>
      </c>
      <c r="J1304" s="111">
        <f t="shared" si="252"/>
        <v>0</v>
      </c>
      <c r="K1304" s="91">
        <f>VLOOKUP($A1304,'2022-23 Salary &amp; Benefits'!$A:$I,3,FALSE)</f>
        <v>1.18</v>
      </c>
      <c r="L1304" s="91">
        <f>VLOOKUP($A1304,'2022-23 Salary &amp; Benefits'!$A:$I,4,FALSE)</f>
        <v>1.18</v>
      </c>
      <c r="M1304" s="101">
        <f t="shared" si="259"/>
        <v>0</v>
      </c>
      <c r="N1304" s="24">
        <v>15</v>
      </c>
      <c r="O1304" s="26">
        <f t="shared" si="250"/>
        <v>0</v>
      </c>
      <c r="P1304" s="24">
        <v>1.1000000000000001</v>
      </c>
      <c r="Q1304" s="24">
        <v>36</v>
      </c>
      <c r="R1304" s="27">
        <f t="shared" si="251"/>
        <v>0</v>
      </c>
      <c r="S1304" s="102">
        <f t="shared" si="253"/>
        <v>0</v>
      </c>
      <c r="T1304" s="21">
        <f>VLOOKUP($A1304,'2022-23 Salary &amp; Benefits'!$A:$I,5,FALSE)</f>
        <v>68937</v>
      </c>
      <c r="U1304" s="21">
        <f>VLOOKUP($A1304,'2022-23 Salary &amp; Benefits'!$A:$I,6,FALSE)</f>
        <v>72728</v>
      </c>
      <c r="V1304" s="22">
        <f t="shared" si="254"/>
        <v>0</v>
      </c>
      <c r="W1304" s="22">
        <f t="shared" si="255"/>
        <v>0</v>
      </c>
      <c r="X1304" s="22">
        <f>'2022-23 Salary &amp; Benefits'!$G$6</f>
        <v>12558.24</v>
      </c>
      <c r="Y1304" s="23">
        <f>'2022-23 Salary &amp; Benefits'!$H$6</f>
        <v>0.2298</v>
      </c>
      <c r="Z1304" s="23">
        <f>'2022-23 Salary &amp; Benefits'!$I$6</f>
        <v>0.22339999999999999</v>
      </c>
      <c r="AA1304" s="22">
        <f t="shared" si="256"/>
        <v>0</v>
      </c>
      <c r="AB1304" s="22">
        <f t="shared" si="257"/>
        <v>0</v>
      </c>
      <c r="AC1304" s="22">
        <f t="shared" si="258"/>
        <v>0</v>
      </c>
      <c r="AD1304" s="22">
        <f t="shared" si="260"/>
        <v>0</v>
      </c>
      <c r="AE1304" s="22">
        <f t="shared" si="261"/>
        <v>0</v>
      </c>
      <c r="AF1304" s="19" t="str">
        <f>VLOOKUP(C1304,'2021-22 School Level AAFTE'!C:N,12,FALSE)</f>
        <v>No</v>
      </c>
    </row>
    <row r="1305" spans="1:32" s="5" customFormat="1">
      <c r="A1305" s="97" t="s">
        <v>2366</v>
      </c>
      <c r="B1305" s="97" t="s">
        <v>979</v>
      </c>
      <c r="C1305" s="95">
        <v>3679</v>
      </c>
      <c r="D1305" s="95" t="s">
        <v>994</v>
      </c>
      <c r="E1305" s="129">
        <f>VLOOKUP($C1305,'2021-22 School Level AAFTE'!$C:$Z,11,FALSE)</f>
        <v>0.15596666666666667</v>
      </c>
      <c r="F1305" s="129" t="str">
        <f>VLOOKUP($C1305,'2021-22 School Level AAFTE'!$C:$Z,8,FALSE)</f>
        <v>No</v>
      </c>
      <c r="G1305" s="129" t="str">
        <f>VLOOKUP($C1305,'2021-22 School Level AAFTE'!$C:$Z,12,FALSE)</f>
        <v>No</v>
      </c>
      <c r="H1305" s="127">
        <f>VLOOKUP($C1305,'2021-22 School Level AAFTE'!$C:$I,7,FALSE)</f>
        <v>421.62</v>
      </c>
      <c r="I1305" s="112">
        <f>IFERROR(IF(OR(G1305="yes",F1305= "yes"),VLOOKUP(C1305,Summary!$B:$J,6,0),0),0)</f>
        <v>0</v>
      </c>
      <c r="J1305" s="111">
        <f t="shared" si="252"/>
        <v>0</v>
      </c>
      <c r="K1305" s="91">
        <f>VLOOKUP($A1305,'2022-23 Salary &amp; Benefits'!$A:$I,3,FALSE)</f>
        <v>1.18</v>
      </c>
      <c r="L1305" s="91">
        <f>VLOOKUP($A1305,'2022-23 Salary &amp; Benefits'!$A:$I,4,FALSE)</f>
        <v>1.18</v>
      </c>
      <c r="M1305" s="101">
        <f t="shared" si="259"/>
        <v>0</v>
      </c>
      <c r="N1305" s="24">
        <v>15</v>
      </c>
      <c r="O1305" s="26">
        <f t="shared" si="250"/>
        <v>0</v>
      </c>
      <c r="P1305" s="24">
        <v>1.1000000000000001</v>
      </c>
      <c r="Q1305" s="24">
        <v>36</v>
      </c>
      <c r="R1305" s="27">
        <f t="shared" si="251"/>
        <v>0</v>
      </c>
      <c r="S1305" s="102">
        <f t="shared" si="253"/>
        <v>0</v>
      </c>
      <c r="T1305" s="21">
        <f>VLOOKUP($A1305,'2022-23 Salary &amp; Benefits'!$A:$I,5,FALSE)</f>
        <v>68937</v>
      </c>
      <c r="U1305" s="21">
        <f>VLOOKUP($A1305,'2022-23 Salary &amp; Benefits'!$A:$I,6,FALSE)</f>
        <v>72728</v>
      </c>
      <c r="V1305" s="22">
        <f t="shared" si="254"/>
        <v>0</v>
      </c>
      <c r="W1305" s="22">
        <f t="shared" si="255"/>
        <v>0</v>
      </c>
      <c r="X1305" s="22">
        <f>'2022-23 Salary &amp; Benefits'!$G$6</f>
        <v>12558.24</v>
      </c>
      <c r="Y1305" s="23">
        <f>'2022-23 Salary &amp; Benefits'!$H$6</f>
        <v>0.2298</v>
      </c>
      <c r="Z1305" s="23">
        <f>'2022-23 Salary &amp; Benefits'!$I$6</f>
        <v>0.22339999999999999</v>
      </c>
      <c r="AA1305" s="22">
        <f t="shared" si="256"/>
        <v>0</v>
      </c>
      <c r="AB1305" s="22">
        <f t="shared" si="257"/>
        <v>0</v>
      </c>
      <c r="AC1305" s="22">
        <f t="shared" si="258"/>
        <v>0</v>
      </c>
      <c r="AD1305" s="22">
        <f t="shared" si="260"/>
        <v>0</v>
      </c>
      <c r="AE1305" s="22">
        <f t="shared" si="261"/>
        <v>0</v>
      </c>
      <c r="AF1305" s="19" t="str">
        <f>VLOOKUP(C1305,'2021-22 School Level AAFTE'!C:N,12,FALSE)</f>
        <v>No</v>
      </c>
    </row>
    <row r="1306" spans="1:32" s="5" customFormat="1">
      <c r="A1306" s="97" t="s">
        <v>2366</v>
      </c>
      <c r="B1306" s="97" t="s">
        <v>979</v>
      </c>
      <c r="C1306" s="95">
        <v>3749</v>
      </c>
      <c r="D1306" s="95" t="s">
        <v>995</v>
      </c>
      <c r="E1306" s="129">
        <f>VLOOKUP($C1306,'2021-22 School Level AAFTE'!$C:$Z,11,FALSE)</f>
        <v>0.21983333333333333</v>
      </c>
      <c r="F1306" s="129" t="str">
        <f>VLOOKUP($C1306,'2021-22 School Level AAFTE'!$C:$Z,8,FALSE)</f>
        <v>No</v>
      </c>
      <c r="G1306" s="129" t="str">
        <f>VLOOKUP($C1306,'2021-22 School Level AAFTE'!$C:$Z,12,FALSE)</f>
        <v>No</v>
      </c>
      <c r="H1306" s="127">
        <f>VLOOKUP($C1306,'2021-22 School Level AAFTE'!$C:$I,7,FALSE)</f>
        <v>470.73</v>
      </c>
      <c r="I1306" s="112">
        <f>IFERROR(IF(OR(G1306="yes",F1306= "yes"),VLOOKUP(C1306,Summary!$B:$J,6,0),0),0)</f>
        <v>0</v>
      </c>
      <c r="J1306" s="111">
        <f t="shared" si="252"/>
        <v>0</v>
      </c>
      <c r="K1306" s="91">
        <f>VLOOKUP($A1306,'2022-23 Salary &amp; Benefits'!$A:$I,3,FALSE)</f>
        <v>1.18</v>
      </c>
      <c r="L1306" s="91">
        <f>VLOOKUP($A1306,'2022-23 Salary &amp; Benefits'!$A:$I,4,FALSE)</f>
        <v>1.18</v>
      </c>
      <c r="M1306" s="101">
        <f t="shared" si="259"/>
        <v>0</v>
      </c>
      <c r="N1306" s="24">
        <v>15</v>
      </c>
      <c r="O1306" s="26">
        <f t="shared" si="250"/>
        <v>0</v>
      </c>
      <c r="P1306" s="24">
        <v>1.1000000000000001</v>
      </c>
      <c r="Q1306" s="24">
        <v>36</v>
      </c>
      <c r="R1306" s="27">
        <f t="shared" si="251"/>
        <v>0</v>
      </c>
      <c r="S1306" s="102">
        <f t="shared" si="253"/>
        <v>0</v>
      </c>
      <c r="T1306" s="21">
        <f>VLOOKUP($A1306,'2022-23 Salary &amp; Benefits'!$A:$I,5,FALSE)</f>
        <v>68937</v>
      </c>
      <c r="U1306" s="21">
        <f>VLOOKUP($A1306,'2022-23 Salary &amp; Benefits'!$A:$I,6,FALSE)</f>
        <v>72728</v>
      </c>
      <c r="V1306" s="22">
        <f t="shared" si="254"/>
        <v>0</v>
      </c>
      <c r="W1306" s="22">
        <f t="shared" si="255"/>
        <v>0</v>
      </c>
      <c r="X1306" s="22">
        <f>'2022-23 Salary &amp; Benefits'!$G$6</f>
        <v>12558.24</v>
      </c>
      <c r="Y1306" s="23">
        <f>'2022-23 Salary &amp; Benefits'!$H$6</f>
        <v>0.2298</v>
      </c>
      <c r="Z1306" s="23">
        <f>'2022-23 Salary &amp; Benefits'!$I$6</f>
        <v>0.22339999999999999</v>
      </c>
      <c r="AA1306" s="22">
        <f t="shared" si="256"/>
        <v>0</v>
      </c>
      <c r="AB1306" s="22">
        <f t="shared" si="257"/>
        <v>0</v>
      </c>
      <c r="AC1306" s="22">
        <f t="shared" si="258"/>
        <v>0</v>
      </c>
      <c r="AD1306" s="22">
        <f t="shared" si="260"/>
        <v>0</v>
      </c>
      <c r="AE1306" s="22">
        <f t="shared" si="261"/>
        <v>0</v>
      </c>
      <c r="AF1306" s="19" t="str">
        <f>VLOOKUP(C1306,'2021-22 School Level AAFTE'!C:N,12,FALSE)</f>
        <v>No</v>
      </c>
    </row>
    <row r="1307" spans="1:32" s="5" customFormat="1">
      <c r="A1307" s="97" t="s">
        <v>2366</v>
      </c>
      <c r="B1307" s="97" t="s">
        <v>979</v>
      </c>
      <c r="C1307" s="95">
        <v>3790</v>
      </c>
      <c r="D1307" s="140" t="s">
        <v>996</v>
      </c>
      <c r="E1307" s="129">
        <f>VLOOKUP($C1307,'2021-22 School Level AAFTE'!$C:$Z,11,FALSE)</f>
        <v>0.12703333333333333</v>
      </c>
      <c r="F1307" s="129" t="str">
        <f>VLOOKUP($C1307,'2021-22 School Level AAFTE'!$C:$Z,8,FALSE)</f>
        <v>No</v>
      </c>
      <c r="G1307" s="129" t="str">
        <f>VLOOKUP($C1307,'2021-22 School Level AAFTE'!$C:$Z,12,FALSE)</f>
        <v>No</v>
      </c>
      <c r="H1307" s="127">
        <f>VLOOKUP($C1307,'2021-22 School Level AAFTE'!$C:$I,7,FALSE)</f>
        <v>819.67</v>
      </c>
      <c r="I1307" s="112">
        <f>IFERROR(IF(OR(G1307="yes",F1307= "yes"),VLOOKUP(C1307,Summary!$B:$J,6,0),0),0)</f>
        <v>0</v>
      </c>
      <c r="J1307" s="111">
        <f t="shared" si="252"/>
        <v>0</v>
      </c>
      <c r="K1307" s="91">
        <f>VLOOKUP($A1307,'2022-23 Salary &amp; Benefits'!$A:$I,3,FALSE)</f>
        <v>1.18</v>
      </c>
      <c r="L1307" s="91">
        <f>VLOOKUP($A1307,'2022-23 Salary &amp; Benefits'!$A:$I,4,FALSE)</f>
        <v>1.18</v>
      </c>
      <c r="M1307" s="101">
        <f t="shared" si="259"/>
        <v>0</v>
      </c>
      <c r="N1307" s="24">
        <v>15</v>
      </c>
      <c r="O1307" s="26">
        <f t="shared" si="250"/>
        <v>0</v>
      </c>
      <c r="P1307" s="24">
        <v>1.1000000000000001</v>
      </c>
      <c r="Q1307" s="24">
        <v>36</v>
      </c>
      <c r="R1307" s="27">
        <f t="shared" si="251"/>
        <v>0</v>
      </c>
      <c r="S1307" s="102">
        <f t="shared" si="253"/>
        <v>0</v>
      </c>
      <c r="T1307" s="21">
        <f>VLOOKUP($A1307,'2022-23 Salary &amp; Benefits'!$A:$I,5,FALSE)</f>
        <v>68937</v>
      </c>
      <c r="U1307" s="21">
        <f>VLOOKUP($A1307,'2022-23 Salary &amp; Benefits'!$A:$I,6,FALSE)</f>
        <v>72728</v>
      </c>
      <c r="V1307" s="22">
        <f t="shared" si="254"/>
        <v>0</v>
      </c>
      <c r="W1307" s="22">
        <f t="shared" si="255"/>
        <v>0</v>
      </c>
      <c r="X1307" s="22">
        <f>'2022-23 Salary &amp; Benefits'!$G$6</f>
        <v>12558.24</v>
      </c>
      <c r="Y1307" s="23">
        <f>'2022-23 Salary &amp; Benefits'!$H$6</f>
        <v>0.2298</v>
      </c>
      <c r="Z1307" s="23">
        <f>'2022-23 Salary &amp; Benefits'!$I$6</f>
        <v>0.22339999999999999</v>
      </c>
      <c r="AA1307" s="22">
        <f t="shared" si="256"/>
        <v>0</v>
      </c>
      <c r="AB1307" s="22">
        <f t="shared" si="257"/>
        <v>0</v>
      </c>
      <c r="AC1307" s="22">
        <f t="shared" si="258"/>
        <v>0</v>
      </c>
      <c r="AD1307" s="22">
        <f t="shared" si="260"/>
        <v>0</v>
      </c>
      <c r="AE1307" s="22">
        <f t="shared" si="261"/>
        <v>0</v>
      </c>
      <c r="AF1307" s="19" t="str">
        <f>VLOOKUP(C1307,'2021-22 School Level AAFTE'!C:N,12,FALSE)</f>
        <v>No</v>
      </c>
    </row>
    <row r="1308" spans="1:32" s="5" customFormat="1">
      <c r="A1308" s="97" t="s">
        <v>2366</v>
      </c>
      <c r="B1308" s="97" t="s">
        <v>979</v>
      </c>
      <c r="C1308" s="95">
        <v>3811</v>
      </c>
      <c r="D1308" s="95" t="s">
        <v>997</v>
      </c>
      <c r="E1308" s="129">
        <f>VLOOKUP($C1308,'2021-22 School Level AAFTE'!$C:$Z,11,FALSE)</f>
        <v>0.35069999999999996</v>
      </c>
      <c r="F1308" s="129" t="str">
        <f>VLOOKUP($C1308,'2021-22 School Level AAFTE'!$C:$Z,8,FALSE)</f>
        <v>No</v>
      </c>
      <c r="G1308" s="129" t="str">
        <f>VLOOKUP($C1308,'2021-22 School Level AAFTE'!$C:$Z,12,FALSE)</f>
        <v>No</v>
      </c>
      <c r="H1308" s="127">
        <f>VLOOKUP($C1308,'2021-22 School Level AAFTE'!$C:$I,7,FALSE)</f>
        <v>89.83</v>
      </c>
      <c r="I1308" s="112">
        <f>IFERROR(IF(OR(G1308="yes",F1308= "yes"),VLOOKUP(C1308,Summary!$B:$J,6,0),0),0)</f>
        <v>0</v>
      </c>
      <c r="J1308" s="111">
        <f t="shared" si="252"/>
        <v>0</v>
      </c>
      <c r="K1308" s="91">
        <f>VLOOKUP($A1308,'2022-23 Salary &amp; Benefits'!$A:$I,3,FALSE)</f>
        <v>1.18</v>
      </c>
      <c r="L1308" s="91">
        <f>VLOOKUP($A1308,'2022-23 Salary &amp; Benefits'!$A:$I,4,FALSE)</f>
        <v>1.18</v>
      </c>
      <c r="M1308" s="101">
        <f t="shared" si="259"/>
        <v>0</v>
      </c>
      <c r="N1308" s="24">
        <v>15</v>
      </c>
      <c r="O1308" s="26">
        <f t="shared" si="250"/>
        <v>0</v>
      </c>
      <c r="P1308" s="24">
        <v>1.1000000000000001</v>
      </c>
      <c r="Q1308" s="24">
        <v>36</v>
      </c>
      <c r="R1308" s="27">
        <f t="shared" si="251"/>
        <v>0</v>
      </c>
      <c r="S1308" s="102">
        <f t="shared" si="253"/>
        <v>0</v>
      </c>
      <c r="T1308" s="21">
        <f>VLOOKUP($A1308,'2022-23 Salary &amp; Benefits'!$A:$I,5,FALSE)</f>
        <v>68937</v>
      </c>
      <c r="U1308" s="21">
        <f>VLOOKUP($A1308,'2022-23 Salary &amp; Benefits'!$A:$I,6,FALSE)</f>
        <v>72728</v>
      </c>
      <c r="V1308" s="22">
        <f t="shared" si="254"/>
        <v>0</v>
      </c>
      <c r="W1308" s="22">
        <f t="shared" si="255"/>
        <v>0</v>
      </c>
      <c r="X1308" s="22">
        <f>'2022-23 Salary &amp; Benefits'!$G$6</f>
        <v>12558.24</v>
      </c>
      <c r="Y1308" s="23">
        <f>'2022-23 Salary &amp; Benefits'!$H$6</f>
        <v>0.2298</v>
      </c>
      <c r="Z1308" s="23">
        <f>'2022-23 Salary &amp; Benefits'!$I$6</f>
        <v>0.22339999999999999</v>
      </c>
      <c r="AA1308" s="22">
        <f t="shared" si="256"/>
        <v>0</v>
      </c>
      <c r="AB1308" s="22">
        <f t="shared" si="257"/>
        <v>0</v>
      </c>
      <c r="AC1308" s="22">
        <f t="shared" si="258"/>
        <v>0</v>
      </c>
      <c r="AD1308" s="22">
        <f t="shared" si="260"/>
        <v>0</v>
      </c>
      <c r="AE1308" s="22">
        <f t="shared" si="261"/>
        <v>0</v>
      </c>
      <c r="AF1308" s="19" t="str">
        <f>VLOOKUP(C1308,'2021-22 School Level AAFTE'!C:N,12,FALSE)</f>
        <v>No</v>
      </c>
    </row>
    <row r="1309" spans="1:32" s="5" customFormat="1">
      <c r="A1309" s="97" t="s">
        <v>2366</v>
      </c>
      <c r="B1309" s="97" t="s">
        <v>979</v>
      </c>
      <c r="C1309" s="95">
        <v>4017</v>
      </c>
      <c r="D1309" s="95" t="s">
        <v>998</v>
      </c>
      <c r="E1309" s="129">
        <f>VLOOKUP($C1309,'2021-22 School Level AAFTE'!$C:$Z,11,FALSE)</f>
        <v>0.1144</v>
      </c>
      <c r="F1309" s="129" t="str">
        <f>VLOOKUP($C1309,'2021-22 School Level AAFTE'!$C:$Z,8,FALSE)</f>
        <v>No</v>
      </c>
      <c r="G1309" s="129" t="str">
        <f>VLOOKUP($C1309,'2021-22 School Level AAFTE'!$C:$Z,12,FALSE)</f>
        <v>No</v>
      </c>
      <c r="H1309" s="127">
        <f>VLOOKUP($C1309,'2021-22 School Level AAFTE'!$C:$I,7,FALSE)</f>
        <v>951.72</v>
      </c>
      <c r="I1309" s="112">
        <f>IFERROR(IF(OR(G1309="yes",F1309= "yes"),VLOOKUP(C1309,Summary!$B:$J,6,0),0),0)</f>
        <v>0</v>
      </c>
      <c r="J1309" s="111">
        <f t="shared" si="252"/>
        <v>0</v>
      </c>
      <c r="K1309" s="91">
        <f>VLOOKUP($A1309,'2022-23 Salary &amp; Benefits'!$A:$I,3,FALSE)</f>
        <v>1.18</v>
      </c>
      <c r="L1309" s="91">
        <f>VLOOKUP($A1309,'2022-23 Salary &amp; Benefits'!$A:$I,4,FALSE)</f>
        <v>1.18</v>
      </c>
      <c r="M1309" s="39">
        <f t="shared" si="259"/>
        <v>0</v>
      </c>
      <c r="N1309" s="24">
        <v>15</v>
      </c>
      <c r="O1309" s="26">
        <f t="shared" si="250"/>
        <v>0</v>
      </c>
      <c r="P1309" s="24">
        <v>1.1000000000000001</v>
      </c>
      <c r="Q1309" s="24">
        <v>36</v>
      </c>
      <c r="R1309" s="27">
        <f t="shared" si="251"/>
        <v>0</v>
      </c>
      <c r="S1309" s="102">
        <f t="shared" si="253"/>
        <v>0</v>
      </c>
      <c r="T1309" s="21">
        <f>VLOOKUP($A1309,'2022-23 Salary &amp; Benefits'!$A:$I,5,FALSE)</f>
        <v>68937</v>
      </c>
      <c r="U1309" s="21">
        <f>VLOOKUP($A1309,'2022-23 Salary &amp; Benefits'!$A:$I,6,FALSE)</f>
        <v>72728</v>
      </c>
      <c r="V1309" s="22">
        <f t="shared" si="254"/>
        <v>0</v>
      </c>
      <c r="W1309" s="22">
        <f t="shared" si="255"/>
        <v>0</v>
      </c>
      <c r="X1309" s="22">
        <f>'2022-23 Salary &amp; Benefits'!$G$6</f>
        <v>12558.24</v>
      </c>
      <c r="Y1309" s="23">
        <f>'2022-23 Salary &amp; Benefits'!$H$6</f>
        <v>0.2298</v>
      </c>
      <c r="Z1309" s="23">
        <f>'2022-23 Salary &amp; Benefits'!$I$6</f>
        <v>0.22339999999999999</v>
      </c>
      <c r="AA1309" s="22">
        <f t="shared" si="256"/>
        <v>0</v>
      </c>
      <c r="AB1309" s="22">
        <f t="shared" si="257"/>
        <v>0</v>
      </c>
      <c r="AC1309" s="22">
        <f t="shared" si="258"/>
        <v>0</v>
      </c>
      <c r="AD1309" s="22">
        <f t="shared" si="260"/>
        <v>0</v>
      </c>
      <c r="AE1309" s="22">
        <f t="shared" si="261"/>
        <v>0</v>
      </c>
      <c r="AF1309" s="19" t="str">
        <f>VLOOKUP(C1309,'2021-22 School Level AAFTE'!C:N,12,FALSE)</f>
        <v>No</v>
      </c>
    </row>
    <row r="1310" spans="1:32" s="5" customFormat="1">
      <c r="A1310" s="97" t="s">
        <v>2366</v>
      </c>
      <c r="B1310" s="97" t="s">
        <v>979</v>
      </c>
      <c r="C1310" s="95">
        <v>4021</v>
      </c>
      <c r="D1310" s="95" t="s">
        <v>999</v>
      </c>
      <c r="E1310" s="129">
        <f>VLOOKUP($C1310,'2021-22 School Level AAFTE'!$C:$Z,11,FALSE)</f>
        <v>0.14653333333333332</v>
      </c>
      <c r="F1310" s="129" t="str">
        <f>VLOOKUP($C1310,'2021-22 School Level AAFTE'!$C:$Z,8,FALSE)</f>
        <v>No</v>
      </c>
      <c r="G1310" s="129" t="str">
        <f>VLOOKUP($C1310,'2021-22 School Level AAFTE'!$C:$Z,12,FALSE)</f>
        <v>No</v>
      </c>
      <c r="H1310" s="127">
        <f>VLOOKUP($C1310,'2021-22 School Level AAFTE'!$C:$I,7,FALSE)</f>
        <v>871.73</v>
      </c>
      <c r="I1310" s="112">
        <f>IFERROR(IF(OR(G1310="yes",F1310= "yes"),VLOOKUP(C1310,Summary!$B:$J,6,0),0),0)</f>
        <v>0</v>
      </c>
      <c r="J1310" s="111">
        <f t="shared" si="252"/>
        <v>0</v>
      </c>
      <c r="K1310" s="91">
        <f>VLOOKUP($A1310,'2022-23 Salary &amp; Benefits'!$A:$I,3,FALSE)</f>
        <v>1.18</v>
      </c>
      <c r="L1310" s="91">
        <f>VLOOKUP($A1310,'2022-23 Salary &amp; Benefits'!$A:$I,4,FALSE)</f>
        <v>1.18</v>
      </c>
      <c r="M1310" s="39">
        <f t="shared" si="259"/>
        <v>0</v>
      </c>
      <c r="N1310" s="24">
        <v>15</v>
      </c>
      <c r="O1310" s="26">
        <f t="shared" si="250"/>
        <v>0</v>
      </c>
      <c r="P1310" s="24">
        <v>1.1000000000000001</v>
      </c>
      <c r="Q1310" s="24">
        <v>36</v>
      </c>
      <c r="R1310" s="27">
        <f t="shared" si="251"/>
        <v>0</v>
      </c>
      <c r="S1310" s="102">
        <f t="shared" si="253"/>
        <v>0</v>
      </c>
      <c r="T1310" s="21">
        <f>VLOOKUP($A1310,'2022-23 Salary &amp; Benefits'!$A:$I,5,FALSE)</f>
        <v>68937</v>
      </c>
      <c r="U1310" s="21">
        <f>VLOOKUP($A1310,'2022-23 Salary &amp; Benefits'!$A:$I,6,FALSE)</f>
        <v>72728</v>
      </c>
      <c r="V1310" s="22">
        <f t="shared" si="254"/>
        <v>0</v>
      </c>
      <c r="W1310" s="22">
        <f t="shared" si="255"/>
        <v>0</v>
      </c>
      <c r="X1310" s="22">
        <f>'2022-23 Salary &amp; Benefits'!$G$6</f>
        <v>12558.24</v>
      </c>
      <c r="Y1310" s="23">
        <f>'2022-23 Salary &amp; Benefits'!$H$6</f>
        <v>0.2298</v>
      </c>
      <c r="Z1310" s="23">
        <f>'2022-23 Salary &amp; Benefits'!$I$6</f>
        <v>0.22339999999999999</v>
      </c>
      <c r="AA1310" s="22">
        <f t="shared" si="256"/>
        <v>0</v>
      </c>
      <c r="AB1310" s="22">
        <f t="shared" si="257"/>
        <v>0</v>
      </c>
      <c r="AC1310" s="22">
        <f t="shared" si="258"/>
        <v>0</v>
      </c>
      <c r="AD1310" s="22">
        <f t="shared" si="260"/>
        <v>0</v>
      </c>
      <c r="AE1310" s="22">
        <f t="shared" si="261"/>
        <v>0</v>
      </c>
      <c r="AF1310" s="19" t="str">
        <f>VLOOKUP(C1310,'2021-22 School Level AAFTE'!C:N,12,FALSE)</f>
        <v>No</v>
      </c>
    </row>
    <row r="1311" spans="1:32" s="5" customFormat="1">
      <c r="A1311" s="97" t="s">
        <v>2366</v>
      </c>
      <c r="B1311" s="97" t="s">
        <v>979</v>
      </c>
      <c r="C1311" s="95">
        <v>4069</v>
      </c>
      <c r="D1311" s="95" t="s">
        <v>1000</v>
      </c>
      <c r="E1311" s="129">
        <f>VLOOKUP($C1311,'2021-22 School Level AAFTE'!$C:$Z,11,FALSE)</f>
        <v>7.4133333333333329E-2</v>
      </c>
      <c r="F1311" s="129" t="str">
        <f>VLOOKUP($C1311,'2021-22 School Level AAFTE'!$C:$Z,8,FALSE)</f>
        <v>No</v>
      </c>
      <c r="G1311" s="129" t="str">
        <f>VLOOKUP($C1311,'2021-22 School Level AAFTE'!$C:$Z,12,FALSE)</f>
        <v>No</v>
      </c>
      <c r="H1311" s="127">
        <f>VLOOKUP($C1311,'2021-22 School Level AAFTE'!$C:$I,7,FALSE)</f>
        <v>426.15</v>
      </c>
      <c r="I1311" s="112">
        <f>IFERROR(IF(OR(G1311="yes",F1311= "yes"),VLOOKUP(C1311,Summary!$B:$J,6,0),0),0)</f>
        <v>0</v>
      </c>
      <c r="J1311" s="111">
        <f t="shared" si="252"/>
        <v>0</v>
      </c>
      <c r="K1311" s="91">
        <f>VLOOKUP($A1311,'2022-23 Salary &amp; Benefits'!$A:$I,3,FALSE)</f>
        <v>1.18</v>
      </c>
      <c r="L1311" s="91">
        <f>VLOOKUP($A1311,'2022-23 Salary &amp; Benefits'!$A:$I,4,FALSE)</f>
        <v>1.18</v>
      </c>
      <c r="M1311" s="39">
        <f t="shared" si="259"/>
        <v>0</v>
      </c>
      <c r="N1311" s="24">
        <v>15</v>
      </c>
      <c r="O1311" s="26">
        <f t="shared" si="250"/>
        <v>0</v>
      </c>
      <c r="P1311" s="24">
        <v>1.1000000000000001</v>
      </c>
      <c r="Q1311" s="24">
        <v>36</v>
      </c>
      <c r="R1311" s="27">
        <f t="shared" si="251"/>
        <v>0</v>
      </c>
      <c r="S1311" s="102">
        <f t="shared" si="253"/>
        <v>0</v>
      </c>
      <c r="T1311" s="21">
        <f>VLOOKUP($A1311,'2022-23 Salary &amp; Benefits'!$A:$I,5,FALSE)</f>
        <v>68937</v>
      </c>
      <c r="U1311" s="21">
        <f>VLOOKUP($A1311,'2022-23 Salary &amp; Benefits'!$A:$I,6,FALSE)</f>
        <v>72728</v>
      </c>
      <c r="V1311" s="22">
        <f t="shared" si="254"/>
        <v>0</v>
      </c>
      <c r="W1311" s="22">
        <f t="shared" si="255"/>
        <v>0</v>
      </c>
      <c r="X1311" s="22">
        <f>'2022-23 Salary &amp; Benefits'!$G$6</f>
        <v>12558.24</v>
      </c>
      <c r="Y1311" s="23">
        <f>'2022-23 Salary &amp; Benefits'!$H$6</f>
        <v>0.2298</v>
      </c>
      <c r="Z1311" s="23">
        <f>'2022-23 Salary &amp; Benefits'!$I$6</f>
        <v>0.22339999999999999</v>
      </c>
      <c r="AA1311" s="22">
        <f t="shared" si="256"/>
        <v>0</v>
      </c>
      <c r="AB1311" s="22">
        <f t="shared" si="257"/>
        <v>0</v>
      </c>
      <c r="AC1311" s="22">
        <f t="shared" si="258"/>
        <v>0</v>
      </c>
      <c r="AD1311" s="22">
        <f t="shared" si="260"/>
        <v>0</v>
      </c>
      <c r="AE1311" s="22">
        <f t="shared" si="261"/>
        <v>0</v>
      </c>
      <c r="AF1311" s="19" t="str">
        <f>VLOOKUP(C1311,'2021-22 School Level AAFTE'!C:N,12,FALSE)</f>
        <v>No</v>
      </c>
    </row>
    <row r="1312" spans="1:32" s="5" customFormat="1">
      <c r="A1312" s="97" t="s">
        <v>2366</v>
      </c>
      <c r="B1312" s="97" t="s">
        <v>979</v>
      </c>
      <c r="C1312" s="95">
        <v>4124</v>
      </c>
      <c r="D1312" s="95" t="s">
        <v>1001</v>
      </c>
      <c r="E1312" s="129">
        <f>VLOOKUP($C1312,'2021-22 School Level AAFTE'!$C:$Z,11,FALSE)</f>
        <v>0.11420000000000001</v>
      </c>
      <c r="F1312" s="129" t="str">
        <f>VLOOKUP($C1312,'2021-22 School Level AAFTE'!$C:$Z,8,FALSE)</f>
        <v>No</v>
      </c>
      <c r="G1312" s="129" t="str">
        <f>VLOOKUP($C1312,'2021-22 School Level AAFTE'!$C:$Z,12,FALSE)</f>
        <v>No</v>
      </c>
      <c r="H1312" s="127">
        <f>VLOOKUP($C1312,'2021-22 School Level AAFTE'!$C:$I,7,FALSE)</f>
        <v>302.35000000000002</v>
      </c>
      <c r="I1312" s="112">
        <f>IFERROR(IF(OR(G1312="yes",F1312= "yes"),VLOOKUP(C1312,Summary!$B:$J,6,0),0),0)</f>
        <v>0</v>
      </c>
      <c r="J1312" s="111">
        <f t="shared" si="252"/>
        <v>0</v>
      </c>
      <c r="K1312" s="91">
        <f>VLOOKUP($A1312,'2022-23 Salary &amp; Benefits'!$A:$I,3,FALSE)</f>
        <v>1.18</v>
      </c>
      <c r="L1312" s="91">
        <f>VLOOKUP($A1312,'2022-23 Salary &amp; Benefits'!$A:$I,4,FALSE)</f>
        <v>1.18</v>
      </c>
      <c r="M1312" s="39">
        <f t="shared" si="259"/>
        <v>0</v>
      </c>
      <c r="N1312" s="24">
        <v>15</v>
      </c>
      <c r="O1312" s="26">
        <f t="shared" si="250"/>
        <v>0</v>
      </c>
      <c r="P1312" s="24">
        <v>1.1000000000000001</v>
      </c>
      <c r="Q1312" s="24">
        <v>36</v>
      </c>
      <c r="R1312" s="27">
        <f t="shared" si="251"/>
        <v>0</v>
      </c>
      <c r="S1312" s="102">
        <f t="shared" si="253"/>
        <v>0</v>
      </c>
      <c r="T1312" s="21">
        <f>VLOOKUP($A1312,'2022-23 Salary &amp; Benefits'!$A:$I,5,FALSE)</f>
        <v>68937</v>
      </c>
      <c r="U1312" s="21">
        <f>VLOOKUP($A1312,'2022-23 Salary &amp; Benefits'!$A:$I,6,FALSE)</f>
        <v>72728</v>
      </c>
      <c r="V1312" s="22">
        <f t="shared" si="254"/>
        <v>0</v>
      </c>
      <c r="W1312" s="22">
        <f t="shared" si="255"/>
        <v>0</v>
      </c>
      <c r="X1312" s="22">
        <f>'2022-23 Salary &amp; Benefits'!$G$6</f>
        <v>12558.24</v>
      </c>
      <c r="Y1312" s="23">
        <f>'2022-23 Salary &amp; Benefits'!$H$6</f>
        <v>0.2298</v>
      </c>
      <c r="Z1312" s="23">
        <f>'2022-23 Salary &amp; Benefits'!$I$6</f>
        <v>0.22339999999999999</v>
      </c>
      <c r="AA1312" s="22">
        <f t="shared" si="256"/>
        <v>0</v>
      </c>
      <c r="AB1312" s="22">
        <f t="shared" si="257"/>
        <v>0</v>
      </c>
      <c r="AC1312" s="22">
        <f t="shared" si="258"/>
        <v>0</v>
      </c>
      <c r="AD1312" s="22">
        <f t="shared" si="260"/>
        <v>0</v>
      </c>
      <c r="AE1312" s="22">
        <f t="shared" si="261"/>
        <v>0</v>
      </c>
      <c r="AF1312" s="19" t="str">
        <f>VLOOKUP(C1312,'2021-22 School Level AAFTE'!C:N,12,FALSE)</f>
        <v>No</v>
      </c>
    </row>
    <row r="1313" spans="1:32" s="5" customFormat="1">
      <c r="A1313" s="97" t="s">
        <v>2366</v>
      </c>
      <c r="B1313" s="97" t="s">
        <v>979</v>
      </c>
      <c r="C1313" s="95">
        <v>4187</v>
      </c>
      <c r="D1313" s="95" t="s">
        <v>693</v>
      </c>
      <c r="E1313" s="129">
        <f>VLOOKUP($C1313,'2021-22 School Level AAFTE'!$C:$Z,11,FALSE)</f>
        <v>2.4900000000000002E-2</v>
      </c>
      <c r="F1313" s="129" t="str">
        <f>VLOOKUP($C1313,'2021-22 School Level AAFTE'!$C:$Z,8,FALSE)</f>
        <v>No</v>
      </c>
      <c r="G1313" s="129" t="str">
        <f>VLOOKUP($C1313,'2021-22 School Level AAFTE'!$C:$Z,12,FALSE)</f>
        <v>No</v>
      </c>
      <c r="H1313" s="127">
        <f>VLOOKUP($C1313,'2021-22 School Level AAFTE'!$C:$I,7,FALSE)</f>
        <v>422.48</v>
      </c>
      <c r="I1313" s="112">
        <f>IFERROR(IF(OR(G1313="yes",F1313= "yes"),VLOOKUP(C1313,Summary!$B:$J,6,0),0),0)</f>
        <v>0</v>
      </c>
      <c r="J1313" s="111">
        <f t="shared" si="252"/>
        <v>0</v>
      </c>
      <c r="K1313" s="91">
        <f>VLOOKUP($A1313,'2022-23 Salary &amp; Benefits'!$A:$I,3,FALSE)</f>
        <v>1.18</v>
      </c>
      <c r="L1313" s="91">
        <f>VLOOKUP($A1313,'2022-23 Salary &amp; Benefits'!$A:$I,4,FALSE)</f>
        <v>1.18</v>
      </c>
      <c r="M1313" s="39">
        <f t="shared" si="259"/>
        <v>0</v>
      </c>
      <c r="N1313" s="24">
        <v>15</v>
      </c>
      <c r="O1313" s="26">
        <f t="shared" si="250"/>
        <v>0</v>
      </c>
      <c r="P1313" s="24">
        <v>1.1000000000000001</v>
      </c>
      <c r="Q1313" s="24">
        <v>36</v>
      </c>
      <c r="R1313" s="27">
        <f t="shared" si="251"/>
        <v>0</v>
      </c>
      <c r="S1313" s="102">
        <f t="shared" si="253"/>
        <v>0</v>
      </c>
      <c r="T1313" s="21">
        <f>VLOOKUP($A1313,'2022-23 Salary &amp; Benefits'!$A:$I,5,FALSE)</f>
        <v>68937</v>
      </c>
      <c r="U1313" s="21">
        <f>VLOOKUP($A1313,'2022-23 Salary &amp; Benefits'!$A:$I,6,FALSE)</f>
        <v>72728</v>
      </c>
      <c r="V1313" s="22">
        <f t="shared" si="254"/>
        <v>0</v>
      </c>
      <c r="W1313" s="22">
        <f t="shared" si="255"/>
        <v>0</v>
      </c>
      <c r="X1313" s="22">
        <f>'2022-23 Salary &amp; Benefits'!$G$6</f>
        <v>12558.24</v>
      </c>
      <c r="Y1313" s="23">
        <f>'2022-23 Salary &amp; Benefits'!$H$6</f>
        <v>0.2298</v>
      </c>
      <c r="Z1313" s="23">
        <f>'2022-23 Salary &amp; Benefits'!$I$6</f>
        <v>0.22339999999999999</v>
      </c>
      <c r="AA1313" s="22">
        <f t="shared" si="256"/>
        <v>0</v>
      </c>
      <c r="AB1313" s="22">
        <f t="shared" si="257"/>
        <v>0</v>
      </c>
      <c r="AC1313" s="22">
        <f t="shared" si="258"/>
        <v>0</v>
      </c>
      <c r="AD1313" s="22">
        <f t="shared" si="260"/>
        <v>0</v>
      </c>
      <c r="AE1313" s="22">
        <f t="shared" si="261"/>
        <v>0</v>
      </c>
      <c r="AF1313" s="19" t="str">
        <f>VLOOKUP(C1313,'2021-22 School Level AAFTE'!C:N,12,FALSE)</f>
        <v>No</v>
      </c>
    </row>
    <row r="1314" spans="1:32" s="5" customFormat="1">
      <c r="A1314" s="97" t="s">
        <v>2366</v>
      </c>
      <c r="B1314" s="97" t="s">
        <v>979</v>
      </c>
      <c r="C1314" s="95">
        <v>4208</v>
      </c>
      <c r="D1314" s="95" t="s">
        <v>1002</v>
      </c>
      <c r="E1314" s="129">
        <f>VLOOKUP($C1314,'2021-22 School Level AAFTE'!$C:$Z,11,FALSE)</f>
        <v>8.776666666666666E-2</v>
      </c>
      <c r="F1314" s="129" t="str">
        <f>VLOOKUP($C1314,'2021-22 School Level AAFTE'!$C:$Z,8,FALSE)</f>
        <v>No</v>
      </c>
      <c r="G1314" s="129" t="str">
        <f>VLOOKUP($C1314,'2021-22 School Level AAFTE'!$C:$Z,12,FALSE)</f>
        <v>No</v>
      </c>
      <c r="H1314" s="127">
        <f>VLOOKUP($C1314,'2021-22 School Level AAFTE'!$C:$I,7,FALSE)</f>
        <v>1636.2</v>
      </c>
      <c r="I1314" s="112">
        <f>IFERROR(IF(OR(G1314="yes",F1314= "yes"),VLOOKUP(C1314,Summary!$B:$J,6,0),0),0)</f>
        <v>0</v>
      </c>
      <c r="J1314" s="111">
        <f t="shared" si="252"/>
        <v>0</v>
      </c>
      <c r="K1314" s="91">
        <f>VLOOKUP($A1314,'2022-23 Salary &amp; Benefits'!$A:$I,3,FALSE)</f>
        <v>1.18</v>
      </c>
      <c r="L1314" s="91">
        <f>VLOOKUP($A1314,'2022-23 Salary &amp; Benefits'!$A:$I,4,FALSE)</f>
        <v>1.18</v>
      </c>
      <c r="M1314" s="39">
        <f t="shared" si="259"/>
        <v>0</v>
      </c>
      <c r="N1314" s="24">
        <v>15</v>
      </c>
      <c r="O1314" s="26">
        <f t="shared" si="250"/>
        <v>0</v>
      </c>
      <c r="P1314" s="24">
        <v>1.1000000000000001</v>
      </c>
      <c r="Q1314" s="24">
        <v>36</v>
      </c>
      <c r="R1314" s="27">
        <f t="shared" si="251"/>
        <v>0</v>
      </c>
      <c r="S1314" s="102">
        <f t="shared" si="253"/>
        <v>0</v>
      </c>
      <c r="T1314" s="21">
        <f>VLOOKUP($A1314,'2022-23 Salary &amp; Benefits'!$A:$I,5,FALSE)</f>
        <v>68937</v>
      </c>
      <c r="U1314" s="21">
        <f>VLOOKUP($A1314,'2022-23 Salary &amp; Benefits'!$A:$I,6,FALSE)</f>
        <v>72728</v>
      </c>
      <c r="V1314" s="22">
        <f t="shared" si="254"/>
        <v>0</v>
      </c>
      <c r="W1314" s="22">
        <f t="shared" si="255"/>
        <v>0</v>
      </c>
      <c r="X1314" s="22">
        <f>'2022-23 Salary &amp; Benefits'!$G$6</f>
        <v>12558.24</v>
      </c>
      <c r="Y1314" s="23">
        <f>'2022-23 Salary &amp; Benefits'!$H$6</f>
        <v>0.2298</v>
      </c>
      <c r="Z1314" s="23">
        <f>'2022-23 Salary &amp; Benefits'!$I$6</f>
        <v>0.22339999999999999</v>
      </c>
      <c r="AA1314" s="22">
        <f t="shared" si="256"/>
        <v>0</v>
      </c>
      <c r="AB1314" s="22">
        <f t="shared" si="257"/>
        <v>0</v>
      </c>
      <c r="AC1314" s="22">
        <f t="shared" si="258"/>
        <v>0</v>
      </c>
      <c r="AD1314" s="22">
        <f t="shared" si="260"/>
        <v>0</v>
      </c>
      <c r="AE1314" s="22">
        <f t="shared" si="261"/>
        <v>0</v>
      </c>
      <c r="AF1314" s="19" t="str">
        <f>VLOOKUP(C1314,'2021-22 School Level AAFTE'!C:N,12,FALSE)</f>
        <v>No</v>
      </c>
    </row>
    <row r="1315" spans="1:32" s="5" customFormat="1">
      <c r="A1315" s="97" t="s">
        <v>2366</v>
      </c>
      <c r="B1315" s="97" t="s">
        <v>979</v>
      </c>
      <c r="C1315" s="95">
        <v>4306</v>
      </c>
      <c r="D1315" s="95" t="s">
        <v>1003</v>
      </c>
      <c r="E1315" s="129">
        <f>VLOOKUP($C1315,'2021-22 School Level AAFTE'!$C:$Z,11,FALSE)</f>
        <v>3.7333333333333329E-2</v>
      </c>
      <c r="F1315" s="129" t="str">
        <f>VLOOKUP($C1315,'2021-22 School Level AAFTE'!$C:$Z,8,FALSE)</f>
        <v>No</v>
      </c>
      <c r="G1315" s="129" t="str">
        <f>VLOOKUP($C1315,'2021-22 School Level AAFTE'!$C:$Z,12,FALSE)</f>
        <v>No</v>
      </c>
      <c r="H1315" s="127">
        <f>VLOOKUP($C1315,'2021-22 School Level AAFTE'!$C:$I,7,FALSE)</f>
        <v>779.86</v>
      </c>
      <c r="I1315" s="112">
        <f>IFERROR(IF(OR(G1315="yes",F1315= "yes"),VLOOKUP(C1315,Summary!$B:$J,6,0),0),0)</f>
        <v>0</v>
      </c>
      <c r="J1315" s="111">
        <f t="shared" si="252"/>
        <v>0</v>
      </c>
      <c r="K1315" s="91">
        <f>VLOOKUP($A1315,'2022-23 Salary &amp; Benefits'!$A:$I,3,FALSE)</f>
        <v>1.18</v>
      </c>
      <c r="L1315" s="91">
        <f>VLOOKUP($A1315,'2022-23 Salary &amp; Benefits'!$A:$I,4,FALSE)</f>
        <v>1.18</v>
      </c>
      <c r="M1315" s="39">
        <f t="shared" si="259"/>
        <v>0</v>
      </c>
      <c r="N1315" s="24">
        <v>15</v>
      </c>
      <c r="O1315" s="26">
        <f t="shared" si="250"/>
        <v>0</v>
      </c>
      <c r="P1315" s="24">
        <v>1.1000000000000001</v>
      </c>
      <c r="Q1315" s="24">
        <v>36</v>
      </c>
      <c r="R1315" s="27">
        <f t="shared" si="251"/>
        <v>0</v>
      </c>
      <c r="S1315" s="102">
        <f t="shared" si="253"/>
        <v>0</v>
      </c>
      <c r="T1315" s="21">
        <f>VLOOKUP($A1315,'2022-23 Salary &amp; Benefits'!$A:$I,5,FALSE)</f>
        <v>68937</v>
      </c>
      <c r="U1315" s="21">
        <f>VLOOKUP($A1315,'2022-23 Salary &amp; Benefits'!$A:$I,6,FALSE)</f>
        <v>72728</v>
      </c>
      <c r="V1315" s="22">
        <f t="shared" si="254"/>
        <v>0</v>
      </c>
      <c r="W1315" s="22">
        <f t="shared" si="255"/>
        <v>0</v>
      </c>
      <c r="X1315" s="22">
        <f>'2022-23 Salary &amp; Benefits'!$G$6</f>
        <v>12558.24</v>
      </c>
      <c r="Y1315" s="23">
        <f>'2022-23 Salary &amp; Benefits'!$H$6</f>
        <v>0.2298</v>
      </c>
      <c r="Z1315" s="23">
        <f>'2022-23 Salary &amp; Benefits'!$I$6</f>
        <v>0.22339999999999999</v>
      </c>
      <c r="AA1315" s="22">
        <f t="shared" si="256"/>
        <v>0</v>
      </c>
      <c r="AB1315" s="22">
        <f t="shared" si="257"/>
        <v>0</v>
      </c>
      <c r="AC1315" s="22">
        <f t="shared" si="258"/>
        <v>0</v>
      </c>
      <c r="AD1315" s="22">
        <f t="shared" si="260"/>
        <v>0</v>
      </c>
      <c r="AE1315" s="22">
        <f t="shared" si="261"/>
        <v>0</v>
      </c>
      <c r="AF1315" s="19" t="str">
        <f>VLOOKUP(C1315,'2021-22 School Level AAFTE'!C:N,12,FALSE)</f>
        <v>No</v>
      </c>
    </row>
    <row r="1316" spans="1:32" s="5" customFormat="1">
      <c r="A1316" s="97" t="s">
        <v>2366</v>
      </c>
      <c r="B1316" s="97" t="s">
        <v>979</v>
      </c>
      <c r="C1316" s="95">
        <v>4355</v>
      </c>
      <c r="D1316" s="95" t="s">
        <v>1004</v>
      </c>
      <c r="E1316" s="129">
        <f>VLOOKUP($C1316,'2021-22 School Level AAFTE'!$C:$Z,11,FALSE)</f>
        <v>0.14773333333333333</v>
      </c>
      <c r="F1316" s="129" t="str">
        <f>VLOOKUP($C1316,'2021-22 School Level AAFTE'!$C:$Z,8,FALSE)</f>
        <v>No</v>
      </c>
      <c r="G1316" s="129" t="str">
        <f>VLOOKUP($C1316,'2021-22 School Level AAFTE'!$C:$Z,12,FALSE)</f>
        <v>No</v>
      </c>
      <c r="H1316" s="127">
        <f>VLOOKUP($C1316,'2021-22 School Level AAFTE'!$C:$I,7,FALSE)</f>
        <v>471.16</v>
      </c>
      <c r="I1316" s="112">
        <f>IFERROR(IF(OR(G1316="yes",F1316= "yes"),VLOOKUP(C1316,Summary!$B:$J,6,0),0),0)</f>
        <v>0</v>
      </c>
      <c r="J1316" s="111">
        <f t="shared" si="252"/>
        <v>0</v>
      </c>
      <c r="K1316" s="91">
        <f>VLOOKUP($A1316,'2022-23 Salary &amp; Benefits'!$A:$I,3,FALSE)</f>
        <v>1.18</v>
      </c>
      <c r="L1316" s="91">
        <f>VLOOKUP($A1316,'2022-23 Salary &amp; Benefits'!$A:$I,4,FALSE)</f>
        <v>1.18</v>
      </c>
      <c r="M1316" s="39">
        <f t="shared" si="259"/>
        <v>0</v>
      </c>
      <c r="N1316" s="24">
        <v>15</v>
      </c>
      <c r="O1316" s="26">
        <f t="shared" si="250"/>
        <v>0</v>
      </c>
      <c r="P1316" s="24">
        <v>1.1000000000000001</v>
      </c>
      <c r="Q1316" s="24">
        <v>36</v>
      </c>
      <c r="R1316" s="27">
        <f t="shared" si="251"/>
        <v>0</v>
      </c>
      <c r="S1316" s="102">
        <f t="shared" si="253"/>
        <v>0</v>
      </c>
      <c r="T1316" s="21">
        <f>VLOOKUP($A1316,'2022-23 Salary &amp; Benefits'!$A:$I,5,FALSE)</f>
        <v>68937</v>
      </c>
      <c r="U1316" s="21">
        <f>VLOOKUP($A1316,'2022-23 Salary &amp; Benefits'!$A:$I,6,FALSE)</f>
        <v>72728</v>
      </c>
      <c r="V1316" s="22">
        <f t="shared" si="254"/>
        <v>0</v>
      </c>
      <c r="W1316" s="22">
        <f t="shared" si="255"/>
        <v>0</v>
      </c>
      <c r="X1316" s="22">
        <f>'2022-23 Salary &amp; Benefits'!$G$6</f>
        <v>12558.24</v>
      </c>
      <c r="Y1316" s="23">
        <f>'2022-23 Salary &amp; Benefits'!$H$6</f>
        <v>0.2298</v>
      </c>
      <c r="Z1316" s="23">
        <f>'2022-23 Salary &amp; Benefits'!$I$6</f>
        <v>0.22339999999999999</v>
      </c>
      <c r="AA1316" s="22">
        <f t="shared" si="256"/>
        <v>0</v>
      </c>
      <c r="AB1316" s="22">
        <f t="shared" si="257"/>
        <v>0</v>
      </c>
      <c r="AC1316" s="22">
        <f t="shared" si="258"/>
        <v>0</v>
      </c>
      <c r="AD1316" s="22">
        <f t="shared" si="260"/>
        <v>0</v>
      </c>
      <c r="AE1316" s="22">
        <f t="shared" si="261"/>
        <v>0</v>
      </c>
      <c r="AF1316" s="19" t="str">
        <f>VLOOKUP(C1316,'2021-22 School Level AAFTE'!C:N,12,FALSE)</f>
        <v>No</v>
      </c>
    </row>
    <row r="1317" spans="1:32" s="5" customFormat="1">
      <c r="A1317" s="97" t="s">
        <v>2366</v>
      </c>
      <c r="B1317" s="97" t="s">
        <v>979</v>
      </c>
      <c r="C1317" s="95">
        <v>4371</v>
      </c>
      <c r="D1317" s="95" t="s">
        <v>1005</v>
      </c>
      <c r="E1317" s="129">
        <f>VLOOKUP($C1317,'2021-22 School Level AAFTE'!$C:$Z,11,FALSE)</f>
        <v>0.13473333333333334</v>
      </c>
      <c r="F1317" s="129" t="str">
        <f>VLOOKUP($C1317,'2021-22 School Level AAFTE'!$C:$Z,8,FALSE)</f>
        <v>No</v>
      </c>
      <c r="G1317" s="129" t="str">
        <f>VLOOKUP($C1317,'2021-22 School Level AAFTE'!$C:$Z,12,FALSE)</f>
        <v>No</v>
      </c>
      <c r="H1317" s="127">
        <f>VLOOKUP($C1317,'2021-22 School Level AAFTE'!$C:$I,7,FALSE)</f>
        <v>1150.81</v>
      </c>
      <c r="I1317" s="112">
        <f>IFERROR(IF(OR(G1317="yes",F1317= "yes"),VLOOKUP(C1317,Summary!$B:$J,6,0),0),0)</f>
        <v>0</v>
      </c>
      <c r="J1317" s="111">
        <f t="shared" si="252"/>
        <v>0</v>
      </c>
      <c r="K1317" s="91">
        <f>VLOOKUP($A1317,'2022-23 Salary &amp; Benefits'!$A:$I,3,FALSE)</f>
        <v>1.18</v>
      </c>
      <c r="L1317" s="91">
        <f>VLOOKUP($A1317,'2022-23 Salary &amp; Benefits'!$A:$I,4,FALSE)</f>
        <v>1.18</v>
      </c>
      <c r="M1317" s="39">
        <f t="shared" si="259"/>
        <v>0</v>
      </c>
      <c r="N1317" s="24">
        <v>15</v>
      </c>
      <c r="O1317" s="26">
        <f t="shared" si="250"/>
        <v>0</v>
      </c>
      <c r="P1317" s="24">
        <v>1.1000000000000001</v>
      </c>
      <c r="Q1317" s="24">
        <v>36</v>
      </c>
      <c r="R1317" s="27">
        <f t="shared" si="251"/>
        <v>0</v>
      </c>
      <c r="S1317" s="102">
        <f t="shared" si="253"/>
        <v>0</v>
      </c>
      <c r="T1317" s="21">
        <f>VLOOKUP($A1317,'2022-23 Salary &amp; Benefits'!$A:$I,5,FALSE)</f>
        <v>68937</v>
      </c>
      <c r="U1317" s="21">
        <f>VLOOKUP($A1317,'2022-23 Salary &amp; Benefits'!$A:$I,6,FALSE)</f>
        <v>72728</v>
      </c>
      <c r="V1317" s="22">
        <f t="shared" si="254"/>
        <v>0</v>
      </c>
      <c r="W1317" s="22">
        <f t="shared" si="255"/>
        <v>0</v>
      </c>
      <c r="X1317" s="22">
        <f>'2022-23 Salary &amp; Benefits'!$G$6</f>
        <v>12558.24</v>
      </c>
      <c r="Y1317" s="23">
        <f>'2022-23 Salary &amp; Benefits'!$H$6</f>
        <v>0.2298</v>
      </c>
      <c r="Z1317" s="23">
        <f>'2022-23 Salary &amp; Benefits'!$I$6</f>
        <v>0.22339999999999999</v>
      </c>
      <c r="AA1317" s="22">
        <f t="shared" si="256"/>
        <v>0</v>
      </c>
      <c r="AB1317" s="22">
        <f t="shared" si="257"/>
        <v>0</v>
      </c>
      <c r="AC1317" s="22">
        <f t="shared" si="258"/>
        <v>0</v>
      </c>
      <c r="AD1317" s="22">
        <f t="shared" si="260"/>
        <v>0</v>
      </c>
      <c r="AE1317" s="22">
        <f t="shared" si="261"/>
        <v>0</v>
      </c>
      <c r="AF1317" s="19" t="str">
        <f>VLOOKUP(C1317,'2021-22 School Level AAFTE'!C:N,12,FALSE)</f>
        <v>No</v>
      </c>
    </row>
    <row r="1318" spans="1:32" s="5" customFormat="1">
      <c r="A1318" s="97" t="s">
        <v>2366</v>
      </c>
      <c r="B1318" s="97" t="s">
        <v>979</v>
      </c>
      <c r="C1318" s="95">
        <v>4377</v>
      </c>
      <c r="D1318" s="95" t="s">
        <v>1006</v>
      </c>
      <c r="E1318" s="129">
        <f>VLOOKUP($C1318,'2021-22 School Level AAFTE'!$C:$Z,11,FALSE)</f>
        <v>0.20980000000000001</v>
      </c>
      <c r="F1318" s="129" t="str">
        <f>VLOOKUP($C1318,'2021-22 School Level AAFTE'!$C:$Z,8,FALSE)</f>
        <v>No</v>
      </c>
      <c r="G1318" s="129" t="str">
        <f>VLOOKUP($C1318,'2021-22 School Level AAFTE'!$C:$Z,12,FALSE)</f>
        <v>No</v>
      </c>
      <c r="H1318" s="127">
        <f>VLOOKUP($C1318,'2021-22 School Level AAFTE'!$C:$I,7,FALSE)</f>
        <v>516.97</v>
      </c>
      <c r="I1318" s="112">
        <f>IFERROR(IF(OR(G1318="yes",F1318= "yes"),VLOOKUP(C1318,Summary!$B:$J,6,0),0),0)</f>
        <v>0</v>
      </c>
      <c r="J1318" s="111">
        <f t="shared" si="252"/>
        <v>0</v>
      </c>
      <c r="K1318" s="91">
        <f>VLOOKUP($A1318,'2022-23 Salary &amp; Benefits'!$A:$I,3,FALSE)</f>
        <v>1.18</v>
      </c>
      <c r="L1318" s="91">
        <f>VLOOKUP($A1318,'2022-23 Salary &amp; Benefits'!$A:$I,4,FALSE)</f>
        <v>1.18</v>
      </c>
      <c r="M1318" s="39">
        <f t="shared" si="259"/>
        <v>0</v>
      </c>
      <c r="N1318" s="24">
        <v>15</v>
      </c>
      <c r="O1318" s="26">
        <f t="shared" si="250"/>
        <v>0</v>
      </c>
      <c r="P1318" s="24">
        <v>1.1000000000000001</v>
      </c>
      <c r="Q1318" s="24">
        <v>36</v>
      </c>
      <c r="R1318" s="27">
        <f t="shared" si="251"/>
        <v>0</v>
      </c>
      <c r="S1318" s="102">
        <f t="shared" si="253"/>
        <v>0</v>
      </c>
      <c r="T1318" s="21">
        <f>VLOOKUP($A1318,'2022-23 Salary &amp; Benefits'!$A:$I,5,FALSE)</f>
        <v>68937</v>
      </c>
      <c r="U1318" s="21">
        <f>VLOOKUP($A1318,'2022-23 Salary &amp; Benefits'!$A:$I,6,FALSE)</f>
        <v>72728</v>
      </c>
      <c r="V1318" s="22">
        <f t="shared" si="254"/>
        <v>0</v>
      </c>
      <c r="W1318" s="22">
        <f t="shared" si="255"/>
        <v>0</v>
      </c>
      <c r="X1318" s="22">
        <f>'2022-23 Salary &amp; Benefits'!$G$6</f>
        <v>12558.24</v>
      </c>
      <c r="Y1318" s="23">
        <f>'2022-23 Salary &amp; Benefits'!$H$6</f>
        <v>0.2298</v>
      </c>
      <c r="Z1318" s="23">
        <f>'2022-23 Salary &amp; Benefits'!$I$6</f>
        <v>0.22339999999999999</v>
      </c>
      <c r="AA1318" s="22">
        <f t="shared" si="256"/>
        <v>0</v>
      </c>
      <c r="AB1318" s="22">
        <f t="shared" si="257"/>
        <v>0</v>
      </c>
      <c r="AC1318" s="22">
        <f t="shared" si="258"/>
        <v>0</v>
      </c>
      <c r="AD1318" s="22">
        <f t="shared" si="260"/>
        <v>0</v>
      </c>
      <c r="AE1318" s="22">
        <f t="shared" si="261"/>
        <v>0</v>
      </c>
      <c r="AF1318" s="19" t="str">
        <f>VLOOKUP(C1318,'2021-22 School Level AAFTE'!C:N,12,FALSE)</f>
        <v>No</v>
      </c>
    </row>
    <row r="1319" spans="1:32" s="5" customFormat="1">
      <c r="A1319" s="97" t="s">
        <v>2366</v>
      </c>
      <c r="B1319" s="97" t="s">
        <v>979</v>
      </c>
      <c r="C1319" s="95">
        <v>4379</v>
      </c>
      <c r="D1319" s="95" t="s">
        <v>1007</v>
      </c>
      <c r="E1319" s="129">
        <f>VLOOKUP($C1319,'2021-22 School Level AAFTE'!$C:$Z,11,FALSE)</f>
        <v>5.5833333333333339E-2</v>
      </c>
      <c r="F1319" s="129" t="str">
        <f>VLOOKUP($C1319,'2021-22 School Level AAFTE'!$C:$Z,8,FALSE)</f>
        <v>No</v>
      </c>
      <c r="G1319" s="129" t="str">
        <f>VLOOKUP($C1319,'2021-22 School Level AAFTE'!$C:$Z,12,FALSE)</f>
        <v>No</v>
      </c>
      <c r="H1319" s="127">
        <f>VLOOKUP($C1319,'2021-22 School Level AAFTE'!$C:$I,7,FALSE)</f>
        <v>370.6</v>
      </c>
      <c r="I1319" s="112">
        <f>IFERROR(IF(OR(G1319="yes",F1319= "yes"),VLOOKUP(C1319,Summary!$B:$J,6,0),0),0)</f>
        <v>0</v>
      </c>
      <c r="J1319" s="111">
        <f t="shared" si="252"/>
        <v>0</v>
      </c>
      <c r="K1319" s="91">
        <f>VLOOKUP($A1319,'2022-23 Salary &amp; Benefits'!$A:$I,3,FALSE)</f>
        <v>1.18</v>
      </c>
      <c r="L1319" s="91">
        <f>VLOOKUP($A1319,'2022-23 Salary &amp; Benefits'!$A:$I,4,FALSE)</f>
        <v>1.18</v>
      </c>
      <c r="M1319" s="39">
        <f t="shared" si="259"/>
        <v>0</v>
      </c>
      <c r="N1319" s="24">
        <v>15</v>
      </c>
      <c r="O1319" s="26">
        <f t="shared" si="250"/>
        <v>0</v>
      </c>
      <c r="P1319" s="24">
        <v>1.1000000000000001</v>
      </c>
      <c r="Q1319" s="24">
        <v>36</v>
      </c>
      <c r="R1319" s="27">
        <f t="shared" si="251"/>
        <v>0</v>
      </c>
      <c r="S1319" s="102">
        <f t="shared" si="253"/>
        <v>0</v>
      </c>
      <c r="T1319" s="21">
        <f>VLOOKUP($A1319,'2022-23 Salary &amp; Benefits'!$A:$I,5,FALSE)</f>
        <v>68937</v>
      </c>
      <c r="U1319" s="21">
        <f>VLOOKUP($A1319,'2022-23 Salary &amp; Benefits'!$A:$I,6,FALSE)</f>
        <v>72728</v>
      </c>
      <c r="V1319" s="22">
        <f t="shared" si="254"/>
        <v>0</v>
      </c>
      <c r="W1319" s="22">
        <f t="shared" si="255"/>
        <v>0</v>
      </c>
      <c r="X1319" s="22">
        <f>'2022-23 Salary &amp; Benefits'!$G$6</f>
        <v>12558.24</v>
      </c>
      <c r="Y1319" s="23">
        <f>'2022-23 Salary &amp; Benefits'!$H$6</f>
        <v>0.2298</v>
      </c>
      <c r="Z1319" s="23">
        <f>'2022-23 Salary &amp; Benefits'!$I$6</f>
        <v>0.22339999999999999</v>
      </c>
      <c r="AA1319" s="22">
        <f t="shared" si="256"/>
        <v>0</v>
      </c>
      <c r="AB1319" s="22">
        <f t="shared" si="257"/>
        <v>0</v>
      </c>
      <c r="AC1319" s="22">
        <f t="shared" si="258"/>
        <v>0</v>
      </c>
      <c r="AD1319" s="22">
        <f t="shared" si="260"/>
        <v>0</v>
      </c>
      <c r="AE1319" s="22">
        <f t="shared" si="261"/>
        <v>0</v>
      </c>
      <c r="AF1319" s="19" t="str">
        <f>VLOOKUP(C1319,'2021-22 School Level AAFTE'!C:N,12,FALSE)</f>
        <v>No</v>
      </c>
    </row>
    <row r="1320" spans="1:32" s="5" customFormat="1">
      <c r="A1320" s="97" t="s">
        <v>2366</v>
      </c>
      <c r="B1320" s="97" t="s">
        <v>979</v>
      </c>
      <c r="C1320" s="95">
        <v>4455</v>
      </c>
      <c r="D1320" s="95" t="s">
        <v>1008</v>
      </c>
      <c r="E1320" s="129">
        <f>VLOOKUP($C1320,'2021-22 School Level AAFTE'!$C:$Z,11,FALSE)</f>
        <v>4.6600000000000003E-2</v>
      </c>
      <c r="F1320" s="129" t="str">
        <f>VLOOKUP($C1320,'2021-22 School Level AAFTE'!$C:$Z,8,FALSE)</f>
        <v>No</v>
      </c>
      <c r="G1320" s="129" t="str">
        <f>VLOOKUP($C1320,'2021-22 School Level AAFTE'!$C:$Z,12,FALSE)</f>
        <v>No</v>
      </c>
      <c r="H1320" s="127">
        <f>VLOOKUP($C1320,'2021-22 School Level AAFTE'!$C:$I,7,FALSE)</f>
        <v>666.32</v>
      </c>
      <c r="I1320" s="112">
        <f>IFERROR(IF(OR(G1320="yes",F1320= "yes"),VLOOKUP(C1320,Summary!$B:$J,6,0),0),0)</f>
        <v>0</v>
      </c>
      <c r="J1320" s="111">
        <f t="shared" si="252"/>
        <v>0</v>
      </c>
      <c r="K1320" s="91">
        <f>VLOOKUP($A1320,'2022-23 Salary &amp; Benefits'!$A:$I,3,FALSE)</f>
        <v>1.18</v>
      </c>
      <c r="L1320" s="91">
        <f>VLOOKUP($A1320,'2022-23 Salary &amp; Benefits'!$A:$I,4,FALSE)</f>
        <v>1.18</v>
      </c>
      <c r="M1320" s="39">
        <f t="shared" si="259"/>
        <v>0</v>
      </c>
      <c r="N1320" s="24">
        <v>15</v>
      </c>
      <c r="O1320" s="26">
        <f t="shared" si="250"/>
        <v>0</v>
      </c>
      <c r="P1320" s="24">
        <v>1.1000000000000001</v>
      </c>
      <c r="Q1320" s="24">
        <v>36</v>
      </c>
      <c r="R1320" s="27">
        <f t="shared" si="251"/>
        <v>0</v>
      </c>
      <c r="S1320" s="102">
        <f t="shared" si="253"/>
        <v>0</v>
      </c>
      <c r="T1320" s="21">
        <f>VLOOKUP($A1320,'2022-23 Salary &amp; Benefits'!$A:$I,5,FALSE)</f>
        <v>68937</v>
      </c>
      <c r="U1320" s="21">
        <f>VLOOKUP($A1320,'2022-23 Salary &amp; Benefits'!$A:$I,6,FALSE)</f>
        <v>72728</v>
      </c>
      <c r="V1320" s="22">
        <f t="shared" si="254"/>
        <v>0</v>
      </c>
      <c r="W1320" s="22">
        <f t="shared" si="255"/>
        <v>0</v>
      </c>
      <c r="X1320" s="22">
        <f>'2022-23 Salary &amp; Benefits'!$G$6</f>
        <v>12558.24</v>
      </c>
      <c r="Y1320" s="23">
        <f>'2022-23 Salary &amp; Benefits'!$H$6</f>
        <v>0.2298</v>
      </c>
      <c r="Z1320" s="23">
        <f>'2022-23 Salary &amp; Benefits'!$I$6</f>
        <v>0.22339999999999999</v>
      </c>
      <c r="AA1320" s="22">
        <f t="shared" si="256"/>
        <v>0</v>
      </c>
      <c r="AB1320" s="22">
        <f t="shared" si="257"/>
        <v>0</v>
      </c>
      <c r="AC1320" s="22">
        <f t="shared" si="258"/>
        <v>0</v>
      </c>
      <c r="AD1320" s="22">
        <f t="shared" si="260"/>
        <v>0</v>
      </c>
      <c r="AE1320" s="22">
        <f t="shared" si="261"/>
        <v>0</v>
      </c>
      <c r="AF1320" s="19" t="str">
        <f>VLOOKUP(C1320,'2021-22 School Level AAFTE'!C:N,12,FALSE)</f>
        <v>No</v>
      </c>
    </row>
    <row r="1321" spans="1:32" s="5" customFormat="1">
      <c r="A1321" s="97" t="s">
        <v>2366</v>
      </c>
      <c r="B1321" s="97" t="s">
        <v>979</v>
      </c>
      <c r="C1321" s="95">
        <v>4516</v>
      </c>
      <c r="D1321" s="95" t="s">
        <v>1009</v>
      </c>
      <c r="E1321" s="129">
        <f>VLOOKUP($C1321,'2021-22 School Level AAFTE'!$C:$Z,11,FALSE)</f>
        <v>5.4400000000000004E-2</v>
      </c>
      <c r="F1321" s="129" t="str">
        <f>VLOOKUP($C1321,'2021-22 School Level AAFTE'!$C:$Z,8,FALSE)</f>
        <v>No</v>
      </c>
      <c r="G1321" s="129" t="str">
        <f>VLOOKUP($C1321,'2021-22 School Level AAFTE'!$C:$Z,12,FALSE)</f>
        <v>No</v>
      </c>
      <c r="H1321" s="127">
        <f>VLOOKUP($C1321,'2021-22 School Level AAFTE'!$C:$I,7,FALSE)</f>
        <v>714</v>
      </c>
      <c r="I1321" s="112">
        <f>IFERROR(IF(OR(G1321="yes",F1321= "yes"),VLOOKUP(C1321,Summary!$B:$J,6,0),0),0)</f>
        <v>0</v>
      </c>
      <c r="J1321" s="111">
        <f t="shared" si="252"/>
        <v>0</v>
      </c>
      <c r="K1321" s="91">
        <f>VLOOKUP($A1321,'2022-23 Salary &amp; Benefits'!$A:$I,3,FALSE)</f>
        <v>1.18</v>
      </c>
      <c r="L1321" s="91">
        <f>VLOOKUP($A1321,'2022-23 Salary &amp; Benefits'!$A:$I,4,FALSE)</f>
        <v>1.18</v>
      </c>
      <c r="M1321" s="39">
        <f t="shared" si="259"/>
        <v>0</v>
      </c>
      <c r="N1321" s="24">
        <v>15</v>
      </c>
      <c r="O1321" s="26">
        <f t="shared" si="250"/>
        <v>0</v>
      </c>
      <c r="P1321" s="24">
        <v>1.1000000000000001</v>
      </c>
      <c r="Q1321" s="24">
        <v>36</v>
      </c>
      <c r="R1321" s="27">
        <f t="shared" si="251"/>
        <v>0</v>
      </c>
      <c r="S1321" s="102">
        <f t="shared" si="253"/>
        <v>0</v>
      </c>
      <c r="T1321" s="21">
        <f>VLOOKUP($A1321,'2022-23 Salary &amp; Benefits'!$A:$I,5,FALSE)</f>
        <v>68937</v>
      </c>
      <c r="U1321" s="21">
        <f>VLOOKUP($A1321,'2022-23 Salary &amp; Benefits'!$A:$I,6,FALSE)</f>
        <v>72728</v>
      </c>
      <c r="V1321" s="22">
        <f t="shared" si="254"/>
        <v>0</v>
      </c>
      <c r="W1321" s="22">
        <f t="shared" si="255"/>
        <v>0</v>
      </c>
      <c r="X1321" s="22">
        <f>'2022-23 Salary &amp; Benefits'!$G$6</f>
        <v>12558.24</v>
      </c>
      <c r="Y1321" s="23">
        <f>'2022-23 Salary &amp; Benefits'!$H$6</f>
        <v>0.2298</v>
      </c>
      <c r="Z1321" s="23">
        <f>'2022-23 Salary &amp; Benefits'!$I$6</f>
        <v>0.22339999999999999</v>
      </c>
      <c r="AA1321" s="22">
        <f t="shared" si="256"/>
        <v>0</v>
      </c>
      <c r="AB1321" s="22">
        <f t="shared" si="257"/>
        <v>0</v>
      </c>
      <c r="AC1321" s="22">
        <f t="shared" si="258"/>
        <v>0</v>
      </c>
      <c r="AD1321" s="22">
        <f t="shared" si="260"/>
        <v>0</v>
      </c>
      <c r="AE1321" s="22">
        <f t="shared" si="261"/>
        <v>0</v>
      </c>
      <c r="AF1321" s="19" t="str">
        <f>VLOOKUP(C1321,'2021-22 School Level AAFTE'!C:N,12,FALSE)</f>
        <v>No</v>
      </c>
    </row>
    <row r="1322" spans="1:32" s="5" customFormat="1">
      <c r="A1322" s="97" t="s">
        <v>2366</v>
      </c>
      <c r="B1322" s="97" t="s">
        <v>979</v>
      </c>
      <c r="C1322" s="95">
        <v>5331</v>
      </c>
      <c r="D1322" s="95" t="s">
        <v>1010</v>
      </c>
      <c r="E1322" s="129">
        <f>VLOOKUP($C1322,'2021-22 School Level AAFTE'!$C:$Z,11,FALSE)</f>
        <v>0.21930000000000002</v>
      </c>
      <c r="F1322" s="129" t="str">
        <f>VLOOKUP($C1322,'2021-22 School Level AAFTE'!$C:$Z,8,FALSE)</f>
        <v>No</v>
      </c>
      <c r="G1322" s="129" t="str">
        <f>VLOOKUP($C1322,'2021-22 School Level AAFTE'!$C:$Z,12,FALSE)</f>
        <v>No</v>
      </c>
      <c r="H1322" s="127">
        <f>VLOOKUP($C1322,'2021-22 School Level AAFTE'!$C:$I,7,FALSE)</f>
        <v>4.1399999999999997</v>
      </c>
      <c r="I1322" s="112">
        <f>IFERROR(IF(OR(G1322="yes",F1322= "yes"),VLOOKUP(C1322,Summary!$B:$J,6,0),0),0)</f>
        <v>0</v>
      </c>
      <c r="J1322" s="111">
        <f t="shared" si="252"/>
        <v>0</v>
      </c>
      <c r="K1322" s="91">
        <f>VLOOKUP($A1322,'2022-23 Salary &amp; Benefits'!$A:$I,3,FALSE)</f>
        <v>1.18</v>
      </c>
      <c r="L1322" s="91">
        <f>VLOOKUP($A1322,'2022-23 Salary &amp; Benefits'!$A:$I,4,FALSE)</f>
        <v>1.18</v>
      </c>
      <c r="M1322" s="39">
        <f t="shared" si="259"/>
        <v>0</v>
      </c>
      <c r="N1322" s="24">
        <v>15</v>
      </c>
      <c r="O1322" s="26">
        <f t="shared" si="250"/>
        <v>0</v>
      </c>
      <c r="P1322" s="24">
        <v>1.1000000000000001</v>
      </c>
      <c r="Q1322" s="24">
        <v>36</v>
      </c>
      <c r="R1322" s="27">
        <f t="shared" si="251"/>
        <v>0</v>
      </c>
      <c r="S1322" s="102">
        <f t="shared" si="253"/>
        <v>0</v>
      </c>
      <c r="T1322" s="21">
        <f>VLOOKUP($A1322,'2022-23 Salary &amp; Benefits'!$A:$I,5,FALSE)</f>
        <v>68937</v>
      </c>
      <c r="U1322" s="21">
        <f>VLOOKUP($A1322,'2022-23 Salary &amp; Benefits'!$A:$I,6,FALSE)</f>
        <v>72728</v>
      </c>
      <c r="V1322" s="22">
        <f t="shared" si="254"/>
        <v>0</v>
      </c>
      <c r="W1322" s="22">
        <f t="shared" si="255"/>
        <v>0</v>
      </c>
      <c r="X1322" s="22">
        <f>'2022-23 Salary &amp; Benefits'!$G$6</f>
        <v>12558.24</v>
      </c>
      <c r="Y1322" s="23">
        <f>'2022-23 Salary &amp; Benefits'!$H$6</f>
        <v>0.2298</v>
      </c>
      <c r="Z1322" s="23">
        <f>'2022-23 Salary &amp; Benefits'!$I$6</f>
        <v>0.22339999999999999</v>
      </c>
      <c r="AA1322" s="22">
        <f t="shared" si="256"/>
        <v>0</v>
      </c>
      <c r="AB1322" s="22">
        <f t="shared" si="257"/>
        <v>0</v>
      </c>
      <c r="AC1322" s="22">
        <f t="shared" si="258"/>
        <v>0</v>
      </c>
      <c r="AD1322" s="22">
        <f t="shared" si="260"/>
        <v>0</v>
      </c>
      <c r="AE1322" s="22">
        <f t="shared" si="261"/>
        <v>0</v>
      </c>
      <c r="AF1322" s="19" t="str">
        <f>VLOOKUP(C1322,'2021-22 School Level AAFTE'!C:N,12,FALSE)</f>
        <v>No</v>
      </c>
    </row>
    <row r="1323" spans="1:32" s="5" customFormat="1">
      <c r="A1323" s="97" t="s">
        <v>2366</v>
      </c>
      <c r="B1323" s="97" t="s">
        <v>979</v>
      </c>
      <c r="C1323" s="95">
        <v>5481</v>
      </c>
      <c r="D1323" s="95" t="s">
        <v>2728</v>
      </c>
      <c r="E1323" s="129">
        <f>VLOOKUP($C1323,'2021-22 School Level AAFTE'!$C:$Z,11,FALSE)</f>
        <v>0.13143333333333332</v>
      </c>
      <c r="F1323" s="129" t="str">
        <f>VLOOKUP($C1323,'2021-22 School Level AAFTE'!$C:$Z,8,FALSE)</f>
        <v>No</v>
      </c>
      <c r="G1323" s="129" t="str">
        <f>VLOOKUP($C1323,'2021-22 School Level AAFTE'!$C:$Z,12,FALSE)</f>
        <v>No</v>
      </c>
      <c r="H1323" s="127">
        <f>VLOOKUP($C1323,'2021-22 School Level AAFTE'!$C:$I,7,FALSE)</f>
        <v>1675.02</v>
      </c>
      <c r="I1323" s="112">
        <f>IFERROR(IF(OR(G1323="yes",F1323= "yes"),VLOOKUP(C1323,Summary!$B:$J,6,0),0),0)</f>
        <v>0</v>
      </c>
      <c r="J1323" s="111">
        <f t="shared" si="252"/>
        <v>0</v>
      </c>
      <c r="K1323" s="91">
        <f>VLOOKUP($A1323,'2022-23 Salary &amp; Benefits'!$A:$I,3,FALSE)</f>
        <v>1.18</v>
      </c>
      <c r="L1323" s="91">
        <f>VLOOKUP($A1323,'2022-23 Salary &amp; Benefits'!$A:$I,4,FALSE)</f>
        <v>1.18</v>
      </c>
      <c r="M1323" s="101">
        <f t="shared" si="259"/>
        <v>0</v>
      </c>
      <c r="N1323" s="24">
        <v>15</v>
      </c>
      <c r="O1323" s="26">
        <f t="shared" si="250"/>
        <v>0</v>
      </c>
      <c r="P1323" s="24">
        <v>1.1000000000000001</v>
      </c>
      <c r="Q1323" s="24">
        <v>36</v>
      </c>
      <c r="R1323" s="27">
        <f t="shared" si="251"/>
        <v>0</v>
      </c>
      <c r="S1323" s="102">
        <f t="shared" si="253"/>
        <v>0</v>
      </c>
      <c r="T1323" s="21">
        <f>VLOOKUP($A1323,'2022-23 Salary &amp; Benefits'!$A:$I,5,FALSE)</f>
        <v>68937</v>
      </c>
      <c r="U1323" s="21">
        <f>VLOOKUP($A1323,'2022-23 Salary &amp; Benefits'!$A:$I,6,FALSE)</f>
        <v>72728</v>
      </c>
      <c r="V1323" s="22">
        <f t="shared" si="254"/>
        <v>0</v>
      </c>
      <c r="W1323" s="22">
        <f t="shared" si="255"/>
        <v>0</v>
      </c>
      <c r="X1323" s="22">
        <f>'2022-23 Salary &amp; Benefits'!$G$6</f>
        <v>12558.24</v>
      </c>
      <c r="Y1323" s="23">
        <f>'2022-23 Salary &amp; Benefits'!$H$6</f>
        <v>0.2298</v>
      </c>
      <c r="Z1323" s="23">
        <f>'2022-23 Salary &amp; Benefits'!$I$6</f>
        <v>0.22339999999999999</v>
      </c>
      <c r="AA1323" s="22">
        <f t="shared" si="256"/>
        <v>0</v>
      </c>
      <c r="AB1323" s="22">
        <f t="shared" si="257"/>
        <v>0</v>
      </c>
      <c r="AC1323" s="22">
        <f t="shared" si="258"/>
        <v>0</v>
      </c>
      <c r="AD1323" s="22">
        <f t="shared" si="260"/>
        <v>0</v>
      </c>
      <c r="AE1323" s="22">
        <f t="shared" si="261"/>
        <v>0</v>
      </c>
      <c r="AF1323" s="19" t="str">
        <f>VLOOKUP(C1323,'2021-22 School Level AAFTE'!C:N,12,FALSE)</f>
        <v>No</v>
      </c>
    </row>
    <row r="1324" spans="1:32" s="5" customFormat="1">
      <c r="A1324" s="97" t="s">
        <v>2366</v>
      </c>
      <c r="B1324" s="97" t="s">
        <v>979</v>
      </c>
      <c r="C1324" s="95">
        <v>5583</v>
      </c>
      <c r="D1324" s="95" t="s">
        <v>2829</v>
      </c>
      <c r="E1324" s="129">
        <f>VLOOKUP($C1324,'2021-22 School Level AAFTE'!$C:$Z,11,FALSE)</f>
        <v>5.3233333333333327E-2</v>
      </c>
      <c r="F1324" s="129" t="str">
        <f>VLOOKUP($C1324,'2021-22 School Level AAFTE'!$C:$Z,8,FALSE)</f>
        <v>No</v>
      </c>
      <c r="G1324" s="129" t="str">
        <f>VLOOKUP($C1324,'2021-22 School Level AAFTE'!$C:$Z,12,FALSE)</f>
        <v>No</v>
      </c>
      <c r="H1324" s="127">
        <f>VLOOKUP($C1324,'2021-22 School Level AAFTE'!$C:$I,7,FALSE)</f>
        <v>185.31</v>
      </c>
      <c r="I1324" s="112">
        <f>IFERROR(IF(OR(G1324="yes",F1324= "yes"),VLOOKUP(C1324,Summary!$B:$J,6,0),0),0)</f>
        <v>0</v>
      </c>
      <c r="J1324" s="111">
        <f t="shared" si="252"/>
        <v>0</v>
      </c>
      <c r="K1324" s="91">
        <f>VLOOKUP($A1324,'2022-23 Salary &amp; Benefits'!$A:$I,3,FALSE)</f>
        <v>1.18</v>
      </c>
      <c r="L1324" s="91">
        <f>VLOOKUP($A1324,'2022-23 Salary &amp; Benefits'!$A:$I,4,FALSE)</f>
        <v>1.18</v>
      </c>
      <c r="M1324" s="39">
        <f t="shared" si="259"/>
        <v>0</v>
      </c>
      <c r="N1324" s="24">
        <v>15</v>
      </c>
      <c r="O1324" s="26">
        <f t="shared" si="250"/>
        <v>0</v>
      </c>
      <c r="P1324" s="24">
        <v>1.1000000000000001</v>
      </c>
      <c r="Q1324" s="24">
        <v>36</v>
      </c>
      <c r="R1324" s="27">
        <f t="shared" si="251"/>
        <v>0</v>
      </c>
      <c r="S1324" s="102">
        <f t="shared" si="253"/>
        <v>0</v>
      </c>
      <c r="T1324" s="21">
        <f>VLOOKUP($A1324,'2022-23 Salary &amp; Benefits'!$A:$I,5,FALSE)</f>
        <v>68937</v>
      </c>
      <c r="U1324" s="21">
        <f>VLOOKUP($A1324,'2022-23 Salary &amp; Benefits'!$A:$I,6,FALSE)</f>
        <v>72728</v>
      </c>
      <c r="V1324" s="22">
        <f t="shared" si="254"/>
        <v>0</v>
      </c>
      <c r="W1324" s="22">
        <f t="shared" si="255"/>
        <v>0</v>
      </c>
      <c r="X1324" s="22">
        <f>'2022-23 Salary &amp; Benefits'!$G$6</f>
        <v>12558.24</v>
      </c>
      <c r="Y1324" s="23">
        <f>'2022-23 Salary &amp; Benefits'!$H$6</f>
        <v>0.2298</v>
      </c>
      <c r="Z1324" s="23">
        <f>'2022-23 Salary &amp; Benefits'!$I$6</f>
        <v>0.22339999999999999</v>
      </c>
      <c r="AA1324" s="22">
        <f t="shared" si="256"/>
        <v>0</v>
      </c>
      <c r="AB1324" s="22">
        <f t="shared" si="257"/>
        <v>0</v>
      </c>
      <c r="AC1324" s="22">
        <f t="shared" si="258"/>
        <v>0</v>
      </c>
      <c r="AD1324" s="22">
        <f t="shared" si="260"/>
        <v>0</v>
      </c>
      <c r="AE1324" s="22">
        <f t="shared" si="261"/>
        <v>0</v>
      </c>
      <c r="AF1324" s="19" t="str">
        <f>VLOOKUP(C1324,'2021-22 School Level AAFTE'!C:N,12,FALSE)</f>
        <v>No</v>
      </c>
    </row>
    <row r="1325" spans="1:32" s="5" customFormat="1">
      <c r="A1325" s="97" t="s">
        <v>2366</v>
      </c>
      <c r="B1325" s="97" t="s">
        <v>979</v>
      </c>
      <c r="C1325" s="95">
        <v>5605</v>
      </c>
      <c r="D1325" s="95" t="s">
        <v>2899</v>
      </c>
      <c r="E1325" s="129">
        <f>VLOOKUP($C1325,'2021-22 School Level AAFTE'!$C:$Z,11,FALSE)</f>
        <v>7.6249999999999998E-2</v>
      </c>
      <c r="F1325" s="129" t="str">
        <f>VLOOKUP($C1325,'2021-22 School Level AAFTE'!$C:$Z,8,FALSE)</f>
        <v>No</v>
      </c>
      <c r="G1325" s="129" t="str">
        <f>VLOOKUP($C1325,'2021-22 School Level AAFTE'!$C:$Z,12,FALSE)</f>
        <v>No</v>
      </c>
      <c r="H1325" s="127">
        <f>VLOOKUP($C1325,'2021-22 School Level AAFTE'!$C:$I,7,FALSE)</f>
        <v>467.91</v>
      </c>
      <c r="I1325" s="112">
        <f>IFERROR(IF(OR(G1325="yes",F1325= "yes"),VLOOKUP(C1325,Summary!$B:$J,6,0),0),0)</f>
        <v>0</v>
      </c>
      <c r="J1325" s="111">
        <f t="shared" si="252"/>
        <v>0</v>
      </c>
      <c r="K1325" s="91">
        <f>VLOOKUP($A1325,'2022-23 Salary &amp; Benefits'!$A:$I,3,FALSE)</f>
        <v>1.18</v>
      </c>
      <c r="L1325" s="91">
        <f>VLOOKUP($A1325,'2022-23 Salary &amp; Benefits'!$A:$I,4,FALSE)</f>
        <v>1.18</v>
      </c>
      <c r="M1325" s="39">
        <f t="shared" si="259"/>
        <v>0</v>
      </c>
      <c r="N1325" s="24">
        <v>15</v>
      </c>
      <c r="O1325" s="26">
        <f t="shared" si="250"/>
        <v>0</v>
      </c>
      <c r="P1325" s="24">
        <v>1.1000000000000001</v>
      </c>
      <c r="Q1325" s="24">
        <v>36</v>
      </c>
      <c r="R1325" s="27">
        <f t="shared" si="251"/>
        <v>0</v>
      </c>
      <c r="S1325" s="102">
        <f t="shared" si="253"/>
        <v>0</v>
      </c>
      <c r="T1325" s="21">
        <f>VLOOKUP($A1325,'2022-23 Salary &amp; Benefits'!$A:$I,5,FALSE)</f>
        <v>68937</v>
      </c>
      <c r="U1325" s="21">
        <f>VLOOKUP($A1325,'2022-23 Salary &amp; Benefits'!$A:$I,6,FALSE)</f>
        <v>72728</v>
      </c>
      <c r="V1325" s="22">
        <f t="shared" si="254"/>
        <v>0</v>
      </c>
      <c r="W1325" s="22">
        <f t="shared" si="255"/>
        <v>0</v>
      </c>
      <c r="X1325" s="22">
        <f>'2022-23 Salary &amp; Benefits'!$G$6</f>
        <v>12558.24</v>
      </c>
      <c r="Y1325" s="23">
        <f>'2022-23 Salary &amp; Benefits'!$H$6</f>
        <v>0.2298</v>
      </c>
      <c r="Z1325" s="23">
        <f>'2022-23 Salary &amp; Benefits'!$I$6</f>
        <v>0.22339999999999999</v>
      </c>
      <c r="AA1325" s="22">
        <f t="shared" si="256"/>
        <v>0</v>
      </c>
      <c r="AB1325" s="22">
        <f t="shared" si="257"/>
        <v>0</v>
      </c>
      <c r="AC1325" s="22">
        <f t="shared" si="258"/>
        <v>0</v>
      </c>
      <c r="AD1325" s="22">
        <f t="shared" si="260"/>
        <v>0</v>
      </c>
      <c r="AE1325" s="22">
        <f t="shared" si="261"/>
        <v>0</v>
      </c>
      <c r="AF1325" s="19" t="str">
        <f>VLOOKUP(C1325,'2021-22 School Level AAFTE'!C:N,12,FALSE)</f>
        <v>No</v>
      </c>
    </row>
    <row r="1326" spans="1:32" s="5" customFormat="1">
      <c r="A1326" s="97" t="s">
        <v>2366</v>
      </c>
      <c r="B1326" s="97" t="s">
        <v>979</v>
      </c>
      <c r="C1326" s="95">
        <v>5606</v>
      </c>
      <c r="D1326" s="95" t="s">
        <v>2898</v>
      </c>
      <c r="E1326" s="129">
        <f>VLOOKUP($C1326,'2021-22 School Level AAFTE'!$C:$Z,11,FALSE)</f>
        <v>9.7750000000000004E-2</v>
      </c>
      <c r="F1326" s="129" t="str">
        <f>VLOOKUP($C1326,'2021-22 School Level AAFTE'!$C:$Z,8,FALSE)</f>
        <v>No</v>
      </c>
      <c r="G1326" s="129" t="str">
        <f>VLOOKUP($C1326,'2021-22 School Level AAFTE'!$C:$Z,12,FALSE)</f>
        <v>No</v>
      </c>
      <c r="H1326" s="127">
        <f>VLOOKUP($C1326,'2021-22 School Level AAFTE'!$C:$I,7,FALSE)</f>
        <v>188.19</v>
      </c>
      <c r="I1326" s="112">
        <f>IFERROR(IF(OR(G1326="yes",F1326= "yes"),VLOOKUP(C1326,Summary!$B:$J,6,0),0),0)</f>
        <v>0</v>
      </c>
      <c r="J1326" s="111">
        <f t="shared" si="252"/>
        <v>0</v>
      </c>
      <c r="K1326" s="91">
        <f>VLOOKUP($A1326,'2022-23 Salary &amp; Benefits'!$A:$I,3,FALSE)</f>
        <v>1.18</v>
      </c>
      <c r="L1326" s="91">
        <f>VLOOKUP($A1326,'2022-23 Salary &amp; Benefits'!$A:$I,4,FALSE)</f>
        <v>1.18</v>
      </c>
      <c r="M1326" s="39">
        <f t="shared" si="259"/>
        <v>0</v>
      </c>
      <c r="N1326" s="24">
        <v>15</v>
      </c>
      <c r="O1326" s="26">
        <f t="shared" si="250"/>
        <v>0</v>
      </c>
      <c r="P1326" s="24">
        <v>1.1000000000000001</v>
      </c>
      <c r="Q1326" s="24">
        <v>36</v>
      </c>
      <c r="R1326" s="27">
        <f t="shared" si="251"/>
        <v>0</v>
      </c>
      <c r="S1326" s="102">
        <f t="shared" si="253"/>
        <v>0</v>
      </c>
      <c r="T1326" s="21">
        <f>VLOOKUP($A1326,'2022-23 Salary &amp; Benefits'!$A:$I,5,FALSE)</f>
        <v>68937</v>
      </c>
      <c r="U1326" s="21">
        <f>VLOOKUP($A1326,'2022-23 Salary &amp; Benefits'!$A:$I,6,FALSE)</f>
        <v>72728</v>
      </c>
      <c r="V1326" s="22">
        <f t="shared" si="254"/>
        <v>0</v>
      </c>
      <c r="W1326" s="22">
        <f t="shared" si="255"/>
        <v>0</v>
      </c>
      <c r="X1326" s="22">
        <f>'2022-23 Salary &amp; Benefits'!$G$6</f>
        <v>12558.24</v>
      </c>
      <c r="Y1326" s="23">
        <f>'2022-23 Salary &amp; Benefits'!$H$6</f>
        <v>0.2298</v>
      </c>
      <c r="Z1326" s="23">
        <f>'2022-23 Salary &amp; Benefits'!$I$6</f>
        <v>0.22339999999999999</v>
      </c>
      <c r="AA1326" s="22">
        <f t="shared" si="256"/>
        <v>0</v>
      </c>
      <c r="AB1326" s="22">
        <f t="shared" si="257"/>
        <v>0</v>
      </c>
      <c r="AC1326" s="22">
        <f t="shared" si="258"/>
        <v>0</v>
      </c>
      <c r="AD1326" s="22">
        <f t="shared" si="260"/>
        <v>0</v>
      </c>
      <c r="AE1326" s="22">
        <f t="shared" si="261"/>
        <v>0</v>
      </c>
      <c r="AF1326" s="19" t="str">
        <f>VLOOKUP(C1326,'2021-22 School Level AAFTE'!C:N,12,FALSE)</f>
        <v>No</v>
      </c>
    </row>
    <row r="1327" spans="1:32" s="5" customFormat="1">
      <c r="A1327" s="97" t="s">
        <v>2340</v>
      </c>
      <c r="B1327" s="97" t="s">
        <v>513</v>
      </c>
      <c r="C1327" s="95">
        <v>1758</v>
      </c>
      <c r="D1327" s="139" t="s">
        <v>2789</v>
      </c>
      <c r="E1327" s="129">
        <f>VLOOKUP($C1327,'2021-22 School Level AAFTE'!$C:$Z,11,FALSE)</f>
        <v>0.17133333333333334</v>
      </c>
      <c r="F1327" s="129" t="str">
        <f>VLOOKUP($C1327,'2021-22 School Level AAFTE'!$C:$Z,8,FALSE)</f>
        <v>No</v>
      </c>
      <c r="G1327" s="129" t="str">
        <f>VLOOKUP($C1327,'2021-22 School Level AAFTE'!$C:$Z,12,FALSE)</f>
        <v>No</v>
      </c>
      <c r="H1327" s="127">
        <f>VLOOKUP($C1327,'2021-22 School Level AAFTE'!$C:$I,7,FALSE)</f>
        <v>206.01000000000002</v>
      </c>
      <c r="I1327" s="112">
        <f>IFERROR(IF(OR(G1327="yes",F1327= "yes"),VLOOKUP(C1327,Summary!$B:$J,6,0),0),0)</f>
        <v>0</v>
      </c>
      <c r="J1327" s="111">
        <f t="shared" si="252"/>
        <v>0</v>
      </c>
      <c r="K1327" s="91">
        <f>VLOOKUP($A1327,'2022-23 Salary &amp; Benefits'!$A:$I,3,FALSE)</f>
        <v>1.1200000000000001</v>
      </c>
      <c r="L1327" s="91">
        <f>VLOOKUP($A1327,'2022-23 Salary &amp; Benefits'!$A:$I,4,FALSE)</f>
        <v>1.1200000000000001</v>
      </c>
      <c r="M1327" s="39">
        <f t="shared" si="259"/>
        <v>0</v>
      </c>
      <c r="N1327" s="24">
        <v>15</v>
      </c>
      <c r="O1327" s="26">
        <f t="shared" si="250"/>
        <v>0</v>
      </c>
      <c r="P1327" s="24">
        <v>1.1000000000000001</v>
      </c>
      <c r="Q1327" s="24">
        <v>36</v>
      </c>
      <c r="R1327" s="27">
        <f t="shared" si="251"/>
        <v>0</v>
      </c>
      <c r="S1327" s="102">
        <f t="shared" si="253"/>
        <v>0</v>
      </c>
      <c r="T1327" s="21">
        <f>VLOOKUP($A1327,'2022-23 Salary &amp; Benefits'!$A:$I,5,FALSE)</f>
        <v>68937</v>
      </c>
      <c r="U1327" s="21">
        <f>VLOOKUP($A1327,'2022-23 Salary &amp; Benefits'!$A:$I,6,FALSE)</f>
        <v>72728</v>
      </c>
      <c r="V1327" s="22">
        <f t="shared" si="254"/>
        <v>0</v>
      </c>
      <c r="W1327" s="22">
        <f t="shared" si="255"/>
        <v>0</v>
      </c>
      <c r="X1327" s="22">
        <f>'2022-23 Salary &amp; Benefits'!$G$6</f>
        <v>12558.24</v>
      </c>
      <c r="Y1327" s="23">
        <f>'2022-23 Salary &amp; Benefits'!$H$6</f>
        <v>0.2298</v>
      </c>
      <c r="Z1327" s="23">
        <f>'2022-23 Salary &amp; Benefits'!$I$6</f>
        <v>0.22339999999999999</v>
      </c>
      <c r="AA1327" s="22">
        <f t="shared" si="256"/>
        <v>0</v>
      </c>
      <c r="AB1327" s="22">
        <f t="shared" si="257"/>
        <v>0</v>
      </c>
      <c r="AC1327" s="22">
        <f t="shared" si="258"/>
        <v>0</v>
      </c>
      <c r="AD1327" s="22">
        <f t="shared" si="260"/>
        <v>0</v>
      </c>
      <c r="AE1327" s="22">
        <f t="shared" si="261"/>
        <v>0</v>
      </c>
      <c r="AF1327" s="19" t="str">
        <f>VLOOKUP(C1327,'2021-22 School Level AAFTE'!C:N,12,FALSE)</f>
        <v>No</v>
      </c>
    </row>
    <row r="1328" spans="1:32" s="5" customFormat="1">
      <c r="A1328" s="97" t="s">
        <v>2340</v>
      </c>
      <c r="B1328" s="97" t="s">
        <v>513</v>
      </c>
      <c r="C1328" s="95">
        <v>2696</v>
      </c>
      <c r="D1328" s="95" t="s">
        <v>514</v>
      </c>
      <c r="E1328" s="129">
        <f>VLOOKUP($C1328,'2021-22 School Level AAFTE'!$C:$Z,11,FALSE)</f>
        <v>0.37749999999999995</v>
      </c>
      <c r="F1328" s="129" t="str">
        <f>VLOOKUP($C1328,'2021-22 School Level AAFTE'!$C:$Z,8,FALSE)</f>
        <v>No</v>
      </c>
      <c r="G1328" s="129" t="str">
        <f>VLOOKUP($C1328,'2021-22 School Level AAFTE'!$C:$Z,12,FALSE)</f>
        <v>No</v>
      </c>
      <c r="H1328" s="127">
        <f>VLOOKUP($C1328,'2021-22 School Level AAFTE'!$C:$I,7,FALSE)</f>
        <v>364.29</v>
      </c>
      <c r="I1328" s="112">
        <f>IFERROR(IF(OR(G1328="yes",F1328= "yes"),VLOOKUP(C1328,Summary!$B:$J,6,0),0),0)</f>
        <v>0</v>
      </c>
      <c r="J1328" s="111">
        <f t="shared" si="252"/>
        <v>0</v>
      </c>
      <c r="K1328" s="91">
        <f>VLOOKUP($A1328,'2022-23 Salary &amp; Benefits'!$A:$I,3,FALSE)</f>
        <v>1.1200000000000001</v>
      </c>
      <c r="L1328" s="91">
        <f>VLOOKUP($A1328,'2022-23 Salary &amp; Benefits'!$A:$I,4,FALSE)</f>
        <v>1.1200000000000001</v>
      </c>
      <c r="M1328" s="39">
        <f t="shared" si="259"/>
        <v>0</v>
      </c>
      <c r="N1328" s="24">
        <v>15</v>
      </c>
      <c r="O1328" s="26">
        <f t="shared" si="250"/>
        <v>0</v>
      </c>
      <c r="P1328" s="24">
        <v>1.1000000000000001</v>
      </c>
      <c r="Q1328" s="24">
        <v>36</v>
      </c>
      <c r="R1328" s="27">
        <f t="shared" si="251"/>
        <v>0</v>
      </c>
      <c r="S1328" s="102">
        <f t="shared" si="253"/>
        <v>0</v>
      </c>
      <c r="T1328" s="21">
        <f>VLOOKUP($A1328,'2022-23 Salary &amp; Benefits'!$A:$I,5,FALSE)</f>
        <v>68937</v>
      </c>
      <c r="U1328" s="21">
        <f>VLOOKUP($A1328,'2022-23 Salary &amp; Benefits'!$A:$I,6,FALSE)</f>
        <v>72728</v>
      </c>
      <c r="V1328" s="22">
        <f t="shared" si="254"/>
        <v>0</v>
      </c>
      <c r="W1328" s="22">
        <f t="shared" si="255"/>
        <v>0</v>
      </c>
      <c r="X1328" s="22">
        <f>'2022-23 Salary &amp; Benefits'!$G$6</f>
        <v>12558.24</v>
      </c>
      <c r="Y1328" s="23">
        <f>'2022-23 Salary &amp; Benefits'!$H$6</f>
        <v>0.2298</v>
      </c>
      <c r="Z1328" s="23">
        <f>'2022-23 Salary &amp; Benefits'!$I$6</f>
        <v>0.22339999999999999</v>
      </c>
      <c r="AA1328" s="22">
        <f t="shared" si="256"/>
        <v>0</v>
      </c>
      <c r="AB1328" s="22">
        <f t="shared" si="257"/>
        <v>0</v>
      </c>
      <c r="AC1328" s="22">
        <f t="shared" si="258"/>
        <v>0</v>
      </c>
      <c r="AD1328" s="22">
        <f t="shared" si="260"/>
        <v>0</v>
      </c>
      <c r="AE1328" s="22">
        <f t="shared" si="261"/>
        <v>0</v>
      </c>
      <c r="AF1328" s="19" t="str">
        <f>VLOOKUP(C1328,'2021-22 School Level AAFTE'!C:N,12,FALSE)</f>
        <v>No</v>
      </c>
    </row>
    <row r="1329" spans="1:32" s="5" customFormat="1">
      <c r="A1329" s="97" t="s">
        <v>2340</v>
      </c>
      <c r="B1329" s="97" t="s">
        <v>513</v>
      </c>
      <c r="C1329" s="95">
        <v>2974</v>
      </c>
      <c r="D1329" s="95" t="s">
        <v>515</v>
      </c>
      <c r="E1329" s="129">
        <f>VLOOKUP($C1329,'2021-22 School Level AAFTE'!$C:$Z,11,FALSE)</f>
        <v>0.34773333333333339</v>
      </c>
      <c r="F1329" s="129" t="str">
        <f>VLOOKUP($C1329,'2021-22 School Level AAFTE'!$C:$Z,8,FALSE)</f>
        <v>No</v>
      </c>
      <c r="G1329" s="129" t="str">
        <f>VLOOKUP($C1329,'2021-22 School Level AAFTE'!$C:$Z,12,FALSE)</f>
        <v>No</v>
      </c>
      <c r="H1329" s="127">
        <f>VLOOKUP($C1329,'2021-22 School Level AAFTE'!$C:$I,7,FALSE)</f>
        <v>1548.04</v>
      </c>
      <c r="I1329" s="112">
        <f>IFERROR(IF(OR(G1329="yes",F1329= "yes"),VLOOKUP(C1329,Summary!$B:$J,6,0),0),0)</f>
        <v>0</v>
      </c>
      <c r="J1329" s="111">
        <f t="shared" si="252"/>
        <v>0</v>
      </c>
      <c r="K1329" s="91">
        <f>VLOOKUP($A1329,'2022-23 Salary &amp; Benefits'!$A:$I,3,FALSE)</f>
        <v>1.1200000000000001</v>
      </c>
      <c r="L1329" s="91">
        <f>VLOOKUP($A1329,'2022-23 Salary &amp; Benefits'!$A:$I,4,FALSE)</f>
        <v>1.1200000000000001</v>
      </c>
      <c r="M1329" s="39">
        <f t="shared" si="259"/>
        <v>0</v>
      </c>
      <c r="N1329" s="24">
        <v>15</v>
      </c>
      <c r="O1329" s="26">
        <f t="shared" si="250"/>
        <v>0</v>
      </c>
      <c r="P1329" s="24">
        <v>1.1000000000000001</v>
      </c>
      <c r="Q1329" s="24">
        <v>36</v>
      </c>
      <c r="R1329" s="27">
        <f t="shared" si="251"/>
        <v>0</v>
      </c>
      <c r="S1329" s="102">
        <f t="shared" si="253"/>
        <v>0</v>
      </c>
      <c r="T1329" s="21">
        <f>VLOOKUP($A1329,'2022-23 Salary &amp; Benefits'!$A:$I,5,FALSE)</f>
        <v>68937</v>
      </c>
      <c r="U1329" s="21">
        <f>VLOOKUP($A1329,'2022-23 Salary &amp; Benefits'!$A:$I,6,FALSE)</f>
        <v>72728</v>
      </c>
      <c r="V1329" s="22">
        <f t="shared" si="254"/>
        <v>0</v>
      </c>
      <c r="W1329" s="22">
        <f t="shared" si="255"/>
        <v>0</v>
      </c>
      <c r="X1329" s="22">
        <f>'2022-23 Salary &amp; Benefits'!$G$6</f>
        <v>12558.24</v>
      </c>
      <c r="Y1329" s="23">
        <f>'2022-23 Salary &amp; Benefits'!$H$6</f>
        <v>0.2298</v>
      </c>
      <c r="Z1329" s="23">
        <f>'2022-23 Salary &amp; Benefits'!$I$6</f>
        <v>0.22339999999999999</v>
      </c>
      <c r="AA1329" s="22">
        <f t="shared" si="256"/>
        <v>0</v>
      </c>
      <c r="AB1329" s="22">
        <f t="shared" si="257"/>
        <v>0</v>
      </c>
      <c r="AC1329" s="22">
        <f t="shared" si="258"/>
        <v>0</v>
      </c>
      <c r="AD1329" s="22">
        <f t="shared" si="260"/>
        <v>0</v>
      </c>
      <c r="AE1329" s="22">
        <f t="shared" si="261"/>
        <v>0</v>
      </c>
      <c r="AF1329" s="19" t="str">
        <f>VLOOKUP(C1329,'2021-22 School Level AAFTE'!C:N,12,FALSE)</f>
        <v>No</v>
      </c>
    </row>
    <row r="1330" spans="1:32" s="5" customFormat="1">
      <c r="A1330" s="97" t="s">
        <v>2340</v>
      </c>
      <c r="B1330" s="97" t="s">
        <v>513</v>
      </c>
      <c r="C1330" s="95">
        <v>3274</v>
      </c>
      <c r="D1330" s="95" t="s">
        <v>2729</v>
      </c>
      <c r="E1330" s="129">
        <f>VLOOKUP($C1330,'2021-22 School Level AAFTE'!$C:$Z,11,FALSE)</f>
        <v>0.39733333333333332</v>
      </c>
      <c r="F1330" s="129" t="str">
        <f>VLOOKUP($C1330,'2021-22 School Level AAFTE'!$C:$Z,8,FALSE)</f>
        <v>No</v>
      </c>
      <c r="G1330" s="129" t="str">
        <f>VLOOKUP($C1330,'2021-22 School Level AAFTE'!$C:$Z,12,FALSE)</f>
        <v>No</v>
      </c>
      <c r="H1330" s="127">
        <f>VLOOKUP($C1330,'2021-22 School Level AAFTE'!$C:$I,7,FALSE)</f>
        <v>760.08</v>
      </c>
      <c r="I1330" s="112">
        <f>IFERROR(IF(OR(G1330="yes",F1330= "yes"),VLOOKUP(C1330,Summary!$B:$J,6,0),0),0)</f>
        <v>0</v>
      </c>
      <c r="J1330" s="111">
        <f t="shared" si="252"/>
        <v>0</v>
      </c>
      <c r="K1330" s="91">
        <f>VLOOKUP($A1330,'2022-23 Salary &amp; Benefits'!$A:$I,3,FALSE)</f>
        <v>1.1200000000000001</v>
      </c>
      <c r="L1330" s="91">
        <f>VLOOKUP($A1330,'2022-23 Salary &amp; Benefits'!$A:$I,4,FALSE)</f>
        <v>1.1200000000000001</v>
      </c>
      <c r="M1330" s="39">
        <f t="shared" si="259"/>
        <v>0</v>
      </c>
      <c r="N1330" s="24">
        <v>15</v>
      </c>
      <c r="O1330" s="26">
        <f t="shared" si="250"/>
        <v>0</v>
      </c>
      <c r="P1330" s="24">
        <v>1.1000000000000001</v>
      </c>
      <c r="Q1330" s="24">
        <v>36</v>
      </c>
      <c r="R1330" s="27">
        <f t="shared" si="251"/>
        <v>0</v>
      </c>
      <c r="S1330" s="102">
        <f t="shared" si="253"/>
        <v>0</v>
      </c>
      <c r="T1330" s="21">
        <f>VLOOKUP($A1330,'2022-23 Salary &amp; Benefits'!$A:$I,5,FALSE)</f>
        <v>68937</v>
      </c>
      <c r="U1330" s="21">
        <f>VLOOKUP($A1330,'2022-23 Salary &amp; Benefits'!$A:$I,6,FALSE)</f>
        <v>72728</v>
      </c>
      <c r="V1330" s="22">
        <f t="shared" si="254"/>
        <v>0</v>
      </c>
      <c r="W1330" s="22">
        <f t="shared" si="255"/>
        <v>0</v>
      </c>
      <c r="X1330" s="22">
        <f>'2022-23 Salary &amp; Benefits'!$G$6</f>
        <v>12558.24</v>
      </c>
      <c r="Y1330" s="23">
        <f>'2022-23 Salary &amp; Benefits'!$H$6</f>
        <v>0.2298</v>
      </c>
      <c r="Z1330" s="23">
        <f>'2022-23 Salary &amp; Benefits'!$I$6</f>
        <v>0.22339999999999999</v>
      </c>
      <c r="AA1330" s="22">
        <f t="shared" si="256"/>
        <v>0</v>
      </c>
      <c r="AB1330" s="22">
        <f t="shared" si="257"/>
        <v>0</v>
      </c>
      <c r="AC1330" s="22">
        <f t="shared" si="258"/>
        <v>0</v>
      </c>
      <c r="AD1330" s="22">
        <f t="shared" si="260"/>
        <v>0</v>
      </c>
      <c r="AE1330" s="22">
        <f t="shared" si="261"/>
        <v>0</v>
      </c>
      <c r="AF1330" s="19" t="str">
        <f>VLOOKUP(C1330,'2021-22 School Level AAFTE'!C:N,12,FALSE)</f>
        <v>No</v>
      </c>
    </row>
    <row r="1331" spans="1:32" s="5" customFormat="1">
      <c r="A1331" s="97" t="s">
        <v>2340</v>
      </c>
      <c r="B1331" s="97" t="s">
        <v>513</v>
      </c>
      <c r="C1331" s="95">
        <v>3377</v>
      </c>
      <c r="D1331" s="95" t="s">
        <v>516</v>
      </c>
      <c r="E1331" s="129">
        <f>VLOOKUP($C1331,'2021-22 School Level AAFTE'!$C:$Z,11,FALSE)</f>
        <v>0.52026666666666666</v>
      </c>
      <c r="F1331" s="129" t="str">
        <f>VLOOKUP($C1331,'2021-22 School Level AAFTE'!$C:$Z,8,FALSE)</f>
        <v>Yes</v>
      </c>
      <c r="G1331" s="129" t="str">
        <f>VLOOKUP($C1331,'2021-22 School Level AAFTE'!$C:$Z,12,FALSE)</f>
        <v>No</v>
      </c>
      <c r="H1331" s="127">
        <f>VLOOKUP($C1331,'2021-22 School Level AAFTE'!$C:$I,7,FALSE)</f>
        <v>440.68</v>
      </c>
      <c r="I1331" s="112">
        <f>IFERROR(IF(OR(G1331="yes",F1331= "yes"),VLOOKUP(C1331,Summary!$B:$J,6,0),0),0)</f>
        <v>0</v>
      </c>
      <c r="J1331" s="111">
        <f t="shared" si="252"/>
        <v>440.68</v>
      </c>
      <c r="K1331" s="91">
        <f>VLOOKUP($A1331,'2022-23 Salary &amp; Benefits'!$A:$I,3,FALSE)</f>
        <v>1.1200000000000001</v>
      </c>
      <c r="L1331" s="91">
        <f>VLOOKUP($A1331,'2022-23 Salary &amp; Benefits'!$A:$I,4,FALSE)</f>
        <v>1.1200000000000001</v>
      </c>
      <c r="M1331" s="101">
        <f t="shared" si="259"/>
        <v>440.68</v>
      </c>
      <c r="N1331" s="24">
        <v>15</v>
      </c>
      <c r="O1331" s="26">
        <f t="shared" si="250"/>
        <v>29.378666666666668</v>
      </c>
      <c r="P1331" s="24">
        <v>1.1000000000000001</v>
      </c>
      <c r="Q1331" s="24">
        <v>36</v>
      </c>
      <c r="R1331" s="27">
        <f t="shared" si="251"/>
        <v>1163.3952000000002</v>
      </c>
      <c r="S1331" s="102">
        <f t="shared" si="253"/>
        <v>1.2929999999999999</v>
      </c>
      <c r="T1331" s="21">
        <f>VLOOKUP($A1331,'2022-23 Salary &amp; Benefits'!$A:$I,5,FALSE)</f>
        <v>68937</v>
      </c>
      <c r="U1331" s="21">
        <f>VLOOKUP($A1331,'2022-23 Salary &amp; Benefits'!$A:$I,6,FALSE)</f>
        <v>72728</v>
      </c>
      <c r="V1331" s="22">
        <f t="shared" si="254"/>
        <v>99831.81</v>
      </c>
      <c r="W1331" s="22">
        <f t="shared" si="255"/>
        <v>5489.9700000000012</v>
      </c>
      <c r="X1331" s="22">
        <f>'2022-23 Salary &amp; Benefits'!$G$6</f>
        <v>12558.24</v>
      </c>
      <c r="Y1331" s="23">
        <f>'2022-23 Salary &amp; Benefits'!$H$6</f>
        <v>0.2298</v>
      </c>
      <c r="Z1331" s="23">
        <f>'2022-23 Salary &amp; Benefits'!$I$6</f>
        <v>0.22339999999999999</v>
      </c>
      <c r="AA1331" s="22">
        <f t="shared" si="256"/>
        <v>40405.61</v>
      </c>
      <c r="AB1331" s="22">
        <f t="shared" si="257"/>
        <v>1755.36</v>
      </c>
      <c r="AC1331" s="22">
        <f t="shared" si="258"/>
        <v>392.15</v>
      </c>
      <c r="AD1331" s="22">
        <f t="shared" si="260"/>
        <v>2147.5099999999998</v>
      </c>
      <c r="AE1331" s="22">
        <f t="shared" si="261"/>
        <v>147874.9</v>
      </c>
      <c r="AF1331" s="19" t="str">
        <f>VLOOKUP(C1331,'2021-22 School Level AAFTE'!C:N,12,FALSE)</f>
        <v>No</v>
      </c>
    </row>
    <row r="1332" spans="1:32" s="5" customFormat="1">
      <c r="A1332" s="97" t="s">
        <v>2340</v>
      </c>
      <c r="B1332" s="97" t="s">
        <v>513</v>
      </c>
      <c r="C1332" s="95">
        <v>3477</v>
      </c>
      <c r="D1332" s="95" t="s">
        <v>517</v>
      </c>
      <c r="E1332" s="129">
        <f>VLOOKUP($C1332,'2021-22 School Level AAFTE'!$C:$Z,11,FALSE)</f>
        <v>0.39710000000000001</v>
      </c>
      <c r="F1332" s="129" t="str">
        <f>VLOOKUP($C1332,'2021-22 School Level AAFTE'!$C:$Z,8,FALSE)</f>
        <v>No</v>
      </c>
      <c r="G1332" s="129" t="str">
        <f>VLOOKUP($C1332,'2021-22 School Level AAFTE'!$C:$Z,12,FALSE)</f>
        <v>No</v>
      </c>
      <c r="H1332" s="127">
        <f>VLOOKUP($C1332,'2021-22 School Level AAFTE'!$C:$I,7,FALSE)</f>
        <v>398.02</v>
      </c>
      <c r="I1332" s="112">
        <f>IFERROR(IF(OR(G1332="yes",F1332= "yes"),VLOOKUP(C1332,Summary!$B:$J,6,0),0),0)</f>
        <v>0</v>
      </c>
      <c r="J1332" s="111">
        <f t="shared" si="252"/>
        <v>0</v>
      </c>
      <c r="K1332" s="91">
        <f>VLOOKUP($A1332,'2022-23 Salary &amp; Benefits'!$A:$I,3,FALSE)</f>
        <v>1.1200000000000001</v>
      </c>
      <c r="L1332" s="91">
        <f>VLOOKUP($A1332,'2022-23 Salary &amp; Benefits'!$A:$I,4,FALSE)</f>
        <v>1.1200000000000001</v>
      </c>
      <c r="M1332" s="39">
        <f t="shared" si="259"/>
        <v>0</v>
      </c>
      <c r="N1332" s="24">
        <v>15</v>
      </c>
      <c r="O1332" s="26">
        <f t="shared" si="250"/>
        <v>0</v>
      </c>
      <c r="P1332" s="24">
        <v>1.1000000000000001</v>
      </c>
      <c r="Q1332" s="24">
        <v>36</v>
      </c>
      <c r="R1332" s="27">
        <f t="shared" si="251"/>
        <v>0</v>
      </c>
      <c r="S1332" s="102">
        <f t="shared" si="253"/>
        <v>0</v>
      </c>
      <c r="T1332" s="21">
        <f>VLOOKUP($A1332,'2022-23 Salary &amp; Benefits'!$A:$I,5,FALSE)</f>
        <v>68937</v>
      </c>
      <c r="U1332" s="21">
        <f>VLOOKUP($A1332,'2022-23 Salary &amp; Benefits'!$A:$I,6,FALSE)</f>
        <v>72728</v>
      </c>
      <c r="V1332" s="22">
        <f t="shared" si="254"/>
        <v>0</v>
      </c>
      <c r="W1332" s="22">
        <f t="shared" si="255"/>
        <v>0</v>
      </c>
      <c r="X1332" s="22">
        <f>'2022-23 Salary &amp; Benefits'!$G$6</f>
        <v>12558.24</v>
      </c>
      <c r="Y1332" s="23">
        <f>'2022-23 Salary &amp; Benefits'!$H$6</f>
        <v>0.2298</v>
      </c>
      <c r="Z1332" s="23">
        <f>'2022-23 Salary &amp; Benefits'!$I$6</f>
        <v>0.22339999999999999</v>
      </c>
      <c r="AA1332" s="22">
        <f t="shared" si="256"/>
        <v>0</v>
      </c>
      <c r="AB1332" s="22">
        <f t="shared" si="257"/>
        <v>0</v>
      </c>
      <c r="AC1332" s="22">
        <f t="shared" si="258"/>
        <v>0</v>
      </c>
      <c r="AD1332" s="22">
        <f t="shared" si="260"/>
        <v>0</v>
      </c>
      <c r="AE1332" s="22">
        <f t="shared" si="261"/>
        <v>0</v>
      </c>
      <c r="AF1332" s="19" t="str">
        <f>VLOOKUP(C1332,'2021-22 School Level AAFTE'!C:N,12,FALSE)</f>
        <v>No</v>
      </c>
    </row>
    <row r="1333" spans="1:32" s="5" customFormat="1">
      <c r="A1333" s="97" t="s">
        <v>2340</v>
      </c>
      <c r="B1333" s="97" t="s">
        <v>513</v>
      </c>
      <c r="C1333" s="95">
        <v>3566</v>
      </c>
      <c r="D1333" s="95" t="s">
        <v>518</v>
      </c>
      <c r="E1333" s="129">
        <f>VLOOKUP($C1333,'2021-22 School Level AAFTE'!$C:$Z,11,FALSE)</f>
        <v>0.50429999999999997</v>
      </c>
      <c r="F1333" s="129" t="str">
        <f>VLOOKUP($C1333,'2021-22 School Level AAFTE'!$C:$Z,8,FALSE)</f>
        <v>Yes</v>
      </c>
      <c r="G1333" s="129" t="str">
        <f>VLOOKUP($C1333,'2021-22 School Level AAFTE'!$C:$Z,12,FALSE)</f>
        <v>No</v>
      </c>
      <c r="H1333" s="127">
        <f>VLOOKUP($C1333,'2021-22 School Level AAFTE'!$C:$I,7,FALSE)</f>
        <v>421.17</v>
      </c>
      <c r="I1333" s="112">
        <f>IFERROR(IF(OR(G1333="yes",F1333= "yes"),VLOOKUP(C1333,Summary!$B:$J,6,0),0),0)</f>
        <v>0</v>
      </c>
      <c r="J1333" s="111">
        <f t="shared" si="252"/>
        <v>421.17</v>
      </c>
      <c r="K1333" s="91">
        <f>VLOOKUP($A1333,'2022-23 Salary &amp; Benefits'!$A:$I,3,FALSE)</f>
        <v>1.1200000000000001</v>
      </c>
      <c r="L1333" s="91">
        <f>VLOOKUP($A1333,'2022-23 Salary &amp; Benefits'!$A:$I,4,FALSE)</f>
        <v>1.1200000000000001</v>
      </c>
      <c r="M1333" s="101">
        <f t="shared" si="259"/>
        <v>421.17</v>
      </c>
      <c r="N1333" s="24">
        <v>15</v>
      </c>
      <c r="O1333" s="26">
        <f t="shared" si="250"/>
        <v>28.077999999999999</v>
      </c>
      <c r="P1333" s="24">
        <v>1.1000000000000001</v>
      </c>
      <c r="Q1333" s="24">
        <v>36</v>
      </c>
      <c r="R1333" s="27">
        <f t="shared" si="251"/>
        <v>1111.8888000000002</v>
      </c>
      <c r="S1333" s="102">
        <f t="shared" si="253"/>
        <v>1.2350000000000001</v>
      </c>
      <c r="T1333" s="21">
        <f>VLOOKUP($A1333,'2022-23 Salary &amp; Benefits'!$A:$I,5,FALSE)</f>
        <v>68937</v>
      </c>
      <c r="U1333" s="21">
        <f>VLOOKUP($A1333,'2022-23 Salary &amp; Benefits'!$A:$I,6,FALSE)</f>
        <v>72728</v>
      </c>
      <c r="V1333" s="22">
        <f t="shared" si="254"/>
        <v>95353.66</v>
      </c>
      <c r="W1333" s="22">
        <f t="shared" si="255"/>
        <v>5243.7099999999919</v>
      </c>
      <c r="X1333" s="22">
        <f>'2022-23 Salary &amp; Benefits'!$G$6</f>
        <v>12558.24</v>
      </c>
      <c r="Y1333" s="23">
        <f>'2022-23 Salary &amp; Benefits'!$H$6</f>
        <v>0.2298</v>
      </c>
      <c r="Z1333" s="23">
        <f>'2022-23 Salary &amp; Benefits'!$I$6</f>
        <v>0.22339999999999999</v>
      </c>
      <c r="AA1333" s="22">
        <f t="shared" si="256"/>
        <v>38593.14</v>
      </c>
      <c r="AB1333" s="22">
        <f t="shared" si="257"/>
        <v>1676.62</v>
      </c>
      <c r="AC1333" s="22">
        <f t="shared" si="258"/>
        <v>374.56</v>
      </c>
      <c r="AD1333" s="22">
        <f t="shared" si="260"/>
        <v>2051.1799999999998</v>
      </c>
      <c r="AE1333" s="22">
        <f t="shared" si="261"/>
        <v>141241.68999999997</v>
      </c>
      <c r="AF1333" s="19" t="str">
        <f>VLOOKUP(C1333,'2021-22 School Level AAFTE'!C:N,12,FALSE)</f>
        <v>No</v>
      </c>
    </row>
    <row r="1334" spans="1:32" s="5" customFormat="1">
      <c r="A1334" s="97" t="s">
        <v>2340</v>
      </c>
      <c r="B1334" s="97" t="s">
        <v>513</v>
      </c>
      <c r="C1334" s="95">
        <v>3939</v>
      </c>
      <c r="D1334" s="95" t="s">
        <v>519</v>
      </c>
      <c r="E1334" s="129">
        <f>VLOOKUP($C1334,'2021-22 School Level AAFTE'!$C:$Z,11,FALSE)</f>
        <v>0.38529999999999998</v>
      </c>
      <c r="F1334" s="129" t="str">
        <f>VLOOKUP($C1334,'2021-22 School Level AAFTE'!$C:$Z,8,FALSE)</f>
        <v>No</v>
      </c>
      <c r="G1334" s="129" t="str">
        <f>VLOOKUP($C1334,'2021-22 School Level AAFTE'!$C:$Z,12,FALSE)</f>
        <v>No</v>
      </c>
      <c r="H1334" s="127">
        <f>VLOOKUP($C1334,'2021-22 School Level AAFTE'!$C:$I,7,FALSE)</f>
        <v>780.45</v>
      </c>
      <c r="I1334" s="112">
        <f>IFERROR(IF(OR(G1334="yes",F1334= "yes"),VLOOKUP(C1334,Summary!$B:$J,6,0),0),0)</f>
        <v>0</v>
      </c>
      <c r="J1334" s="111">
        <f t="shared" si="252"/>
        <v>0</v>
      </c>
      <c r="K1334" s="91">
        <f>VLOOKUP($A1334,'2022-23 Salary &amp; Benefits'!$A:$I,3,FALSE)</f>
        <v>1.1200000000000001</v>
      </c>
      <c r="L1334" s="91">
        <f>VLOOKUP($A1334,'2022-23 Salary &amp; Benefits'!$A:$I,4,FALSE)</f>
        <v>1.1200000000000001</v>
      </c>
      <c r="M1334" s="39">
        <f t="shared" si="259"/>
        <v>0</v>
      </c>
      <c r="N1334" s="24">
        <v>15</v>
      </c>
      <c r="O1334" s="26">
        <f t="shared" si="250"/>
        <v>0</v>
      </c>
      <c r="P1334" s="24">
        <v>1.1000000000000001</v>
      </c>
      <c r="Q1334" s="24">
        <v>36</v>
      </c>
      <c r="R1334" s="27">
        <f t="shared" si="251"/>
        <v>0</v>
      </c>
      <c r="S1334" s="102">
        <f t="shared" si="253"/>
        <v>0</v>
      </c>
      <c r="T1334" s="21">
        <f>VLOOKUP($A1334,'2022-23 Salary &amp; Benefits'!$A:$I,5,FALSE)</f>
        <v>68937</v>
      </c>
      <c r="U1334" s="21">
        <f>VLOOKUP($A1334,'2022-23 Salary &amp; Benefits'!$A:$I,6,FALSE)</f>
        <v>72728</v>
      </c>
      <c r="V1334" s="22">
        <f t="shared" si="254"/>
        <v>0</v>
      </c>
      <c r="W1334" s="22">
        <f t="shared" si="255"/>
        <v>0</v>
      </c>
      <c r="X1334" s="22">
        <f>'2022-23 Salary &amp; Benefits'!$G$6</f>
        <v>12558.24</v>
      </c>
      <c r="Y1334" s="23">
        <f>'2022-23 Salary &amp; Benefits'!$H$6</f>
        <v>0.2298</v>
      </c>
      <c r="Z1334" s="23">
        <f>'2022-23 Salary &amp; Benefits'!$I$6</f>
        <v>0.22339999999999999</v>
      </c>
      <c r="AA1334" s="22">
        <f t="shared" si="256"/>
        <v>0</v>
      </c>
      <c r="AB1334" s="22">
        <f t="shared" si="257"/>
        <v>0</v>
      </c>
      <c r="AC1334" s="22">
        <f t="shared" si="258"/>
        <v>0</v>
      </c>
      <c r="AD1334" s="22">
        <f t="shared" si="260"/>
        <v>0</v>
      </c>
      <c r="AE1334" s="22">
        <f t="shared" si="261"/>
        <v>0</v>
      </c>
      <c r="AF1334" s="19" t="str">
        <f>VLOOKUP(C1334,'2021-22 School Level AAFTE'!C:N,12,FALSE)</f>
        <v>No</v>
      </c>
    </row>
    <row r="1335" spans="1:32" s="5" customFormat="1">
      <c r="A1335" s="97" t="s">
        <v>2340</v>
      </c>
      <c r="B1335" s="97" t="s">
        <v>513</v>
      </c>
      <c r="C1335" s="95">
        <v>4328</v>
      </c>
      <c r="D1335" s="95" t="s">
        <v>520</v>
      </c>
      <c r="E1335" s="129">
        <f>VLOOKUP($C1335,'2021-22 School Level AAFTE'!$C:$Z,11,FALSE)</f>
        <v>0.24980000000000002</v>
      </c>
      <c r="F1335" s="129" t="str">
        <f>VLOOKUP($C1335,'2021-22 School Level AAFTE'!$C:$Z,8,FALSE)</f>
        <v>No</v>
      </c>
      <c r="G1335" s="129" t="str">
        <f>VLOOKUP($C1335,'2021-22 School Level AAFTE'!$C:$Z,12,FALSE)</f>
        <v>No</v>
      </c>
      <c r="H1335" s="127">
        <f>VLOOKUP($C1335,'2021-22 School Level AAFTE'!$C:$I,7,FALSE)</f>
        <v>449.94</v>
      </c>
      <c r="I1335" s="112">
        <f>IFERROR(IF(OR(G1335="yes",F1335= "yes"),VLOOKUP(C1335,Summary!$B:$J,6,0),0),0)</f>
        <v>0</v>
      </c>
      <c r="J1335" s="111">
        <f t="shared" si="252"/>
        <v>0</v>
      </c>
      <c r="K1335" s="91">
        <f>VLOOKUP($A1335,'2022-23 Salary &amp; Benefits'!$A:$I,3,FALSE)</f>
        <v>1.1200000000000001</v>
      </c>
      <c r="L1335" s="91">
        <f>VLOOKUP($A1335,'2022-23 Salary &amp; Benefits'!$A:$I,4,FALSE)</f>
        <v>1.1200000000000001</v>
      </c>
      <c r="M1335" s="39">
        <f t="shared" si="259"/>
        <v>0</v>
      </c>
      <c r="N1335" s="24">
        <v>15</v>
      </c>
      <c r="O1335" s="26">
        <f t="shared" si="250"/>
        <v>0</v>
      </c>
      <c r="P1335" s="24">
        <v>1.1000000000000001</v>
      </c>
      <c r="Q1335" s="24">
        <v>36</v>
      </c>
      <c r="R1335" s="27">
        <f t="shared" si="251"/>
        <v>0</v>
      </c>
      <c r="S1335" s="102">
        <f t="shared" si="253"/>
        <v>0</v>
      </c>
      <c r="T1335" s="21">
        <f>VLOOKUP($A1335,'2022-23 Salary &amp; Benefits'!$A:$I,5,FALSE)</f>
        <v>68937</v>
      </c>
      <c r="U1335" s="21">
        <f>VLOOKUP($A1335,'2022-23 Salary &amp; Benefits'!$A:$I,6,FALSE)</f>
        <v>72728</v>
      </c>
      <c r="V1335" s="22">
        <f t="shared" si="254"/>
        <v>0</v>
      </c>
      <c r="W1335" s="22">
        <f t="shared" si="255"/>
        <v>0</v>
      </c>
      <c r="X1335" s="22">
        <f>'2022-23 Salary &amp; Benefits'!$G$6</f>
        <v>12558.24</v>
      </c>
      <c r="Y1335" s="23">
        <f>'2022-23 Salary &amp; Benefits'!$H$6</f>
        <v>0.2298</v>
      </c>
      <c r="Z1335" s="23">
        <f>'2022-23 Salary &amp; Benefits'!$I$6</f>
        <v>0.22339999999999999</v>
      </c>
      <c r="AA1335" s="22">
        <f t="shared" si="256"/>
        <v>0</v>
      </c>
      <c r="AB1335" s="22">
        <f t="shared" si="257"/>
        <v>0</v>
      </c>
      <c r="AC1335" s="22">
        <f t="shared" si="258"/>
        <v>0</v>
      </c>
      <c r="AD1335" s="22">
        <f t="shared" si="260"/>
        <v>0</v>
      </c>
      <c r="AE1335" s="22">
        <f t="shared" si="261"/>
        <v>0</v>
      </c>
      <c r="AF1335" s="19" t="str">
        <f>VLOOKUP(C1335,'2021-22 School Level AAFTE'!C:N,12,FALSE)</f>
        <v>No</v>
      </c>
    </row>
    <row r="1336" spans="1:32" s="5" customFormat="1">
      <c r="A1336" s="97" t="s">
        <v>2340</v>
      </c>
      <c r="B1336" s="97" t="s">
        <v>513</v>
      </c>
      <c r="C1336" s="95">
        <v>5343</v>
      </c>
      <c r="D1336" s="95" t="s">
        <v>521</v>
      </c>
      <c r="E1336" s="129">
        <f>VLOOKUP($C1336,'2021-22 School Level AAFTE'!$C:$Z,11,FALSE)</f>
        <v>0.65893333333333326</v>
      </c>
      <c r="F1336" s="129" t="str">
        <f>VLOOKUP($C1336,'2021-22 School Level AAFTE'!$C:$Z,8,FALSE)</f>
        <v>Yes</v>
      </c>
      <c r="G1336" s="129" t="str">
        <f>VLOOKUP($C1336,'2021-22 School Level AAFTE'!$C:$Z,12,FALSE)</f>
        <v>No</v>
      </c>
      <c r="H1336" s="127">
        <f>VLOOKUP($C1336,'2021-22 School Level AAFTE'!$C:$I,7,FALSE)</f>
        <v>9.7100000000000009</v>
      </c>
      <c r="I1336" s="112">
        <f>IFERROR(IF(OR(G1336="yes",F1336= "yes"),VLOOKUP(C1336,Summary!$B:$J,6,0),0),0)</f>
        <v>0</v>
      </c>
      <c r="J1336" s="111">
        <f t="shared" si="252"/>
        <v>9.7100000000000009</v>
      </c>
      <c r="K1336" s="91">
        <f>VLOOKUP($A1336,'2022-23 Salary &amp; Benefits'!$A:$I,3,FALSE)</f>
        <v>1.1200000000000001</v>
      </c>
      <c r="L1336" s="91">
        <f>VLOOKUP($A1336,'2022-23 Salary &amp; Benefits'!$A:$I,4,FALSE)</f>
        <v>1.1200000000000001</v>
      </c>
      <c r="M1336" s="39">
        <f t="shared" si="259"/>
        <v>9.7100000000000009</v>
      </c>
      <c r="N1336" s="24">
        <v>15</v>
      </c>
      <c r="O1336" s="26">
        <f t="shared" si="250"/>
        <v>0.64733333333333343</v>
      </c>
      <c r="P1336" s="24">
        <v>1.1000000000000001</v>
      </c>
      <c r="Q1336" s="24">
        <v>36</v>
      </c>
      <c r="R1336" s="27">
        <f t="shared" si="251"/>
        <v>25.634400000000007</v>
      </c>
      <c r="S1336" s="102">
        <f t="shared" si="253"/>
        <v>2.8000000000000001E-2</v>
      </c>
      <c r="T1336" s="21">
        <f>VLOOKUP($A1336,'2022-23 Salary &amp; Benefits'!$A:$I,5,FALSE)</f>
        <v>68937</v>
      </c>
      <c r="U1336" s="21">
        <f>VLOOKUP($A1336,'2022-23 Salary &amp; Benefits'!$A:$I,6,FALSE)</f>
        <v>72728</v>
      </c>
      <c r="V1336" s="22">
        <f t="shared" si="254"/>
        <v>2161.86</v>
      </c>
      <c r="W1336" s="22">
        <f t="shared" si="255"/>
        <v>118.88999999999987</v>
      </c>
      <c r="X1336" s="22">
        <f>'2022-23 Salary &amp; Benefits'!$G$6</f>
        <v>12558.24</v>
      </c>
      <c r="Y1336" s="23">
        <f>'2022-23 Salary &amp; Benefits'!$H$6</f>
        <v>0.2298</v>
      </c>
      <c r="Z1336" s="23">
        <f>'2022-23 Salary &amp; Benefits'!$I$6</f>
        <v>0.22339999999999999</v>
      </c>
      <c r="AA1336" s="22">
        <f t="shared" si="256"/>
        <v>874.99</v>
      </c>
      <c r="AB1336" s="22">
        <f t="shared" si="257"/>
        <v>38.01</v>
      </c>
      <c r="AC1336" s="22">
        <f t="shared" si="258"/>
        <v>8.49</v>
      </c>
      <c r="AD1336" s="22">
        <f t="shared" si="260"/>
        <v>46.5</v>
      </c>
      <c r="AE1336" s="22">
        <f t="shared" si="261"/>
        <v>3202.2400000000002</v>
      </c>
      <c r="AF1336" s="19" t="str">
        <f>VLOOKUP(C1336,'2021-22 School Level AAFTE'!C:N,12,FALSE)</f>
        <v>No</v>
      </c>
    </row>
    <row r="1337" spans="1:32" s="5" customFormat="1">
      <c r="A1337" s="97" t="s">
        <v>2340</v>
      </c>
      <c r="B1337" s="97" t="s">
        <v>513</v>
      </c>
      <c r="C1337" s="95">
        <v>5626</v>
      </c>
      <c r="D1337" s="95" t="s">
        <v>2900</v>
      </c>
      <c r="E1337" s="129">
        <f>VLOOKUP($C1337,'2021-22 School Level AAFTE'!$C:$Z,11,FALSE)</f>
        <v>0.42675000000000002</v>
      </c>
      <c r="F1337" s="129" t="str">
        <f>VLOOKUP($C1337,'2021-22 School Level AAFTE'!$C:$Z,8,FALSE)</f>
        <v>No</v>
      </c>
      <c r="G1337" s="129" t="str">
        <f>VLOOKUP($C1337,'2021-22 School Level AAFTE'!$C:$Z,12,FALSE)</f>
        <v>No</v>
      </c>
      <c r="H1337" s="127">
        <f>VLOOKUP($C1337,'2021-22 School Level AAFTE'!$C:$I,7,FALSE)</f>
        <v>113.85</v>
      </c>
      <c r="I1337" s="112">
        <f>IFERROR(IF(OR(G1337="yes",F1337= "yes"),VLOOKUP(C1337,Summary!$B:$J,6,0),0),0)</f>
        <v>0</v>
      </c>
      <c r="J1337" s="111">
        <f t="shared" si="252"/>
        <v>0</v>
      </c>
      <c r="K1337" s="91">
        <f>VLOOKUP($A1337,'2022-23 Salary &amp; Benefits'!$A:$I,3,FALSE)</f>
        <v>1.1200000000000001</v>
      </c>
      <c r="L1337" s="91">
        <f>VLOOKUP($A1337,'2022-23 Salary &amp; Benefits'!$A:$I,4,FALSE)</f>
        <v>1.1200000000000001</v>
      </c>
      <c r="M1337" s="39">
        <f t="shared" si="259"/>
        <v>0</v>
      </c>
      <c r="N1337" s="24">
        <v>15</v>
      </c>
      <c r="O1337" s="26">
        <f t="shared" si="250"/>
        <v>0</v>
      </c>
      <c r="P1337" s="24">
        <v>1.1000000000000001</v>
      </c>
      <c r="Q1337" s="24">
        <v>36</v>
      </c>
      <c r="R1337" s="27">
        <f t="shared" si="251"/>
        <v>0</v>
      </c>
      <c r="S1337" s="102">
        <f t="shared" si="253"/>
        <v>0</v>
      </c>
      <c r="T1337" s="21">
        <f>VLOOKUP($A1337,'2022-23 Salary &amp; Benefits'!$A:$I,5,FALSE)</f>
        <v>68937</v>
      </c>
      <c r="U1337" s="21">
        <f>VLOOKUP($A1337,'2022-23 Salary &amp; Benefits'!$A:$I,6,FALSE)</f>
        <v>72728</v>
      </c>
      <c r="V1337" s="22">
        <f t="shared" si="254"/>
        <v>0</v>
      </c>
      <c r="W1337" s="22">
        <f t="shared" si="255"/>
        <v>0</v>
      </c>
      <c r="X1337" s="22">
        <f>'2022-23 Salary &amp; Benefits'!$G$6</f>
        <v>12558.24</v>
      </c>
      <c r="Y1337" s="23">
        <f>'2022-23 Salary &amp; Benefits'!$H$6</f>
        <v>0.2298</v>
      </c>
      <c r="Z1337" s="23">
        <f>'2022-23 Salary &amp; Benefits'!$I$6</f>
        <v>0.22339999999999999</v>
      </c>
      <c r="AA1337" s="22">
        <f t="shared" si="256"/>
        <v>0</v>
      </c>
      <c r="AB1337" s="22">
        <f t="shared" si="257"/>
        <v>0</v>
      </c>
      <c r="AC1337" s="22">
        <f t="shared" si="258"/>
        <v>0</v>
      </c>
      <c r="AD1337" s="22">
        <f t="shared" si="260"/>
        <v>0</v>
      </c>
      <c r="AE1337" s="22">
        <f t="shared" si="261"/>
        <v>0</v>
      </c>
      <c r="AF1337" s="19" t="str">
        <f>VLOOKUP(C1337,'2021-22 School Level AAFTE'!C:N,12,FALSE)</f>
        <v>No</v>
      </c>
    </row>
    <row r="1338" spans="1:32" s="5" customFormat="1">
      <c r="A1338" s="97" t="s">
        <v>2552</v>
      </c>
      <c r="B1338" s="97" t="s">
        <v>2161</v>
      </c>
      <c r="C1338" s="95">
        <v>2432</v>
      </c>
      <c r="D1338" s="139" t="s">
        <v>2162</v>
      </c>
      <c r="E1338" s="129">
        <f>VLOOKUP($C1338,'2021-22 School Level AAFTE'!$C:$Z,11,FALSE)</f>
        <v>0.39306666666666662</v>
      </c>
      <c r="F1338" s="129" t="str">
        <f>VLOOKUP($C1338,'2021-22 School Level AAFTE'!$C:$Z,8,FALSE)</f>
        <v>No</v>
      </c>
      <c r="G1338" s="129" t="str">
        <f>VLOOKUP($C1338,'2021-22 School Level AAFTE'!$C:$Z,12,FALSE)</f>
        <v>No</v>
      </c>
      <c r="H1338" s="127">
        <f>VLOOKUP($C1338,'2021-22 School Level AAFTE'!$C:$I,7,FALSE)</f>
        <v>70.08</v>
      </c>
      <c r="I1338" s="112">
        <f>IFERROR(IF(OR(G1338="yes",F1338= "yes"),VLOOKUP(C1338,Summary!$B:$J,6,0),0),0)</f>
        <v>0</v>
      </c>
      <c r="J1338" s="111">
        <f t="shared" si="252"/>
        <v>0</v>
      </c>
      <c r="K1338" s="91">
        <f>VLOOKUP($A1338,'2022-23 Salary &amp; Benefits'!$A:$I,3,FALSE)</f>
        <v>1</v>
      </c>
      <c r="L1338" s="91">
        <f>VLOOKUP($A1338,'2022-23 Salary &amp; Benefits'!$A:$I,4,FALSE)</f>
        <v>1.04</v>
      </c>
      <c r="M1338" s="101">
        <f t="shared" si="259"/>
        <v>0</v>
      </c>
      <c r="N1338" s="24">
        <v>15</v>
      </c>
      <c r="O1338" s="26">
        <f t="shared" si="250"/>
        <v>0</v>
      </c>
      <c r="P1338" s="24">
        <v>1.1000000000000001</v>
      </c>
      <c r="Q1338" s="24">
        <v>36</v>
      </c>
      <c r="R1338" s="27">
        <f t="shared" si="251"/>
        <v>0</v>
      </c>
      <c r="S1338" s="102">
        <f t="shared" si="253"/>
        <v>0</v>
      </c>
      <c r="T1338" s="21">
        <f>VLOOKUP($A1338,'2022-23 Salary &amp; Benefits'!$A:$I,5,FALSE)</f>
        <v>68937</v>
      </c>
      <c r="U1338" s="21">
        <f>VLOOKUP($A1338,'2022-23 Salary &amp; Benefits'!$A:$I,6,FALSE)</f>
        <v>72728</v>
      </c>
      <c r="V1338" s="22">
        <f t="shared" si="254"/>
        <v>0</v>
      </c>
      <c r="W1338" s="22">
        <f t="shared" si="255"/>
        <v>0</v>
      </c>
      <c r="X1338" s="22">
        <f>'2022-23 Salary &amp; Benefits'!$G$6</f>
        <v>12558.24</v>
      </c>
      <c r="Y1338" s="23">
        <f>'2022-23 Salary &amp; Benefits'!$H$6</f>
        <v>0.2298</v>
      </c>
      <c r="Z1338" s="23">
        <f>'2022-23 Salary &amp; Benefits'!$I$6</f>
        <v>0.22339999999999999</v>
      </c>
      <c r="AA1338" s="22">
        <f t="shared" si="256"/>
        <v>0</v>
      </c>
      <c r="AB1338" s="22">
        <f t="shared" si="257"/>
        <v>0</v>
      </c>
      <c r="AC1338" s="22">
        <f t="shared" si="258"/>
        <v>0</v>
      </c>
      <c r="AD1338" s="22">
        <f t="shared" si="260"/>
        <v>0</v>
      </c>
      <c r="AE1338" s="22">
        <f t="shared" si="261"/>
        <v>0</v>
      </c>
      <c r="AF1338" s="19" t="str">
        <f>VLOOKUP(C1338,'2021-22 School Level AAFTE'!C:N,12,FALSE)</f>
        <v>No</v>
      </c>
    </row>
    <row r="1339" spans="1:32" s="5" customFormat="1">
      <c r="A1339" s="97" t="s">
        <v>2552</v>
      </c>
      <c r="B1339" s="97" t="s">
        <v>2161</v>
      </c>
      <c r="C1339" s="95">
        <v>3205</v>
      </c>
      <c r="D1339" s="95" t="s">
        <v>2163</v>
      </c>
      <c r="E1339" s="129">
        <f>VLOOKUP($C1339,'2021-22 School Level AAFTE'!$C:$Z,11,FALSE)</f>
        <v>0.36010000000000003</v>
      </c>
      <c r="F1339" s="129" t="str">
        <f>VLOOKUP($C1339,'2021-22 School Level AAFTE'!$C:$Z,8,FALSE)</f>
        <v>No</v>
      </c>
      <c r="G1339" s="129" t="str">
        <f>VLOOKUP($C1339,'2021-22 School Level AAFTE'!$C:$Z,12,FALSE)</f>
        <v>No</v>
      </c>
      <c r="H1339" s="127">
        <f>VLOOKUP($C1339,'2021-22 School Level AAFTE'!$C:$I,7,FALSE)</f>
        <v>76.069999999999993</v>
      </c>
      <c r="I1339" s="112">
        <f>IFERROR(IF(OR(G1339="yes",F1339= "yes"),VLOOKUP(C1339,Summary!$B:$J,6,0),0),0)</f>
        <v>0</v>
      </c>
      <c r="J1339" s="111">
        <f t="shared" si="252"/>
        <v>0</v>
      </c>
      <c r="K1339" s="91">
        <f>VLOOKUP($A1339,'2022-23 Salary &amp; Benefits'!$A:$I,3,FALSE)</f>
        <v>1</v>
      </c>
      <c r="L1339" s="91">
        <f>VLOOKUP($A1339,'2022-23 Salary &amp; Benefits'!$A:$I,4,FALSE)</f>
        <v>1.04</v>
      </c>
      <c r="M1339" s="101">
        <f t="shared" si="259"/>
        <v>0</v>
      </c>
      <c r="N1339" s="24">
        <v>15</v>
      </c>
      <c r="O1339" s="26">
        <f t="shared" si="250"/>
        <v>0</v>
      </c>
      <c r="P1339" s="24">
        <v>1.1000000000000001</v>
      </c>
      <c r="Q1339" s="24">
        <v>36</v>
      </c>
      <c r="R1339" s="27">
        <f t="shared" si="251"/>
        <v>0</v>
      </c>
      <c r="S1339" s="102">
        <f t="shared" si="253"/>
        <v>0</v>
      </c>
      <c r="T1339" s="21">
        <f>VLOOKUP($A1339,'2022-23 Salary &amp; Benefits'!$A:$I,5,FALSE)</f>
        <v>68937</v>
      </c>
      <c r="U1339" s="21">
        <f>VLOOKUP($A1339,'2022-23 Salary &amp; Benefits'!$A:$I,6,FALSE)</f>
        <v>72728</v>
      </c>
      <c r="V1339" s="22">
        <f t="shared" si="254"/>
        <v>0</v>
      </c>
      <c r="W1339" s="22">
        <f t="shared" si="255"/>
        <v>0</v>
      </c>
      <c r="X1339" s="22">
        <f>'2022-23 Salary &amp; Benefits'!$G$6</f>
        <v>12558.24</v>
      </c>
      <c r="Y1339" s="23">
        <f>'2022-23 Salary &amp; Benefits'!$H$6</f>
        <v>0.2298</v>
      </c>
      <c r="Z1339" s="23">
        <f>'2022-23 Salary &amp; Benefits'!$I$6</f>
        <v>0.22339999999999999</v>
      </c>
      <c r="AA1339" s="22">
        <f t="shared" si="256"/>
        <v>0</v>
      </c>
      <c r="AB1339" s="22">
        <f t="shared" si="257"/>
        <v>0</v>
      </c>
      <c r="AC1339" s="22">
        <f t="shared" si="258"/>
        <v>0</v>
      </c>
      <c r="AD1339" s="22">
        <f t="shared" si="260"/>
        <v>0</v>
      </c>
      <c r="AE1339" s="22">
        <f t="shared" si="261"/>
        <v>0</v>
      </c>
      <c r="AF1339" s="19" t="str">
        <f>VLOOKUP(C1339,'2021-22 School Level AAFTE'!C:N,12,FALSE)</f>
        <v>No</v>
      </c>
    </row>
    <row r="1340" spans="1:32" s="5" customFormat="1">
      <c r="A1340" s="97" t="s">
        <v>2339</v>
      </c>
      <c r="B1340" s="97" t="s">
        <v>510</v>
      </c>
      <c r="C1340" s="95">
        <v>2283</v>
      </c>
      <c r="D1340" s="95" t="s">
        <v>511</v>
      </c>
      <c r="E1340" s="129">
        <f>VLOOKUP($C1340,'2021-22 School Level AAFTE'!$C:$Z,11,FALSE)</f>
        <v>0.73266666666666669</v>
      </c>
      <c r="F1340" s="129" t="str">
        <f>VLOOKUP($C1340,'2021-22 School Level AAFTE'!$C:$Z,8,FALSE)</f>
        <v>Yes</v>
      </c>
      <c r="G1340" s="129" t="str">
        <f>VLOOKUP($C1340,'2021-22 School Level AAFTE'!$C:$Z,12,FALSE)</f>
        <v>No</v>
      </c>
      <c r="H1340" s="127">
        <f>VLOOKUP($C1340,'2021-22 School Level AAFTE'!$C:$I,7,FALSE)</f>
        <v>149.72</v>
      </c>
      <c r="I1340" s="112">
        <f>IFERROR(IF(OR(G1340="yes",F1340= "yes"),VLOOKUP(C1340,Summary!$B:$J,6,0),0),0)</f>
        <v>0</v>
      </c>
      <c r="J1340" s="111">
        <f t="shared" si="252"/>
        <v>149.72</v>
      </c>
      <c r="K1340" s="91">
        <f>VLOOKUP($A1340,'2022-23 Salary &amp; Benefits'!$A:$I,3,FALSE)</f>
        <v>1</v>
      </c>
      <c r="L1340" s="91">
        <f>VLOOKUP($A1340,'2022-23 Salary &amp; Benefits'!$A:$I,4,FALSE)</f>
        <v>1</v>
      </c>
      <c r="M1340" s="101">
        <f t="shared" si="259"/>
        <v>149.72</v>
      </c>
      <c r="N1340" s="24">
        <v>15</v>
      </c>
      <c r="O1340" s="26">
        <f t="shared" si="250"/>
        <v>9.9813333333333336</v>
      </c>
      <c r="P1340" s="24">
        <v>1.1000000000000001</v>
      </c>
      <c r="Q1340" s="24">
        <v>36</v>
      </c>
      <c r="R1340" s="27">
        <f t="shared" si="251"/>
        <v>395.26080000000002</v>
      </c>
      <c r="S1340" s="102">
        <f t="shared" si="253"/>
        <v>0.439</v>
      </c>
      <c r="T1340" s="21">
        <f>VLOOKUP($A1340,'2022-23 Salary &amp; Benefits'!$A:$I,5,FALSE)</f>
        <v>68937</v>
      </c>
      <c r="U1340" s="21">
        <f>VLOOKUP($A1340,'2022-23 Salary &amp; Benefits'!$A:$I,6,FALSE)</f>
        <v>72728</v>
      </c>
      <c r="V1340" s="22">
        <f t="shared" si="254"/>
        <v>30263.34</v>
      </c>
      <c r="W1340" s="22">
        <f t="shared" si="255"/>
        <v>1664.25</v>
      </c>
      <c r="X1340" s="22">
        <f>'2022-23 Salary &amp; Benefits'!$G$6</f>
        <v>12558.24</v>
      </c>
      <c r="Y1340" s="23">
        <f>'2022-23 Salary &amp; Benefits'!$H$6</f>
        <v>0.2298</v>
      </c>
      <c r="Z1340" s="23">
        <f>'2022-23 Salary &amp; Benefits'!$I$6</f>
        <v>0.22339999999999999</v>
      </c>
      <c r="AA1340" s="22">
        <f t="shared" si="256"/>
        <v>12839.38</v>
      </c>
      <c r="AB1340" s="22">
        <f t="shared" si="257"/>
        <v>532.13</v>
      </c>
      <c r="AC1340" s="22">
        <f t="shared" si="258"/>
        <v>118.88</v>
      </c>
      <c r="AD1340" s="22">
        <f t="shared" si="260"/>
        <v>651.01</v>
      </c>
      <c r="AE1340" s="22">
        <f t="shared" si="261"/>
        <v>45417.98</v>
      </c>
      <c r="AF1340" s="19" t="str">
        <f>VLOOKUP(C1340,'2021-22 School Level AAFTE'!C:N,12,FALSE)</f>
        <v>No</v>
      </c>
    </row>
    <row r="1341" spans="1:32" s="5" customFormat="1">
      <c r="A1341" s="97" t="s">
        <v>2339</v>
      </c>
      <c r="B1341" s="97" t="s">
        <v>510</v>
      </c>
      <c r="C1341" s="95">
        <v>2922</v>
      </c>
      <c r="D1341" s="95" t="s">
        <v>512</v>
      </c>
      <c r="E1341" s="129">
        <f>VLOOKUP($C1341,'2021-22 School Level AAFTE'!$C:$Z,11,FALSE)</f>
        <v>0.73523333333333329</v>
      </c>
      <c r="F1341" s="129" t="str">
        <f>VLOOKUP($C1341,'2021-22 School Level AAFTE'!$C:$Z,8,FALSE)</f>
        <v>Yes</v>
      </c>
      <c r="G1341" s="129" t="str">
        <f>VLOOKUP($C1341,'2021-22 School Level AAFTE'!$C:$Z,12,FALSE)</f>
        <v>No</v>
      </c>
      <c r="H1341" s="127">
        <f>VLOOKUP($C1341,'2021-22 School Level AAFTE'!$C:$I,7,FALSE)</f>
        <v>148.71</v>
      </c>
      <c r="I1341" s="112">
        <f>IFERROR(IF(OR(G1341="yes",F1341= "yes"),VLOOKUP(C1341,Summary!$B:$J,6,0),0),0)</f>
        <v>0</v>
      </c>
      <c r="J1341" s="111">
        <f t="shared" si="252"/>
        <v>148.71</v>
      </c>
      <c r="K1341" s="91">
        <f>VLOOKUP($A1341,'2022-23 Salary &amp; Benefits'!$A:$I,3,FALSE)</f>
        <v>1</v>
      </c>
      <c r="L1341" s="91">
        <f>VLOOKUP($A1341,'2022-23 Salary &amp; Benefits'!$A:$I,4,FALSE)</f>
        <v>1</v>
      </c>
      <c r="M1341" s="101">
        <f t="shared" si="259"/>
        <v>148.71</v>
      </c>
      <c r="N1341" s="24">
        <v>15</v>
      </c>
      <c r="O1341" s="26">
        <f t="shared" si="250"/>
        <v>9.9139999999999997</v>
      </c>
      <c r="P1341" s="24">
        <v>1.1000000000000001</v>
      </c>
      <c r="Q1341" s="24">
        <v>36</v>
      </c>
      <c r="R1341" s="27">
        <f t="shared" si="251"/>
        <v>392.59440000000001</v>
      </c>
      <c r="S1341" s="102">
        <f t="shared" si="253"/>
        <v>0.436</v>
      </c>
      <c r="T1341" s="21">
        <f>VLOOKUP($A1341,'2022-23 Salary &amp; Benefits'!$A:$I,5,FALSE)</f>
        <v>68937</v>
      </c>
      <c r="U1341" s="21">
        <f>VLOOKUP($A1341,'2022-23 Salary &amp; Benefits'!$A:$I,6,FALSE)</f>
        <v>72728</v>
      </c>
      <c r="V1341" s="22">
        <f t="shared" si="254"/>
        <v>30056.53</v>
      </c>
      <c r="W1341" s="22">
        <f t="shared" si="255"/>
        <v>1652.880000000001</v>
      </c>
      <c r="X1341" s="22">
        <f>'2022-23 Salary &amp; Benefits'!$G$6</f>
        <v>12558.24</v>
      </c>
      <c r="Y1341" s="23">
        <f>'2022-23 Salary &amp; Benefits'!$H$6</f>
        <v>0.2298</v>
      </c>
      <c r="Z1341" s="23">
        <f>'2022-23 Salary &amp; Benefits'!$I$6</f>
        <v>0.22339999999999999</v>
      </c>
      <c r="AA1341" s="22">
        <f t="shared" si="256"/>
        <v>12751.64</v>
      </c>
      <c r="AB1341" s="22">
        <f t="shared" si="257"/>
        <v>528.49</v>
      </c>
      <c r="AC1341" s="22">
        <f t="shared" si="258"/>
        <v>118.06</v>
      </c>
      <c r="AD1341" s="22">
        <f t="shared" si="260"/>
        <v>646.54999999999995</v>
      </c>
      <c r="AE1341" s="22">
        <f t="shared" si="261"/>
        <v>45107.600000000006</v>
      </c>
      <c r="AF1341" s="19" t="str">
        <f>VLOOKUP(C1341,'2021-22 School Level AAFTE'!C:N,12,FALSE)</f>
        <v>No</v>
      </c>
    </row>
    <row r="1342" spans="1:32" s="5" customFormat="1">
      <c r="A1342" s="97" t="s">
        <v>2339</v>
      </c>
      <c r="B1342" s="97" t="s">
        <v>510</v>
      </c>
      <c r="C1342" s="95">
        <v>5584</v>
      </c>
      <c r="D1342" s="95" t="s">
        <v>2826</v>
      </c>
      <c r="E1342" s="129">
        <f>VLOOKUP($C1342,'2021-22 School Level AAFTE'!$C:$Z,11,FALSE)</f>
        <v>0.41866666666666669</v>
      </c>
      <c r="F1342" s="129" t="str">
        <f>VLOOKUP($C1342,'2021-22 School Level AAFTE'!$C:$Z,8,FALSE)</f>
        <v>No</v>
      </c>
      <c r="G1342" s="129" t="str">
        <f>VLOOKUP($C1342,'2021-22 School Level AAFTE'!$C:$Z,12,FALSE)</f>
        <v>No</v>
      </c>
      <c r="H1342" s="127">
        <f>VLOOKUP($C1342,'2021-22 School Level AAFTE'!$C:$I,7,FALSE)</f>
        <v>25.999999999999996</v>
      </c>
      <c r="I1342" s="112">
        <f>IFERROR(IF(OR(G1342="yes",F1342= "yes"),VLOOKUP(C1342,Summary!$B:$J,6,0),0),0)</f>
        <v>0</v>
      </c>
      <c r="J1342" s="111">
        <f t="shared" si="252"/>
        <v>0</v>
      </c>
      <c r="K1342" s="91">
        <f>VLOOKUP($A1342,'2022-23 Salary &amp; Benefits'!$A:$I,3,FALSE)</f>
        <v>1</v>
      </c>
      <c r="L1342" s="91">
        <f>VLOOKUP($A1342,'2022-23 Salary &amp; Benefits'!$A:$I,4,FALSE)</f>
        <v>1</v>
      </c>
      <c r="M1342" s="39">
        <f t="shared" si="259"/>
        <v>0</v>
      </c>
      <c r="N1342" s="24">
        <v>15</v>
      </c>
      <c r="O1342" s="26">
        <f t="shared" si="250"/>
        <v>0</v>
      </c>
      <c r="P1342" s="24">
        <v>1.1000000000000001</v>
      </c>
      <c r="Q1342" s="24">
        <v>36</v>
      </c>
      <c r="R1342" s="27">
        <f t="shared" si="251"/>
        <v>0</v>
      </c>
      <c r="S1342" s="102">
        <f t="shared" si="253"/>
        <v>0</v>
      </c>
      <c r="T1342" s="21">
        <f>VLOOKUP($A1342,'2022-23 Salary &amp; Benefits'!$A:$I,5,FALSE)</f>
        <v>68937</v>
      </c>
      <c r="U1342" s="21">
        <f>VLOOKUP($A1342,'2022-23 Salary &amp; Benefits'!$A:$I,6,FALSE)</f>
        <v>72728</v>
      </c>
      <c r="V1342" s="22">
        <f t="shared" si="254"/>
        <v>0</v>
      </c>
      <c r="W1342" s="22">
        <f t="shared" si="255"/>
        <v>0</v>
      </c>
      <c r="X1342" s="22">
        <f>'2022-23 Salary &amp; Benefits'!$G$6</f>
        <v>12558.24</v>
      </c>
      <c r="Y1342" s="23">
        <f>'2022-23 Salary &amp; Benefits'!$H$6</f>
        <v>0.2298</v>
      </c>
      <c r="Z1342" s="23">
        <f>'2022-23 Salary &amp; Benefits'!$I$6</f>
        <v>0.22339999999999999</v>
      </c>
      <c r="AA1342" s="22">
        <f t="shared" si="256"/>
        <v>0</v>
      </c>
      <c r="AB1342" s="22">
        <f t="shared" si="257"/>
        <v>0</v>
      </c>
      <c r="AC1342" s="22">
        <f t="shared" si="258"/>
        <v>0</v>
      </c>
      <c r="AD1342" s="22">
        <f t="shared" si="260"/>
        <v>0</v>
      </c>
      <c r="AE1342" s="22">
        <f t="shared" si="261"/>
        <v>0</v>
      </c>
      <c r="AF1342" s="19" t="str">
        <f>VLOOKUP(C1342,'2021-22 School Level AAFTE'!C:N,12,FALSE)</f>
        <v>No</v>
      </c>
    </row>
    <row r="1343" spans="1:32" s="5" customFormat="1">
      <c r="A1343" s="97" t="s">
        <v>2339</v>
      </c>
      <c r="B1343" s="97" t="s">
        <v>510</v>
      </c>
      <c r="C1343" s="95">
        <v>5594</v>
      </c>
      <c r="D1343" s="95" t="s">
        <v>3072</v>
      </c>
      <c r="E1343" s="129">
        <f>VLOOKUP($C1343,'2021-22 School Level AAFTE'!$C:$Z,11,FALSE)</f>
        <v>0</v>
      </c>
      <c r="F1343" s="129" t="str">
        <f>VLOOKUP($C1343,'2021-22 School Level AAFTE'!$C:$Z,8,FALSE)</f>
        <v>No</v>
      </c>
      <c r="G1343" s="129" t="str">
        <f>VLOOKUP($C1343,'2021-22 School Level AAFTE'!$C:$Z,12,FALSE)</f>
        <v>No</v>
      </c>
      <c r="H1343" s="127">
        <f>VLOOKUP($C1343,'2021-22 School Level AAFTE'!$C:$I,7,FALSE)</f>
        <v>3.86</v>
      </c>
      <c r="I1343" s="112">
        <f>IFERROR(IF(OR(G1343="yes",F1343= "yes"),VLOOKUP(C1343,Summary!$B:$J,6,0),0),0)</f>
        <v>0</v>
      </c>
      <c r="J1343" s="111">
        <f t="shared" si="252"/>
        <v>0</v>
      </c>
      <c r="K1343" s="91">
        <f>VLOOKUP($A1343,'2022-23 Salary &amp; Benefits'!$A:$I,3,FALSE)</f>
        <v>1</v>
      </c>
      <c r="L1343" s="91">
        <f>VLOOKUP($A1343,'2022-23 Salary &amp; Benefits'!$A:$I,4,FALSE)</f>
        <v>1</v>
      </c>
      <c r="M1343" s="39">
        <f t="shared" si="259"/>
        <v>0</v>
      </c>
      <c r="N1343" s="24">
        <v>15</v>
      </c>
      <c r="O1343" s="26">
        <f t="shared" si="250"/>
        <v>0</v>
      </c>
      <c r="P1343" s="24">
        <v>1.1000000000000001</v>
      </c>
      <c r="Q1343" s="24">
        <v>36</v>
      </c>
      <c r="R1343" s="27">
        <f t="shared" si="251"/>
        <v>0</v>
      </c>
      <c r="S1343" s="102">
        <f t="shared" si="253"/>
        <v>0</v>
      </c>
      <c r="T1343" s="21">
        <f>VLOOKUP($A1343,'2022-23 Salary &amp; Benefits'!$A:$I,5,FALSE)</f>
        <v>68937</v>
      </c>
      <c r="U1343" s="21">
        <f>VLOOKUP($A1343,'2022-23 Salary &amp; Benefits'!$A:$I,6,FALSE)</f>
        <v>72728</v>
      </c>
      <c r="V1343" s="22">
        <f t="shared" si="254"/>
        <v>0</v>
      </c>
      <c r="W1343" s="22">
        <f t="shared" si="255"/>
        <v>0</v>
      </c>
      <c r="X1343" s="22">
        <f>'2022-23 Salary &amp; Benefits'!$G$6</f>
        <v>12558.24</v>
      </c>
      <c r="Y1343" s="23">
        <f>'2022-23 Salary &amp; Benefits'!$H$6</f>
        <v>0.2298</v>
      </c>
      <c r="Z1343" s="23">
        <f>'2022-23 Salary &amp; Benefits'!$I$6</f>
        <v>0.22339999999999999</v>
      </c>
      <c r="AA1343" s="22">
        <f t="shared" si="256"/>
        <v>0</v>
      </c>
      <c r="AB1343" s="22">
        <f t="shared" si="257"/>
        <v>0</v>
      </c>
      <c r="AC1343" s="22">
        <f t="shared" si="258"/>
        <v>0</v>
      </c>
      <c r="AD1343" s="22">
        <f t="shared" si="260"/>
        <v>0</v>
      </c>
      <c r="AE1343" s="22">
        <f t="shared" si="261"/>
        <v>0</v>
      </c>
      <c r="AF1343" s="19" t="str">
        <f>VLOOKUP(C1343,'2021-22 School Level AAFTE'!C:N,12,FALSE)</f>
        <v>No</v>
      </c>
    </row>
    <row r="1344" spans="1:32" s="5" customFormat="1">
      <c r="A1344" s="97" t="s">
        <v>2429</v>
      </c>
      <c r="B1344" s="97" t="s">
        <v>1261</v>
      </c>
      <c r="C1344" s="95">
        <v>2517</v>
      </c>
      <c r="D1344" s="95" t="s">
        <v>1262</v>
      </c>
      <c r="E1344" s="129">
        <f>VLOOKUP($C1344,'2021-22 School Level AAFTE'!$C:$Z,11,FALSE)</f>
        <v>0.57529999999999992</v>
      </c>
      <c r="F1344" s="129" t="str">
        <f>VLOOKUP($C1344,'2021-22 School Level AAFTE'!$C:$Z,8,FALSE)</f>
        <v>Yes</v>
      </c>
      <c r="G1344" s="129" t="str">
        <f>VLOOKUP($C1344,'2021-22 School Level AAFTE'!$C:$Z,12,FALSE)</f>
        <v>No</v>
      </c>
      <c r="H1344" s="127">
        <f>VLOOKUP($C1344,'2021-22 School Level AAFTE'!$C:$I,7,FALSE)</f>
        <v>232.48</v>
      </c>
      <c r="I1344" s="112">
        <f>IFERROR(IF(OR(G1344="yes",F1344= "yes"),VLOOKUP(C1344,Summary!$B:$J,6,0),0),0)</f>
        <v>0</v>
      </c>
      <c r="J1344" s="111">
        <f t="shared" si="252"/>
        <v>232.48</v>
      </c>
      <c r="K1344" s="91">
        <f>VLOOKUP($A1344,'2022-23 Salary &amp; Benefits'!$A:$I,3,FALSE)</f>
        <v>1</v>
      </c>
      <c r="L1344" s="91">
        <f>VLOOKUP($A1344,'2022-23 Salary &amp; Benefits'!$A:$I,4,FALSE)</f>
        <v>1</v>
      </c>
      <c r="M1344" s="101">
        <f t="shared" si="259"/>
        <v>232.48</v>
      </c>
      <c r="N1344" s="24">
        <v>15</v>
      </c>
      <c r="O1344" s="26">
        <f t="shared" si="250"/>
        <v>15.498666666666667</v>
      </c>
      <c r="P1344" s="24">
        <v>1.1000000000000001</v>
      </c>
      <c r="Q1344" s="24">
        <v>36</v>
      </c>
      <c r="R1344" s="27">
        <f t="shared" si="251"/>
        <v>613.74720000000002</v>
      </c>
      <c r="S1344" s="102">
        <f t="shared" si="253"/>
        <v>0.68200000000000005</v>
      </c>
      <c r="T1344" s="21">
        <f>VLOOKUP($A1344,'2022-23 Salary &amp; Benefits'!$A:$I,5,FALSE)</f>
        <v>68937</v>
      </c>
      <c r="U1344" s="21">
        <f>VLOOKUP($A1344,'2022-23 Salary &amp; Benefits'!$A:$I,6,FALSE)</f>
        <v>72728</v>
      </c>
      <c r="V1344" s="22">
        <f t="shared" si="254"/>
        <v>47015.03</v>
      </c>
      <c r="W1344" s="22">
        <f t="shared" si="255"/>
        <v>2585.4700000000012</v>
      </c>
      <c r="X1344" s="22">
        <f>'2022-23 Salary &amp; Benefits'!$G$6</f>
        <v>12558.24</v>
      </c>
      <c r="Y1344" s="23">
        <f>'2022-23 Salary &amp; Benefits'!$H$6</f>
        <v>0.2298</v>
      </c>
      <c r="Z1344" s="23">
        <f>'2022-23 Salary &amp; Benefits'!$I$6</f>
        <v>0.22339999999999999</v>
      </c>
      <c r="AA1344" s="22">
        <f t="shared" si="256"/>
        <v>19946.37</v>
      </c>
      <c r="AB1344" s="22">
        <f t="shared" si="257"/>
        <v>826.67</v>
      </c>
      <c r="AC1344" s="22">
        <f t="shared" si="258"/>
        <v>184.68</v>
      </c>
      <c r="AD1344" s="22">
        <f t="shared" si="260"/>
        <v>1011.3499999999999</v>
      </c>
      <c r="AE1344" s="22">
        <f t="shared" si="261"/>
        <v>70558.22</v>
      </c>
      <c r="AF1344" s="19" t="str">
        <f>VLOOKUP(C1344,'2021-22 School Level AAFTE'!C:N,12,FALSE)</f>
        <v>No</v>
      </c>
    </row>
    <row r="1345" spans="1:284" s="5" customFormat="1">
      <c r="A1345" s="97" t="s">
        <v>2429</v>
      </c>
      <c r="B1345" s="97" t="s">
        <v>1261</v>
      </c>
      <c r="C1345" s="95">
        <v>3531</v>
      </c>
      <c r="D1345" s="95" t="s">
        <v>1263</v>
      </c>
      <c r="E1345" s="129">
        <f>VLOOKUP($C1345,'2021-22 School Level AAFTE'!$C:$Z,11,FALSE)</f>
        <v>0.72366666666666657</v>
      </c>
      <c r="F1345" s="129" t="str">
        <f>VLOOKUP($C1345,'2021-22 School Level AAFTE'!$C:$Z,8,FALSE)</f>
        <v>Yes</v>
      </c>
      <c r="G1345" s="129" t="str">
        <f>VLOOKUP($C1345,'2021-22 School Level AAFTE'!$C:$Z,12,FALSE)</f>
        <v>No</v>
      </c>
      <c r="H1345" s="127">
        <f>VLOOKUP($C1345,'2021-22 School Level AAFTE'!$C:$I,7,FALSE)</f>
        <v>205.02</v>
      </c>
      <c r="I1345" s="112">
        <f>IFERROR(IF(OR(G1345="yes",F1345= "yes"),VLOOKUP(C1345,Summary!$B:$J,6,0),0),0)</f>
        <v>0</v>
      </c>
      <c r="J1345" s="111">
        <f t="shared" si="252"/>
        <v>205.02</v>
      </c>
      <c r="K1345" s="91">
        <f>VLOOKUP($A1345,'2022-23 Salary &amp; Benefits'!$A:$I,3,FALSE)</f>
        <v>1</v>
      </c>
      <c r="L1345" s="91">
        <f>VLOOKUP($A1345,'2022-23 Salary &amp; Benefits'!$A:$I,4,FALSE)</f>
        <v>1</v>
      </c>
      <c r="M1345" s="101">
        <f t="shared" si="259"/>
        <v>205.02</v>
      </c>
      <c r="N1345" s="24">
        <v>15</v>
      </c>
      <c r="O1345" s="26">
        <f t="shared" si="250"/>
        <v>13.668000000000001</v>
      </c>
      <c r="P1345" s="24">
        <v>1.1000000000000001</v>
      </c>
      <c r="Q1345" s="24">
        <v>36</v>
      </c>
      <c r="R1345" s="27">
        <f t="shared" si="251"/>
        <v>541.25280000000009</v>
      </c>
      <c r="S1345" s="102">
        <f t="shared" si="253"/>
        <v>0.60099999999999998</v>
      </c>
      <c r="T1345" s="21">
        <f>VLOOKUP($A1345,'2022-23 Salary &amp; Benefits'!$A:$I,5,FALSE)</f>
        <v>68937</v>
      </c>
      <c r="U1345" s="21">
        <f>VLOOKUP($A1345,'2022-23 Salary &amp; Benefits'!$A:$I,6,FALSE)</f>
        <v>72728</v>
      </c>
      <c r="V1345" s="22">
        <f t="shared" si="254"/>
        <v>41431.14</v>
      </c>
      <c r="W1345" s="22">
        <f t="shared" si="255"/>
        <v>2278.3899999999994</v>
      </c>
      <c r="X1345" s="22">
        <f>'2022-23 Salary &amp; Benefits'!$G$6</f>
        <v>12558.24</v>
      </c>
      <c r="Y1345" s="23">
        <f>'2022-23 Salary &amp; Benefits'!$H$6</f>
        <v>0.2298</v>
      </c>
      <c r="Z1345" s="23">
        <f>'2022-23 Salary &amp; Benefits'!$I$6</f>
        <v>0.22339999999999999</v>
      </c>
      <c r="AA1345" s="22">
        <f t="shared" si="256"/>
        <v>17577.37</v>
      </c>
      <c r="AB1345" s="22">
        <f t="shared" si="257"/>
        <v>728.49</v>
      </c>
      <c r="AC1345" s="22">
        <f t="shared" si="258"/>
        <v>162.74</v>
      </c>
      <c r="AD1345" s="22">
        <f t="shared" si="260"/>
        <v>891.23</v>
      </c>
      <c r="AE1345" s="22">
        <f t="shared" si="261"/>
        <v>62178.13</v>
      </c>
      <c r="AF1345" s="19" t="str">
        <f>VLOOKUP(C1345,'2021-22 School Level AAFTE'!C:N,12,FALSE)</f>
        <v>No</v>
      </c>
    </row>
    <row r="1346" spans="1:284" s="5" customFormat="1">
      <c r="A1346" s="97" t="s">
        <v>2429</v>
      </c>
      <c r="B1346" s="97" t="s">
        <v>1261</v>
      </c>
      <c r="C1346" s="95">
        <v>4039</v>
      </c>
      <c r="D1346" s="95" t="s">
        <v>1264</v>
      </c>
      <c r="E1346" s="129">
        <f>VLOOKUP($C1346,'2021-22 School Level AAFTE'!$C:$Z,11,FALSE)</f>
        <v>0.68496666666666661</v>
      </c>
      <c r="F1346" s="129" t="str">
        <f>VLOOKUP($C1346,'2021-22 School Level AAFTE'!$C:$Z,8,FALSE)</f>
        <v>Yes</v>
      </c>
      <c r="G1346" s="129" t="str">
        <f>VLOOKUP($C1346,'2021-22 School Level AAFTE'!$C:$Z,12,FALSE)</f>
        <v>No</v>
      </c>
      <c r="H1346" s="127">
        <f>VLOOKUP($C1346,'2021-22 School Level AAFTE'!$C:$I,7,FALSE)</f>
        <v>188.49</v>
      </c>
      <c r="I1346" s="112">
        <f>IFERROR(IF(OR(G1346="yes",F1346= "yes"),VLOOKUP(C1346,Summary!$B:$J,6,0),0),0)</f>
        <v>0</v>
      </c>
      <c r="J1346" s="111">
        <f t="shared" si="252"/>
        <v>188.49</v>
      </c>
      <c r="K1346" s="91">
        <f>VLOOKUP($A1346,'2022-23 Salary &amp; Benefits'!$A:$I,3,FALSE)</f>
        <v>1</v>
      </c>
      <c r="L1346" s="91">
        <f>VLOOKUP($A1346,'2022-23 Salary &amp; Benefits'!$A:$I,4,FALSE)</f>
        <v>1</v>
      </c>
      <c r="M1346" s="39">
        <f t="shared" si="259"/>
        <v>188.49</v>
      </c>
      <c r="N1346" s="24">
        <v>15</v>
      </c>
      <c r="O1346" s="26">
        <f t="shared" si="250"/>
        <v>12.566000000000001</v>
      </c>
      <c r="P1346" s="24">
        <v>1.1000000000000001</v>
      </c>
      <c r="Q1346" s="24">
        <v>36</v>
      </c>
      <c r="R1346" s="27">
        <f t="shared" si="251"/>
        <v>497.61360000000002</v>
      </c>
      <c r="S1346" s="102">
        <f t="shared" si="253"/>
        <v>0.55300000000000005</v>
      </c>
      <c r="T1346" s="21">
        <f>VLOOKUP($A1346,'2022-23 Salary &amp; Benefits'!$A:$I,5,FALSE)</f>
        <v>68937</v>
      </c>
      <c r="U1346" s="21">
        <f>VLOOKUP($A1346,'2022-23 Salary &amp; Benefits'!$A:$I,6,FALSE)</f>
        <v>72728</v>
      </c>
      <c r="V1346" s="22">
        <f t="shared" si="254"/>
        <v>38122.160000000003</v>
      </c>
      <c r="W1346" s="22">
        <f t="shared" si="255"/>
        <v>2096.4199999999983</v>
      </c>
      <c r="X1346" s="22">
        <f>'2022-23 Salary &amp; Benefits'!$G$6</f>
        <v>12558.24</v>
      </c>
      <c r="Y1346" s="23">
        <f>'2022-23 Salary &amp; Benefits'!$H$6</f>
        <v>0.2298</v>
      </c>
      <c r="Z1346" s="23">
        <f>'2022-23 Salary &amp; Benefits'!$I$6</f>
        <v>0.22339999999999999</v>
      </c>
      <c r="AA1346" s="22">
        <f t="shared" si="256"/>
        <v>16173.52</v>
      </c>
      <c r="AB1346" s="22">
        <f t="shared" si="257"/>
        <v>670.31</v>
      </c>
      <c r="AC1346" s="22">
        <f t="shared" si="258"/>
        <v>149.75</v>
      </c>
      <c r="AD1346" s="22">
        <f t="shared" si="260"/>
        <v>820.06</v>
      </c>
      <c r="AE1346" s="22">
        <f t="shared" si="261"/>
        <v>57212.160000000003</v>
      </c>
      <c r="AF1346" s="19" t="str">
        <f>VLOOKUP(C1346,'2021-22 School Level AAFTE'!C:N,12,FALSE)</f>
        <v>No</v>
      </c>
    </row>
    <row r="1347" spans="1:284" s="5" customFormat="1">
      <c r="A1347" s="97" t="s">
        <v>2429</v>
      </c>
      <c r="B1347" s="97" t="s">
        <v>1261</v>
      </c>
      <c r="C1347" s="95">
        <v>4220</v>
      </c>
      <c r="D1347" s="95" t="s">
        <v>1265</v>
      </c>
      <c r="E1347" s="129">
        <f>VLOOKUP($C1347,'2021-22 School Level AAFTE'!$C:$Z,11,FALSE)</f>
        <v>0.59199999999999997</v>
      </c>
      <c r="F1347" s="129" t="str">
        <f>VLOOKUP($C1347,'2021-22 School Level AAFTE'!$C:$Z,8,FALSE)</f>
        <v>Yes</v>
      </c>
      <c r="G1347" s="129" t="str">
        <f>VLOOKUP($C1347,'2021-22 School Level AAFTE'!$C:$Z,12,FALSE)</f>
        <v>No</v>
      </c>
      <c r="H1347" s="127">
        <f>VLOOKUP($C1347,'2021-22 School Level AAFTE'!$C:$I,7,FALSE)</f>
        <v>301.48</v>
      </c>
      <c r="I1347" s="112">
        <f>IFERROR(IF(OR(G1347="yes",F1347= "yes"),VLOOKUP(C1347,Summary!$B:$J,6,0),0),0)</f>
        <v>0</v>
      </c>
      <c r="J1347" s="111">
        <f t="shared" si="252"/>
        <v>301.48</v>
      </c>
      <c r="K1347" s="91">
        <f>VLOOKUP($A1347,'2022-23 Salary &amp; Benefits'!$A:$I,3,FALSE)</f>
        <v>1</v>
      </c>
      <c r="L1347" s="91">
        <f>VLOOKUP($A1347,'2022-23 Salary &amp; Benefits'!$A:$I,4,FALSE)</f>
        <v>1</v>
      </c>
      <c r="M1347" s="39">
        <f t="shared" si="259"/>
        <v>301.48</v>
      </c>
      <c r="N1347" s="24">
        <v>15</v>
      </c>
      <c r="O1347" s="26">
        <f t="shared" si="250"/>
        <v>20.098666666666666</v>
      </c>
      <c r="P1347" s="24">
        <v>1.1000000000000001</v>
      </c>
      <c r="Q1347" s="24">
        <v>36</v>
      </c>
      <c r="R1347" s="27">
        <f t="shared" si="251"/>
        <v>795.90719999999999</v>
      </c>
      <c r="S1347" s="102">
        <f t="shared" si="253"/>
        <v>0.88400000000000001</v>
      </c>
      <c r="T1347" s="21">
        <f>VLOOKUP($A1347,'2022-23 Salary &amp; Benefits'!$A:$I,5,FALSE)</f>
        <v>68937</v>
      </c>
      <c r="U1347" s="21">
        <f>VLOOKUP($A1347,'2022-23 Salary &amp; Benefits'!$A:$I,6,FALSE)</f>
        <v>72728</v>
      </c>
      <c r="V1347" s="22">
        <f t="shared" si="254"/>
        <v>60940.31</v>
      </c>
      <c r="W1347" s="22">
        <f t="shared" si="255"/>
        <v>3351.2400000000052</v>
      </c>
      <c r="X1347" s="22">
        <f>'2022-23 Salary &amp; Benefits'!$G$6</f>
        <v>12558.24</v>
      </c>
      <c r="Y1347" s="23">
        <f>'2022-23 Salary &amp; Benefits'!$H$6</f>
        <v>0.2298</v>
      </c>
      <c r="Z1347" s="23">
        <f>'2022-23 Salary &amp; Benefits'!$I$6</f>
        <v>0.22339999999999999</v>
      </c>
      <c r="AA1347" s="22">
        <f t="shared" si="256"/>
        <v>25854.23</v>
      </c>
      <c r="AB1347" s="22">
        <f t="shared" si="257"/>
        <v>1071.53</v>
      </c>
      <c r="AC1347" s="22">
        <f t="shared" si="258"/>
        <v>239.38</v>
      </c>
      <c r="AD1347" s="22">
        <f t="shared" si="260"/>
        <v>1310.9099999999999</v>
      </c>
      <c r="AE1347" s="22">
        <f t="shared" si="261"/>
        <v>91456.69</v>
      </c>
      <c r="AF1347" s="19" t="str">
        <f>VLOOKUP(C1347,'2021-22 School Level AAFTE'!C:N,12,FALSE)</f>
        <v>No</v>
      </c>
    </row>
    <row r="1348" spans="1:284" s="5" customFormat="1">
      <c r="A1348" s="97" t="s">
        <v>2429</v>
      </c>
      <c r="B1348" s="97" t="s">
        <v>1261</v>
      </c>
      <c r="C1348" s="95">
        <v>5647</v>
      </c>
      <c r="D1348" s="95" t="s">
        <v>1266</v>
      </c>
      <c r="E1348" s="129">
        <f>VLOOKUP($C1348,'2021-22 School Level AAFTE'!$C:$Z,11,FALSE)</f>
        <v>0.69874999999999998</v>
      </c>
      <c r="F1348" s="129" t="str">
        <f>VLOOKUP($C1348,'2021-22 School Level AAFTE'!$C:$Z,8,FALSE)</f>
        <v>Yes</v>
      </c>
      <c r="G1348" s="129" t="str">
        <f>VLOOKUP($C1348,'2021-22 School Level AAFTE'!$C:$Z,12,FALSE)</f>
        <v>No</v>
      </c>
      <c r="H1348" s="127">
        <f>VLOOKUP($C1348,'2021-22 School Level AAFTE'!$C:$I,7,FALSE)</f>
        <v>95.22</v>
      </c>
      <c r="I1348" s="112">
        <f>IFERROR(IF(OR(G1348="yes",F1348= "yes"),VLOOKUP(C1348,Summary!$B:$J,6,0),0),0)</f>
        <v>0</v>
      </c>
      <c r="J1348" s="111">
        <f t="shared" si="252"/>
        <v>95.22</v>
      </c>
      <c r="K1348" s="91">
        <f>VLOOKUP($A1348,'2022-23 Salary &amp; Benefits'!$A:$I,3,FALSE)</f>
        <v>1</v>
      </c>
      <c r="L1348" s="91">
        <f>VLOOKUP($A1348,'2022-23 Salary &amp; Benefits'!$A:$I,4,FALSE)</f>
        <v>1</v>
      </c>
      <c r="M1348" s="39">
        <f t="shared" si="259"/>
        <v>95.22</v>
      </c>
      <c r="N1348" s="24">
        <v>15</v>
      </c>
      <c r="O1348" s="26">
        <f t="shared" si="250"/>
        <v>6.3479999999999999</v>
      </c>
      <c r="P1348" s="24">
        <v>1.1000000000000001</v>
      </c>
      <c r="Q1348" s="24">
        <v>36</v>
      </c>
      <c r="R1348" s="27">
        <f t="shared" si="251"/>
        <v>251.38079999999999</v>
      </c>
      <c r="S1348" s="102">
        <f t="shared" si="253"/>
        <v>0.27900000000000003</v>
      </c>
      <c r="T1348" s="21">
        <f>VLOOKUP($A1348,'2022-23 Salary &amp; Benefits'!$A:$I,5,FALSE)</f>
        <v>68937</v>
      </c>
      <c r="U1348" s="21">
        <f>VLOOKUP($A1348,'2022-23 Salary &amp; Benefits'!$A:$I,6,FALSE)</f>
        <v>72728</v>
      </c>
      <c r="V1348" s="22">
        <f t="shared" si="254"/>
        <v>19233.419999999998</v>
      </c>
      <c r="W1348" s="22">
        <f t="shared" si="255"/>
        <v>1057.6900000000023</v>
      </c>
      <c r="X1348" s="22">
        <f>'2022-23 Salary &amp; Benefits'!$G$6</f>
        <v>12558.24</v>
      </c>
      <c r="Y1348" s="23">
        <f>'2022-23 Salary &amp; Benefits'!$H$6</f>
        <v>0.2298</v>
      </c>
      <c r="Z1348" s="23">
        <f>'2022-23 Salary &amp; Benefits'!$I$6</f>
        <v>0.22339999999999999</v>
      </c>
      <c r="AA1348" s="22">
        <f t="shared" si="256"/>
        <v>8159.88</v>
      </c>
      <c r="AB1348" s="22">
        <f t="shared" si="257"/>
        <v>338.19</v>
      </c>
      <c r="AC1348" s="22">
        <f t="shared" si="258"/>
        <v>75.55</v>
      </c>
      <c r="AD1348" s="22">
        <f t="shared" si="260"/>
        <v>413.74</v>
      </c>
      <c r="AE1348" s="22">
        <f t="shared" si="261"/>
        <v>28864.730000000003</v>
      </c>
      <c r="AF1348" s="19" t="str">
        <f>VLOOKUP(C1348,'2021-22 School Level AAFTE'!C:N,12,FALSE)</f>
        <v>No</v>
      </c>
    </row>
    <row r="1349" spans="1:284" s="5" customFormat="1">
      <c r="A1349" s="97" t="s">
        <v>2338</v>
      </c>
      <c r="B1349" s="97" t="s">
        <v>507</v>
      </c>
      <c r="C1349" s="95">
        <v>3024</v>
      </c>
      <c r="D1349" s="95" t="s">
        <v>508</v>
      </c>
      <c r="E1349" s="129">
        <f>VLOOKUP($C1349,'2021-22 School Level AAFTE'!$C:$Z,11,FALSE)</f>
        <v>0.7907333333333334</v>
      </c>
      <c r="F1349" s="129" t="str">
        <f>VLOOKUP($C1349,'2021-22 School Level AAFTE'!$C:$Z,8,FALSE)</f>
        <v>Yes</v>
      </c>
      <c r="G1349" s="129" t="str">
        <f>VLOOKUP($C1349,'2021-22 School Level AAFTE'!$C:$Z,12,FALSE)</f>
        <v>No</v>
      </c>
      <c r="H1349" s="127">
        <f>VLOOKUP($C1349,'2021-22 School Level AAFTE'!$C:$I,7,FALSE)</f>
        <v>263.58999999999997</v>
      </c>
      <c r="I1349" s="112">
        <f>IFERROR(IF(OR(G1349="yes",F1349= "yes"),VLOOKUP(C1349,Summary!$B:$J,6,0),0),0)</f>
        <v>0</v>
      </c>
      <c r="J1349" s="111">
        <f t="shared" si="252"/>
        <v>263.58999999999997</v>
      </c>
      <c r="K1349" s="91">
        <f>VLOOKUP($A1349,'2022-23 Salary &amp; Benefits'!$A:$I,3,FALSE)</f>
        <v>1</v>
      </c>
      <c r="L1349" s="91">
        <f>VLOOKUP($A1349,'2022-23 Salary &amp; Benefits'!$A:$I,4,FALSE)</f>
        <v>1</v>
      </c>
      <c r="M1349" s="101">
        <f t="shared" si="259"/>
        <v>263.58999999999997</v>
      </c>
      <c r="N1349" s="24">
        <v>15</v>
      </c>
      <c r="O1349" s="26">
        <f t="shared" si="250"/>
        <v>17.572666666666667</v>
      </c>
      <c r="P1349" s="24">
        <v>1.1000000000000001</v>
      </c>
      <c r="Q1349" s="24">
        <v>36</v>
      </c>
      <c r="R1349" s="27">
        <f t="shared" si="251"/>
        <v>695.87760000000014</v>
      </c>
      <c r="S1349" s="102">
        <f t="shared" si="253"/>
        <v>0.77300000000000002</v>
      </c>
      <c r="T1349" s="21">
        <f>VLOOKUP($A1349,'2022-23 Salary &amp; Benefits'!$A:$I,5,FALSE)</f>
        <v>68937</v>
      </c>
      <c r="U1349" s="21">
        <f>VLOOKUP($A1349,'2022-23 Salary &amp; Benefits'!$A:$I,6,FALSE)</f>
        <v>72728</v>
      </c>
      <c r="V1349" s="22">
        <f t="shared" si="254"/>
        <v>53288.3</v>
      </c>
      <c r="W1349" s="22">
        <f t="shared" si="255"/>
        <v>2930.4399999999951</v>
      </c>
      <c r="X1349" s="22">
        <f>'2022-23 Salary &amp; Benefits'!$G$6</f>
        <v>12558.24</v>
      </c>
      <c r="Y1349" s="23">
        <f>'2022-23 Salary &amp; Benefits'!$H$6</f>
        <v>0.2298</v>
      </c>
      <c r="Z1349" s="23">
        <f>'2022-23 Salary &amp; Benefits'!$I$6</f>
        <v>0.22339999999999999</v>
      </c>
      <c r="AA1349" s="22">
        <f t="shared" si="256"/>
        <v>22607.83</v>
      </c>
      <c r="AB1349" s="22">
        <f t="shared" si="257"/>
        <v>936.98</v>
      </c>
      <c r="AC1349" s="22">
        <f t="shared" si="258"/>
        <v>209.32</v>
      </c>
      <c r="AD1349" s="22">
        <f t="shared" si="260"/>
        <v>1146.3</v>
      </c>
      <c r="AE1349" s="22">
        <f t="shared" si="261"/>
        <v>79972.87000000001</v>
      </c>
      <c r="AF1349" s="19" t="str">
        <f>VLOOKUP(C1349,'2021-22 School Level AAFTE'!C:N,12,FALSE)</f>
        <v>No</v>
      </c>
    </row>
    <row r="1350" spans="1:284" s="5" customFormat="1">
      <c r="A1350" s="97" t="s">
        <v>2338</v>
      </c>
      <c r="B1350" s="97" t="s">
        <v>507</v>
      </c>
      <c r="C1350" s="95">
        <v>3025</v>
      </c>
      <c r="D1350" s="95" t="s">
        <v>509</v>
      </c>
      <c r="E1350" s="129">
        <f>VLOOKUP($C1350,'2021-22 School Level AAFTE'!$C:$Z,11,FALSE)</f>
        <v>0.76763333333333339</v>
      </c>
      <c r="F1350" s="129" t="str">
        <f>VLOOKUP($C1350,'2021-22 School Level AAFTE'!$C:$Z,8,FALSE)</f>
        <v>Yes</v>
      </c>
      <c r="G1350" s="129" t="str">
        <f>VLOOKUP($C1350,'2021-22 School Level AAFTE'!$C:$Z,12,FALSE)</f>
        <v>No</v>
      </c>
      <c r="H1350" s="127">
        <f>VLOOKUP($C1350,'2021-22 School Level AAFTE'!$C:$I,7,FALSE)</f>
        <v>279.18</v>
      </c>
      <c r="I1350" s="112">
        <f>IFERROR(IF(OR(G1350="yes",F1350= "yes"),VLOOKUP(C1350,Summary!$B:$J,6,0),0),0)</f>
        <v>0</v>
      </c>
      <c r="J1350" s="111">
        <f t="shared" si="252"/>
        <v>279.18</v>
      </c>
      <c r="K1350" s="91">
        <f>VLOOKUP($A1350,'2022-23 Salary &amp; Benefits'!$A:$I,3,FALSE)</f>
        <v>1</v>
      </c>
      <c r="L1350" s="91">
        <f>VLOOKUP($A1350,'2022-23 Salary &amp; Benefits'!$A:$I,4,FALSE)</f>
        <v>1</v>
      </c>
      <c r="M1350" s="101">
        <f t="shared" si="259"/>
        <v>279.18</v>
      </c>
      <c r="N1350" s="24">
        <v>15</v>
      </c>
      <c r="O1350" s="26">
        <f t="shared" si="250"/>
        <v>18.612000000000002</v>
      </c>
      <c r="P1350" s="24">
        <v>1.1000000000000001</v>
      </c>
      <c r="Q1350" s="24">
        <v>36</v>
      </c>
      <c r="R1350" s="27">
        <f t="shared" si="251"/>
        <v>737.03520000000003</v>
      </c>
      <c r="S1350" s="102">
        <f t="shared" si="253"/>
        <v>0.81899999999999995</v>
      </c>
      <c r="T1350" s="21">
        <f>VLOOKUP($A1350,'2022-23 Salary &amp; Benefits'!$A:$I,5,FALSE)</f>
        <v>68937</v>
      </c>
      <c r="U1350" s="21">
        <f>VLOOKUP($A1350,'2022-23 Salary &amp; Benefits'!$A:$I,6,FALSE)</f>
        <v>72728</v>
      </c>
      <c r="V1350" s="22">
        <f t="shared" si="254"/>
        <v>56459.4</v>
      </c>
      <c r="W1350" s="22">
        <f t="shared" si="255"/>
        <v>3104.8300000000017</v>
      </c>
      <c r="X1350" s="22">
        <f>'2022-23 Salary &amp; Benefits'!$G$6</f>
        <v>12558.24</v>
      </c>
      <c r="Y1350" s="23">
        <f>'2022-23 Salary &amp; Benefits'!$H$6</f>
        <v>0.2298</v>
      </c>
      <c r="Z1350" s="23">
        <f>'2022-23 Salary &amp; Benefits'!$I$6</f>
        <v>0.22339999999999999</v>
      </c>
      <c r="AA1350" s="22">
        <f t="shared" si="256"/>
        <v>23953.19</v>
      </c>
      <c r="AB1350" s="22">
        <f t="shared" si="257"/>
        <v>992.74</v>
      </c>
      <c r="AC1350" s="22">
        <f t="shared" si="258"/>
        <v>221.78</v>
      </c>
      <c r="AD1350" s="22">
        <f t="shared" si="260"/>
        <v>1214.52</v>
      </c>
      <c r="AE1350" s="22">
        <f t="shared" si="261"/>
        <v>84731.94</v>
      </c>
      <c r="AF1350" s="19" t="str">
        <f>VLOOKUP(C1350,'2021-22 School Level AAFTE'!C:N,12,FALSE)</f>
        <v>No</v>
      </c>
    </row>
    <row r="1351" spans="1:284" s="5" customFormat="1">
      <c r="A1351" s="97" t="s">
        <v>2338</v>
      </c>
      <c r="B1351" s="97" t="s">
        <v>507</v>
      </c>
      <c r="C1351" s="95">
        <v>5708</v>
      </c>
      <c r="D1351" s="95" t="s">
        <v>3033</v>
      </c>
      <c r="E1351" s="129">
        <f>VLOOKUP($C1351,'2021-22 School Level AAFTE'!$C:$Z,11,FALSE)</f>
        <v>0.83330000000000004</v>
      </c>
      <c r="F1351" s="129" t="str">
        <f>VLOOKUP($C1351,'2021-22 School Level AAFTE'!$C:$Z,8,FALSE)</f>
        <v>Yes</v>
      </c>
      <c r="G1351" s="129" t="str">
        <f>VLOOKUP($C1351,'2021-22 School Level AAFTE'!$C:$Z,12,FALSE)</f>
        <v>No</v>
      </c>
      <c r="H1351" s="127">
        <f>VLOOKUP($C1351,'2021-22 School Level AAFTE'!$C:$I,7,FALSE)</f>
        <v>21.36</v>
      </c>
      <c r="I1351" s="112">
        <f>IFERROR(IF(OR(G1351="yes",F1351= "yes"),VLOOKUP(C1351,Summary!$B:$J,6,0),0),0)</f>
        <v>0</v>
      </c>
      <c r="J1351" s="111">
        <f t="shared" si="252"/>
        <v>21.36</v>
      </c>
      <c r="K1351" s="91">
        <f>VLOOKUP($A1351,'2022-23 Salary &amp; Benefits'!$A:$I,3,FALSE)</f>
        <v>1</v>
      </c>
      <c r="L1351" s="91">
        <f>VLOOKUP($A1351,'2022-23 Salary &amp; Benefits'!$A:$I,4,FALSE)</f>
        <v>1</v>
      </c>
      <c r="M1351" s="101">
        <f t="shared" si="259"/>
        <v>21.36</v>
      </c>
      <c r="N1351" s="24">
        <v>15</v>
      </c>
      <c r="O1351" s="26">
        <f t="shared" si="250"/>
        <v>1.4239999999999999</v>
      </c>
      <c r="P1351" s="24">
        <v>1.1000000000000001</v>
      </c>
      <c r="Q1351" s="24">
        <v>36</v>
      </c>
      <c r="R1351" s="27">
        <f t="shared" si="251"/>
        <v>56.3904</v>
      </c>
      <c r="S1351" s="102">
        <f t="shared" si="253"/>
        <v>6.3E-2</v>
      </c>
      <c r="T1351" s="21">
        <f>VLOOKUP($A1351,'2022-23 Salary &amp; Benefits'!$A:$I,5,FALSE)</f>
        <v>68937</v>
      </c>
      <c r="U1351" s="21">
        <f>VLOOKUP($A1351,'2022-23 Salary &amp; Benefits'!$A:$I,6,FALSE)</f>
        <v>72728</v>
      </c>
      <c r="V1351" s="22">
        <f t="shared" si="254"/>
        <v>4343.03</v>
      </c>
      <c r="W1351" s="22">
        <f t="shared" si="255"/>
        <v>238.82999999999993</v>
      </c>
      <c r="X1351" s="22">
        <f>'2022-23 Salary &amp; Benefits'!$G$6</f>
        <v>12558.24</v>
      </c>
      <c r="Y1351" s="23">
        <f>'2022-23 Salary &amp; Benefits'!$H$6</f>
        <v>0.2298</v>
      </c>
      <c r="Z1351" s="23">
        <f>'2022-23 Salary &amp; Benefits'!$I$6</f>
        <v>0.22339999999999999</v>
      </c>
      <c r="AA1351" s="22">
        <f t="shared" si="256"/>
        <v>1842.55</v>
      </c>
      <c r="AB1351" s="22">
        <f t="shared" si="257"/>
        <v>76.36</v>
      </c>
      <c r="AC1351" s="22">
        <f t="shared" si="258"/>
        <v>17.059999999999999</v>
      </c>
      <c r="AD1351" s="22">
        <f t="shared" si="260"/>
        <v>93.42</v>
      </c>
      <c r="AE1351" s="22">
        <f t="shared" si="261"/>
        <v>6517.83</v>
      </c>
      <c r="AF1351" s="19" t="str">
        <f>VLOOKUP(C1351,'2021-22 School Level AAFTE'!C:N,12,FALSE)</f>
        <v>No</v>
      </c>
    </row>
    <row r="1352" spans="1:284" s="5" customFormat="1">
      <c r="A1352" s="97" t="s">
        <v>2410</v>
      </c>
      <c r="B1352" s="97" t="s">
        <v>1192</v>
      </c>
      <c r="C1352" s="95">
        <v>2443</v>
      </c>
      <c r="D1352" s="95" t="s">
        <v>1193</v>
      </c>
      <c r="E1352" s="129">
        <f>VLOOKUP($C1352,'2021-22 School Level AAFTE'!$C:$Z,11,FALSE)</f>
        <v>0.38046666666666668</v>
      </c>
      <c r="F1352" s="129" t="str">
        <f>VLOOKUP($C1352,'2021-22 School Level AAFTE'!$C:$Z,8,FALSE)</f>
        <v>No</v>
      </c>
      <c r="G1352" s="129" t="str">
        <f>VLOOKUP($C1352,'2021-22 School Level AAFTE'!$C:$Z,12,FALSE)</f>
        <v>No</v>
      </c>
      <c r="H1352" s="127">
        <f>VLOOKUP($C1352,'2021-22 School Level AAFTE'!$C:$I,7,FALSE)</f>
        <v>109.89999999999999</v>
      </c>
      <c r="I1352" s="112">
        <f>IFERROR(IF(OR(G1352="yes",F1352= "yes"),VLOOKUP(C1352,Summary!$B:$J,6,0),0),0)</f>
        <v>0</v>
      </c>
      <c r="J1352" s="111">
        <f t="shared" si="252"/>
        <v>0</v>
      </c>
      <c r="K1352" s="91">
        <f>VLOOKUP($A1352,'2022-23 Salary &amp; Benefits'!$A:$I,3,FALSE)</f>
        <v>1.03</v>
      </c>
      <c r="L1352" s="91">
        <f>VLOOKUP($A1352,'2022-23 Salary &amp; Benefits'!$A:$I,4,FALSE)</f>
        <v>1.07</v>
      </c>
      <c r="M1352" s="39">
        <f t="shared" si="259"/>
        <v>0</v>
      </c>
      <c r="N1352" s="24">
        <v>15</v>
      </c>
      <c r="O1352" s="26">
        <f t="shared" si="250"/>
        <v>0</v>
      </c>
      <c r="P1352" s="24">
        <v>1.1000000000000001</v>
      </c>
      <c r="Q1352" s="24">
        <v>36</v>
      </c>
      <c r="R1352" s="27">
        <f t="shared" si="251"/>
        <v>0</v>
      </c>
      <c r="S1352" s="102">
        <f t="shared" si="253"/>
        <v>0</v>
      </c>
      <c r="T1352" s="21">
        <f>VLOOKUP($A1352,'2022-23 Salary &amp; Benefits'!$A:$I,5,FALSE)</f>
        <v>68937</v>
      </c>
      <c r="U1352" s="21">
        <f>VLOOKUP($A1352,'2022-23 Salary &amp; Benefits'!$A:$I,6,FALSE)</f>
        <v>72728</v>
      </c>
      <c r="V1352" s="22">
        <f t="shared" si="254"/>
        <v>0</v>
      </c>
      <c r="W1352" s="22">
        <f t="shared" si="255"/>
        <v>0</v>
      </c>
      <c r="X1352" s="22">
        <f>'2022-23 Salary &amp; Benefits'!$G$6</f>
        <v>12558.24</v>
      </c>
      <c r="Y1352" s="23">
        <f>'2022-23 Salary &amp; Benefits'!$H$6</f>
        <v>0.2298</v>
      </c>
      <c r="Z1352" s="23">
        <f>'2022-23 Salary &amp; Benefits'!$I$6</f>
        <v>0.22339999999999999</v>
      </c>
      <c r="AA1352" s="22">
        <f t="shared" si="256"/>
        <v>0</v>
      </c>
      <c r="AB1352" s="22">
        <f t="shared" si="257"/>
        <v>0</v>
      </c>
      <c r="AC1352" s="22">
        <f t="shared" si="258"/>
        <v>0</v>
      </c>
      <c r="AD1352" s="22">
        <f t="shared" si="260"/>
        <v>0</v>
      </c>
      <c r="AE1352" s="22">
        <f t="shared" si="261"/>
        <v>0</v>
      </c>
      <c r="AF1352" s="19" t="str">
        <f>VLOOKUP(C1352,'2021-22 School Level AAFTE'!C:N,12,FALSE)</f>
        <v>No</v>
      </c>
    </row>
    <row r="1353" spans="1:284" s="5" customFormat="1">
      <c r="A1353" s="97" t="s">
        <v>2410</v>
      </c>
      <c r="B1353" s="97" t="s">
        <v>1192</v>
      </c>
      <c r="C1353" s="95">
        <v>2769</v>
      </c>
      <c r="D1353" s="95" t="s">
        <v>1194</v>
      </c>
      <c r="E1353" s="129">
        <f>VLOOKUP($C1353,'2021-22 School Level AAFTE'!$C:$Z,11,FALSE)</f>
        <v>0.4919</v>
      </c>
      <c r="F1353" s="129" t="str">
        <f>VLOOKUP($C1353,'2021-22 School Level AAFTE'!$C:$Z,8,FALSE)</f>
        <v>No</v>
      </c>
      <c r="G1353" s="129" t="str">
        <f>VLOOKUP($C1353,'2021-22 School Level AAFTE'!$C:$Z,12,FALSE)</f>
        <v>Yes</v>
      </c>
      <c r="H1353" s="127">
        <f>VLOOKUP($C1353,'2021-22 School Level AAFTE'!$C:$I,7,FALSE)</f>
        <v>107.71</v>
      </c>
      <c r="I1353" s="112">
        <f>IFERROR(IF(OR(G1353="yes",F1353= "yes"),VLOOKUP(C1353,Summary!$B:$J,6,0),0),0)</f>
        <v>0</v>
      </c>
      <c r="J1353" s="111">
        <f t="shared" si="252"/>
        <v>107.71</v>
      </c>
      <c r="K1353" s="91">
        <f>VLOOKUP($A1353,'2022-23 Salary &amp; Benefits'!$A:$I,3,FALSE)</f>
        <v>1.03</v>
      </c>
      <c r="L1353" s="91">
        <f>VLOOKUP($A1353,'2022-23 Salary &amp; Benefits'!$A:$I,4,FALSE)</f>
        <v>1.07</v>
      </c>
      <c r="M1353" s="101">
        <f t="shared" si="259"/>
        <v>107.71</v>
      </c>
      <c r="N1353" s="24">
        <v>15</v>
      </c>
      <c r="O1353" s="26">
        <f t="shared" si="250"/>
        <v>7.1806666666666663</v>
      </c>
      <c r="P1353" s="24">
        <v>1.1000000000000001</v>
      </c>
      <c r="Q1353" s="24">
        <v>36</v>
      </c>
      <c r="R1353" s="27">
        <f t="shared" si="251"/>
        <v>284.3544</v>
      </c>
      <c r="S1353" s="102">
        <f t="shared" si="253"/>
        <v>0.316</v>
      </c>
      <c r="T1353" s="21">
        <f>VLOOKUP($A1353,'2022-23 Salary &amp; Benefits'!$A:$I,5,FALSE)</f>
        <v>68937</v>
      </c>
      <c r="U1353" s="21">
        <f>VLOOKUP($A1353,'2022-23 Salary &amp; Benefits'!$A:$I,6,FALSE)</f>
        <v>72728</v>
      </c>
      <c r="V1353" s="22">
        <f t="shared" si="254"/>
        <v>22437.61</v>
      </c>
      <c r="W1353" s="22">
        <f t="shared" si="255"/>
        <v>2153.1800000000003</v>
      </c>
      <c r="X1353" s="22">
        <f>'2022-23 Salary &amp; Benefits'!$G$6</f>
        <v>12558.24</v>
      </c>
      <c r="Y1353" s="23">
        <f>'2022-23 Salary &amp; Benefits'!$H$6</f>
        <v>0.2298</v>
      </c>
      <c r="Z1353" s="23">
        <f>'2022-23 Salary &amp; Benefits'!$I$6</f>
        <v>0.22339999999999999</v>
      </c>
      <c r="AA1353" s="22">
        <f t="shared" si="256"/>
        <v>9605.59</v>
      </c>
      <c r="AB1353" s="22">
        <f t="shared" si="257"/>
        <v>409.85</v>
      </c>
      <c r="AC1353" s="22">
        <f t="shared" si="258"/>
        <v>91.56</v>
      </c>
      <c r="AD1353" s="22">
        <f t="shared" si="260"/>
        <v>501.41</v>
      </c>
      <c r="AE1353" s="22">
        <f t="shared" si="261"/>
        <v>34697.790000000008</v>
      </c>
      <c r="AF1353" s="19" t="str">
        <f>VLOOKUP(C1353,'2021-22 School Level AAFTE'!C:N,12,FALSE)</f>
        <v>Yes</v>
      </c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  <c r="IU1353" s="3"/>
      <c r="IV1353" s="3"/>
      <c r="IW1353" s="3"/>
      <c r="IX1353" s="3"/>
      <c r="IY1353" s="3"/>
      <c r="IZ1353" s="3"/>
      <c r="JA1353" s="3"/>
      <c r="JB1353" s="3"/>
      <c r="JC1353" s="3"/>
      <c r="JD1353" s="3"/>
      <c r="JE1353" s="3"/>
      <c r="JF1353" s="3"/>
      <c r="JG1353" s="3"/>
      <c r="JH1353" s="3"/>
      <c r="JI1353" s="3"/>
      <c r="JJ1353" s="3"/>
      <c r="JK1353" s="3"/>
      <c r="JL1353" s="3"/>
      <c r="JM1353" s="3"/>
      <c r="JN1353" s="3"/>
      <c r="JO1353" s="3"/>
      <c r="JP1353" s="3"/>
      <c r="JQ1353" s="3"/>
      <c r="JR1353" s="3"/>
      <c r="JS1353" s="3"/>
      <c r="JT1353" s="3"/>
      <c r="JU1353" s="3"/>
      <c r="JV1353" s="3"/>
      <c r="JW1353" s="3"/>
      <c r="JX1353" s="3"/>
    </row>
    <row r="1354" spans="1:284" s="5" customFormat="1">
      <c r="A1354" s="97" t="s">
        <v>2423</v>
      </c>
      <c r="B1354" s="97" t="s">
        <v>1236</v>
      </c>
      <c r="C1354" s="95">
        <v>1980</v>
      </c>
      <c r="D1354" s="95" t="s">
        <v>1237</v>
      </c>
      <c r="E1354" s="129">
        <f>VLOOKUP($C1354,'2021-22 School Level AAFTE'!$C:$Z,11,FALSE)</f>
        <v>0.74639999999999995</v>
      </c>
      <c r="F1354" s="129" t="str">
        <f>VLOOKUP($C1354,'2021-22 School Level AAFTE'!$C:$Z,8,FALSE)</f>
        <v>Yes</v>
      </c>
      <c r="G1354" s="129" t="str">
        <f>VLOOKUP($C1354,'2021-22 School Level AAFTE'!$C:$Z,12,FALSE)</f>
        <v>No</v>
      </c>
      <c r="H1354" s="127">
        <f>VLOOKUP($C1354,'2021-22 School Level AAFTE'!$C:$I,7,FALSE)</f>
        <v>17.29</v>
      </c>
      <c r="I1354" s="112">
        <f>IFERROR(IF(OR(G1354="yes",F1354= "yes"),VLOOKUP(C1354,Summary!$B:$J,6,0),0),0)</f>
        <v>0</v>
      </c>
      <c r="J1354" s="111">
        <f t="shared" si="252"/>
        <v>17.29</v>
      </c>
      <c r="K1354" s="91">
        <f>VLOOKUP($A1354,'2022-23 Salary &amp; Benefits'!$A:$I,3,FALSE)</f>
        <v>1</v>
      </c>
      <c r="L1354" s="91">
        <f>VLOOKUP($A1354,'2022-23 Salary &amp; Benefits'!$A:$I,4,FALSE)</f>
        <v>1.04</v>
      </c>
      <c r="M1354" s="101">
        <f t="shared" si="259"/>
        <v>17.29</v>
      </c>
      <c r="N1354" s="24">
        <v>15</v>
      </c>
      <c r="O1354" s="26">
        <f t="shared" ref="O1354:O1417" si="262">IF(M1354="no",0,M1354/N1354)</f>
        <v>1.1526666666666665</v>
      </c>
      <c r="P1354" s="24">
        <v>1.1000000000000001</v>
      </c>
      <c r="Q1354" s="24">
        <v>36</v>
      </c>
      <c r="R1354" s="27">
        <f t="shared" ref="R1354:R1417" si="263">IF(M1354="no",0,O1354*P1354*Q1354)</f>
        <v>45.645600000000002</v>
      </c>
      <c r="S1354" s="102">
        <f t="shared" si="253"/>
        <v>5.0999999999999997E-2</v>
      </c>
      <c r="T1354" s="21">
        <f>VLOOKUP($A1354,'2022-23 Salary &amp; Benefits'!$A:$I,5,FALSE)</f>
        <v>68937</v>
      </c>
      <c r="U1354" s="21">
        <f>VLOOKUP($A1354,'2022-23 Salary &amp; Benefits'!$A:$I,6,FALSE)</f>
        <v>72728</v>
      </c>
      <c r="V1354" s="22">
        <f t="shared" si="254"/>
        <v>3515.79</v>
      </c>
      <c r="W1354" s="22">
        <f t="shared" si="255"/>
        <v>341.69999999999982</v>
      </c>
      <c r="X1354" s="22">
        <f>'2022-23 Salary &amp; Benefits'!$G$6</f>
        <v>12558.24</v>
      </c>
      <c r="Y1354" s="23">
        <f>'2022-23 Salary &amp; Benefits'!$H$6</f>
        <v>0.2298</v>
      </c>
      <c r="Z1354" s="23">
        <f>'2022-23 Salary &amp; Benefits'!$I$6</f>
        <v>0.22339999999999999</v>
      </c>
      <c r="AA1354" s="22">
        <f t="shared" si="256"/>
        <v>1524.73</v>
      </c>
      <c r="AB1354" s="22">
        <f t="shared" si="257"/>
        <v>64.290000000000006</v>
      </c>
      <c r="AC1354" s="22">
        <f t="shared" si="258"/>
        <v>14.36</v>
      </c>
      <c r="AD1354" s="22">
        <f t="shared" si="260"/>
        <v>78.650000000000006</v>
      </c>
      <c r="AE1354" s="22">
        <f t="shared" si="261"/>
        <v>5460.87</v>
      </c>
      <c r="AF1354" s="19" t="str">
        <f>VLOOKUP(C1354,'2021-22 School Level AAFTE'!C:N,12,FALSE)</f>
        <v>No</v>
      </c>
    </row>
    <row r="1355" spans="1:284" s="5" customFormat="1">
      <c r="A1355" s="97" t="s">
        <v>2423</v>
      </c>
      <c r="B1355" s="97" t="s">
        <v>1236</v>
      </c>
      <c r="C1355" s="95">
        <v>2245</v>
      </c>
      <c r="D1355" s="95" t="s">
        <v>1238</v>
      </c>
      <c r="E1355" s="129">
        <f>VLOOKUP($C1355,'2021-22 School Level AAFTE'!$C:$Z,11,FALSE)</f>
        <v>0.6288999999999999</v>
      </c>
      <c r="F1355" s="129" t="str">
        <f>VLOOKUP($C1355,'2021-22 School Level AAFTE'!$C:$Z,8,FALSE)</f>
        <v>Yes</v>
      </c>
      <c r="G1355" s="129" t="str">
        <f>VLOOKUP($C1355,'2021-22 School Level AAFTE'!$C:$Z,12,FALSE)</f>
        <v>No</v>
      </c>
      <c r="H1355" s="127">
        <f>VLOOKUP($C1355,'2021-22 School Level AAFTE'!$C:$I,7,FALSE)</f>
        <v>238.56</v>
      </c>
      <c r="I1355" s="112">
        <f>IFERROR(IF(OR(G1355="yes",F1355= "yes"),VLOOKUP(C1355,Summary!$B:$J,6,0),0),0)</f>
        <v>0</v>
      </c>
      <c r="J1355" s="111">
        <f t="shared" ref="J1355:J1418" si="264">IF(OR(G1355="yes",F1355= "yes"), H1355,0)</f>
        <v>238.56</v>
      </c>
      <c r="K1355" s="91">
        <f>VLOOKUP($A1355,'2022-23 Salary &amp; Benefits'!$A:$I,3,FALSE)</f>
        <v>1</v>
      </c>
      <c r="L1355" s="91">
        <f>VLOOKUP($A1355,'2022-23 Salary &amp; Benefits'!$A:$I,4,FALSE)</f>
        <v>1.04</v>
      </c>
      <c r="M1355" s="39">
        <f t="shared" si="259"/>
        <v>238.56</v>
      </c>
      <c r="N1355" s="24">
        <v>15</v>
      </c>
      <c r="O1355" s="26">
        <f t="shared" si="262"/>
        <v>15.904</v>
      </c>
      <c r="P1355" s="24">
        <v>1.1000000000000001</v>
      </c>
      <c r="Q1355" s="24">
        <v>36</v>
      </c>
      <c r="R1355" s="27">
        <f t="shared" si="263"/>
        <v>629.79840000000013</v>
      </c>
      <c r="S1355" s="102">
        <f t="shared" ref="S1355:S1418" si="265">ROUND(IF(M1355="no",0,R1355/900),3)</f>
        <v>0.7</v>
      </c>
      <c r="T1355" s="21">
        <f>VLOOKUP($A1355,'2022-23 Salary &amp; Benefits'!$A:$I,5,FALSE)</f>
        <v>68937</v>
      </c>
      <c r="U1355" s="21">
        <f>VLOOKUP($A1355,'2022-23 Salary &amp; Benefits'!$A:$I,6,FALSE)</f>
        <v>72728</v>
      </c>
      <c r="V1355" s="22">
        <f t="shared" ref="V1355:V1418" si="266">ROUND($K1355*$T1355*$S1355,2)</f>
        <v>48255.9</v>
      </c>
      <c r="W1355" s="22">
        <f t="shared" ref="W1355:W1418" si="267">ROUND($L1355*$U1355*$S1355,2)-V1355</f>
        <v>4690.0800000000017</v>
      </c>
      <c r="X1355" s="22">
        <f>'2022-23 Salary &amp; Benefits'!$G$6</f>
        <v>12558.24</v>
      </c>
      <c r="Y1355" s="23">
        <f>'2022-23 Salary &amp; Benefits'!$H$6</f>
        <v>0.2298</v>
      </c>
      <c r="Z1355" s="23">
        <f>'2022-23 Salary &amp; Benefits'!$I$6</f>
        <v>0.22339999999999999</v>
      </c>
      <c r="AA1355" s="22">
        <f t="shared" ref="AA1355:AA1418" si="268">ROUND(V1355*Y1355+W1355*Z1355+S1355*X1355,2)</f>
        <v>20927.740000000002</v>
      </c>
      <c r="AB1355" s="22">
        <f t="shared" ref="AB1355:AB1418" si="269">ROUND(($U1355*$L1355*$S1355/180*3),2)</f>
        <v>882.43</v>
      </c>
      <c r="AC1355" s="22">
        <f t="shared" ref="AC1355:AC1418" si="270">ROUND(AB1355*Z1355,2)</f>
        <v>197.13</v>
      </c>
      <c r="AD1355" s="22">
        <f t="shared" si="260"/>
        <v>1079.56</v>
      </c>
      <c r="AE1355" s="22">
        <f t="shared" si="261"/>
        <v>74953.279999999999</v>
      </c>
      <c r="AF1355" s="19" t="str">
        <f>VLOOKUP(C1355,'2021-22 School Level AAFTE'!C:N,12,FALSE)</f>
        <v>No</v>
      </c>
    </row>
    <row r="1356" spans="1:284" s="5" customFormat="1">
      <c r="A1356" s="97" t="s">
        <v>2423</v>
      </c>
      <c r="B1356" s="97" t="s">
        <v>1236</v>
      </c>
      <c r="C1356" s="95">
        <v>2246</v>
      </c>
      <c r="D1356" s="95" t="s">
        <v>1239</v>
      </c>
      <c r="E1356" s="129">
        <f>VLOOKUP($C1356,'2021-22 School Level AAFTE'!$C:$Z,11,FALSE)</f>
        <v>0.55596666666666661</v>
      </c>
      <c r="F1356" s="129" t="str">
        <f>VLOOKUP($C1356,'2021-22 School Level AAFTE'!$C:$Z,8,FALSE)</f>
        <v>Yes</v>
      </c>
      <c r="G1356" s="129" t="str">
        <f>VLOOKUP($C1356,'2021-22 School Level AAFTE'!$C:$Z,12,FALSE)</f>
        <v>No</v>
      </c>
      <c r="H1356" s="127">
        <f>VLOOKUP($C1356,'2021-22 School Level AAFTE'!$C:$I,7,FALSE)</f>
        <v>312.16000000000003</v>
      </c>
      <c r="I1356" s="112">
        <f>IFERROR(IF(OR(G1356="yes",F1356= "yes"),VLOOKUP(C1356,Summary!$B:$J,6,0),0),0)</f>
        <v>0</v>
      </c>
      <c r="J1356" s="111">
        <f t="shared" si="264"/>
        <v>312.16000000000003</v>
      </c>
      <c r="K1356" s="91">
        <f>VLOOKUP($A1356,'2022-23 Salary &amp; Benefits'!$A:$I,3,FALSE)</f>
        <v>1</v>
      </c>
      <c r="L1356" s="91">
        <f>VLOOKUP($A1356,'2022-23 Salary &amp; Benefits'!$A:$I,4,FALSE)</f>
        <v>1.04</v>
      </c>
      <c r="M1356" s="39">
        <f t="shared" si="259"/>
        <v>312.16000000000003</v>
      </c>
      <c r="N1356" s="24">
        <v>15</v>
      </c>
      <c r="O1356" s="26">
        <f t="shared" si="262"/>
        <v>20.81066666666667</v>
      </c>
      <c r="P1356" s="24">
        <v>1.1000000000000001</v>
      </c>
      <c r="Q1356" s="24">
        <v>36</v>
      </c>
      <c r="R1356" s="27">
        <f t="shared" si="263"/>
        <v>824.10240000000022</v>
      </c>
      <c r="S1356" s="102">
        <f t="shared" si="265"/>
        <v>0.91600000000000004</v>
      </c>
      <c r="T1356" s="21">
        <f>VLOOKUP($A1356,'2022-23 Salary &amp; Benefits'!$A:$I,5,FALSE)</f>
        <v>68937</v>
      </c>
      <c r="U1356" s="21">
        <f>VLOOKUP($A1356,'2022-23 Salary &amp; Benefits'!$A:$I,6,FALSE)</f>
        <v>72728</v>
      </c>
      <c r="V1356" s="22">
        <f t="shared" si="266"/>
        <v>63146.29</v>
      </c>
      <c r="W1356" s="22">
        <f t="shared" si="267"/>
        <v>6137.3100000000049</v>
      </c>
      <c r="X1356" s="22">
        <f>'2022-23 Salary &amp; Benefits'!$G$6</f>
        <v>12558.24</v>
      </c>
      <c r="Y1356" s="23">
        <f>'2022-23 Salary &amp; Benefits'!$H$6</f>
        <v>0.2298</v>
      </c>
      <c r="Z1356" s="23">
        <f>'2022-23 Salary &amp; Benefits'!$I$6</f>
        <v>0.22339999999999999</v>
      </c>
      <c r="AA1356" s="22">
        <f t="shared" si="268"/>
        <v>27385.439999999999</v>
      </c>
      <c r="AB1356" s="22">
        <f t="shared" si="269"/>
        <v>1154.73</v>
      </c>
      <c r="AC1356" s="22">
        <f t="shared" si="270"/>
        <v>257.97000000000003</v>
      </c>
      <c r="AD1356" s="22">
        <f t="shared" si="260"/>
        <v>1412.7</v>
      </c>
      <c r="AE1356" s="22">
        <f t="shared" si="261"/>
        <v>98081.74</v>
      </c>
      <c r="AF1356" s="19" t="str">
        <f>VLOOKUP(C1356,'2021-22 School Level AAFTE'!C:N,12,FALSE)</f>
        <v>No</v>
      </c>
    </row>
    <row r="1357" spans="1:284" s="5" customFormat="1">
      <c r="A1357" s="97" t="s">
        <v>2423</v>
      </c>
      <c r="B1357" s="97" t="s">
        <v>1236</v>
      </c>
      <c r="C1357" s="95">
        <v>2539</v>
      </c>
      <c r="D1357" s="95" t="s">
        <v>1240</v>
      </c>
      <c r="E1357" s="129">
        <f>VLOOKUP($C1357,'2021-22 School Level AAFTE'!$C:$Z,11,FALSE)</f>
        <v>0.66193333333333337</v>
      </c>
      <c r="F1357" s="129" t="str">
        <f>VLOOKUP($C1357,'2021-22 School Level AAFTE'!$C:$Z,8,FALSE)</f>
        <v>Yes</v>
      </c>
      <c r="G1357" s="129" t="str">
        <f>VLOOKUP($C1357,'2021-22 School Level AAFTE'!$C:$Z,12,FALSE)</f>
        <v>No</v>
      </c>
      <c r="H1357" s="127">
        <f>VLOOKUP($C1357,'2021-22 School Level AAFTE'!$C:$I,7,FALSE)</f>
        <v>393.72</v>
      </c>
      <c r="I1357" s="112">
        <f>IFERROR(IF(OR(G1357="yes",F1357= "yes"),VLOOKUP(C1357,Summary!$B:$J,6,0),0),0)</f>
        <v>0</v>
      </c>
      <c r="J1357" s="111">
        <f t="shared" si="264"/>
        <v>393.72</v>
      </c>
      <c r="K1357" s="91">
        <f>VLOOKUP($A1357,'2022-23 Salary &amp; Benefits'!$A:$I,3,FALSE)</f>
        <v>1</v>
      </c>
      <c r="L1357" s="91">
        <f>VLOOKUP($A1357,'2022-23 Salary &amp; Benefits'!$A:$I,4,FALSE)</f>
        <v>1.04</v>
      </c>
      <c r="M1357" s="101">
        <f t="shared" si="259"/>
        <v>393.72</v>
      </c>
      <c r="N1357" s="24">
        <v>15</v>
      </c>
      <c r="O1357" s="26">
        <f t="shared" si="262"/>
        <v>26.248000000000001</v>
      </c>
      <c r="P1357" s="24">
        <v>1.1000000000000001</v>
      </c>
      <c r="Q1357" s="24">
        <v>36</v>
      </c>
      <c r="R1357" s="27">
        <f t="shared" si="263"/>
        <v>1039.4208000000001</v>
      </c>
      <c r="S1357" s="102">
        <f t="shared" si="265"/>
        <v>1.155</v>
      </c>
      <c r="T1357" s="21">
        <f>VLOOKUP($A1357,'2022-23 Salary &amp; Benefits'!$A:$I,5,FALSE)</f>
        <v>68937</v>
      </c>
      <c r="U1357" s="21">
        <f>VLOOKUP($A1357,'2022-23 Salary &amp; Benefits'!$A:$I,6,FALSE)</f>
        <v>72728</v>
      </c>
      <c r="V1357" s="22">
        <f t="shared" si="266"/>
        <v>79622.240000000005</v>
      </c>
      <c r="W1357" s="22">
        <f t="shared" si="267"/>
        <v>7738.6299999999901</v>
      </c>
      <c r="X1357" s="22">
        <f>'2022-23 Salary &amp; Benefits'!$G$6</f>
        <v>12558.24</v>
      </c>
      <c r="Y1357" s="23">
        <f>'2022-23 Salary &amp; Benefits'!$H$6</f>
        <v>0.2298</v>
      </c>
      <c r="Z1357" s="23">
        <f>'2022-23 Salary &amp; Benefits'!$I$6</f>
        <v>0.22339999999999999</v>
      </c>
      <c r="AA1357" s="22">
        <f t="shared" si="268"/>
        <v>34530.769999999997</v>
      </c>
      <c r="AB1357" s="22">
        <f t="shared" si="269"/>
        <v>1456.01</v>
      </c>
      <c r="AC1357" s="22">
        <f t="shared" si="270"/>
        <v>325.27</v>
      </c>
      <c r="AD1357" s="22">
        <f t="shared" si="260"/>
        <v>1781.28</v>
      </c>
      <c r="AE1357" s="22">
        <f t="shared" si="261"/>
        <v>123672.92</v>
      </c>
      <c r="AF1357" s="19" t="str">
        <f>VLOOKUP(C1357,'2021-22 School Level AAFTE'!C:N,12,FALSE)</f>
        <v>No</v>
      </c>
    </row>
    <row r="1358" spans="1:284" s="5" customFormat="1">
      <c r="A1358" s="97" t="s">
        <v>2423</v>
      </c>
      <c r="B1358" s="97" t="s">
        <v>1236</v>
      </c>
      <c r="C1358" s="95">
        <v>5151</v>
      </c>
      <c r="D1358" s="95" t="s">
        <v>1241</v>
      </c>
      <c r="E1358" s="129">
        <f>VLOOKUP($C1358,'2021-22 School Level AAFTE'!$C:$Z,11,FALSE)</f>
        <v>0.77910000000000001</v>
      </c>
      <c r="F1358" s="129" t="str">
        <f>VLOOKUP($C1358,'2021-22 School Level AAFTE'!$C:$Z,8,FALSE)</f>
        <v>Yes</v>
      </c>
      <c r="G1358" s="129" t="str">
        <f>VLOOKUP($C1358,'2021-22 School Level AAFTE'!$C:$Z,12,FALSE)</f>
        <v>No</v>
      </c>
      <c r="H1358" s="127">
        <f>VLOOKUP($C1358,'2021-22 School Level AAFTE'!$C:$I,7,FALSE)</f>
        <v>78.2</v>
      </c>
      <c r="I1358" s="112">
        <f>IFERROR(IF(OR(G1358="yes",F1358= "yes"),VLOOKUP(C1358,Summary!$B:$J,6,0),0),0)</f>
        <v>0</v>
      </c>
      <c r="J1358" s="111">
        <f t="shared" si="264"/>
        <v>78.2</v>
      </c>
      <c r="K1358" s="91">
        <f>VLOOKUP($A1358,'2022-23 Salary &amp; Benefits'!$A:$I,3,FALSE)</f>
        <v>1</v>
      </c>
      <c r="L1358" s="91">
        <f>VLOOKUP($A1358,'2022-23 Salary &amp; Benefits'!$A:$I,4,FALSE)</f>
        <v>1.04</v>
      </c>
      <c r="M1358" s="101">
        <f t="shared" si="259"/>
        <v>78.2</v>
      </c>
      <c r="N1358" s="24">
        <v>15</v>
      </c>
      <c r="O1358" s="26">
        <f t="shared" si="262"/>
        <v>5.2133333333333338</v>
      </c>
      <c r="P1358" s="24">
        <v>1.1000000000000001</v>
      </c>
      <c r="Q1358" s="24">
        <v>36</v>
      </c>
      <c r="R1358" s="27">
        <f t="shared" si="263"/>
        <v>206.44800000000004</v>
      </c>
      <c r="S1358" s="102">
        <f t="shared" si="265"/>
        <v>0.22900000000000001</v>
      </c>
      <c r="T1358" s="21">
        <f>VLOOKUP($A1358,'2022-23 Salary &amp; Benefits'!$A:$I,5,FALSE)</f>
        <v>68937</v>
      </c>
      <c r="U1358" s="21">
        <f>VLOOKUP($A1358,'2022-23 Salary &amp; Benefits'!$A:$I,6,FALSE)</f>
        <v>72728</v>
      </c>
      <c r="V1358" s="22">
        <f t="shared" si="266"/>
        <v>15786.57</v>
      </c>
      <c r="W1358" s="22">
        <f t="shared" si="267"/>
        <v>1534.3300000000017</v>
      </c>
      <c r="X1358" s="22">
        <f>'2022-23 Salary &amp; Benefits'!$G$6</f>
        <v>12558.24</v>
      </c>
      <c r="Y1358" s="23">
        <f>'2022-23 Salary &amp; Benefits'!$H$6</f>
        <v>0.2298</v>
      </c>
      <c r="Z1358" s="23">
        <f>'2022-23 Salary &amp; Benefits'!$I$6</f>
        <v>0.22339999999999999</v>
      </c>
      <c r="AA1358" s="22">
        <f t="shared" si="268"/>
        <v>6846.36</v>
      </c>
      <c r="AB1358" s="22">
        <f t="shared" si="269"/>
        <v>288.68</v>
      </c>
      <c r="AC1358" s="22">
        <f t="shared" si="270"/>
        <v>64.489999999999995</v>
      </c>
      <c r="AD1358" s="22">
        <f t="shared" si="260"/>
        <v>353.17</v>
      </c>
      <c r="AE1358" s="22">
        <f t="shared" si="261"/>
        <v>24520.43</v>
      </c>
      <c r="AF1358" s="19" t="str">
        <f>VLOOKUP(C1358,'2021-22 School Level AAFTE'!C:N,12,FALSE)</f>
        <v>No</v>
      </c>
    </row>
    <row r="1359" spans="1:284" s="5" customFormat="1">
      <c r="A1359" s="97" t="s">
        <v>2518</v>
      </c>
      <c r="B1359" s="97" t="s">
        <v>2007</v>
      </c>
      <c r="C1359" s="95">
        <v>1768</v>
      </c>
      <c r="D1359" s="95" t="s">
        <v>2008</v>
      </c>
      <c r="E1359" s="129">
        <f>VLOOKUP($C1359,'2021-22 School Level AAFTE'!$C:$Z,11,FALSE)</f>
        <v>0.30056666666666665</v>
      </c>
      <c r="F1359" s="129" t="str">
        <f>VLOOKUP($C1359,'2021-22 School Level AAFTE'!$C:$Z,8,FALSE)</f>
        <v>No</v>
      </c>
      <c r="G1359" s="129" t="str">
        <f>VLOOKUP($C1359,'2021-22 School Level AAFTE'!$C:$Z,12,FALSE)</f>
        <v>No</v>
      </c>
      <c r="H1359" s="127">
        <f>VLOOKUP($C1359,'2021-22 School Level AAFTE'!$C:$I,7,FALSE)</f>
        <v>215.75</v>
      </c>
      <c r="I1359" s="112">
        <f>IFERROR(IF(OR(G1359="yes",F1359= "yes"),VLOOKUP(C1359,Summary!$B:$J,6,0),0),0)</f>
        <v>0</v>
      </c>
      <c r="J1359" s="111">
        <f t="shared" si="264"/>
        <v>0</v>
      </c>
      <c r="K1359" s="91">
        <f>VLOOKUP($A1359,'2022-23 Salary &amp; Benefits'!$A:$I,3,FALSE)</f>
        <v>1</v>
      </c>
      <c r="L1359" s="91">
        <f>VLOOKUP($A1359,'2022-23 Salary &amp; Benefits'!$A:$I,4,FALSE)</f>
        <v>1.04</v>
      </c>
      <c r="M1359" s="39">
        <f t="shared" si="259"/>
        <v>0</v>
      </c>
      <c r="N1359" s="24">
        <v>15</v>
      </c>
      <c r="O1359" s="26">
        <f t="shared" si="262"/>
        <v>0</v>
      </c>
      <c r="P1359" s="24">
        <v>1.1000000000000001</v>
      </c>
      <c r="Q1359" s="24">
        <v>36</v>
      </c>
      <c r="R1359" s="27">
        <f t="shared" si="263"/>
        <v>0</v>
      </c>
      <c r="S1359" s="102">
        <f t="shared" si="265"/>
        <v>0</v>
      </c>
      <c r="T1359" s="21">
        <f>VLOOKUP($A1359,'2022-23 Salary &amp; Benefits'!$A:$I,5,FALSE)</f>
        <v>68937</v>
      </c>
      <c r="U1359" s="21">
        <f>VLOOKUP($A1359,'2022-23 Salary &amp; Benefits'!$A:$I,6,FALSE)</f>
        <v>72728</v>
      </c>
      <c r="V1359" s="22">
        <f t="shared" si="266"/>
        <v>0</v>
      </c>
      <c r="W1359" s="22">
        <f t="shared" si="267"/>
        <v>0</v>
      </c>
      <c r="X1359" s="22">
        <f>'2022-23 Salary &amp; Benefits'!$G$6</f>
        <v>12558.24</v>
      </c>
      <c r="Y1359" s="23">
        <f>'2022-23 Salary &amp; Benefits'!$H$6</f>
        <v>0.2298</v>
      </c>
      <c r="Z1359" s="23">
        <f>'2022-23 Salary &amp; Benefits'!$I$6</f>
        <v>0.22339999999999999</v>
      </c>
      <c r="AA1359" s="22">
        <f t="shared" si="268"/>
        <v>0</v>
      </c>
      <c r="AB1359" s="22">
        <f t="shared" si="269"/>
        <v>0</v>
      </c>
      <c r="AC1359" s="22">
        <f t="shared" si="270"/>
        <v>0</v>
      </c>
      <c r="AD1359" s="22">
        <f t="shared" si="260"/>
        <v>0</v>
      </c>
      <c r="AE1359" s="22">
        <f t="shared" si="261"/>
        <v>0</v>
      </c>
      <c r="AF1359" s="19" t="str">
        <f>VLOOKUP(C1359,'2021-22 School Level AAFTE'!C:N,12,FALSE)</f>
        <v>No</v>
      </c>
    </row>
    <row r="1360" spans="1:284" s="5" customFormat="1">
      <c r="A1360" s="97" t="s">
        <v>2518</v>
      </c>
      <c r="B1360" s="97" t="s">
        <v>2007</v>
      </c>
      <c r="C1360" s="95">
        <v>2342</v>
      </c>
      <c r="D1360" s="95" t="s">
        <v>50</v>
      </c>
      <c r="E1360" s="129">
        <f>VLOOKUP($C1360,'2021-22 School Level AAFTE'!$C:$Z,11,FALSE)</f>
        <v>0.26176666666666665</v>
      </c>
      <c r="F1360" s="129" t="str">
        <f>VLOOKUP($C1360,'2021-22 School Level AAFTE'!$C:$Z,8,FALSE)</f>
        <v>No</v>
      </c>
      <c r="G1360" s="129" t="str">
        <f>VLOOKUP($C1360,'2021-22 School Level AAFTE'!$C:$Z,12,FALSE)</f>
        <v>No</v>
      </c>
      <c r="H1360" s="127">
        <f>VLOOKUP($C1360,'2021-22 School Level AAFTE'!$C:$I,7,FALSE)</f>
        <v>246.68</v>
      </c>
      <c r="I1360" s="112">
        <f>IFERROR(IF(OR(G1360="yes",F1360= "yes"),VLOOKUP(C1360,Summary!$B:$J,6,0),0),0)</f>
        <v>0</v>
      </c>
      <c r="J1360" s="111">
        <f t="shared" si="264"/>
        <v>0</v>
      </c>
      <c r="K1360" s="91">
        <f>VLOOKUP($A1360,'2022-23 Salary &amp; Benefits'!$A:$I,3,FALSE)</f>
        <v>1</v>
      </c>
      <c r="L1360" s="91">
        <f>VLOOKUP($A1360,'2022-23 Salary &amp; Benefits'!$A:$I,4,FALSE)</f>
        <v>1.04</v>
      </c>
      <c r="M1360" s="101">
        <f t="shared" ref="M1360:M1421" si="271">IF(I1360&gt;0,I1360,J1360)</f>
        <v>0</v>
      </c>
      <c r="N1360" s="24">
        <v>15</v>
      </c>
      <c r="O1360" s="26">
        <f t="shared" si="262"/>
        <v>0</v>
      </c>
      <c r="P1360" s="24">
        <v>1.1000000000000001</v>
      </c>
      <c r="Q1360" s="24">
        <v>36</v>
      </c>
      <c r="R1360" s="27">
        <f t="shared" si="263"/>
        <v>0</v>
      </c>
      <c r="S1360" s="102">
        <f t="shared" si="265"/>
        <v>0</v>
      </c>
      <c r="T1360" s="21">
        <f>VLOOKUP($A1360,'2022-23 Salary &amp; Benefits'!$A:$I,5,FALSE)</f>
        <v>68937</v>
      </c>
      <c r="U1360" s="21">
        <f>VLOOKUP($A1360,'2022-23 Salary &amp; Benefits'!$A:$I,6,FALSE)</f>
        <v>72728</v>
      </c>
      <c r="V1360" s="22">
        <f t="shared" si="266"/>
        <v>0</v>
      </c>
      <c r="W1360" s="22">
        <f t="shared" si="267"/>
        <v>0</v>
      </c>
      <c r="X1360" s="22">
        <f>'2022-23 Salary &amp; Benefits'!$G$6</f>
        <v>12558.24</v>
      </c>
      <c r="Y1360" s="23">
        <f>'2022-23 Salary &amp; Benefits'!$H$6</f>
        <v>0.2298</v>
      </c>
      <c r="Z1360" s="23">
        <f>'2022-23 Salary &amp; Benefits'!$I$6</f>
        <v>0.22339999999999999</v>
      </c>
      <c r="AA1360" s="22">
        <f t="shared" si="268"/>
        <v>0</v>
      </c>
      <c r="AB1360" s="22">
        <f t="shared" si="269"/>
        <v>0</v>
      </c>
      <c r="AC1360" s="22">
        <f t="shared" si="270"/>
        <v>0</v>
      </c>
      <c r="AD1360" s="22">
        <f t="shared" ref="AD1360:AD1421" si="272">SUM(AB1360:AC1360)</f>
        <v>0</v>
      </c>
      <c r="AE1360" s="22">
        <f t="shared" ref="AE1360:AE1421" si="273">SUM(AA1360,V1360:W1360,AD1360)</f>
        <v>0</v>
      </c>
      <c r="AF1360" s="19" t="str">
        <f>VLOOKUP(C1360,'2021-22 School Level AAFTE'!C:N,12,FALSE)</f>
        <v>No</v>
      </c>
    </row>
    <row r="1361" spans="1:32" s="5" customFormat="1">
      <c r="A1361" s="97" t="s">
        <v>2518</v>
      </c>
      <c r="B1361" s="97" t="s">
        <v>2007</v>
      </c>
      <c r="C1361" s="95">
        <v>2448</v>
      </c>
      <c r="D1361" s="95" t="s">
        <v>1597</v>
      </c>
      <c r="E1361" s="129">
        <f>VLOOKUP($C1361,'2021-22 School Level AAFTE'!$C:$Z,11,FALSE)</f>
        <v>0.64060000000000006</v>
      </c>
      <c r="F1361" s="129" t="str">
        <f>VLOOKUP($C1361,'2021-22 School Level AAFTE'!$C:$Z,8,FALSE)</f>
        <v>Yes</v>
      </c>
      <c r="G1361" s="129" t="str">
        <f>VLOOKUP($C1361,'2021-22 School Level AAFTE'!$C:$Z,12,FALSE)</f>
        <v>No</v>
      </c>
      <c r="H1361" s="127">
        <f>VLOOKUP($C1361,'2021-22 School Level AAFTE'!$C:$I,7,FALSE)</f>
        <v>289.29000000000002</v>
      </c>
      <c r="I1361" s="112">
        <f>IFERROR(IF(OR(G1361="yes",F1361= "yes"),VLOOKUP(C1361,Summary!$B:$J,6,0),0),0)</f>
        <v>0</v>
      </c>
      <c r="J1361" s="111">
        <f t="shared" si="264"/>
        <v>289.29000000000002</v>
      </c>
      <c r="K1361" s="91">
        <f>VLOOKUP($A1361,'2022-23 Salary &amp; Benefits'!$A:$I,3,FALSE)</f>
        <v>1</v>
      </c>
      <c r="L1361" s="91">
        <f>VLOOKUP($A1361,'2022-23 Salary &amp; Benefits'!$A:$I,4,FALSE)</f>
        <v>1.04</v>
      </c>
      <c r="M1361" s="101">
        <f t="shared" si="271"/>
        <v>289.29000000000002</v>
      </c>
      <c r="N1361" s="24">
        <v>15</v>
      </c>
      <c r="O1361" s="26">
        <f t="shared" si="262"/>
        <v>19.286000000000001</v>
      </c>
      <c r="P1361" s="24">
        <v>1.1000000000000001</v>
      </c>
      <c r="Q1361" s="24">
        <v>36</v>
      </c>
      <c r="R1361" s="27">
        <f t="shared" si="263"/>
        <v>763.72560000000021</v>
      </c>
      <c r="S1361" s="102">
        <f t="shared" si="265"/>
        <v>0.84899999999999998</v>
      </c>
      <c r="T1361" s="21">
        <f>VLOOKUP($A1361,'2022-23 Salary &amp; Benefits'!$A:$I,5,FALSE)</f>
        <v>68937</v>
      </c>
      <c r="U1361" s="21">
        <f>VLOOKUP($A1361,'2022-23 Salary &amp; Benefits'!$A:$I,6,FALSE)</f>
        <v>72728</v>
      </c>
      <c r="V1361" s="22">
        <f t="shared" si="266"/>
        <v>58527.51</v>
      </c>
      <c r="W1361" s="22">
        <f t="shared" si="267"/>
        <v>5688.4000000000015</v>
      </c>
      <c r="X1361" s="22">
        <f>'2022-23 Salary &amp; Benefits'!$G$6</f>
        <v>12558.24</v>
      </c>
      <c r="Y1361" s="23">
        <f>'2022-23 Salary &amp; Benefits'!$H$6</f>
        <v>0.2298</v>
      </c>
      <c r="Z1361" s="23">
        <f>'2022-23 Salary &amp; Benefits'!$I$6</f>
        <v>0.22339999999999999</v>
      </c>
      <c r="AA1361" s="22">
        <f t="shared" si="268"/>
        <v>25382.36</v>
      </c>
      <c r="AB1361" s="22">
        <f t="shared" si="269"/>
        <v>1070.27</v>
      </c>
      <c r="AC1361" s="22">
        <f t="shared" si="270"/>
        <v>239.1</v>
      </c>
      <c r="AD1361" s="22">
        <f t="shared" si="272"/>
        <v>1309.3699999999999</v>
      </c>
      <c r="AE1361" s="22">
        <f t="shared" si="273"/>
        <v>90907.639999999985</v>
      </c>
      <c r="AF1361" s="19" t="str">
        <f>VLOOKUP(C1361,'2021-22 School Level AAFTE'!C:N,12,FALSE)</f>
        <v>No</v>
      </c>
    </row>
    <row r="1362" spans="1:32" s="5" customFormat="1">
      <c r="A1362" s="97" t="s">
        <v>2518</v>
      </c>
      <c r="B1362" s="97" t="s">
        <v>2007</v>
      </c>
      <c r="C1362" s="95">
        <v>2487</v>
      </c>
      <c r="D1362" s="95" t="s">
        <v>2009</v>
      </c>
      <c r="E1362" s="129">
        <f>VLOOKUP($C1362,'2021-22 School Level AAFTE'!$C:$Z,11,FALSE)</f>
        <v>0.1532</v>
      </c>
      <c r="F1362" s="129" t="str">
        <f>VLOOKUP($C1362,'2021-22 School Level AAFTE'!$C:$Z,8,FALSE)</f>
        <v>No</v>
      </c>
      <c r="G1362" s="129" t="str">
        <f>VLOOKUP($C1362,'2021-22 School Level AAFTE'!$C:$Z,12,FALSE)</f>
        <v>No</v>
      </c>
      <c r="H1362" s="127">
        <f>VLOOKUP($C1362,'2021-22 School Level AAFTE'!$C:$I,7,FALSE)</f>
        <v>183.65</v>
      </c>
      <c r="I1362" s="112">
        <f>IFERROR(IF(OR(G1362="yes",F1362= "yes"),VLOOKUP(C1362,Summary!$B:$J,6,0),0),0)</f>
        <v>0</v>
      </c>
      <c r="J1362" s="111">
        <f t="shared" si="264"/>
        <v>0</v>
      </c>
      <c r="K1362" s="91">
        <f>VLOOKUP($A1362,'2022-23 Salary &amp; Benefits'!$A:$I,3,FALSE)</f>
        <v>1</v>
      </c>
      <c r="L1362" s="91">
        <f>VLOOKUP($A1362,'2022-23 Salary &amp; Benefits'!$A:$I,4,FALSE)</f>
        <v>1.04</v>
      </c>
      <c r="M1362" s="39">
        <f t="shared" si="271"/>
        <v>0</v>
      </c>
      <c r="N1362" s="24">
        <v>15</v>
      </c>
      <c r="O1362" s="26">
        <f t="shared" si="262"/>
        <v>0</v>
      </c>
      <c r="P1362" s="24">
        <v>1.1000000000000001</v>
      </c>
      <c r="Q1362" s="24">
        <v>36</v>
      </c>
      <c r="R1362" s="27">
        <f t="shared" si="263"/>
        <v>0</v>
      </c>
      <c r="S1362" s="102">
        <f t="shared" si="265"/>
        <v>0</v>
      </c>
      <c r="T1362" s="21">
        <f>VLOOKUP($A1362,'2022-23 Salary &amp; Benefits'!$A:$I,5,FALSE)</f>
        <v>68937</v>
      </c>
      <c r="U1362" s="21">
        <f>VLOOKUP($A1362,'2022-23 Salary &amp; Benefits'!$A:$I,6,FALSE)</f>
        <v>72728</v>
      </c>
      <c r="V1362" s="22">
        <f t="shared" si="266"/>
        <v>0</v>
      </c>
      <c r="W1362" s="22">
        <f t="shared" si="267"/>
        <v>0</v>
      </c>
      <c r="X1362" s="22">
        <f>'2022-23 Salary &amp; Benefits'!$G$6</f>
        <v>12558.24</v>
      </c>
      <c r="Y1362" s="23">
        <f>'2022-23 Salary &amp; Benefits'!$H$6</f>
        <v>0.2298</v>
      </c>
      <c r="Z1362" s="23">
        <f>'2022-23 Salary &amp; Benefits'!$I$6</f>
        <v>0.22339999999999999</v>
      </c>
      <c r="AA1362" s="22">
        <f t="shared" si="268"/>
        <v>0</v>
      </c>
      <c r="AB1362" s="22">
        <f t="shared" si="269"/>
        <v>0</v>
      </c>
      <c r="AC1362" s="22">
        <f t="shared" si="270"/>
        <v>0</v>
      </c>
      <c r="AD1362" s="22">
        <f t="shared" si="272"/>
        <v>0</v>
      </c>
      <c r="AE1362" s="22">
        <f t="shared" si="273"/>
        <v>0</v>
      </c>
      <c r="AF1362" s="19" t="str">
        <f>VLOOKUP(C1362,'2021-22 School Level AAFTE'!C:N,12,FALSE)</f>
        <v>No</v>
      </c>
    </row>
    <row r="1363" spans="1:32" s="5" customFormat="1">
      <c r="A1363" s="97" t="s">
        <v>2518</v>
      </c>
      <c r="B1363" s="97" t="s">
        <v>2007</v>
      </c>
      <c r="C1363" s="95">
        <v>2621</v>
      </c>
      <c r="D1363" s="95" t="s">
        <v>2010</v>
      </c>
      <c r="E1363" s="129">
        <f>VLOOKUP($C1363,'2021-22 School Level AAFTE'!$C:$Z,11,FALSE)</f>
        <v>0.29393333333333332</v>
      </c>
      <c r="F1363" s="129" t="str">
        <f>VLOOKUP($C1363,'2021-22 School Level AAFTE'!$C:$Z,8,FALSE)</f>
        <v>No</v>
      </c>
      <c r="G1363" s="129" t="str">
        <f>VLOOKUP($C1363,'2021-22 School Level AAFTE'!$C:$Z,12,FALSE)</f>
        <v>No</v>
      </c>
      <c r="H1363" s="127">
        <f>VLOOKUP($C1363,'2021-22 School Level AAFTE'!$C:$I,7,FALSE)</f>
        <v>375.23</v>
      </c>
      <c r="I1363" s="112">
        <f>IFERROR(IF(OR(G1363="yes",F1363= "yes"),VLOOKUP(C1363,Summary!$B:$J,6,0),0),0)</f>
        <v>0</v>
      </c>
      <c r="J1363" s="111">
        <f t="shared" si="264"/>
        <v>0</v>
      </c>
      <c r="K1363" s="91">
        <f>VLOOKUP($A1363,'2022-23 Salary &amp; Benefits'!$A:$I,3,FALSE)</f>
        <v>1</v>
      </c>
      <c r="L1363" s="91">
        <f>VLOOKUP($A1363,'2022-23 Salary &amp; Benefits'!$A:$I,4,FALSE)</f>
        <v>1.04</v>
      </c>
      <c r="M1363" s="39">
        <f t="shared" si="271"/>
        <v>0</v>
      </c>
      <c r="N1363" s="24">
        <v>15</v>
      </c>
      <c r="O1363" s="26">
        <f t="shared" si="262"/>
        <v>0</v>
      </c>
      <c r="P1363" s="24">
        <v>1.1000000000000001</v>
      </c>
      <c r="Q1363" s="24">
        <v>36</v>
      </c>
      <c r="R1363" s="27">
        <f t="shared" si="263"/>
        <v>0</v>
      </c>
      <c r="S1363" s="102">
        <f t="shared" si="265"/>
        <v>0</v>
      </c>
      <c r="T1363" s="21">
        <f>VLOOKUP($A1363,'2022-23 Salary &amp; Benefits'!$A:$I,5,FALSE)</f>
        <v>68937</v>
      </c>
      <c r="U1363" s="21">
        <f>VLOOKUP($A1363,'2022-23 Salary &amp; Benefits'!$A:$I,6,FALSE)</f>
        <v>72728</v>
      </c>
      <c r="V1363" s="22">
        <f t="shared" si="266"/>
        <v>0</v>
      </c>
      <c r="W1363" s="22">
        <f t="shared" si="267"/>
        <v>0</v>
      </c>
      <c r="X1363" s="22">
        <f>'2022-23 Salary &amp; Benefits'!$G$6</f>
        <v>12558.24</v>
      </c>
      <c r="Y1363" s="23">
        <f>'2022-23 Salary &amp; Benefits'!$H$6</f>
        <v>0.2298</v>
      </c>
      <c r="Z1363" s="23">
        <f>'2022-23 Salary &amp; Benefits'!$I$6</f>
        <v>0.22339999999999999</v>
      </c>
      <c r="AA1363" s="22">
        <f t="shared" si="268"/>
        <v>0</v>
      </c>
      <c r="AB1363" s="22">
        <f t="shared" si="269"/>
        <v>0</v>
      </c>
      <c r="AC1363" s="22">
        <f t="shared" si="270"/>
        <v>0</v>
      </c>
      <c r="AD1363" s="22">
        <f t="shared" si="272"/>
        <v>0</v>
      </c>
      <c r="AE1363" s="22">
        <f t="shared" si="273"/>
        <v>0</v>
      </c>
      <c r="AF1363" s="19" t="str">
        <f>VLOOKUP(C1363,'2021-22 School Level AAFTE'!C:N,12,FALSE)</f>
        <v>No</v>
      </c>
    </row>
    <row r="1364" spans="1:32" s="5" customFormat="1">
      <c r="A1364" s="97" t="s">
        <v>2518</v>
      </c>
      <c r="B1364" s="97" t="s">
        <v>2007</v>
      </c>
      <c r="C1364" s="95">
        <v>2778</v>
      </c>
      <c r="D1364" s="95" t="s">
        <v>144</v>
      </c>
      <c r="E1364" s="129">
        <f>VLOOKUP($C1364,'2021-22 School Level AAFTE'!$C:$Z,11,FALSE)</f>
        <v>0.33746666666666664</v>
      </c>
      <c r="F1364" s="129" t="str">
        <f>VLOOKUP($C1364,'2021-22 School Level AAFTE'!$C:$Z,8,FALSE)</f>
        <v>No</v>
      </c>
      <c r="G1364" s="129" t="str">
        <f>VLOOKUP($C1364,'2021-22 School Level AAFTE'!$C:$Z,12,FALSE)</f>
        <v>No</v>
      </c>
      <c r="H1364" s="127">
        <f>VLOOKUP($C1364,'2021-22 School Level AAFTE'!$C:$I,7,FALSE)</f>
        <v>374.27</v>
      </c>
      <c r="I1364" s="112">
        <f>IFERROR(IF(OR(G1364="yes",F1364= "yes"),VLOOKUP(C1364,Summary!$B:$J,6,0),0),0)</f>
        <v>0</v>
      </c>
      <c r="J1364" s="111">
        <f t="shared" si="264"/>
        <v>0</v>
      </c>
      <c r="K1364" s="91">
        <f>VLOOKUP($A1364,'2022-23 Salary &amp; Benefits'!$A:$I,3,FALSE)</f>
        <v>1</v>
      </c>
      <c r="L1364" s="91">
        <f>VLOOKUP($A1364,'2022-23 Salary &amp; Benefits'!$A:$I,4,FALSE)</f>
        <v>1.04</v>
      </c>
      <c r="M1364" s="101">
        <f t="shared" si="271"/>
        <v>0</v>
      </c>
      <c r="N1364" s="24">
        <v>15</v>
      </c>
      <c r="O1364" s="26">
        <f t="shared" si="262"/>
        <v>0</v>
      </c>
      <c r="P1364" s="24">
        <v>1.1000000000000001</v>
      </c>
      <c r="Q1364" s="24">
        <v>36</v>
      </c>
      <c r="R1364" s="27">
        <f t="shared" si="263"/>
        <v>0</v>
      </c>
      <c r="S1364" s="102">
        <f t="shared" si="265"/>
        <v>0</v>
      </c>
      <c r="T1364" s="21">
        <f>VLOOKUP($A1364,'2022-23 Salary &amp; Benefits'!$A:$I,5,FALSE)</f>
        <v>68937</v>
      </c>
      <c r="U1364" s="21">
        <f>VLOOKUP($A1364,'2022-23 Salary &amp; Benefits'!$A:$I,6,FALSE)</f>
        <v>72728</v>
      </c>
      <c r="V1364" s="22">
        <f t="shared" si="266"/>
        <v>0</v>
      </c>
      <c r="W1364" s="22">
        <f t="shared" si="267"/>
        <v>0</v>
      </c>
      <c r="X1364" s="22">
        <f>'2022-23 Salary &amp; Benefits'!$G$6</f>
        <v>12558.24</v>
      </c>
      <c r="Y1364" s="23">
        <f>'2022-23 Salary &amp; Benefits'!$H$6</f>
        <v>0.2298</v>
      </c>
      <c r="Z1364" s="23">
        <f>'2022-23 Salary &amp; Benefits'!$I$6</f>
        <v>0.22339999999999999</v>
      </c>
      <c r="AA1364" s="22">
        <f t="shared" si="268"/>
        <v>0</v>
      </c>
      <c r="AB1364" s="22">
        <f t="shared" si="269"/>
        <v>0</v>
      </c>
      <c r="AC1364" s="22">
        <f t="shared" si="270"/>
        <v>0</v>
      </c>
      <c r="AD1364" s="22">
        <f t="shared" si="272"/>
        <v>0</v>
      </c>
      <c r="AE1364" s="22">
        <f t="shared" si="273"/>
        <v>0</v>
      </c>
      <c r="AF1364" s="19" t="str">
        <f>VLOOKUP(C1364,'2021-22 School Level AAFTE'!C:N,12,FALSE)</f>
        <v>No</v>
      </c>
    </row>
    <row r="1365" spans="1:32" s="5" customFormat="1">
      <c r="A1365" s="97" t="s">
        <v>2518</v>
      </c>
      <c r="B1365" s="97" t="s">
        <v>2007</v>
      </c>
      <c r="C1365" s="95">
        <v>3066</v>
      </c>
      <c r="D1365" s="95" t="s">
        <v>2011</v>
      </c>
      <c r="E1365" s="129">
        <f>VLOOKUP($C1365,'2021-22 School Level AAFTE'!$C:$Z,11,FALSE)</f>
        <v>0.36156666666666665</v>
      </c>
      <c r="F1365" s="129" t="str">
        <f>VLOOKUP($C1365,'2021-22 School Level AAFTE'!$C:$Z,8,FALSE)</f>
        <v>No</v>
      </c>
      <c r="G1365" s="129" t="str">
        <f>VLOOKUP($C1365,'2021-22 School Level AAFTE'!$C:$Z,12,FALSE)</f>
        <v>No</v>
      </c>
      <c r="H1365" s="127">
        <f>VLOOKUP($C1365,'2021-22 School Level AAFTE'!$C:$I,7,FALSE)</f>
        <v>208.87</v>
      </c>
      <c r="I1365" s="112">
        <f>IFERROR(IF(OR(G1365="yes",F1365= "yes"),VLOOKUP(C1365,Summary!$B:$J,6,0),0),0)</f>
        <v>0</v>
      </c>
      <c r="J1365" s="111">
        <f t="shared" si="264"/>
        <v>0</v>
      </c>
      <c r="K1365" s="91">
        <f>VLOOKUP($A1365,'2022-23 Salary &amp; Benefits'!$A:$I,3,FALSE)</f>
        <v>1</v>
      </c>
      <c r="L1365" s="91">
        <f>VLOOKUP($A1365,'2022-23 Salary &amp; Benefits'!$A:$I,4,FALSE)</f>
        <v>1.04</v>
      </c>
      <c r="M1365" s="39">
        <f t="shared" si="271"/>
        <v>0</v>
      </c>
      <c r="N1365" s="24">
        <v>15</v>
      </c>
      <c r="O1365" s="26">
        <f t="shared" si="262"/>
        <v>0</v>
      </c>
      <c r="P1365" s="24">
        <v>1.1000000000000001</v>
      </c>
      <c r="Q1365" s="24">
        <v>36</v>
      </c>
      <c r="R1365" s="27">
        <f t="shared" si="263"/>
        <v>0</v>
      </c>
      <c r="S1365" s="102">
        <f t="shared" si="265"/>
        <v>0</v>
      </c>
      <c r="T1365" s="21">
        <f>VLOOKUP($A1365,'2022-23 Salary &amp; Benefits'!$A:$I,5,FALSE)</f>
        <v>68937</v>
      </c>
      <c r="U1365" s="21">
        <f>VLOOKUP($A1365,'2022-23 Salary &amp; Benefits'!$A:$I,6,FALSE)</f>
        <v>72728</v>
      </c>
      <c r="V1365" s="22">
        <f t="shared" si="266"/>
        <v>0</v>
      </c>
      <c r="W1365" s="22">
        <f t="shared" si="267"/>
        <v>0</v>
      </c>
      <c r="X1365" s="22">
        <f>'2022-23 Salary &amp; Benefits'!$G$6</f>
        <v>12558.24</v>
      </c>
      <c r="Y1365" s="23">
        <f>'2022-23 Salary &amp; Benefits'!$H$6</f>
        <v>0.2298</v>
      </c>
      <c r="Z1365" s="23">
        <f>'2022-23 Salary &amp; Benefits'!$I$6</f>
        <v>0.22339999999999999</v>
      </c>
      <c r="AA1365" s="22">
        <f t="shared" si="268"/>
        <v>0</v>
      </c>
      <c r="AB1365" s="22">
        <f t="shared" si="269"/>
        <v>0</v>
      </c>
      <c r="AC1365" s="22">
        <f t="shared" si="270"/>
        <v>0</v>
      </c>
      <c r="AD1365" s="22">
        <f t="shared" si="272"/>
        <v>0</v>
      </c>
      <c r="AE1365" s="22">
        <f t="shared" si="273"/>
        <v>0</v>
      </c>
      <c r="AF1365" s="19" t="str">
        <f>VLOOKUP(C1365,'2021-22 School Level AAFTE'!C:N,12,FALSE)</f>
        <v>No</v>
      </c>
    </row>
    <row r="1366" spans="1:32" s="5" customFormat="1">
      <c r="A1366" s="97" t="s">
        <v>2518</v>
      </c>
      <c r="B1366" s="97" t="s">
        <v>2007</v>
      </c>
      <c r="C1366" s="95">
        <v>3132</v>
      </c>
      <c r="D1366" s="95" t="s">
        <v>2012</v>
      </c>
      <c r="E1366" s="129">
        <f>VLOOKUP($C1366,'2021-22 School Level AAFTE'!$C:$Z,11,FALSE)</f>
        <v>0.17173333333333332</v>
      </c>
      <c r="F1366" s="129" t="str">
        <f>VLOOKUP($C1366,'2021-22 School Level AAFTE'!$C:$Z,8,FALSE)</f>
        <v>No</v>
      </c>
      <c r="G1366" s="129" t="str">
        <f>VLOOKUP($C1366,'2021-22 School Level AAFTE'!$C:$Z,12,FALSE)</f>
        <v>No</v>
      </c>
      <c r="H1366" s="127">
        <f>VLOOKUP($C1366,'2021-22 School Level AAFTE'!$C:$I,7,FALSE)</f>
        <v>1826.23</v>
      </c>
      <c r="I1366" s="112">
        <f>IFERROR(IF(OR(G1366="yes",F1366= "yes"),VLOOKUP(C1366,Summary!$B:$J,6,0),0),0)</f>
        <v>0</v>
      </c>
      <c r="J1366" s="111">
        <f t="shared" si="264"/>
        <v>0</v>
      </c>
      <c r="K1366" s="91">
        <f>VLOOKUP($A1366,'2022-23 Salary &amp; Benefits'!$A:$I,3,FALSE)</f>
        <v>1</v>
      </c>
      <c r="L1366" s="91">
        <f>VLOOKUP($A1366,'2022-23 Salary &amp; Benefits'!$A:$I,4,FALSE)</f>
        <v>1.04</v>
      </c>
      <c r="M1366" s="101">
        <f t="shared" si="271"/>
        <v>0</v>
      </c>
      <c r="N1366" s="24">
        <v>15</v>
      </c>
      <c r="O1366" s="26">
        <f t="shared" si="262"/>
        <v>0</v>
      </c>
      <c r="P1366" s="24">
        <v>1.1000000000000001</v>
      </c>
      <c r="Q1366" s="24">
        <v>36</v>
      </c>
      <c r="R1366" s="27">
        <f t="shared" si="263"/>
        <v>0</v>
      </c>
      <c r="S1366" s="102">
        <f t="shared" si="265"/>
        <v>0</v>
      </c>
      <c r="T1366" s="21">
        <f>VLOOKUP($A1366,'2022-23 Salary &amp; Benefits'!$A:$I,5,FALSE)</f>
        <v>68937</v>
      </c>
      <c r="U1366" s="21">
        <f>VLOOKUP($A1366,'2022-23 Salary &amp; Benefits'!$A:$I,6,FALSE)</f>
        <v>72728</v>
      </c>
      <c r="V1366" s="22">
        <f t="shared" si="266"/>
        <v>0</v>
      </c>
      <c r="W1366" s="22">
        <f t="shared" si="267"/>
        <v>0</v>
      </c>
      <c r="X1366" s="22">
        <f>'2022-23 Salary &amp; Benefits'!$G$6</f>
        <v>12558.24</v>
      </c>
      <c r="Y1366" s="23">
        <f>'2022-23 Salary &amp; Benefits'!$H$6</f>
        <v>0.2298</v>
      </c>
      <c r="Z1366" s="23">
        <f>'2022-23 Salary &amp; Benefits'!$I$6</f>
        <v>0.22339999999999999</v>
      </c>
      <c r="AA1366" s="22">
        <f t="shared" si="268"/>
        <v>0</v>
      </c>
      <c r="AB1366" s="22">
        <f t="shared" si="269"/>
        <v>0</v>
      </c>
      <c r="AC1366" s="22">
        <f t="shared" si="270"/>
        <v>0</v>
      </c>
      <c r="AD1366" s="22">
        <f t="shared" si="272"/>
        <v>0</v>
      </c>
      <c r="AE1366" s="22">
        <f t="shared" si="273"/>
        <v>0</v>
      </c>
      <c r="AF1366" s="19" t="str">
        <f>VLOOKUP(C1366,'2021-22 School Level AAFTE'!C:N,12,FALSE)</f>
        <v>No</v>
      </c>
    </row>
    <row r="1367" spans="1:32" s="5" customFormat="1">
      <c r="A1367" s="97" t="s">
        <v>2518</v>
      </c>
      <c r="B1367" s="97" t="s">
        <v>2007</v>
      </c>
      <c r="C1367" s="95">
        <v>3133</v>
      </c>
      <c r="D1367" s="95" t="s">
        <v>198</v>
      </c>
      <c r="E1367" s="129">
        <f>VLOOKUP($C1367,'2021-22 School Level AAFTE'!$C:$Z,11,FALSE)</f>
        <v>0.43530000000000002</v>
      </c>
      <c r="F1367" s="129" t="str">
        <f>VLOOKUP($C1367,'2021-22 School Level AAFTE'!$C:$Z,8,FALSE)</f>
        <v>No</v>
      </c>
      <c r="G1367" s="129" t="str">
        <f>VLOOKUP($C1367,'2021-22 School Level AAFTE'!$C:$Z,12,FALSE)</f>
        <v>No</v>
      </c>
      <c r="H1367" s="127">
        <f>VLOOKUP($C1367,'2021-22 School Level AAFTE'!$C:$I,7,FALSE)</f>
        <v>449.91</v>
      </c>
      <c r="I1367" s="112">
        <f>IFERROR(IF(OR(G1367="yes",F1367= "yes"),VLOOKUP(C1367,Summary!$B:$J,6,0),0),0)</f>
        <v>0</v>
      </c>
      <c r="J1367" s="111">
        <f t="shared" si="264"/>
        <v>0</v>
      </c>
      <c r="K1367" s="91">
        <f>VLOOKUP($A1367,'2022-23 Salary &amp; Benefits'!$A:$I,3,FALSE)</f>
        <v>1</v>
      </c>
      <c r="L1367" s="91">
        <f>VLOOKUP($A1367,'2022-23 Salary &amp; Benefits'!$A:$I,4,FALSE)</f>
        <v>1.04</v>
      </c>
      <c r="M1367" s="39">
        <f t="shared" si="271"/>
        <v>0</v>
      </c>
      <c r="N1367" s="24">
        <v>15</v>
      </c>
      <c r="O1367" s="26">
        <f t="shared" si="262"/>
        <v>0</v>
      </c>
      <c r="P1367" s="24">
        <v>1.1000000000000001</v>
      </c>
      <c r="Q1367" s="24">
        <v>36</v>
      </c>
      <c r="R1367" s="27">
        <f t="shared" si="263"/>
        <v>0</v>
      </c>
      <c r="S1367" s="102">
        <f t="shared" si="265"/>
        <v>0</v>
      </c>
      <c r="T1367" s="21">
        <f>VLOOKUP($A1367,'2022-23 Salary &amp; Benefits'!$A:$I,5,FALSE)</f>
        <v>68937</v>
      </c>
      <c r="U1367" s="21">
        <f>VLOOKUP($A1367,'2022-23 Salary &amp; Benefits'!$A:$I,6,FALSE)</f>
        <v>72728</v>
      </c>
      <c r="V1367" s="22">
        <f t="shared" si="266"/>
        <v>0</v>
      </c>
      <c r="W1367" s="22">
        <f t="shared" si="267"/>
        <v>0</v>
      </c>
      <c r="X1367" s="22">
        <f>'2022-23 Salary &amp; Benefits'!$G$6</f>
        <v>12558.24</v>
      </c>
      <c r="Y1367" s="23">
        <f>'2022-23 Salary &amp; Benefits'!$H$6</f>
        <v>0.2298</v>
      </c>
      <c r="Z1367" s="23">
        <f>'2022-23 Salary &amp; Benefits'!$I$6</f>
        <v>0.22339999999999999</v>
      </c>
      <c r="AA1367" s="22">
        <f t="shared" si="268"/>
        <v>0</v>
      </c>
      <c r="AB1367" s="22">
        <f t="shared" si="269"/>
        <v>0</v>
      </c>
      <c r="AC1367" s="22">
        <f t="shared" si="270"/>
        <v>0</v>
      </c>
      <c r="AD1367" s="22">
        <f t="shared" si="272"/>
        <v>0</v>
      </c>
      <c r="AE1367" s="22">
        <f t="shared" si="273"/>
        <v>0</v>
      </c>
      <c r="AF1367" s="19" t="str">
        <f>VLOOKUP(C1367,'2021-22 School Level AAFTE'!C:N,12,FALSE)</f>
        <v>No</v>
      </c>
    </row>
    <row r="1368" spans="1:32" s="5" customFormat="1">
      <c r="A1368" s="97" t="s">
        <v>2518</v>
      </c>
      <c r="B1368" s="97" t="s">
        <v>2007</v>
      </c>
      <c r="C1368" s="95">
        <v>3540</v>
      </c>
      <c r="D1368" s="95" t="s">
        <v>2013</v>
      </c>
      <c r="E1368" s="129">
        <f>VLOOKUP($C1368,'2021-22 School Level AAFTE'!$C:$Z,11,FALSE)</f>
        <v>0.61026666666666662</v>
      </c>
      <c r="F1368" s="129" t="str">
        <f>VLOOKUP($C1368,'2021-22 School Level AAFTE'!$C:$Z,8,FALSE)</f>
        <v>Yes</v>
      </c>
      <c r="G1368" s="129" t="str">
        <f>VLOOKUP($C1368,'2021-22 School Level AAFTE'!$C:$Z,12,FALSE)</f>
        <v>No</v>
      </c>
      <c r="H1368" s="127">
        <f>VLOOKUP($C1368,'2021-22 School Level AAFTE'!$C:$I,7,FALSE)</f>
        <v>322.20999999999998</v>
      </c>
      <c r="I1368" s="112">
        <f>IFERROR(IF(OR(G1368="yes",F1368= "yes"),VLOOKUP(C1368,Summary!$B:$J,6,0),0),0)</f>
        <v>0</v>
      </c>
      <c r="J1368" s="111">
        <f t="shared" si="264"/>
        <v>322.20999999999998</v>
      </c>
      <c r="K1368" s="91">
        <f>VLOOKUP($A1368,'2022-23 Salary &amp; Benefits'!$A:$I,3,FALSE)</f>
        <v>1</v>
      </c>
      <c r="L1368" s="91">
        <f>VLOOKUP($A1368,'2022-23 Salary &amp; Benefits'!$A:$I,4,FALSE)</f>
        <v>1.04</v>
      </c>
      <c r="M1368" s="101">
        <f t="shared" si="271"/>
        <v>322.20999999999998</v>
      </c>
      <c r="N1368" s="24">
        <v>15</v>
      </c>
      <c r="O1368" s="26">
        <f t="shared" si="262"/>
        <v>21.480666666666664</v>
      </c>
      <c r="P1368" s="24">
        <v>1.1000000000000001</v>
      </c>
      <c r="Q1368" s="24">
        <v>36</v>
      </c>
      <c r="R1368" s="27">
        <f t="shared" si="263"/>
        <v>850.63440000000003</v>
      </c>
      <c r="S1368" s="102">
        <f t="shared" si="265"/>
        <v>0.94499999999999995</v>
      </c>
      <c r="T1368" s="21">
        <f>VLOOKUP($A1368,'2022-23 Salary &amp; Benefits'!$A:$I,5,FALSE)</f>
        <v>68937</v>
      </c>
      <c r="U1368" s="21">
        <f>VLOOKUP($A1368,'2022-23 Salary &amp; Benefits'!$A:$I,6,FALSE)</f>
        <v>72728</v>
      </c>
      <c r="V1368" s="22">
        <f t="shared" si="266"/>
        <v>65145.47</v>
      </c>
      <c r="W1368" s="22">
        <f t="shared" si="267"/>
        <v>6331.6100000000006</v>
      </c>
      <c r="X1368" s="22">
        <f>'2022-23 Salary &amp; Benefits'!$G$6</f>
        <v>12558.24</v>
      </c>
      <c r="Y1368" s="23">
        <f>'2022-23 Salary &amp; Benefits'!$H$6</f>
        <v>0.2298</v>
      </c>
      <c r="Z1368" s="23">
        <f>'2022-23 Salary &amp; Benefits'!$I$6</f>
        <v>0.22339999999999999</v>
      </c>
      <c r="AA1368" s="22">
        <f t="shared" si="268"/>
        <v>28252.45</v>
      </c>
      <c r="AB1368" s="22">
        <f t="shared" si="269"/>
        <v>1191.28</v>
      </c>
      <c r="AC1368" s="22">
        <f t="shared" si="270"/>
        <v>266.13</v>
      </c>
      <c r="AD1368" s="22">
        <f t="shared" si="272"/>
        <v>1457.4099999999999</v>
      </c>
      <c r="AE1368" s="22">
        <f t="shared" si="273"/>
        <v>101186.94</v>
      </c>
      <c r="AF1368" s="19" t="str">
        <f>VLOOKUP(C1368,'2021-22 School Level AAFTE'!C:N,12,FALSE)</f>
        <v>No</v>
      </c>
    </row>
    <row r="1369" spans="1:32" s="5" customFormat="1">
      <c r="A1369" s="97" t="s">
        <v>2518</v>
      </c>
      <c r="B1369" s="97" t="s">
        <v>2007</v>
      </c>
      <c r="C1369" s="95">
        <v>3696</v>
      </c>
      <c r="D1369" s="95" t="s">
        <v>2014</v>
      </c>
      <c r="E1369" s="129">
        <f>VLOOKUP($C1369,'2021-22 School Level AAFTE'!$C:$Z,11,FALSE)</f>
        <v>0.34039999999999998</v>
      </c>
      <c r="F1369" s="129" t="str">
        <f>VLOOKUP($C1369,'2021-22 School Level AAFTE'!$C:$Z,8,FALSE)</f>
        <v>No</v>
      </c>
      <c r="G1369" s="129" t="str">
        <f>VLOOKUP($C1369,'2021-22 School Level AAFTE'!$C:$Z,12,FALSE)</f>
        <v>No</v>
      </c>
      <c r="H1369" s="127">
        <f>VLOOKUP($C1369,'2021-22 School Level AAFTE'!$C:$I,7,FALSE)</f>
        <v>372.79</v>
      </c>
      <c r="I1369" s="112">
        <f>IFERROR(IF(OR(G1369="yes",F1369= "yes"),VLOOKUP(C1369,Summary!$B:$J,6,0),0),0)</f>
        <v>0</v>
      </c>
      <c r="J1369" s="111">
        <f t="shared" si="264"/>
        <v>0</v>
      </c>
      <c r="K1369" s="91">
        <f>VLOOKUP($A1369,'2022-23 Salary &amp; Benefits'!$A:$I,3,FALSE)</f>
        <v>1</v>
      </c>
      <c r="L1369" s="91">
        <f>VLOOKUP($A1369,'2022-23 Salary &amp; Benefits'!$A:$I,4,FALSE)</f>
        <v>1.04</v>
      </c>
      <c r="M1369" s="39">
        <f t="shared" si="271"/>
        <v>0</v>
      </c>
      <c r="N1369" s="24">
        <v>15</v>
      </c>
      <c r="O1369" s="26">
        <f t="shared" si="262"/>
        <v>0</v>
      </c>
      <c r="P1369" s="24">
        <v>1.1000000000000001</v>
      </c>
      <c r="Q1369" s="24">
        <v>36</v>
      </c>
      <c r="R1369" s="27">
        <f t="shared" si="263"/>
        <v>0</v>
      </c>
      <c r="S1369" s="102">
        <f t="shared" si="265"/>
        <v>0</v>
      </c>
      <c r="T1369" s="21">
        <f>VLOOKUP($A1369,'2022-23 Salary &amp; Benefits'!$A:$I,5,FALSE)</f>
        <v>68937</v>
      </c>
      <c r="U1369" s="21">
        <f>VLOOKUP($A1369,'2022-23 Salary &amp; Benefits'!$A:$I,6,FALSE)</f>
        <v>72728</v>
      </c>
      <c r="V1369" s="22">
        <f t="shared" si="266"/>
        <v>0</v>
      </c>
      <c r="W1369" s="22">
        <f t="shared" si="267"/>
        <v>0</v>
      </c>
      <c r="X1369" s="22">
        <f>'2022-23 Salary &amp; Benefits'!$G$6</f>
        <v>12558.24</v>
      </c>
      <c r="Y1369" s="23">
        <f>'2022-23 Salary &amp; Benefits'!$H$6</f>
        <v>0.2298</v>
      </c>
      <c r="Z1369" s="23">
        <f>'2022-23 Salary &amp; Benefits'!$I$6</f>
        <v>0.22339999999999999</v>
      </c>
      <c r="AA1369" s="22">
        <f t="shared" si="268"/>
        <v>0</v>
      </c>
      <c r="AB1369" s="22">
        <f t="shared" si="269"/>
        <v>0</v>
      </c>
      <c r="AC1369" s="22">
        <f t="shared" si="270"/>
        <v>0</v>
      </c>
      <c r="AD1369" s="22">
        <f t="shared" si="272"/>
        <v>0</v>
      </c>
      <c r="AE1369" s="22">
        <f t="shared" si="273"/>
        <v>0</v>
      </c>
      <c r="AF1369" s="19" t="str">
        <f>VLOOKUP(C1369,'2021-22 School Level AAFTE'!C:N,12,FALSE)</f>
        <v>No</v>
      </c>
    </row>
    <row r="1370" spans="1:32" s="5" customFormat="1">
      <c r="A1370" s="97" t="s">
        <v>2518</v>
      </c>
      <c r="B1370" s="97" t="s">
        <v>2007</v>
      </c>
      <c r="C1370" s="95">
        <v>3697</v>
      </c>
      <c r="D1370" s="95" t="s">
        <v>244</v>
      </c>
      <c r="E1370" s="129">
        <f>VLOOKUP($C1370,'2021-22 School Level AAFTE'!$C:$Z,11,FALSE)</f>
        <v>0.16516666666666668</v>
      </c>
      <c r="F1370" s="129" t="str">
        <f>VLOOKUP($C1370,'2021-22 School Level AAFTE'!$C:$Z,8,FALSE)</f>
        <v>No</v>
      </c>
      <c r="G1370" s="129" t="str">
        <f>VLOOKUP($C1370,'2021-22 School Level AAFTE'!$C:$Z,12,FALSE)</f>
        <v>No</v>
      </c>
      <c r="H1370" s="127">
        <f>VLOOKUP($C1370,'2021-22 School Level AAFTE'!$C:$I,7,FALSE)</f>
        <v>389.74</v>
      </c>
      <c r="I1370" s="112">
        <f>IFERROR(IF(OR(G1370="yes",F1370= "yes"),VLOOKUP(C1370,Summary!$B:$J,6,0),0),0)</f>
        <v>0</v>
      </c>
      <c r="J1370" s="111">
        <f t="shared" si="264"/>
        <v>0</v>
      </c>
      <c r="K1370" s="91">
        <f>VLOOKUP($A1370,'2022-23 Salary &amp; Benefits'!$A:$I,3,FALSE)</f>
        <v>1</v>
      </c>
      <c r="L1370" s="91">
        <f>VLOOKUP($A1370,'2022-23 Salary &amp; Benefits'!$A:$I,4,FALSE)</f>
        <v>1.04</v>
      </c>
      <c r="M1370" s="39">
        <f t="shared" si="271"/>
        <v>0</v>
      </c>
      <c r="N1370" s="24">
        <v>15</v>
      </c>
      <c r="O1370" s="26">
        <f t="shared" si="262"/>
        <v>0</v>
      </c>
      <c r="P1370" s="24">
        <v>1.1000000000000001</v>
      </c>
      <c r="Q1370" s="24">
        <v>36</v>
      </c>
      <c r="R1370" s="27">
        <f t="shared" si="263"/>
        <v>0</v>
      </c>
      <c r="S1370" s="102">
        <f t="shared" si="265"/>
        <v>0</v>
      </c>
      <c r="T1370" s="21">
        <f>VLOOKUP($A1370,'2022-23 Salary &amp; Benefits'!$A:$I,5,FALSE)</f>
        <v>68937</v>
      </c>
      <c r="U1370" s="21">
        <f>VLOOKUP($A1370,'2022-23 Salary &amp; Benefits'!$A:$I,6,FALSE)</f>
        <v>72728</v>
      </c>
      <c r="V1370" s="22">
        <f t="shared" si="266"/>
        <v>0</v>
      </c>
      <c r="W1370" s="22">
        <f t="shared" si="267"/>
        <v>0</v>
      </c>
      <c r="X1370" s="22">
        <f>'2022-23 Salary &amp; Benefits'!$G$6</f>
        <v>12558.24</v>
      </c>
      <c r="Y1370" s="23">
        <f>'2022-23 Salary &amp; Benefits'!$H$6</f>
        <v>0.2298</v>
      </c>
      <c r="Z1370" s="23">
        <f>'2022-23 Salary &amp; Benefits'!$I$6</f>
        <v>0.22339999999999999</v>
      </c>
      <c r="AA1370" s="22">
        <f t="shared" si="268"/>
        <v>0</v>
      </c>
      <c r="AB1370" s="22">
        <f t="shared" si="269"/>
        <v>0</v>
      </c>
      <c r="AC1370" s="22">
        <f t="shared" si="270"/>
        <v>0</v>
      </c>
      <c r="AD1370" s="22">
        <f t="shared" si="272"/>
        <v>0</v>
      </c>
      <c r="AE1370" s="22">
        <f t="shared" si="273"/>
        <v>0</v>
      </c>
      <c r="AF1370" s="19" t="str">
        <f>VLOOKUP(C1370,'2021-22 School Level AAFTE'!C:N,12,FALSE)</f>
        <v>No</v>
      </c>
    </row>
    <row r="1371" spans="1:32" s="5" customFormat="1">
      <c r="A1371" s="97" t="s">
        <v>2518</v>
      </c>
      <c r="B1371" s="97" t="s">
        <v>2007</v>
      </c>
      <c r="C1371" s="95">
        <v>3711</v>
      </c>
      <c r="D1371" s="95" t="s">
        <v>631</v>
      </c>
      <c r="E1371" s="129">
        <f>VLOOKUP($C1371,'2021-22 School Level AAFTE'!$C:$Z,11,FALSE)</f>
        <v>0.19196666666666665</v>
      </c>
      <c r="F1371" s="129" t="str">
        <f>VLOOKUP($C1371,'2021-22 School Level AAFTE'!$C:$Z,8,FALSE)</f>
        <v>No</v>
      </c>
      <c r="G1371" s="129" t="str">
        <f>VLOOKUP($C1371,'2021-22 School Level AAFTE'!$C:$Z,12,FALSE)</f>
        <v>No</v>
      </c>
      <c r="H1371" s="127">
        <f>VLOOKUP($C1371,'2021-22 School Level AAFTE'!$C:$I,7,FALSE)</f>
        <v>761.65</v>
      </c>
      <c r="I1371" s="112">
        <f>IFERROR(IF(OR(G1371="yes",F1371= "yes"),VLOOKUP(C1371,Summary!$B:$J,6,0),0),0)</f>
        <v>0</v>
      </c>
      <c r="J1371" s="111">
        <f t="shared" si="264"/>
        <v>0</v>
      </c>
      <c r="K1371" s="91">
        <f>VLOOKUP($A1371,'2022-23 Salary &amp; Benefits'!$A:$I,3,FALSE)</f>
        <v>1</v>
      </c>
      <c r="L1371" s="91">
        <f>VLOOKUP($A1371,'2022-23 Salary &amp; Benefits'!$A:$I,4,FALSE)</f>
        <v>1.04</v>
      </c>
      <c r="M1371" s="39">
        <f t="shared" si="271"/>
        <v>0</v>
      </c>
      <c r="N1371" s="24">
        <v>15</v>
      </c>
      <c r="O1371" s="26">
        <f t="shared" si="262"/>
        <v>0</v>
      </c>
      <c r="P1371" s="24">
        <v>1.1000000000000001</v>
      </c>
      <c r="Q1371" s="24">
        <v>36</v>
      </c>
      <c r="R1371" s="27">
        <f t="shared" si="263"/>
        <v>0</v>
      </c>
      <c r="S1371" s="102">
        <f t="shared" si="265"/>
        <v>0</v>
      </c>
      <c r="T1371" s="21">
        <f>VLOOKUP($A1371,'2022-23 Salary &amp; Benefits'!$A:$I,5,FALSE)</f>
        <v>68937</v>
      </c>
      <c r="U1371" s="21">
        <f>VLOOKUP($A1371,'2022-23 Salary &amp; Benefits'!$A:$I,6,FALSE)</f>
        <v>72728</v>
      </c>
      <c r="V1371" s="22">
        <f t="shared" si="266"/>
        <v>0</v>
      </c>
      <c r="W1371" s="22">
        <f t="shared" si="267"/>
        <v>0</v>
      </c>
      <c r="X1371" s="22">
        <f>'2022-23 Salary &amp; Benefits'!$G$6</f>
        <v>12558.24</v>
      </c>
      <c r="Y1371" s="23">
        <f>'2022-23 Salary &amp; Benefits'!$H$6</f>
        <v>0.2298</v>
      </c>
      <c r="Z1371" s="23">
        <f>'2022-23 Salary &amp; Benefits'!$I$6</f>
        <v>0.22339999999999999</v>
      </c>
      <c r="AA1371" s="22">
        <f t="shared" si="268"/>
        <v>0</v>
      </c>
      <c r="AB1371" s="22">
        <f t="shared" si="269"/>
        <v>0</v>
      </c>
      <c r="AC1371" s="22">
        <f t="shared" si="270"/>
        <v>0</v>
      </c>
      <c r="AD1371" s="22">
        <f t="shared" si="272"/>
        <v>0</v>
      </c>
      <c r="AE1371" s="22">
        <f t="shared" si="273"/>
        <v>0</v>
      </c>
      <c r="AF1371" s="19" t="str">
        <f>VLOOKUP(C1371,'2021-22 School Level AAFTE'!C:N,12,FALSE)</f>
        <v>No</v>
      </c>
    </row>
    <row r="1372" spans="1:32" s="5" customFormat="1">
      <c r="A1372" s="97" t="s">
        <v>2518</v>
      </c>
      <c r="B1372" s="97" t="s">
        <v>2007</v>
      </c>
      <c r="C1372" s="95">
        <v>3960</v>
      </c>
      <c r="D1372" s="95" t="s">
        <v>2015</v>
      </c>
      <c r="E1372" s="129">
        <f>VLOOKUP($C1372,'2021-22 School Level AAFTE'!$C:$Z,11,FALSE)</f>
        <v>0.31619999999999998</v>
      </c>
      <c r="F1372" s="129" t="str">
        <f>VLOOKUP($C1372,'2021-22 School Level AAFTE'!$C:$Z,8,FALSE)</f>
        <v>No</v>
      </c>
      <c r="G1372" s="129" t="str">
        <f>VLOOKUP($C1372,'2021-22 School Level AAFTE'!$C:$Z,12,FALSE)</f>
        <v>No</v>
      </c>
      <c r="H1372" s="127">
        <f>VLOOKUP($C1372,'2021-22 School Level AAFTE'!$C:$I,7,FALSE)</f>
        <v>1358.55</v>
      </c>
      <c r="I1372" s="112">
        <f>IFERROR(IF(OR(G1372="yes",F1372= "yes"),VLOOKUP(C1372,Summary!$B:$J,6,0),0),0)</f>
        <v>0</v>
      </c>
      <c r="J1372" s="111">
        <f t="shared" si="264"/>
        <v>0</v>
      </c>
      <c r="K1372" s="91">
        <f>VLOOKUP($A1372,'2022-23 Salary &amp; Benefits'!$A:$I,3,FALSE)</f>
        <v>1</v>
      </c>
      <c r="L1372" s="91">
        <f>VLOOKUP($A1372,'2022-23 Salary &amp; Benefits'!$A:$I,4,FALSE)</f>
        <v>1.04</v>
      </c>
      <c r="M1372" s="39">
        <f t="shared" si="271"/>
        <v>0</v>
      </c>
      <c r="N1372" s="24">
        <v>15</v>
      </c>
      <c r="O1372" s="26">
        <f t="shared" si="262"/>
        <v>0</v>
      </c>
      <c r="P1372" s="24">
        <v>1.1000000000000001</v>
      </c>
      <c r="Q1372" s="24">
        <v>36</v>
      </c>
      <c r="R1372" s="27">
        <f t="shared" si="263"/>
        <v>0</v>
      </c>
      <c r="S1372" s="102">
        <f t="shared" si="265"/>
        <v>0</v>
      </c>
      <c r="T1372" s="21">
        <f>VLOOKUP($A1372,'2022-23 Salary &amp; Benefits'!$A:$I,5,FALSE)</f>
        <v>68937</v>
      </c>
      <c r="U1372" s="21">
        <f>VLOOKUP($A1372,'2022-23 Salary &amp; Benefits'!$A:$I,6,FALSE)</f>
        <v>72728</v>
      </c>
      <c r="V1372" s="22">
        <f t="shared" si="266"/>
        <v>0</v>
      </c>
      <c r="W1372" s="22">
        <f t="shared" si="267"/>
        <v>0</v>
      </c>
      <c r="X1372" s="22">
        <f>'2022-23 Salary &amp; Benefits'!$G$6</f>
        <v>12558.24</v>
      </c>
      <c r="Y1372" s="23">
        <f>'2022-23 Salary &amp; Benefits'!$H$6</f>
        <v>0.2298</v>
      </c>
      <c r="Z1372" s="23">
        <f>'2022-23 Salary &amp; Benefits'!$I$6</f>
        <v>0.22339999999999999</v>
      </c>
      <c r="AA1372" s="22">
        <f t="shared" si="268"/>
        <v>0</v>
      </c>
      <c r="AB1372" s="22">
        <f t="shared" si="269"/>
        <v>0</v>
      </c>
      <c r="AC1372" s="22">
        <f t="shared" si="270"/>
        <v>0</v>
      </c>
      <c r="AD1372" s="22">
        <f t="shared" si="272"/>
        <v>0</v>
      </c>
      <c r="AE1372" s="22">
        <f t="shared" si="273"/>
        <v>0</v>
      </c>
      <c r="AF1372" s="19" t="str">
        <f>VLOOKUP(C1372,'2021-22 School Level AAFTE'!C:N,12,FALSE)</f>
        <v>No</v>
      </c>
    </row>
    <row r="1373" spans="1:32" s="5" customFormat="1">
      <c r="A1373" s="97" t="s">
        <v>2518</v>
      </c>
      <c r="B1373" s="97" t="s">
        <v>2007</v>
      </c>
      <c r="C1373" s="95">
        <v>4367</v>
      </c>
      <c r="D1373" s="95" t="s">
        <v>2016</v>
      </c>
      <c r="E1373" s="129">
        <f>VLOOKUP($C1373,'2021-22 School Level AAFTE'!$C:$Z,11,FALSE)</f>
        <v>0.16023333333333334</v>
      </c>
      <c r="F1373" s="129" t="str">
        <f>VLOOKUP($C1373,'2021-22 School Level AAFTE'!$C:$Z,8,FALSE)</f>
        <v>No</v>
      </c>
      <c r="G1373" s="129" t="str">
        <f>VLOOKUP($C1373,'2021-22 School Level AAFTE'!$C:$Z,12,FALSE)</f>
        <v>No</v>
      </c>
      <c r="H1373" s="127">
        <f>VLOOKUP($C1373,'2021-22 School Level AAFTE'!$C:$I,7,FALSE)</f>
        <v>461.97</v>
      </c>
      <c r="I1373" s="112">
        <f>IFERROR(IF(OR(G1373="yes",F1373= "yes"),VLOOKUP(C1373,Summary!$B:$J,6,0),0),0)</f>
        <v>0</v>
      </c>
      <c r="J1373" s="111">
        <f t="shared" si="264"/>
        <v>0</v>
      </c>
      <c r="K1373" s="91">
        <f>VLOOKUP($A1373,'2022-23 Salary &amp; Benefits'!$A:$I,3,FALSE)</f>
        <v>1</v>
      </c>
      <c r="L1373" s="91">
        <f>VLOOKUP($A1373,'2022-23 Salary &amp; Benefits'!$A:$I,4,FALSE)</f>
        <v>1.04</v>
      </c>
      <c r="M1373" s="39">
        <f t="shared" si="271"/>
        <v>0</v>
      </c>
      <c r="N1373" s="24">
        <v>15</v>
      </c>
      <c r="O1373" s="26">
        <f t="shared" si="262"/>
        <v>0</v>
      </c>
      <c r="P1373" s="24">
        <v>1.1000000000000001</v>
      </c>
      <c r="Q1373" s="24">
        <v>36</v>
      </c>
      <c r="R1373" s="27">
        <f t="shared" si="263"/>
        <v>0</v>
      </c>
      <c r="S1373" s="102">
        <f t="shared" si="265"/>
        <v>0</v>
      </c>
      <c r="T1373" s="21">
        <f>VLOOKUP($A1373,'2022-23 Salary &amp; Benefits'!$A:$I,5,FALSE)</f>
        <v>68937</v>
      </c>
      <c r="U1373" s="21">
        <f>VLOOKUP($A1373,'2022-23 Salary &amp; Benefits'!$A:$I,6,FALSE)</f>
        <v>72728</v>
      </c>
      <c r="V1373" s="22">
        <f t="shared" si="266"/>
        <v>0</v>
      </c>
      <c r="W1373" s="22">
        <f t="shared" si="267"/>
        <v>0</v>
      </c>
      <c r="X1373" s="22">
        <f>'2022-23 Salary &amp; Benefits'!$G$6</f>
        <v>12558.24</v>
      </c>
      <c r="Y1373" s="23">
        <f>'2022-23 Salary &amp; Benefits'!$H$6</f>
        <v>0.2298</v>
      </c>
      <c r="Z1373" s="23">
        <f>'2022-23 Salary &amp; Benefits'!$I$6</f>
        <v>0.22339999999999999</v>
      </c>
      <c r="AA1373" s="22">
        <f t="shared" si="268"/>
        <v>0</v>
      </c>
      <c r="AB1373" s="22">
        <f t="shared" si="269"/>
        <v>0</v>
      </c>
      <c r="AC1373" s="22">
        <f t="shared" si="270"/>
        <v>0</v>
      </c>
      <c r="AD1373" s="22">
        <f t="shared" si="272"/>
        <v>0</v>
      </c>
      <c r="AE1373" s="22">
        <f t="shared" si="273"/>
        <v>0</v>
      </c>
      <c r="AF1373" s="19" t="str">
        <f>VLOOKUP(C1373,'2021-22 School Level AAFTE'!C:N,12,FALSE)</f>
        <v>No</v>
      </c>
    </row>
    <row r="1374" spans="1:32" s="5" customFormat="1">
      <c r="A1374" s="97" t="s">
        <v>2518</v>
      </c>
      <c r="B1374" s="97" t="s">
        <v>2007</v>
      </c>
      <c r="C1374" s="95">
        <v>4458</v>
      </c>
      <c r="D1374" s="95" t="s">
        <v>2017</v>
      </c>
      <c r="E1374" s="129">
        <f>VLOOKUP($C1374,'2021-22 School Level AAFTE'!$C:$Z,11,FALSE)</f>
        <v>0.26886666666666664</v>
      </c>
      <c r="F1374" s="129" t="str">
        <f>VLOOKUP($C1374,'2021-22 School Level AAFTE'!$C:$Z,8,FALSE)</f>
        <v>No</v>
      </c>
      <c r="G1374" s="129" t="str">
        <f>VLOOKUP($C1374,'2021-22 School Level AAFTE'!$C:$Z,12,FALSE)</f>
        <v>No</v>
      </c>
      <c r="H1374" s="127">
        <f>VLOOKUP($C1374,'2021-22 School Level AAFTE'!$C:$I,7,FALSE)</f>
        <v>267.57</v>
      </c>
      <c r="I1374" s="112">
        <f>IFERROR(IF(OR(G1374="yes",F1374= "yes"),VLOOKUP(C1374,Summary!$B:$J,6,0),0),0)</f>
        <v>0</v>
      </c>
      <c r="J1374" s="111">
        <f t="shared" si="264"/>
        <v>0</v>
      </c>
      <c r="K1374" s="91">
        <f>VLOOKUP($A1374,'2022-23 Salary &amp; Benefits'!$A:$I,3,FALSE)</f>
        <v>1</v>
      </c>
      <c r="L1374" s="91">
        <f>VLOOKUP($A1374,'2022-23 Salary &amp; Benefits'!$A:$I,4,FALSE)</f>
        <v>1.04</v>
      </c>
      <c r="M1374" s="39">
        <f t="shared" si="271"/>
        <v>0</v>
      </c>
      <c r="N1374" s="24">
        <v>15</v>
      </c>
      <c r="O1374" s="26">
        <f t="shared" si="262"/>
        <v>0</v>
      </c>
      <c r="P1374" s="24">
        <v>1.1000000000000001</v>
      </c>
      <c r="Q1374" s="24">
        <v>36</v>
      </c>
      <c r="R1374" s="27">
        <f t="shared" si="263"/>
        <v>0</v>
      </c>
      <c r="S1374" s="102">
        <f t="shared" si="265"/>
        <v>0</v>
      </c>
      <c r="T1374" s="21">
        <f>VLOOKUP($A1374,'2022-23 Salary &amp; Benefits'!$A:$I,5,FALSE)</f>
        <v>68937</v>
      </c>
      <c r="U1374" s="21">
        <f>VLOOKUP($A1374,'2022-23 Salary &amp; Benefits'!$A:$I,6,FALSE)</f>
        <v>72728</v>
      </c>
      <c r="V1374" s="22">
        <f t="shared" si="266"/>
        <v>0</v>
      </c>
      <c r="W1374" s="22">
        <f t="shared" si="267"/>
        <v>0</v>
      </c>
      <c r="X1374" s="22">
        <f>'2022-23 Salary &amp; Benefits'!$G$6</f>
        <v>12558.24</v>
      </c>
      <c r="Y1374" s="23">
        <f>'2022-23 Salary &amp; Benefits'!$H$6</f>
        <v>0.2298</v>
      </c>
      <c r="Z1374" s="23">
        <f>'2022-23 Salary &amp; Benefits'!$I$6</f>
        <v>0.22339999999999999</v>
      </c>
      <c r="AA1374" s="22">
        <f t="shared" si="268"/>
        <v>0</v>
      </c>
      <c r="AB1374" s="22">
        <f t="shared" si="269"/>
        <v>0</v>
      </c>
      <c r="AC1374" s="22">
        <f t="shared" si="270"/>
        <v>0</v>
      </c>
      <c r="AD1374" s="22">
        <f t="shared" si="272"/>
        <v>0</v>
      </c>
      <c r="AE1374" s="22">
        <f t="shared" si="273"/>
        <v>0</v>
      </c>
      <c r="AF1374" s="19" t="str">
        <f>VLOOKUP(C1374,'2021-22 School Level AAFTE'!C:N,12,FALSE)</f>
        <v>No</v>
      </c>
    </row>
    <row r="1375" spans="1:32" s="5" customFormat="1">
      <c r="A1375" s="97" t="s">
        <v>2518</v>
      </c>
      <c r="B1375" s="97" t="s">
        <v>2007</v>
      </c>
      <c r="C1375" s="95">
        <v>4472</v>
      </c>
      <c r="D1375" s="95" t="s">
        <v>2018</v>
      </c>
      <c r="E1375" s="129">
        <f>VLOOKUP($C1375,'2021-22 School Level AAFTE'!$C:$Z,11,FALSE)</f>
        <v>0.45800000000000002</v>
      </c>
      <c r="F1375" s="129" t="str">
        <f>VLOOKUP($C1375,'2021-22 School Level AAFTE'!$C:$Z,8,FALSE)</f>
        <v>No</v>
      </c>
      <c r="G1375" s="129" t="str">
        <f>VLOOKUP($C1375,'2021-22 School Level AAFTE'!$C:$Z,12,FALSE)</f>
        <v>No</v>
      </c>
      <c r="H1375" s="127">
        <f>VLOOKUP($C1375,'2021-22 School Level AAFTE'!$C:$I,7,FALSE)</f>
        <v>437.91</v>
      </c>
      <c r="I1375" s="112">
        <f>IFERROR(IF(OR(G1375="yes",F1375= "yes"),VLOOKUP(C1375,Summary!$B:$J,6,0),0),0)</f>
        <v>0</v>
      </c>
      <c r="J1375" s="111">
        <f t="shared" si="264"/>
        <v>0</v>
      </c>
      <c r="K1375" s="91">
        <f>VLOOKUP($A1375,'2022-23 Salary &amp; Benefits'!$A:$I,3,FALSE)</f>
        <v>1</v>
      </c>
      <c r="L1375" s="91">
        <f>VLOOKUP($A1375,'2022-23 Salary &amp; Benefits'!$A:$I,4,FALSE)</f>
        <v>1.04</v>
      </c>
      <c r="M1375" s="101">
        <f t="shared" si="271"/>
        <v>0</v>
      </c>
      <c r="N1375" s="24">
        <v>15</v>
      </c>
      <c r="O1375" s="26">
        <f t="shared" si="262"/>
        <v>0</v>
      </c>
      <c r="P1375" s="24">
        <v>1.1000000000000001</v>
      </c>
      <c r="Q1375" s="24">
        <v>36</v>
      </c>
      <c r="R1375" s="27">
        <f t="shared" si="263"/>
        <v>0</v>
      </c>
      <c r="S1375" s="102">
        <f t="shared" si="265"/>
        <v>0</v>
      </c>
      <c r="T1375" s="21">
        <f>VLOOKUP($A1375,'2022-23 Salary &amp; Benefits'!$A:$I,5,FALSE)</f>
        <v>68937</v>
      </c>
      <c r="U1375" s="21">
        <f>VLOOKUP($A1375,'2022-23 Salary &amp; Benefits'!$A:$I,6,FALSE)</f>
        <v>72728</v>
      </c>
      <c r="V1375" s="22">
        <f t="shared" si="266"/>
        <v>0</v>
      </c>
      <c r="W1375" s="22">
        <f t="shared" si="267"/>
        <v>0</v>
      </c>
      <c r="X1375" s="22">
        <f>'2022-23 Salary &amp; Benefits'!$G$6</f>
        <v>12558.24</v>
      </c>
      <c r="Y1375" s="23">
        <f>'2022-23 Salary &amp; Benefits'!$H$6</f>
        <v>0.2298</v>
      </c>
      <c r="Z1375" s="23">
        <f>'2022-23 Salary &amp; Benefits'!$I$6</f>
        <v>0.22339999999999999</v>
      </c>
      <c r="AA1375" s="22">
        <f t="shared" si="268"/>
        <v>0</v>
      </c>
      <c r="AB1375" s="22">
        <f t="shared" si="269"/>
        <v>0</v>
      </c>
      <c r="AC1375" s="22">
        <f t="shared" si="270"/>
        <v>0</v>
      </c>
      <c r="AD1375" s="22">
        <f t="shared" si="272"/>
        <v>0</v>
      </c>
      <c r="AE1375" s="22">
        <f t="shared" si="273"/>
        <v>0</v>
      </c>
      <c r="AF1375" s="19" t="str">
        <f>VLOOKUP(C1375,'2021-22 School Level AAFTE'!C:N,12,FALSE)</f>
        <v>No</v>
      </c>
    </row>
    <row r="1376" spans="1:32" s="5" customFormat="1">
      <c r="A1376" s="97" t="s">
        <v>2518</v>
      </c>
      <c r="B1376" s="97" t="s">
        <v>2007</v>
      </c>
      <c r="C1376" s="95">
        <v>4473</v>
      </c>
      <c r="D1376" s="95" t="s">
        <v>2019</v>
      </c>
      <c r="E1376" s="129">
        <f>VLOOKUP($C1376,'2021-22 School Level AAFTE'!$C:$Z,11,FALSE)</f>
        <v>0.36853333333333332</v>
      </c>
      <c r="F1376" s="129" t="str">
        <f>VLOOKUP($C1376,'2021-22 School Level AAFTE'!$C:$Z,8,FALSE)</f>
        <v>No</v>
      </c>
      <c r="G1376" s="129" t="str">
        <f>VLOOKUP($C1376,'2021-22 School Level AAFTE'!$C:$Z,12,FALSE)</f>
        <v>No</v>
      </c>
      <c r="H1376" s="127">
        <f>VLOOKUP($C1376,'2021-22 School Level AAFTE'!$C:$I,7,FALSE)</f>
        <v>447.09</v>
      </c>
      <c r="I1376" s="112">
        <f>IFERROR(IF(OR(G1376="yes",F1376= "yes"),VLOOKUP(C1376,Summary!$B:$J,6,0),0),0)</f>
        <v>0</v>
      </c>
      <c r="J1376" s="111">
        <f t="shared" si="264"/>
        <v>0</v>
      </c>
      <c r="K1376" s="91">
        <f>VLOOKUP($A1376,'2022-23 Salary &amp; Benefits'!$A:$I,3,FALSE)</f>
        <v>1</v>
      </c>
      <c r="L1376" s="91">
        <f>VLOOKUP($A1376,'2022-23 Salary &amp; Benefits'!$A:$I,4,FALSE)</f>
        <v>1.04</v>
      </c>
      <c r="M1376" s="101">
        <f t="shared" si="271"/>
        <v>0</v>
      </c>
      <c r="N1376" s="24">
        <v>15</v>
      </c>
      <c r="O1376" s="26">
        <f t="shared" si="262"/>
        <v>0</v>
      </c>
      <c r="P1376" s="24">
        <v>1.1000000000000001</v>
      </c>
      <c r="Q1376" s="24">
        <v>36</v>
      </c>
      <c r="R1376" s="27">
        <f t="shared" si="263"/>
        <v>0</v>
      </c>
      <c r="S1376" s="102">
        <f t="shared" si="265"/>
        <v>0</v>
      </c>
      <c r="T1376" s="21">
        <f>VLOOKUP($A1376,'2022-23 Salary &amp; Benefits'!$A:$I,5,FALSE)</f>
        <v>68937</v>
      </c>
      <c r="U1376" s="21">
        <f>VLOOKUP($A1376,'2022-23 Salary &amp; Benefits'!$A:$I,6,FALSE)</f>
        <v>72728</v>
      </c>
      <c r="V1376" s="22">
        <f t="shared" si="266"/>
        <v>0</v>
      </c>
      <c r="W1376" s="22">
        <f t="shared" si="267"/>
        <v>0</v>
      </c>
      <c r="X1376" s="22">
        <f>'2022-23 Salary &amp; Benefits'!$G$6</f>
        <v>12558.24</v>
      </c>
      <c r="Y1376" s="23">
        <f>'2022-23 Salary &amp; Benefits'!$H$6</f>
        <v>0.2298</v>
      </c>
      <c r="Z1376" s="23">
        <f>'2022-23 Salary &amp; Benefits'!$I$6</f>
        <v>0.22339999999999999</v>
      </c>
      <c r="AA1376" s="22">
        <f t="shared" si="268"/>
        <v>0</v>
      </c>
      <c r="AB1376" s="22">
        <f t="shared" si="269"/>
        <v>0</v>
      </c>
      <c r="AC1376" s="22">
        <f t="shared" si="270"/>
        <v>0</v>
      </c>
      <c r="AD1376" s="22">
        <f t="shared" si="272"/>
        <v>0</v>
      </c>
      <c r="AE1376" s="22">
        <f t="shared" si="273"/>
        <v>0</v>
      </c>
      <c r="AF1376" s="19" t="str">
        <f>VLOOKUP(C1376,'2021-22 School Level AAFTE'!C:N,12,FALSE)</f>
        <v>No</v>
      </c>
    </row>
    <row r="1377" spans="1:32" s="5" customFormat="1">
      <c r="A1377" s="97" t="s">
        <v>2518</v>
      </c>
      <c r="B1377" s="97" t="s">
        <v>2007</v>
      </c>
      <c r="C1377" s="95">
        <v>5078</v>
      </c>
      <c r="D1377" s="95" t="s">
        <v>2020</v>
      </c>
      <c r="E1377" s="129">
        <f>VLOOKUP($C1377,'2021-22 School Level AAFTE'!$C:$Z,11,FALSE)</f>
        <v>0.31783333333333336</v>
      </c>
      <c r="F1377" s="129" t="str">
        <f>VLOOKUP($C1377,'2021-22 School Level AAFTE'!$C:$Z,8,FALSE)</f>
        <v>No</v>
      </c>
      <c r="G1377" s="129" t="str">
        <f>VLOOKUP($C1377,'2021-22 School Level AAFTE'!$C:$Z,12,FALSE)</f>
        <v>No</v>
      </c>
      <c r="H1377" s="127">
        <f>VLOOKUP($C1377,'2021-22 School Level AAFTE'!$C:$I,7,FALSE)</f>
        <v>620.81000000000006</v>
      </c>
      <c r="I1377" s="112">
        <f>IFERROR(IF(OR(G1377="yes",F1377= "yes"),VLOOKUP(C1377,Summary!$B:$J,6,0),0),0)</f>
        <v>0</v>
      </c>
      <c r="J1377" s="111">
        <f t="shared" si="264"/>
        <v>0</v>
      </c>
      <c r="K1377" s="91">
        <f>VLOOKUP($A1377,'2022-23 Salary &amp; Benefits'!$A:$I,3,FALSE)</f>
        <v>1</v>
      </c>
      <c r="L1377" s="91">
        <f>VLOOKUP($A1377,'2022-23 Salary &amp; Benefits'!$A:$I,4,FALSE)</f>
        <v>1.04</v>
      </c>
      <c r="M1377" s="101">
        <f t="shared" si="271"/>
        <v>0</v>
      </c>
      <c r="N1377" s="24">
        <v>15</v>
      </c>
      <c r="O1377" s="26">
        <f t="shared" si="262"/>
        <v>0</v>
      </c>
      <c r="P1377" s="24">
        <v>1.1000000000000001</v>
      </c>
      <c r="Q1377" s="24">
        <v>36</v>
      </c>
      <c r="R1377" s="27">
        <f t="shared" si="263"/>
        <v>0</v>
      </c>
      <c r="S1377" s="102">
        <f t="shared" si="265"/>
        <v>0</v>
      </c>
      <c r="T1377" s="21">
        <f>VLOOKUP($A1377,'2022-23 Salary &amp; Benefits'!$A:$I,5,FALSE)</f>
        <v>68937</v>
      </c>
      <c r="U1377" s="21">
        <f>VLOOKUP($A1377,'2022-23 Salary &amp; Benefits'!$A:$I,6,FALSE)</f>
        <v>72728</v>
      </c>
      <c r="V1377" s="22">
        <f t="shared" si="266"/>
        <v>0</v>
      </c>
      <c r="W1377" s="22">
        <f t="shared" si="267"/>
        <v>0</v>
      </c>
      <c r="X1377" s="22">
        <f>'2022-23 Salary &amp; Benefits'!$G$6</f>
        <v>12558.24</v>
      </c>
      <c r="Y1377" s="23">
        <f>'2022-23 Salary &amp; Benefits'!$H$6</f>
        <v>0.2298</v>
      </c>
      <c r="Z1377" s="23">
        <f>'2022-23 Salary &amp; Benefits'!$I$6</f>
        <v>0.22339999999999999</v>
      </c>
      <c r="AA1377" s="22">
        <f t="shared" si="268"/>
        <v>0</v>
      </c>
      <c r="AB1377" s="22">
        <f t="shared" si="269"/>
        <v>0</v>
      </c>
      <c r="AC1377" s="22">
        <f t="shared" si="270"/>
        <v>0</v>
      </c>
      <c r="AD1377" s="22">
        <f t="shared" si="272"/>
        <v>0</v>
      </c>
      <c r="AE1377" s="22">
        <f t="shared" si="273"/>
        <v>0</v>
      </c>
      <c r="AF1377" s="19" t="str">
        <f>VLOOKUP(C1377,'2021-22 School Level AAFTE'!C:N,12,FALSE)</f>
        <v>No</v>
      </c>
    </row>
    <row r="1378" spans="1:32" s="5" customFormat="1">
      <c r="A1378" s="97" t="s">
        <v>2422</v>
      </c>
      <c r="B1378" s="97" t="s">
        <v>1226</v>
      </c>
      <c r="C1378" s="95">
        <v>2031</v>
      </c>
      <c r="D1378" s="95" t="s">
        <v>1227</v>
      </c>
      <c r="E1378" s="129">
        <f>VLOOKUP($C1378,'2021-22 School Level AAFTE'!$C:$Z,11,FALSE)</f>
        <v>0.66703333333333337</v>
      </c>
      <c r="F1378" s="129" t="str">
        <f>VLOOKUP($C1378,'2021-22 School Level AAFTE'!$C:$Z,8,FALSE)</f>
        <v>Yes</v>
      </c>
      <c r="G1378" s="129" t="str">
        <f>VLOOKUP($C1378,'2021-22 School Level AAFTE'!$C:$Z,12,FALSE)</f>
        <v>No</v>
      </c>
      <c r="H1378" s="127">
        <f>VLOOKUP($C1378,'2021-22 School Level AAFTE'!$C:$I,7,FALSE)</f>
        <v>428.88</v>
      </c>
      <c r="I1378" s="112">
        <f>IFERROR(IF(OR(G1378="yes",F1378= "yes"),VLOOKUP(C1378,Summary!$B:$J,6,0),0),0)</f>
        <v>0</v>
      </c>
      <c r="J1378" s="111">
        <f t="shared" si="264"/>
        <v>428.88</v>
      </c>
      <c r="K1378" s="91">
        <f>VLOOKUP($A1378,'2022-23 Salary &amp; Benefits'!$A:$I,3,FALSE)</f>
        <v>1</v>
      </c>
      <c r="L1378" s="91">
        <f>VLOOKUP($A1378,'2022-23 Salary &amp; Benefits'!$A:$I,4,FALSE)</f>
        <v>1</v>
      </c>
      <c r="M1378" s="39">
        <f t="shared" si="271"/>
        <v>428.88</v>
      </c>
      <c r="N1378" s="24">
        <v>15</v>
      </c>
      <c r="O1378" s="26">
        <f t="shared" si="262"/>
        <v>28.591999999999999</v>
      </c>
      <c r="P1378" s="24">
        <v>1.1000000000000001</v>
      </c>
      <c r="Q1378" s="24">
        <v>36</v>
      </c>
      <c r="R1378" s="27">
        <f t="shared" si="263"/>
        <v>1132.2431999999999</v>
      </c>
      <c r="S1378" s="102">
        <f t="shared" si="265"/>
        <v>1.258</v>
      </c>
      <c r="T1378" s="21">
        <f>VLOOKUP($A1378,'2022-23 Salary &amp; Benefits'!$A:$I,5,FALSE)</f>
        <v>68937</v>
      </c>
      <c r="U1378" s="21">
        <f>VLOOKUP($A1378,'2022-23 Salary &amp; Benefits'!$A:$I,6,FALSE)</f>
        <v>72728</v>
      </c>
      <c r="V1378" s="22">
        <f t="shared" si="266"/>
        <v>86722.75</v>
      </c>
      <c r="W1378" s="22">
        <f t="shared" si="267"/>
        <v>4769.070000000007</v>
      </c>
      <c r="X1378" s="22">
        <f>'2022-23 Salary &amp; Benefits'!$G$6</f>
        <v>12558.24</v>
      </c>
      <c r="Y1378" s="23">
        <f>'2022-23 Salary &amp; Benefits'!$H$6</f>
        <v>0.2298</v>
      </c>
      <c r="Z1378" s="23">
        <f>'2022-23 Salary &amp; Benefits'!$I$6</f>
        <v>0.22339999999999999</v>
      </c>
      <c r="AA1378" s="22">
        <f t="shared" si="268"/>
        <v>36792.559999999998</v>
      </c>
      <c r="AB1378" s="22">
        <f t="shared" si="269"/>
        <v>1524.86</v>
      </c>
      <c r="AC1378" s="22">
        <f t="shared" si="270"/>
        <v>340.65</v>
      </c>
      <c r="AD1378" s="22">
        <f t="shared" si="272"/>
        <v>1865.5099999999998</v>
      </c>
      <c r="AE1378" s="22">
        <f t="shared" si="273"/>
        <v>130149.89</v>
      </c>
      <c r="AF1378" s="19" t="str">
        <f>VLOOKUP(C1378,'2021-22 School Level AAFTE'!C:N,12,FALSE)</f>
        <v>No</v>
      </c>
    </row>
    <row r="1379" spans="1:32" s="5" customFormat="1">
      <c r="A1379" s="97" t="s">
        <v>2422</v>
      </c>
      <c r="B1379" s="97" t="s">
        <v>1226</v>
      </c>
      <c r="C1379" s="95">
        <v>2999</v>
      </c>
      <c r="D1379" s="95" t="s">
        <v>1228</v>
      </c>
      <c r="E1379" s="129">
        <f>VLOOKUP($C1379,'2021-22 School Level AAFTE'!$C:$Z,11,FALSE)</f>
        <v>0.78306666666666669</v>
      </c>
      <c r="F1379" s="129" t="str">
        <f>VLOOKUP($C1379,'2021-22 School Level AAFTE'!$C:$Z,8,FALSE)</f>
        <v>Yes</v>
      </c>
      <c r="G1379" s="129" t="str">
        <f>VLOOKUP($C1379,'2021-22 School Level AAFTE'!$C:$Z,12,FALSE)</f>
        <v>No</v>
      </c>
      <c r="H1379" s="127">
        <f>VLOOKUP($C1379,'2021-22 School Level AAFTE'!$C:$I,7,FALSE)</f>
        <v>330.31</v>
      </c>
      <c r="I1379" s="112">
        <f>IFERROR(IF(OR(G1379="yes",F1379= "yes"),VLOOKUP(C1379,Summary!$B:$J,6,0),0),0)</f>
        <v>0</v>
      </c>
      <c r="J1379" s="111">
        <f t="shared" si="264"/>
        <v>330.31</v>
      </c>
      <c r="K1379" s="91">
        <f>VLOOKUP($A1379,'2022-23 Salary &amp; Benefits'!$A:$I,3,FALSE)</f>
        <v>1</v>
      </c>
      <c r="L1379" s="91">
        <f>VLOOKUP($A1379,'2022-23 Salary &amp; Benefits'!$A:$I,4,FALSE)</f>
        <v>1</v>
      </c>
      <c r="M1379" s="39">
        <f t="shared" si="271"/>
        <v>330.31</v>
      </c>
      <c r="N1379" s="24">
        <v>15</v>
      </c>
      <c r="O1379" s="26">
        <f t="shared" si="262"/>
        <v>22.020666666666667</v>
      </c>
      <c r="P1379" s="24">
        <v>1.1000000000000001</v>
      </c>
      <c r="Q1379" s="24">
        <v>36</v>
      </c>
      <c r="R1379" s="27">
        <f t="shared" si="263"/>
        <v>872.01840000000004</v>
      </c>
      <c r="S1379" s="102">
        <f t="shared" si="265"/>
        <v>0.96899999999999997</v>
      </c>
      <c r="T1379" s="21">
        <f>VLOOKUP($A1379,'2022-23 Salary &amp; Benefits'!$A:$I,5,FALSE)</f>
        <v>68937</v>
      </c>
      <c r="U1379" s="21">
        <f>VLOOKUP($A1379,'2022-23 Salary &amp; Benefits'!$A:$I,6,FALSE)</f>
        <v>72728</v>
      </c>
      <c r="V1379" s="22">
        <f t="shared" si="266"/>
        <v>66799.95</v>
      </c>
      <c r="W1379" s="22">
        <f t="shared" si="267"/>
        <v>3673.4799999999959</v>
      </c>
      <c r="X1379" s="22">
        <f>'2022-23 Salary &amp; Benefits'!$G$6</f>
        <v>12558.24</v>
      </c>
      <c r="Y1379" s="23">
        <f>'2022-23 Salary &amp; Benefits'!$H$6</f>
        <v>0.2298</v>
      </c>
      <c r="Z1379" s="23">
        <f>'2022-23 Salary &amp; Benefits'!$I$6</f>
        <v>0.22339999999999999</v>
      </c>
      <c r="AA1379" s="22">
        <f t="shared" si="268"/>
        <v>28340.22</v>
      </c>
      <c r="AB1379" s="22">
        <f t="shared" si="269"/>
        <v>1174.56</v>
      </c>
      <c r="AC1379" s="22">
        <f t="shared" si="270"/>
        <v>262.39999999999998</v>
      </c>
      <c r="AD1379" s="22">
        <f t="shared" si="272"/>
        <v>1436.96</v>
      </c>
      <c r="AE1379" s="22">
        <f t="shared" si="273"/>
        <v>100250.61</v>
      </c>
      <c r="AF1379" s="19" t="str">
        <f>VLOOKUP(C1379,'2021-22 School Level AAFTE'!C:N,12,FALSE)</f>
        <v>No</v>
      </c>
    </row>
    <row r="1380" spans="1:32" s="5" customFormat="1">
      <c r="A1380" s="97" t="s">
        <v>2422</v>
      </c>
      <c r="B1380" s="97" t="s">
        <v>1226</v>
      </c>
      <c r="C1380" s="95">
        <v>3051</v>
      </c>
      <c r="D1380" s="95" t="s">
        <v>1229</v>
      </c>
      <c r="E1380" s="129">
        <f>VLOOKUP($C1380,'2021-22 School Level AAFTE'!$C:$Z,11,FALSE)</f>
        <v>0.78733333333333333</v>
      </c>
      <c r="F1380" s="129" t="str">
        <f>VLOOKUP($C1380,'2021-22 School Level AAFTE'!$C:$Z,8,FALSE)</f>
        <v>Yes</v>
      </c>
      <c r="G1380" s="129" t="str">
        <f>VLOOKUP($C1380,'2021-22 School Level AAFTE'!$C:$Z,12,FALSE)</f>
        <v>No</v>
      </c>
      <c r="H1380" s="127">
        <f>VLOOKUP($C1380,'2021-22 School Level AAFTE'!$C:$I,7,FALSE)</f>
        <v>341.43</v>
      </c>
      <c r="I1380" s="112">
        <f>IFERROR(IF(OR(G1380="yes",F1380= "yes"),VLOOKUP(C1380,Summary!$B:$J,6,0),0),0)</f>
        <v>0</v>
      </c>
      <c r="J1380" s="111">
        <f t="shared" si="264"/>
        <v>341.43</v>
      </c>
      <c r="K1380" s="91">
        <f>VLOOKUP($A1380,'2022-23 Salary &amp; Benefits'!$A:$I,3,FALSE)</f>
        <v>1</v>
      </c>
      <c r="L1380" s="91">
        <f>VLOOKUP($A1380,'2022-23 Salary &amp; Benefits'!$A:$I,4,FALSE)</f>
        <v>1</v>
      </c>
      <c r="M1380" s="101">
        <f t="shared" si="271"/>
        <v>341.43</v>
      </c>
      <c r="N1380" s="24">
        <v>15</v>
      </c>
      <c r="O1380" s="26">
        <f t="shared" si="262"/>
        <v>22.762</v>
      </c>
      <c r="P1380" s="24">
        <v>1.1000000000000001</v>
      </c>
      <c r="Q1380" s="24">
        <v>36</v>
      </c>
      <c r="R1380" s="27">
        <f t="shared" si="263"/>
        <v>901.37520000000018</v>
      </c>
      <c r="S1380" s="102">
        <f t="shared" si="265"/>
        <v>1.002</v>
      </c>
      <c r="T1380" s="21">
        <f>VLOOKUP($A1380,'2022-23 Salary &amp; Benefits'!$A:$I,5,FALSE)</f>
        <v>68937</v>
      </c>
      <c r="U1380" s="21">
        <f>VLOOKUP($A1380,'2022-23 Salary &amp; Benefits'!$A:$I,6,FALSE)</f>
        <v>72728</v>
      </c>
      <c r="V1380" s="22">
        <f t="shared" si="266"/>
        <v>69074.87</v>
      </c>
      <c r="W1380" s="22">
        <f t="shared" si="267"/>
        <v>3798.5900000000111</v>
      </c>
      <c r="X1380" s="22">
        <f>'2022-23 Salary &amp; Benefits'!$G$6</f>
        <v>12558.24</v>
      </c>
      <c r="Y1380" s="23">
        <f>'2022-23 Salary &amp; Benefits'!$H$6</f>
        <v>0.2298</v>
      </c>
      <c r="Z1380" s="23">
        <f>'2022-23 Salary &amp; Benefits'!$I$6</f>
        <v>0.22339999999999999</v>
      </c>
      <c r="AA1380" s="22">
        <f t="shared" si="268"/>
        <v>29305.37</v>
      </c>
      <c r="AB1380" s="22">
        <f t="shared" si="269"/>
        <v>1214.56</v>
      </c>
      <c r="AC1380" s="22">
        <f t="shared" si="270"/>
        <v>271.33</v>
      </c>
      <c r="AD1380" s="22">
        <f t="shared" si="272"/>
        <v>1485.8899999999999</v>
      </c>
      <c r="AE1380" s="22">
        <f t="shared" si="273"/>
        <v>103664.72</v>
      </c>
      <c r="AF1380" s="19" t="str">
        <f>VLOOKUP(C1380,'2021-22 School Level AAFTE'!C:N,12,FALSE)</f>
        <v>No</v>
      </c>
    </row>
    <row r="1381" spans="1:32" s="5" customFormat="1">
      <c r="A1381" s="97" t="s">
        <v>2422</v>
      </c>
      <c r="B1381" s="97" t="s">
        <v>1226</v>
      </c>
      <c r="C1381" s="95">
        <v>4237</v>
      </c>
      <c r="D1381" s="95" t="s">
        <v>1230</v>
      </c>
      <c r="E1381" s="129">
        <f>VLOOKUP($C1381,'2021-22 School Level AAFTE'!$C:$Z,11,FALSE)</f>
        <v>0.73593333333333344</v>
      </c>
      <c r="F1381" s="129" t="str">
        <f>VLOOKUP($C1381,'2021-22 School Level AAFTE'!$C:$Z,8,FALSE)</f>
        <v>Yes</v>
      </c>
      <c r="G1381" s="129" t="str">
        <f>VLOOKUP($C1381,'2021-22 School Level AAFTE'!$C:$Z,12,FALSE)</f>
        <v>No</v>
      </c>
      <c r="H1381" s="127">
        <f>VLOOKUP($C1381,'2021-22 School Level AAFTE'!$C:$I,7,FALSE)</f>
        <v>356.37</v>
      </c>
      <c r="I1381" s="112">
        <f>IFERROR(IF(OR(G1381="yes",F1381= "yes"),VLOOKUP(C1381,Summary!$B:$J,6,0),0),0)</f>
        <v>0</v>
      </c>
      <c r="J1381" s="111">
        <f t="shared" si="264"/>
        <v>356.37</v>
      </c>
      <c r="K1381" s="91">
        <f>VLOOKUP($A1381,'2022-23 Salary &amp; Benefits'!$A:$I,3,FALSE)</f>
        <v>1</v>
      </c>
      <c r="L1381" s="91">
        <f>VLOOKUP($A1381,'2022-23 Salary &amp; Benefits'!$A:$I,4,FALSE)</f>
        <v>1</v>
      </c>
      <c r="M1381" s="101">
        <f t="shared" si="271"/>
        <v>356.37</v>
      </c>
      <c r="N1381" s="24">
        <v>15</v>
      </c>
      <c r="O1381" s="26">
        <f t="shared" si="262"/>
        <v>23.757999999999999</v>
      </c>
      <c r="P1381" s="24">
        <v>1.1000000000000001</v>
      </c>
      <c r="Q1381" s="24">
        <v>36</v>
      </c>
      <c r="R1381" s="27">
        <f t="shared" si="263"/>
        <v>940.81680000000006</v>
      </c>
      <c r="S1381" s="102">
        <f t="shared" si="265"/>
        <v>1.0449999999999999</v>
      </c>
      <c r="T1381" s="21">
        <f>VLOOKUP($A1381,'2022-23 Salary &amp; Benefits'!$A:$I,5,FALSE)</f>
        <v>68937</v>
      </c>
      <c r="U1381" s="21">
        <f>VLOOKUP($A1381,'2022-23 Salary &amp; Benefits'!$A:$I,6,FALSE)</f>
        <v>72728</v>
      </c>
      <c r="V1381" s="22">
        <f t="shared" si="266"/>
        <v>72039.17</v>
      </c>
      <c r="W1381" s="22">
        <f t="shared" si="267"/>
        <v>3961.5899999999965</v>
      </c>
      <c r="X1381" s="22">
        <f>'2022-23 Salary &amp; Benefits'!$G$6</f>
        <v>12558.24</v>
      </c>
      <c r="Y1381" s="23">
        <f>'2022-23 Salary &amp; Benefits'!$H$6</f>
        <v>0.2298</v>
      </c>
      <c r="Z1381" s="23">
        <f>'2022-23 Salary &amp; Benefits'!$I$6</f>
        <v>0.22339999999999999</v>
      </c>
      <c r="AA1381" s="22">
        <f t="shared" si="268"/>
        <v>30562.98</v>
      </c>
      <c r="AB1381" s="22">
        <f t="shared" si="269"/>
        <v>1266.68</v>
      </c>
      <c r="AC1381" s="22">
        <f t="shared" si="270"/>
        <v>282.98</v>
      </c>
      <c r="AD1381" s="22">
        <f t="shared" si="272"/>
        <v>1549.66</v>
      </c>
      <c r="AE1381" s="22">
        <f t="shared" si="273"/>
        <v>108113.4</v>
      </c>
      <c r="AF1381" s="19" t="str">
        <f>VLOOKUP(C1381,'2021-22 School Level AAFTE'!C:N,12,FALSE)</f>
        <v>No</v>
      </c>
    </row>
    <row r="1382" spans="1:32" s="5" customFormat="1">
      <c r="A1382" s="97" t="s">
        <v>2422</v>
      </c>
      <c r="B1382" s="97" t="s">
        <v>1226</v>
      </c>
      <c r="C1382" s="95">
        <v>4278</v>
      </c>
      <c r="D1382" s="95" t="s">
        <v>1231</v>
      </c>
      <c r="E1382" s="129">
        <f>VLOOKUP($C1382,'2021-22 School Level AAFTE'!$C:$Z,11,FALSE)</f>
        <v>0.88719999999999999</v>
      </c>
      <c r="F1382" s="129" t="str">
        <f>VLOOKUP($C1382,'2021-22 School Level AAFTE'!$C:$Z,8,FALSE)</f>
        <v>Yes</v>
      </c>
      <c r="G1382" s="129" t="str">
        <f>VLOOKUP($C1382,'2021-22 School Level AAFTE'!$C:$Z,12,FALSE)</f>
        <v>No</v>
      </c>
      <c r="H1382" s="127">
        <f>VLOOKUP($C1382,'2021-22 School Level AAFTE'!$C:$I,7,FALSE)</f>
        <v>142.57</v>
      </c>
      <c r="I1382" s="112">
        <f>IFERROR(IF(OR(G1382="yes",F1382= "yes"),VLOOKUP(C1382,Summary!$B:$J,6,0),0),0)</f>
        <v>0</v>
      </c>
      <c r="J1382" s="111">
        <f t="shared" si="264"/>
        <v>142.57</v>
      </c>
      <c r="K1382" s="91">
        <f>VLOOKUP($A1382,'2022-23 Salary &amp; Benefits'!$A:$I,3,FALSE)</f>
        <v>1</v>
      </c>
      <c r="L1382" s="91">
        <f>VLOOKUP($A1382,'2022-23 Salary &amp; Benefits'!$A:$I,4,FALSE)</f>
        <v>1</v>
      </c>
      <c r="M1382" s="101">
        <f t="shared" si="271"/>
        <v>142.57</v>
      </c>
      <c r="N1382" s="24">
        <v>15</v>
      </c>
      <c r="O1382" s="26">
        <f t="shared" si="262"/>
        <v>9.504666666666667</v>
      </c>
      <c r="P1382" s="24">
        <v>1.1000000000000001</v>
      </c>
      <c r="Q1382" s="24">
        <v>36</v>
      </c>
      <c r="R1382" s="27">
        <f t="shared" si="263"/>
        <v>376.38480000000004</v>
      </c>
      <c r="S1382" s="102">
        <f t="shared" si="265"/>
        <v>0.41799999999999998</v>
      </c>
      <c r="T1382" s="21">
        <f>VLOOKUP($A1382,'2022-23 Salary &amp; Benefits'!$A:$I,5,FALSE)</f>
        <v>68937</v>
      </c>
      <c r="U1382" s="21">
        <f>VLOOKUP($A1382,'2022-23 Salary &amp; Benefits'!$A:$I,6,FALSE)</f>
        <v>72728</v>
      </c>
      <c r="V1382" s="22">
        <f t="shared" si="266"/>
        <v>28815.67</v>
      </c>
      <c r="W1382" s="22">
        <f t="shared" si="267"/>
        <v>1584.630000000001</v>
      </c>
      <c r="X1382" s="22">
        <f>'2022-23 Salary &amp; Benefits'!$G$6</f>
        <v>12558.24</v>
      </c>
      <c r="Y1382" s="23">
        <f>'2022-23 Salary &amp; Benefits'!$H$6</f>
        <v>0.2298</v>
      </c>
      <c r="Z1382" s="23">
        <f>'2022-23 Salary &amp; Benefits'!$I$6</f>
        <v>0.22339999999999999</v>
      </c>
      <c r="AA1382" s="22">
        <f t="shared" si="268"/>
        <v>12225.19</v>
      </c>
      <c r="AB1382" s="22">
        <f t="shared" si="269"/>
        <v>506.67</v>
      </c>
      <c r="AC1382" s="22">
        <f t="shared" si="270"/>
        <v>113.19</v>
      </c>
      <c r="AD1382" s="22">
        <f t="shared" si="272"/>
        <v>619.86</v>
      </c>
      <c r="AE1382" s="22">
        <f t="shared" si="273"/>
        <v>43245.350000000006</v>
      </c>
      <c r="AF1382" s="19" t="str">
        <f>VLOOKUP(C1382,'2021-22 School Level AAFTE'!C:N,12,FALSE)</f>
        <v>No</v>
      </c>
    </row>
    <row r="1383" spans="1:32" s="5" customFormat="1">
      <c r="A1383" s="97" t="s">
        <v>2422</v>
      </c>
      <c r="B1383" s="97" t="s">
        <v>1226</v>
      </c>
      <c r="C1383" s="95">
        <v>4279</v>
      </c>
      <c r="D1383" s="95" t="s">
        <v>1232</v>
      </c>
      <c r="E1383" s="129">
        <f>VLOOKUP($C1383,'2021-22 School Level AAFTE'!$C:$Z,11,FALSE)</f>
        <v>0.68056666666666665</v>
      </c>
      <c r="F1383" s="129" t="str">
        <f>VLOOKUP($C1383,'2021-22 School Level AAFTE'!$C:$Z,8,FALSE)</f>
        <v>Yes</v>
      </c>
      <c r="G1383" s="129" t="str">
        <f>VLOOKUP($C1383,'2021-22 School Level AAFTE'!$C:$Z,12,FALSE)</f>
        <v>No</v>
      </c>
      <c r="H1383" s="127">
        <f>VLOOKUP($C1383,'2021-22 School Level AAFTE'!$C:$I,7,FALSE)</f>
        <v>26.85</v>
      </c>
      <c r="I1383" s="112">
        <f>IFERROR(IF(OR(G1383="yes",F1383= "yes"),VLOOKUP(C1383,Summary!$B:$J,6,0),0),0)</f>
        <v>0</v>
      </c>
      <c r="J1383" s="111">
        <f t="shared" si="264"/>
        <v>26.85</v>
      </c>
      <c r="K1383" s="91">
        <f>VLOOKUP($A1383,'2022-23 Salary &amp; Benefits'!$A:$I,3,FALSE)</f>
        <v>1</v>
      </c>
      <c r="L1383" s="91">
        <f>VLOOKUP($A1383,'2022-23 Salary &amp; Benefits'!$A:$I,4,FALSE)</f>
        <v>1</v>
      </c>
      <c r="M1383" s="39">
        <f t="shared" si="271"/>
        <v>26.85</v>
      </c>
      <c r="N1383" s="24">
        <v>15</v>
      </c>
      <c r="O1383" s="26">
        <f t="shared" si="262"/>
        <v>1.79</v>
      </c>
      <c r="P1383" s="24">
        <v>1.1000000000000001</v>
      </c>
      <c r="Q1383" s="24">
        <v>36</v>
      </c>
      <c r="R1383" s="27">
        <f t="shared" si="263"/>
        <v>70.884000000000015</v>
      </c>
      <c r="S1383" s="102">
        <f t="shared" si="265"/>
        <v>7.9000000000000001E-2</v>
      </c>
      <c r="T1383" s="21">
        <f>VLOOKUP($A1383,'2022-23 Salary &amp; Benefits'!$A:$I,5,FALSE)</f>
        <v>68937</v>
      </c>
      <c r="U1383" s="21">
        <f>VLOOKUP($A1383,'2022-23 Salary &amp; Benefits'!$A:$I,6,FALSE)</f>
        <v>72728</v>
      </c>
      <c r="V1383" s="22">
        <f t="shared" si="266"/>
        <v>5446.02</v>
      </c>
      <c r="W1383" s="22">
        <f t="shared" si="267"/>
        <v>299.48999999999978</v>
      </c>
      <c r="X1383" s="22">
        <f>'2022-23 Salary &amp; Benefits'!$G$6</f>
        <v>12558.24</v>
      </c>
      <c r="Y1383" s="23">
        <f>'2022-23 Salary &amp; Benefits'!$H$6</f>
        <v>0.2298</v>
      </c>
      <c r="Z1383" s="23">
        <f>'2022-23 Salary &amp; Benefits'!$I$6</f>
        <v>0.22339999999999999</v>
      </c>
      <c r="AA1383" s="22">
        <f t="shared" si="268"/>
        <v>2310.5</v>
      </c>
      <c r="AB1383" s="22">
        <f t="shared" si="269"/>
        <v>95.76</v>
      </c>
      <c r="AC1383" s="22">
        <f t="shared" si="270"/>
        <v>21.39</v>
      </c>
      <c r="AD1383" s="22">
        <f t="shared" si="272"/>
        <v>117.15</v>
      </c>
      <c r="AE1383" s="22">
        <f t="shared" si="273"/>
        <v>8173.16</v>
      </c>
      <c r="AF1383" s="19" t="str">
        <f>VLOOKUP(C1383,'2021-22 School Level AAFTE'!C:N,12,FALSE)</f>
        <v>No</v>
      </c>
    </row>
    <row r="1384" spans="1:32" s="5" customFormat="1">
      <c r="A1384" s="97" t="s">
        <v>2422</v>
      </c>
      <c r="B1384" s="97" t="s">
        <v>1226</v>
      </c>
      <c r="C1384" s="95">
        <v>5195</v>
      </c>
      <c r="D1384" s="95" t="s">
        <v>1233</v>
      </c>
      <c r="E1384" s="129">
        <f>VLOOKUP($C1384,'2021-22 School Level AAFTE'!$C:$Z,11,FALSE)</f>
        <v>0.50816666666666677</v>
      </c>
      <c r="F1384" s="129" t="str">
        <f>VLOOKUP($C1384,'2021-22 School Level AAFTE'!$C:$Z,8,FALSE)</f>
        <v>Yes</v>
      </c>
      <c r="G1384" s="129" t="str">
        <f>VLOOKUP($C1384,'2021-22 School Level AAFTE'!$C:$Z,12,FALSE)</f>
        <v>No</v>
      </c>
      <c r="H1384" s="127">
        <f>VLOOKUP($C1384,'2021-22 School Level AAFTE'!$C:$I,7,FALSE)</f>
        <v>2047.11</v>
      </c>
      <c r="I1384" s="112">
        <f>IFERROR(IF(OR(G1384="yes",F1384= "yes"),VLOOKUP(C1384,Summary!$B:$J,6,0),0),0)</f>
        <v>0</v>
      </c>
      <c r="J1384" s="111">
        <f t="shared" si="264"/>
        <v>2047.11</v>
      </c>
      <c r="K1384" s="91">
        <f>VLOOKUP($A1384,'2022-23 Salary &amp; Benefits'!$A:$I,3,FALSE)</f>
        <v>1</v>
      </c>
      <c r="L1384" s="91">
        <f>VLOOKUP($A1384,'2022-23 Salary &amp; Benefits'!$A:$I,4,FALSE)</f>
        <v>1</v>
      </c>
      <c r="M1384" s="101">
        <f t="shared" si="271"/>
        <v>2047.11</v>
      </c>
      <c r="N1384" s="24">
        <v>15</v>
      </c>
      <c r="O1384" s="26">
        <f t="shared" si="262"/>
        <v>136.47399999999999</v>
      </c>
      <c r="P1384" s="24">
        <v>1.1000000000000001</v>
      </c>
      <c r="Q1384" s="24">
        <v>36</v>
      </c>
      <c r="R1384" s="27">
        <f t="shared" si="263"/>
        <v>5404.3703999999998</v>
      </c>
      <c r="S1384" s="102">
        <f t="shared" si="265"/>
        <v>6.0049999999999999</v>
      </c>
      <c r="T1384" s="21">
        <f>VLOOKUP($A1384,'2022-23 Salary &amp; Benefits'!$A:$I,5,FALSE)</f>
        <v>68937</v>
      </c>
      <c r="U1384" s="21">
        <f>VLOOKUP($A1384,'2022-23 Salary &amp; Benefits'!$A:$I,6,FALSE)</f>
        <v>72728</v>
      </c>
      <c r="V1384" s="22">
        <f t="shared" si="266"/>
        <v>413966.69</v>
      </c>
      <c r="W1384" s="22">
        <f t="shared" si="267"/>
        <v>22764.950000000012</v>
      </c>
      <c r="X1384" s="22">
        <f>'2022-23 Salary &amp; Benefits'!$G$6</f>
        <v>12558.24</v>
      </c>
      <c r="Y1384" s="23">
        <f>'2022-23 Salary &amp; Benefits'!$H$6</f>
        <v>0.2298</v>
      </c>
      <c r="Z1384" s="23">
        <f>'2022-23 Salary &amp; Benefits'!$I$6</f>
        <v>0.22339999999999999</v>
      </c>
      <c r="AA1384" s="22">
        <f t="shared" si="268"/>
        <v>175627.47</v>
      </c>
      <c r="AB1384" s="22">
        <f t="shared" si="269"/>
        <v>7278.86</v>
      </c>
      <c r="AC1384" s="22">
        <f t="shared" si="270"/>
        <v>1626.1</v>
      </c>
      <c r="AD1384" s="22">
        <f t="shared" si="272"/>
        <v>8904.9599999999991</v>
      </c>
      <c r="AE1384" s="22">
        <f t="shared" si="273"/>
        <v>621264.07000000007</v>
      </c>
      <c r="AF1384" s="19" t="str">
        <f>VLOOKUP(C1384,'2021-22 School Level AAFTE'!C:N,12,FALSE)</f>
        <v>No</v>
      </c>
    </row>
    <row r="1385" spans="1:32" s="5" customFormat="1">
      <c r="A1385" s="97" t="s">
        <v>2422</v>
      </c>
      <c r="B1385" s="97" t="s">
        <v>1226</v>
      </c>
      <c r="C1385" s="95">
        <v>5196</v>
      </c>
      <c r="D1385" s="95" t="s">
        <v>1234</v>
      </c>
      <c r="E1385" s="129">
        <f>VLOOKUP($C1385,'2021-22 School Level AAFTE'!$C:$Z,11,FALSE)</f>
        <v>0.49256666666666665</v>
      </c>
      <c r="F1385" s="129" t="str">
        <f>VLOOKUP($C1385,'2021-22 School Level AAFTE'!$C:$Z,8,FALSE)</f>
        <v>No</v>
      </c>
      <c r="G1385" s="129" t="str">
        <f>VLOOKUP($C1385,'2021-22 School Level AAFTE'!$C:$Z,12,FALSE)</f>
        <v>No</v>
      </c>
      <c r="H1385" s="127">
        <f>VLOOKUP($C1385,'2021-22 School Level AAFTE'!$C:$I,7,FALSE)</f>
        <v>1477.3</v>
      </c>
      <c r="I1385" s="112">
        <f>IFERROR(IF(OR(G1385="yes",F1385= "yes"),VLOOKUP(C1385,Summary!$B:$J,6,0),0),0)</f>
        <v>0</v>
      </c>
      <c r="J1385" s="111">
        <f t="shared" si="264"/>
        <v>0</v>
      </c>
      <c r="K1385" s="91">
        <f>VLOOKUP($A1385,'2022-23 Salary &amp; Benefits'!$A:$I,3,FALSE)</f>
        <v>1</v>
      </c>
      <c r="L1385" s="91">
        <f>VLOOKUP($A1385,'2022-23 Salary &amp; Benefits'!$A:$I,4,FALSE)</f>
        <v>1</v>
      </c>
      <c r="M1385" s="101">
        <f t="shared" si="271"/>
        <v>0</v>
      </c>
      <c r="N1385" s="24">
        <v>15</v>
      </c>
      <c r="O1385" s="26">
        <f t="shared" si="262"/>
        <v>0</v>
      </c>
      <c r="P1385" s="24">
        <v>1.1000000000000001</v>
      </c>
      <c r="Q1385" s="24">
        <v>36</v>
      </c>
      <c r="R1385" s="27">
        <f t="shared" si="263"/>
        <v>0</v>
      </c>
      <c r="S1385" s="102">
        <f t="shared" si="265"/>
        <v>0</v>
      </c>
      <c r="T1385" s="21">
        <f>VLOOKUP($A1385,'2022-23 Salary &amp; Benefits'!$A:$I,5,FALSE)</f>
        <v>68937</v>
      </c>
      <c r="U1385" s="21">
        <f>VLOOKUP($A1385,'2022-23 Salary &amp; Benefits'!$A:$I,6,FALSE)</f>
        <v>72728</v>
      </c>
      <c r="V1385" s="22">
        <f t="shared" si="266"/>
        <v>0</v>
      </c>
      <c r="W1385" s="22">
        <f t="shared" si="267"/>
        <v>0</v>
      </c>
      <c r="X1385" s="22">
        <f>'2022-23 Salary &amp; Benefits'!$G$6</f>
        <v>12558.24</v>
      </c>
      <c r="Y1385" s="23">
        <f>'2022-23 Salary &amp; Benefits'!$H$6</f>
        <v>0.2298</v>
      </c>
      <c r="Z1385" s="23">
        <f>'2022-23 Salary &amp; Benefits'!$I$6</f>
        <v>0.22339999999999999</v>
      </c>
      <c r="AA1385" s="22">
        <f t="shared" si="268"/>
        <v>0</v>
      </c>
      <c r="AB1385" s="22">
        <f t="shared" si="269"/>
        <v>0</v>
      </c>
      <c r="AC1385" s="22">
        <f t="shared" si="270"/>
        <v>0</v>
      </c>
      <c r="AD1385" s="22">
        <f t="shared" si="272"/>
        <v>0</v>
      </c>
      <c r="AE1385" s="22">
        <f t="shared" si="273"/>
        <v>0</v>
      </c>
      <c r="AF1385" s="19" t="str">
        <f>VLOOKUP(C1385,'2021-22 School Level AAFTE'!C:N,12,FALSE)</f>
        <v>No</v>
      </c>
    </row>
    <row r="1386" spans="1:32" s="5" customFormat="1">
      <c r="A1386" s="97" t="s">
        <v>2422</v>
      </c>
      <c r="B1386" s="97" t="s">
        <v>1226</v>
      </c>
      <c r="C1386" s="95">
        <v>5197</v>
      </c>
      <c r="D1386" s="95" t="s">
        <v>1235</v>
      </c>
      <c r="E1386" s="129">
        <f>VLOOKUP($C1386,'2021-22 School Level AAFTE'!$C:$Z,11,FALSE)</f>
        <v>0.5580666666666666</v>
      </c>
      <c r="F1386" s="129" t="str">
        <f>VLOOKUP($C1386,'2021-22 School Level AAFTE'!$C:$Z,8,FALSE)</f>
        <v>Yes</v>
      </c>
      <c r="G1386" s="129" t="str">
        <f>VLOOKUP($C1386,'2021-22 School Level AAFTE'!$C:$Z,12,FALSE)</f>
        <v>No</v>
      </c>
      <c r="H1386" s="127">
        <f>VLOOKUP($C1386,'2021-22 School Level AAFTE'!$C:$I,7,FALSE)</f>
        <v>1485.16</v>
      </c>
      <c r="I1386" s="112">
        <f>IFERROR(IF(OR(G1386="yes",F1386= "yes"),VLOOKUP(C1386,Summary!$B:$J,6,0),0),0)</f>
        <v>0</v>
      </c>
      <c r="J1386" s="111">
        <f t="shared" si="264"/>
        <v>1485.16</v>
      </c>
      <c r="K1386" s="91">
        <f>VLOOKUP($A1386,'2022-23 Salary &amp; Benefits'!$A:$I,3,FALSE)</f>
        <v>1</v>
      </c>
      <c r="L1386" s="91">
        <f>VLOOKUP($A1386,'2022-23 Salary &amp; Benefits'!$A:$I,4,FALSE)</f>
        <v>1</v>
      </c>
      <c r="M1386" s="101">
        <f t="shared" si="271"/>
        <v>1485.16</v>
      </c>
      <c r="N1386" s="24">
        <v>15</v>
      </c>
      <c r="O1386" s="26">
        <f t="shared" si="262"/>
        <v>99.010666666666665</v>
      </c>
      <c r="P1386" s="24">
        <v>1.1000000000000001</v>
      </c>
      <c r="Q1386" s="24">
        <v>36</v>
      </c>
      <c r="R1386" s="27">
        <f t="shared" si="263"/>
        <v>3920.8224000000005</v>
      </c>
      <c r="S1386" s="102">
        <f t="shared" si="265"/>
        <v>4.3559999999999999</v>
      </c>
      <c r="T1386" s="21">
        <f>VLOOKUP($A1386,'2022-23 Salary &amp; Benefits'!$A:$I,5,FALSE)</f>
        <v>68937</v>
      </c>
      <c r="U1386" s="21">
        <f>VLOOKUP($A1386,'2022-23 Salary &amp; Benefits'!$A:$I,6,FALSE)</f>
        <v>72728</v>
      </c>
      <c r="V1386" s="22">
        <f t="shared" si="266"/>
        <v>300289.57</v>
      </c>
      <c r="W1386" s="22">
        <f t="shared" si="267"/>
        <v>16513.599999999977</v>
      </c>
      <c r="X1386" s="22">
        <f>'2022-23 Salary &amp; Benefits'!$G$6</f>
        <v>12558.24</v>
      </c>
      <c r="Y1386" s="23">
        <f>'2022-23 Salary &amp; Benefits'!$H$6</f>
        <v>0.2298</v>
      </c>
      <c r="Z1386" s="23">
        <f>'2022-23 Salary &amp; Benefits'!$I$6</f>
        <v>0.22339999999999999</v>
      </c>
      <c r="AA1386" s="22">
        <f t="shared" si="268"/>
        <v>127399.37</v>
      </c>
      <c r="AB1386" s="22">
        <f t="shared" si="269"/>
        <v>5280.05</v>
      </c>
      <c r="AC1386" s="22">
        <f t="shared" si="270"/>
        <v>1179.56</v>
      </c>
      <c r="AD1386" s="22">
        <f t="shared" si="272"/>
        <v>6459.6100000000006</v>
      </c>
      <c r="AE1386" s="22">
        <f t="shared" si="273"/>
        <v>450662.14999999997</v>
      </c>
      <c r="AF1386" s="19" t="str">
        <f>VLOOKUP(C1386,'2021-22 School Level AAFTE'!C:N,12,FALSE)</f>
        <v>No</v>
      </c>
    </row>
    <row r="1387" spans="1:32" s="5" customFormat="1">
      <c r="A1387" s="97" t="s">
        <v>2401</v>
      </c>
      <c r="B1387" s="97" t="s">
        <v>1160</v>
      </c>
      <c r="C1387" s="95">
        <v>2331</v>
      </c>
      <c r="D1387" s="95" t="s">
        <v>1161</v>
      </c>
      <c r="E1387" s="129">
        <f>VLOOKUP($C1387,'2021-22 School Level AAFTE'!$C:$Z,11,FALSE)</f>
        <v>0.54763333333333331</v>
      </c>
      <c r="F1387" s="129" t="str">
        <f>VLOOKUP($C1387,'2021-22 School Level AAFTE'!$C:$Z,8,FALSE)</f>
        <v>Yes</v>
      </c>
      <c r="G1387" s="129" t="str">
        <f>VLOOKUP($C1387,'2021-22 School Level AAFTE'!$C:$Z,12,FALSE)</f>
        <v>No</v>
      </c>
      <c r="H1387" s="127">
        <f>VLOOKUP($C1387,'2021-22 School Level AAFTE'!$C:$I,7,FALSE)</f>
        <v>272.57</v>
      </c>
      <c r="I1387" s="112">
        <f>IFERROR(IF(OR(G1387="yes",F1387= "yes"),VLOOKUP(C1387,Summary!$B:$J,6,0),0),0)</f>
        <v>0</v>
      </c>
      <c r="J1387" s="111">
        <f t="shared" si="264"/>
        <v>272.57</v>
      </c>
      <c r="K1387" s="91">
        <f>VLOOKUP($A1387,'2022-23 Salary &amp; Benefits'!$A:$I,3,FALSE)</f>
        <v>1</v>
      </c>
      <c r="L1387" s="91">
        <f>VLOOKUP($A1387,'2022-23 Salary &amp; Benefits'!$A:$I,4,FALSE)</f>
        <v>1</v>
      </c>
      <c r="M1387" s="101">
        <f t="shared" si="271"/>
        <v>272.57</v>
      </c>
      <c r="N1387" s="24">
        <v>15</v>
      </c>
      <c r="O1387" s="26">
        <f t="shared" si="262"/>
        <v>18.171333333333333</v>
      </c>
      <c r="P1387" s="24">
        <v>1.1000000000000001</v>
      </c>
      <c r="Q1387" s="24">
        <v>36</v>
      </c>
      <c r="R1387" s="27">
        <f t="shared" si="263"/>
        <v>719.58480000000009</v>
      </c>
      <c r="S1387" s="102">
        <f t="shared" si="265"/>
        <v>0.8</v>
      </c>
      <c r="T1387" s="21">
        <f>VLOOKUP($A1387,'2022-23 Salary &amp; Benefits'!$A:$I,5,FALSE)</f>
        <v>68937</v>
      </c>
      <c r="U1387" s="21">
        <f>VLOOKUP($A1387,'2022-23 Salary &amp; Benefits'!$A:$I,6,FALSE)</f>
        <v>72728</v>
      </c>
      <c r="V1387" s="22">
        <f t="shared" si="266"/>
        <v>55149.599999999999</v>
      </c>
      <c r="W1387" s="22">
        <f t="shared" si="267"/>
        <v>3032.8000000000029</v>
      </c>
      <c r="X1387" s="22">
        <f>'2022-23 Salary &amp; Benefits'!$G$6</f>
        <v>12558.24</v>
      </c>
      <c r="Y1387" s="23">
        <f>'2022-23 Salary &amp; Benefits'!$H$6</f>
        <v>0.2298</v>
      </c>
      <c r="Z1387" s="23">
        <f>'2022-23 Salary &amp; Benefits'!$I$6</f>
        <v>0.22339999999999999</v>
      </c>
      <c r="AA1387" s="22">
        <f t="shared" si="268"/>
        <v>23397.5</v>
      </c>
      <c r="AB1387" s="22">
        <f t="shared" si="269"/>
        <v>969.71</v>
      </c>
      <c r="AC1387" s="22">
        <f t="shared" si="270"/>
        <v>216.63</v>
      </c>
      <c r="AD1387" s="22">
        <f t="shared" si="272"/>
        <v>1186.3400000000001</v>
      </c>
      <c r="AE1387" s="22">
        <f t="shared" si="273"/>
        <v>82766.240000000005</v>
      </c>
      <c r="AF1387" s="19" t="str">
        <f>VLOOKUP(C1387,'2021-22 School Level AAFTE'!C:N,12,FALSE)</f>
        <v>No</v>
      </c>
    </row>
    <row r="1388" spans="1:32" s="5" customFormat="1">
      <c r="A1388" s="97" t="s">
        <v>2401</v>
      </c>
      <c r="B1388" s="97" t="s">
        <v>1160</v>
      </c>
      <c r="C1388" s="95">
        <v>3239</v>
      </c>
      <c r="D1388" s="95" t="s">
        <v>1162</v>
      </c>
      <c r="E1388" s="129">
        <f>VLOOKUP($C1388,'2021-22 School Level AAFTE'!$C:$Z,11,FALSE)</f>
        <v>0.57416666666666671</v>
      </c>
      <c r="F1388" s="129" t="str">
        <f>VLOOKUP($C1388,'2021-22 School Level AAFTE'!$C:$Z,8,FALSE)</f>
        <v>Yes</v>
      </c>
      <c r="G1388" s="129" t="str">
        <f>VLOOKUP($C1388,'2021-22 School Level AAFTE'!$C:$Z,12,FALSE)</f>
        <v>No</v>
      </c>
      <c r="H1388" s="127">
        <f>VLOOKUP($C1388,'2021-22 School Level AAFTE'!$C:$I,7,FALSE)</f>
        <v>343.43</v>
      </c>
      <c r="I1388" s="112">
        <f>IFERROR(IF(OR(G1388="yes",F1388= "yes"),VLOOKUP(C1388,Summary!$B:$J,6,0),0),0)</f>
        <v>0</v>
      </c>
      <c r="J1388" s="111">
        <f t="shared" si="264"/>
        <v>343.43</v>
      </c>
      <c r="K1388" s="91">
        <f>VLOOKUP($A1388,'2022-23 Salary &amp; Benefits'!$A:$I,3,FALSE)</f>
        <v>1</v>
      </c>
      <c r="L1388" s="91">
        <f>VLOOKUP($A1388,'2022-23 Salary &amp; Benefits'!$A:$I,4,FALSE)</f>
        <v>1</v>
      </c>
      <c r="M1388" s="101">
        <f t="shared" si="271"/>
        <v>343.43</v>
      </c>
      <c r="N1388" s="24">
        <v>15</v>
      </c>
      <c r="O1388" s="26">
        <f t="shared" si="262"/>
        <v>22.895333333333333</v>
      </c>
      <c r="P1388" s="24">
        <v>1.1000000000000001</v>
      </c>
      <c r="Q1388" s="24">
        <v>36</v>
      </c>
      <c r="R1388" s="27">
        <f t="shared" si="263"/>
        <v>906.65520000000004</v>
      </c>
      <c r="S1388" s="102">
        <f t="shared" si="265"/>
        <v>1.0069999999999999</v>
      </c>
      <c r="T1388" s="21">
        <f>VLOOKUP($A1388,'2022-23 Salary &amp; Benefits'!$A:$I,5,FALSE)</f>
        <v>68937</v>
      </c>
      <c r="U1388" s="21">
        <f>VLOOKUP($A1388,'2022-23 Salary &amp; Benefits'!$A:$I,6,FALSE)</f>
        <v>72728</v>
      </c>
      <c r="V1388" s="22">
        <f t="shared" si="266"/>
        <v>69419.56</v>
      </c>
      <c r="W1388" s="22">
        <f t="shared" si="267"/>
        <v>3817.5400000000081</v>
      </c>
      <c r="X1388" s="22">
        <f>'2022-23 Salary &amp; Benefits'!$G$6</f>
        <v>12558.24</v>
      </c>
      <c r="Y1388" s="23">
        <f>'2022-23 Salary &amp; Benefits'!$H$6</f>
        <v>0.2298</v>
      </c>
      <c r="Z1388" s="23">
        <f>'2022-23 Salary &amp; Benefits'!$I$6</f>
        <v>0.22339999999999999</v>
      </c>
      <c r="AA1388" s="22">
        <f t="shared" si="268"/>
        <v>29451.599999999999</v>
      </c>
      <c r="AB1388" s="22">
        <f t="shared" si="269"/>
        <v>1220.6199999999999</v>
      </c>
      <c r="AC1388" s="22">
        <f t="shared" si="270"/>
        <v>272.69</v>
      </c>
      <c r="AD1388" s="22">
        <f t="shared" si="272"/>
        <v>1493.31</v>
      </c>
      <c r="AE1388" s="22">
        <f t="shared" si="273"/>
        <v>104182.01000000001</v>
      </c>
      <c r="AF1388" s="19" t="str">
        <f>VLOOKUP(C1388,'2021-22 School Level AAFTE'!C:N,12,FALSE)</f>
        <v>No</v>
      </c>
    </row>
    <row r="1389" spans="1:32" s="5" customFormat="1">
      <c r="A1389" s="97" t="s">
        <v>2401</v>
      </c>
      <c r="B1389" s="97" t="s">
        <v>1160</v>
      </c>
      <c r="C1389" s="95">
        <v>4335</v>
      </c>
      <c r="D1389" s="95" t="s">
        <v>1163</v>
      </c>
      <c r="E1389" s="129">
        <f>VLOOKUP($C1389,'2021-22 School Level AAFTE'!$C:$Z,11,FALSE)</f>
        <v>0.55383333333333329</v>
      </c>
      <c r="F1389" s="129" t="str">
        <f>VLOOKUP($C1389,'2021-22 School Level AAFTE'!$C:$Z,8,FALSE)</f>
        <v>Yes</v>
      </c>
      <c r="G1389" s="129" t="str">
        <f>VLOOKUP($C1389,'2021-22 School Level AAFTE'!$C:$Z,12,FALSE)</f>
        <v>No</v>
      </c>
      <c r="H1389" s="127">
        <f>VLOOKUP($C1389,'2021-22 School Level AAFTE'!$C:$I,7,FALSE)</f>
        <v>174.85</v>
      </c>
      <c r="I1389" s="112">
        <f>IFERROR(IF(OR(G1389="yes",F1389= "yes"),VLOOKUP(C1389,Summary!$B:$J,6,0),0),0)</f>
        <v>0</v>
      </c>
      <c r="J1389" s="111">
        <f t="shared" si="264"/>
        <v>174.85</v>
      </c>
      <c r="K1389" s="91">
        <f>VLOOKUP($A1389,'2022-23 Salary &amp; Benefits'!$A:$I,3,FALSE)</f>
        <v>1</v>
      </c>
      <c r="L1389" s="91">
        <f>VLOOKUP($A1389,'2022-23 Salary &amp; Benefits'!$A:$I,4,FALSE)</f>
        <v>1</v>
      </c>
      <c r="M1389" s="101">
        <f t="shared" si="271"/>
        <v>174.85</v>
      </c>
      <c r="N1389" s="24">
        <v>15</v>
      </c>
      <c r="O1389" s="26">
        <f t="shared" si="262"/>
        <v>11.656666666666666</v>
      </c>
      <c r="P1389" s="24">
        <v>1.1000000000000001</v>
      </c>
      <c r="Q1389" s="24">
        <v>36</v>
      </c>
      <c r="R1389" s="27">
        <f t="shared" si="263"/>
        <v>461.60400000000004</v>
      </c>
      <c r="S1389" s="102">
        <f t="shared" si="265"/>
        <v>0.51300000000000001</v>
      </c>
      <c r="T1389" s="21">
        <f>VLOOKUP($A1389,'2022-23 Salary &amp; Benefits'!$A:$I,5,FALSE)</f>
        <v>68937</v>
      </c>
      <c r="U1389" s="21">
        <f>VLOOKUP($A1389,'2022-23 Salary &amp; Benefits'!$A:$I,6,FALSE)</f>
        <v>72728</v>
      </c>
      <c r="V1389" s="22">
        <f t="shared" si="266"/>
        <v>35364.68</v>
      </c>
      <c r="W1389" s="22">
        <f t="shared" si="267"/>
        <v>1944.7799999999988</v>
      </c>
      <c r="X1389" s="22">
        <f>'2022-23 Salary &amp; Benefits'!$G$6</f>
        <v>12558.24</v>
      </c>
      <c r="Y1389" s="23">
        <f>'2022-23 Salary &amp; Benefits'!$H$6</f>
        <v>0.2298</v>
      </c>
      <c r="Z1389" s="23">
        <f>'2022-23 Salary &amp; Benefits'!$I$6</f>
        <v>0.22339999999999999</v>
      </c>
      <c r="AA1389" s="22">
        <f t="shared" si="268"/>
        <v>15003.64</v>
      </c>
      <c r="AB1389" s="22">
        <f t="shared" si="269"/>
        <v>621.82000000000005</v>
      </c>
      <c r="AC1389" s="22">
        <f t="shared" si="270"/>
        <v>138.91</v>
      </c>
      <c r="AD1389" s="22">
        <f t="shared" si="272"/>
        <v>760.73</v>
      </c>
      <c r="AE1389" s="22">
        <f t="shared" si="273"/>
        <v>53073.83</v>
      </c>
      <c r="AF1389" s="19" t="str">
        <f>VLOOKUP(C1389,'2021-22 School Level AAFTE'!C:N,12,FALSE)</f>
        <v>No</v>
      </c>
    </row>
    <row r="1390" spans="1:32" s="5" customFormat="1">
      <c r="A1390" s="97" t="s">
        <v>2503</v>
      </c>
      <c r="B1390" s="97" t="s">
        <v>1923</v>
      </c>
      <c r="C1390" s="95">
        <v>2049</v>
      </c>
      <c r="D1390" s="95" t="s">
        <v>1924</v>
      </c>
      <c r="E1390" s="129">
        <f>VLOOKUP($C1390,'2021-22 School Level AAFTE'!$C:$Z,11,FALSE)</f>
        <v>0.68336666666666668</v>
      </c>
      <c r="F1390" s="129" t="str">
        <f>VLOOKUP($C1390,'2021-22 School Level AAFTE'!$C:$Z,8,FALSE)</f>
        <v>Yes</v>
      </c>
      <c r="G1390" s="129" t="str">
        <f>VLOOKUP($C1390,'2021-22 School Level AAFTE'!$C:$Z,12,FALSE)</f>
        <v>No</v>
      </c>
      <c r="H1390" s="127">
        <f>VLOOKUP($C1390,'2021-22 School Level AAFTE'!$C:$I,7,FALSE)</f>
        <v>48.43</v>
      </c>
      <c r="I1390" s="112">
        <f>IFERROR(IF(OR(G1390="yes",F1390= "yes"),VLOOKUP(C1390,Summary!$B:$J,6,0),0),0)</f>
        <v>0</v>
      </c>
      <c r="J1390" s="111">
        <f t="shared" si="264"/>
        <v>48.43</v>
      </c>
      <c r="K1390" s="91">
        <f>VLOOKUP($A1390,'2022-23 Salary &amp; Benefits'!$A:$I,3,FALSE)</f>
        <v>1</v>
      </c>
      <c r="L1390" s="91">
        <f>VLOOKUP($A1390,'2022-23 Salary &amp; Benefits'!$A:$I,4,FALSE)</f>
        <v>1.04</v>
      </c>
      <c r="M1390" s="39">
        <f t="shared" si="271"/>
        <v>48.43</v>
      </c>
      <c r="N1390" s="24">
        <v>15</v>
      </c>
      <c r="O1390" s="26">
        <f t="shared" si="262"/>
        <v>3.2286666666666668</v>
      </c>
      <c r="P1390" s="24">
        <v>1.1000000000000001</v>
      </c>
      <c r="Q1390" s="24">
        <v>36</v>
      </c>
      <c r="R1390" s="27">
        <f t="shared" si="263"/>
        <v>127.85520000000002</v>
      </c>
      <c r="S1390" s="102">
        <f t="shared" si="265"/>
        <v>0.14199999999999999</v>
      </c>
      <c r="T1390" s="21">
        <f>VLOOKUP($A1390,'2022-23 Salary &amp; Benefits'!$A:$I,5,FALSE)</f>
        <v>68937</v>
      </c>
      <c r="U1390" s="21">
        <f>VLOOKUP($A1390,'2022-23 Salary &amp; Benefits'!$A:$I,6,FALSE)</f>
        <v>72728</v>
      </c>
      <c r="V1390" s="22">
        <f t="shared" si="266"/>
        <v>9789.0499999999993</v>
      </c>
      <c r="W1390" s="22">
        <f t="shared" si="267"/>
        <v>951.42000000000007</v>
      </c>
      <c r="X1390" s="22">
        <f>'2022-23 Salary &amp; Benefits'!$G$6</f>
        <v>12558.24</v>
      </c>
      <c r="Y1390" s="23">
        <f>'2022-23 Salary &amp; Benefits'!$H$6</f>
        <v>0.2298</v>
      </c>
      <c r="Z1390" s="23">
        <f>'2022-23 Salary &amp; Benefits'!$I$6</f>
        <v>0.22339999999999999</v>
      </c>
      <c r="AA1390" s="22">
        <f t="shared" si="268"/>
        <v>4245.34</v>
      </c>
      <c r="AB1390" s="22">
        <f t="shared" si="269"/>
        <v>179.01</v>
      </c>
      <c r="AC1390" s="22">
        <f t="shared" si="270"/>
        <v>39.99</v>
      </c>
      <c r="AD1390" s="22">
        <f t="shared" si="272"/>
        <v>219</v>
      </c>
      <c r="AE1390" s="22">
        <f t="shared" si="273"/>
        <v>15204.81</v>
      </c>
      <c r="AF1390" s="19" t="str">
        <f>VLOOKUP(C1390,'2021-22 School Level AAFTE'!C:N,12,FALSE)</f>
        <v>No</v>
      </c>
    </row>
    <row r="1391" spans="1:32" s="5" customFormat="1">
      <c r="A1391" s="97" t="s">
        <v>2457</v>
      </c>
      <c r="B1391" s="97" t="s">
        <v>1527</v>
      </c>
      <c r="C1391" s="95">
        <v>1892</v>
      </c>
      <c r="D1391" s="95" t="s">
        <v>1528</v>
      </c>
      <c r="E1391" s="129">
        <f>VLOOKUP($C1391,'2021-22 School Level AAFTE'!$C:$Z,11,FALSE)</f>
        <v>0.14810000000000001</v>
      </c>
      <c r="F1391" s="129" t="str">
        <f>VLOOKUP($C1391,'2021-22 School Level AAFTE'!$C:$Z,8,FALSE)</f>
        <v>No</v>
      </c>
      <c r="G1391" s="129" t="str">
        <f>VLOOKUP($C1391,'2021-22 School Level AAFTE'!$C:$Z,12,FALSE)</f>
        <v>No</v>
      </c>
      <c r="H1391" s="127">
        <f>VLOOKUP($C1391,'2021-22 School Level AAFTE'!$C:$I,7,FALSE)</f>
        <v>313.29000000000002</v>
      </c>
      <c r="I1391" s="112">
        <f>IFERROR(IF(OR(G1391="yes",F1391= "yes"),VLOOKUP(C1391,Summary!$B:$J,6,0),0),0)</f>
        <v>0</v>
      </c>
      <c r="J1391" s="111">
        <f t="shared" si="264"/>
        <v>0</v>
      </c>
      <c r="K1391" s="91">
        <f>VLOOKUP($A1391,'2022-23 Salary &amp; Benefits'!$A:$I,3,FALSE)</f>
        <v>1.1200000000000001</v>
      </c>
      <c r="L1391" s="91">
        <f>VLOOKUP($A1391,'2022-23 Salary &amp; Benefits'!$A:$I,4,FALSE)</f>
        <v>1.1200000000000001</v>
      </c>
      <c r="M1391" s="39">
        <f t="shared" si="271"/>
        <v>0</v>
      </c>
      <c r="N1391" s="24">
        <v>15</v>
      </c>
      <c r="O1391" s="26">
        <f t="shared" si="262"/>
        <v>0</v>
      </c>
      <c r="P1391" s="24">
        <v>1.1000000000000001</v>
      </c>
      <c r="Q1391" s="24">
        <v>36</v>
      </c>
      <c r="R1391" s="27">
        <f t="shared" si="263"/>
        <v>0</v>
      </c>
      <c r="S1391" s="102">
        <f t="shared" si="265"/>
        <v>0</v>
      </c>
      <c r="T1391" s="21">
        <f>VLOOKUP($A1391,'2022-23 Salary &amp; Benefits'!$A:$I,5,FALSE)</f>
        <v>68937</v>
      </c>
      <c r="U1391" s="21">
        <f>VLOOKUP($A1391,'2022-23 Salary &amp; Benefits'!$A:$I,6,FALSE)</f>
        <v>72728</v>
      </c>
      <c r="V1391" s="22">
        <f t="shared" si="266"/>
        <v>0</v>
      </c>
      <c r="W1391" s="22">
        <f t="shared" si="267"/>
        <v>0</v>
      </c>
      <c r="X1391" s="22">
        <f>'2022-23 Salary &amp; Benefits'!$G$6</f>
        <v>12558.24</v>
      </c>
      <c r="Y1391" s="23">
        <f>'2022-23 Salary &amp; Benefits'!$H$6</f>
        <v>0.2298</v>
      </c>
      <c r="Z1391" s="23">
        <f>'2022-23 Salary &amp; Benefits'!$I$6</f>
        <v>0.22339999999999999</v>
      </c>
      <c r="AA1391" s="22">
        <f t="shared" si="268"/>
        <v>0</v>
      </c>
      <c r="AB1391" s="22">
        <f t="shared" si="269"/>
        <v>0</v>
      </c>
      <c r="AC1391" s="22">
        <f t="shared" si="270"/>
        <v>0</v>
      </c>
      <c r="AD1391" s="22">
        <f t="shared" si="272"/>
        <v>0</v>
      </c>
      <c r="AE1391" s="22">
        <f t="shared" si="273"/>
        <v>0</v>
      </c>
      <c r="AF1391" s="19" t="str">
        <f>VLOOKUP(C1391,'2021-22 School Level AAFTE'!C:N,12,FALSE)</f>
        <v>No</v>
      </c>
    </row>
    <row r="1392" spans="1:32" s="5" customFormat="1">
      <c r="A1392" s="97" t="s">
        <v>2457</v>
      </c>
      <c r="B1392" s="97" t="s">
        <v>1527</v>
      </c>
      <c r="C1392" s="95">
        <v>2749</v>
      </c>
      <c r="D1392" s="95" t="s">
        <v>1529</v>
      </c>
      <c r="E1392" s="129">
        <f>VLOOKUP($C1392,'2021-22 School Level AAFTE'!$C:$Z,11,FALSE)</f>
        <v>0.36536666666666667</v>
      </c>
      <c r="F1392" s="129" t="str">
        <f>VLOOKUP($C1392,'2021-22 School Level AAFTE'!$C:$Z,8,FALSE)</f>
        <v>No</v>
      </c>
      <c r="G1392" s="129" t="str">
        <f>VLOOKUP($C1392,'2021-22 School Level AAFTE'!$C:$Z,12,FALSE)</f>
        <v>No</v>
      </c>
      <c r="H1392" s="127">
        <f>VLOOKUP($C1392,'2021-22 School Level AAFTE'!$C:$I,7,FALSE)</f>
        <v>139.37</v>
      </c>
      <c r="I1392" s="112">
        <f>IFERROR(IF(OR(G1392="yes",F1392= "yes"),VLOOKUP(C1392,Summary!$B:$J,6,0),0),0)</f>
        <v>0</v>
      </c>
      <c r="J1392" s="111">
        <f t="shared" si="264"/>
        <v>0</v>
      </c>
      <c r="K1392" s="91">
        <f>VLOOKUP($A1392,'2022-23 Salary &amp; Benefits'!$A:$I,3,FALSE)</f>
        <v>1.1200000000000001</v>
      </c>
      <c r="L1392" s="91">
        <f>VLOOKUP($A1392,'2022-23 Salary &amp; Benefits'!$A:$I,4,FALSE)</f>
        <v>1.1200000000000001</v>
      </c>
      <c r="M1392" s="39">
        <f t="shared" si="271"/>
        <v>0</v>
      </c>
      <c r="N1392" s="24">
        <v>15</v>
      </c>
      <c r="O1392" s="26">
        <f t="shared" si="262"/>
        <v>0</v>
      </c>
      <c r="P1392" s="24">
        <v>1.1000000000000001</v>
      </c>
      <c r="Q1392" s="24">
        <v>36</v>
      </c>
      <c r="R1392" s="27">
        <f t="shared" si="263"/>
        <v>0</v>
      </c>
      <c r="S1392" s="102">
        <f t="shared" si="265"/>
        <v>0</v>
      </c>
      <c r="T1392" s="21">
        <f>VLOOKUP($A1392,'2022-23 Salary &amp; Benefits'!$A:$I,5,FALSE)</f>
        <v>68937</v>
      </c>
      <c r="U1392" s="21">
        <f>VLOOKUP($A1392,'2022-23 Salary &amp; Benefits'!$A:$I,6,FALSE)</f>
        <v>72728</v>
      </c>
      <c r="V1392" s="22">
        <f t="shared" si="266"/>
        <v>0</v>
      </c>
      <c r="W1392" s="22">
        <f t="shared" si="267"/>
        <v>0</v>
      </c>
      <c r="X1392" s="22">
        <f>'2022-23 Salary &amp; Benefits'!$G$6</f>
        <v>12558.24</v>
      </c>
      <c r="Y1392" s="23">
        <f>'2022-23 Salary &amp; Benefits'!$H$6</f>
        <v>0.2298</v>
      </c>
      <c r="Z1392" s="23">
        <f>'2022-23 Salary &amp; Benefits'!$I$6</f>
        <v>0.22339999999999999</v>
      </c>
      <c r="AA1392" s="22">
        <f t="shared" si="268"/>
        <v>0</v>
      </c>
      <c r="AB1392" s="22">
        <f t="shared" si="269"/>
        <v>0</v>
      </c>
      <c r="AC1392" s="22">
        <f t="shared" si="270"/>
        <v>0</v>
      </c>
      <c r="AD1392" s="22">
        <f t="shared" si="272"/>
        <v>0</v>
      </c>
      <c r="AE1392" s="22">
        <f t="shared" si="273"/>
        <v>0</v>
      </c>
      <c r="AF1392" s="19" t="str">
        <f>VLOOKUP(C1392,'2021-22 School Level AAFTE'!C:N,12,FALSE)</f>
        <v>No</v>
      </c>
    </row>
    <row r="1393" spans="1:32" s="5" customFormat="1">
      <c r="A1393" s="97" t="s">
        <v>2457</v>
      </c>
      <c r="B1393" s="97" t="s">
        <v>1527</v>
      </c>
      <c r="C1393" s="95">
        <v>2750</v>
      </c>
      <c r="D1393" s="95" t="s">
        <v>1530</v>
      </c>
      <c r="E1393" s="129">
        <f>VLOOKUP($C1393,'2021-22 School Level AAFTE'!$C:$Z,11,FALSE)</f>
        <v>0.45960000000000001</v>
      </c>
      <c r="F1393" s="129" t="str">
        <f>VLOOKUP($C1393,'2021-22 School Level AAFTE'!$C:$Z,8,FALSE)</f>
        <v>No</v>
      </c>
      <c r="G1393" s="129" t="str">
        <f>VLOOKUP($C1393,'2021-22 School Level AAFTE'!$C:$Z,12,FALSE)</f>
        <v>No</v>
      </c>
      <c r="H1393" s="127">
        <f>VLOOKUP($C1393,'2021-22 School Level AAFTE'!$C:$I,7,FALSE)</f>
        <v>132.66000000000003</v>
      </c>
      <c r="I1393" s="112">
        <f>IFERROR(IF(OR(G1393="yes",F1393= "yes"),VLOOKUP(C1393,Summary!$B:$J,6,0),0),0)</f>
        <v>0</v>
      </c>
      <c r="J1393" s="111">
        <f t="shared" si="264"/>
        <v>0</v>
      </c>
      <c r="K1393" s="91">
        <f>VLOOKUP($A1393,'2022-23 Salary &amp; Benefits'!$A:$I,3,FALSE)</f>
        <v>1.1200000000000001</v>
      </c>
      <c r="L1393" s="91">
        <f>VLOOKUP($A1393,'2022-23 Salary &amp; Benefits'!$A:$I,4,FALSE)</f>
        <v>1.1200000000000001</v>
      </c>
      <c r="M1393" s="39">
        <f t="shared" si="271"/>
        <v>0</v>
      </c>
      <c r="N1393" s="24">
        <v>15</v>
      </c>
      <c r="O1393" s="26">
        <f t="shared" si="262"/>
        <v>0</v>
      </c>
      <c r="P1393" s="24">
        <v>1.1000000000000001</v>
      </c>
      <c r="Q1393" s="24">
        <v>36</v>
      </c>
      <c r="R1393" s="27">
        <f t="shared" si="263"/>
        <v>0</v>
      </c>
      <c r="S1393" s="102">
        <f t="shared" si="265"/>
        <v>0</v>
      </c>
      <c r="T1393" s="21">
        <f>VLOOKUP($A1393,'2022-23 Salary &amp; Benefits'!$A:$I,5,FALSE)</f>
        <v>68937</v>
      </c>
      <c r="U1393" s="21">
        <f>VLOOKUP($A1393,'2022-23 Salary &amp; Benefits'!$A:$I,6,FALSE)</f>
        <v>72728</v>
      </c>
      <c r="V1393" s="22">
        <f t="shared" si="266"/>
        <v>0</v>
      </c>
      <c r="W1393" s="22">
        <f t="shared" si="267"/>
        <v>0</v>
      </c>
      <c r="X1393" s="22">
        <f>'2022-23 Salary &amp; Benefits'!$G$6</f>
        <v>12558.24</v>
      </c>
      <c r="Y1393" s="23">
        <f>'2022-23 Salary &amp; Benefits'!$H$6</f>
        <v>0.2298</v>
      </c>
      <c r="Z1393" s="23">
        <f>'2022-23 Salary &amp; Benefits'!$I$6</f>
        <v>0.22339999999999999</v>
      </c>
      <c r="AA1393" s="22">
        <f t="shared" si="268"/>
        <v>0</v>
      </c>
      <c r="AB1393" s="22">
        <f t="shared" si="269"/>
        <v>0</v>
      </c>
      <c r="AC1393" s="22">
        <f t="shared" si="270"/>
        <v>0</v>
      </c>
      <c r="AD1393" s="22">
        <f t="shared" si="272"/>
        <v>0</v>
      </c>
      <c r="AE1393" s="22">
        <f t="shared" si="273"/>
        <v>0</v>
      </c>
      <c r="AF1393" s="19" t="str">
        <f>VLOOKUP(C1393,'2021-22 School Level AAFTE'!C:N,12,FALSE)</f>
        <v>No</v>
      </c>
    </row>
    <row r="1394" spans="1:32" s="5" customFormat="1">
      <c r="A1394" s="97" t="s">
        <v>2457</v>
      </c>
      <c r="B1394" s="97" t="s">
        <v>1527</v>
      </c>
      <c r="C1394" s="95">
        <v>3808</v>
      </c>
      <c r="D1394" s="95" t="s">
        <v>1531</v>
      </c>
      <c r="E1394" s="129">
        <f>VLOOKUP($C1394,'2021-22 School Level AAFTE'!$C:$Z,11,FALSE)</f>
        <v>4.1666666666666664E-2</v>
      </c>
      <c r="F1394" s="129" t="str">
        <f>VLOOKUP($C1394,'2021-22 School Level AAFTE'!$C:$Z,8,FALSE)</f>
        <v>No</v>
      </c>
      <c r="G1394" s="129" t="str">
        <f>VLOOKUP($C1394,'2021-22 School Level AAFTE'!$C:$Z,12,FALSE)</f>
        <v>No</v>
      </c>
      <c r="H1394" s="127">
        <f>VLOOKUP($C1394,'2021-22 School Level AAFTE'!$C:$I,7,FALSE)</f>
        <v>7</v>
      </c>
      <c r="I1394" s="112">
        <f>IFERROR(IF(OR(G1394="yes",F1394= "yes"),VLOOKUP(C1394,Summary!$B:$J,6,0),0),0)</f>
        <v>0</v>
      </c>
      <c r="J1394" s="111">
        <f t="shared" si="264"/>
        <v>0</v>
      </c>
      <c r="K1394" s="91">
        <f>VLOOKUP($A1394,'2022-23 Salary &amp; Benefits'!$A:$I,3,FALSE)</f>
        <v>1.1200000000000001</v>
      </c>
      <c r="L1394" s="91">
        <f>VLOOKUP($A1394,'2022-23 Salary &amp; Benefits'!$A:$I,4,FALSE)</f>
        <v>1.1200000000000001</v>
      </c>
      <c r="M1394" s="101">
        <f t="shared" si="271"/>
        <v>0</v>
      </c>
      <c r="N1394" s="24">
        <v>15</v>
      </c>
      <c r="O1394" s="26">
        <f t="shared" si="262"/>
        <v>0</v>
      </c>
      <c r="P1394" s="24">
        <v>1.1000000000000001</v>
      </c>
      <c r="Q1394" s="24">
        <v>36</v>
      </c>
      <c r="R1394" s="27">
        <f t="shared" si="263"/>
        <v>0</v>
      </c>
      <c r="S1394" s="102">
        <f t="shared" si="265"/>
        <v>0</v>
      </c>
      <c r="T1394" s="21">
        <f>VLOOKUP($A1394,'2022-23 Salary &amp; Benefits'!$A:$I,5,FALSE)</f>
        <v>68937</v>
      </c>
      <c r="U1394" s="21">
        <f>VLOOKUP($A1394,'2022-23 Salary &amp; Benefits'!$A:$I,6,FALSE)</f>
        <v>72728</v>
      </c>
      <c r="V1394" s="22">
        <f t="shared" si="266"/>
        <v>0</v>
      </c>
      <c r="W1394" s="22">
        <f t="shared" si="267"/>
        <v>0</v>
      </c>
      <c r="X1394" s="22">
        <f>'2022-23 Salary &amp; Benefits'!$G$6</f>
        <v>12558.24</v>
      </c>
      <c r="Y1394" s="23">
        <f>'2022-23 Salary &amp; Benefits'!$H$6</f>
        <v>0.2298</v>
      </c>
      <c r="Z1394" s="23">
        <f>'2022-23 Salary &amp; Benefits'!$I$6</f>
        <v>0.22339999999999999</v>
      </c>
      <c r="AA1394" s="22">
        <f t="shared" si="268"/>
        <v>0</v>
      </c>
      <c r="AB1394" s="22">
        <f t="shared" si="269"/>
        <v>0</v>
      </c>
      <c r="AC1394" s="22">
        <f t="shared" si="270"/>
        <v>0</v>
      </c>
      <c r="AD1394" s="22">
        <f t="shared" si="272"/>
        <v>0</v>
      </c>
      <c r="AE1394" s="22">
        <f t="shared" si="273"/>
        <v>0</v>
      </c>
      <c r="AF1394" s="19" t="str">
        <f>VLOOKUP(C1394,'2021-22 School Level AAFTE'!C:N,12,FALSE)</f>
        <v>No</v>
      </c>
    </row>
    <row r="1395" spans="1:32" s="5" customFormat="1">
      <c r="A1395" s="97" t="s">
        <v>2457</v>
      </c>
      <c r="B1395" s="97" t="s">
        <v>1527</v>
      </c>
      <c r="C1395" s="95">
        <v>4558</v>
      </c>
      <c r="D1395" s="95" t="s">
        <v>1532</v>
      </c>
      <c r="E1395" s="129">
        <f>VLOOKUP($C1395,'2021-22 School Level AAFTE'!$C:$Z,11,FALSE)</f>
        <v>0.44900000000000001</v>
      </c>
      <c r="F1395" s="129" t="str">
        <f>VLOOKUP($C1395,'2021-22 School Level AAFTE'!$C:$Z,8,FALSE)</f>
        <v>No</v>
      </c>
      <c r="G1395" s="129" t="str">
        <f>VLOOKUP($C1395,'2021-22 School Level AAFTE'!$C:$Z,12,FALSE)</f>
        <v>No</v>
      </c>
      <c r="H1395" s="127">
        <f>VLOOKUP($C1395,'2021-22 School Level AAFTE'!$C:$I,7,FALSE)</f>
        <v>108.23</v>
      </c>
      <c r="I1395" s="112">
        <f>IFERROR(IF(OR(G1395="yes",F1395= "yes"),VLOOKUP(C1395,Summary!$B:$J,6,0),0),0)</f>
        <v>0</v>
      </c>
      <c r="J1395" s="111">
        <f t="shared" si="264"/>
        <v>0</v>
      </c>
      <c r="K1395" s="91">
        <f>VLOOKUP($A1395,'2022-23 Salary &amp; Benefits'!$A:$I,3,FALSE)</f>
        <v>1.1200000000000001</v>
      </c>
      <c r="L1395" s="91">
        <f>VLOOKUP($A1395,'2022-23 Salary &amp; Benefits'!$A:$I,4,FALSE)</f>
        <v>1.1200000000000001</v>
      </c>
      <c r="M1395" s="101">
        <f t="shared" si="271"/>
        <v>0</v>
      </c>
      <c r="N1395" s="24">
        <v>15</v>
      </c>
      <c r="O1395" s="26">
        <f t="shared" si="262"/>
        <v>0</v>
      </c>
      <c r="P1395" s="24">
        <v>1.1000000000000001</v>
      </c>
      <c r="Q1395" s="24">
        <v>36</v>
      </c>
      <c r="R1395" s="27">
        <f t="shared" si="263"/>
        <v>0</v>
      </c>
      <c r="S1395" s="102">
        <f t="shared" si="265"/>
        <v>0</v>
      </c>
      <c r="T1395" s="21">
        <f>VLOOKUP($A1395,'2022-23 Salary &amp; Benefits'!$A:$I,5,FALSE)</f>
        <v>68937</v>
      </c>
      <c r="U1395" s="21">
        <f>VLOOKUP($A1395,'2022-23 Salary &amp; Benefits'!$A:$I,6,FALSE)</f>
        <v>72728</v>
      </c>
      <c r="V1395" s="22">
        <f t="shared" si="266"/>
        <v>0</v>
      </c>
      <c r="W1395" s="22">
        <f t="shared" si="267"/>
        <v>0</v>
      </c>
      <c r="X1395" s="22">
        <f>'2022-23 Salary &amp; Benefits'!$G$6</f>
        <v>12558.24</v>
      </c>
      <c r="Y1395" s="23">
        <f>'2022-23 Salary &amp; Benefits'!$H$6</f>
        <v>0.2298</v>
      </c>
      <c r="Z1395" s="23">
        <f>'2022-23 Salary &amp; Benefits'!$I$6</f>
        <v>0.22339999999999999</v>
      </c>
      <c r="AA1395" s="22">
        <f t="shared" si="268"/>
        <v>0</v>
      </c>
      <c r="AB1395" s="22">
        <f t="shared" si="269"/>
        <v>0</v>
      </c>
      <c r="AC1395" s="22">
        <f t="shared" si="270"/>
        <v>0</v>
      </c>
      <c r="AD1395" s="22">
        <f t="shared" si="272"/>
        <v>0</v>
      </c>
      <c r="AE1395" s="22">
        <f t="shared" si="273"/>
        <v>0</v>
      </c>
      <c r="AF1395" s="19" t="str">
        <f>VLOOKUP(C1395,'2021-22 School Level AAFTE'!C:N,12,FALSE)</f>
        <v>No</v>
      </c>
    </row>
    <row r="1396" spans="1:32" s="5" customFormat="1">
      <c r="A1396" s="97" t="s">
        <v>2457</v>
      </c>
      <c r="B1396" s="97" t="s">
        <v>1527</v>
      </c>
      <c r="C1396" s="95">
        <v>5555</v>
      </c>
      <c r="D1396" s="95" t="s">
        <v>2835</v>
      </c>
      <c r="E1396" s="129">
        <f>VLOOKUP($C1396,'2021-22 School Level AAFTE'!$C:$Z,11,FALSE)</f>
        <v>0.23276666666666668</v>
      </c>
      <c r="F1396" s="129" t="str">
        <f>VLOOKUP($C1396,'2021-22 School Level AAFTE'!$C:$Z,8,FALSE)</f>
        <v>No</v>
      </c>
      <c r="G1396" s="129" t="str">
        <f>VLOOKUP($C1396,'2021-22 School Level AAFTE'!$C:$Z,12,FALSE)</f>
        <v>No</v>
      </c>
      <c r="H1396" s="127">
        <f>VLOOKUP($C1396,'2021-22 School Level AAFTE'!$C:$I,7,FALSE)</f>
        <v>24</v>
      </c>
      <c r="I1396" s="112">
        <f>IFERROR(IF(OR(G1396="yes",F1396= "yes"),VLOOKUP(C1396,Summary!$B:$J,6,0),0),0)</f>
        <v>0</v>
      </c>
      <c r="J1396" s="111">
        <f t="shared" si="264"/>
        <v>0</v>
      </c>
      <c r="K1396" s="91">
        <f>VLOOKUP($A1396,'2022-23 Salary &amp; Benefits'!$A:$I,3,FALSE)</f>
        <v>1.1200000000000001</v>
      </c>
      <c r="L1396" s="91">
        <f>VLOOKUP($A1396,'2022-23 Salary &amp; Benefits'!$A:$I,4,FALSE)</f>
        <v>1.1200000000000001</v>
      </c>
      <c r="M1396" s="101">
        <f t="shared" si="271"/>
        <v>0</v>
      </c>
      <c r="N1396" s="24">
        <v>15</v>
      </c>
      <c r="O1396" s="26">
        <f t="shared" si="262"/>
        <v>0</v>
      </c>
      <c r="P1396" s="24">
        <v>1.1000000000000001</v>
      </c>
      <c r="Q1396" s="24">
        <v>36</v>
      </c>
      <c r="R1396" s="27">
        <f t="shared" si="263"/>
        <v>0</v>
      </c>
      <c r="S1396" s="102">
        <f t="shared" si="265"/>
        <v>0</v>
      </c>
      <c r="T1396" s="21">
        <f>VLOOKUP($A1396,'2022-23 Salary &amp; Benefits'!$A:$I,5,FALSE)</f>
        <v>68937</v>
      </c>
      <c r="U1396" s="21">
        <f>VLOOKUP($A1396,'2022-23 Salary &amp; Benefits'!$A:$I,6,FALSE)</f>
        <v>72728</v>
      </c>
      <c r="V1396" s="22">
        <f t="shared" si="266"/>
        <v>0</v>
      </c>
      <c r="W1396" s="22">
        <f t="shared" si="267"/>
        <v>0</v>
      </c>
      <c r="X1396" s="22">
        <f>'2022-23 Salary &amp; Benefits'!$G$6</f>
        <v>12558.24</v>
      </c>
      <c r="Y1396" s="23">
        <f>'2022-23 Salary &amp; Benefits'!$H$6</f>
        <v>0.2298</v>
      </c>
      <c r="Z1396" s="23">
        <f>'2022-23 Salary &amp; Benefits'!$I$6</f>
        <v>0.22339999999999999</v>
      </c>
      <c r="AA1396" s="22">
        <f t="shared" si="268"/>
        <v>0</v>
      </c>
      <c r="AB1396" s="22">
        <f t="shared" si="269"/>
        <v>0</v>
      </c>
      <c r="AC1396" s="22">
        <f t="shared" si="270"/>
        <v>0</v>
      </c>
      <c r="AD1396" s="22">
        <f t="shared" si="272"/>
        <v>0</v>
      </c>
      <c r="AE1396" s="22">
        <f t="shared" si="273"/>
        <v>0</v>
      </c>
      <c r="AF1396" s="19" t="str">
        <f>VLOOKUP(C1396,'2021-22 School Level AAFTE'!C:N,12,FALSE)</f>
        <v>No</v>
      </c>
    </row>
    <row r="1397" spans="1:32" s="5" customFormat="1">
      <c r="A1397" s="97" t="s">
        <v>2487</v>
      </c>
      <c r="B1397" s="97" t="s">
        <v>1822</v>
      </c>
      <c r="C1397" s="95">
        <v>3723</v>
      </c>
      <c r="D1397" s="95" t="s">
        <v>1823</v>
      </c>
      <c r="E1397" s="129">
        <f>VLOOKUP($C1397,'2021-22 School Level AAFTE'!$C:$Z,11,FALSE)</f>
        <v>0.1062</v>
      </c>
      <c r="F1397" s="129" t="str">
        <f>VLOOKUP($C1397,'2021-22 School Level AAFTE'!$C:$Z,8,FALSE)</f>
        <v>No</v>
      </c>
      <c r="G1397" s="129" t="str">
        <f>VLOOKUP($C1397,'2021-22 School Level AAFTE'!$C:$Z,12,FALSE)</f>
        <v>No</v>
      </c>
      <c r="H1397" s="127">
        <f>VLOOKUP($C1397,'2021-22 School Level AAFTE'!$C:$I,7,FALSE)</f>
        <v>67.709999999999994</v>
      </c>
      <c r="I1397" s="112">
        <f>IFERROR(IF(OR(G1397="yes",F1397= "yes"),VLOOKUP(C1397,Summary!$B:$J,6,0),0),0)</f>
        <v>0</v>
      </c>
      <c r="J1397" s="111">
        <f t="shared" si="264"/>
        <v>0</v>
      </c>
      <c r="K1397" s="91">
        <f>VLOOKUP($A1397,'2022-23 Salary &amp; Benefits'!$A:$I,3,FALSE)</f>
        <v>1</v>
      </c>
      <c r="L1397" s="91">
        <f>VLOOKUP($A1397,'2022-23 Salary &amp; Benefits'!$A:$I,4,FALSE)</f>
        <v>1</v>
      </c>
      <c r="M1397" s="101">
        <f t="shared" si="271"/>
        <v>0</v>
      </c>
      <c r="N1397" s="24">
        <v>15</v>
      </c>
      <c r="O1397" s="26">
        <f t="shared" si="262"/>
        <v>0</v>
      </c>
      <c r="P1397" s="24">
        <v>1.1000000000000001</v>
      </c>
      <c r="Q1397" s="24">
        <v>36</v>
      </c>
      <c r="R1397" s="27">
        <f t="shared" si="263"/>
        <v>0</v>
      </c>
      <c r="S1397" s="102">
        <f t="shared" si="265"/>
        <v>0</v>
      </c>
      <c r="T1397" s="21">
        <f>VLOOKUP($A1397,'2022-23 Salary &amp; Benefits'!$A:$I,5,FALSE)</f>
        <v>68937</v>
      </c>
      <c r="U1397" s="21">
        <f>VLOOKUP($A1397,'2022-23 Salary &amp; Benefits'!$A:$I,6,FALSE)</f>
        <v>72728</v>
      </c>
      <c r="V1397" s="22">
        <f t="shared" si="266"/>
        <v>0</v>
      </c>
      <c r="W1397" s="22">
        <f t="shared" si="267"/>
        <v>0</v>
      </c>
      <c r="X1397" s="22">
        <f>'2022-23 Salary &amp; Benefits'!$G$6</f>
        <v>12558.24</v>
      </c>
      <c r="Y1397" s="23">
        <f>'2022-23 Salary &amp; Benefits'!$H$6</f>
        <v>0.2298</v>
      </c>
      <c r="Z1397" s="23">
        <f>'2022-23 Salary &amp; Benefits'!$I$6</f>
        <v>0.22339999999999999</v>
      </c>
      <c r="AA1397" s="22">
        <f t="shared" si="268"/>
        <v>0</v>
      </c>
      <c r="AB1397" s="22">
        <f t="shared" si="269"/>
        <v>0</v>
      </c>
      <c r="AC1397" s="22">
        <f t="shared" si="270"/>
        <v>0</v>
      </c>
      <c r="AD1397" s="22">
        <f t="shared" si="272"/>
        <v>0</v>
      </c>
      <c r="AE1397" s="22">
        <f t="shared" si="273"/>
        <v>0</v>
      </c>
      <c r="AF1397" s="19" t="str">
        <f>VLOOKUP(C1397,'2021-22 School Level AAFTE'!C:N,12,FALSE)</f>
        <v>No</v>
      </c>
    </row>
    <row r="1398" spans="1:32" s="5" customFormat="1">
      <c r="A1398" s="97" t="s">
        <v>2309</v>
      </c>
      <c r="B1398" s="97" t="s">
        <v>362</v>
      </c>
      <c r="C1398" s="95">
        <v>2136</v>
      </c>
      <c r="D1398" s="95" t="s">
        <v>2901</v>
      </c>
      <c r="E1398" s="129">
        <f>VLOOKUP($C1398,'2021-22 School Level AAFTE'!$C:$Z,11,FALSE)</f>
        <v>0.62133333333333329</v>
      </c>
      <c r="F1398" s="129" t="str">
        <f>VLOOKUP($C1398,'2021-22 School Level AAFTE'!$C:$Z,8,FALSE)</f>
        <v>Yes</v>
      </c>
      <c r="G1398" s="129" t="str">
        <f>VLOOKUP($C1398,'2021-22 School Level AAFTE'!$C:$Z,12,FALSE)</f>
        <v>No</v>
      </c>
      <c r="H1398" s="127">
        <f>VLOOKUP($C1398,'2021-22 School Level AAFTE'!$C:$I,7,FALSE)</f>
        <v>33.57</v>
      </c>
      <c r="I1398" s="112">
        <f>IFERROR(IF(OR(G1398="yes",F1398= "yes"),VLOOKUP(C1398,Summary!$B:$J,6,0),0),0)</f>
        <v>0</v>
      </c>
      <c r="J1398" s="111">
        <f t="shared" si="264"/>
        <v>33.57</v>
      </c>
      <c r="K1398" s="91">
        <f>VLOOKUP($A1398,'2022-23 Salary &amp; Benefits'!$A:$I,3,FALSE)</f>
        <v>1</v>
      </c>
      <c r="L1398" s="91">
        <f>VLOOKUP($A1398,'2022-23 Salary &amp; Benefits'!$A:$I,4,FALSE)</f>
        <v>1.04</v>
      </c>
      <c r="M1398" s="101">
        <f t="shared" si="271"/>
        <v>33.57</v>
      </c>
      <c r="N1398" s="24">
        <v>15</v>
      </c>
      <c r="O1398" s="26">
        <f t="shared" si="262"/>
        <v>2.238</v>
      </c>
      <c r="P1398" s="24">
        <v>1.1000000000000001</v>
      </c>
      <c r="Q1398" s="24">
        <v>36</v>
      </c>
      <c r="R1398" s="27">
        <f t="shared" si="263"/>
        <v>88.624800000000008</v>
      </c>
      <c r="S1398" s="102">
        <f t="shared" si="265"/>
        <v>9.8000000000000004E-2</v>
      </c>
      <c r="T1398" s="21">
        <f>VLOOKUP($A1398,'2022-23 Salary &amp; Benefits'!$A:$I,5,FALSE)</f>
        <v>68937</v>
      </c>
      <c r="U1398" s="21">
        <f>VLOOKUP($A1398,'2022-23 Salary &amp; Benefits'!$A:$I,6,FALSE)</f>
        <v>72728</v>
      </c>
      <c r="V1398" s="22">
        <f t="shared" si="266"/>
        <v>6755.83</v>
      </c>
      <c r="W1398" s="22">
        <f t="shared" si="267"/>
        <v>656.60999999999967</v>
      </c>
      <c r="X1398" s="22">
        <f>'2022-23 Salary &amp; Benefits'!$G$6</f>
        <v>12558.24</v>
      </c>
      <c r="Y1398" s="23">
        <f>'2022-23 Salary &amp; Benefits'!$H$6</f>
        <v>0.2298</v>
      </c>
      <c r="Z1398" s="23">
        <f>'2022-23 Salary &amp; Benefits'!$I$6</f>
        <v>0.22339999999999999</v>
      </c>
      <c r="AA1398" s="22">
        <f t="shared" si="268"/>
        <v>2929.88</v>
      </c>
      <c r="AB1398" s="22">
        <f t="shared" si="269"/>
        <v>123.54</v>
      </c>
      <c r="AC1398" s="22">
        <f t="shared" si="270"/>
        <v>27.6</v>
      </c>
      <c r="AD1398" s="22">
        <f t="shared" si="272"/>
        <v>151.14000000000001</v>
      </c>
      <c r="AE1398" s="22">
        <f t="shared" si="273"/>
        <v>10493.46</v>
      </c>
      <c r="AF1398" s="19" t="str">
        <f>VLOOKUP(C1398,'2021-22 School Level AAFTE'!C:N,12,FALSE)</f>
        <v>No</v>
      </c>
    </row>
    <row r="1399" spans="1:32" s="5" customFormat="1">
      <c r="A1399" s="97" t="s">
        <v>2301</v>
      </c>
      <c r="B1399" s="97" t="s">
        <v>337</v>
      </c>
      <c r="C1399" s="95">
        <v>2666</v>
      </c>
      <c r="D1399" s="95" t="s">
        <v>338</v>
      </c>
      <c r="E1399" s="129">
        <f>VLOOKUP($C1399,'2021-22 School Level AAFTE'!$C:$Z,11,FALSE)</f>
        <v>0.7674333333333333</v>
      </c>
      <c r="F1399" s="129" t="str">
        <f>VLOOKUP($C1399,'2021-22 School Level AAFTE'!$C:$Z,8,FALSE)</f>
        <v>Yes</v>
      </c>
      <c r="G1399" s="129" t="str">
        <f>VLOOKUP($C1399,'2021-22 School Level AAFTE'!$C:$Z,12,FALSE)</f>
        <v>No</v>
      </c>
      <c r="H1399" s="127">
        <f>VLOOKUP($C1399,'2021-22 School Level AAFTE'!$C:$I,7,FALSE)</f>
        <v>137.77000000000001</v>
      </c>
      <c r="I1399" s="112">
        <f>IFERROR(IF(OR(G1399="yes",F1399= "yes"),VLOOKUP(C1399,Summary!$B:$J,6,0),0),0)</f>
        <v>0</v>
      </c>
      <c r="J1399" s="111">
        <f t="shared" si="264"/>
        <v>137.77000000000001</v>
      </c>
      <c r="K1399" s="91">
        <f>VLOOKUP($A1399,'2022-23 Salary &amp; Benefits'!$A:$I,3,FALSE)</f>
        <v>1</v>
      </c>
      <c r="L1399" s="91">
        <f>VLOOKUP($A1399,'2022-23 Salary &amp; Benefits'!$A:$I,4,FALSE)</f>
        <v>1</v>
      </c>
      <c r="M1399" s="101">
        <f t="shared" si="271"/>
        <v>137.77000000000001</v>
      </c>
      <c r="N1399" s="24">
        <v>15</v>
      </c>
      <c r="O1399" s="26">
        <f t="shared" si="262"/>
        <v>9.1846666666666668</v>
      </c>
      <c r="P1399" s="24">
        <v>1.1000000000000001</v>
      </c>
      <c r="Q1399" s="24">
        <v>36</v>
      </c>
      <c r="R1399" s="27">
        <f t="shared" si="263"/>
        <v>363.71280000000002</v>
      </c>
      <c r="S1399" s="102">
        <f t="shared" si="265"/>
        <v>0.40400000000000003</v>
      </c>
      <c r="T1399" s="21">
        <f>VLOOKUP($A1399,'2022-23 Salary &amp; Benefits'!$A:$I,5,FALSE)</f>
        <v>68937</v>
      </c>
      <c r="U1399" s="21">
        <f>VLOOKUP($A1399,'2022-23 Salary &amp; Benefits'!$A:$I,6,FALSE)</f>
        <v>72728</v>
      </c>
      <c r="V1399" s="22">
        <f t="shared" si="266"/>
        <v>27850.55</v>
      </c>
      <c r="W1399" s="22">
        <f t="shared" si="267"/>
        <v>1531.5600000000013</v>
      </c>
      <c r="X1399" s="22">
        <f>'2022-23 Salary &amp; Benefits'!$G$6</f>
        <v>12558.24</v>
      </c>
      <c r="Y1399" s="23">
        <f>'2022-23 Salary &amp; Benefits'!$H$6</f>
        <v>0.2298</v>
      </c>
      <c r="Z1399" s="23">
        <f>'2022-23 Salary &amp; Benefits'!$I$6</f>
        <v>0.22339999999999999</v>
      </c>
      <c r="AA1399" s="22">
        <f t="shared" si="268"/>
        <v>11815.74</v>
      </c>
      <c r="AB1399" s="22">
        <f t="shared" si="269"/>
        <v>489.7</v>
      </c>
      <c r="AC1399" s="22">
        <f t="shared" si="270"/>
        <v>109.4</v>
      </c>
      <c r="AD1399" s="22">
        <f t="shared" si="272"/>
        <v>599.1</v>
      </c>
      <c r="AE1399" s="22">
        <f t="shared" si="273"/>
        <v>41796.950000000004</v>
      </c>
      <c r="AF1399" s="19" t="str">
        <f>VLOOKUP(C1399,'2021-22 School Level AAFTE'!C:N,12,FALSE)</f>
        <v>No</v>
      </c>
    </row>
    <row r="1400" spans="1:32" s="5" customFormat="1">
      <c r="A1400" s="97" t="s">
        <v>2428</v>
      </c>
      <c r="B1400" s="97" t="s">
        <v>1258</v>
      </c>
      <c r="C1400" s="95">
        <v>2422</v>
      </c>
      <c r="D1400" s="95" t="s">
        <v>1259</v>
      </c>
      <c r="E1400" s="129">
        <f>VLOOKUP($C1400,'2021-22 School Level AAFTE'!$C:$Z,11,FALSE)</f>
        <v>0.75653333333333339</v>
      </c>
      <c r="F1400" s="129" t="str">
        <f>VLOOKUP($C1400,'2021-22 School Level AAFTE'!$C:$Z,8,FALSE)</f>
        <v>Yes</v>
      </c>
      <c r="G1400" s="129" t="str">
        <f>VLOOKUP($C1400,'2021-22 School Level AAFTE'!$C:$Z,12,FALSE)</f>
        <v>No</v>
      </c>
      <c r="H1400" s="127">
        <f>VLOOKUP($C1400,'2021-22 School Level AAFTE'!$C:$I,7,FALSE)</f>
        <v>264.2</v>
      </c>
      <c r="I1400" s="112">
        <f>IFERROR(IF(OR(G1400="yes",F1400= "yes"),VLOOKUP(C1400,Summary!$B:$J,6,0),0),0)</f>
        <v>0</v>
      </c>
      <c r="J1400" s="111">
        <f t="shared" si="264"/>
        <v>264.2</v>
      </c>
      <c r="K1400" s="91">
        <f>VLOOKUP($A1400,'2022-23 Salary &amp; Benefits'!$A:$I,3,FALSE)</f>
        <v>1</v>
      </c>
      <c r="L1400" s="91">
        <f>VLOOKUP($A1400,'2022-23 Salary &amp; Benefits'!$A:$I,4,FALSE)</f>
        <v>1</v>
      </c>
      <c r="M1400" s="101">
        <f t="shared" si="271"/>
        <v>264.2</v>
      </c>
      <c r="N1400" s="24">
        <v>15</v>
      </c>
      <c r="O1400" s="26">
        <f t="shared" si="262"/>
        <v>17.613333333333333</v>
      </c>
      <c r="P1400" s="24">
        <v>1.1000000000000001</v>
      </c>
      <c r="Q1400" s="24">
        <v>36</v>
      </c>
      <c r="R1400" s="27">
        <f t="shared" si="263"/>
        <v>697.48800000000006</v>
      </c>
      <c r="S1400" s="102">
        <f t="shared" si="265"/>
        <v>0.77500000000000002</v>
      </c>
      <c r="T1400" s="21">
        <f>VLOOKUP($A1400,'2022-23 Salary &amp; Benefits'!$A:$I,5,FALSE)</f>
        <v>68937</v>
      </c>
      <c r="U1400" s="21">
        <f>VLOOKUP($A1400,'2022-23 Salary &amp; Benefits'!$A:$I,6,FALSE)</f>
        <v>72728</v>
      </c>
      <c r="V1400" s="22">
        <f t="shared" si="266"/>
        <v>53426.18</v>
      </c>
      <c r="W1400" s="22">
        <f t="shared" si="267"/>
        <v>2938.0199999999968</v>
      </c>
      <c r="X1400" s="22">
        <f>'2022-23 Salary &amp; Benefits'!$G$6</f>
        <v>12558.24</v>
      </c>
      <c r="Y1400" s="23">
        <f>'2022-23 Salary &amp; Benefits'!$H$6</f>
        <v>0.2298</v>
      </c>
      <c r="Z1400" s="23">
        <f>'2022-23 Salary &amp; Benefits'!$I$6</f>
        <v>0.22339999999999999</v>
      </c>
      <c r="AA1400" s="22">
        <f t="shared" si="268"/>
        <v>22666.33</v>
      </c>
      <c r="AB1400" s="22">
        <f t="shared" si="269"/>
        <v>939.4</v>
      </c>
      <c r="AC1400" s="22">
        <f t="shared" si="270"/>
        <v>209.86</v>
      </c>
      <c r="AD1400" s="22">
        <f t="shared" si="272"/>
        <v>1149.26</v>
      </c>
      <c r="AE1400" s="22">
        <f t="shared" si="273"/>
        <v>80179.789999999994</v>
      </c>
      <c r="AF1400" s="19" t="str">
        <f>VLOOKUP(C1400,'2021-22 School Level AAFTE'!C:N,12,FALSE)</f>
        <v>No</v>
      </c>
    </row>
    <row r="1401" spans="1:32" s="5" customFormat="1">
      <c r="A1401" s="97" t="s">
        <v>2428</v>
      </c>
      <c r="B1401" s="97" t="s">
        <v>1258</v>
      </c>
      <c r="C1401" s="95">
        <v>2706</v>
      </c>
      <c r="D1401" s="95" t="s">
        <v>1260</v>
      </c>
      <c r="E1401" s="129">
        <f>VLOOKUP($C1401,'2021-22 School Level AAFTE'!$C:$Z,11,FALSE)</f>
        <v>0.68476666666666663</v>
      </c>
      <c r="F1401" s="129" t="str">
        <f>VLOOKUP($C1401,'2021-22 School Level AAFTE'!$C:$Z,8,FALSE)</f>
        <v>Yes</v>
      </c>
      <c r="G1401" s="129" t="str">
        <f>VLOOKUP($C1401,'2021-22 School Level AAFTE'!$C:$Z,12,FALSE)</f>
        <v>No</v>
      </c>
      <c r="H1401" s="127">
        <f>VLOOKUP($C1401,'2021-22 School Level AAFTE'!$C:$I,7,FALSE)</f>
        <v>247.55</v>
      </c>
      <c r="I1401" s="112">
        <f>IFERROR(IF(OR(G1401="yes",F1401= "yes"),VLOOKUP(C1401,Summary!$B:$J,6,0),0),0)</f>
        <v>0</v>
      </c>
      <c r="J1401" s="111">
        <f t="shared" si="264"/>
        <v>247.55</v>
      </c>
      <c r="K1401" s="91">
        <f>VLOOKUP($A1401,'2022-23 Salary &amp; Benefits'!$A:$I,3,FALSE)</f>
        <v>1</v>
      </c>
      <c r="L1401" s="91">
        <f>VLOOKUP($A1401,'2022-23 Salary &amp; Benefits'!$A:$I,4,FALSE)</f>
        <v>1</v>
      </c>
      <c r="M1401" s="101">
        <f t="shared" si="271"/>
        <v>247.55</v>
      </c>
      <c r="N1401" s="24">
        <v>15</v>
      </c>
      <c r="O1401" s="26">
        <f t="shared" si="262"/>
        <v>16.503333333333334</v>
      </c>
      <c r="P1401" s="24">
        <v>1.1000000000000001</v>
      </c>
      <c r="Q1401" s="24">
        <v>36</v>
      </c>
      <c r="R1401" s="27">
        <f t="shared" si="263"/>
        <v>653.53200000000015</v>
      </c>
      <c r="S1401" s="102">
        <f t="shared" si="265"/>
        <v>0.72599999999999998</v>
      </c>
      <c r="T1401" s="21">
        <f>VLOOKUP($A1401,'2022-23 Salary &amp; Benefits'!$A:$I,5,FALSE)</f>
        <v>68937</v>
      </c>
      <c r="U1401" s="21">
        <f>VLOOKUP($A1401,'2022-23 Salary &amp; Benefits'!$A:$I,6,FALSE)</f>
        <v>72728</v>
      </c>
      <c r="V1401" s="22">
        <f t="shared" si="266"/>
        <v>50048.26</v>
      </c>
      <c r="W1401" s="22">
        <f t="shared" si="267"/>
        <v>2752.2699999999968</v>
      </c>
      <c r="X1401" s="22">
        <f>'2022-23 Salary &amp; Benefits'!$G$6</f>
        <v>12558.24</v>
      </c>
      <c r="Y1401" s="23">
        <f>'2022-23 Salary &amp; Benefits'!$H$6</f>
        <v>0.2298</v>
      </c>
      <c r="Z1401" s="23">
        <f>'2022-23 Salary &amp; Benefits'!$I$6</f>
        <v>0.22339999999999999</v>
      </c>
      <c r="AA1401" s="22">
        <f t="shared" si="268"/>
        <v>21233.23</v>
      </c>
      <c r="AB1401" s="22">
        <f t="shared" si="269"/>
        <v>880.01</v>
      </c>
      <c r="AC1401" s="22">
        <f t="shared" si="270"/>
        <v>196.59</v>
      </c>
      <c r="AD1401" s="22">
        <f t="shared" si="272"/>
        <v>1076.5999999999999</v>
      </c>
      <c r="AE1401" s="22">
        <f t="shared" si="273"/>
        <v>75110.360000000015</v>
      </c>
      <c r="AF1401" s="19" t="str">
        <f>VLOOKUP(C1401,'2021-22 School Level AAFTE'!C:N,12,FALSE)</f>
        <v>No</v>
      </c>
    </row>
    <row r="1402" spans="1:32" s="5" customFormat="1">
      <c r="A1402" s="97" t="s">
        <v>2445</v>
      </c>
      <c r="B1402" s="97" t="s">
        <v>1413</v>
      </c>
      <c r="C1402" s="95">
        <v>2360</v>
      </c>
      <c r="D1402" s="95" t="s">
        <v>1414</v>
      </c>
      <c r="E1402" s="129">
        <f>VLOOKUP($C1402,'2021-22 School Level AAFTE'!$C:$Z,11,FALSE)</f>
        <v>0.27</v>
      </c>
      <c r="F1402" s="129" t="str">
        <f>VLOOKUP($C1402,'2021-22 School Level AAFTE'!$C:$Z,8,FALSE)</f>
        <v>No</v>
      </c>
      <c r="G1402" s="129" t="str">
        <f>VLOOKUP($C1402,'2021-22 School Level AAFTE'!$C:$Z,12,FALSE)</f>
        <v>No</v>
      </c>
      <c r="H1402" s="127">
        <f>VLOOKUP($C1402,'2021-22 School Level AAFTE'!$C:$I,7,FALSE)</f>
        <v>466.57</v>
      </c>
      <c r="I1402" s="112">
        <f>IFERROR(IF(OR(G1402="yes",F1402= "yes"),VLOOKUP(C1402,Summary!$B:$J,6,0),0),0)</f>
        <v>0</v>
      </c>
      <c r="J1402" s="111">
        <f t="shared" si="264"/>
        <v>0</v>
      </c>
      <c r="K1402" s="91">
        <f>VLOOKUP($A1402,'2022-23 Salary &amp; Benefits'!$A:$I,3,FALSE)</f>
        <v>1.06</v>
      </c>
      <c r="L1402" s="91">
        <f>VLOOKUP($A1402,'2022-23 Salary &amp; Benefits'!$A:$I,4,FALSE)</f>
        <v>1.06</v>
      </c>
      <c r="M1402" s="101">
        <f t="shared" si="271"/>
        <v>0</v>
      </c>
      <c r="N1402" s="24">
        <v>15</v>
      </c>
      <c r="O1402" s="26">
        <f t="shared" si="262"/>
        <v>0</v>
      </c>
      <c r="P1402" s="24">
        <v>1.1000000000000001</v>
      </c>
      <c r="Q1402" s="24">
        <v>36</v>
      </c>
      <c r="R1402" s="27">
        <f t="shared" si="263"/>
        <v>0</v>
      </c>
      <c r="S1402" s="102">
        <f t="shared" si="265"/>
        <v>0</v>
      </c>
      <c r="T1402" s="21">
        <f>VLOOKUP($A1402,'2022-23 Salary &amp; Benefits'!$A:$I,5,FALSE)</f>
        <v>68937</v>
      </c>
      <c r="U1402" s="21">
        <f>VLOOKUP($A1402,'2022-23 Salary &amp; Benefits'!$A:$I,6,FALSE)</f>
        <v>72728</v>
      </c>
      <c r="V1402" s="22">
        <f t="shared" si="266"/>
        <v>0</v>
      </c>
      <c r="W1402" s="22">
        <f t="shared" si="267"/>
        <v>0</v>
      </c>
      <c r="X1402" s="22">
        <f>'2022-23 Salary &amp; Benefits'!$G$6</f>
        <v>12558.24</v>
      </c>
      <c r="Y1402" s="23">
        <f>'2022-23 Salary &amp; Benefits'!$H$6</f>
        <v>0.2298</v>
      </c>
      <c r="Z1402" s="23">
        <f>'2022-23 Salary &amp; Benefits'!$I$6</f>
        <v>0.22339999999999999</v>
      </c>
      <c r="AA1402" s="22">
        <f t="shared" si="268"/>
        <v>0</v>
      </c>
      <c r="AB1402" s="22">
        <f t="shared" si="269"/>
        <v>0</v>
      </c>
      <c r="AC1402" s="22">
        <f t="shared" si="270"/>
        <v>0</v>
      </c>
      <c r="AD1402" s="22">
        <f t="shared" si="272"/>
        <v>0</v>
      </c>
      <c r="AE1402" s="22">
        <f t="shared" si="273"/>
        <v>0</v>
      </c>
      <c r="AF1402" s="19" t="str">
        <f>VLOOKUP(C1402,'2021-22 School Level AAFTE'!C:N,12,FALSE)</f>
        <v>No</v>
      </c>
    </row>
    <row r="1403" spans="1:32" s="5" customFormat="1">
      <c r="A1403" s="97" t="s">
        <v>2445</v>
      </c>
      <c r="B1403" s="97" t="s">
        <v>1413</v>
      </c>
      <c r="C1403" s="95">
        <v>2942</v>
      </c>
      <c r="D1403" s="95" t="s">
        <v>1415</v>
      </c>
      <c r="E1403" s="129">
        <f>VLOOKUP($C1403,'2021-22 School Level AAFTE'!$C:$Z,11,FALSE)</f>
        <v>0.29583333333333334</v>
      </c>
      <c r="F1403" s="129" t="str">
        <f>VLOOKUP($C1403,'2021-22 School Level AAFTE'!$C:$Z,8,FALSE)</f>
        <v>No</v>
      </c>
      <c r="G1403" s="129" t="str">
        <f>VLOOKUP($C1403,'2021-22 School Level AAFTE'!$C:$Z,12,FALSE)</f>
        <v>No</v>
      </c>
      <c r="H1403" s="127">
        <f>VLOOKUP($C1403,'2021-22 School Level AAFTE'!$C:$I,7,FALSE)</f>
        <v>848.63</v>
      </c>
      <c r="I1403" s="112">
        <f>IFERROR(IF(OR(G1403="yes",F1403= "yes"),VLOOKUP(C1403,Summary!$B:$J,6,0),0),0)</f>
        <v>0</v>
      </c>
      <c r="J1403" s="111">
        <f t="shared" si="264"/>
        <v>0</v>
      </c>
      <c r="K1403" s="91">
        <f>VLOOKUP($A1403,'2022-23 Salary &amp; Benefits'!$A:$I,3,FALSE)</f>
        <v>1.06</v>
      </c>
      <c r="L1403" s="91">
        <f>VLOOKUP($A1403,'2022-23 Salary &amp; Benefits'!$A:$I,4,FALSE)</f>
        <v>1.06</v>
      </c>
      <c r="M1403" s="101">
        <f t="shared" si="271"/>
        <v>0</v>
      </c>
      <c r="N1403" s="24">
        <v>15</v>
      </c>
      <c r="O1403" s="26">
        <f t="shared" si="262"/>
        <v>0</v>
      </c>
      <c r="P1403" s="24">
        <v>1.1000000000000001</v>
      </c>
      <c r="Q1403" s="24">
        <v>36</v>
      </c>
      <c r="R1403" s="27">
        <f t="shared" si="263"/>
        <v>0</v>
      </c>
      <c r="S1403" s="102">
        <f t="shared" si="265"/>
        <v>0</v>
      </c>
      <c r="T1403" s="21">
        <f>VLOOKUP($A1403,'2022-23 Salary &amp; Benefits'!$A:$I,5,FALSE)</f>
        <v>68937</v>
      </c>
      <c r="U1403" s="21">
        <f>VLOOKUP($A1403,'2022-23 Salary &amp; Benefits'!$A:$I,6,FALSE)</f>
        <v>72728</v>
      </c>
      <c r="V1403" s="22">
        <f t="shared" si="266"/>
        <v>0</v>
      </c>
      <c r="W1403" s="22">
        <f t="shared" si="267"/>
        <v>0</v>
      </c>
      <c r="X1403" s="22">
        <f>'2022-23 Salary &amp; Benefits'!$G$6</f>
        <v>12558.24</v>
      </c>
      <c r="Y1403" s="23">
        <f>'2022-23 Salary &amp; Benefits'!$H$6</f>
        <v>0.2298</v>
      </c>
      <c r="Z1403" s="23">
        <f>'2022-23 Salary &amp; Benefits'!$I$6</f>
        <v>0.22339999999999999</v>
      </c>
      <c r="AA1403" s="22">
        <f t="shared" si="268"/>
        <v>0</v>
      </c>
      <c r="AB1403" s="22">
        <f t="shared" si="269"/>
        <v>0</v>
      </c>
      <c r="AC1403" s="22">
        <f t="shared" si="270"/>
        <v>0</v>
      </c>
      <c r="AD1403" s="22">
        <f t="shared" si="272"/>
        <v>0</v>
      </c>
      <c r="AE1403" s="22">
        <f t="shared" si="273"/>
        <v>0</v>
      </c>
      <c r="AF1403" s="19" t="str">
        <f>VLOOKUP(C1403,'2021-22 School Level AAFTE'!C:N,12,FALSE)</f>
        <v>No</v>
      </c>
    </row>
    <row r="1404" spans="1:32" s="5" customFormat="1">
      <c r="A1404" s="97" t="s">
        <v>2445</v>
      </c>
      <c r="B1404" s="97" t="s">
        <v>1413</v>
      </c>
      <c r="C1404" s="95">
        <v>4262</v>
      </c>
      <c r="D1404" s="95" t="s">
        <v>1416</v>
      </c>
      <c r="E1404" s="129">
        <f>VLOOKUP($C1404,'2021-22 School Level AAFTE'!$C:$Z,11,FALSE)</f>
        <v>0.31850000000000001</v>
      </c>
      <c r="F1404" s="129" t="str">
        <f>VLOOKUP($C1404,'2021-22 School Level AAFTE'!$C:$Z,8,FALSE)</f>
        <v>No</v>
      </c>
      <c r="G1404" s="129" t="str">
        <f>VLOOKUP($C1404,'2021-22 School Level AAFTE'!$C:$Z,12,FALSE)</f>
        <v>No</v>
      </c>
      <c r="H1404" s="127">
        <f>VLOOKUP($C1404,'2021-22 School Level AAFTE'!$C:$I,7,FALSE)</f>
        <v>657.42</v>
      </c>
      <c r="I1404" s="112">
        <f>IFERROR(IF(OR(G1404="yes",F1404= "yes"),VLOOKUP(C1404,Summary!$B:$J,6,0),0),0)</f>
        <v>0</v>
      </c>
      <c r="J1404" s="111">
        <f t="shared" si="264"/>
        <v>0</v>
      </c>
      <c r="K1404" s="91">
        <f>VLOOKUP($A1404,'2022-23 Salary &amp; Benefits'!$A:$I,3,FALSE)</f>
        <v>1.06</v>
      </c>
      <c r="L1404" s="91">
        <f>VLOOKUP($A1404,'2022-23 Salary &amp; Benefits'!$A:$I,4,FALSE)</f>
        <v>1.06</v>
      </c>
      <c r="M1404" s="39">
        <f t="shared" si="271"/>
        <v>0</v>
      </c>
      <c r="N1404" s="24">
        <v>15</v>
      </c>
      <c r="O1404" s="26">
        <f t="shared" si="262"/>
        <v>0</v>
      </c>
      <c r="P1404" s="24">
        <v>1.1000000000000001</v>
      </c>
      <c r="Q1404" s="24">
        <v>36</v>
      </c>
      <c r="R1404" s="27">
        <f t="shared" si="263"/>
        <v>0</v>
      </c>
      <c r="S1404" s="102">
        <f t="shared" si="265"/>
        <v>0</v>
      </c>
      <c r="T1404" s="21">
        <f>VLOOKUP($A1404,'2022-23 Salary &amp; Benefits'!$A:$I,5,FALSE)</f>
        <v>68937</v>
      </c>
      <c r="U1404" s="21">
        <f>VLOOKUP($A1404,'2022-23 Salary &amp; Benefits'!$A:$I,6,FALSE)</f>
        <v>72728</v>
      </c>
      <c r="V1404" s="22">
        <f t="shared" si="266"/>
        <v>0</v>
      </c>
      <c r="W1404" s="22">
        <f t="shared" si="267"/>
        <v>0</v>
      </c>
      <c r="X1404" s="22">
        <f>'2022-23 Salary &amp; Benefits'!$G$6</f>
        <v>12558.24</v>
      </c>
      <c r="Y1404" s="23">
        <f>'2022-23 Salary &amp; Benefits'!$H$6</f>
        <v>0.2298</v>
      </c>
      <c r="Z1404" s="23">
        <f>'2022-23 Salary &amp; Benefits'!$I$6</f>
        <v>0.22339999999999999</v>
      </c>
      <c r="AA1404" s="22">
        <f t="shared" si="268"/>
        <v>0</v>
      </c>
      <c r="AB1404" s="22">
        <f t="shared" si="269"/>
        <v>0</v>
      </c>
      <c r="AC1404" s="22">
        <f t="shared" si="270"/>
        <v>0</v>
      </c>
      <c r="AD1404" s="22">
        <f t="shared" si="272"/>
        <v>0</v>
      </c>
      <c r="AE1404" s="22">
        <f t="shared" si="273"/>
        <v>0</v>
      </c>
      <c r="AF1404" s="19" t="str">
        <f>VLOOKUP(C1404,'2021-22 School Level AAFTE'!C:N,12,FALSE)</f>
        <v>No</v>
      </c>
    </row>
    <row r="1405" spans="1:32" s="5" customFormat="1">
      <c r="A1405" s="97" t="s">
        <v>2445</v>
      </c>
      <c r="B1405" s="97" t="s">
        <v>1413</v>
      </c>
      <c r="C1405" s="95">
        <v>4547</v>
      </c>
      <c r="D1405" s="95" t="s">
        <v>1417</v>
      </c>
      <c r="E1405" s="129">
        <f>VLOOKUP($C1405,'2021-22 School Level AAFTE'!$C:$Z,11,FALSE)</f>
        <v>0.31790000000000002</v>
      </c>
      <c r="F1405" s="129" t="str">
        <f>VLOOKUP($C1405,'2021-22 School Level AAFTE'!$C:$Z,8,FALSE)</f>
        <v>No</v>
      </c>
      <c r="G1405" s="129" t="str">
        <f>VLOOKUP($C1405,'2021-22 School Level AAFTE'!$C:$Z,12,FALSE)</f>
        <v>No</v>
      </c>
      <c r="H1405" s="127">
        <f>VLOOKUP($C1405,'2021-22 School Level AAFTE'!$C:$I,7,FALSE)</f>
        <v>624.02</v>
      </c>
      <c r="I1405" s="112">
        <f>IFERROR(IF(OR(G1405="yes",F1405= "yes"),VLOOKUP(C1405,Summary!$B:$J,6,0),0),0)</f>
        <v>0</v>
      </c>
      <c r="J1405" s="111">
        <f t="shared" si="264"/>
        <v>0</v>
      </c>
      <c r="K1405" s="91">
        <f>VLOOKUP($A1405,'2022-23 Salary &amp; Benefits'!$A:$I,3,FALSE)</f>
        <v>1.06</v>
      </c>
      <c r="L1405" s="91">
        <f>VLOOKUP($A1405,'2022-23 Salary &amp; Benefits'!$A:$I,4,FALSE)</f>
        <v>1.06</v>
      </c>
      <c r="M1405" s="101">
        <f t="shared" si="271"/>
        <v>0</v>
      </c>
      <c r="N1405" s="24">
        <v>15</v>
      </c>
      <c r="O1405" s="26">
        <f t="shared" si="262"/>
        <v>0</v>
      </c>
      <c r="P1405" s="24">
        <v>1.1000000000000001</v>
      </c>
      <c r="Q1405" s="24">
        <v>36</v>
      </c>
      <c r="R1405" s="27">
        <f t="shared" si="263"/>
        <v>0</v>
      </c>
      <c r="S1405" s="102">
        <f t="shared" si="265"/>
        <v>0</v>
      </c>
      <c r="T1405" s="21">
        <f>VLOOKUP($A1405,'2022-23 Salary &amp; Benefits'!$A:$I,5,FALSE)</f>
        <v>68937</v>
      </c>
      <c r="U1405" s="21">
        <f>VLOOKUP($A1405,'2022-23 Salary &amp; Benefits'!$A:$I,6,FALSE)</f>
        <v>72728</v>
      </c>
      <c r="V1405" s="22">
        <f t="shared" si="266"/>
        <v>0</v>
      </c>
      <c r="W1405" s="22">
        <f t="shared" si="267"/>
        <v>0</v>
      </c>
      <c r="X1405" s="22">
        <f>'2022-23 Salary &amp; Benefits'!$G$6</f>
        <v>12558.24</v>
      </c>
      <c r="Y1405" s="23">
        <f>'2022-23 Salary &amp; Benefits'!$H$6</f>
        <v>0.2298</v>
      </c>
      <c r="Z1405" s="23">
        <f>'2022-23 Salary &amp; Benefits'!$I$6</f>
        <v>0.22339999999999999</v>
      </c>
      <c r="AA1405" s="22">
        <f t="shared" si="268"/>
        <v>0</v>
      </c>
      <c r="AB1405" s="22">
        <f t="shared" si="269"/>
        <v>0</v>
      </c>
      <c r="AC1405" s="22">
        <f t="shared" si="270"/>
        <v>0</v>
      </c>
      <c r="AD1405" s="22">
        <f t="shared" si="272"/>
        <v>0</v>
      </c>
      <c r="AE1405" s="22">
        <f t="shared" si="273"/>
        <v>0</v>
      </c>
      <c r="AF1405" s="19" t="str">
        <f>VLOOKUP(C1405,'2021-22 School Level AAFTE'!C:N,12,FALSE)</f>
        <v>No</v>
      </c>
    </row>
    <row r="1406" spans="1:32" s="5" customFormat="1">
      <c r="A1406" s="97" t="s">
        <v>2259</v>
      </c>
      <c r="B1406" s="97" t="s">
        <v>4</v>
      </c>
      <c r="C1406" s="95">
        <v>2902</v>
      </c>
      <c r="D1406" s="95" t="s">
        <v>5</v>
      </c>
      <c r="E1406" s="129">
        <f>VLOOKUP($C1406,'2021-22 School Level AAFTE'!$C:$Z,11,FALSE)</f>
        <v>0.81523333333333337</v>
      </c>
      <c r="F1406" s="129" t="str">
        <f>VLOOKUP($C1406,'2021-22 School Level AAFTE'!$C:$Z,8,FALSE)</f>
        <v>Yes</v>
      </c>
      <c r="G1406" s="129" t="str">
        <f>VLOOKUP($C1406,'2021-22 School Level AAFTE'!$C:$Z,12,FALSE)</f>
        <v>No</v>
      </c>
      <c r="H1406" s="127">
        <f>VLOOKUP($C1406,'2021-22 School Level AAFTE'!$C:$I,7,FALSE)</f>
        <v>591.76</v>
      </c>
      <c r="I1406" s="112">
        <f>IFERROR(IF(OR(G1406="yes",F1406= "yes"),VLOOKUP(C1406,Summary!$B:$J,6,0),0),0)</f>
        <v>0</v>
      </c>
      <c r="J1406" s="111">
        <f t="shared" si="264"/>
        <v>591.76</v>
      </c>
      <c r="K1406" s="91">
        <f>VLOOKUP($A1406,'2022-23 Salary &amp; Benefits'!$A:$I,3,FALSE)</f>
        <v>1</v>
      </c>
      <c r="L1406" s="91">
        <f>VLOOKUP($A1406,'2022-23 Salary &amp; Benefits'!$A:$I,4,FALSE)</f>
        <v>1</v>
      </c>
      <c r="M1406" s="101">
        <f t="shared" si="271"/>
        <v>591.76</v>
      </c>
      <c r="N1406" s="24">
        <v>15</v>
      </c>
      <c r="O1406" s="26">
        <f t="shared" si="262"/>
        <v>39.450666666666663</v>
      </c>
      <c r="P1406" s="24">
        <v>1.1000000000000001</v>
      </c>
      <c r="Q1406" s="24">
        <v>36</v>
      </c>
      <c r="R1406" s="27">
        <f t="shared" si="263"/>
        <v>1562.2464</v>
      </c>
      <c r="S1406" s="102">
        <f t="shared" si="265"/>
        <v>1.736</v>
      </c>
      <c r="T1406" s="21">
        <f>VLOOKUP($A1406,'2022-23 Salary &amp; Benefits'!$A:$I,5,FALSE)</f>
        <v>68937</v>
      </c>
      <c r="U1406" s="21">
        <f>VLOOKUP($A1406,'2022-23 Salary &amp; Benefits'!$A:$I,6,FALSE)</f>
        <v>72728</v>
      </c>
      <c r="V1406" s="22">
        <f t="shared" si="266"/>
        <v>119674.63</v>
      </c>
      <c r="W1406" s="22">
        <f t="shared" si="267"/>
        <v>6581.179999999993</v>
      </c>
      <c r="X1406" s="22">
        <f>'2022-23 Salary &amp; Benefits'!$G$6</f>
        <v>12558.24</v>
      </c>
      <c r="Y1406" s="23">
        <f>'2022-23 Salary &amp; Benefits'!$H$6</f>
        <v>0.2298</v>
      </c>
      <c r="Z1406" s="23">
        <f>'2022-23 Salary &amp; Benefits'!$I$6</f>
        <v>0.22339999999999999</v>
      </c>
      <c r="AA1406" s="22">
        <f t="shared" si="268"/>
        <v>50772.57</v>
      </c>
      <c r="AB1406" s="22">
        <f t="shared" si="269"/>
        <v>2104.2600000000002</v>
      </c>
      <c r="AC1406" s="22">
        <f t="shared" si="270"/>
        <v>470.09</v>
      </c>
      <c r="AD1406" s="22">
        <f t="shared" si="272"/>
        <v>2574.3500000000004</v>
      </c>
      <c r="AE1406" s="22">
        <f t="shared" si="273"/>
        <v>179602.73</v>
      </c>
      <c r="AF1406" s="19" t="str">
        <f>VLOOKUP(C1406,'2021-22 School Level AAFTE'!C:N,12,FALSE)</f>
        <v>No</v>
      </c>
    </row>
    <row r="1407" spans="1:32" s="5" customFormat="1">
      <c r="A1407" s="97" t="s">
        <v>2259</v>
      </c>
      <c r="B1407" s="97" t="s">
        <v>4</v>
      </c>
      <c r="C1407" s="95">
        <v>2961</v>
      </c>
      <c r="D1407" s="95" t="s">
        <v>6</v>
      </c>
      <c r="E1407" s="129">
        <f>VLOOKUP($C1407,'2021-22 School Level AAFTE'!$C:$Z,11,FALSE)</f>
        <v>0.81186666666666663</v>
      </c>
      <c r="F1407" s="129" t="str">
        <f>VLOOKUP($C1407,'2021-22 School Level AAFTE'!$C:$Z,8,FALSE)</f>
        <v>Yes</v>
      </c>
      <c r="G1407" s="129" t="str">
        <f>VLOOKUP($C1407,'2021-22 School Level AAFTE'!$C:$Z,12,FALSE)</f>
        <v>No</v>
      </c>
      <c r="H1407" s="127">
        <f>VLOOKUP($C1407,'2021-22 School Level AAFTE'!$C:$I,7,FALSE)</f>
        <v>588.14</v>
      </c>
      <c r="I1407" s="112">
        <f>IFERROR(IF(OR(G1407="yes",F1407= "yes"),VLOOKUP(C1407,Summary!$B:$J,6,0),0),0)</f>
        <v>0</v>
      </c>
      <c r="J1407" s="111">
        <f t="shared" si="264"/>
        <v>588.14</v>
      </c>
      <c r="K1407" s="91">
        <f>VLOOKUP($A1407,'2022-23 Salary &amp; Benefits'!$A:$I,3,FALSE)</f>
        <v>1</v>
      </c>
      <c r="L1407" s="91">
        <f>VLOOKUP($A1407,'2022-23 Salary &amp; Benefits'!$A:$I,4,FALSE)</f>
        <v>1</v>
      </c>
      <c r="M1407" s="101">
        <f t="shared" si="271"/>
        <v>588.14</v>
      </c>
      <c r="N1407" s="24">
        <v>15</v>
      </c>
      <c r="O1407" s="26">
        <f t="shared" si="262"/>
        <v>39.209333333333333</v>
      </c>
      <c r="P1407" s="24">
        <v>1.1000000000000001</v>
      </c>
      <c r="Q1407" s="24">
        <v>36</v>
      </c>
      <c r="R1407" s="27">
        <f t="shared" si="263"/>
        <v>1552.6896000000002</v>
      </c>
      <c r="S1407" s="102">
        <f t="shared" si="265"/>
        <v>1.7250000000000001</v>
      </c>
      <c r="T1407" s="21">
        <f>VLOOKUP($A1407,'2022-23 Salary &amp; Benefits'!$A:$I,5,FALSE)</f>
        <v>68937</v>
      </c>
      <c r="U1407" s="21">
        <f>VLOOKUP($A1407,'2022-23 Salary &amp; Benefits'!$A:$I,6,FALSE)</f>
        <v>72728</v>
      </c>
      <c r="V1407" s="22">
        <f t="shared" si="266"/>
        <v>118916.33</v>
      </c>
      <c r="W1407" s="22">
        <f t="shared" si="267"/>
        <v>6539.4700000000012</v>
      </c>
      <c r="X1407" s="22">
        <f>'2022-23 Salary &amp; Benefits'!$G$6</f>
        <v>12558.24</v>
      </c>
      <c r="Y1407" s="23">
        <f>'2022-23 Salary &amp; Benefits'!$H$6</f>
        <v>0.2298</v>
      </c>
      <c r="Z1407" s="23">
        <f>'2022-23 Salary &amp; Benefits'!$I$6</f>
        <v>0.22339999999999999</v>
      </c>
      <c r="AA1407" s="22">
        <f t="shared" si="268"/>
        <v>50450.85</v>
      </c>
      <c r="AB1407" s="22">
        <f t="shared" si="269"/>
        <v>2090.9299999999998</v>
      </c>
      <c r="AC1407" s="22">
        <f t="shared" si="270"/>
        <v>467.11</v>
      </c>
      <c r="AD1407" s="22">
        <f t="shared" si="272"/>
        <v>2558.04</v>
      </c>
      <c r="AE1407" s="22">
        <f t="shared" si="273"/>
        <v>178464.69</v>
      </c>
      <c r="AF1407" s="19" t="str">
        <f>VLOOKUP(C1407,'2021-22 School Level AAFTE'!C:N,12,FALSE)</f>
        <v>No</v>
      </c>
    </row>
    <row r="1408" spans="1:32" s="5" customFormat="1">
      <c r="A1408" s="56" t="s">
        <v>2259</v>
      </c>
      <c r="B1408" s="97" t="s">
        <v>4</v>
      </c>
      <c r="C1408" s="95">
        <v>3015</v>
      </c>
      <c r="D1408" s="56" t="s">
        <v>7</v>
      </c>
      <c r="E1408" s="129">
        <f>VLOOKUP($C1408,'2021-22 School Level AAFTE'!$C:$Z,11,FALSE)</f>
        <v>0.73993333333333322</v>
      </c>
      <c r="F1408" s="129" t="str">
        <f>VLOOKUP($C1408,'2021-22 School Level AAFTE'!$C:$Z,8,FALSE)</f>
        <v>Yes</v>
      </c>
      <c r="G1408" s="129" t="str">
        <f>VLOOKUP($C1408,'2021-22 School Level AAFTE'!$C:$Z,12,FALSE)</f>
        <v>No</v>
      </c>
      <c r="H1408" s="127">
        <f>VLOOKUP($C1408,'2021-22 School Level AAFTE'!$C:$I,7,FALSE)</f>
        <v>1207.29</v>
      </c>
      <c r="I1408" s="112">
        <f>IFERROR(IF(OR(G1408="yes",F1408= "yes"),VLOOKUP(C1408,Summary!$B:$J,6,0),0),0)</f>
        <v>0</v>
      </c>
      <c r="J1408" s="111">
        <f t="shared" si="264"/>
        <v>1207.29</v>
      </c>
      <c r="K1408" s="91">
        <f>VLOOKUP($A1408,'2022-23 Salary &amp; Benefits'!$A:$I,3,FALSE)</f>
        <v>1</v>
      </c>
      <c r="L1408" s="91">
        <f>VLOOKUP($A1408,'2022-23 Salary &amp; Benefits'!$A:$I,4,FALSE)</f>
        <v>1</v>
      </c>
      <c r="M1408" s="39">
        <f t="shared" si="271"/>
        <v>1207.29</v>
      </c>
      <c r="N1408" s="24">
        <v>15</v>
      </c>
      <c r="O1408" s="26">
        <f t="shared" si="262"/>
        <v>80.486000000000004</v>
      </c>
      <c r="P1408" s="24">
        <v>1.1000000000000001</v>
      </c>
      <c r="Q1408" s="24">
        <v>36</v>
      </c>
      <c r="R1408" s="27">
        <f t="shared" si="263"/>
        <v>3187.2456000000002</v>
      </c>
      <c r="S1408" s="102">
        <f t="shared" si="265"/>
        <v>3.5409999999999999</v>
      </c>
      <c r="T1408" s="21">
        <f>VLOOKUP($A1408,'2022-23 Salary &amp; Benefits'!$A:$I,5,FALSE)</f>
        <v>68937</v>
      </c>
      <c r="U1408" s="21">
        <f>VLOOKUP($A1408,'2022-23 Salary &amp; Benefits'!$A:$I,6,FALSE)</f>
        <v>72728</v>
      </c>
      <c r="V1408" s="22">
        <f t="shared" si="266"/>
        <v>244105.92</v>
      </c>
      <c r="W1408" s="22">
        <f t="shared" si="267"/>
        <v>13423.929999999993</v>
      </c>
      <c r="X1408" s="22">
        <f>'2022-23 Salary &amp; Benefits'!$G$6</f>
        <v>12558.24</v>
      </c>
      <c r="Y1408" s="23">
        <f>'2022-23 Salary &amp; Benefits'!$H$6</f>
        <v>0.2298</v>
      </c>
      <c r="Z1408" s="23">
        <f>'2022-23 Salary &amp; Benefits'!$I$6</f>
        <v>0.22339999999999999</v>
      </c>
      <c r="AA1408" s="22">
        <f t="shared" si="268"/>
        <v>103563.17</v>
      </c>
      <c r="AB1408" s="22">
        <f t="shared" si="269"/>
        <v>4292.16</v>
      </c>
      <c r="AC1408" s="22">
        <f t="shared" si="270"/>
        <v>958.87</v>
      </c>
      <c r="AD1408" s="22">
        <f t="shared" si="272"/>
        <v>5251.03</v>
      </c>
      <c r="AE1408" s="22">
        <f t="shared" si="273"/>
        <v>366344.05000000005</v>
      </c>
      <c r="AF1408" s="19" t="str">
        <f>VLOOKUP(C1408,'2021-22 School Level AAFTE'!C:N,12,FALSE)</f>
        <v>No</v>
      </c>
    </row>
    <row r="1409" spans="1:32" s="5" customFormat="1">
      <c r="A1409" s="97" t="s">
        <v>2259</v>
      </c>
      <c r="B1409" s="97" t="s">
        <v>4</v>
      </c>
      <c r="C1409" s="95">
        <v>3471</v>
      </c>
      <c r="D1409" s="95" t="s">
        <v>8</v>
      </c>
      <c r="E1409" s="129">
        <f>VLOOKUP($C1409,'2021-22 School Level AAFTE'!$C:$Z,11,FALSE)</f>
        <v>0.82350000000000001</v>
      </c>
      <c r="F1409" s="129" t="str">
        <f>VLOOKUP($C1409,'2021-22 School Level AAFTE'!$C:$Z,8,FALSE)</f>
        <v>Yes</v>
      </c>
      <c r="G1409" s="129" t="str">
        <f>VLOOKUP($C1409,'2021-22 School Level AAFTE'!$C:$Z,12,FALSE)</f>
        <v>No</v>
      </c>
      <c r="H1409" s="127">
        <f>VLOOKUP($C1409,'2021-22 School Level AAFTE'!$C:$I,7,FALSE)</f>
        <v>728.91</v>
      </c>
      <c r="I1409" s="112">
        <f>IFERROR(IF(OR(G1409="yes",F1409= "yes"),VLOOKUP(C1409,Summary!$B:$J,6,0),0),0)</f>
        <v>0</v>
      </c>
      <c r="J1409" s="111">
        <f t="shared" si="264"/>
        <v>728.91</v>
      </c>
      <c r="K1409" s="91">
        <f>VLOOKUP($A1409,'2022-23 Salary &amp; Benefits'!$A:$I,3,FALSE)</f>
        <v>1</v>
      </c>
      <c r="L1409" s="91">
        <f>VLOOKUP($A1409,'2022-23 Salary &amp; Benefits'!$A:$I,4,FALSE)</f>
        <v>1</v>
      </c>
      <c r="M1409" s="39">
        <f t="shared" si="271"/>
        <v>728.91</v>
      </c>
      <c r="N1409" s="24">
        <v>15</v>
      </c>
      <c r="O1409" s="26">
        <f t="shared" si="262"/>
        <v>48.594000000000001</v>
      </c>
      <c r="P1409" s="24">
        <v>1.1000000000000001</v>
      </c>
      <c r="Q1409" s="24">
        <v>36</v>
      </c>
      <c r="R1409" s="27">
        <f t="shared" si="263"/>
        <v>1924.3224000000002</v>
      </c>
      <c r="S1409" s="102">
        <f t="shared" si="265"/>
        <v>2.1379999999999999</v>
      </c>
      <c r="T1409" s="21">
        <f>VLOOKUP($A1409,'2022-23 Salary &amp; Benefits'!$A:$I,5,FALSE)</f>
        <v>68937</v>
      </c>
      <c r="U1409" s="21">
        <f>VLOOKUP($A1409,'2022-23 Salary &amp; Benefits'!$A:$I,6,FALSE)</f>
        <v>72728</v>
      </c>
      <c r="V1409" s="22">
        <f t="shared" si="266"/>
        <v>147387.31</v>
      </c>
      <c r="W1409" s="22">
        <f t="shared" si="267"/>
        <v>8105.1499999999942</v>
      </c>
      <c r="X1409" s="22">
        <f>'2022-23 Salary &amp; Benefits'!$G$6</f>
        <v>12558.24</v>
      </c>
      <c r="Y1409" s="23">
        <f>'2022-23 Salary &amp; Benefits'!$H$6</f>
        <v>0.2298</v>
      </c>
      <c r="Z1409" s="23">
        <f>'2022-23 Salary &amp; Benefits'!$I$6</f>
        <v>0.22339999999999999</v>
      </c>
      <c r="AA1409" s="22">
        <f t="shared" si="268"/>
        <v>62529.81</v>
      </c>
      <c r="AB1409" s="22">
        <f t="shared" si="269"/>
        <v>2591.54</v>
      </c>
      <c r="AC1409" s="22">
        <f t="shared" si="270"/>
        <v>578.95000000000005</v>
      </c>
      <c r="AD1409" s="22">
        <f t="shared" si="272"/>
        <v>3170.49</v>
      </c>
      <c r="AE1409" s="22">
        <f t="shared" si="273"/>
        <v>221192.75999999998</v>
      </c>
      <c r="AF1409" s="19" t="str">
        <f>VLOOKUP(C1409,'2021-22 School Level AAFTE'!C:N,12,FALSE)</f>
        <v>No</v>
      </c>
    </row>
    <row r="1410" spans="1:32" s="5" customFormat="1">
      <c r="A1410" s="97" t="s">
        <v>2259</v>
      </c>
      <c r="B1410" s="97" t="s">
        <v>4</v>
      </c>
      <c r="C1410" s="95">
        <v>3730</v>
      </c>
      <c r="D1410" s="95" t="s">
        <v>9</v>
      </c>
      <c r="E1410" s="129">
        <f>VLOOKUP($C1410,'2021-22 School Level AAFTE'!$C:$Z,11,FALSE)</f>
        <v>0.76873333333333338</v>
      </c>
      <c r="F1410" s="129" t="str">
        <f>VLOOKUP($C1410,'2021-22 School Level AAFTE'!$C:$Z,8,FALSE)</f>
        <v>Yes</v>
      </c>
      <c r="G1410" s="129" t="str">
        <f>VLOOKUP($C1410,'2021-22 School Level AAFTE'!$C:$Z,12,FALSE)</f>
        <v>No</v>
      </c>
      <c r="H1410" s="127">
        <f>VLOOKUP($C1410,'2021-22 School Level AAFTE'!$C:$I,7,FALSE)</f>
        <v>598.71</v>
      </c>
      <c r="I1410" s="112">
        <f>IFERROR(IF(OR(G1410="yes",F1410= "yes"),VLOOKUP(C1410,Summary!$B:$J,6,0),0),0)</f>
        <v>0</v>
      </c>
      <c r="J1410" s="111">
        <f t="shared" si="264"/>
        <v>598.71</v>
      </c>
      <c r="K1410" s="91">
        <f>VLOOKUP($A1410,'2022-23 Salary &amp; Benefits'!$A:$I,3,FALSE)</f>
        <v>1</v>
      </c>
      <c r="L1410" s="91">
        <f>VLOOKUP($A1410,'2022-23 Salary &amp; Benefits'!$A:$I,4,FALSE)</f>
        <v>1</v>
      </c>
      <c r="M1410" s="39">
        <f t="shared" si="271"/>
        <v>598.71</v>
      </c>
      <c r="N1410" s="24">
        <v>15</v>
      </c>
      <c r="O1410" s="26">
        <f t="shared" si="262"/>
        <v>39.914000000000001</v>
      </c>
      <c r="P1410" s="24">
        <v>1.1000000000000001</v>
      </c>
      <c r="Q1410" s="24">
        <v>36</v>
      </c>
      <c r="R1410" s="27">
        <f t="shared" si="263"/>
        <v>1580.5944000000002</v>
      </c>
      <c r="S1410" s="102">
        <f t="shared" si="265"/>
        <v>1.756</v>
      </c>
      <c r="T1410" s="21">
        <f>VLOOKUP($A1410,'2022-23 Salary &amp; Benefits'!$A:$I,5,FALSE)</f>
        <v>68937</v>
      </c>
      <c r="U1410" s="21">
        <f>VLOOKUP($A1410,'2022-23 Salary &amp; Benefits'!$A:$I,6,FALSE)</f>
        <v>72728</v>
      </c>
      <c r="V1410" s="22">
        <f t="shared" si="266"/>
        <v>121053.37</v>
      </c>
      <c r="W1410" s="22">
        <f t="shared" si="267"/>
        <v>6657</v>
      </c>
      <c r="X1410" s="22">
        <f>'2022-23 Salary &amp; Benefits'!$G$6</f>
        <v>12558.24</v>
      </c>
      <c r="Y1410" s="23">
        <f>'2022-23 Salary &amp; Benefits'!$H$6</f>
        <v>0.2298</v>
      </c>
      <c r="Z1410" s="23">
        <f>'2022-23 Salary &amp; Benefits'!$I$6</f>
        <v>0.22339999999999999</v>
      </c>
      <c r="AA1410" s="22">
        <f t="shared" si="268"/>
        <v>51357.51</v>
      </c>
      <c r="AB1410" s="22">
        <f t="shared" si="269"/>
        <v>2128.5100000000002</v>
      </c>
      <c r="AC1410" s="22">
        <f t="shared" si="270"/>
        <v>475.51</v>
      </c>
      <c r="AD1410" s="22">
        <f t="shared" si="272"/>
        <v>2604.0200000000004</v>
      </c>
      <c r="AE1410" s="22">
        <f t="shared" si="273"/>
        <v>181671.9</v>
      </c>
      <c r="AF1410" s="19" t="str">
        <f>VLOOKUP(C1410,'2021-22 School Level AAFTE'!C:N,12,FALSE)</f>
        <v>No</v>
      </c>
    </row>
    <row r="1411" spans="1:32" s="5" customFormat="1">
      <c r="A1411" s="97" t="s">
        <v>2259</v>
      </c>
      <c r="B1411" s="97" t="s">
        <v>4</v>
      </c>
      <c r="C1411" s="95">
        <v>5285</v>
      </c>
      <c r="D1411" s="95" t="s">
        <v>10</v>
      </c>
      <c r="E1411" s="129">
        <f>VLOOKUP($C1411,'2021-22 School Level AAFTE'!$C:$Z,11,FALSE)</f>
        <v>0.78976666666666662</v>
      </c>
      <c r="F1411" s="129" t="str">
        <f>VLOOKUP($C1411,'2021-22 School Level AAFTE'!$C:$Z,8,FALSE)</f>
        <v>Yes</v>
      </c>
      <c r="G1411" s="129" t="str">
        <f>VLOOKUP($C1411,'2021-22 School Level AAFTE'!$C:$Z,12,FALSE)</f>
        <v>No</v>
      </c>
      <c r="H1411" s="127">
        <f>VLOOKUP($C1411,'2021-22 School Level AAFTE'!$C:$I,7,FALSE)</f>
        <v>587.42999999999995</v>
      </c>
      <c r="I1411" s="112">
        <f>IFERROR(IF(OR(G1411="yes",F1411= "yes"),VLOOKUP(C1411,Summary!$B:$J,6,0),0),0)</f>
        <v>0</v>
      </c>
      <c r="J1411" s="111">
        <f t="shared" si="264"/>
        <v>587.42999999999995</v>
      </c>
      <c r="K1411" s="91">
        <f>VLOOKUP($A1411,'2022-23 Salary &amp; Benefits'!$A:$I,3,FALSE)</f>
        <v>1</v>
      </c>
      <c r="L1411" s="91">
        <f>VLOOKUP($A1411,'2022-23 Salary &amp; Benefits'!$A:$I,4,FALSE)</f>
        <v>1</v>
      </c>
      <c r="M1411" s="39">
        <f t="shared" si="271"/>
        <v>587.42999999999995</v>
      </c>
      <c r="N1411" s="24">
        <v>15</v>
      </c>
      <c r="O1411" s="26">
        <f t="shared" si="262"/>
        <v>39.161999999999999</v>
      </c>
      <c r="P1411" s="24">
        <v>1.1000000000000001</v>
      </c>
      <c r="Q1411" s="24">
        <v>36</v>
      </c>
      <c r="R1411" s="27">
        <f t="shared" si="263"/>
        <v>1550.8152</v>
      </c>
      <c r="S1411" s="102">
        <f t="shared" si="265"/>
        <v>1.7230000000000001</v>
      </c>
      <c r="T1411" s="21">
        <f>VLOOKUP($A1411,'2022-23 Salary &amp; Benefits'!$A:$I,5,FALSE)</f>
        <v>68937</v>
      </c>
      <c r="U1411" s="21">
        <f>VLOOKUP($A1411,'2022-23 Salary &amp; Benefits'!$A:$I,6,FALSE)</f>
        <v>72728</v>
      </c>
      <c r="V1411" s="22">
        <f t="shared" si="266"/>
        <v>118778.45</v>
      </c>
      <c r="W1411" s="22">
        <f t="shared" si="267"/>
        <v>6531.8899999999994</v>
      </c>
      <c r="X1411" s="22">
        <f>'2022-23 Salary &amp; Benefits'!$G$6</f>
        <v>12558.24</v>
      </c>
      <c r="Y1411" s="23">
        <f>'2022-23 Salary &amp; Benefits'!$H$6</f>
        <v>0.2298</v>
      </c>
      <c r="Z1411" s="23">
        <f>'2022-23 Salary &amp; Benefits'!$I$6</f>
        <v>0.22339999999999999</v>
      </c>
      <c r="AA1411" s="22">
        <f t="shared" si="268"/>
        <v>50392.36</v>
      </c>
      <c r="AB1411" s="22">
        <f t="shared" si="269"/>
        <v>2088.5100000000002</v>
      </c>
      <c r="AC1411" s="22">
        <f t="shared" si="270"/>
        <v>466.57</v>
      </c>
      <c r="AD1411" s="22">
        <f t="shared" si="272"/>
        <v>2555.0800000000004</v>
      </c>
      <c r="AE1411" s="22">
        <f t="shared" si="273"/>
        <v>178257.78</v>
      </c>
      <c r="AF1411" s="19" t="str">
        <f>VLOOKUP(C1411,'2021-22 School Level AAFTE'!C:N,12,FALSE)</f>
        <v>No</v>
      </c>
    </row>
    <row r="1412" spans="1:32" s="5" customFormat="1">
      <c r="A1412" s="97" t="s">
        <v>2259</v>
      </c>
      <c r="B1412" s="97" t="s">
        <v>4</v>
      </c>
      <c r="C1412" s="95">
        <v>5367</v>
      </c>
      <c r="D1412" s="95" t="s">
        <v>11</v>
      </c>
      <c r="E1412" s="129">
        <f>VLOOKUP($C1412,'2021-22 School Level AAFTE'!$C:$Z,11,FALSE)</f>
        <v>0.85726666666666673</v>
      </c>
      <c r="F1412" s="129" t="str">
        <f>VLOOKUP($C1412,'2021-22 School Level AAFTE'!$C:$Z,8,FALSE)</f>
        <v>Yes</v>
      </c>
      <c r="G1412" s="129" t="str">
        <f>VLOOKUP($C1412,'2021-22 School Level AAFTE'!$C:$Z,12,FALSE)</f>
        <v>No</v>
      </c>
      <c r="H1412" s="127">
        <f>VLOOKUP($C1412,'2021-22 School Level AAFTE'!$C:$I,7,FALSE)</f>
        <v>114.21</v>
      </c>
      <c r="I1412" s="112">
        <f>IFERROR(IF(OR(G1412="yes",F1412= "yes"),VLOOKUP(C1412,Summary!$B:$J,6,0),0),0)</f>
        <v>0</v>
      </c>
      <c r="J1412" s="111">
        <f t="shared" si="264"/>
        <v>114.21</v>
      </c>
      <c r="K1412" s="91">
        <f>VLOOKUP($A1412,'2022-23 Salary &amp; Benefits'!$A:$I,3,FALSE)</f>
        <v>1</v>
      </c>
      <c r="L1412" s="91">
        <f>VLOOKUP($A1412,'2022-23 Salary &amp; Benefits'!$A:$I,4,FALSE)</f>
        <v>1</v>
      </c>
      <c r="M1412" s="39">
        <f t="shared" si="271"/>
        <v>114.21</v>
      </c>
      <c r="N1412" s="24">
        <v>15</v>
      </c>
      <c r="O1412" s="26">
        <f t="shared" si="262"/>
        <v>7.6139999999999999</v>
      </c>
      <c r="P1412" s="24">
        <v>1.1000000000000001</v>
      </c>
      <c r="Q1412" s="24">
        <v>36</v>
      </c>
      <c r="R1412" s="27">
        <f t="shared" si="263"/>
        <v>301.51440000000002</v>
      </c>
      <c r="S1412" s="102">
        <f t="shared" si="265"/>
        <v>0.33500000000000002</v>
      </c>
      <c r="T1412" s="21">
        <f>VLOOKUP($A1412,'2022-23 Salary &amp; Benefits'!$A:$I,5,FALSE)</f>
        <v>68937</v>
      </c>
      <c r="U1412" s="21">
        <f>VLOOKUP($A1412,'2022-23 Salary &amp; Benefits'!$A:$I,6,FALSE)</f>
        <v>72728</v>
      </c>
      <c r="V1412" s="22">
        <f t="shared" si="266"/>
        <v>23093.9</v>
      </c>
      <c r="W1412" s="22">
        <f t="shared" si="267"/>
        <v>1269.9799999999996</v>
      </c>
      <c r="X1412" s="22">
        <f>'2022-23 Salary &amp; Benefits'!$G$6</f>
        <v>12558.24</v>
      </c>
      <c r="Y1412" s="23">
        <f>'2022-23 Salary &amp; Benefits'!$H$6</f>
        <v>0.2298</v>
      </c>
      <c r="Z1412" s="23">
        <f>'2022-23 Salary &amp; Benefits'!$I$6</f>
        <v>0.22339999999999999</v>
      </c>
      <c r="AA1412" s="22">
        <f t="shared" si="268"/>
        <v>9797.7000000000007</v>
      </c>
      <c r="AB1412" s="22">
        <f t="shared" si="269"/>
        <v>406.06</v>
      </c>
      <c r="AC1412" s="22">
        <f t="shared" si="270"/>
        <v>90.71</v>
      </c>
      <c r="AD1412" s="22">
        <f t="shared" si="272"/>
        <v>496.77</v>
      </c>
      <c r="AE1412" s="22">
        <f t="shared" si="273"/>
        <v>34658.35</v>
      </c>
      <c r="AF1412" s="19" t="str">
        <f>VLOOKUP(C1412,'2021-22 School Level AAFTE'!C:N,12,FALSE)</f>
        <v>No</v>
      </c>
    </row>
    <row r="1413" spans="1:32" s="5" customFormat="1">
      <c r="A1413" s="97" t="s">
        <v>2259</v>
      </c>
      <c r="B1413" s="97" t="s">
        <v>4</v>
      </c>
      <c r="C1413" s="95">
        <v>5528</v>
      </c>
      <c r="D1413" s="95" t="s">
        <v>2984</v>
      </c>
      <c r="E1413" s="129">
        <f>VLOOKUP($C1413,'2021-22 School Level AAFTE'!$C:$Z,11,FALSE)</f>
        <v>0.73680000000000001</v>
      </c>
      <c r="F1413" s="129" t="str">
        <f>VLOOKUP($C1413,'2021-22 School Level AAFTE'!$C:$Z,8,FALSE)</f>
        <v>Yes</v>
      </c>
      <c r="G1413" s="129" t="str">
        <f>VLOOKUP($C1413,'2021-22 School Level AAFTE'!$C:$Z,12,FALSE)</f>
        <v>No</v>
      </c>
      <c r="H1413" s="127">
        <f>VLOOKUP($C1413,'2021-22 School Level AAFTE'!$C:$I,7,FALSE)</f>
        <v>18.29</v>
      </c>
      <c r="I1413" s="112">
        <f>IFERROR(IF(OR(G1413="yes",F1413= "yes"),VLOOKUP(C1413,Summary!$B:$J,6,0),0),0)</f>
        <v>0</v>
      </c>
      <c r="J1413" s="111">
        <f t="shared" si="264"/>
        <v>18.29</v>
      </c>
      <c r="K1413" s="91">
        <f>VLOOKUP($A1413,'2022-23 Salary &amp; Benefits'!$A:$I,3,FALSE)</f>
        <v>1</v>
      </c>
      <c r="L1413" s="91">
        <f>VLOOKUP($A1413,'2022-23 Salary &amp; Benefits'!$A:$I,4,FALSE)</f>
        <v>1</v>
      </c>
      <c r="M1413" s="39">
        <f t="shared" si="271"/>
        <v>18.29</v>
      </c>
      <c r="N1413" s="24">
        <v>15</v>
      </c>
      <c r="O1413" s="26">
        <f t="shared" si="262"/>
        <v>1.2193333333333334</v>
      </c>
      <c r="P1413" s="24">
        <v>1.1000000000000001</v>
      </c>
      <c r="Q1413" s="24">
        <v>36</v>
      </c>
      <c r="R1413" s="27">
        <f t="shared" si="263"/>
        <v>48.285600000000002</v>
      </c>
      <c r="S1413" s="102">
        <f t="shared" si="265"/>
        <v>5.3999999999999999E-2</v>
      </c>
      <c r="T1413" s="21">
        <f>VLOOKUP($A1413,'2022-23 Salary &amp; Benefits'!$A:$I,5,FALSE)</f>
        <v>68937</v>
      </c>
      <c r="U1413" s="21">
        <f>VLOOKUP($A1413,'2022-23 Salary &amp; Benefits'!$A:$I,6,FALSE)</f>
        <v>72728</v>
      </c>
      <c r="V1413" s="22">
        <f t="shared" si="266"/>
        <v>3722.6</v>
      </c>
      <c r="W1413" s="22">
        <f t="shared" si="267"/>
        <v>204.71000000000004</v>
      </c>
      <c r="X1413" s="22">
        <f>'2022-23 Salary &amp; Benefits'!$G$6</f>
        <v>12558.24</v>
      </c>
      <c r="Y1413" s="23">
        <f>'2022-23 Salary &amp; Benefits'!$H$6</f>
        <v>0.2298</v>
      </c>
      <c r="Z1413" s="23">
        <f>'2022-23 Salary &amp; Benefits'!$I$6</f>
        <v>0.22339999999999999</v>
      </c>
      <c r="AA1413" s="22">
        <f t="shared" si="268"/>
        <v>1579.33</v>
      </c>
      <c r="AB1413" s="22">
        <f t="shared" si="269"/>
        <v>65.459999999999994</v>
      </c>
      <c r="AC1413" s="22">
        <f t="shared" si="270"/>
        <v>14.62</v>
      </c>
      <c r="AD1413" s="22">
        <f t="shared" si="272"/>
        <v>80.08</v>
      </c>
      <c r="AE1413" s="22">
        <f t="shared" si="273"/>
        <v>5586.72</v>
      </c>
      <c r="AF1413" s="19" t="str">
        <f>VLOOKUP(C1413,'2021-22 School Level AAFTE'!C:N,12,FALSE)</f>
        <v>No</v>
      </c>
    </row>
    <row r="1414" spans="1:32" s="5" customFormat="1">
      <c r="A1414" s="97" t="s">
        <v>2259</v>
      </c>
      <c r="B1414" s="97" t="s">
        <v>4</v>
      </c>
      <c r="C1414" s="95">
        <v>5634</v>
      </c>
      <c r="D1414" s="95" t="s">
        <v>2971</v>
      </c>
      <c r="E1414" s="129">
        <f>VLOOKUP($C1414,'2021-22 School Level AAFTE'!$C:$Z,11,FALSE)</f>
        <v>0.6522</v>
      </c>
      <c r="F1414" s="129" t="str">
        <f>VLOOKUP($C1414,'2021-22 School Level AAFTE'!$C:$Z,8,FALSE)</f>
        <v>Yes</v>
      </c>
      <c r="G1414" s="129" t="str">
        <f>VLOOKUP($C1414,'2021-22 School Level AAFTE'!$C:$Z,12,FALSE)</f>
        <v>No</v>
      </c>
      <c r="H1414" s="127">
        <f>VLOOKUP($C1414,'2021-22 School Level AAFTE'!$C:$I,7,FALSE)</f>
        <v>20.71</v>
      </c>
      <c r="I1414" s="112">
        <f>IFERROR(IF(OR(G1414="yes",F1414= "yes"),VLOOKUP(C1414,Summary!$B:$J,6,0),0),0)</f>
        <v>0</v>
      </c>
      <c r="J1414" s="111">
        <f t="shared" si="264"/>
        <v>20.71</v>
      </c>
      <c r="K1414" s="91">
        <f>VLOOKUP($A1414,'2022-23 Salary &amp; Benefits'!$A:$I,3,FALSE)</f>
        <v>1</v>
      </c>
      <c r="L1414" s="91">
        <f>VLOOKUP($A1414,'2022-23 Salary &amp; Benefits'!$A:$I,4,FALSE)</f>
        <v>1</v>
      </c>
      <c r="M1414" s="39">
        <f t="shared" si="271"/>
        <v>20.71</v>
      </c>
      <c r="N1414" s="24">
        <v>15</v>
      </c>
      <c r="O1414" s="26">
        <f t="shared" si="262"/>
        <v>1.3806666666666667</v>
      </c>
      <c r="P1414" s="24">
        <v>1.1000000000000001</v>
      </c>
      <c r="Q1414" s="24">
        <v>36</v>
      </c>
      <c r="R1414" s="27">
        <f t="shared" si="263"/>
        <v>54.674400000000006</v>
      </c>
      <c r="S1414" s="102">
        <f t="shared" si="265"/>
        <v>6.0999999999999999E-2</v>
      </c>
      <c r="T1414" s="21">
        <f>VLOOKUP($A1414,'2022-23 Salary &amp; Benefits'!$A:$I,5,FALSE)</f>
        <v>68937</v>
      </c>
      <c r="U1414" s="21">
        <f>VLOOKUP($A1414,'2022-23 Salary &amp; Benefits'!$A:$I,6,FALSE)</f>
        <v>72728</v>
      </c>
      <c r="V1414" s="22">
        <f t="shared" si="266"/>
        <v>4205.16</v>
      </c>
      <c r="W1414" s="22">
        <f t="shared" si="267"/>
        <v>231.25</v>
      </c>
      <c r="X1414" s="22">
        <f>'2022-23 Salary &amp; Benefits'!$G$6</f>
        <v>12558.24</v>
      </c>
      <c r="Y1414" s="23">
        <f>'2022-23 Salary &amp; Benefits'!$H$6</f>
        <v>0.2298</v>
      </c>
      <c r="Z1414" s="23">
        <f>'2022-23 Salary &amp; Benefits'!$I$6</f>
        <v>0.22339999999999999</v>
      </c>
      <c r="AA1414" s="22">
        <f t="shared" si="268"/>
        <v>1784.06</v>
      </c>
      <c r="AB1414" s="22">
        <f t="shared" si="269"/>
        <v>73.94</v>
      </c>
      <c r="AC1414" s="22">
        <f t="shared" si="270"/>
        <v>16.52</v>
      </c>
      <c r="AD1414" s="22">
        <f t="shared" si="272"/>
        <v>90.46</v>
      </c>
      <c r="AE1414" s="22">
        <f t="shared" si="273"/>
        <v>6310.9299999999994</v>
      </c>
      <c r="AF1414" s="19" t="str">
        <f>VLOOKUP(C1414,'2021-22 School Level AAFTE'!C:N,12,FALSE)</f>
        <v>No</v>
      </c>
    </row>
    <row r="1415" spans="1:32" s="5" customFormat="1">
      <c r="A1415" s="97" t="s">
        <v>2303</v>
      </c>
      <c r="B1415" s="97" t="s">
        <v>344</v>
      </c>
      <c r="C1415" s="95">
        <v>2502</v>
      </c>
      <c r="D1415" s="95" t="s">
        <v>345</v>
      </c>
      <c r="E1415" s="129">
        <f>VLOOKUP($C1415,'2021-22 School Level AAFTE'!$C:$Z,11,FALSE)</f>
        <v>0.85279999999999989</v>
      </c>
      <c r="F1415" s="129" t="str">
        <f>VLOOKUP($C1415,'2021-22 School Level AAFTE'!$C:$Z,8,FALSE)</f>
        <v>Yes</v>
      </c>
      <c r="G1415" s="129" t="str">
        <f>VLOOKUP($C1415,'2021-22 School Level AAFTE'!$C:$Z,12,FALSE)</f>
        <v>No</v>
      </c>
      <c r="H1415" s="127">
        <f>VLOOKUP($C1415,'2021-22 School Level AAFTE'!$C:$I,7,FALSE)</f>
        <v>22</v>
      </c>
      <c r="I1415" s="112">
        <f>IFERROR(IF(OR(G1415="yes",F1415= "yes"),VLOOKUP(C1415,Summary!$B:$J,6,0),0),0)</f>
        <v>0</v>
      </c>
      <c r="J1415" s="111">
        <f t="shared" si="264"/>
        <v>22</v>
      </c>
      <c r="K1415" s="91">
        <f>VLOOKUP($A1415,'2022-23 Salary &amp; Benefits'!$A:$I,3,FALSE)</f>
        <v>1</v>
      </c>
      <c r="L1415" s="91">
        <f>VLOOKUP($A1415,'2022-23 Salary &amp; Benefits'!$A:$I,4,FALSE)</f>
        <v>1</v>
      </c>
      <c r="M1415" s="101">
        <f t="shared" si="271"/>
        <v>22</v>
      </c>
      <c r="N1415" s="24">
        <v>15</v>
      </c>
      <c r="O1415" s="26">
        <f t="shared" si="262"/>
        <v>1.4666666666666666</v>
      </c>
      <c r="P1415" s="24">
        <v>1.1000000000000001</v>
      </c>
      <c r="Q1415" s="24">
        <v>36</v>
      </c>
      <c r="R1415" s="27">
        <f t="shared" si="263"/>
        <v>58.08</v>
      </c>
      <c r="S1415" s="102">
        <f t="shared" si="265"/>
        <v>6.5000000000000002E-2</v>
      </c>
      <c r="T1415" s="21">
        <f>VLOOKUP($A1415,'2022-23 Salary &amp; Benefits'!$A:$I,5,FALSE)</f>
        <v>68937</v>
      </c>
      <c r="U1415" s="21">
        <f>VLOOKUP($A1415,'2022-23 Salary &amp; Benefits'!$A:$I,6,FALSE)</f>
        <v>72728</v>
      </c>
      <c r="V1415" s="22">
        <f t="shared" si="266"/>
        <v>4480.91</v>
      </c>
      <c r="W1415" s="22">
        <f t="shared" si="267"/>
        <v>246.40999999999985</v>
      </c>
      <c r="X1415" s="22">
        <f>'2022-23 Salary &amp; Benefits'!$G$6</f>
        <v>12558.24</v>
      </c>
      <c r="Y1415" s="23">
        <f>'2022-23 Salary &amp; Benefits'!$H$6</f>
        <v>0.2298</v>
      </c>
      <c r="Z1415" s="23">
        <f>'2022-23 Salary &amp; Benefits'!$I$6</f>
        <v>0.22339999999999999</v>
      </c>
      <c r="AA1415" s="22">
        <f t="shared" si="268"/>
        <v>1901.05</v>
      </c>
      <c r="AB1415" s="22">
        <f t="shared" si="269"/>
        <v>78.790000000000006</v>
      </c>
      <c r="AC1415" s="22">
        <f t="shared" si="270"/>
        <v>17.600000000000001</v>
      </c>
      <c r="AD1415" s="22">
        <f t="shared" si="272"/>
        <v>96.390000000000015</v>
      </c>
      <c r="AE1415" s="22">
        <f t="shared" si="273"/>
        <v>6724.76</v>
      </c>
      <c r="AF1415" s="19" t="str">
        <f>VLOOKUP(C1415,'2021-22 School Level AAFTE'!C:N,12,FALSE)</f>
        <v>No</v>
      </c>
    </row>
    <row r="1416" spans="1:32" s="5" customFormat="1">
      <c r="A1416" s="97" t="s">
        <v>2545</v>
      </c>
      <c r="B1416" s="97" t="s">
        <v>2143</v>
      </c>
      <c r="C1416" s="95">
        <v>1961</v>
      </c>
      <c r="D1416" s="95" t="s">
        <v>2144</v>
      </c>
      <c r="E1416" s="129">
        <f>VLOOKUP($C1416,'2021-22 School Level AAFTE'!$C:$Z,11,FALSE)</f>
        <v>0.26590000000000003</v>
      </c>
      <c r="F1416" s="129" t="str">
        <f>VLOOKUP($C1416,'2021-22 School Level AAFTE'!$C:$Z,8,FALSE)</f>
        <v>No</v>
      </c>
      <c r="G1416" s="129" t="str">
        <f>VLOOKUP($C1416,'2021-22 School Level AAFTE'!$C:$Z,12,FALSE)</f>
        <v>No</v>
      </c>
      <c r="H1416" s="127">
        <f>VLOOKUP($C1416,'2021-22 School Level AAFTE'!$C:$I,7,FALSE)</f>
        <v>32.86</v>
      </c>
      <c r="I1416" s="112">
        <f>IFERROR(IF(OR(G1416="yes",F1416= "yes"),VLOOKUP(C1416,Summary!$B:$J,6,0),0),0)</f>
        <v>0</v>
      </c>
      <c r="J1416" s="111">
        <f t="shared" si="264"/>
        <v>0</v>
      </c>
      <c r="K1416" s="91">
        <f>VLOOKUP($A1416,'2022-23 Salary &amp; Benefits'!$A:$I,3,FALSE)</f>
        <v>1</v>
      </c>
      <c r="L1416" s="91">
        <f>VLOOKUP($A1416,'2022-23 Salary &amp; Benefits'!$A:$I,4,FALSE)</f>
        <v>1</v>
      </c>
      <c r="M1416" s="101">
        <f t="shared" si="271"/>
        <v>0</v>
      </c>
      <c r="N1416" s="24">
        <v>15</v>
      </c>
      <c r="O1416" s="26">
        <f t="shared" si="262"/>
        <v>0</v>
      </c>
      <c r="P1416" s="24">
        <v>1.1000000000000001</v>
      </c>
      <c r="Q1416" s="24">
        <v>36</v>
      </c>
      <c r="R1416" s="27">
        <f t="shared" si="263"/>
        <v>0</v>
      </c>
      <c r="S1416" s="102">
        <f t="shared" si="265"/>
        <v>0</v>
      </c>
      <c r="T1416" s="21">
        <f>VLOOKUP($A1416,'2022-23 Salary &amp; Benefits'!$A:$I,5,FALSE)</f>
        <v>68937</v>
      </c>
      <c r="U1416" s="21">
        <f>VLOOKUP($A1416,'2022-23 Salary &amp; Benefits'!$A:$I,6,FALSE)</f>
        <v>72728</v>
      </c>
      <c r="V1416" s="22">
        <f t="shared" si="266"/>
        <v>0</v>
      </c>
      <c r="W1416" s="22">
        <f t="shared" si="267"/>
        <v>0</v>
      </c>
      <c r="X1416" s="22">
        <f>'2022-23 Salary &amp; Benefits'!$G$6</f>
        <v>12558.24</v>
      </c>
      <c r="Y1416" s="23">
        <f>'2022-23 Salary &amp; Benefits'!$H$6</f>
        <v>0.2298</v>
      </c>
      <c r="Z1416" s="23">
        <f>'2022-23 Salary &amp; Benefits'!$I$6</f>
        <v>0.22339999999999999</v>
      </c>
      <c r="AA1416" s="22">
        <f t="shared" si="268"/>
        <v>0</v>
      </c>
      <c r="AB1416" s="22">
        <f t="shared" si="269"/>
        <v>0</v>
      </c>
      <c r="AC1416" s="22">
        <f t="shared" si="270"/>
        <v>0</v>
      </c>
      <c r="AD1416" s="22">
        <f t="shared" si="272"/>
        <v>0</v>
      </c>
      <c r="AE1416" s="22">
        <f t="shared" si="273"/>
        <v>0</v>
      </c>
      <c r="AF1416" s="19" t="str">
        <f>VLOOKUP(C1416,'2021-22 School Level AAFTE'!C:N,12,FALSE)</f>
        <v>No</v>
      </c>
    </row>
    <row r="1417" spans="1:32" s="5" customFormat="1">
      <c r="A1417" s="97" t="s">
        <v>2545</v>
      </c>
      <c r="B1417" s="97" t="s">
        <v>2143</v>
      </c>
      <c r="C1417" s="95">
        <v>2622</v>
      </c>
      <c r="D1417" s="95" t="s">
        <v>2145</v>
      </c>
      <c r="E1417" s="129">
        <f>VLOOKUP($C1417,'2021-22 School Level AAFTE'!$C:$Z,11,FALSE)</f>
        <v>0.35233333333333333</v>
      </c>
      <c r="F1417" s="129" t="str">
        <f>VLOOKUP($C1417,'2021-22 School Level AAFTE'!$C:$Z,8,FALSE)</f>
        <v>No</v>
      </c>
      <c r="G1417" s="129" t="str">
        <f>VLOOKUP($C1417,'2021-22 School Level AAFTE'!$C:$Z,12,FALSE)</f>
        <v>No</v>
      </c>
      <c r="H1417" s="127">
        <f>VLOOKUP($C1417,'2021-22 School Level AAFTE'!$C:$I,7,FALSE)</f>
        <v>70.36</v>
      </c>
      <c r="I1417" s="112">
        <f>IFERROR(IF(OR(G1417="yes",F1417= "yes"),VLOOKUP(C1417,Summary!$B:$J,6,0),0),0)</f>
        <v>0</v>
      </c>
      <c r="J1417" s="111">
        <f t="shared" si="264"/>
        <v>0</v>
      </c>
      <c r="K1417" s="91">
        <f>VLOOKUP($A1417,'2022-23 Salary &amp; Benefits'!$A:$I,3,FALSE)</f>
        <v>1</v>
      </c>
      <c r="L1417" s="91">
        <f>VLOOKUP($A1417,'2022-23 Salary &amp; Benefits'!$A:$I,4,FALSE)</f>
        <v>1</v>
      </c>
      <c r="M1417" s="101">
        <f t="shared" si="271"/>
        <v>0</v>
      </c>
      <c r="N1417" s="24">
        <v>15</v>
      </c>
      <c r="O1417" s="26">
        <f t="shared" si="262"/>
        <v>0</v>
      </c>
      <c r="P1417" s="24">
        <v>1.1000000000000001</v>
      </c>
      <c r="Q1417" s="24">
        <v>36</v>
      </c>
      <c r="R1417" s="27">
        <f t="shared" si="263"/>
        <v>0</v>
      </c>
      <c r="S1417" s="102">
        <f t="shared" si="265"/>
        <v>0</v>
      </c>
      <c r="T1417" s="21">
        <f>VLOOKUP($A1417,'2022-23 Salary &amp; Benefits'!$A:$I,5,FALSE)</f>
        <v>68937</v>
      </c>
      <c r="U1417" s="21">
        <f>VLOOKUP($A1417,'2022-23 Salary &amp; Benefits'!$A:$I,6,FALSE)</f>
        <v>72728</v>
      </c>
      <c r="V1417" s="22">
        <f t="shared" si="266"/>
        <v>0</v>
      </c>
      <c r="W1417" s="22">
        <f t="shared" si="267"/>
        <v>0</v>
      </c>
      <c r="X1417" s="22">
        <f>'2022-23 Salary &amp; Benefits'!$G$6</f>
        <v>12558.24</v>
      </c>
      <c r="Y1417" s="23">
        <f>'2022-23 Salary &amp; Benefits'!$H$6</f>
        <v>0.2298</v>
      </c>
      <c r="Z1417" s="23">
        <f>'2022-23 Salary &amp; Benefits'!$I$6</f>
        <v>0.22339999999999999</v>
      </c>
      <c r="AA1417" s="22">
        <f t="shared" si="268"/>
        <v>0</v>
      </c>
      <c r="AB1417" s="22">
        <f t="shared" si="269"/>
        <v>0</v>
      </c>
      <c r="AC1417" s="22">
        <f t="shared" si="270"/>
        <v>0</v>
      </c>
      <c r="AD1417" s="22">
        <f t="shared" si="272"/>
        <v>0</v>
      </c>
      <c r="AE1417" s="22">
        <f t="shared" si="273"/>
        <v>0</v>
      </c>
      <c r="AF1417" s="19" t="str">
        <f>VLOOKUP(C1417,'2021-22 School Level AAFTE'!C:N,12,FALSE)</f>
        <v>No</v>
      </c>
    </row>
    <row r="1418" spans="1:32" s="5" customFormat="1">
      <c r="A1418" s="97" t="s">
        <v>2545</v>
      </c>
      <c r="B1418" s="97" t="s">
        <v>2143</v>
      </c>
      <c r="C1418" s="95">
        <v>2634</v>
      </c>
      <c r="D1418" s="95" t="s">
        <v>2146</v>
      </c>
      <c r="E1418" s="129">
        <f>VLOOKUP($C1418,'2021-22 School Level AAFTE'!$C:$Z,11,FALSE)</f>
        <v>0.3062333333333333</v>
      </c>
      <c r="F1418" s="129" t="str">
        <f>VLOOKUP($C1418,'2021-22 School Level AAFTE'!$C:$Z,8,FALSE)</f>
        <v>No</v>
      </c>
      <c r="G1418" s="129" t="str">
        <f>VLOOKUP($C1418,'2021-22 School Level AAFTE'!$C:$Z,12,FALSE)</f>
        <v>No</v>
      </c>
      <c r="H1418" s="127">
        <f>VLOOKUP($C1418,'2021-22 School Level AAFTE'!$C:$I,7,FALSE)</f>
        <v>50.919999999999995</v>
      </c>
      <c r="I1418" s="112">
        <f>IFERROR(IF(OR(G1418="yes",F1418= "yes"),VLOOKUP(C1418,Summary!$B:$J,6,0),0),0)</f>
        <v>0</v>
      </c>
      <c r="J1418" s="111">
        <f t="shared" si="264"/>
        <v>0</v>
      </c>
      <c r="K1418" s="91">
        <f>VLOOKUP($A1418,'2022-23 Salary &amp; Benefits'!$A:$I,3,FALSE)</f>
        <v>1</v>
      </c>
      <c r="L1418" s="91">
        <f>VLOOKUP($A1418,'2022-23 Salary &amp; Benefits'!$A:$I,4,FALSE)</f>
        <v>1</v>
      </c>
      <c r="M1418" s="101">
        <f t="shared" si="271"/>
        <v>0</v>
      </c>
      <c r="N1418" s="24">
        <v>15</v>
      </c>
      <c r="O1418" s="26">
        <f t="shared" ref="O1418:O1481" si="274">IF(M1418="no",0,M1418/N1418)</f>
        <v>0</v>
      </c>
      <c r="P1418" s="24">
        <v>1.1000000000000001</v>
      </c>
      <c r="Q1418" s="24">
        <v>36</v>
      </c>
      <c r="R1418" s="27">
        <f t="shared" ref="R1418:R1481" si="275">IF(M1418="no",0,O1418*P1418*Q1418)</f>
        <v>0</v>
      </c>
      <c r="S1418" s="102">
        <f t="shared" si="265"/>
        <v>0</v>
      </c>
      <c r="T1418" s="21">
        <f>VLOOKUP($A1418,'2022-23 Salary &amp; Benefits'!$A:$I,5,FALSE)</f>
        <v>68937</v>
      </c>
      <c r="U1418" s="21">
        <f>VLOOKUP($A1418,'2022-23 Salary &amp; Benefits'!$A:$I,6,FALSE)</f>
        <v>72728</v>
      </c>
      <c r="V1418" s="22">
        <f t="shared" si="266"/>
        <v>0</v>
      </c>
      <c r="W1418" s="22">
        <f t="shared" si="267"/>
        <v>0</v>
      </c>
      <c r="X1418" s="22">
        <f>'2022-23 Salary &amp; Benefits'!$G$6</f>
        <v>12558.24</v>
      </c>
      <c r="Y1418" s="23">
        <f>'2022-23 Salary &amp; Benefits'!$H$6</f>
        <v>0.2298</v>
      </c>
      <c r="Z1418" s="23">
        <f>'2022-23 Salary &amp; Benefits'!$I$6</f>
        <v>0.22339999999999999</v>
      </c>
      <c r="AA1418" s="22">
        <f t="shared" si="268"/>
        <v>0</v>
      </c>
      <c r="AB1418" s="22">
        <f t="shared" si="269"/>
        <v>0</v>
      </c>
      <c r="AC1418" s="22">
        <f t="shared" si="270"/>
        <v>0</v>
      </c>
      <c r="AD1418" s="22">
        <f t="shared" si="272"/>
        <v>0</v>
      </c>
      <c r="AE1418" s="22">
        <f t="shared" si="273"/>
        <v>0</v>
      </c>
      <c r="AF1418" s="19" t="str">
        <f>VLOOKUP(C1418,'2021-22 School Level AAFTE'!C:N,12,FALSE)</f>
        <v>No</v>
      </c>
    </row>
    <row r="1419" spans="1:32" s="5" customFormat="1">
      <c r="A1419" s="97" t="s">
        <v>2312</v>
      </c>
      <c r="B1419" s="97" t="s">
        <v>372</v>
      </c>
      <c r="C1419" s="95">
        <v>2267</v>
      </c>
      <c r="D1419" s="95" t="s">
        <v>181</v>
      </c>
      <c r="E1419" s="129">
        <f>VLOOKUP($C1419,'2021-22 School Level AAFTE'!$C:$Z,11,FALSE)</f>
        <v>0.5770333333333334</v>
      </c>
      <c r="F1419" s="129" t="str">
        <f>VLOOKUP($C1419,'2021-22 School Level AAFTE'!$C:$Z,8,FALSE)</f>
        <v>Yes</v>
      </c>
      <c r="G1419" s="129" t="str">
        <f>VLOOKUP($C1419,'2021-22 School Level AAFTE'!$C:$Z,12,FALSE)</f>
        <v>No</v>
      </c>
      <c r="H1419" s="127">
        <f>VLOOKUP($C1419,'2021-22 School Level AAFTE'!$C:$I,7,FALSE)</f>
        <v>1090.74</v>
      </c>
      <c r="I1419" s="112">
        <f>IFERROR(IF(OR(G1419="yes",F1419= "yes"),VLOOKUP(C1419,Summary!$B:$J,6,0),0),0)</f>
        <v>0</v>
      </c>
      <c r="J1419" s="111">
        <f t="shared" ref="J1419:J1482" si="276">IF(OR(G1419="yes",F1419= "yes"), H1419,0)</f>
        <v>1090.74</v>
      </c>
      <c r="K1419" s="91">
        <f>VLOOKUP($A1419,'2022-23 Salary &amp; Benefits'!$A:$I,3,FALSE)</f>
        <v>1</v>
      </c>
      <c r="L1419" s="91">
        <f>VLOOKUP($A1419,'2022-23 Salary &amp; Benefits'!$A:$I,4,FALSE)</f>
        <v>1</v>
      </c>
      <c r="M1419" s="101">
        <f t="shared" si="271"/>
        <v>1090.74</v>
      </c>
      <c r="N1419" s="24">
        <v>15</v>
      </c>
      <c r="O1419" s="26">
        <f t="shared" si="274"/>
        <v>72.715999999999994</v>
      </c>
      <c r="P1419" s="24">
        <v>1.1000000000000001</v>
      </c>
      <c r="Q1419" s="24">
        <v>36</v>
      </c>
      <c r="R1419" s="27">
        <f t="shared" si="275"/>
        <v>2879.5536000000002</v>
      </c>
      <c r="S1419" s="102">
        <f t="shared" ref="S1419:S1482" si="277">ROUND(IF(M1419="no",0,R1419/900),3)</f>
        <v>3.2</v>
      </c>
      <c r="T1419" s="21">
        <f>VLOOKUP($A1419,'2022-23 Salary &amp; Benefits'!$A:$I,5,FALSE)</f>
        <v>68937</v>
      </c>
      <c r="U1419" s="21">
        <f>VLOOKUP($A1419,'2022-23 Salary &amp; Benefits'!$A:$I,6,FALSE)</f>
        <v>72728</v>
      </c>
      <c r="V1419" s="22">
        <f t="shared" ref="V1419:V1482" si="278">ROUND($K1419*$T1419*$S1419,2)</f>
        <v>220598.39999999999</v>
      </c>
      <c r="W1419" s="22">
        <f t="shared" ref="W1419:W1482" si="279">ROUND($L1419*$U1419*$S1419,2)-V1419</f>
        <v>12131.200000000012</v>
      </c>
      <c r="X1419" s="22">
        <f>'2022-23 Salary &amp; Benefits'!$G$6</f>
        <v>12558.24</v>
      </c>
      <c r="Y1419" s="23">
        <f>'2022-23 Salary &amp; Benefits'!$H$6</f>
        <v>0.2298</v>
      </c>
      <c r="Z1419" s="23">
        <f>'2022-23 Salary &amp; Benefits'!$I$6</f>
        <v>0.22339999999999999</v>
      </c>
      <c r="AA1419" s="22">
        <f t="shared" ref="AA1419:AA1482" si="280">ROUND(V1419*Y1419+W1419*Z1419+S1419*X1419,2)</f>
        <v>93589.99</v>
      </c>
      <c r="AB1419" s="22">
        <f t="shared" ref="AB1419:AB1482" si="281">ROUND(($U1419*$L1419*$S1419/180*3),2)</f>
        <v>3878.83</v>
      </c>
      <c r="AC1419" s="22">
        <f t="shared" ref="AC1419:AC1482" si="282">ROUND(AB1419*Z1419,2)</f>
        <v>866.53</v>
      </c>
      <c r="AD1419" s="22">
        <f t="shared" si="272"/>
        <v>4745.3599999999997</v>
      </c>
      <c r="AE1419" s="22">
        <f t="shared" si="273"/>
        <v>331064.95</v>
      </c>
      <c r="AF1419" s="19" t="str">
        <f>VLOOKUP(C1419,'2021-22 School Level AAFTE'!C:N,12,FALSE)</f>
        <v>No</v>
      </c>
    </row>
    <row r="1420" spans="1:32" s="5" customFormat="1">
      <c r="A1420" s="97" t="s">
        <v>2312</v>
      </c>
      <c r="B1420" s="97" t="s">
        <v>372</v>
      </c>
      <c r="C1420" s="95">
        <v>2790</v>
      </c>
      <c r="D1420" s="95" t="s">
        <v>373</v>
      </c>
      <c r="E1420" s="129">
        <f>VLOOKUP($C1420,'2021-22 School Level AAFTE'!$C:$Z,11,FALSE)</f>
        <v>0.95256666666666667</v>
      </c>
      <c r="F1420" s="129" t="str">
        <f>VLOOKUP($C1420,'2021-22 School Level AAFTE'!$C:$Z,8,FALSE)</f>
        <v>Yes</v>
      </c>
      <c r="G1420" s="129" t="str">
        <f>VLOOKUP($C1420,'2021-22 School Level AAFTE'!$C:$Z,12,FALSE)</f>
        <v>No</v>
      </c>
      <c r="H1420" s="127">
        <f>VLOOKUP($C1420,'2021-22 School Level AAFTE'!$C:$I,7,FALSE)</f>
        <v>347.23</v>
      </c>
      <c r="I1420" s="112">
        <f>IFERROR(IF(OR(G1420="yes",F1420= "yes"),VLOOKUP(C1420,Summary!$B:$J,6,0),0),0)</f>
        <v>0</v>
      </c>
      <c r="J1420" s="111">
        <f t="shared" si="276"/>
        <v>347.23</v>
      </c>
      <c r="K1420" s="91">
        <f>VLOOKUP($A1420,'2022-23 Salary &amp; Benefits'!$A:$I,3,FALSE)</f>
        <v>1</v>
      </c>
      <c r="L1420" s="91">
        <f>VLOOKUP($A1420,'2022-23 Salary &amp; Benefits'!$A:$I,4,FALSE)</f>
        <v>1</v>
      </c>
      <c r="M1420" s="39">
        <f t="shared" si="271"/>
        <v>347.23</v>
      </c>
      <c r="N1420" s="24">
        <v>15</v>
      </c>
      <c r="O1420" s="26">
        <f t="shared" si="274"/>
        <v>23.148666666666667</v>
      </c>
      <c r="P1420" s="24">
        <v>1.1000000000000001</v>
      </c>
      <c r="Q1420" s="24">
        <v>36</v>
      </c>
      <c r="R1420" s="27">
        <f t="shared" si="275"/>
        <v>916.68720000000008</v>
      </c>
      <c r="S1420" s="102">
        <f t="shared" si="277"/>
        <v>1.0189999999999999</v>
      </c>
      <c r="T1420" s="21">
        <f>VLOOKUP($A1420,'2022-23 Salary &amp; Benefits'!$A:$I,5,FALSE)</f>
        <v>68937</v>
      </c>
      <c r="U1420" s="21">
        <f>VLOOKUP($A1420,'2022-23 Salary &amp; Benefits'!$A:$I,6,FALSE)</f>
        <v>72728</v>
      </c>
      <c r="V1420" s="22">
        <f t="shared" si="278"/>
        <v>70246.8</v>
      </c>
      <c r="W1420" s="22">
        <f t="shared" si="279"/>
        <v>3863.0299999999988</v>
      </c>
      <c r="X1420" s="22">
        <f>'2022-23 Salary &amp; Benefits'!$G$6</f>
        <v>12558.24</v>
      </c>
      <c r="Y1420" s="23">
        <f>'2022-23 Salary &amp; Benefits'!$H$6</f>
        <v>0.2298</v>
      </c>
      <c r="Z1420" s="23">
        <f>'2022-23 Salary &amp; Benefits'!$I$6</f>
        <v>0.22339999999999999</v>
      </c>
      <c r="AA1420" s="22">
        <f t="shared" si="280"/>
        <v>29802.560000000001</v>
      </c>
      <c r="AB1420" s="22">
        <f t="shared" si="281"/>
        <v>1235.1600000000001</v>
      </c>
      <c r="AC1420" s="22">
        <f t="shared" si="282"/>
        <v>275.93</v>
      </c>
      <c r="AD1420" s="22">
        <f t="shared" si="272"/>
        <v>1511.0900000000001</v>
      </c>
      <c r="AE1420" s="22">
        <f t="shared" si="273"/>
        <v>105423.48</v>
      </c>
      <c r="AF1420" s="19" t="str">
        <f>VLOOKUP(C1420,'2021-22 School Level AAFTE'!C:N,12,FALSE)</f>
        <v>No</v>
      </c>
    </row>
    <row r="1421" spans="1:32" s="5" customFormat="1">
      <c r="A1421" s="97" t="s">
        <v>2312</v>
      </c>
      <c r="B1421" s="97" t="s">
        <v>372</v>
      </c>
      <c r="C1421" s="95">
        <v>2917</v>
      </c>
      <c r="D1421" s="95" t="s">
        <v>374</v>
      </c>
      <c r="E1421" s="129">
        <f>VLOOKUP($C1421,'2021-22 School Level AAFTE'!$C:$Z,11,FALSE)</f>
        <v>0.7772</v>
      </c>
      <c r="F1421" s="129" t="str">
        <f>VLOOKUP($C1421,'2021-22 School Level AAFTE'!$C:$Z,8,FALSE)</f>
        <v>Yes</v>
      </c>
      <c r="G1421" s="129" t="str">
        <f>VLOOKUP($C1421,'2021-22 School Level AAFTE'!$C:$Z,12,FALSE)</f>
        <v>No</v>
      </c>
      <c r="H1421" s="127">
        <f>VLOOKUP($C1421,'2021-22 School Level AAFTE'!$C:$I,7,FALSE)</f>
        <v>2342.2799999999997</v>
      </c>
      <c r="I1421" s="112">
        <f>IFERROR(IF(OR(G1421="yes",F1421= "yes"),VLOOKUP(C1421,Summary!$B:$J,6,0),0),0)</f>
        <v>0</v>
      </c>
      <c r="J1421" s="111">
        <f t="shared" si="276"/>
        <v>2342.2799999999997</v>
      </c>
      <c r="K1421" s="91">
        <f>VLOOKUP($A1421,'2022-23 Salary &amp; Benefits'!$A:$I,3,FALSE)</f>
        <v>1</v>
      </c>
      <c r="L1421" s="91">
        <f>VLOOKUP($A1421,'2022-23 Salary &amp; Benefits'!$A:$I,4,FALSE)</f>
        <v>1</v>
      </c>
      <c r="M1421" s="39">
        <f t="shared" si="271"/>
        <v>2342.2799999999997</v>
      </c>
      <c r="N1421" s="24">
        <v>15</v>
      </c>
      <c r="O1421" s="26">
        <f t="shared" si="274"/>
        <v>156.15199999999999</v>
      </c>
      <c r="P1421" s="24">
        <v>1.1000000000000001</v>
      </c>
      <c r="Q1421" s="24">
        <v>36</v>
      </c>
      <c r="R1421" s="27">
        <f t="shared" si="275"/>
        <v>6183.6192000000001</v>
      </c>
      <c r="S1421" s="102">
        <f t="shared" si="277"/>
        <v>6.8710000000000004</v>
      </c>
      <c r="T1421" s="21">
        <f>VLOOKUP($A1421,'2022-23 Salary &amp; Benefits'!$A:$I,5,FALSE)</f>
        <v>68937</v>
      </c>
      <c r="U1421" s="21">
        <f>VLOOKUP($A1421,'2022-23 Salary &amp; Benefits'!$A:$I,6,FALSE)</f>
        <v>72728</v>
      </c>
      <c r="V1421" s="22">
        <f t="shared" si="278"/>
        <v>473666.13</v>
      </c>
      <c r="W1421" s="22">
        <f t="shared" si="279"/>
        <v>26047.960000000021</v>
      </c>
      <c r="X1421" s="22">
        <f>'2022-23 Salary &amp; Benefits'!$G$6</f>
        <v>12558.24</v>
      </c>
      <c r="Y1421" s="23">
        <f>'2022-23 Salary &amp; Benefits'!$H$6</f>
        <v>0.2298</v>
      </c>
      <c r="Z1421" s="23">
        <f>'2022-23 Salary &amp; Benefits'!$I$6</f>
        <v>0.22339999999999999</v>
      </c>
      <c r="AA1421" s="22">
        <f t="shared" si="280"/>
        <v>200955.26</v>
      </c>
      <c r="AB1421" s="22">
        <f t="shared" si="281"/>
        <v>8328.57</v>
      </c>
      <c r="AC1421" s="22">
        <f t="shared" si="282"/>
        <v>1860.6</v>
      </c>
      <c r="AD1421" s="22">
        <f t="shared" si="272"/>
        <v>10189.17</v>
      </c>
      <c r="AE1421" s="22">
        <f t="shared" si="273"/>
        <v>710858.52000000014</v>
      </c>
      <c r="AF1421" s="19" t="str">
        <f>VLOOKUP(C1421,'2021-22 School Level AAFTE'!C:N,12,FALSE)</f>
        <v>No</v>
      </c>
    </row>
    <row r="1422" spans="1:32" s="5" customFormat="1">
      <c r="A1422" s="97" t="s">
        <v>2312</v>
      </c>
      <c r="B1422" s="97" t="s">
        <v>372</v>
      </c>
      <c r="C1422" s="95">
        <v>2967</v>
      </c>
      <c r="D1422" s="95" t="s">
        <v>375</v>
      </c>
      <c r="E1422" s="129">
        <f>VLOOKUP($C1422,'2021-22 School Level AAFTE'!$C:$Z,11,FALSE)</f>
        <v>0.90666666666666662</v>
      </c>
      <c r="F1422" s="129" t="str">
        <f>VLOOKUP($C1422,'2021-22 School Level AAFTE'!$C:$Z,8,FALSE)</f>
        <v>Yes</v>
      </c>
      <c r="G1422" s="129" t="str">
        <f>VLOOKUP($C1422,'2021-22 School Level AAFTE'!$C:$Z,12,FALSE)</f>
        <v>No</v>
      </c>
      <c r="H1422" s="127">
        <f>VLOOKUP($C1422,'2021-22 School Level AAFTE'!$C:$I,7,FALSE)</f>
        <v>394.85</v>
      </c>
      <c r="I1422" s="112">
        <f>IFERROR(IF(OR(G1422="yes",F1422= "yes"),VLOOKUP(C1422,Summary!$B:$J,6,0),0),0)</f>
        <v>0</v>
      </c>
      <c r="J1422" s="111">
        <f t="shared" si="276"/>
        <v>394.85</v>
      </c>
      <c r="K1422" s="91">
        <f>VLOOKUP($A1422,'2022-23 Salary &amp; Benefits'!$A:$I,3,FALSE)</f>
        <v>1</v>
      </c>
      <c r="L1422" s="91">
        <f>VLOOKUP($A1422,'2022-23 Salary &amp; Benefits'!$A:$I,4,FALSE)</f>
        <v>1</v>
      </c>
      <c r="M1422" s="39">
        <f t="shared" ref="M1422:M1484" si="283">IF(I1422&gt;0,I1422,J1422)</f>
        <v>394.85</v>
      </c>
      <c r="N1422" s="24">
        <v>15</v>
      </c>
      <c r="O1422" s="26">
        <f t="shared" si="274"/>
        <v>26.323333333333334</v>
      </c>
      <c r="P1422" s="24">
        <v>1.1000000000000001</v>
      </c>
      <c r="Q1422" s="24">
        <v>36</v>
      </c>
      <c r="R1422" s="27">
        <f t="shared" si="275"/>
        <v>1042.404</v>
      </c>
      <c r="S1422" s="102">
        <f t="shared" si="277"/>
        <v>1.1579999999999999</v>
      </c>
      <c r="T1422" s="21">
        <f>VLOOKUP($A1422,'2022-23 Salary &amp; Benefits'!$A:$I,5,FALSE)</f>
        <v>68937</v>
      </c>
      <c r="U1422" s="21">
        <f>VLOOKUP($A1422,'2022-23 Salary &amp; Benefits'!$A:$I,6,FALSE)</f>
        <v>72728</v>
      </c>
      <c r="V1422" s="22">
        <f t="shared" si="278"/>
        <v>79829.05</v>
      </c>
      <c r="W1422" s="22">
        <f t="shared" si="279"/>
        <v>4389.9700000000012</v>
      </c>
      <c r="X1422" s="22">
        <f>'2022-23 Salary &amp; Benefits'!$G$6</f>
        <v>12558.24</v>
      </c>
      <c r="Y1422" s="23">
        <f>'2022-23 Salary &amp; Benefits'!$H$6</f>
        <v>0.2298</v>
      </c>
      <c r="Z1422" s="23">
        <f>'2022-23 Salary &amp; Benefits'!$I$6</f>
        <v>0.22339999999999999</v>
      </c>
      <c r="AA1422" s="22">
        <f t="shared" si="280"/>
        <v>33867.879999999997</v>
      </c>
      <c r="AB1422" s="22">
        <f t="shared" si="281"/>
        <v>1403.65</v>
      </c>
      <c r="AC1422" s="22">
        <f t="shared" si="282"/>
        <v>313.58</v>
      </c>
      <c r="AD1422" s="22">
        <f t="shared" ref="AD1422:AD1484" si="284">SUM(AB1422:AC1422)</f>
        <v>1717.23</v>
      </c>
      <c r="AE1422" s="22">
        <f t="shared" ref="AE1422:AE1484" si="285">SUM(AA1422,V1422:W1422,AD1422)</f>
        <v>119804.12999999999</v>
      </c>
      <c r="AF1422" s="19" t="str">
        <f>VLOOKUP(C1422,'2021-22 School Level AAFTE'!C:N,12,FALSE)</f>
        <v>No</v>
      </c>
    </row>
    <row r="1423" spans="1:32" s="5" customFormat="1">
      <c r="A1423" s="97" t="s">
        <v>2312</v>
      </c>
      <c r="B1423" s="97" t="s">
        <v>372</v>
      </c>
      <c r="C1423" s="95">
        <v>3085</v>
      </c>
      <c r="D1423" s="95" t="s">
        <v>376</v>
      </c>
      <c r="E1423" s="129">
        <f>VLOOKUP($C1423,'2021-22 School Level AAFTE'!$C:$Z,11,FALSE)</f>
        <v>0.6819666666666665</v>
      </c>
      <c r="F1423" s="129" t="str">
        <f>VLOOKUP($C1423,'2021-22 School Level AAFTE'!$C:$Z,8,FALSE)</f>
        <v>Yes</v>
      </c>
      <c r="G1423" s="129" t="str">
        <f>VLOOKUP($C1423,'2021-22 School Level AAFTE'!$C:$Z,12,FALSE)</f>
        <v>No</v>
      </c>
      <c r="H1423" s="127">
        <f>VLOOKUP($C1423,'2021-22 School Level AAFTE'!$C:$I,7,FALSE)</f>
        <v>549.87</v>
      </c>
      <c r="I1423" s="112">
        <f>IFERROR(IF(OR(G1423="yes",F1423= "yes"),VLOOKUP(C1423,Summary!$B:$J,6,0),0),0)</f>
        <v>0</v>
      </c>
      <c r="J1423" s="111">
        <f t="shared" si="276"/>
        <v>549.87</v>
      </c>
      <c r="K1423" s="91">
        <f>VLOOKUP($A1423,'2022-23 Salary &amp; Benefits'!$A:$I,3,FALSE)</f>
        <v>1</v>
      </c>
      <c r="L1423" s="91">
        <f>VLOOKUP($A1423,'2022-23 Salary &amp; Benefits'!$A:$I,4,FALSE)</f>
        <v>1</v>
      </c>
      <c r="M1423" s="101">
        <f t="shared" si="283"/>
        <v>549.87</v>
      </c>
      <c r="N1423" s="24">
        <v>15</v>
      </c>
      <c r="O1423" s="26">
        <f t="shared" si="274"/>
        <v>36.658000000000001</v>
      </c>
      <c r="P1423" s="24">
        <v>1.1000000000000001</v>
      </c>
      <c r="Q1423" s="24">
        <v>36</v>
      </c>
      <c r="R1423" s="27">
        <f t="shared" si="275"/>
        <v>1451.6568000000002</v>
      </c>
      <c r="S1423" s="102">
        <f t="shared" si="277"/>
        <v>1.613</v>
      </c>
      <c r="T1423" s="21">
        <f>VLOOKUP($A1423,'2022-23 Salary &amp; Benefits'!$A:$I,5,FALSE)</f>
        <v>68937</v>
      </c>
      <c r="U1423" s="21">
        <f>VLOOKUP($A1423,'2022-23 Salary &amp; Benefits'!$A:$I,6,FALSE)</f>
        <v>72728</v>
      </c>
      <c r="V1423" s="22">
        <f t="shared" si="278"/>
        <v>111195.38</v>
      </c>
      <c r="W1423" s="22">
        <f t="shared" si="279"/>
        <v>6114.8799999999901</v>
      </c>
      <c r="X1423" s="22">
        <f>'2022-23 Salary &amp; Benefits'!$G$6</f>
        <v>12558.24</v>
      </c>
      <c r="Y1423" s="23">
        <f>'2022-23 Salary &amp; Benefits'!$H$6</f>
        <v>0.2298</v>
      </c>
      <c r="Z1423" s="23">
        <f>'2022-23 Salary &amp; Benefits'!$I$6</f>
        <v>0.22339999999999999</v>
      </c>
      <c r="AA1423" s="22">
        <f t="shared" si="280"/>
        <v>47175.199999999997</v>
      </c>
      <c r="AB1423" s="22">
        <f t="shared" si="281"/>
        <v>1955.17</v>
      </c>
      <c r="AC1423" s="22">
        <f t="shared" si="282"/>
        <v>436.78</v>
      </c>
      <c r="AD1423" s="22">
        <f t="shared" si="284"/>
        <v>2391.9499999999998</v>
      </c>
      <c r="AE1423" s="22">
        <f t="shared" si="285"/>
        <v>166877.41000000003</v>
      </c>
      <c r="AF1423" s="19" t="str">
        <f>VLOOKUP(C1423,'2021-22 School Level AAFTE'!C:N,12,FALSE)</f>
        <v>No</v>
      </c>
    </row>
    <row r="1424" spans="1:32" s="5" customFormat="1">
      <c r="A1424" s="97" t="s">
        <v>2312</v>
      </c>
      <c r="B1424" s="97" t="s">
        <v>372</v>
      </c>
      <c r="C1424" s="95">
        <v>3324</v>
      </c>
      <c r="D1424" s="95" t="s">
        <v>141</v>
      </c>
      <c r="E1424" s="129">
        <f>VLOOKUP($C1424,'2021-22 School Level AAFTE'!$C:$Z,11,FALSE)</f>
        <v>0.94706666666666661</v>
      </c>
      <c r="F1424" s="129" t="str">
        <f>VLOOKUP($C1424,'2021-22 School Level AAFTE'!$C:$Z,8,FALSE)</f>
        <v>Yes</v>
      </c>
      <c r="G1424" s="129" t="str">
        <f>VLOOKUP($C1424,'2021-22 School Level AAFTE'!$C:$Z,12,FALSE)</f>
        <v>No</v>
      </c>
      <c r="H1424" s="127">
        <f>VLOOKUP($C1424,'2021-22 School Level AAFTE'!$C:$I,7,FALSE)</f>
        <v>948.57</v>
      </c>
      <c r="I1424" s="112">
        <f>IFERROR(IF(OR(G1424="yes",F1424= "yes"),VLOOKUP(C1424,Summary!$B:$J,6,0),0),0)</f>
        <v>0</v>
      </c>
      <c r="J1424" s="111">
        <f t="shared" si="276"/>
        <v>948.57</v>
      </c>
      <c r="K1424" s="91">
        <f>VLOOKUP($A1424,'2022-23 Salary &amp; Benefits'!$A:$I,3,FALSE)</f>
        <v>1</v>
      </c>
      <c r="L1424" s="91">
        <f>VLOOKUP($A1424,'2022-23 Salary &amp; Benefits'!$A:$I,4,FALSE)</f>
        <v>1</v>
      </c>
      <c r="M1424" s="39">
        <f t="shared" si="283"/>
        <v>948.57</v>
      </c>
      <c r="N1424" s="24">
        <v>15</v>
      </c>
      <c r="O1424" s="26">
        <f t="shared" si="274"/>
        <v>63.238000000000007</v>
      </c>
      <c r="P1424" s="24">
        <v>1.1000000000000001</v>
      </c>
      <c r="Q1424" s="24">
        <v>36</v>
      </c>
      <c r="R1424" s="27">
        <f t="shared" si="275"/>
        <v>2504.2248000000009</v>
      </c>
      <c r="S1424" s="102">
        <f t="shared" si="277"/>
        <v>2.782</v>
      </c>
      <c r="T1424" s="21">
        <f>VLOOKUP($A1424,'2022-23 Salary &amp; Benefits'!$A:$I,5,FALSE)</f>
        <v>68937</v>
      </c>
      <c r="U1424" s="21">
        <f>VLOOKUP($A1424,'2022-23 Salary &amp; Benefits'!$A:$I,6,FALSE)</f>
        <v>72728</v>
      </c>
      <c r="V1424" s="22">
        <f t="shared" si="278"/>
        <v>191782.73</v>
      </c>
      <c r="W1424" s="22">
        <f t="shared" si="279"/>
        <v>10546.569999999978</v>
      </c>
      <c r="X1424" s="22">
        <f>'2022-23 Salary &amp; Benefits'!$G$6</f>
        <v>12558.24</v>
      </c>
      <c r="Y1424" s="23">
        <f>'2022-23 Salary &amp; Benefits'!$H$6</f>
        <v>0.2298</v>
      </c>
      <c r="Z1424" s="23">
        <f>'2022-23 Salary &amp; Benefits'!$I$6</f>
        <v>0.22339999999999999</v>
      </c>
      <c r="AA1424" s="22">
        <f t="shared" si="280"/>
        <v>81364.800000000003</v>
      </c>
      <c r="AB1424" s="22">
        <f t="shared" si="281"/>
        <v>3372.15</v>
      </c>
      <c r="AC1424" s="22">
        <f t="shared" si="282"/>
        <v>753.34</v>
      </c>
      <c r="AD1424" s="22">
        <f t="shared" si="284"/>
        <v>4125.49</v>
      </c>
      <c r="AE1424" s="22">
        <f t="shared" si="285"/>
        <v>287819.58999999997</v>
      </c>
      <c r="AF1424" s="19" t="str">
        <f>VLOOKUP(C1424,'2021-22 School Level AAFTE'!C:N,12,FALSE)</f>
        <v>No</v>
      </c>
    </row>
    <row r="1425" spans="1:32" s="5" customFormat="1">
      <c r="A1425" s="97" t="s">
        <v>2312</v>
      </c>
      <c r="B1425" s="97" t="s">
        <v>372</v>
      </c>
      <c r="C1425" s="95">
        <v>3425</v>
      </c>
      <c r="D1425" s="95" t="s">
        <v>377</v>
      </c>
      <c r="E1425" s="129">
        <f>VLOOKUP($C1425,'2021-22 School Level AAFTE'!$C:$Z,11,FALSE)</f>
        <v>0.47056666666666663</v>
      </c>
      <c r="F1425" s="129" t="str">
        <f>VLOOKUP($C1425,'2021-22 School Level AAFTE'!$C:$Z,8,FALSE)</f>
        <v>No</v>
      </c>
      <c r="G1425" s="129" t="str">
        <f>VLOOKUP($C1425,'2021-22 School Level AAFTE'!$C:$Z,12,FALSE)</f>
        <v>No</v>
      </c>
      <c r="H1425" s="127">
        <f>VLOOKUP($C1425,'2021-22 School Level AAFTE'!$C:$I,7,FALSE)</f>
        <v>198.57</v>
      </c>
      <c r="I1425" s="112">
        <f>IFERROR(IF(OR(G1425="yes",F1425= "yes"),VLOOKUP(C1425,Summary!$B:$J,6,0),0),0)</f>
        <v>0</v>
      </c>
      <c r="J1425" s="111">
        <f t="shared" si="276"/>
        <v>0</v>
      </c>
      <c r="K1425" s="91">
        <f>VLOOKUP($A1425,'2022-23 Salary &amp; Benefits'!$A:$I,3,FALSE)</f>
        <v>1</v>
      </c>
      <c r="L1425" s="91">
        <f>VLOOKUP($A1425,'2022-23 Salary &amp; Benefits'!$A:$I,4,FALSE)</f>
        <v>1</v>
      </c>
      <c r="M1425" s="101">
        <f t="shared" si="283"/>
        <v>0</v>
      </c>
      <c r="N1425" s="24">
        <v>15</v>
      </c>
      <c r="O1425" s="26">
        <f t="shared" si="274"/>
        <v>0</v>
      </c>
      <c r="P1425" s="24">
        <v>1.1000000000000001</v>
      </c>
      <c r="Q1425" s="24">
        <v>36</v>
      </c>
      <c r="R1425" s="27">
        <f t="shared" si="275"/>
        <v>0</v>
      </c>
      <c r="S1425" s="102">
        <f t="shared" si="277"/>
        <v>0</v>
      </c>
      <c r="T1425" s="21">
        <f>VLOOKUP($A1425,'2022-23 Salary &amp; Benefits'!$A:$I,5,FALSE)</f>
        <v>68937</v>
      </c>
      <c r="U1425" s="21">
        <f>VLOOKUP($A1425,'2022-23 Salary &amp; Benefits'!$A:$I,6,FALSE)</f>
        <v>72728</v>
      </c>
      <c r="V1425" s="22">
        <f t="shared" si="278"/>
        <v>0</v>
      </c>
      <c r="W1425" s="22">
        <f t="shared" si="279"/>
        <v>0</v>
      </c>
      <c r="X1425" s="22">
        <f>'2022-23 Salary &amp; Benefits'!$G$6</f>
        <v>12558.24</v>
      </c>
      <c r="Y1425" s="23">
        <f>'2022-23 Salary &amp; Benefits'!$H$6</f>
        <v>0.2298</v>
      </c>
      <c r="Z1425" s="23">
        <f>'2022-23 Salary &amp; Benefits'!$I$6</f>
        <v>0.22339999999999999</v>
      </c>
      <c r="AA1425" s="22">
        <f t="shared" si="280"/>
        <v>0</v>
      </c>
      <c r="AB1425" s="22">
        <f t="shared" si="281"/>
        <v>0</v>
      </c>
      <c r="AC1425" s="22">
        <f t="shared" si="282"/>
        <v>0</v>
      </c>
      <c r="AD1425" s="22">
        <f t="shared" si="284"/>
        <v>0</v>
      </c>
      <c r="AE1425" s="22">
        <f t="shared" si="285"/>
        <v>0</v>
      </c>
      <c r="AF1425" s="19" t="str">
        <f>VLOOKUP(C1425,'2021-22 School Level AAFTE'!C:N,12,FALSE)</f>
        <v>No</v>
      </c>
    </row>
    <row r="1426" spans="1:32" s="5" customFormat="1">
      <c r="A1426" s="97" t="s">
        <v>2312</v>
      </c>
      <c r="B1426" s="97" t="s">
        <v>372</v>
      </c>
      <c r="C1426" s="95">
        <v>3515</v>
      </c>
      <c r="D1426" s="95" t="s">
        <v>378</v>
      </c>
      <c r="E1426" s="129">
        <f>VLOOKUP($C1426,'2021-22 School Level AAFTE'!$C:$Z,11,FALSE)</f>
        <v>0.94589999999999996</v>
      </c>
      <c r="F1426" s="129" t="str">
        <f>VLOOKUP($C1426,'2021-22 School Level AAFTE'!$C:$Z,8,FALSE)</f>
        <v>Yes</v>
      </c>
      <c r="G1426" s="129" t="str">
        <f>VLOOKUP($C1426,'2021-22 School Level AAFTE'!$C:$Z,12,FALSE)</f>
        <v>No</v>
      </c>
      <c r="H1426" s="127">
        <f>VLOOKUP($C1426,'2021-22 School Level AAFTE'!$C:$I,7,FALSE)</f>
        <v>511.31</v>
      </c>
      <c r="I1426" s="112">
        <f>IFERROR(IF(OR(G1426="yes",F1426= "yes"),VLOOKUP(C1426,Summary!$B:$J,6,0),0),0)</f>
        <v>0</v>
      </c>
      <c r="J1426" s="111">
        <f t="shared" si="276"/>
        <v>511.31</v>
      </c>
      <c r="K1426" s="91">
        <f>VLOOKUP($A1426,'2022-23 Salary &amp; Benefits'!$A:$I,3,FALSE)</f>
        <v>1</v>
      </c>
      <c r="L1426" s="91">
        <f>VLOOKUP($A1426,'2022-23 Salary &amp; Benefits'!$A:$I,4,FALSE)</f>
        <v>1</v>
      </c>
      <c r="M1426" s="101">
        <f t="shared" si="283"/>
        <v>511.31</v>
      </c>
      <c r="N1426" s="24">
        <v>15</v>
      </c>
      <c r="O1426" s="26">
        <f t="shared" si="274"/>
        <v>34.087333333333333</v>
      </c>
      <c r="P1426" s="24">
        <v>1.1000000000000001</v>
      </c>
      <c r="Q1426" s="24">
        <v>36</v>
      </c>
      <c r="R1426" s="27">
        <f t="shared" si="275"/>
        <v>1349.8584000000001</v>
      </c>
      <c r="S1426" s="102">
        <f t="shared" si="277"/>
        <v>1.5</v>
      </c>
      <c r="T1426" s="21">
        <f>VLOOKUP($A1426,'2022-23 Salary &amp; Benefits'!$A:$I,5,FALSE)</f>
        <v>68937</v>
      </c>
      <c r="U1426" s="21">
        <f>VLOOKUP($A1426,'2022-23 Salary &amp; Benefits'!$A:$I,6,FALSE)</f>
        <v>72728</v>
      </c>
      <c r="V1426" s="22">
        <f t="shared" si="278"/>
        <v>103405.5</v>
      </c>
      <c r="W1426" s="22">
        <f t="shared" si="279"/>
        <v>5686.5</v>
      </c>
      <c r="X1426" s="22">
        <f>'2022-23 Salary &amp; Benefits'!$G$6</f>
        <v>12558.24</v>
      </c>
      <c r="Y1426" s="23">
        <f>'2022-23 Salary &amp; Benefits'!$H$6</f>
        <v>0.2298</v>
      </c>
      <c r="Z1426" s="23">
        <f>'2022-23 Salary &amp; Benefits'!$I$6</f>
        <v>0.22339999999999999</v>
      </c>
      <c r="AA1426" s="22">
        <f t="shared" si="280"/>
        <v>43870.31</v>
      </c>
      <c r="AB1426" s="22">
        <f t="shared" si="281"/>
        <v>1818.2</v>
      </c>
      <c r="AC1426" s="22">
        <f t="shared" si="282"/>
        <v>406.19</v>
      </c>
      <c r="AD1426" s="22">
        <f t="shared" si="284"/>
        <v>2224.39</v>
      </c>
      <c r="AE1426" s="22">
        <f t="shared" si="285"/>
        <v>155186.70000000001</v>
      </c>
      <c r="AF1426" s="19" t="str">
        <f>VLOOKUP(C1426,'2021-22 School Level AAFTE'!C:N,12,FALSE)</f>
        <v>No</v>
      </c>
    </row>
    <row r="1427" spans="1:32" s="5" customFormat="1">
      <c r="A1427" s="97" t="s">
        <v>2312</v>
      </c>
      <c r="B1427" s="97" t="s">
        <v>372</v>
      </c>
      <c r="C1427" s="95">
        <v>3912</v>
      </c>
      <c r="D1427" s="95" t="s">
        <v>379</v>
      </c>
      <c r="E1427" s="129">
        <f>VLOOKUP($C1427,'2021-22 School Level AAFTE'!$C:$Z,11,FALSE)</f>
        <v>0.76873333333333338</v>
      </c>
      <c r="F1427" s="129" t="str">
        <f>VLOOKUP($C1427,'2021-22 School Level AAFTE'!$C:$Z,8,FALSE)</f>
        <v>Yes</v>
      </c>
      <c r="G1427" s="129" t="str">
        <f>VLOOKUP($C1427,'2021-22 School Level AAFTE'!$C:$Z,12,FALSE)</f>
        <v>No</v>
      </c>
      <c r="H1427" s="127">
        <f>VLOOKUP($C1427,'2021-22 School Level AAFTE'!$C:$I,7,FALSE)</f>
        <v>293.42</v>
      </c>
      <c r="I1427" s="112">
        <f>IFERROR(IF(OR(G1427="yes",F1427= "yes"),VLOOKUP(C1427,Summary!$B:$J,6,0),0),0)</f>
        <v>0</v>
      </c>
      <c r="J1427" s="111">
        <f t="shared" si="276"/>
        <v>293.42</v>
      </c>
      <c r="K1427" s="91">
        <f>VLOOKUP($A1427,'2022-23 Salary &amp; Benefits'!$A:$I,3,FALSE)</f>
        <v>1</v>
      </c>
      <c r="L1427" s="91">
        <f>VLOOKUP($A1427,'2022-23 Salary &amp; Benefits'!$A:$I,4,FALSE)</f>
        <v>1</v>
      </c>
      <c r="M1427" s="101">
        <f t="shared" si="283"/>
        <v>293.42</v>
      </c>
      <c r="N1427" s="24">
        <v>15</v>
      </c>
      <c r="O1427" s="26">
        <f t="shared" si="274"/>
        <v>19.561333333333334</v>
      </c>
      <c r="P1427" s="24">
        <v>1.1000000000000001</v>
      </c>
      <c r="Q1427" s="24">
        <v>36</v>
      </c>
      <c r="R1427" s="27">
        <f t="shared" si="275"/>
        <v>774.62880000000007</v>
      </c>
      <c r="S1427" s="102">
        <f t="shared" si="277"/>
        <v>0.86099999999999999</v>
      </c>
      <c r="T1427" s="21">
        <f>VLOOKUP($A1427,'2022-23 Salary &amp; Benefits'!$A:$I,5,FALSE)</f>
        <v>68937</v>
      </c>
      <c r="U1427" s="21">
        <f>VLOOKUP($A1427,'2022-23 Salary &amp; Benefits'!$A:$I,6,FALSE)</f>
        <v>72728</v>
      </c>
      <c r="V1427" s="22">
        <f t="shared" si="278"/>
        <v>59354.76</v>
      </c>
      <c r="W1427" s="22">
        <f t="shared" si="279"/>
        <v>3264.0499999999956</v>
      </c>
      <c r="X1427" s="22">
        <f>'2022-23 Salary &amp; Benefits'!$G$6</f>
        <v>12558.24</v>
      </c>
      <c r="Y1427" s="23">
        <f>'2022-23 Salary &amp; Benefits'!$H$6</f>
        <v>0.2298</v>
      </c>
      <c r="Z1427" s="23">
        <f>'2022-23 Salary &amp; Benefits'!$I$6</f>
        <v>0.22339999999999999</v>
      </c>
      <c r="AA1427" s="22">
        <f t="shared" si="280"/>
        <v>25181.56</v>
      </c>
      <c r="AB1427" s="22">
        <f t="shared" si="281"/>
        <v>1043.6500000000001</v>
      </c>
      <c r="AC1427" s="22">
        <f t="shared" si="282"/>
        <v>233.15</v>
      </c>
      <c r="AD1427" s="22">
        <f t="shared" si="284"/>
        <v>1276.8000000000002</v>
      </c>
      <c r="AE1427" s="22">
        <f t="shared" si="285"/>
        <v>89077.17</v>
      </c>
      <c r="AF1427" s="19" t="str">
        <f>VLOOKUP(C1427,'2021-22 School Level AAFTE'!C:N,12,FALSE)</f>
        <v>No</v>
      </c>
    </row>
    <row r="1428" spans="1:32" s="5" customFormat="1">
      <c r="A1428" s="97" t="s">
        <v>2312</v>
      </c>
      <c r="B1428" s="97" t="s">
        <v>372</v>
      </c>
      <c r="C1428" s="95">
        <v>4041</v>
      </c>
      <c r="D1428" s="95" t="s">
        <v>380</v>
      </c>
      <c r="E1428" s="129">
        <f>VLOOKUP($C1428,'2021-22 School Level AAFTE'!$C:$Z,11,FALSE)</f>
        <v>0.34576666666666672</v>
      </c>
      <c r="F1428" s="129" t="str">
        <f>VLOOKUP($C1428,'2021-22 School Level AAFTE'!$C:$Z,8,FALSE)</f>
        <v>No</v>
      </c>
      <c r="G1428" s="129" t="str">
        <f>VLOOKUP($C1428,'2021-22 School Level AAFTE'!$C:$Z,12,FALSE)</f>
        <v>No</v>
      </c>
      <c r="H1428" s="127">
        <f>VLOOKUP($C1428,'2021-22 School Level AAFTE'!$C:$I,7,FALSE)</f>
        <v>559.19000000000005</v>
      </c>
      <c r="I1428" s="112">
        <f>IFERROR(IF(OR(G1428="yes",F1428= "yes"),VLOOKUP(C1428,Summary!$B:$J,6,0),0),0)</f>
        <v>0</v>
      </c>
      <c r="J1428" s="111">
        <f t="shared" si="276"/>
        <v>0</v>
      </c>
      <c r="K1428" s="91">
        <f>VLOOKUP($A1428,'2022-23 Salary &amp; Benefits'!$A:$I,3,FALSE)</f>
        <v>1</v>
      </c>
      <c r="L1428" s="91">
        <f>VLOOKUP($A1428,'2022-23 Salary &amp; Benefits'!$A:$I,4,FALSE)</f>
        <v>1</v>
      </c>
      <c r="M1428" s="101">
        <f t="shared" si="283"/>
        <v>0</v>
      </c>
      <c r="N1428" s="24">
        <v>15</v>
      </c>
      <c r="O1428" s="26">
        <f t="shared" si="274"/>
        <v>0</v>
      </c>
      <c r="P1428" s="24">
        <v>1.1000000000000001</v>
      </c>
      <c r="Q1428" s="24">
        <v>36</v>
      </c>
      <c r="R1428" s="27">
        <f t="shared" si="275"/>
        <v>0</v>
      </c>
      <c r="S1428" s="102">
        <f t="shared" si="277"/>
        <v>0</v>
      </c>
      <c r="T1428" s="21">
        <f>VLOOKUP($A1428,'2022-23 Salary &amp; Benefits'!$A:$I,5,FALSE)</f>
        <v>68937</v>
      </c>
      <c r="U1428" s="21">
        <f>VLOOKUP($A1428,'2022-23 Salary &amp; Benefits'!$A:$I,6,FALSE)</f>
        <v>72728</v>
      </c>
      <c r="V1428" s="22">
        <f t="shared" si="278"/>
        <v>0</v>
      </c>
      <c r="W1428" s="22">
        <f t="shared" si="279"/>
        <v>0</v>
      </c>
      <c r="X1428" s="22">
        <f>'2022-23 Salary &amp; Benefits'!$G$6</f>
        <v>12558.24</v>
      </c>
      <c r="Y1428" s="23">
        <f>'2022-23 Salary &amp; Benefits'!$H$6</f>
        <v>0.2298</v>
      </c>
      <c r="Z1428" s="23">
        <f>'2022-23 Salary &amp; Benefits'!$I$6</f>
        <v>0.22339999999999999</v>
      </c>
      <c r="AA1428" s="22">
        <f t="shared" si="280"/>
        <v>0</v>
      </c>
      <c r="AB1428" s="22">
        <f t="shared" si="281"/>
        <v>0</v>
      </c>
      <c r="AC1428" s="22">
        <f t="shared" si="282"/>
        <v>0</v>
      </c>
      <c r="AD1428" s="22">
        <f t="shared" si="284"/>
        <v>0</v>
      </c>
      <c r="AE1428" s="22">
        <f t="shared" si="285"/>
        <v>0</v>
      </c>
      <c r="AF1428" s="19" t="str">
        <f>VLOOKUP(C1428,'2021-22 School Level AAFTE'!C:N,12,FALSE)</f>
        <v>No</v>
      </c>
    </row>
    <row r="1429" spans="1:32" s="5" customFormat="1">
      <c r="A1429" s="97" t="s">
        <v>2312</v>
      </c>
      <c r="B1429" s="97" t="s">
        <v>372</v>
      </c>
      <c r="C1429" s="95">
        <v>4155</v>
      </c>
      <c r="D1429" s="95" t="s">
        <v>381</v>
      </c>
      <c r="E1429" s="129">
        <f>VLOOKUP($C1429,'2021-22 School Level AAFTE'!$C:$Z,11,FALSE)</f>
        <v>0.51496666666666668</v>
      </c>
      <c r="F1429" s="129" t="str">
        <f>VLOOKUP($C1429,'2021-22 School Level AAFTE'!$C:$Z,8,FALSE)</f>
        <v>Yes</v>
      </c>
      <c r="G1429" s="129" t="str">
        <f>VLOOKUP($C1429,'2021-22 School Level AAFTE'!$C:$Z,12,FALSE)</f>
        <v>No</v>
      </c>
      <c r="H1429" s="127">
        <f>VLOOKUP($C1429,'2021-22 School Level AAFTE'!$C:$I,7,FALSE)</f>
        <v>426.06</v>
      </c>
      <c r="I1429" s="112">
        <f>IFERROR(IF(OR(G1429="yes",F1429= "yes"),VLOOKUP(C1429,Summary!$B:$J,6,0),0),0)</f>
        <v>0</v>
      </c>
      <c r="J1429" s="111">
        <f t="shared" si="276"/>
        <v>426.06</v>
      </c>
      <c r="K1429" s="91">
        <f>VLOOKUP($A1429,'2022-23 Salary &amp; Benefits'!$A:$I,3,FALSE)</f>
        <v>1</v>
      </c>
      <c r="L1429" s="91">
        <f>VLOOKUP($A1429,'2022-23 Salary &amp; Benefits'!$A:$I,4,FALSE)</f>
        <v>1</v>
      </c>
      <c r="M1429" s="39">
        <f t="shared" si="283"/>
        <v>426.06</v>
      </c>
      <c r="N1429" s="24">
        <v>15</v>
      </c>
      <c r="O1429" s="26">
        <f t="shared" si="274"/>
        <v>28.404</v>
      </c>
      <c r="P1429" s="24">
        <v>1.1000000000000001</v>
      </c>
      <c r="Q1429" s="24">
        <v>36</v>
      </c>
      <c r="R1429" s="27">
        <f t="shared" si="275"/>
        <v>1124.7984000000001</v>
      </c>
      <c r="S1429" s="102">
        <f t="shared" si="277"/>
        <v>1.25</v>
      </c>
      <c r="T1429" s="21">
        <f>VLOOKUP($A1429,'2022-23 Salary &amp; Benefits'!$A:$I,5,FALSE)</f>
        <v>68937</v>
      </c>
      <c r="U1429" s="21">
        <f>VLOOKUP($A1429,'2022-23 Salary &amp; Benefits'!$A:$I,6,FALSE)</f>
        <v>72728</v>
      </c>
      <c r="V1429" s="22">
        <f t="shared" si="278"/>
        <v>86171.25</v>
      </c>
      <c r="W1429" s="22">
        <f t="shared" si="279"/>
        <v>4738.75</v>
      </c>
      <c r="X1429" s="22">
        <f>'2022-23 Salary &amp; Benefits'!$G$6</f>
        <v>12558.24</v>
      </c>
      <c r="Y1429" s="23">
        <f>'2022-23 Salary &amp; Benefits'!$H$6</f>
        <v>0.2298</v>
      </c>
      <c r="Z1429" s="23">
        <f>'2022-23 Salary &amp; Benefits'!$I$6</f>
        <v>0.22339999999999999</v>
      </c>
      <c r="AA1429" s="22">
        <f t="shared" si="280"/>
        <v>36558.589999999997</v>
      </c>
      <c r="AB1429" s="22">
        <f t="shared" si="281"/>
        <v>1515.17</v>
      </c>
      <c r="AC1429" s="22">
        <f t="shared" si="282"/>
        <v>338.49</v>
      </c>
      <c r="AD1429" s="22">
        <f t="shared" si="284"/>
        <v>1853.66</v>
      </c>
      <c r="AE1429" s="22">
        <f t="shared" si="285"/>
        <v>129322.25</v>
      </c>
      <c r="AF1429" s="19" t="str">
        <f>VLOOKUP(C1429,'2021-22 School Level AAFTE'!C:N,12,FALSE)</f>
        <v>No</v>
      </c>
    </row>
    <row r="1430" spans="1:32" s="5" customFormat="1">
      <c r="A1430" s="97" t="s">
        <v>2312</v>
      </c>
      <c r="B1430" s="97" t="s">
        <v>372</v>
      </c>
      <c r="C1430" s="95">
        <v>4526</v>
      </c>
      <c r="D1430" s="95" t="s">
        <v>382</v>
      </c>
      <c r="E1430" s="129">
        <f>VLOOKUP($C1430,'2021-22 School Level AAFTE'!$C:$Z,11,FALSE)</f>
        <v>0.90793333333333326</v>
      </c>
      <c r="F1430" s="129" t="str">
        <f>VLOOKUP($C1430,'2021-22 School Level AAFTE'!$C:$Z,8,FALSE)</f>
        <v>Yes</v>
      </c>
      <c r="G1430" s="129" t="str">
        <f>VLOOKUP($C1430,'2021-22 School Level AAFTE'!$C:$Z,12,FALSE)</f>
        <v>No</v>
      </c>
      <c r="H1430" s="127">
        <f>VLOOKUP($C1430,'2021-22 School Level AAFTE'!$C:$I,7,FALSE)</f>
        <v>356.43</v>
      </c>
      <c r="I1430" s="112">
        <f>IFERROR(IF(OR(G1430="yes",F1430= "yes"),VLOOKUP(C1430,Summary!$B:$J,6,0),0),0)</f>
        <v>0</v>
      </c>
      <c r="J1430" s="111">
        <f t="shared" si="276"/>
        <v>356.43</v>
      </c>
      <c r="K1430" s="91">
        <f>VLOOKUP($A1430,'2022-23 Salary &amp; Benefits'!$A:$I,3,FALSE)</f>
        <v>1</v>
      </c>
      <c r="L1430" s="91">
        <f>VLOOKUP($A1430,'2022-23 Salary &amp; Benefits'!$A:$I,4,FALSE)</f>
        <v>1</v>
      </c>
      <c r="M1430" s="101">
        <f t="shared" si="283"/>
        <v>356.43</v>
      </c>
      <c r="N1430" s="24">
        <v>15</v>
      </c>
      <c r="O1430" s="26">
        <f t="shared" si="274"/>
        <v>23.762</v>
      </c>
      <c r="P1430" s="24">
        <v>1.1000000000000001</v>
      </c>
      <c r="Q1430" s="24">
        <v>36</v>
      </c>
      <c r="R1430" s="27">
        <f t="shared" si="275"/>
        <v>940.97520000000009</v>
      </c>
      <c r="S1430" s="102">
        <f t="shared" si="277"/>
        <v>1.046</v>
      </c>
      <c r="T1430" s="21">
        <f>VLOOKUP($A1430,'2022-23 Salary &amp; Benefits'!$A:$I,5,FALSE)</f>
        <v>68937</v>
      </c>
      <c r="U1430" s="21">
        <f>VLOOKUP($A1430,'2022-23 Salary &amp; Benefits'!$A:$I,6,FALSE)</f>
        <v>72728</v>
      </c>
      <c r="V1430" s="22">
        <f t="shared" si="278"/>
        <v>72108.100000000006</v>
      </c>
      <c r="W1430" s="22">
        <f t="shared" si="279"/>
        <v>3965.3899999999994</v>
      </c>
      <c r="X1430" s="22">
        <f>'2022-23 Salary &amp; Benefits'!$G$6</f>
        <v>12558.24</v>
      </c>
      <c r="Y1430" s="23">
        <f>'2022-23 Salary &amp; Benefits'!$H$6</f>
        <v>0.2298</v>
      </c>
      <c r="Z1430" s="23">
        <f>'2022-23 Salary &amp; Benefits'!$I$6</f>
        <v>0.22339999999999999</v>
      </c>
      <c r="AA1430" s="22">
        <f t="shared" si="280"/>
        <v>30592.23</v>
      </c>
      <c r="AB1430" s="22">
        <f t="shared" si="281"/>
        <v>1267.8900000000001</v>
      </c>
      <c r="AC1430" s="22">
        <f t="shared" si="282"/>
        <v>283.25</v>
      </c>
      <c r="AD1430" s="22">
        <f t="shared" si="284"/>
        <v>1551.14</v>
      </c>
      <c r="AE1430" s="22">
        <f t="shared" si="285"/>
        <v>108216.86</v>
      </c>
      <c r="AF1430" s="19" t="str">
        <f>VLOOKUP(C1430,'2021-22 School Level AAFTE'!C:N,12,FALSE)</f>
        <v>No</v>
      </c>
    </row>
    <row r="1431" spans="1:32" s="5" customFormat="1">
      <c r="A1431" s="97" t="s">
        <v>2312</v>
      </c>
      <c r="B1431" s="97" t="s">
        <v>372</v>
      </c>
      <c r="C1431" s="95">
        <v>4555</v>
      </c>
      <c r="D1431" s="95" t="s">
        <v>383</v>
      </c>
      <c r="E1431" s="129">
        <f>VLOOKUP($C1431,'2021-22 School Level AAFTE'!$C:$Z,11,FALSE)</f>
        <v>0.93256666666666665</v>
      </c>
      <c r="F1431" s="129" t="str">
        <f>VLOOKUP($C1431,'2021-22 School Level AAFTE'!$C:$Z,8,FALSE)</f>
        <v>Yes</v>
      </c>
      <c r="G1431" s="129" t="str">
        <f>VLOOKUP($C1431,'2021-22 School Level AAFTE'!$C:$Z,12,FALSE)</f>
        <v>No</v>
      </c>
      <c r="H1431" s="127">
        <f>VLOOKUP($C1431,'2021-22 School Level AAFTE'!$C:$I,7,FALSE)</f>
        <v>406.57</v>
      </c>
      <c r="I1431" s="112">
        <f>IFERROR(IF(OR(G1431="yes",F1431= "yes"),VLOOKUP(C1431,Summary!$B:$J,6,0),0),0)</f>
        <v>0</v>
      </c>
      <c r="J1431" s="111">
        <f t="shared" si="276"/>
        <v>406.57</v>
      </c>
      <c r="K1431" s="91">
        <f>VLOOKUP($A1431,'2022-23 Salary &amp; Benefits'!$A:$I,3,FALSE)</f>
        <v>1</v>
      </c>
      <c r="L1431" s="91">
        <f>VLOOKUP($A1431,'2022-23 Salary &amp; Benefits'!$A:$I,4,FALSE)</f>
        <v>1</v>
      </c>
      <c r="M1431" s="39">
        <f t="shared" si="283"/>
        <v>406.57</v>
      </c>
      <c r="N1431" s="24">
        <v>15</v>
      </c>
      <c r="O1431" s="26">
        <f t="shared" si="274"/>
        <v>27.104666666666667</v>
      </c>
      <c r="P1431" s="24">
        <v>1.1000000000000001</v>
      </c>
      <c r="Q1431" s="24">
        <v>36</v>
      </c>
      <c r="R1431" s="27">
        <f t="shared" si="275"/>
        <v>1073.3448000000001</v>
      </c>
      <c r="S1431" s="102">
        <f t="shared" si="277"/>
        <v>1.1930000000000001</v>
      </c>
      <c r="T1431" s="21">
        <f>VLOOKUP($A1431,'2022-23 Salary &amp; Benefits'!$A:$I,5,FALSE)</f>
        <v>68937</v>
      </c>
      <c r="U1431" s="21">
        <f>VLOOKUP($A1431,'2022-23 Salary &amp; Benefits'!$A:$I,6,FALSE)</f>
        <v>72728</v>
      </c>
      <c r="V1431" s="22">
        <f t="shared" si="278"/>
        <v>82241.84</v>
      </c>
      <c r="W1431" s="22">
        <f t="shared" si="279"/>
        <v>4522.6600000000035</v>
      </c>
      <c r="X1431" s="22">
        <f>'2022-23 Salary &amp; Benefits'!$G$6</f>
        <v>12558.24</v>
      </c>
      <c r="Y1431" s="23">
        <f>'2022-23 Salary &amp; Benefits'!$H$6</f>
        <v>0.2298</v>
      </c>
      <c r="Z1431" s="23">
        <f>'2022-23 Salary &amp; Benefits'!$I$6</f>
        <v>0.22339999999999999</v>
      </c>
      <c r="AA1431" s="22">
        <f t="shared" si="280"/>
        <v>34891.519999999997</v>
      </c>
      <c r="AB1431" s="22">
        <f t="shared" si="281"/>
        <v>1446.08</v>
      </c>
      <c r="AC1431" s="22">
        <f t="shared" si="282"/>
        <v>323.05</v>
      </c>
      <c r="AD1431" s="22">
        <f t="shared" si="284"/>
        <v>1769.1299999999999</v>
      </c>
      <c r="AE1431" s="22">
        <f t="shared" si="285"/>
        <v>123425.15</v>
      </c>
      <c r="AF1431" s="19" t="str">
        <f>VLOOKUP(C1431,'2021-22 School Level AAFTE'!C:N,12,FALSE)</f>
        <v>No</v>
      </c>
    </row>
    <row r="1432" spans="1:32" s="5" customFormat="1">
      <c r="A1432" s="97" t="s">
        <v>2312</v>
      </c>
      <c r="B1432" s="97" t="s">
        <v>372</v>
      </c>
      <c r="C1432" s="95">
        <v>4564</v>
      </c>
      <c r="D1432" s="95" t="s">
        <v>384</v>
      </c>
      <c r="E1432" s="129">
        <f>VLOOKUP($C1432,'2021-22 School Level AAFTE'!$C:$Z,11,FALSE)</f>
        <v>0.94696666666666662</v>
      </c>
      <c r="F1432" s="129" t="str">
        <f>VLOOKUP($C1432,'2021-22 School Level AAFTE'!$C:$Z,8,FALSE)</f>
        <v>Yes</v>
      </c>
      <c r="G1432" s="129" t="str">
        <f>VLOOKUP($C1432,'2021-22 School Level AAFTE'!$C:$Z,12,FALSE)</f>
        <v>No</v>
      </c>
      <c r="H1432" s="127">
        <f>VLOOKUP($C1432,'2021-22 School Level AAFTE'!$C:$I,7,FALSE)</f>
        <v>936.22</v>
      </c>
      <c r="I1432" s="112">
        <f>IFERROR(IF(OR(G1432="yes",F1432= "yes"),VLOOKUP(C1432,Summary!$B:$J,6,0),0),0)</f>
        <v>0</v>
      </c>
      <c r="J1432" s="111">
        <f t="shared" si="276"/>
        <v>936.22</v>
      </c>
      <c r="K1432" s="91">
        <f>VLOOKUP($A1432,'2022-23 Salary &amp; Benefits'!$A:$I,3,FALSE)</f>
        <v>1</v>
      </c>
      <c r="L1432" s="91">
        <f>VLOOKUP($A1432,'2022-23 Salary &amp; Benefits'!$A:$I,4,FALSE)</f>
        <v>1</v>
      </c>
      <c r="M1432" s="101">
        <f t="shared" si="283"/>
        <v>936.22</v>
      </c>
      <c r="N1432" s="24">
        <v>15</v>
      </c>
      <c r="O1432" s="26">
        <f t="shared" si="274"/>
        <v>62.414666666666669</v>
      </c>
      <c r="P1432" s="24">
        <v>1.1000000000000001</v>
      </c>
      <c r="Q1432" s="24">
        <v>36</v>
      </c>
      <c r="R1432" s="27">
        <f t="shared" si="275"/>
        <v>2471.6208000000006</v>
      </c>
      <c r="S1432" s="102">
        <f t="shared" si="277"/>
        <v>2.746</v>
      </c>
      <c r="T1432" s="21">
        <f>VLOOKUP($A1432,'2022-23 Salary &amp; Benefits'!$A:$I,5,FALSE)</f>
        <v>68937</v>
      </c>
      <c r="U1432" s="21">
        <f>VLOOKUP($A1432,'2022-23 Salary &amp; Benefits'!$A:$I,6,FALSE)</f>
        <v>72728</v>
      </c>
      <c r="V1432" s="22">
        <f t="shared" si="278"/>
        <v>189301</v>
      </c>
      <c r="W1432" s="22">
        <f t="shared" si="279"/>
        <v>10410.089999999997</v>
      </c>
      <c r="X1432" s="22">
        <f>'2022-23 Salary &amp; Benefits'!$G$6</f>
        <v>12558.24</v>
      </c>
      <c r="Y1432" s="23">
        <f>'2022-23 Salary &amp; Benefits'!$H$6</f>
        <v>0.2298</v>
      </c>
      <c r="Z1432" s="23">
        <f>'2022-23 Salary &amp; Benefits'!$I$6</f>
        <v>0.22339999999999999</v>
      </c>
      <c r="AA1432" s="22">
        <f t="shared" si="280"/>
        <v>80311.91</v>
      </c>
      <c r="AB1432" s="22">
        <f t="shared" si="281"/>
        <v>3328.52</v>
      </c>
      <c r="AC1432" s="22">
        <f t="shared" si="282"/>
        <v>743.59</v>
      </c>
      <c r="AD1432" s="22">
        <f t="shared" si="284"/>
        <v>4072.11</v>
      </c>
      <c r="AE1432" s="22">
        <f t="shared" si="285"/>
        <v>284095.11</v>
      </c>
      <c r="AF1432" s="19" t="str">
        <f>VLOOKUP(C1432,'2021-22 School Level AAFTE'!C:N,12,FALSE)</f>
        <v>No</v>
      </c>
    </row>
    <row r="1433" spans="1:32" s="5" customFormat="1">
      <c r="A1433" s="97" t="s">
        <v>2312</v>
      </c>
      <c r="B1433" s="97" t="s">
        <v>372</v>
      </c>
      <c r="C1433" s="95">
        <v>4595</v>
      </c>
      <c r="D1433" s="95" t="s">
        <v>385</v>
      </c>
      <c r="E1433" s="129">
        <f>VLOOKUP($C1433,'2021-22 School Level AAFTE'!$C:$Z,11,FALSE)</f>
        <v>0.51983333333333337</v>
      </c>
      <c r="F1433" s="129" t="str">
        <f>VLOOKUP($C1433,'2021-22 School Level AAFTE'!$C:$Z,8,FALSE)</f>
        <v>Yes</v>
      </c>
      <c r="G1433" s="129" t="str">
        <f>VLOOKUP($C1433,'2021-22 School Level AAFTE'!$C:$Z,12,FALSE)</f>
        <v>No</v>
      </c>
      <c r="H1433" s="127">
        <f>VLOOKUP($C1433,'2021-22 School Level AAFTE'!$C:$I,7,FALSE)</f>
        <v>582.74</v>
      </c>
      <c r="I1433" s="112">
        <f>IFERROR(IF(OR(G1433="yes",F1433= "yes"),VLOOKUP(C1433,Summary!$B:$J,6,0),0),0)</f>
        <v>0</v>
      </c>
      <c r="J1433" s="111">
        <f t="shared" si="276"/>
        <v>582.74</v>
      </c>
      <c r="K1433" s="91">
        <f>VLOOKUP($A1433,'2022-23 Salary &amp; Benefits'!$A:$I,3,FALSE)</f>
        <v>1</v>
      </c>
      <c r="L1433" s="91">
        <f>VLOOKUP($A1433,'2022-23 Salary &amp; Benefits'!$A:$I,4,FALSE)</f>
        <v>1</v>
      </c>
      <c r="M1433" s="101">
        <f t="shared" si="283"/>
        <v>582.74</v>
      </c>
      <c r="N1433" s="24">
        <v>15</v>
      </c>
      <c r="O1433" s="26">
        <f t="shared" si="274"/>
        <v>38.849333333333334</v>
      </c>
      <c r="P1433" s="24">
        <v>1.1000000000000001</v>
      </c>
      <c r="Q1433" s="24">
        <v>36</v>
      </c>
      <c r="R1433" s="27">
        <f t="shared" si="275"/>
        <v>1538.4336000000001</v>
      </c>
      <c r="S1433" s="102">
        <f t="shared" si="277"/>
        <v>1.7090000000000001</v>
      </c>
      <c r="T1433" s="21">
        <f>VLOOKUP($A1433,'2022-23 Salary &amp; Benefits'!$A:$I,5,FALSE)</f>
        <v>68937</v>
      </c>
      <c r="U1433" s="21">
        <f>VLOOKUP($A1433,'2022-23 Salary &amp; Benefits'!$A:$I,6,FALSE)</f>
        <v>72728</v>
      </c>
      <c r="V1433" s="22">
        <f t="shared" si="278"/>
        <v>117813.33</v>
      </c>
      <c r="W1433" s="22">
        <f t="shared" si="279"/>
        <v>6478.8199999999924</v>
      </c>
      <c r="X1433" s="22">
        <f>'2022-23 Salary &amp; Benefits'!$G$6</f>
        <v>12558.24</v>
      </c>
      <c r="Y1433" s="23">
        <f>'2022-23 Salary &amp; Benefits'!$H$6</f>
        <v>0.2298</v>
      </c>
      <c r="Z1433" s="23">
        <f>'2022-23 Salary &amp; Benefits'!$I$6</f>
        <v>0.22339999999999999</v>
      </c>
      <c r="AA1433" s="22">
        <f t="shared" si="280"/>
        <v>49982.9</v>
      </c>
      <c r="AB1433" s="22">
        <f t="shared" si="281"/>
        <v>2071.54</v>
      </c>
      <c r="AC1433" s="22">
        <f t="shared" si="282"/>
        <v>462.78</v>
      </c>
      <c r="AD1433" s="22">
        <f t="shared" si="284"/>
        <v>2534.3199999999997</v>
      </c>
      <c r="AE1433" s="22">
        <f t="shared" si="285"/>
        <v>176809.37</v>
      </c>
      <c r="AF1433" s="19" t="str">
        <f>VLOOKUP(C1433,'2021-22 School Level AAFTE'!C:N,12,FALSE)</f>
        <v>No</v>
      </c>
    </row>
    <row r="1434" spans="1:32" s="5" customFormat="1">
      <c r="A1434" s="97" t="s">
        <v>2312</v>
      </c>
      <c r="B1434" s="97" t="s">
        <v>372</v>
      </c>
      <c r="C1434" s="95">
        <v>5020</v>
      </c>
      <c r="D1434" s="95" t="s">
        <v>386</v>
      </c>
      <c r="E1434" s="129">
        <f>VLOOKUP($C1434,'2021-22 School Level AAFTE'!$C:$Z,11,FALSE)</f>
        <v>0.93160000000000009</v>
      </c>
      <c r="F1434" s="129" t="str">
        <f>VLOOKUP($C1434,'2021-22 School Level AAFTE'!$C:$Z,8,FALSE)</f>
        <v>Yes</v>
      </c>
      <c r="G1434" s="129" t="str">
        <f>VLOOKUP($C1434,'2021-22 School Level AAFTE'!$C:$Z,12,FALSE)</f>
        <v>No</v>
      </c>
      <c r="H1434" s="127">
        <f>VLOOKUP($C1434,'2021-22 School Level AAFTE'!$C:$I,7,FALSE)</f>
        <v>515.57000000000005</v>
      </c>
      <c r="I1434" s="112">
        <f>IFERROR(IF(OR(G1434="yes",F1434= "yes"),VLOOKUP(C1434,Summary!$B:$J,6,0),0),0)</f>
        <v>0</v>
      </c>
      <c r="J1434" s="111">
        <f t="shared" si="276"/>
        <v>515.57000000000005</v>
      </c>
      <c r="K1434" s="91">
        <f>VLOOKUP($A1434,'2022-23 Salary &amp; Benefits'!$A:$I,3,FALSE)</f>
        <v>1</v>
      </c>
      <c r="L1434" s="91">
        <f>VLOOKUP($A1434,'2022-23 Salary &amp; Benefits'!$A:$I,4,FALSE)</f>
        <v>1</v>
      </c>
      <c r="M1434" s="101">
        <f t="shared" si="283"/>
        <v>515.57000000000005</v>
      </c>
      <c r="N1434" s="24">
        <v>15</v>
      </c>
      <c r="O1434" s="26">
        <f t="shared" si="274"/>
        <v>34.37133333333334</v>
      </c>
      <c r="P1434" s="24">
        <v>1.1000000000000001</v>
      </c>
      <c r="Q1434" s="24">
        <v>36</v>
      </c>
      <c r="R1434" s="27">
        <f t="shared" si="275"/>
        <v>1361.1048000000003</v>
      </c>
      <c r="S1434" s="102">
        <f t="shared" si="277"/>
        <v>1.512</v>
      </c>
      <c r="T1434" s="21">
        <f>VLOOKUP($A1434,'2022-23 Salary &amp; Benefits'!$A:$I,5,FALSE)</f>
        <v>68937</v>
      </c>
      <c r="U1434" s="21">
        <f>VLOOKUP($A1434,'2022-23 Salary &amp; Benefits'!$A:$I,6,FALSE)</f>
        <v>72728</v>
      </c>
      <c r="V1434" s="22">
        <f t="shared" si="278"/>
        <v>104232.74</v>
      </c>
      <c r="W1434" s="22">
        <f t="shared" si="279"/>
        <v>5732</v>
      </c>
      <c r="X1434" s="22">
        <f>'2022-23 Salary &amp; Benefits'!$G$6</f>
        <v>12558.24</v>
      </c>
      <c r="Y1434" s="23">
        <f>'2022-23 Salary &amp; Benefits'!$H$6</f>
        <v>0.2298</v>
      </c>
      <c r="Z1434" s="23">
        <f>'2022-23 Salary &amp; Benefits'!$I$6</f>
        <v>0.22339999999999999</v>
      </c>
      <c r="AA1434" s="22">
        <f t="shared" si="280"/>
        <v>44221.27</v>
      </c>
      <c r="AB1434" s="22">
        <f t="shared" si="281"/>
        <v>1832.75</v>
      </c>
      <c r="AC1434" s="22">
        <f t="shared" si="282"/>
        <v>409.44</v>
      </c>
      <c r="AD1434" s="22">
        <f t="shared" si="284"/>
        <v>2242.19</v>
      </c>
      <c r="AE1434" s="22">
        <f t="shared" si="285"/>
        <v>156428.20000000001</v>
      </c>
      <c r="AF1434" s="19" t="str">
        <f>VLOOKUP(C1434,'2021-22 School Level AAFTE'!C:N,12,FALSE)</f>
        <v>No</v>
      </c>
    </row>
    <row r="1435" spans="1:32" s="5" customFormat="1">
      <c r="A1435" s="97" t="s">
        <v>2312</v>
      </c>
      <c r="B1435" s="97" t="s">
        <v>372</v>
      </c>
      <c r="C1435" s="95">
        <v>5164</v>
      </c>
      <c r="D1435" s="95" t="s">
        <v>387</v>
      </c>
      <c r="E1435" s="129">
        <f>VLOOKUP($C1435,'2021-22 School Level AAFTE'!$C:$Z,11,FALSE)</f>
        <v>0.65403333333333336</v>
      </c>
      <c r="F1435" s="129" t="str">
        <f>VLOOKUP($C1435,'2021-22 School Level AAFTE'!$C:$Z,8,FALSE)</f>
        <v>Yes</v>
      </c>
      <c r="G1435" s="129" t="str">
        <f>VLOOKUP($C1435,'2021-22 School Level AAFTE'!$C:$Z,12,FALSE)</f>
        <v>No</v>
      </c>
      <c r="H1435" s="127">
        <f>VLOOKUP($C1435,'2021-22 School Level AAFTE'!$C:$I,7,FALSE)</f>
        <v>2896.56</v>
      </c>
      <c r="I1435" s="112">
        <f>IFERROR(IF(OR(G1435="yes",F1435= "yes"),VLOOKUP(C1435,Summary!$B:$J,6,0),0),0)</f>
        <v>0</v>
      </c>
      <c r="J1435" s="111">
        <f t="shared" si="276"/>
        <v>2896.56</v>
      </c>
      <c r="K1435" s="91">
        <f>VLOOKUP($A1435,'2022-23 Salary &amp; Benefits'!$A:$I,3,FALSE)</f>
        <v>1</v>
      </c>
      <c r="L1435" s="91">
        <f>VLOOKUP($A1435,'2022-23 Salary &amp; Benefits'!$A:$I,4,FALSE)</f>
        <v>1</v>
      </c>
      <c r="M1435" s="39">
        <f t="shared" ref="M1435" si="286">IF(I1435&gt;0,I1435,J1435)</f>
        <v>2896.56</v>
      </c>
      <c r="N1435" s="24">
        <v>15</v>
      </c>
      <c r="O1435" s="26">
        <f t="shared" si="274"/>
        <v>193.10399999999998</v>
      </c>
      <c r="P1435" s="24">
        <v>1.1000000000000001</v>
      </c>
      <c r="Q1435" s="24">
        <v>36</v>
      </c>
      <c r="R1435" s="27">
        <f t="shared" si="275"/>
        <v>7646.9184000000005</v>
      </c>
      <c r="S1435" s="102">
        <f t="shared" si="277"/>
        <v>8.4969999999999999</v>
      </c>
      <c r="T1435" s="21">
        <f>VLOOKUP($A1435,'2022-23 Salary &amp; Benefits'!$A:$I,5,FALSE)</f>
        <v>68937</v>
      </c>
      <c r="U1435" s="21">
        <f>VLOOKUP($A1435,'2022-23 Salary &amp; Benefits'!$A:$I,6,FALSE)</f>
        <v>72728</v>
      </c>
      <c r="V1435" s="22">
        <f t="shared" si="278"/>
        <v>585757.68999999994</v>
      </c>
      <c r="W1435" s="22">
        <f t="shared" si="279"/>
        <v>32212.130000000005</v>
      </c>
      <c r="X1435" s="22">
        <f>'2022-23 Salary &amp; Benefits'!$G$6</f>
        <v>12558.24</v>
      </c>
      <c r="Y1435" s="23">
        <f>'2022-23 Salary &amp; Benefits'!$H$6</f>
        <v>0.2298</v>
      </c>
      <c r="Z1435" s="23">
        <f>'2022-23 Salary &amp; Benefits'!$I$6</f>
        <v>0.22339999999999999</v>
      </c>
      <c r="AA1435" s="22">
        <f t="shared" si="280"/>
        <v>248510.67</v>
      </c>
      <c r="AB1435" s="22">
        <f t="shared" si="281"/>
        <v>10299.5</v>
      </c>
      <c r="AC1435" s="22">
        <f t="shared" si="282"/>
        <v>2300.91</v>
      </c>
      <c r="AD1435" s="22">
        <f t="shared" ref="AD1435" si="287">SUM(AB1435:AC1435)</f>
        <v>12600.41</v>
      </c>
      <c r="AE1435" s="22">
        <f t="shared" ref="AE1435" si="288">SUM(AA1435,V1435:W1435,AD1435)</f>
        <v>879080.9</v>
      </c>
      <c r="AF1435" s="19" t="str">
        <f>VLOOKUP(C1435,'2021-22 School Level AAFTE'!C:N,12,FALSE)</f>
        <v>No</v>
      </c>
    </row>
    <row r="1436" spans="1:32" s="5" customFormat="1">
      <c r="A1436" s="97" t="s">
        <v>2312</v>
      </c>
      <c r="B1436" s="97" t="s">
        <v>372</v>
      </c>
      <c r="C1436" s="95">
        <v>5345</v>
      </c>
      <c r="D1436" s="95" t="s">
        <v>388</v>
      </c>
      <c r="E1436" s="129">
        <f>VLOOKUP($C1436,'2021-22 School Level AAFTE'!$C:$Z,11,FALSE)</f>
        <v>0.48446666666666666</v>
      </c>
      <c r="F1436" s="129" t="str">
        <f>VLOOKUP($C1436,'2021-22 School Level AAFTE'!$C:$Z,8,FALSE)</f>
        <v>No</v>
      </c>
      <c r="G1436" s="129" t="str">
        <f>VLOOKUP($C1436,'2021-22 School Level AAFTE'!$C:$Z,12,FALSE)</f>
        <v>No</v>
      </c>
      <c r="H1436" s="127">
        <f>VLOOKUP($C1436,'2021-22 School Level AAFTE'!$C:$I,7,FALSE)</f>
        <v>493.76</v>
      </c>
      <c r="I1436" s="112">
        <f>IFERROR(IF(OR(G1436="yes",F1436= "yes"),VLOOKUP(C1436,Summary!$B:$J,6,0),0),0)</f>
        <v>0</v>
      </c>
      <c r="J1436" s="111">
        <f t="shared" si="276"/>
        <v>0</v>
      </c>
      <c r="K1436" s="91">
        <f>VLOOKUP($A1436,'2022-23 Salary &amp; Benefits'!$A:$I,3,FALSE)</f>
        <v>1</v>
      </c>
      <c r="L1436" s="91">
        <f>VLOOKUP($A1436,'2022-23 Salary &amp; Benefits'!$A:$I,4,FALSE)</f>
        <v>1</v>
      </c>
      <c r="M1436" s="39">
        <f t="shared" si="283"/>
        <v>0</v>
      </c>
      <c r="N1436" s="24">
        <v>15</v>
      </c>
      <c r="O1436" s="26">
        <f t="shared" si="274"/>
        <v>0</v>
      </c>
      <c r="P1436" s="24">
        <v>1.1000000000000001</v>
      </c>
      <c r="Q1436" s="24">
        <v>36</v>
      </c>
      <c r="R1436" s="27">
        <f t="shared" si="275"/>
        <v>0</v>
      </c>
      <c r="S1436" s="102">
        <f t="shared" si="277"/>
        <v>0</v>
      </c>
      <c r="T1436" s="21">
        <f>VLOOKUP($A1436,'2022-23 Salary &amp; Benefits'!$A:$I,5,FALSE)</f>
        <v>68937</v>
      </c>
      <c r="U1436" s="21">
        <f>VLOOKUP($A1436,'2022-23 Salary &amp; Benefits'!$A:$I,6,FALSE)</f>
        <v>72728</v>
      </c>
      <c r="V1436" s="22">
        <f t="shared" si="278"/>
        <v>0</v>
      </c>
      <c r="W1436" s="22">
        <f t="shared" si="279"/>
        <v>0</v>
      </c>
      <c r="X1436" s="22">
        <f>'2022-23 Salary &amp; Benefits'!$G$6</f>
        <v>12558.24</v>
      </c>
      <c r="Y1436" s="23">
        <f>'2022-23 Salary &amp; Benefits'!$H$6</f>
        <v>0.2298</v>
      </c>
      <c r="Z1436" s="23">
        <f>'2022-23 Salary &amp; Benefits'!$I$6</f>
        <v>0.22339999999999999</v>
      </c>
      <c r="AA1436" s="22">
        <f t="shared" si="280"/>
        <v>0</v>
      </c>
      <c r="AB1436" s="22">
        <f t="shared" si="281"/>
        <v>0</v>
      </c>
      <c r="AC1436" s="22">
        <f t="shared" si="282"/>
        <v>0</v>
      </c>
      <c r="AD1436" s="22">
        <f t="shared" si="284"/>
        <v>0</v>
      </c>
      <c r="AE1436" s="22">
        <f t="shared" si="285"/>
        <v>0</v>
      </c>
      <c r="AF1436" s="19" t="str">
        <f>VLOOKUP(C1436,'2021-22 School Level AAFTE'!C:N,12,FALSE)</f>
        <v>No</v>
      </c>
    </row>
    <row r="1437" spans="1:32" s="5" customFormat="1">
      <c r="A1437" s="97" t="s">
        <v>2312</v>
      </c>
      <c r="B1437" s="97" t="s">
        <v>372</v>
      </c>
      <c r="C1437" s="95">
        <v>5391</v>
      </c>
      <c r="D1437" s="95" t="s">
        <v>389</v>
      </c>
      <c r="E1437" s="129">
        <f>VLOOKUP($C1437,'2021-22 School Level AAFTE'!$C:$Z,11,FALSE)</f>
        <v>0.50053333333333327</v>
      </c>
      <c r="F1437" s="129" t="str">
        <f>VLOOKUP($C1437,'2021-22 School Level AAFTE'!$C:$Z,8,FALSE)</f>
        <v>Yes</v>
      </c>
      <c r="G1437" s="129" t="str">
        <f>VLOOKUP($C1437,'2021-22 School Level AAFTE'!$C:$Z,12,FALSE)</f>
        <v>No</v>
      </c>
      <c r="H1437" s="127">
        <f>VLOOKUP($C1437,'2021-22 School Level AAFTE'!$C:$I,7,FALSE)</f>
        <v>670.59</v>
      </c>
      <c r="I1437" s="112">
        <f>IFERROR(IF(OR(G1437="yes",F1437= "yes"),VLOOKUP(C1437,Summary!$B:$J,6,0),0),0)</f>
        <v>0</v>
      </c>
      <c r="J1437" s="111">
        <f t="shared" si="276"/>
        <v>670.59</v>
      </c>
      <c r="K1437" s="91">
        <f>VLOOKUP($A1437,'2022-23 Salary &amp; Benefits'!$A:$I,3,FALSE)</f>
        <v>1</v>
      </c>
      <c r="L1437" s="91">
        <f>VLOOKUP($A1437,'2022-23 Salary &amp; Benefits'!$A:$I,4,FALSE)</f>
        <v>1</v>
      </c>
      <c r="M1437" s="101">
        <f t="shared" si="283"/>
        <v>670.59</v>
      </c>
      <c r="N1437" s="24">
        <v>15</v>
      </c>
      <c r="O1437" s="26">
        <f t="shared" si="274"/>
        <v>44.706000000000003</v>
      </c>
      <c r="P1437" s="24">
        <v>1.1000000000000001</v>
      </c>
      <c r="Q1437" s="24">
        <v>36</v>
      </c>
      <c r="R1437" s="27">
        <f t="shared" si="275"/>
        <v>1770.3576000000003</v>
      </c>
      <c r="S1437" s="102">
        <f t="shared" si="277"/>
        <v>1.9670000000000001</v>
      </c>
      <c r="T1437" s="21">
        <f>VLOOKUP($A1437,'2022-23 Salary &amp; Benefits'!$A:$I,5,FALSE)</f>
        <v>68937</v>
      </c>
      <c r="U1437" s="21">
        <f>VLOOKUP($A1437,'2022-23 Salary &amp; Benefits'!$A:$I,6,FALSE)</f>
        <v>72728</v>
      </c>
      <c r="V1437" s="22">
        <f t="shared" si="278"/>
        <v>135599.07999999999</v>
      </c>
      <c r="W1437" s="22">
        <f t="shared" si="279"/>
        <v>7456.9000000000233</v>
      </c>
      <c r="X1437" s="22">
        <f>'2022-23 Salary &amp; Benefits'!$G$6</f>
        <v>12558.24</v>
      </c>
      <c r="Y1437" s="23">
        <f>'2022-23 Salary &amp; Benefits'!$H$6</f>
        <v>0.2298</v>
      </c>
      <c r="Z1437" s="23">
        <f>'2022-23 Salary &amp; Benefits'!$I$6</f>
        <v>0.22339999999999999</v>
      </c>
      <c r="AA1437" s="22">
        <f t="shared" si="280"/>
        <v>57528.6</v>
      </c>
      <c r="AB1437" s="22">
        <f t="shared" si="281"/>
        <v>2384.27</v>
      </c>
      <c r="AC1437" s="22">
        <f t="shared" si="282"/>
        <v>532.65</v>
      </c>
      <c r="AD1437" s="22">
        <f t="shared" si="284"/>
        <v>2916.92</v>
      </c>
      <c r="AE1437" s="22">
        <f t="shared" si="285"/>
        <v>203501.50000000003</v>
      </c>
      <c r="AF1437" s="19" t="str">
        <f>VLOOKUP(C1437,'2021-22 School Level AAFTE'!C:N,12,FALSE)</f>
        <v>No</v>
      </c>
    </row>
    <row r="1438" spans="1:32" s="5" customFormat="1">
      <c r="A1438" s="97" t="s">
        <v>2312</v>
      </c>
      <c r="B1438" s="97" t="s">
        <v>372</v>
      </c>
      <c r="C1438" s="95">
        <v>5392</v>
      </c>
      <c r="D1438" s="95" t="s">
        <v>390</v>
      </c>
      <c r="E1438" s="129">
        <f>VLOOKUP($C1438,'2021-22 School Level AAFTE'!$C:$Z,11,FALSE)</f>
        <v>0.94329999999999992</v>
      </c>
      <c r="F1438" s="129" t="str">
        <f>VLOOKUP($C1438,'2021-22 School Level AAFTE'!$C:$Z,8,FALSE)</f>
        <v>Yes</v>
      </c>
      <c r="G1438" s="129" t="str">
        <f>VLOOKUP($C1438,'2021-22 School Level AAFTE'!$C:$Z,12,FALSE)</f>
        <v>No</v>
      </c>
      <c r="H1438" s="127">
        <f>VLOOKUP($C1438,'2021-22 School Level AAFTE'!$C:$I,7,FALSE)</f>
        <v>477.86</v>
      </c>
      <c r="I1438" s="112">
        <f>IFERROR(IF(OR(G1438="yes",F1438= "yes"),VLOOKUP(C1438,Summary!$B:$J,6,0),0),0)</f>
        <v>0</v>
      </c>
      <c r="J1438" s="111">
        <f t="shared" si="276"/>
        <v>477.86</v>
      </c>
      <c r="K1438" s="91">
        <f>VLOOKUP($A1438,'2022-23 Salary &amp; Benefits'!$A:$I,3,FALSE)</f>
        <v>1</v>
      </c>
      <c r="L1438" s="91">
        <f>VLOOKUP($A1438,'2022-23 Salary &amp; Benefits'!$A:$I,4,FALSE)</f>
        <v>1</v>
      </c>
      <c r="M1438" s="101">
        <f t="shared" si="283"/>
        <v>477.86</v>
      </c>
      <c r="N1438" s="24">
        <v>15</v>
      </c>
      <c r="O1438" s="26">
        <f t="shared" si="274"/>
        <v>31.857333333333333</v>
      </c>
      <c r="P1438" s="24">
        <v>1.1000000000000001</v>
      </c>
      <c r="Q1438" s="24">
        <v>36</v>
      </c>
      <c r="R1438" s="27">
        <f t="shared" si="275"/>
        <v>1261.5504000000001</v>
      </c>
      <c r="S1438" s="102">
        <f t="shared" si="277"/>
        <v>1.4019999999999999</v>
      </c>
      <c r="T1438" s="21">
        <f>VLOOKUP($A1438,'2022-23 Salary &amp; Benefits'!$A:$I,5,FALSE)</f>
        <v>68937</v>
      </c>
      <c r="U1438" s="21">
        <f>VLOOKUP($A1438,'2022-23 Salary &amp; Benefits'!$A:$I,6,FALSE)</f>
        <v>72728</v>
      </c>
      <c r="V1438" s="22">
        <f t="shared" si="278"/>
        <v>96649.67</v>
      </c>
      <c r="W1438" s="22">
        <f t="shared" si="279"/>
        <v>5314.9900000000052</v>
      </c>
      <c r="X1438" s="22">
        <f>'2022-23 Salary &amp; Benefits'!$G$6</f>
        <v>12558.24</v>
      </c>
      <c r="Y1438" s="23">
        <f>'2022-23 Salary &amp; Benefits'!$H$6</f>
        <v>0.2298</v>
      </c>
      <c r="Z1438" s="23">
        <f>'2022-23 Salary &amp; Benefits'!$I$6</f>
        <v>0.22339999999999999</v>
      </c>
      <c r="AA1438" s="22">
        <f t="shared" si="280"/>
        <v>41004.120000000003</v>
      </c>
      <c r="AB1438" s="22">
        <f t="shared" si="281"/>
        <v>1699.41</v>
      </c>
      <c r="AC1438" s="22">
        <f t="shared" si="282"/>
        <v>379.65</v>
      </c>
      <c r="AD1438" s="22">
        <f t="shared" si="284"/>
        <v>2079.06</v>
      </c>
      <c r="AE1438" s="22">
        <f t="shared" si="285"/>
        <v>145047.84000000003</v>
      </c>
      <c r="AF1438" s="19" t="str">
        <f>VLOOKUP(C1438,'2021-22 School Level AAFTE'!C:N,12,FALSE)</f>
        <v>No</v>
      </c>
    </row>
    <row r="1439" spans="1:32" s="5" customFormat="1">
      <c r="A1439" s="97" t="s">
        <v>2312</v>
      </c>
      <c r="B1439" s="97" t="s">
        <v>372</v>
      </c>
      <c r="C1439" s="95">
        <v>5393</v>
      </c>
      <c r="D1439" s="95" t="s">
        <v>391</v>
      </c>
      <c r="E1439" s="129">
        <f>VLOOKUP($C1439,'2021-22 School Level AAFTE'!$C:$Z,11,FALSE)</f>
        <v>0.49230000000000002</v>
      </c>
      <c r="F1439" s="129" t="str">
        <f>VLOOKUP($C1439,'2021-22 School Level AAFTE'!$C:$Z,8,FALSE)</f>
        <v>No</v>
      </c>
      <c r="G1439" s="129" t="str">
        <f>VLOOKUP($C1439,'2021-22 School Level AAFTE'!$C:$Z,12,FALSE)</f>
        <v>No</v>
      </c>
      <c r="H1439" s="127">
        <f>VLOOKUP($C1439,'2021-22 School Level AAFTE'!$C:$I,7,FALSE)</f>
        <v>118.34</v>
      </c>
      <c r="I1439" s="112">
        <f>IFERROR(IF(OR(G1439="yes",F1439= "yes"),VLOOKUP(C1439,Summary!$B:$J,6,0),0),0)</f>
        <v>0</v>
      </c>
      <c r="J1439" s="111">
        <f t="shared" si="276"/>
        <v>0</v>
      </c>
      <c r="K1439" s="91">
        <f>VLOOKUP($A1439,'2022-23 Salary &amp; Benefits'!$A:$I,3,FALSE)</f>
        <v>1</v>
      </c>
      <c r="L1439" s="91">
        <f>VLOOKUP($A1439,'2022-23 Salary &amp; Benefits'!$A:$I,4,FALSE)</f>
        <v>1</v>
      </c>
      <c r="M1439" s="39">
        <f t="shared" si="283"/>
        <v>0</v>
      </c>
      <c r="N1439" s="24">
        <v>15</v>
      </c>
      <c r="O1439" s="26">
        <f t="shared" si="274"/>
        <v>0</v>
      </c>
      <c r="P1439" s="24">
        <v>1.1000000000000001</v>
      </c>
      <c r="Q1439" s="24">
        <v>36</v>
      </c>
      <c r="R1439" s="27">
        <f t="shared" si="275"/>
        <v>0</v>
      </c>
      <c r="S1439" s="102">
        <f t="shared" si="277"/>
        <v>0</v>
      </c>
      <c r="T1439" s="21">
        <f>VLOOKUP($A1439,'2022-23 Salary &amp; Benefits'!$A:$I,5,FALSE)</f>
        <v>68937</v>
      </c>
      <c r="U1439" s="21">
        <f>VLOOKUP($A1439,'2022-23 Salary &amp; Benefits'!$A:$I,6,FALSE)</f>
        <v>72728</v>
      </c>
      <c r="V1439" s="22">
        <f t="shared" si="278"/>
        <v>0</v>
      </c>
      <c r="W1439" s="22">
        <f t="shared" si="279"/>
        <v>0</v>
      </c>
      <c r="X1439" s="22">
        <f>'2022-23 Salary &amp; Benefits'!$G$6</f>
        <v>12558.24</v>
      </c>
      <c r="Y1439" s="23">
        <f>'2022-23 Salary &amp; Benefits'!$H$6</f>
        <v>0.2298</v>
      </c>
      <c r="Z1439" s="23">
        <f>'2022-23 Salary &amp; Benefits'!$I$6</f>
        <v>0.22339999999999999</v>
      </c>
      <c r="AA1439" s="22">
        <f t="shared" si="280"/>
        <v>0</v>
      </c>
      <c r="AB1439" s="22">
        <f t="shared" si="281"/>
        <v>0</v>
      </c>
      <c r="AC1439" s="22">
        <f t="shared" si="282"/>
        <v>0</v>
      </c>
      <c r="AD1439" s="22">
        <f t="shared" si="284"/>
        <v>0</v>
      </c>
      <c r="AE1439" s="22">
        <f t="shared" si="285"/>
        <v>0</v>
      </c>
      <c r="AF1439" s="19" t="str">
        <f>VLOOKUP(C1439,'2021-22 School Level AAFTE'!C:N,12,FALSE)</f>
        <v>No</v>
      </c>
    </row>
    <row r="1440" spans="1:32" s="5" customFormat="1">
      <c r="A1440" s="97" t="s">
        <v>2312</v>
      </c>
      <c r="B1440" s="97" t="s">
        <v>372</v>
      </c>
      <c r="C1440" s="95">
        <v>5394</v>
      </c>
      <c r="D1440" s="95" t="s">
        <v>392</v>
      </c>
      <c r="E1440" s="129">
        <f>VLOOKUP($C1440,'2021-22 School Level AAFTE'!$C:$Z,11,FALSE)</f>
        <v>0.93583333333333341</v>
      </c>
      <c r="F1440" s="129" t="str">
        <f>VLOOKUP($C1440,'2021-22 School Level AAFTE'!$C:$Z,8,FALSE)</f>
        <v>Yes</v>
      </c>
      <c r="G1440" s="129" t="str">
        <f>VLOOKUP($C1440,'2021-22 School Level AAFTE'!$C:$Z,12,FALSE)</f>
        <v>No</v>
      </c>
      <c r="H1440" s="127">
        <f>VLOOKUP($C1440,'2021-22 School Level AAFTE'!$C:$I,7,FALSE)</f>
        <v>386.16</v>
      </c>
      <c r="I1440" s="112">
        <f>IFERROR(IF(OR(G1440="yes",F1440= "yes"),VLOOKUP(C1440,Summary!$B:$J,6,0),0),0)</f>
        <v>0</v>
      </c>
      <c r="J1440" s="111">
        <f t="shared" si="276"/>
        <v>386.16</v>
      </c>
      <c r="K1440" s="91">
        <f>VLOOKUP($A1440,'2022-23 Salary &amp; Benefits'!$A:$I,3,FALSE)</f>
        <v>1</v>
      </c>
      <c r="L1440" s="91">
        <f>VLOOKUP($A1440,'2022-23 Salary &amp; Benefits'!$A:$I,4,FALSE)</f>
        <v>1</v>
      </c>
      <c r="M1440" s="39">
        <f t="shared" si="283"/>
        <v>386.16</v>
      </c>
      <c r="N1440" s="24">
        <v>15</v>
      </c>
      <c r="O1440" s="26">
        <f t="shared" si="274"/>
        <v>25.744000000000003</v>
      </c>
      <c r="P1440" s="24">
        <v>1.1000000000000001</v>
      </c>
      <c r="Q1440" s="24">
        <v>36</v>
      </c>
      <c r="R1440" s="27">
        <f t="shared" si="275"/>
        <v>1019.4624000000002</v>
      </c>
      <c r="S1440" s="102">
        <f t="shared" si="277"/>
        <v>1.133</v>
      </c>
      <c r="T1440" s="21">
        <f>VLOOKUP($A1440,'2022-23 Salary &amp; Benefits'!$A:$I,5,FALSE)</f>
        <v>68937</v>
      </c>
      <c r="U1440" s="21">
        <f>VLOOKUP($A1440,'2022-23 Salary &amp; Benefits'!$A:$I,6,FALSE)</f>
        <v>72728</v>
      </c>
      <c r="V1440" s="22">
        <f t="shared" si="278"/>
        <v>78105.62</v>
      </c>
      <c r="W1440" s="22">
        <f t="shared" si="279"/>
        <v>4295.2000000000116</v>
      </c>
      <c r="X1440" s="22">
        <f>'2022-23 Salary &amp; Benefits'!$G$6</f>
        <v>12558.24</v>
      </c>
      <c r="Y1440" s="23">
        <f>'2022-23 Salary &amp; Benefits'!$H$6</f>
        <v>0.2298</v>
      </c>
      <c r="Z1440" s="23">
        <f>'2022-23 Salary &amp; Benefits'!$I$6</f>
        <v>0.22339999999999999</v>
      </c>
      <c r="AA1440" s="22">
        <f t="shared" si="280"/>
        <v>33136.71</v>
      </c>
      <c r="AB1440" s="22">
        <f t="shared" si="281"/>
        <v>1373.35</v>
      </c>
      <c r="AC1440" s="22">
        <f t="shared" si="282"/>
        <v>306.81</v>
      </c>
      <c r="AD1440" s="22">
        <f t="shared" si="284"/>
        <v>1680.1599999999999</v>
      </c>
      <c r="AE1440" s="22">
        <f t="shared" si="285"/>
        <v>117217.69</v>
      </c>
      <c r="AF1440" s="19" t="str">
        <f>VLOOKUP(C1440,'2021-22 School Level AAFTE'!C:N,12,FALSE)</f>
        <v>No</v>
      </c>
    </row>
    <row r="1441" spans="1:284" s="5" customFormat="1">
      <c r="A1441" s="97" t="s">
        <v>2312</v>
      </c>
      <c r="B1441" s="97" t="s">
        <v>372</v>
      </c>
      <c r="C1441" s="95">
        <v>5556</v>
      </c>
      <c r="D1441" s="95" t="s">
        <v>2823</v>
      </c>
      <c r="E1441" s="129">
        <f>VLOOKUP($C1441,'2021-22 School Level AAFTE'!$C:$Z,11,FALSE)</f>
        <v>0.6781666666666667</v>
      </c>
      <c r="F1441" s="129" t="str">
        <f>VLOOKUP($C1441,'2021-22 School Level AAFTE'!$C:$Z,8,FALSE)</f>
        <v>Yes</v>
      </c>
      <c r="G1441" s="129" t="str">
        <f>VLOOKUP($C1441,'2021-22 School Level AAFTE'!$C:$Z,12,FALSE)</f>
        <v>No</v>
      </c>
      <c r="H1441" s="127">
        <f>VLOOKUP($C1441,'2021-22 School Level AAFTE'!$C:$I,7,FALSE)</f>
        <v>562.64</v>
      </c>
      <c r="I1441" s="112">
        <f>IFERROR(IF(OR(G1441="yes",F1441= "yes"),VLOOKUP(C1441,Summary!$B:$J,6,0),0),0)</f>
        <v>0</v>
      </c>
      <c r="J1441" s="111">
        <f t="shared" si="276"/>
        <v>562.64</v>
      </c>
      <c r="K1441" s="91">
        <f>VLOOKUP($A1441,'2022-23 Salary &amp; Benefits'!$A:$I,3,FALSE)</f>
        <v>1</v>
      </c>
      <c r="L1441" s="91">
        <f>VLOOKUP($A1441,'2022-23 Salary &amp; Benefits'!$A:$I,4,FALSE)</f>
        <v>1</v>
      </c>
      <c r="M1441" s="39">
        <f t="shared" si="283"/>
        <v>562.64</v>
      </c>
      <c r="N1441" s="24">
        <v>15</v>
      </c>
      <c r="O1441" s="26">
        <f t="shared" si="274"/>
        <v>37.509333333333331</v>
      </c>
      <c r="P1441" s="24">
        <v>1.1000000000000001</v>
      </c>
      <c r="Q1441" s="24">
        <v>36</v>
      </c>
      <c r="R1441" s="27">
        <f t="shared" si="275"/>
        <v>1485.3696</v>
      </c>
      <c r="S1441" s="102">
        <f t="shared" si="277"/>
        <v>1.65</v>
      </c>
      <c r="T1441" s="21">
        <f>VLOOKUP($A1441,'2022-23 Salary &amp; Benefits'!$A:$I,5,FALSE)</f>
        <v>68937</v>
      </c>
      <c r="U1441" s="21">
        <f>VLOOKUP($A1441,'2022-23 Salary &amp; Benefits'!$A:$I,6,FALSE)</f>
        <v>72728</v>
      </c>
      <c r="V1441" s="22">
        <f t="shared" si="278"/>
        <v>113746.05</v>
      </c>
      <c r="W1441" s="22">
        <f t="shared" si="279"/>
        <v>6255.1499999999942</v>
      </c>
      <c r="X1441" s="22">
        <f>'2022-23 Salary &amp; Benefits'!$G$6</f>
        <v>12558.24</v>
      </c>
      <c r="Y1441" s="23">
        <f>'2022-23 Salary &amp; Benefits'!$H$6</f>
        <v>0.2298</v>
      </c>
      <c r="Z1441" s="23">
        <f>'2022-23 Salary &amp; Benefits'!$I$6</f>
        <v>0.22339999999999999</v>
      </c>
      <c r="AA1441" s="22">
        <f t="shared" si="280"/>
        <v>48257.34</v>
      </c>
      <c r="AB1441" s="22">
        <f t="shared" si="281"/>
        <v>2000.02</v>
      </c>
      <c r="AC1441" s="22">
        <f t="shared" si="282"/>
        <v>446.8</v>
      </c>
      <c r="AD1441" s="22">
        <f t="shared" si="284"/>
        <v>2446.8200000000002</v>
      </c>
      <c r="AE1441" s="22">
        <f t="shared" si="285"/>
        <v>170705.36000000002</v>
      </c>
      <c r="AF1441" s="19" t="str">
        <f>VLOOKUP(C1441,'2021-22 School Level AAFTE'!C:N,12,FALSE)</f>
        <v>No</v>
      </c>
    </row>
    <row r="1442" spans="1:284" s="5" customFormat="1">
      <c r="A1442" s="97" t="s">
        <v>2312</v>
      </c>
      <c r="B1442" s="97" t="s">
        <v>372</v>
      </c>
      <c r="C1442" s="95">
        <v>5623</v>
      </c>
      <c r="D1442" s="95" t="s">
        <v>2904</v>
      </c>
      <c r="E1442" s="129">
        <f>VLOOKUP($C1442,'2021-22 School Level AAFTE'!$C:$Z,11,FALSE)</f>
        <v>0.45199999999999996</v>
      </c>
      <c r="F1442" s="129" t="str">
        <f>VLOOKUP($C1442,'2021-22 School Level AAFTE'!$C:$Z,8,FALSE)</f>
        <v>No</v>
      </c>
      <c r="G1442" s="129" t="str">
        <f>VLOOKUP($C1442,'2021-22 School Level AAFTE'!$C:$Z,12,FALSE)</f>
        <v>No</v>
      </c>
      <c r="H1442" s="127">
        <f>VLOOKUP($C1442,'2021-22 School Level AAFTE'!$C:$I,7,FALSE)</f>
        <v>441.74</v>
      </c>
      <c r="I1442" s="112">
        <f>IFERROR(IF(OR(G1442="yes",F1442= "yes"),VLOOKUP(C1442,Summary!$B:$J,6,0),0),0)</f>
        <v>0</v>
      </c>
      <c r="J1442" s="111">
        <f t="shared" si="276"/>
        <v>0</v>
      </c>
      <c r="K1442" s="91">
        <f>VLOOKUP($A1442,'2022-23 Salary &amp; Benefits'!$A:$I,3,FALSE)</f>
        <v>1</v>
      </c>
      <c r="L1442" s="91">
        <f>VLOOKUP($A1442,'2022-23 Salary &amp; Benefits'!$A:$I,4,FALSE)</f>
        <v>1</v>
      </c>
      <c r="M1442" s="101">
        <f t="shared" si="283"/>
        <v>0</v>
      </c>
      <c r="N1442" s="24">
        <v>15</v>
      </c>
      <c r="O1442" s="26">
        <f t="shared" si="274"/>
        <v>0</v>
      </c>
      <c r="P1442" s="24">
        <v>1.1000000000000001</v>
      </c>
      <c r="Q1442" s="24">
        <v>36</v>
      </c>
      <c r="R1442" s="27">
        <f t="shared" si="275"/>
        <v>0</v>
      </c>
      <c r="S1442" s="102">
        <f t="shared" si="277"/>
        <v>0</v>
      </c>
      <c r="T1442" s="21">
        <f>VLOOKUP($A1442,'2022-23 Salary &amp; Benefits'!$A:$I,5,FALSE)</f>
        <v>68937</v>
      </c>
      <c r="U1442" s="21">
        <f>VLOOKUP($A1442,'2022-23 Salary &amp; Benefits'!$A:$I,6,FALSE)</f>
        <v>72728</v>
      </c>
      <c r="V1442" s="22">
        <f t="shared" si="278"/>
        <v>0</v>
      </c>
      <c r="W1442" s="22">
        <f t="shared" si="279"/>
        <v>0</v>
      </c>
      <c r="X1442" s="22">
        <f>'2022-23 Salary &amp; Benefits'!$G$6</f>
        <v>12558.24</v>
      </c>
      <c r="Y1442" s="23">
        <f>'2022-23 Salary &amp; Benefits'!$H$6</f>
        <v>0.2298</v>
      </c>
      <c r="Z1442" s="23">
        <f>'2022-23 Salary &amp; Benefits'!$I$6</f>
        <v>0.22339999999999999</v>
      </c>
      <c r="AA1442" s="22">
        <f t="shared" si="280"/>
        <v>0</v>
      </c>
      <c r="AB1442" s="22">
        <f t="shared" si="281"/>
        <v>0</v>
      </c>
      <c r="AC1442" s="22">
        <f t="shared" si="282"/>
        <v>0</v>
      </c>
      <c r="AD1442" s="22">
        <f t="shared" si="284"/>
        <v>0</v>
      </c>
      <c r="AE1442" s="22">
        <f t="shared" si="285"/>
        <v>0</v>
      </c>
      <c r="AF1442" s="19" t="str">
        <f>VLOOKUP(C1442,'2021-22 School Level AAFTE'!C:N,12,FALSE)</f>
        <v>No</v>
      </c>
    </row>
    <row r="1443" spans="1:284" s="5" customFormat="1">
      <c r="A1443" s="97" t="s">
        <v>2312</v>
      </c>
      <c r="B1443" s="97" t="s">
        <v>372</v>
      </c>
      <c r="C1443" s="95">
        <v>5624</v>
      </c>
      <c r="D1443" s="95" t="s">
        <v>2905</v>
      </c>
      <c r="E1443" s="129">
        <f>VLOOKUP($C1443,'2021-22 School Level AAFTE'!$C:$Z,11,FALSE)</f>
        <v>0.55169999999999997</v>
      </c>
      <c r="F1443" s="129" t="str">
        <f>VLOOKUP($C1443,'2021-22 School Level AAFTE'!$C:$Z,8,FALSE)</f>
        <v>Yes</v>
      </c>
      <c r="G1443" s="129" t="str">
        <f>VLOOKUP($C1443,'2021-22 School Level AAFTE'!$C:$Z,12,FALSE)</f>
        <v>No</v>
      </c>
      <c r="H1443" s="127">
        <f>VLOOKUP($C1443,'2021-22 School Level AAFTE'!$C:$I,7,FALSE)</f>
        <v>1241.53</v>
      </c>
      <c r="I1443" s="112">
        <f>IFERROR(IF(OR(G1443="yes",F1443= "yes"),VLOOKUP(C1443,Summary!$B:$J,6,0),0),0)</f>
        <v>0</v>
      </c>
      <c r="J1443" s="111">
        <f t="shared" si="276"/>
        <v>1241.53</v>
      </c>
      <c r="K1443" s="91">
        <f>VLOOKUP($A1443,'2022-23 Salary &amp; Benefits'!$A:$I,3,FALSE)</f>
        <v>1</v>
      </c>
      <c r="L1443" s="91">
        <f>VLOOKUP($A1443,'2022-23 Salary &amp; Benefits'!$A:$I,4,FALSE)</f>
        <v>1</v>
      </c>
      <c r="M1443" s="39">
        <f t="shared" si="283"/>
        <v>1241.53</v>
      </c>
      <c r="N1443" s="24">
        <v>15</v>
      </c>
      <c r="O1443" s="26">
        <f t="shared" si="274"/>
        <v>82.768666666666661</v>
      </c>
      <c r="P1443" s="24">
        <v>1.1000000000000001</v>
      </c>
      <c r="Q1443" s="24">
        <v>36</v>
      </c>
      <c r="R1443" s="27">
        <f t="shared" si="275"/>
        <v>3277.6392000000001</v>
      </c>
      <c r="S1443" s="102">
        <f t="shared" si="277"/>
        <v>3.6419999999999999</v>
      </c>
      <c r="T1443" s="21">
        <f>VLOOKUP($A1443,'2022-23 Salary &amp; Benefits'!$A:$I,5,FALSE)</f>
        <v>68937</v>
      </c>
      <c r="U1443" s="21">
        <f>VLOOKUP($A1443,'2022-23 Salary &amp; Benefits'!$A:$I,6,FALSE)</f>
        <v>72728</v>
      </c>
      <c r="V1443" s="22">
        <f t="shared" si="278"/>
        <v>251068.55</v>
      </c>
      <c r="W1443" s="22">
        <f t="shared" si="279"/>
        <v>13806.830000000016</v>
      </c>
      <c r="X1443" s="22">
        <f>'2022-23 Salary &amp; Benefits'!$G$6</f>
        <v>12558.24</v>
      </c>
      <c r="Y1443" s="23">
        <f>'2022-23 Salary &amp; Benefits'!$H$6</f>
        <v>0.2298</v>
      </c>
      <c r="Z1443" s="23">
        <f>'2022-23 Salary &amp; Benefits'!$I$6</f>
        <v>0.22339999999999999</v>
      </c>
      <c r="AA1443" s="22">
        <f t="shared" si="280"/>
        <v>106517.11</v>
      </c>
      <c r="AB1443" s="22">
        <f t="shared" si="281"/>
        <v>4414.59</v>
      </c>
      <c r="AC1443" s="22">
        <f t="shared" si="282"/>
        <v>986.22</v>
      </c>
      <c r="AD1443" s="22">
        <f t="shared" si="284"/>
        <v>5400.81</v>
      </c>
      <c r="AE1443" s="22">
        <f t="shared" si="285"/>
        <v>376793.3</v>
      </c>
      <c r="AF1443" s="19" t="str">
        <f>VLOOKUP(C1443,'2021-22 School Level AAFTE'!C:N,12,FALSE)</f>
        <v>No</v>
      </c>
    </row>
    <row r="1444" spans="1:284" s="5" customFormat="1">
      <c r="A1444" s="97" t="s">
        <v>2312</v>
      </c>
      <c r="B1444" s="97" t="s">
        <v>372</v>
      </c>
      <c r="C1444" s="95">
        <v>5711</v>
      </c>
      <c r="D1444" s="95" t="s">
        <v>3034</v>
      </c>
      <c r="E1444" s="129">
        <f>VLOOKUP($C1444,'2021-22 School Level AAFTE'!$C:$Z,11,FALSE)</f>
        <v>0.64759999999999995</v>
      </c>
      <c r="F1444" s="129" t="str">
        <f>VLOOKUP($C1444,'2021-22 School Level AAFTE'!$C:$Z,8,FALSE)</f>
        <v>Yes</v>
      </c>
      <c r="G1444" s="129" t="str">
        <f>VLOOKUP($C1444,'2021-22 School Level AAFTE'!$C:$Z,12,FALSE)</f>
        <v>No</v>
      </c>
      <c r="H1444" s="127">
        <f>VLOOKUP($C1444,'2021-22 School Level AAFTE'!$C:$I,7,FALSE)</f>
        <v>305.86</v>
      </c>
      <c r="I1444" s="112">
        <f>IFERROR(IF(OR(G1444="yes",F1444= "yes"),VLOOKUP(C1444,Summary!$B:$J,6,0),0),0)</f>
        <v>0</v>
      </c>
      <c r="J1444" s="111">
        <f t="shared" si="276"/>
        <v>305.86</v>
      </c>
      <c r="K1444" s="91">
        <f>VLOOKUP($A1444,'2022-23 Salary &amp; Benefits'!$A:$I,3,FALSE)</f>
        <v>1</v>
      </c>
      <c r="L1444" s="91">
        <f>VLOOKUP($A1444,'2022-23 Salary &amp; Benefits'!$A:$I,4,FALSE)</f>
        <v>1</v>
      </c>
      <c r="M1444" s="101">
        <f t="shared" si="283"/>
        <v>305.86</v>
      </c>
      <c r="N1444" s="24">
        <v>15</v>
      </c>
      <c r="O1444" s="26">
        <f t="shared" si="274"/>
        <v>20.390666666666668</v>
      </c>
      <c r="P1444" s="24">
        <v>1.1000000000000001</v>
      </c>
      <c r="Q1444" s="24">
        <v>36</v>
      </c>
      <c r="R1444" s="27">
        <f t="shared" si="275"/>
        <v>807.47040000000015</v>
      </c>
      <c r="S1444" s="102">
        <f t="shared" si="277"/>
        <v>0.89700000000000002</v>
      </c>
      <c r="T1444" s="21">
        <f>VLOOKUP($A1444,'2022-23 Salary &amp; Benefits'!$A:$I,5,FALSE)</f>
        <v>68937</v>
      </c>
      <c r="U1444" s="21">
        <f>VLOOKUP($A1444,'2022-23 Salary &amp; Benefits'!$A:$I,6,FALSE)</f>
        <v>72728</v>
      </c>
      <c r="V1444" s="22">
        <f t="shared" si="278"/>
        <v>61836.49</v>
      </c>
      <c r="W1444" s="22">
        <f t="shared" si="279"/>
        <v>3400.5299999999988</v>
      </c>
      <c r="X1444" s="22">
        <f>'2022-23 Salary &amp; Benefits'!$G$6</f>
        <v>12558.24</v>
      </c>
      <c r="Y1444" s="23">
        <f>'2022-23 Salary &amp; Benefits'!$H$6</f>
        <v>0.2298</v>
      </c>
      <c r="Z1444" s="23">
        <f>'2022-23 Salary &amp; Benefits'!$I$6</f>
        <v>0.22339999999999999</v>
      </c>
      <c r="AA1444" s="22">
        <f t="shared" si="280"/>
        <v>26234.45</v>
      </c>
      <c r="AB1444" s="22">
        <f t="shared" si="281"/>
        <v>1087.28</v>
      </c>
      <c r="AC1444" s="22">
        <f t="shared" si="282"/>
        <v>242.9</v>
      </c>
      <c r="AD1444" s="22">
        <f t="shared" si="284"/>
        <v>1330.18</v>
      </c>
      <c r="AE1444" s="22">
        <f t="shared" si="285"/>
        <v>92801.65</v>
      </c>
      <c r="AF1444" s="19" t="str">
        <f>VLOOKUP(C1444,'2021-22 School Level AAFTE'!C:N,12,FALSE)</f>
        <v>No</v>
      </c>
    </row>
    <row r="1445" spans="1:284" s="5" customFormat="1">
      <c r="A1445" s="97" t="s">
        <v>2425</v>
      </c>
      <c r="B1445" s="97" t="s">
        <v>1247</v>
      </c>
      <c r="C1445" s="95">
        <v>2396</v>
      </c>
      <c r="D1445" s="95" t="s">
        <v>1248</v>
      </c>
      <c r="E1445" s="129">
        <f>VLOOKUP($C1445,'2021-22 School Level AAFTE'!$C:$Z,11,FALSE)</f>
        <v>0.63940000000000008</v>
      </c>
      <c r="F1445" s="129" t="str">
        <f>VLOOKUP($C1445,'2021-22 School Level AAFTE'!$C:$Z,8,FALSE)</f>
        <v>Yes</v>
      </c>
      <c r="G1445" s="129" t="str">
        <f>VLOOKUP($C1445,'2021-22 School Level AAFTE'!$C:$Z,12,FALSE)</f>
        <v>No</v>
      </c>
      <c r="H1445" s="127">
        <f>VLOOKUP($C1445,'2021-22 School Level AAFTE'!$C:$I,7,FALSE)</f>
        <v>140.01</v>
      </c>
      <c r="I1445" s="112">
        <f>IFERROR(IF(OR(G1445="yes",F1445= "yes"),VLOOKUP(C1445,Summary!$B:$J,6,0),0),0)</f>
        <v>0</v>
      </c>
      <c r="J1445" s="111">
        <f t="shared" si="276"/>
        <v>140.01</v>
      </c>
      <c r="K1445" s="91">
        <f>VLOOKUP($A1445,'2022-23 Salary &amp; Benefits'!$A:$I,3,FALSE)</f>
        <v>1</v>
      </c>
      <c r="L1445" s="91">
        <f>VLOOKUP($A1445,'2022-23 Salary &amp; Benefits'!$A:$I,4,FALSE)</f>
        <v>1.04</v>
      </c>
      <c r="M1445" s="101">
        <f t="shared" si="283"/>
        <v>140.01</v>
      </c>
      <c r="N1445" s="24">
        <v>15</v>
      </c>
      <c r="O1445" s="26">
        <f t="shared" si="274"/>
        <v>9.3339999999999996</v>
      </c>
      <c r="P1445" s="24">
        <v>1.1000000000000001</v>
      </c>
      <c r="Q1445" s="24">
        <v>36</v>
      </c>
      <c r="R1445" s="27">
        <f t="shared" si="275"/>
        <v>369.62639999999999</v>
      </c>
      <c r="S1445" s="102">
        <f t="shared" si="277"/>
        <v>0.41099999999999998</v>
      </c>
      <c r="T1445" s="21">
        <f>VLOOKUP($A1445,'2022-23 Salary &amp; Benefits'!$A:$I,5,FALSE)</f>
        <v>68937</v>
      </c>
      <c r="U1445" s="21">
        <f>VLOOKUP($A1445,'2022-23 Salary &amp; Benefits'!$A:$I,6,FALSE)</f>
        <v>72728</v>
      </c>
      <c r="V1445" s="22">
        <f t="shared" si="278"/>
        <v>28333.11</v>
      </c>
      <c r="W1445" s="22">
        <f t="shared" si="279"/>
        <v>2753.75</v>
      </c>
      <c r="X1445" s="22">
        <f>'2022-23 Salary &amp; Benefits'!$G$6</f>
        <v>12558.24</v>
      </c>
      <c r="Y1445" s="23">
        <f>'2022-23 Salary &amp; Benefits'!$H$6</f>
        <v>0.2298</v>
      </c>
      <c r="Z1445" s="23">
        <f>'2022-23 Salary &amp; Benefits'!$I$6</f>
        <v>0.22339999999999999</v>
      </c>
      <c r="AA1445" s="22">
        <f t="shared" si="280"/>
        <v>12287.57</v>
      </c>
      <c r="AB1445" s="22">
        <f t="shared" si="281"/>
        <v>518.11</v>
      </c>
      <c r="AC1445" s="22">
        <f t="shared" si="282"/>
        <v>115.75</v>
      </c>
      <c r="AD1445" s="22">
        <f t="shared" si="284"/>
        <v>633.86</v>
      </c>
      <c r="AE1445" s="22">
        <f t="shared" si="285"/>
        <v>44008.29</v>
      </c>
      <c r="AF1445" s="19" t="str">
        <f>VLOOKUP(C1445,'2021-22 School Level AAFTE'!C:N,12,FALSE)</f>
        <v>No</v>
      </c>
    </row>
    <row r="1446" spans="1:284" s="5" customFormat="1">
      <c r="A1446" s="97" t="s">
        <v>2425</v>
      </c>
      <c r="B1446" s="97" t="s">
        <v>1247</v>
      </c>
      <c r="C1446" s="95">
        <v>2397</v>
      </c>
      <c r="D1446" s="95" t="s">
        <v>1249</v>
      </c>
      <c r="E1446" s="129">
        <f>VLOOKUP($C1446,'2021-22 School Level AAFTE'!$C:$Z,11,FALSE)</f>
        <v>0.7402333333333333</v>
      </c>
      <c r="F1446" s="129" t="str">
        <f>VLOOKUP($C1446,'2021-22 School Level AAFTE'!$C:$Z,8,FALSE)</f>
        <v>Yes</v>
      </c>
      <c r="G1446" s="129" t="str">
        <f>VLOOKUP($C1446,'2021-22 School Level AAFTE'!$C:$Z,12,FALSE)</f>
        <v>No</v>
      </c>
      <c r="H1446" s="127">
        <f>VLOOKUP($C1446,'2021-22 School Level AAFTE'!$C:$I,7,FALSE)</f>
        <v>147.62</v>
      </c>
      <c r="I1446" s="112">
        <f>IFERROR(IF(OR(G1446="yes",F1446= "yes"),VLOOKUP(C1446,Summary!$B:$J,6,0),0),0)</f>
        <v>0</v>
      </c>
      <c r="J1446" s="111">
        <f t="shared" si="276"/>
        <v>147.62</v>
      </c>
      <c r="K1446" s="91">
        <f>VLOOKUP($A1446,'2022-23 Salary &amp; Benefits'!$A:$I,3,FALSE)</f>
        <v>1</v>
      </c>
      <c r="L1446" s="91">
        <f>VLOOKUP($A1446,'2022-23 Salary &amp; Benefits'!$A:$I,4,FALSE)</f>
        <v>1.04</v>
      </c>
      <c r="M1446" s="39">
        <f t="shared" si="283"/>
        <v>147.62</v>
      </c>
      <c r="N1446" s="24">
        <v>15</v>
      </c>
      <c r="O1446" s="26">
        <f t="shared" si="274"/>
        <v>9.841333333333333</v>
      </c>
      <c r="P1446" s="24">
        <v>1.1000000000000001</v>
      </c>
      <c r="Q1446" s="24">
        <v>36</v>
      </c>
      <c r="R1446" s="27">
        <f t="shared" si="275"/>
        <v>389.71680000000003</v>
      </c>
      <c r="S1446" s="102">
        <f t="shared" si="277"/>
        <v>0.433</v>
      </c>
      <c r="T1446" s="21">
        <f>VLOOKUP($A1446,'2022-23 Salary &amp; Benefits'!$A:$I,5,FALSE)</f>
        <v>68937</v>
      </c>
      <c r="U1446" s="21">
        <f>VLOOKUP($A1446,'2022-23 Salary &amp; Benefits'!$A:$I,6,FALSE)</f>
        <v>72728</v>
      </c>
      <c r="V1446" s="22">
        <f t="shared" si="278"/>
        <v>29849.72</v>
      </c>
      <c r="W1446" s="22">
        <f t="shared" si="279"/>
        <v>2901.1499999999978</v>
      </c>
      <c r="X1446" s="22">
        <f>'2022-23 Salary &amp; Benefits'!$G$6</f>
        <v>12558.24</v>
      </c>
      <c r="Y1446" s="23">
        <f>'2022-23 Salary &amp; Benefits'!$H$6</f>
        <v>0.2298</v>
      </c>
      <c r="Z1446" s="23">
        <f>'2022-23 Salary &amp; Benefits'!$I$6</f>
        <v>0.22339999999999999</v>
      </c>
      <c r="AA1446" s="22">
        <f t="shared" si="280"/>
        <v>12945.3</v>
      </c>
      <c r="AB1446" s="22">
        <f t="shared" si="281"/>
        <v>545.85</v>
      </c>
      <c r="AC1446" s="22">
        <f t="shared" si="282"/>
        <v>121.94</v>
      </c>
      <c r="AD1446" s="22">
        <f t="shared" si="284"/>
        <v>667.79</v>
      </c>
      <c r="AE1446" s="22">
        <f t="shared" si="285"/>
        <v>46363.96</v>
      </c>
      <c r="AF1446" s="19" t="str">
        <f>VLOOKUP(C1446,'2021-22 School Level AAFTE'!C:N,12,FALSE)</f>
        <v>No</v>
      </c>
    </row>
    <row r="1447" spans="1:284" s="5" customFormat="1">
      <c r="A1447" s="97" t="s">
        <v>2425</v>
      </c>
      <c r="B1447" s="97" t="s">
        <v>1247</v>
      </c>
      <c r="C1447" s="95">
        <v>5639</v>
      </c>
      <c r="D1447" s="95" t="s">
        <v>2985</v>
      </c>
      <c r="E1447" s="129">
        <f>VLOOKUP($C1447,'2021-22 School Level AAFTE'!$C:$Z,11,FALSE)</f>
        <v>0</v>
      </c>
      <c r="F1447" s="129" t="str">
        <f>VLOOKUP($C1447,'2021-22 School Level AAFTE'!$C:$Z,8,FALSE)</f>
        <v>No</v>
      </c>
      <c r="G1447" s="129" t="str">
        <f>VLOOKUP($C1447,'2021-22 School Level AAFTE'!$C:$Z,12,FALSE)</f>
        <v>No</v>
      </c>
      <c r="H1447" s="127">
        <f>VLOOKUP($C1447,'2021-22 School Level AAFTE'!$C:$I,7,FALSE)</f>
        <v>8.02</v>
      </c>
      <c r="I1447" s="112">
        <f>IFERROR(IF(OR(G1447="yes",F1447= "yes"),VLOOKUP(C1447,Summary!$B:$J,6,0),0),0)</f>
        <v>0</v>
      </c>
      <c r="J1447" s="111">
        <f t="shared" si="276"/>
        <v>0</v>
      </c>
      <c r="K1447" s="91">
        <f>VLOOKUP($A1447,'2022-23 Salary &amp; Benefits'!$A:$I,3,FALSE)</f>
        <v>1</v>
      </c>
      <c r="L1447" s="91">
        <f>VLOOKUP($A1447,'2022-23 Salary &amp; Benefits'!$A:$I,4,FALSE)</f>
        <v>1.04</v>
      </c>
      <c r="M1447" s="101">
        <f t="shared" si="283"/>
        <v>0</v>
      </c>
      <c r="N1447" s="24">
        <v>15</v>
      </c>
      <c r="O1447" s="26">
        <f t="shared" si="274"/>
        <v>0</v>
      </c>
      <c r="P1447" s="24">
        <v>1.1000000000000001</v>
      </c>
      <c r="Q1447" s="24">
        <v>36</v>
      </c>
      <c r="R1447" s="27">
        <f t="shared" si="275"/>
        <v>0</v>
      </c>
      <c r="S1447" s="102">
        <f t="shared" si="277"/>
        <v>0</v>
      </c>
      <c r="T1447" s="21">
        <f>VLOOKUP($A1447,'2022-23 Salary &amp; Benefits'!$A:$I,5,FALSE)</f>
        <v>68937</v>
      </c>
      <c r="U1447" s="21">
        <f>VLOOKUP($A1447,'2022-23 Salary &amp; Benefits'!$A:$I,6,FALSE)</f>
        <v>72728</v>
      </c>
      <c r="V1447" s="22">
        <f t="shared" si="278"/>
        <v>0</v>
      </c>
      <c r="W1447" s="22">
        <f t="shared" si="279"/>
        <v>0</v>
      </c>
      <c r="X1447" s="22">
        <f>'2022-23 Salary &amp; Benefits'!$G$6</f>
        <v>12558.24</v>
      </c>
      <c r="Y1447" s="23">
        <f>'2022-23 Salary &amp; Benefits'!$H$6</f>
        <v>0.2298</v>
      </c>
      <c r="Z1447" s="23">
        <f>'2022-23 Salary &amp; Benefits'!$I$6</f>
        <v>0.22339999999999999</v>
      </c>
      <c r="AA1447" s="22">
        <f t="shared" si="280"/>
        <v>0</v>
      </c>
      <c r="AB1447" s="22">
        <f t="shared" si="281"/>
        <v>0</v>
      </c>
      <c r="AC1447" s="22">
        <f t="shared" si="282"/>
        <v>0</v>
      </c>
      <c r="AD1447" s="22">
        <f t="shared" si="284"/>
        <v>0</v>
      </c>
      <c r="AE1447" s="22">
        <f t="shared" si="285"/>
        <v>0</v>
      </c>
      <c r="AF1447" s="19" t="str">
        <f>VLOOKUP(C1447,'2021-22 School Level AAFTE'!C:N,12,FALSE)</f>
        <v>No</v>
      </c>
    </row>
    <row r="1448" spans="1:284" s="5" customFormat="1">
      <c r="A1448" s="97" t="s">
        <v>2265</v>
      </c>
      <c r="B1448" s="97" t="s">
        <v>60</v>
      </c>
      <c r="C1448" s="95">
        <v>2133</v>
      </c>
      <c r="D1448" s="95" t="s">
        <v>61</v>
      </c>
      <c r="E1448" s="129">
        <f>VLOOKUP($C1448,'2021-22 School Level AAFTE'!$C:$Z,11,FALSE)</f>
        <v>0.99716666666666676</v>
      </c>
      <c r="F1448" s="129" t="str">
        <f>VLOOKUP($C1448,'2021-22 School Level AAFTE'!$C:$Z,8,FALSE)</f>
        <v>Yes</v>
      </c>
      <c r="G1448" s="129" t="str">
        <f>VLOOKUP($C1448,'2021-22 School Level AAFTE'!$C:$Z,12,FALSE)</f>
        <v>No</v>
      </c>
      <c r="H1448" s="127">
        <f>VLOOKUP($C1448,'2021-22 School Level AAFTE'!$C:$I,7,FALSE)</f>
        <v>141</v>
      </c>
      <c r="I1448" s="112">
        <f>IFERROR(IF(OR(G1448="yes",F1448= "yes"),VLOOKUP(C1448,Summary!$B:$J,6,0),0),0)</f>
        <v>0</v>
      </c>
      <c r="J1448" s="111">
        <f t="shared" si="276"/>
        <v>141</v>
      </c>
      <c r="K1448" s="91">
        <f>VLOOKUP($A1448,'2022-23 Salary &amp; Benefits'!$A:$I,3,FALSE)</f>
        <v>1</v>
      </c>
      <c r="L1448" s="91">
        <f>VLOOKUP($A1448,'2022-23 Salary &amp; Benefits'!$A:$I,4,FALSE)</f>
        <v>1</v>
      </c>
      <c r="M1448" s="39">
        <f t="shared" si="283"/>
        <v>141</v>
      </c>
      <c r="N1448" s="24">
        <v>15</v>
      </c>
      <c r="O1448" s="26">
        <f t="shared" si="274"/>
        <v>9.4</v>
      </c>
      <c r="P1448" s="24">
        <v>1.1000000000000001</v>
      </c>
      <c r="Q1448" s="24">
        <v>36</v>
      </c>
      <c r="R1448" s="27">
        <f t="shared" si="275"/>
        <v>372.24000000000007</v>
      </c>
      <c r="S1448" s="102">
        <f t="shared" si="277"/>
        <v>0.41399999999999998</v>
      </c>
      <c r="T1448" s="21">
        <f>VLOOKUP($A1448,'2022-23 Salary &amp; Benefits'!$A:$I,5,FALSE)</f>
        <v>68937</v>
      </c>
      <c r="U1448" s="21">
        <f>VLOOKUP($A1448,'2022-23 Salary &amp; Benefits'!$A:$I,6,FALSE)</f>
        <v>72728</v>
      </c>
      <c r="V1448" s="22">
        <f t="shared" si="278"/>
        <v>28539.919999999998</v>
      </c>
      <c r="W1448" s="22">
        <f t="shared" si="279"/>
        <v>1569.4700000000012</v>
      </c>
      <c r="X1448" s="22">
        <f>'2022-23 Salary &amp; Benefits'!$G$6</f>
        <v>12558.24</v>
      </c>
      <c r="Y1448" s="23">
        <f>'2022-23 Salary &amp; Benefits'!$H$6</f>
        <v>0.2298</v>
      </c>
      <c r="Z1448" s="23">
        <f>'2022-23 Salary &amp; Benefits'!$I$6</f>
        <v>0.22339999999999999</v>
      </c>
      <c r="AA1448" s="22">
        <f t="shared" si="280"/>
        <v>12108.2</v>
      </c>
      <c r="AB1448" s="22">
        <f t="shared" si="281"/>
        <v>501.82</v>
      </c>
      <c r="AC1448" s="22">
        <f t="shared" si="282"/>
        <v>112.11</v>
      </c>
      <c r="AD1448" s="22">
        <f t="shared" si="284"/>
        <v>613.92999999999995</v>
      </c>
      <c r="AE1448" s="22">
        <f t="shared" si="285"/>
        <v>42831.519999999997</v>
      </c>
      <c r="AF1448" s="19" t="str">
        <f>VLOOKUP(C1448,'2021-22 School Level AAFTE'!C:N,12,FALSE)</f>
        <v>No</v>
      </c>
    </row>
    <row r="1449" spans="1:284" s="5" customFormat="1">
      <c r="A1449" s="97" t="s">
        <v>2402</v>
      </c>
      <c r="B1449" s="97" t="s">
        <v>1164</v>
      </c>
      <c r="C1449" s="95">
        <v>2858</v>
      </c>
      <c r="D1449" s="95" t="s">
        <v>1165</v>
      </c>
      <c r="E1449" s="129">
        <f>VLOOKUP($C1449,'2021-22 School Level AAFTE'!$C:$Z,11,FALSE)</f>
        <v>0.57346666666666668</v>
      </c>
      <c r="F1449" s="129" t="str">
        <f>VLOOKUP($C1449,'2021-22 School Level AAFTE'!$C:$Z,8,FALSE)</f>
        <v>Yes</v>
      </c>
      <c r="G1449" s="129" t="str">
        <f>VLOOKUP($C1449,'2021-22 School Level AAFTE'!$C:$Z,12,FALSE)</f>
        <v>No</v>
      </c>
      <c r="H1449" s="127">
        <f>VLOOKUP($C1449,'2021-22 School Level AAFTE'!$C:$I,7,FALSE)</f>
        <v>246.76999999999998</v>
      </c>
      <c r="I1449" s="112">
        <f>IFERROR(IF(OR(G1449="yes",F1449= "yes"),VLOOKUP(C1449,Summary!$B:$J,6,0),0),0)</f>
        <v>0</v>
      </c>
      <c r="J1449" s="111">
        <f t="shared" si="276"/>
        <v>246.76999999999998</v>
      </c>
      <c r="K1449" s="91">
        <f>VLOOKUP($A1449,'2022-23 Salary &amp; Benefits'!$A:$I,3,FALSE)</f>
        <v>1</v>
      </c>
      <c r="L1449" s="91">
        <f>VLOOKUP($A1449,'2022-23 Salary &amp; Benefits'!$A:$I,4,FALSE)</f>
        <v>1.04</v>
      </c>
      <c r="M1449" s="101">
        <f t="shared" si="283"/>
        <v>246.76999999999998</v>
      </c>
      <c r="N1449" s="24">
        <v>15</v>
      </c>
      <c r="O1449" s="26">
        <f t="shared" si="274"/>
        <v>16.451333333333331</v>
      </c>
      <c r="P1449" s="24">
        <v>1.1000000000000001</v>
      </c>
      <c r="Q1449" s="24">
        <v>36</v>
      </c>
      <c r="R1449" s="27">
        <f t="shared" si="275"/>
        <v>651.47279999999989</v>
      </c>
      <c r="S1449" s="102">
        <f t="shared" si="277"/>
        <v>0.72399999999999998</v>
      </c>
      <c r="T1449" s="21">
        <f>VLOOKUP($A1449,'2022-23 Salary &amp; Benefits'!$A:$I,5,FALSE)</f>
        <v>68937</v>
      </c>
      <c r="U1449" s="21">
        <f>VLOOKUP($A1449,'2022-23 Salary &amp; Benefits'!$A:$I,6,FALSE)</f>
        <v>72728</v>
      </c>
      <c r="V1449" s="22">
        <f t="shared" si="278"/>
        <v>49910.39</v>
      </c>
      <c r="W1449" s="22">
        <f t="shared" si="279"/>
        <v>4850.8799999999974</v>
      </c>
      <c r="X1449" s="22">
        <f>'2022-23 Salary &amp; Benefits'!$G$6</f>
        <v>12558.24</v>
      </c>
      <c r="Y1449" s="23">
        <f>'2022-23 Salary &amp; Benefits'!$H$6</f>
        <v>0.2298</v>
      </c>
      <c r="Z1449" s="23">
        <f>'2022-23 Salary &amp; Benefits'!$I$6</f>
        <v>0.22339999999999999</v>
      </c>
      <c r="AA1449" s="22">
        <f t="shared" si="280"/>
        <v>21645.26</v>
      </c>
      <c r="AB1449" s="22">
        <f t="shared" si="281"/>
        <v>912.69</v>
      </c>
      <c r="AC1449" s="22">
        <f t="shared" si="282"/>
        <v>203.89</v>
      </c>
      <c r="AD1449" s="22">
        <f t="shared" si="284"/>
        <v>1116.58</v>
      </c>
      <c r="AE1449" s="22">
        <f t="shared" si="285"/>
        <v>77523.11</v>
      </c>
      <c r="AF1449" s="19" t="str">
        <f>VLOOKUP(C1449,'2021-22 School Level AAFTE'!C:N,12,FALSE)</f>
        <v>No</v>
      </c>
    </row>
    <row r="1450" spans="1:284" s="5" customFormat="1">
      <c r="A1450" s="97" t="s">
        <v>2447</v>
      </c>
      <c r="B1450" s="97" t="s">
        <v>1443</v>
      </c>
      <c r="C1450" s="95">
        <v>1516</v>
      </c>
      <c r="D1450" s="95" t="s">
        <v>1444</v>
      </c>
      <c r="E1450" s="129">
        <f>VLOOKUP($C1450,'2021-22 School Level AAFTE'!$C:$Z,11,FALSE)</f>
        <v>0.47110000000000002</v>
      </c>
      <c r="F1450" s="129" t="str">
        <f>VLOOKUP($C1450,'2021-22 School Level AAFTE'!$C:$Z,8,FALSE)</f>
        <v>No</v>
      </c>
      <c r="G1450" s="129" t="str">
        <f>VLOOKUP($C1450,'2021-22 School Level AAFTE'!$C:$Z,12,FALSE)</f>
        <v>No</v>
      </c>
      <c r="H1450" s="127">
        <f>VLOOKUP($C1450,'2021-22 School Level AAFTE'!$C:$I,7,FALSE)</f>
        <v>83.41</v>
      </c>
      <c r="I1450" s="112">
        <f>IFERROR(IF(OR(G1450="yes",F1450= "yes"),VLOOKUP(C1450,Summary!$B:$J,6,0),0),0)</f>
        <v>0</v>
      </c>
      <c r="J1450" s="111">
        <f t="shared" si="276"/>
        <v>0</v>
      </c>
      <c r="K1450" s="91">
        <f>VLOOKUP($A1450,'2022-23 Salary &amp; Benefits'!$A:$I,3,FALSE)</f>
        <v>1.1200000000000001</v>
      </c>
      <c r="L1450" s="91">
        <f>VLOOKUP($A1450,'2022-23 Salary &amp; Benefits'!$A:$I,4,FALSE)</f>
        <v>1.1600000000000001</v>
      </c>
      <c r="M1450" s="101">
        <f t="shared" si="283"/>
        <v>0</v>
      </c>
      <c r="N1450" s="24">
        <v>15</v>
      </c>
      <c r="O1450" s="26">
        <f t="shared" si="274"/>
        <v>0</v>
      </c>
      <c r="P1450" s="24">
        <v>1.1000000000000001</v>
      </c>
      <c r="Q1450" s="24">
        <v>36</v>
      </c>
      <c r="R1450" s="27">
        <f t="shared" si="275"/>
        <v>0</v>
      </c>
      <c r="S1450" s="102">
        <f t="shared" si="277"/>
        <v>0</v>
      </c>
      <c r="T1450" s="21">
        <f>VLOOKUP($A1450,'2022-23 Salary &amp; Benefits'!$A:$I,5,FALSE)</f>
        <v>68937</v>
      </c>
      <c r="U1450" s="21">
        <f>VLOOKUP($A1450,'2022-23 Salary &amp; Benefits'!$A:$I,6,FALSE)</f>
        <v>72728</v>
      </c>
      <c r="V1450" s="22">
        <f t="shared" si="278"/>
        <v>0</v>
      </c>
      <c r="W1450" s="22">
        <f t="shared" si="279"/>
        <v>0</v>
      </c>
      <c r="X1450" s="22">
        <f>'2022-23 Salary &amp; Benefits'!$G$6</f>
        <v>12558.24</v>
      </c>
      <c r="Y1450" s="23">
        <f>'2022-23 Salary &amp; Benefits'!$H$6</f>
        <v>0.2298</v>
      </c>
      <c r="Z1450" s="23">
        <f>'2022-23 Salary &amp; Benefits'!$I$6</f>
        <v>0.22339999999999999</v>
      </c>
      <c r="AA1450" s="22">
        <f t="shared" si="280"/>
        <v>0</v>
      </c>
      <c r="AB1450" s="22">
        <f t="shared" si="281"/>
        <v>0</v>
      </c>
      <c r="AC1450" s="22">
        <f t="shared" si="282"/>
        <v>0</v>
      </c>
      <c r="AD1450" s="22">
        <f t="shared" si="284"/>
        <v>0</v>
      </c>
      <c r="AE1450" s="22">
        <f t="shared" si="285"/>
        <v>0</v>
      </c>
      <c r="AF1450" s="19" t="str">
        <f>VLOOKUP(C1450,'2021-22 School Level AAFTE'!C:N,12,FALSE)</f>
        <v>No</v>
      </c>
    </row>
    <row r="1451" spans="1:284" s="5" customFormat="1">
      <c r="A1451" s="97" t="s">
        <v>2447</v>
      </c>
      <c r="B1451" s="97" t="s">
        <v>1443</v>
      </c>
      <c r="C1451" s="95">
        <v>2294</v>
      </c>
      <c r="D1451" s="95" t="s">
        <v>1445</v>
      </c>
      <c r="E1451" s="129">
        <f>VLOOKUP($C1451,'2021-22 School Level AAFTE'!$C:$Z,11,FALSE)</f>
        <v>0.18543333333333334</v>
      </c>
      <c r="F1451" s="129" t="str">
        <f>VLOOKUP($C1451,'2021-22 School Level AAFTE'!$C:$Z,8,FALSE)</f>
        <v>No</v>
      </c>
      <c r="G1451" s="129" t="str">
        <f>VLOOKUP($C1451,'2021-22 School Level AAFTE'!$C:$Z,12,FALSE)</f>
        <v>No</v>
      </c>
      <c r="H1451" s="127">
        <f>VLOOKUP($C1451,'2021-22 School Level AAFTE'!$C:$I,7,FALSE)</f>
        <v>449.9</v>
      </c>
      <c r="I1451" s="112">
        <f>IFERROR(IF(OR(G1451="yes",F1451= "yes"),VLOOKUP(C1451,Summary!$B:$J,6,0),0),0)</f>
        <v>0</v>
      </c>
      <c r="J1451" s="111">
        <f t="shared" si="276"/>
        <v>0</v>
      </c>
      <c r="K1451" s="91">
        <f>VLOOKUP($A1451,'2022-23 Salary &amp; Benefits'!$A:$I,3,FALSE)</f>
        <v>1.1200000000000001</v>
      </c>
      <c r="L1451" s="91">
        <f>VLOOKUP($A1451,'2022-23 Salary &amp; Benefits'!$A:$I,4,FALSE)</f>
        <v>1.1600000000000001</v>
      </c>
      <c r="M1451" s="39">
        <f t="shared" si="283"/>
        <v>0</v>
      </c>
      <c r="N1451" s="24">
        <v>15</v>
      </c>
      <c r="O1451" s="26">
        <f t="shared" si="274"/>
        <v>0</v>
      </c>
      <c r="P1451" s="24">
        <v>1.1000000000000001</v>
      </c>
      <c r="Q1451" s="24">
        <v>36</v>
      </c>
      <c r="R1451" s="27">
        <f t="shared" si="275"/>
        <v>0</v>
      </c>
      <c r="S1451" s="102">
        <f t="shared" si="277"/>
        <v>0</v>
      </c>
      <c r="T1451" s="21">
        <f>VLOOKUP($A1451,'2022-23 Salary &amp; Benefits'!$A:$I,5,FALSE)</f>
        <v>68937</v>
      </c>
      <c r="U1451" s="21">
        <f>VLOOKUP($A1451,'2022-23 Salary &amp; Benefits'!$A:$I,6,FALSE)</f>
        <v>72728</v>
      </c>
      <c r="V1451" s="22">
        <f t="shared" si="278"/>
        <v>0</v>
      </c>
      <c r="W1451" s="22">
        <f t="shared" si="279"/>
        <v>0</v>
      </c>
      <c r="X1451" s="22">
        <f>'2022-23 Salary &amp; Benefits'!$G$6</f>
        <v>12558.24</v>
      </c>
      <c r="Y1451" s="23">
        <f>'2022-23 Salary &amp; Benefits'!$H$6</f>
        <v>0.2298</v>
      </c>
      <c r="Z1451" s="23">
        <f>'2022-23 Salary &amp; Benefits'!$I$6</f>
        <v>0.22339999999999999</v>
      </c>
      <c r="AA1451" s="22">
        <f t="shared" si="280"/>
        <v>0</v>
      </c>
      <c r="AB1451" s="22">
        <f t="shared" si="281"/>
        <v>0</v>
      </c>
      <c r="AC1451" s="22">
        <f t="shared" si="282"/>
        <v>0</v>
      </c>
      <c r="AD1451" s="22">
        <f t="shared" si="284"/>
        <v>0</v>
      </c>
      <c r="AE1451" s="22">
        <f t="shared" si="285"/>
        <v>0</v>
      </c>
      <c r="AF1451" s="19" t="str">
        <f>VLOOKUP(C1451,'2021-22 School Level AAFTE'!C:N,12,FALSE)</f>
        <v>No</v>
      </c>
    </row>
    <row r="1452" spans="1:284" s="5" customFormat="1">
      <c r="A1452" s="97" t="s">
        <v>2447</v>
      </c>
      <c r="B1452" s="97" t="s">
        <v>1443</v>
      </c>
      <c r="C1452" s="95">
        <v>2681</v>
      </c>
      <c r="D1452" s="95" t="s">
        <v>1446</v>
      </c>
      <c r="E1452" s="129">
        <f>VLOOKUP($C1452,'2021-22 School Level AAFTE'!$C:$Z,11,FALSE)</f>
        <v>0.2117</v>
      </c>
      <c r="F1452" s="129" t="str">
        <f>VLOOKUP($C1452,'2021-22 School Level AAFTE'!$C:$Z,8,FALSE)</f>
        <v>No</v>
      </c>
      <c r="G1452" s="129" t="str">
        <f>VLOOKUP($C1452,'2021-22 School Level AAFTE'!$C:$Z,12,FALSE)</f>
        <v>No</v>
      </c>
      <c r="H1452" s="127">
        <f>VLOOKUP($C1452,'2021-22 School Level AAFTE'!$C:$I,7,FALSE)</f>
        <v>1411.8600000000001</v>
      </c>
      <c r="I1452" s="112">
        <f>IFERROR(IF(OR(G1452="yes",F1452= "yes"),VLOOKUP(C1452,Summary!$B:$J,6,0),0),0)</f>
        <v>0</v>
      </c>
      <c r="J1452" s="111">
        <f t="shared" si="276"/>
        <v>0</v>
      </c>
      <c r="K1452" s="91">
        <f>VLOOKUP($A1452,'2022-23 Salary &amp; Benefits'!$A:$I,3,FALSE)</f>
        <v>1.1200000000000001</v>
      </c>
      <c r="L1452" s="91">
        <f>VLOOKUP($A1452,'2022-23 Salary &amp; Benefits'!$A:$I,4,FALSE)</f>
        <v>1.1600000000000001</v>
      </c>
      <c r="M1452" s="39">
        <f t="shared" si="283"/>
        <v>0</v>
      </c>
      <c r="N1452" s="24">
        <v>15</v>
      </c>
      <c r="O1452" s="26">
        <f t="shared" si="274"/>
        <v>0</v>
      </c>
      <c r="P1452" s="24">
        <v>1.1000000000000001</v>
      </c>
      <c r="Q1452" s="24">
        <v>36</v>
      </c>
      <c r="R1452" s="27">
        <f t="shared" si="275"/>
        <v>0</v>
      </c>
      <c r="S1452" s="102">
        <f t="shared" si="277"/>
        <v>0</v>
      </c>
      <c r="T1452" s="21">
        <f>VLOOKUP($A1452,'2022-23 Salary &amp; Benefits'!$A:$I,5,FALSE)</f>
        <v>68937</v>
      </c>
      <c r="U1452" s="21">
        <f>VLOOKUP($A1452,'2022-23 Salary &amp; Benefits'!$A:$I,6,FALSE)</f>
        <v>72728</v>
      </c>
      <c r="V1452" s="22">
        <f t="shared" si="278"/>
        <v>0</v>
      </c>
      <c r="W1452" s="22">
        <f t="shared" si="279"/>
        <v>0</v>
      </c>
      <c r="X1452" s="22">
        <f>'2022-23 Salary &amp; Benefits'!$G$6</f>
        <v>12558.24</v>
      </c>
      <c r="Y1452" s="23">
        <f>'2022-23 Salary &amp; Benefits'!$H$6</f>
        <v>0.2298</v>
      </c>
      <c r="Z1452" s="23">
        <f>'2022-23 Salary &amp; Benefits'!$I$6</f>
        <v>0.22339999999999999</v>
      </c>
      <c r="AA1452" s="22">
        <f t="shared" si="280"/>
        <v>0</v>
      </c>
      <c r="AB1452" s="22">
        <f t="shared" si="281"/>
        <v>0</v>
      </c>
      <c r="AC1452" s="22">
        <f t="shared" si="282"/>
        <v>0</v>
      </c>
      <c r="AD1452" s="22">
        <f t="shared" si="284"/>
        <v>0</v>
      </c>
      <c r="AE1452" s="22">
        <f t="shared" si="285"/>
        <v>0</v>
      </c>
      <c r="AF1452" s="19" t="str">
        <f>VLOOKUP(C1452,'2021-22 School Level AAFTE'!C:N,12,FALSE)</f>
        <v>No</v>
      </c>
    </row>
    <row r="1453" spans="1:284" s="5" customFormat="1">
      <c r="A1453" s="97" t="s">
        <v>2447</v>
      </c>
      <c r="B1453" s="97" t="s">
        <v>1443</v>
      </c>
      <c r="C1453" s="95">
        <v>2944</v>
      </c>
      <c r="D1453" s="95" t="s">
        <v>1447</v>
      </c>
      <c r="E1453" s="129">
        <f>VLOOKUP($C1453,'2021-22 School Level AAFTE'!$C:$Z,11,FALSE)</f>
        <v>0.17446666666666669</v>
      </c>
      <c r="F1453" s="129" t="str">
        <f>VLOOKUP($C1453,'2021-22 School Level AAFTE'!$C:$Z,8,FALSE)</f>
        <v>No</v>
      </c>
      <c r="G1453" s="129" t="str">
        <f>VLOOKUP($C1453,'2021-22 School Level AAFTE'!$C:$Z,12,FALSE)</f>
        <v>No</v>
      </c>
      <c r="H1453" s="127">
        <f>VLOOKUP($C1453,'2021-22 School Level AAFTE'!$C:$I,7,FALSE)</f>
        <v>435.57</v>
      </c>
      <c r="I1453" s="112">
        <f>IFERROR(IF(OR(G1453="yes",F1453= "yes"),VLOOKUP(C1453,Summary!$B:$J,6,0),0),0)</f>
        <v>0</v>
      </c>
      <c r="J1453" s="111">
        <f t="shared" si="276"/>
        <v>0</v>
      </c>
      <c r="K1453" s="91">
        <f>VLOOKUP($A1453,'2022-23 Salary &amp; Benefits'!$A:$I,3,FALSE)</f>
        <v>1.1200000000000001</v>
      </c>
      <c r="L1453" s="91">
        <f>VLOOKUP($A1453,'2022-23 Salary &amp; Benefits'!$A:$I,4,FALSE)</f>
        <v>1.1600000000000001</v>
      </c>
      <c r="M1453" s="101">
        <f t="shared" si="283"/>
        <v>0</v>
      </c>
      <c r="N1453" s="24">
        <v>15</v>
      </c>
      <c r="O1453" s="26">
        <f t="shared" si="274"/>
        <v>0</v>
      </c>
      <c r="P1453" s="24">
        <v>1.1000000000000001</v>
      </c>
      <c r="Q1453" s="24">
        <v>36</v>
      </c>
      <c r="R1453" s="27">
        <f t="shared" si="275"/>
        <v>0</v>
      </c>
      <c r="S1453" s="102">
        <f t="shared" si="277"/>
        <v>0</v>
      </c>
      <c r="T1453" s="21">
        <f>VLOOKUP($A1453,'2022-23 Salary &amp; Benefits'!$A:$I,5,FALSE)</f>
        <v>68937</v>
      </c>
      <c r="U1453" s="21">
        <f>VLOOKUP($A1453,'2022-23 Salary &amp; Benefits'!$A:$I,6,FALSE)</f>
        <v>72728</v>
      </c>
      <c r="V1453" s="22">
        <f t="shared" si="278"/>
        <v>0</v>
      </c>
      <c r="W1453" s="22">
        <f t="shared" si="279"/>
        <v>0</v>
      </c>
      <c r="X1453" s="22">
        <f>'2022-23 Salary &amp; Benefits'!$G$6</f>
        <v>12558.24</v>
      </c>
      <c r="Y1453" s="23">
        <f>'2022-23 Salary &amp; Benefits'!$H$6</f>
        <v>0.2298</v>
      </c>
      <c r="Z1453" s="23">
        <f>'2022-23 Salary &amp; Benefits'!$I$6</f>
        <v>0.22339999999999999</v>
      </c>
      <c r="AA1453" s="22">
        <f t="shared" si="280"/>
        <v>0</v>
      </c>
      <c r="AB1453" s="22">
        <f t="shared" si="281"/>
        <v>0</v>
      </c>
      <c r="AC1453" s="22">
        <f t="shared" si="282"/>
        <v>0</v>
      </c>
      <c r="AD1453" s="22">
        <f t="shared" si="284"/>
        <v>0</v>
      </c>
      <c r="AE1453" s="22">
        <f t="shared" si="285"/>
        <v>0</v>
      </c>
      <c r="AF1453" s="19" t="str">
        <f>VLOOKUP(C1453,'2021-22 School Level AAFTE'!C:N,12,FALSE)</f>
        <v>No</v>
      </c>
    </row>
    <row r="1454" spans="1:284" s="5" customFormat="1">
      <c r="A1454" s="97" t="s">
        <v>2447</v>
      </c>
      <c r="B1454" s="97" t="s">
        <v>1443</v>
      </c>
      <c r="C1454" s="95">
        <v>3055</v>
      </c>
      <c r="D1454" s="95" t="s">
        <v>1448</v>
      </c>
      <c r="E1454" s="129">
        <f>VLOOKUP($C1454,'2021-22 School Level AAFTE'!$C:$Z,11,FALSE)</f>
        <v>0.47449999999999998</v>
      </c>
      <c r="F1454" s="129" t="str">
        <f>VLOOKUP($C1454,'2021-22 School Level AAFTE'!$C:$Z,8,FALSE)</f>
        <v>No</v>
      </c>
      <c r="G1454" s="129" t="str">
        <f>VLOOKUP($C1454,'2021-22 School Level AAFTE'!$C:$Z,12,FALSE)</f>
        <v>Yes</v>
      </c>
      <c r="H1454" s="127">
        <f>VLOOKUP($C1454,'2021-22 School Level AAFTE'!$C:$I,7,FALSE)</f>
        <v>234.79</v>
      </c>
      <c r="I1454" s="112">
        <f>IFERROR(IF(OR(G1454="yes",F1454= "yes"),VLOOKUP(C1454,Summary!$B:$J,6,0),0),0)</f>
        <v>0</v>
      </c>
      <c r="J1454" s="111">
        <f t="shared" si="276"/>
        <v>234.79</v>
      </c>
      <c r="K1454" s="91">
        <f>VLOOKUP($A1454,'2022-23 Salary &amp; Benefits'!$A:$I,3,FALSE)</f>
        <v>1.1200000000000001</v>
      </c>
      <c r="L1454" s="91">
        <f>VLOOKUP($A1454,'2022-23 Salary &amp; Benefits'!$A:$I,4,FALSE)</f>
        <v>1.1600000000000001</v>
      </c>
      <c r="M1454" s="39">
        <f t="shared" si="283"/>
        <v>234.79</v>
      </c>
      <c r="N1454" s="24">
        <v>15</v>
      </c>
      <c r="O1454" s="26">
        <f t="shared" si="274"/>
        <v>15.652666666666667</v>
      </c>
      <c r="P1454" s="24">
        <v>1.1000000000000001</v>
      </c>
      <c r="Q1454" s="24">
        <v>36</v>
      </c>
      <c r="R1454" s="27">
        <f t="shared" si="275"/>
        <v>619.8456000000001</v>
      </c>
      <c r="S1454" s="102">
        <f t="shared" si="277"/>
        <v>0.68899999999999995</v>
      </c>
      <c r="T1454" s="21">
        <f>VLOOKUP($A1454,'2022-23 Salary &amp; Benefits'!$A:$I,5,FALSE)</f>
        <v>68937</v>
      </c>
      <c r="U1454" s="21">
        <f>VLOOKUP($A1454,'2022-23 Salary &amp; Benefits'!$A:$I,6,FALSE)</f>
        <v>72728</v>
      </c>
      <c r="V1454" s="22">
        <f t="shared" si="278"/>
        <v>53197.3</v>
      </c>
      <c r="W1454" s="22">
        <f t="shared" si="279"/>
        <v>4929.8299999999945</v>
      </c>
      <c r="X1454" s="22">
        <f>'2022-23 Salary &amp; Benefits'!$G$6</f>
        <v>12558.24</v>
      </c>
      <c r="Y1454" s="23">
        <f>'2022-23 Salary &amp; Benefits'!$H$6</f>
        <v>0.2298</v>
      </c>
      <c r="Z1454" s="23">
        <f>'2022-23 Salary &amp; Benefits'!$I$6</f>
        <v>0.22339999999999999</v>
      </c>
      <c r="AA1454" s="22">
        <f t="shared" si="280"/>
        <v>21978.69</v>
      </c>
      <c r="AB1454" s="22">
        <f t="shared" si="281"/>
        <v>968.79</v>
      </c>
      <c r="AC1454" s="22">
        <f t="shared" si="282"/>
        <v>216.43</v>
      </c>
      <c r="AD1454" s="22">
        <f t="shared" si="284"/>
        <v>1185.22</v>
      </c>
      <c r="AE1454" s="22">
        <f t="shared" si="285"/>
        <v>81291.040000000008</v>
      </c>
      <c r="AF1454" s="19" t="str">
        <f>VLOOKUP(C1454,'2021-22 School Level AAFTE'!C:N,12,FALSE)</f>
        <v>Yes</v>
      </c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  <c r="IU1454" s="3"/>
      <c r="IV1454" s="3"/>
      <c r="IW1454" s="3"/>
      <c r="IX1454" s="3"/>
      <c r="IY1454" s="3"/>
      <c r="IZ1454" s="3"/>
      <c r="JA1454" s="3"/>
      <c r="JB1454" s="3"/>
      <c r="JC1454" s="3"/>
      <c r="JD1454" s="3"/>
      <c r="JE1454" s="3"/>
      <c r="JF1454" s="3"/>
      <c r="JG1454" s="3"/>
      <c r="JH1454" s="3"/>
      <c r="JI1454" s="3"/>
      <c r="JJ1454" s="3"/>
      <c r="JK1454" s="3"/>
      <c r="JL1454" s="3"/>
      <c r="JM1454" s="3"/>
      <c r="JN1454" s="3"/>
      <c r="JO1454" s="3"/>
      <c r="JP1454" s="3"/>
      <c r="JQ1454" s="3"/>
      <c r="JR1454" s="3"/>
      <c r="JS1454" s="3"/>
      <c r="JT1454" s="3"/>
      <c r="JU1454" s="3"/>
      <c r="JV1454" s="3"/>
      <c r="JW1454" s="3"/>
      <c r="JX1454" s="3"/>
    </row>
    <row r="1455" spans="1:284" s="5" customFormat="1">
      <c r="A1455" s="97" t="s">
        <v>2447</v>
      </c>
      <c r="B1455" s="97" t="s">
        <v>1443</v>
      </c>
      <c r="C1455" s="95">
        <v>3056</v>
      </c>
      <c r="D1455" s="95" t="s">
        <v>1449</v>
      </c>
      <c r="E1455" s="129">
        <f>VLOOKUP($C1455,'2021-22 School Level AAFTE'!$C:$Z,11,FALSE)</f>
        <v>0.34276666666666666</v>
      </c>
      <c r="F1455" s="129" t="str">
        <f>VLOOKUP($C1455,'2021-22 School Level AAFTE'!$C:$Z,8,FALSE)</f>
        <v>No</v>
      </c>
      <c r="G1455" s="129" t="str">
        <f>VLOOKUP($C1455,'2021-22 School Level AAFTE'!$C:$Z,12,FALSE)</f>
        <v>No</v>
      </c>
      <c r="H1455" s="127">
        <f>VLOOKUP($C1455,'2021-22 School Level AAFTE'!$C:$I,7,FALSE)</f>
        <v>305.35000000000002</v>
      </c>
      <c r="I1455" s="112">
        <f>IFERROR(IF(OR(G1455="yes",F1455= "yes"),VLOOKUP(C1455,Summary!$B:$J,6,0),0),0)</f>
        <v>0</v>
      </c>
      <c r="J1455" s="111">
        <f t="shared" si="276"/>
        <v>0</v>
      </c>
      <c r="K1455" s="91">
        <f>VLOOKUP($A1455,'2022-23 Salary &amp; Benefits'!$A:$I,3,FALSE)</f>
        <v>1.1200000000000001</v>
      </c>
      <c r="L1455" s="91">
        <f>VLOOKUP($A1455,'2022-23 Salary &amp; Benefits'!$A:$I,4,FALSE)</f>
        <v>1.1600000000000001</v>
      </c>
      <c r="M1455" s="39">
        <f t="shared" si="283"/>
        <v>0</v>
      </c>
      <c r="N1455" s="24">
        <v>15</v>
      </c>
      <c r="O1455" s="26">
        <f t="shared" si="274"/>
        <v>0</v>
      </c>
      <c r="P1455" s="24">
        <v>1.1000000000000001</v>
      </c>
      <c r="Q1455" s="24">
        <v>36</v>
      </c>
      <c r="R1455" s="27">
        <f t="shared" si="275"/>
        <v>0</v>
      </c>
      <c r="S1455" s="102">
        <f t="shared" si="277"/>
        <v>0</v>
      </c>
      <c r="T1455" s="21">
        <f>VLOOKUP($A1455,'2022-23 Salary &amp; Benefits'!$A:$I,5,FALSE)</f>
        <v>68937</v>
      </c>
      <c r="U1455" s="21">
        <f>VLOOKUP($A1455,'2022-23 Salary &amp; Benefits'!$A:$I,6,FALSE)</f>
        <v>72728</v>
      </c>
      <c r="V1455" s="22">
        <f t="shared" si="278"/>
        <v>0</v>
      </c>
      <c r="W1455" s="22">
        <f t="shared" si="279"/>
        <v>0</v>
      </c>
      <c r="X1455" s="22">
        <f>'2022-23 Salary &amp; Benefits'!$G$6</f>
        <v>12558.24</v>
      </c>
      <c r="Y1455" s="23">
        <f>'2022-23 Salary &amp; Benefits'!$H$6</f>
        <v>0.2298</v>
      </c>
      <c r="Z1455" s="23">
        <f>'2022-23 Salary &amp; Benefits'!$I$6</f>
        <v>0.22339999999999999</v>
      </c>
      <c r="AA1455" s="22">
        <f t="shared" si="280"/>
        <v>0</v>
      </c>
      <c r="AB1455" s="22">
        <f t="shared" si="281"/>
        <v>0</v>
      </c>
      <c r="AC1455" s="22">
        <f t="shared" si="282"/>
        <v>0</v>
      </c>
      <c r="AD1455" s="22">
        <f t="shared" si="284"/>
        <v>0</v>
      </c>
      <c r="AE1455" s="22">
        <f t="shared" si="285"/>
        <v>0</v>
      </c>
      <c r="AF1455" s="19" t="str">
        <f>VLOOKUP(C1455,'2021-22 School Level AAFTE'!C:N,12,FALSE)</f>
        <v>No</v>
      </c>
    </row>
    <row r="1456" spans="1:284" s="5" customFormat="1">
      <c r="A1456" s="97" t="s">
        <v>2447</v>
      </c>
      <c r="B1456" s="97" t="s">
        <v>1443</v>
      </c>
      <c r="C1456" s="95">
        <v>3299</v>
      </c>
      <c r="D1456" s="95" t="s">
        <v>1450</v>
      </c>
      <c r="E1456" s="129">
        <f>VLOOKUP($C1456,'2021-22 School Level AAFTE'!$C:$Z,11,FALSE)</f>
        <v>0.12156666666666667</v>
      </c>
      <c r="F1456" s="129" t="str">
        <f>VLOOKUP($C1456,'2021-22 School Level AAFTE'!$C:$Z,8,FALSE)</f>
        <v>No</v>
      </c>
      <c r="G1456" s="129" t="str">
        <f>VLOOKUP($C1456,'2021-22 School Level AAFTE'!$C:$Z,12,FALSE)</f>
        <v>No</v>
      </c>
      <c r="H1456" s="127">
        <f>VLOOKUP($C1456,'2021-22 School Level AAFTE'!$C:$I,7,FALSE)</f>
        <v>366.97</v>
      </c>
      <c r="I1456" s="112">
        <f>IFERROR(IF(OR(G1456="yes",F1456= "yes"),VLOOKUP(C1456,Summary!$B:$J,6,0),0),0)</f>
        <v>0</v>
      </c>
      <c r="J1456" s="111">
        <f t="shared" si="276"/>
        <v>0</v>
      </c>
      <c r="K1456" s="91">
        <f>VLOOKUP($A1456,'2022-23 Salary &amp; Benefits'!$A:$I,3,FALSE)</f>
        <v>1.1200000000000001</v>
      </c>
      <c r="L1456" s="91">
        <f>VLOOKUP($A1456,'2022-23 Salary &amp; Benefits'!$A:$I,4,FALSE)</f>
        <v>1.1600000000000001</v>
      </c>
      <c r="M1456" s="39">
        <f t="shared" si="283"/>
        <v>0</v>
      </c>
      <c r="N1456" s="24">
        <v>15</v>
      </c>
      <c r="O1456" s="26">
        <f t="shared" si="274"/>
        <v>0</v>
      </c>
      <c r="P1456" s="24">
        <v>1.1000000000000001</v>
      </c>
      <c r="Q1456" s="24">
        <v>36</v>
      </c>
      <c r="R1456" s="27">
        <f t="shared" si="275"/>
        <v>0</v>
      </c>
      <c r="S1456" s="102">
        <f t="shared" si="277"/>
        <v>0</v>
      </c>
      <c r="T1456" s="21">
        <f>VLOOKUP($A1456,'2022-23 Salary &amp; Benefits'!$A:$I,5,FALSE)</f>
        <v>68937</v>
      </c>
      <c r="U1456" s="21">
        <f>VLOOKUP($A1456,'2022-23 Salary &amp; Benefits'!$A:$I,6,FALSE)</f>
        <v>72728</v>
      </c>
      <c r="V1456" s="22">
        <f t="shared" si="278"/>
        <v>0</v>
      </c>
      <c r="W1456" s="22">
        <f t="shared" si="279"/>
        <v>0</v>
      </c>
      <c r="X1456" s="22">
        <f>'2022-23 Salary &amp; Benefits'!$G$6</f>
        <v>12558.24</v>
      </c>
      <c r="Y1456" s="23">
        <f>'2022-23 Salary &amp; Benefits'!$H$6</f>
        <v>0.2298</v>
      </c>
      <c r="Z1456" s="23">
        <f>'2022-23 Salary &amp; Benefits'!$I$6</f>
        <v>0.22339999999999999</v>
      </c>
      <c r="AA1456" s="22">
        <f t="shared" si="280"/>
        <v>0</v>
      </c>
      <c r="AB1456" s="22">
        <f t="shared" si="281"/>
        <v>0</v>
      </c>
      <c r="AC1456" s="22">
        <f t="shared" si="282"/>
        <v>0</v>
      </c>
      <c r="AD1456" s="22">
        <f t="shared" si="284"/>
        <v>0</v>
      </c>
      <c r="AE1456" s="22">
        <f t="shared" si="285"/>
        <v>0</v>
      </c>
      <c r="AF1456" s="19" t="str">
        <f>VLOOKUP(C1456,'2021-22 School Level AAFTE'!C:N,12,FALSE)</f>
        <v>No</v>
      </c>
    </row>
    <row r="1457" spans="1:32" s="5" customFormat="1">
      <c r="A1457" s="97" t="s">
        <v>2447</v>
      </c>
      <c r="B1457" s="97" t="s">
        <v>1443</v>
      </c>
      <c r="C1457" s="95">
        <v>3685</v>
      </c>
      <c r="D1457" s="95" t="s">
        <v>1451</v>
      </c>
      <c r="E1457" s="129">
        <f>VLOOKUP($C1457,'2021-22 School Level AAFTE'!$C:$Z,11,FALSE)</f>
        <v>0.158</v>
      </c>
      <c r="F1457" s="129" t="str">
        <f>VLOOKUP($C1457,'2021-22 School Level AAFTE'!$C:$Z,8,FALSE)</f>
        <v>No</v>
      </c>
      <c r="G1457" s="129" t="str">
        <f>VLOOKUP($C1457,'2021-22 School Level AAFTE'!$C:$Z,12,FALSE)</f>
        <v>No</v>
      </c>
      <c r="H1457" s="127">
        <f>VLOOKUP($C1457,'2021-22 School Level AAFTE'!$C:$I,7,FALSE)</f>
        <v>474.49</v>
      </c>
      <c r="I1457" s="112">
        <f>IFERROR(IF(OR(G1457="yes",F1457= "yes"),VLOOKUP(C1457,Summary!$B:$J,6,0),0),0)</f>
        <v>0</v>
      </c>
      <c r="J1457" s="111">
        <f t="shared" si="276"/>
        <v>0</v>
      </c>
      <c r="K1457" s="91">
        <f>VLOOKUP($A1457,'2022-23 Salary &amp; Benefits'!$A:$I,3,FALSE)</f>
        <v>1.1200000000000001</v>
      </c>
      <c r="L1457" s="91">
        <f>VLOOKUP($A1457,'2022-23 Salary &amp; Benefits'!$A:$I,4,FALSE)</f>
        <v>1.1600000000000001</v>
      </c>
      <c r="M1457" s="101">
        <f t="shared" si="283"/>
        <v>0</v>
      </c>
      <c r="N1457" s="24">
        <v>15</v>
      </c>
      <c r="O1457" s="26">
        <f t="shared" si="274"/>
        <v>0</v>
      </c>
      <c r="P1457" s="24">
        <v>1.1000000000000001</v>
      </c>
      <c r="Q1457" s="24">
        <v>36</v>
      </c>
      <c r="R1457" s="27">
        <f t="shared" si="275"/>
        <v>0</v>
      </c>
      <c r="S1457" s="102">
        <f t="shared" si="277"/>
        <v>0</v>
      </c>
      <c r="T1457" s="21">
        <f>VLOOKUP($A1457,'2022-23 Salary &amp; Benefits'!$A:$I,5,FALSE)</f>
        <v>68937</v>
      </c>
      <c r="U1457" s="21">
        <f>VLOOKUP($A1457,'2022-23 Salary &amp; Benefits'!$A:$I,6,FALSE)</f>
        <v>72728</v>
      </c>
      <c r="V1457" s="22">
        <f t="shared" si="278"/>
        <v>0</v>
      </c>
      <c r="W1457" s="22">
        <f t="shared" si="279"/>
        <v>0</v>
      </c>
      <c r="X1457" s="22">
        <f>'2022-23 Salary &amp; Benefits'!$G$6</f>
        <v>12558.24</v>
      </c>
      <c r="Y1457" s="23">
        <f>'2022-23 Salary &amp; Benefits'!$H$6</f>
        <v>0.2298</v>
      </c>
      <c r="Z1457" s="23">
        <f>'2022-23 Salary &amp; Benefits'!$I$6</f>
        <v>0.22339999999999999</v>
      </c>
      <c r="AA1457" s="22">
        <f t="shared" si="280"/>
        <v>0</v>
      </c>
      <c r="AB1457" s="22">
        <f t="shared" si="281"/>
        <v>0</v>
      </c>
      <c r="AC1457" s="22">
        <f t="shared" si="282"/>
        <v>0</v>
      </c>
      <c r="AD1457" s="22">
        <f t="shared" si="284"/>
        <v>0</v>
      </c>
      <c r="AE1457" s="22">
        <f t="shared" si="285"/>
        <v>0</v>
      </c>
      <c r="AF1457" s="19" t="str">
        <f>VLOOKUP(C1457,'2021-22 School Level AAFTE'!C:N,12,FALSE)</f>
        <v>No</v>
      </c>
    </row>
    <row r="1458" spans="1:32" s="5" customFormat="1">
      <c r="A1458" s="97" t="s">
        <v>2447</v>
      </c>
      <c r="B1458" s="97" t="s">
        <v>1443</v>
      </c>
      <c r="C1458" s="95">
        <v>4080</v>
      </c>
      <c r="D1458" s="95" t="s">
        <v>1452</v>
      </c>
      <c r="E1458" s="129">
        <f>VLOOKUP($C1458,'2021-22 School Level AAFTE'!$C:$Z,11,FALSE)</f>
        <v>0.15416666666666667</v>
      </c>
      <c r="F1458" s="129" t="str">
        <f>VLOOKUP($C1458,'2021-22 School Level AAFTE'!$C:$Z,8,FALSE)</f>
        <v>No</v>
      </c>
      <c r="G1458" s="129" t="str">
        <f>VLOOKUP($C1458,'2021-22 School Level AAFTE'!$C:$Z,12,FALSE)</f>
        <v>No</v>
      </c>
      <c r="H1458" s="127">
        <f>VLOOKUP($C1458,'2021-22 School Level AAFTE'!$C:$I,7,FALSE)</f>
        <v>297.29000000000002</v>
      </c>
      <c r="I1458" s="112">
        <f>IFERROR(IF(OR(G1458="yes",F1458= "yes"),VLOOKUP(C1458,Summary!$B:$J,6,0),0),0)</f>
        <v>0</v>
      </c>
      <c r="J1458" s="111">
        <f t="shared" si="276"/>
        <v>0</v>
      </c>
      <c r="K1458" s="91">
        <f>VLOOKUP($A1458,'2022-23 Salary &amp; Benefits'!$A:$I,3,FALSE)</f>
        <v>1.1200000000000001</v>
      </c>
      <c r="L1458" s="91">
        <f>VLOOKUP($A1458,'2022-23 Salary &amp; Benefits'!$A:$I,4,FALSE)</f>
        <v>1.1600000000000001</v>
      </c>
      <c r="M1458" s="101">
        <f t="shared" si="283"/>
        <v>0</v>
      </c>
      <c r="N1458" s="24">
        <v>15</v>
      </c>
      <c r="O1458" s="26">
        <f t="shared" si="274"/>
        <v>0</v>
      </c>
      <c r="P1458" s="24">
        <v>1.1000000000000001</v>
      </c>
      <c r="Q1458" s="24">
        <v>36</v>
      </c>
      <c r="R1458" s="27">
        <f t="shared" si="275"/>
        <v>0</v>
      </c>
      <c r="S1458" s="102">
        <f t="shared" si="277"/>
        <v>0</v>
      </c>
      <c r="T1458" s="21">
        <f>VLOOKUP($A1458,'2022-23 Salary &amp; Benefits'!$A:$I,5,FALSE)</f>
        <v>68937</v>
      </c>
      <c r="U1458" s="21">
        <f>VLOOKUP($A1458,'2022-23 Salary &amp; Benefits'!$A:$I,6,FALSE)</f>
        <v>72728</v>
      </c>
      <c r="V1458" s="22">
        <f t="shared" si="278"/>
        <v>0</v>
      </c>
      <c r="W1458" s="22">
        <f t="shared" si="279"/>
        <v>0</v>
      </c>
      <c r="X1458" s="22">
        <f>'2022-23 Salary &amp; Benefits'!$G$6</f>
        <v>12558.24</v>
      </c>
      <c r="Y1458" s="23">
        <f>'2022-23 Salary &amp; Benefits'!$H$6</f>
        <v>0.2298</v>
      </c>
      <c r="Z1458" s="23">
        <f>'2022-23 Salary &amp; Benefits'!$I$6</f>
        <v>0.22339999999999999</v>
      </c>
      <c r="AA1458" s="22">
        <f t="shared" si="280"/>
        <v>0</v>
      </c>
      <c r="AB1458" s="22">
        <f t="shared" si="281"/>
        <v>0</v>
      </c>
      <c r="AC1458" s="22">
        <f t="shared" si="282"/>
        <v>0</v>
      </c>
      <c r="AD1458" s="22">
        <f t="shared" si="284"/>
        <v>0</v>
      </c>
      <c r="AE1458" s="22">
        <f t="shared" si="285"/>
        <v>0</v>
      </c>
      <c r="AF1458" s="19" t="str">
        <f>VLOOKUP(C1458,'2021-22 School Level AAFTE'!C:N,12,FALSE)</f>
        <v>No</v>
      </c>
    </row>
    <row r="1459" spans="1:32" s="5" customFormat="1">
      <c r="A1459" s="97" t="s">
        <v>2447</v>
      </c>
      <c r="B1459" s="97" t="s">
        <v>1443</v>
      </c>
      <c r="C1459" s="95">
        <v>4081</v>
      </c>
      <c r="D1459" s="95" t="s">
        <v>1453</v>
      </c>
      <c r="E1459" s="129">
        <f>VLOOKUP($C1459,'2021-22 School Level AAFTE'!$C:$Z,11,FALSE)</f>
        <v>0.11053333333333333</v>
      </c>
      <c r="F1459" s="129" t="str">
        <f>VLOOKUP($C1459,'2021-22 School Level AAFTE'!$C:$Z,8,FALSE)</f>
        <v>No</v>
      </c>
      <c r="G1459" s="129" t="str">
        <f>VLOOKUP($C1459,'2021-22 School Level AAFTE'!$C:$Z,12,FALSE)</f>
        <v>No</v>
      </c>
      <c r="H1459" s="127">
        <f>VLOOKUP($C1459,'2021-22 School Level AAFTE'!$C:$I,7,FALSE)</f>
        <v>1391.43</v>
      </c>
      <c r="I1459" s="112">
        <f>IFERROR(IF(OR(G1459="yes",F1459= "yes"),VLOOKUP(C1459,Summary!$B:$J,6,0),0),0)</f>
        <v>0</v>
      </c>
      <c r="J1459" s="111">
        <f t="shared" si="276"/>
        <v>0</v>
      </c>
      <c r="K1459" s="91">
        <f>VLOOKUP($A1459,'2022-23 Salary &amp; Benefits'!$A:$I,3,FALSE)</f>
        <v>1.1200000000000001</v>
      </c>
      <c r="L1459" s="91">
        <f>VLOOKUP($A1459,'2022-23 Salary &amp; Benefits'!$A:$I,4,FALSE)</f>
        <v>1.1600000000000001</v>
      </c>
      <c r="M1459" s="101">
        <f t="shared" si="283"/>
        <v>0</v>
      </c>
      <c r="N1459" s="24">
        <v>15</v>
      </c>
      <c r="O1459" s="26">
        <f t="shared" si="274"/>
        <v>0</v>
      </c>
      <c r="P1459" s="24">
        <v>1.1000000000000001</v>
      </c>
      <c r="Q1459" s="24">
        <v>36</v>
      </c>
      <c r="R1459" s="27">
        <f t="shared" si="275"/>
        <v>0</v>
      </c>
      <c r="S1459" s="102">
        <f t="shared" si="277"/>
        <v>0</v>
      </c>
      <c r="T1459" s="21">
        <f>VLOOKUP($A1459,'2022-23 Salary &amp; Benefits'!$A:$I,5,FALSE)</f>
        <v>68937</v>
      </c>
      <c r="U1459" s="21">
        <f>VLOOKUP($A1459,'2022-23 Salary &amp; Benefits'!$A:$I,6,FALSE)</f>
        <v>72728</v>
      </c>
      <c r="V1459" s="22">
        <f t="shared" si="278"/>
        <v>0</v>
      </c>
      <c r="W1459" s="22">
        <f t="shared" si="279"/>
        <v>0</v>
      </c>
      <c r="X1459" s="22">
        <f>'2022-23 Salary &amp; Benefits'!$G$6</f>
        <v>12558.24</v>
      </c>
      <c r="Y1459" s="23">
        <f>'2022-23 Salary &amp; Benefits'!$H$6</f>
        <v>0.2298</v>
      </c>
      <c r="Z1459" s="23">
        <f>'2022-23 Salary &amp; Benefits'!$I$6</f>
        <v>0.22339999999999999</v>
      </c>
      <c r="AA1459" s="22">
        <f t="shared" si="280"/>
        <v>0</v>
      </c>
      <c r="AB1459" s="22">
        <f t="shared" si="281"/>
        <v>0</v>
      </c>
      <c r="AC1459" s="22">
        <f t="shared" si="282"/>
        <v>0</v>
      </c>
      <c r="AD1459" s="22">
        <f t="shared" si="284"/>
        <v>0</v>
      </c>
      <c r="AE1459" s="22">
        <f t="shared" si="285"/>
        <v>0</v>
      </c>
      <c r="AF1459" s="19" t="str">
        <f>VLOOKUP(C1459,'2021-22 School Level AAFTE'!C:N,12,FALSE)</f>
        <v>No</v>
      </c>
    </row>
    <row r="1460" spans="1:32" s="5" customFormat="1">
      <c r="A1460" s="97" t="s">
        <v>2447</v>
      </c>
      <c r="B1460" s="97" t="s">
        <v>1443</v>
      </c>
      <c r="C1460" s="95">
        <v>4156</v>
      </c>
      <c r="D1460" s="95" t="s">
        <v>1454</v>
      </c>
      <c r="E1460" s="129">
        <f>VLOOKUP($C1460,'2021-22 School Level AAFTE'!$C:$Z,11,FALSE)</f>
        <v>0.41609999999999997</v>
      </c>
      <c r="F1460" s="129" t="str">
        <f>VLOOKUP($C1460,'2021-22 School Level AAFTE'!$C:$Z,8,FALSE)</f>
        <v>No</v>
      </c>
      <c r="G1460" s="129" t="str">
        <f>VLOOKUP($C1460,'2021-22 School Level AAFTE'!$C:$Z,12,FALSE)</f>
        <v>No</v>
      </c>
      <c r="H1460" s="127">
        <f>VLOOKUP($C1460,'2021-22 School Level AAFTE'!$C:$I,7,FALSE)</f>
        <v>409.06</v>
      </c>
      <c r="I1460" s="112">
        <f>IFERROR(IF(OR(G1460="yes",F1460= "yes"),VLOOKUP(C1460,Summary!$B:$J,6,0),0),0)</f>
        <v>0</v>
      </c>
      <c r="J1460" s="111">
        <f t="shared" si="276"/>
        <v>0</v>
      </c>
      <c r="K1460" s="91">
        <f>VLOOKUP($A1460,'2022-23 Salary &amp; Benefits'!$A:$I,3,FALSE)</f>
        <v>1.1200000000000001</v>
      </c>
      <c r="L1460" s="91">
        <f>VLOOKUP($A1460,'2022-23 Salary &amp; Benefits'!$A:$I,4,FALSE)</f>
        <v>1.1600000000000001</v>
      </c>
      <c r="M1460" s="39">
        <f t="shared" si="283"/>
        <v>0</v>
      </c>
      <c r="N1460" s="24">
        <v>15</v>
      </c>
      <c r="O1460" s="26">
        <f t="shared" si="274"/>
        <v>0</v>
      </c>
      <c r="P1460" s="24">
        <v>1.1000000000000001</v>
      </c>
      <c r="Q1460" s="24">
        <v>36</v>
      </c>
      <c r="R1460" s="27">
        <f t="shared" si="275"/>
        <v>0</v>
      </c>
      <c r="S1460" s="102">
        <f t="shared" si="277"/>
        <v>0</v>
      </c>
      <c r="T1460" s="21">
        <f>VLOOKUP($A1460,'2022-23 Salary &amp; Benefits'!$A:$I,5,FALSE)</f>
        <v>68937</v>
      </c>
      <c r="U1460" s="21">
        <f>VLOOKUP($A1460,'2022-23 Salary &amp; Benefits'!$A:$I,6,FALSE)</f>
        <v>72728</v>
      </c>
      <c r="V1460" s="22">
        <f t="shared" si="278"/>
        <v>0</v>
      </c>
      <c r="W1460" s="22">
        <f t="shared" si="279"/>
        <v>0</v>
      </c>
      <c r="X1460" s="22">
        <f>'2022-23 Salary &amp; Benefits'!$G$6</f>
        <v>12558.24</v>
      </c>
      <c r="Y1460" s="23">
        <f>'2022-23 Salary &amp; Benefits'!$H$6</f>
        <v>0.2298</v>
      </c>
      <c r="Z1460" s="23">
        <f>'2022-23 Salary &amp; Benefits'!$I$6</f>
        <v>0.22339999999999999</v>
      </c>
      <c r="AA1460" s="22">
        <f t="shared" si="280"/>
        <v>0</v>
      </c>
      <c r="AB1460" s="22">
        <f t="shared" si="281"/>
        <v>0</v>
      </c>
      <c r="AC1460" s="22">
        <f t="shared" si="282"/>
        <v>0</v>
      </c>
      <c r="AD1460" s="22">
        <f t="shared" si="284"/>
        <v>0</v>
      </c>
      <c r="AE1460" s="22">
        <f t="shared" si="285"/>
        <v>0</v>
      </c>
      <c r="AF1460" s="19" t="str">
        <f>VLOOKUP(C1460,'2021-22 School Level AAFTE'!C:N,12,FALSE)</f>
        <v>No</v>
      </c>
    </row>
    <row r="1461" spans="1:32" s="5" customFormat="1">
      <c r="A1461" s="97" t="s">
        <v>2447</v>
      </c>
      <c r="B1461" s="97" t="s">
        <v>1443</v>
      </c>
      <c r="C1461" s="95">
        <v>4189</v>
      </c>
      <c r="D1461" s="95" t="s">
        <v>1455</v>
      </c>
      <c r="E1461" s="129">
        <f>VLOOKUP($C1461,'2021-22 School Level AAFTE'!$C:$Z,11,FALSE)</f>
        <v>0.27790000000000004</v>
      </c>
      <c r="F1461" s="129" t="str">
        <f>VLOOKUP($C1461,'2021-22 School Level AAFTE'!$C:$Z,8,FALSE)</f>
        <v>No</v>
      </c>
      <c r="G1461" s="129" t="str">
        <f>VLOOKUP($C1461,'2021-22 School Level AAFTE'!$C:$Z,12,FALSE)</f>
        <v>No</v>
      </c>
      <c r="H1461" s="127">
        <f>VLOOKUP($C1461,'2021-22 School Level AAFTE'!$C:$I,7,FALSE)</f>
        <v>276.75</v>
      </c>
      <c r="I1461" s="112">
        <f>IFERROR(IF(OR(G1461="yes",F1461= "yes"),VLOOKUP(C1461,Summary!$B:$J,6,0),0),0)</f>
        <v>0</v>
      </c>
      <c r="J1461" s="111">
        <f t="shared" si="276"/>
        <v>0</v>
      </c>
      <c r="K1461" s="91">
        <f>VLOOKUP($A1461,'2022-23 Salary &amp; Benefits'!$A:$I,3,FALSE)</f>
        <v>1.1200000000000001</v>
      </c>
      <c r="L1461" s="91">
        <f>VLOOKUP($A1461,'2022-23 Salary &amp; Benefits'!$A:$I,4,FALSE)</f>
        <v>1.1600000000000001</v>
      </c>
      <c r="M1461" s="39">
        <f t="shared" si="283"/>
        <v>0</v>
      </c>
      <c r="N1461" s="24">
        <v>15</v>
      </c>
      <c r="O1461" s="26">
        <f t="shared" si="274"/>
        <v>0</v>
      </c>
      <c r="P1461" s="24">
        <v>1.1000000000000001</v>
      </c>
      <c r="Q1461" s="24">
        <v>36</v>
      </c>
      <c r="R1461" s="27">
        <f t="shared" si="275"/>
        <v>0</v>
      </c>
      <c r="S1461" s="102">
        <f t="shared" si="277"/>
        <v>0</v>
      </c>
      <c r="T1461" s="21">
        <f>VLOOKUP($A1461,'2022-23 Salary &amp; Benefits'!$A:$I,5,FALSE)</f>
        <v>68937</v>
      </c>
      <c r="U1461" s="21">
        <f>VLOOKUP($A1461,'2022-23 Salary &amp; Benefits'!$A:$I,6,FALSE)</f>
        <v>72728</v>
      </c>
      <c r="V1461" s="22">
        <f t="shared" si="278"/>
        <v>0</v>
      </c>
      <c r="W1461" s="22">
        <f t="shared" si="279"/>
        <v>0</v>
      </c>
      <c r="X1461" s="22">
        <f>'2022-23 Salary &amp; Benefits'!$G$6</f>
        <v>12558.24</v>
      </c>
      <c r="Y1461" s="23">
        <f>'2022-23 Salary &amp; Benefits'!$H$6</f>
        <v>0.2298</v>
      </c>
      <c r="Z1461" s="23">
        <f>'2022-23 Salary &amp; Benefits'!$I$6</f>
        <v>0.22339999999999999</v>
      </c>
      <c r="AA1461" s="22">
        <f t="shared" si="280"/>
        <v>0</v>
      </c>
      <c r="AB1461" s="22">
        <f t="shared" si="281"/>
        <v>0</v>
      </c>
      <c r="AC1461" s="22">
        <f t="shared" si="282"/>
        <v>0</v>
      </c>
      <c r="AD1461" s="22">
        <f t="shared" si="284"/>
        <v>0</v>
      </c>
      <c r="AE1461" s="22">
        <f t="shared" si="285"/>
        <v>0</v>
      </c>
      <c r="AF1461" s="19" t="str">
        <f>VLOOKUP(C1461,'2021-22 School Level AAFTE'!C:N,12,FALSE)</f>
        <v>No</v>
      </c>
    </row>
    <row r="1462" spans="1:32" s="5" customFormat="1">
      <c r="A1462" s="97" t="s">
        <v>2447</v>
      </c>
      <c r="B1462" s="97" t="s">
        <v>1443</v>
      </c>
      <c r="C1462" s="95">
        <v>4219</v>
      </c>
      <c r="D1462" s="95" t="s">
        <v>1456</v>
      </c>
      <c r="E1462" s="129">
        <f>VLOOKUP($C1462,'2021-22 School Level AAFTE'!$C:$Z,11,FALSE)</f>
        <v>0.14149999999999999</v>
      </c>
      <c r="F1462" s="129" t="str">
        <f>VLOOKUP($C1462,'2021-22 School Level AAFTE'!$C:$Z,8,FALSE)</f>
        <v>No</v>
      </c>
      <c r="G1462" s="129" t="str">
        <f>VLOOKUP($C1462,'2021-22 School Level AAFTE'!$C:$Z,12,FALSE)</f>
        <v>No</v>
      </c>
      <c r="H1462" s="127">
        <f>VLOOKUP($C1462,'2021-22 School Level AAFTE'!$C:$I,7,FALSE)</f>
        <v>435.13</v>
      </c>
      <c r="I1462" s="112">
        <f>IFERROR(IF(OR(G1462="yes",F1462= "yes"),VLOOKUP(C1462,Summary!$B:$J,6,0),0),0)</f>
        <v>0</v>
      </c>
      <c r="J1462" s="111">
        <f t="shared" si="276"/>
        <v>0</v>
      </c>
      <c r="K1462" s="91">
        <f>VLOOKUP($A1462,'2022-23 Salary &amp; Benefits'!$A:$I,3,FALSE)</f>
        <v>1.1200000000000001</v>
      </c>
      <c r="L1462" s="91">
        <f>VLOOKUP($A1462,'2022-23 Salary &amp; Benefits'!$A:$I,4,FALSE)</f>
        <v>1.1600000000000001</v>
      </c>
      <c r="M1462" s="39">
        <f t="shared" si="283"/>
        <v>0</v>
      </c>
      <c r="N1462" s="24">
        <v>15</v>
      </c>
      <c r="O1462" s="26">
        <f t="shared" si="274"/>
        <v>0</v>
      </c>
      <c r="P1462" s="24">
        <v>1.1000000000000001</v>
      </c>
      <c r="Q1462" s="24">
        <v>36</v>
      </c>
      <c r="R1462" s="27">
        <f t="shared" si="275"/>
        <v>0</v>
      </c>
      <c r="S1462" s="102">
        <f t="shared" si="277"/>
        <v>0</v>
      </c>
      <c r="T1462" s="21">
        <f>VLOOKUP($A1462,'2022-23 Salary &amp; Benefits'!$A:$I,5,FALSE)</f>
        <v>68937</v>
      </c>
      <c r="U1462" s="21">
        <f>VLOOKUP($A1462,'2022-23 Salary &amp; Benefits'!$A:$I,6,FALSE)</f>
        <v>72728</v>
      </c>
      <c r="V1462" s="22">
        <f t="shared" si="278"/>
        <v>0</v>
      </c>
      <c r="W1462" s="22">
        <f t="shared" si="279"/>
        <v>0</v>
      </c>
      <c r="X1462" s="22">
        <f>'2022-23 Salary &amp; Benefits'!$G$6</f>
        <v>12558.24</v>
      </c>
      <c r="Y1462" s="23">
        <f>'2022-23 Salary &amp; Benefits'!$H$6</f>
        <v>0.2298</v>
      </c>
      <c r="Z1462" s="23">
        <f>'2022-23 Salary &amp; Benefits'!$I$6</f>
        <v>0.22339999999999999</v>
      </c>
      <c r="AA1462" s="22">
        <f t="shared" si="280"/>
        <v>0</v>
      </c>
      <c r="AB1462" s="22">
        <f t="shared" si="281"/>
        <v>0</v>
      </c>
      <c r="AC1462" s="22">
        <f t="shared" si="282"/>
        <v>0</v>
      </c>
      <c r="AD1462" s="22">
        <f t="shared" si="284"/>
        <v>0</v>
      </c>
      <c r="AE1462" s="22">
        <f t="shared" si="285"/>
        <v>0</v>
      </c>
      <c r="AF1462" s="19" t="str">
        <f>VLOOKUP(C1462,'2021-22 School Level AAFTE'!C:N,12,FALSE)</f>
        <v>No</v>
      </c>
    </row>
    <row r="1463" spans="1:32" s="5" customFormat="1">
      <c r="A1463" s="97" t="s">
        <v>2447</v>
      </c>
      <c r="B1463" s="97" t="s">
        <v>1443</v>
      </c>
      <c r="C1463" s="95">
        <v>4307</v>
      </c>
      <c r="D1463" s="95" t="s">
        <v>1457</v>
      </c>
      <c r="E1463" s="129">
        <f>VLOOKUP($C1463,'2021-22 School Level AAFTE'!$C:$Z,11,FALSE)</f>
        <v>0.1082</v>
      </c>
      <c r="F1463" s="129" t="str">
        <f>VLOOKUP($C1463,'2021-22 School Level AAFTE'!$C:$Z,8,FALSE)</f>
        <v>No</v>
      </c>
      <c r="G1463" s="129" t="str">
        <f>VLOOKUP($C1463,'2021-22 School Level AAFTE'!$C:$Z,12,FALSE)</f>
        <v>No</v>
      </c>
      <c r="H1463" s="127">
        <f>VLOOKUP($C1463,'2021-22 School Level AAFTE'!$C:$I,7,FALSE)</f>
        <v>458.75</v>
      </c>
      <c r="I1463" s="112">
        <f>IFERROR(IF(OR(G1463="yes",F1463= "yes"),VLOOKUP(C1463,Summary!$B:$J,6,0),0),0)</f>
        <v>0</v>
      </c>
      <c r="J1463" s="111">
        <f t="shared" si="276"/>
        <v>0</v>
      </c>
      <c r="K1463" s="91">
        <f>VLOOKUP($A1463,'2022-23 Salary &amp; Benefits'!$A:$I,3,FALSE)</f>
        <v>1.1200000000000001</v>
      </c>
      <c r="L1463" s="91">
        <f>VLOOKUP($A1463,'2022-23 Salary &amp; Benefits'!$A:$I,4,FALSE)</f>
        <v>1.1600000000000001</v>
      </c>
      <c r="M1463" s="39">
        <f t="shared" si="283"/>
        <v>0</v>
      </c>
      <c r="N1463" s="24">
        <v>15</v>
      </c>
      <c r="O1463" s="26">
        <f t="shared" si="274"/>
        <v>0</v>
      </c>
      <c r="P1463" s="24">
        <v>1.1000000000000001</v>
      </c>
      <c r="Q1463" s="24">
        <v>36</v>
      </c>
      <c r="R1463" s="27">
        <f t="shared" si="275"/>
        <v>0</v>
      </c>
      <c r="S1463" s="102">
        <f t="shared" si="277"/>
        <v>0</v>
      </c>
      <c r="T1463" s="21">
        <f>VLOOKUP($A1463,'2022-23 Salary &amp; Benefits'!$A:$I,5,FALSE)</f>
        <v>68937</v>
      </c>
      <c r="U1463" s="21">
        <f>VLOOKUP($A1463,'2022-23 Salary &amp; Benefits'!$A:$I,6,FALSE)</f>
        <v>72728</v>
      </c>
      <c r="V1463" s="22">
        <f t="shared" si="278"/>
        <v>0</v>
      </c>
      <c r="W1463" s="22">
        <f t="shared" si="279"/>
        <v>0</v>
      </c>
      <c r="X1463" s="22">
        <f>'2022-23 Salary &amp; Benefits'!$G$6</f>
        <v>12558.24</v>
      </c>
      <c r="Y1463" s="23">
        <f>'2022-23 Salary &amp; Benefits'!$H$6</f>
        <v>0.2298</v>
      </c>
      <c r="Z1463" s="23">
        <f>'2022-23 Salary &amp; Benefits'!$I$6</f>
        <v>0.22339999999999999</v>
      </c>
      <c r="AA1463" s="22">
        <f t="shared" si="280"/>
        <v>0</v>
      </c>
      <c r="AB1463" s="22">
        <f t="shared" si="281"/>
        <v>0</v>
      </c>
      <c r="AC1463" s="22">
        <f t="shared" si="282"/>
        <v>0</v>
      </c>
      <c r="AD1463" s="22">
        <f t="shared" si="284"/>
        <v>0</v>
      </c>
      <c r="AE1463" s="22">
        <f t="shared" si="285"/>
        <v>0</v>
      </c>
      <c r="AF1463" s="19" t="str">
        <f>VLOOKUP(C1463,'2021-22 School Level AAFTE'!C:N,12,FALSE)</f>
        <v>No</v>
      </c>
    </row>
    <row r="1464" spans="1:32" s="5" customFormat="1">
      <c r="A1464" s="97" t="s">
        <v>2447</v>
      </c>
      <c r="B1464" s="97" t="s">
        <v>1443</v>
      </c>
      <c r="C1464" s="95">
        <v>4387</v>
      </c>
      <c r="D1464" s="95" t="s">
        <v>1458</v>
      </c>
      <c r="E1464" s="129">
        <f>VLOOKUP($C1464,'2021-22 School Level AAFTE'!$C:$Z,11,FALSE)</f>
        <v>0.14730000000000001</v>
      </c>
      <c r="F1464" s="129" t="str">
        <f>VLOOKUP($C1464,'2021-22 School Level AAFTE'!$C:$Z,8,FALSE)</f>
        <v>No</v>
      </c>
      <c r="G1464" s="129" t="str">
        <f>VLOOKUP($C1464,'2021-22 School Level AAFTE'!$C:$Z,12,FALSE)</f>
        <v>No</v>
      </c>
      <c r="H1464" s="127">
        <f>VLOOKUP($C1464,'2021-22 School Level AAFTE'!$C:$I,7,FALSE)</f>
        <v>571.98</v>
      </c>
      <c r="I1464" s="112">
        <f>IFERROR(IF(OR(G1464="yes",F1464= "yes"),VLOOKUP(C1464,Summary!$B:$J,6,0),0),0)</f>
        <v>0</v>
      </c>
      <c r="J1464" s="111">
        <f t="shared" si="276"/>
        <v>0</v>
      </c>
      <c r="K1464" s="91">
        <f>VLOOKUP($A1464,'2022-23 Salary &amp; Benefits'!$A:$I,3,FALSE)</f>
        <v>1.1200000000000001</v>
      </c>
      <c r="L1464" s="91">
        <f>VLOOKUP($A1464,'2022-23 Salary &amp; Benefits'!$A:$I,4,FALSE)</f>
        <v>1.1600000000000001</v>
      </c>
      <c r="M1464" s="101">
        <f t="shared" si="283"/>
        <v>0</v>
      </c>
      <c r="N1464" s="24">
        <v>15</v>
      </c>
      <c r="O1464" s="26">
        <f t="shared" si="274"/>
        <v>0</v>
      </c>
      <c r="P1464" s="24">
        <v>1.1000000000000001</v>
      </c>
      <c r="Q1464" s="24">
        <v>36</v>
      </c>
      <c r="R1464" s="27">
        <f t="shared" si="275"/>
        <v>0</v>
      </c>
      <c r="S1464" s="102">
        <f t="shared" si="277"/>
        <v>0</v>
      </c>
      <c r="T1464" s="21">
        <f>VLOOKUP($A1464,'2022-23 Salary &amp; Benefits'!$A:$I,5,FALSE)</f>
        <v>68937</v>
      </c>
      <c r="U1464" s="21">
        <f>VLOOKUP($A1464,'2022-23 Salary &amp; Benefits'!$A:$I,6,FALSE)</f>
        <v>72728</v>
      </c>
      <c r="V1464" s="22">
        <f t="shared" si="278"/>
        <v>0</v>
      </c>
      <c r="W1464" s="22">
        <f t="shared" si="279"/>
        <v>0</v>
      </c>
      <c r="X1464" s="22">
        <f>'2022-23 Salary &amp; Benefits'!$G$6</f>
        <v>12558.24</v>
      </c>
      <c r="Y1464" s="23">
        <f>'2022-23 Salary &amp; Benefits'!$H$6</f>
        <v>0.2298</v>
      </c>
      <c r="Z1464" s="23">
        <f>'2022-23 Salary &amp; Benefits'!$I$6</f>
        <v>0.22339999999999999</v>
      </c>
      <c r="AA1464" s="22">
        <f t="shared" si="280"/>
        <v>0</v>
      </c>
      <c r="AB1464" s="22">
        <f t="shared" si="281"/>
        <v>0</v>
      </c>
      <c r="AC1464" s="22">
        <f t="shared" si="282"/>
        <v>0</v>
      </c>
      <c r="AD1464" s="22">
        <f t="shared" si="284"/>
        <v>0</v>
      </c>
      <c r="AE1464" s="22">
        <f t="shared" si="285"/>
        <v>0</v>
      </c>
      <c r="AF1464" s="19" t="str">
        <f>VLOOKUP(C1464,'2021-22 School Level AAFTE'!C:N,12,FALSE)</f>
        <v>No</v>
      </c>
    </row>
    <row r="1465" spans="1:32" s="5" customFormat="1">
      <c r="A1465" s="97" t="s">
        <v>2447</v>
      </c>
      <c r="B1465" s="97" t="s">
        <v>1443</v>
      </c>
      <c r="C1465" s="95">
        <v>5631</v>
      </c>
      <c r="D1465" s="95" t="s">
        <v>244</v>
      </c>
      <c r="E1465" s="129">
        <f>VLOOKUP($C1465,'2021-22 School Level AAFTE'!$C:$Z,11,FALSE)</f>
        <v>0.10475000000000001</v>
      </c>
      <c r="F1465" s="129" t="str">
        <f>VLOOKUP($C1465,'2021-22 School Level AAFTE'!$C:$Z,8,FALSE)</f>
        <v>No</v>
      </c>
      <c r="G1465" s="129" t="str">
        <f>VLOOKUP($C1465,'2021-22 School Level AAFTE'!$C:$Z,12,FALSE)</f>
        <v>No</v>
      </c>
      <c r="H1465" s="127">
        <f>VLOOKUP($C1465,'2021-22 School Level AAFTE'!$C:$I,7,FALSE)</f>
        <v>411.92</v>
      </c>
      <c r="I1465" s="112">
        <f>IFERROR(IF(OR(G1465="yes",F1465= "yes"),VLOOKUP(C1465,Summary!$B:$J,6,0),0),0)</f>
        <v>0</v>
      </c>
      <c r="J1465" s="111">
        <f t="shared" si="276"/>
        <v>0</v>
      </c>
      <c r="K1465" s="91">
        <f>VLOOKUP($A1465,'2022-23 Salary &amp; Benefits'!$A:$I,3,FALSE)</f>
        <v>1.1200000000000001</v>
      </c>
      <c r="L1465" s="91">
        <f>VLOOKUP($A1465,'2022-23 Salary &amp; Benefits'!$A:$I,4,FALSE)</f>
        <v>1.1600000000000001</v>
      </c>
      <c r="M1465" s="39">
        <f t="shared" si="283"/>
        <v>0</v>
      </c>
      <c r="N1465" s="24">
        <v>15</v>
      </c>
      <c r="O1465" s="26">
        <f t="shared" si="274"/>
        <v>0</v>
      </c>
      <c r="P1465" s="24">
        <v>1.1000000000000001</v>
      </c>
      <c r="Q1465" s="24">
        <v>36</v>
      </c>
      <c r="R1465" s="27">
        <f t="shared" si="275"/>
        <v>0</v>
      </c>
      <c r="S1465" s="102">
        <f t="shared" si="277"/>
        <v>0</v>
      </c>
      <c r="T1465" s="21">
        <f>VLOOKUP($A1465,'2022-23 Salary &amp; Benefits'!$A:$I,5,FALSE)</f>
        <v>68937</v>
      </c>
      <c r="U1465" s="21">
        <f>VLOOKUP($A1465,'2022-23 Salary &amp; Benefits'!$A:$I,6,FALSE)</f>
        <v>72728</v>
      </c>
      <c r="V1465" s="22">
        <f t="shared" si="278"/>
        <v>0</v>
      </c>
      <c r="W1465" s="22">
        <f t="shared" si="279"/>
        <v>0</v>
      </c>
      <c r="X1465" s="22">
        <f>'2022-23 Salary &amp; Benefits'!$G$6</f>
        <v>12558.24</v>
      </c>
      <c r="Y1465" s="23">
        <f>'2022-23 Salary &amp; Benefits'!$H$6</f>
        <v>0.2298</v>
      </c>
      <c r="Z1465" s="23">
        <f>'2022-23 Salary &amp; Benefits'!$I$6</f>
        <v>0.22339999999999999</v>
      </c>
      <c r="AA1465" s="22">
        <f t="shared" si="280"/>
        <v>0</v>
      </c>
      <c r="AB1465" s="22">
        <f t="shared" si="281"/>
        <v>0</v>
      </c>
      <c r="AC1465" s="22">
        <f t="shared" si="282"/>
        <v>0</v>
      </c>
      <c r="AD1465" s="22">
        <f t="shared" si="284"/>
        <v>0</v>
      </c>
      <c r="AE1465" s="22">
        <f t="shared" si="285"/>
        <v>0</v>
      </c>
      <c r="AF1465" s="19" t="str">
        <f>VLOOKUP(C1465,'2021-22 School Level AAFTE'!C:N,12,FALSE)</f>
        <v>No</v>
      </c>
    </row>
    <row r="1466" spans="1:32" s="5" customFormat="1">
      <c r="A1466" s="97" t="s">
        <v>2447</v>
      </c>
      <c r="B1466" s="97" t="s">
        <v>1443</v>
      </c>
      <c r="C1466" s="95">
        <v>5685</v>
      </c>
      <c r="D1466" s="95" t="s">
        <v>3035</v>
      </c>
      <c r="E1466" s="129">
        <f>VLOOKUP($C1466,'2021-22 School Level AAFTE'!$C:$Z,11,FALSE)</f>
        <v>9.3700000000000006E-2</v>
      </c>
      <c r="F1466" s="129" t="str">
        <f>VLOOKUP($C1466,'2021-22 School Level AAFTE'!$C:$Z,8,FALSE)</f>
        <v>No</v>
      </c>
      <c r="G1466" s="129" t="str">
        <f>VLOOKUP($C1466,'2021-22 School Level AAFTE'!$C:$Z,12,FALSE)</f>
        <v>No</v>
      </c>
      <c r="H1466" s="127">
        <f>VLOOKUP($C1466,'2021-22 School Level AAFTE'!$C:$I,7,FALSE)</f>
        <v>395.33</v>
      </c>
      <c r="I1466" s="112">
        <f>IFERROR(IF(OR(G1466="yes",F1466= "yes"),VLOOKUP(C1466,Summary!$B:$J,6,0),0),0)</f>
        <v>0</v>
      </c>
      <c r="J1466" s="111">
        <f t="shared" si="276"/>
        <v>0</v>
      </c>
      <c r="K1466" s="91">
        <f>VLOOKUP($A1466,'2022-23 Salary &amp; Benefits'!$A:$I,3,FALSE)</f>
        <v>1.1200000000000001</v>
      </c>
      <c r="L1466" s="91">
        <f>VLOOKUP($A1466,'2022-23 Salary &amp; Benefits'!$A:$I,4,FALSE)</f>
        <v>1.1600000000000001</v>
      </c>
      <c r="M1466" s="39">
        <f t="shared" si="283"/>
        <v>0</v>
      </c>
      <c r="N1466" s="24">
        <v>15</v>
      </c>
      <c r="O1466" s="26">
        <f t="shared" si="274"/>
        <v>0</v>
      </c>
      <c r="P1466" s="24">
        <v>1.1000000000000001</v>
      </c>
      <c r="Q1466" s="24">
        <v>36</v>
      </c>
      <c r="R1466" s="27">
        <f t="shared" si="275"/>
        <v>0</v>
      </c>
      <c r="S1466" s="102">
        <f t="shared" si="277"/>
        <v>0</v>
      </c>
      <c r="T1466" s="21">
        <f>VLOOKUP($A1466,'2022-23 Salary &amp; Benefits'!$A:$I,5,FALSE)</f>
        <v>68937</v>
      </c>
      <c r="U1466" s="21">
        <f>VLOOKUP($A1466,'2022-23 Salary &amp; Benefits'!$A:$I,6,FALSE)</f>
        <v>72728</v>
      </c>
      <c r="V1466" s="22">
        <f t="shared" si="278"/>
        <v>0</v>
      </c>
      <c r="W1466" s="22">
        <f t="shared" si="279"/>
        <v>0</v>
      </c>
      <c r="X1466" s="22">
        <f>'2022-23 Salary &amp; Benefits'!$G$6</f>
        <v>12558.24</v>
      </c>
      <c r="Y1466" s="23">
        <f>'2022-23 Salary &amp; Benefits'!$H$6</f>
        <v>0.2298</v>
      </c>
      <c r="Z1466" s="23">
        <f>'2022-23 Salary &amp; Benefits'!$I$6</f>
        <v>0.22339999999999999</v>
      </c>
      <c r="AA1466" s="22">
        <f t="shared" si="280"/>
        <v>0</v>
      </c>
      <c r="AB1466" s="22">
        <f t="shared" si="281"/>
        <v>0</v>
      </c>
      <c r="AC1466" s="22">
        <f t="shared" si="282"/>
        <v>0</v>
      </c>
      <c r="AD1466" s="22">
        <f t="shared" si="284"/>
        <v>0</v>
      </c>
      <c r="AE1466" s="22">
        <f t="shared" si="285"/>
        <v>0</v>
      </c>
      <c r="AF1466" s="19" t="str">
        <f>VLOOKUP(C1466,'2021-22 School Level AAFTE'!C:N,12,FALSE)</f>
        <v>No</v>
      </c>
    </row>
    <row r="1467" spans="1:32" s="5" customFormat="1">
      <c r="A1467" s="97" t="s">
        <v>2447</v>
      </c>
      <c r="B1467" s="97" t="s">
        <v>1443</v>
      </c>
      <c r="C1467" s="95">
        <v>5707</v>
      </c>
      <c r="D1467" s="95" t="s">
        <v>2906</v>
      </c>
      <c r="E1467" s="129">
        <f>VLOOKUP($C1467,'2021-22 School Level AAFTE'!$C:$Z,11,FALSE)</f>
        <v>0.24690000000000001</v>
      </c>
      <c r="F1467" s="129" t="str">
        <f>VLOOKUP($C1467,'2021-22 School Level AAFTE'!$C:$Z,8,FALSE)</f>
        <v>No</v>
      </c>
      <c r="G1467" s="129" t="str">
        <f>VLOOKUP($C1467,'2021-22 School Level AAFTE'!$C:$Z,12,FALSE)</f>
        <v>No</v>
      </c>
      <c r="H1467" s="127">
        <f>VLOOKUP($C1467,'2021-22 School Level AAFTE'!$C:$I,7,FALSE)</f>
        <v>190.44000000000003</v>
      </c>
      <c r="I1467" s="112">
        <f>IFERROR(IF(OR(G1467="yes",F1467= "yes"),VLOOKUP(C1467,Summary!$B:$J,6,0),0),0)</f>
        <v>0</v>
      </c>
      <c r="J1467" s="111">
        <f t="shared" si="276"/>
        <v>0</v>
      </c>
      <c r="K1467" s="91">
        <f>VLOOKUP($A1467,'2022-23 Salary &amp; Benefits'!$A:$I,3,FALSE)</f>
        <v>1.1200000000000001</v>
      </c>
      <c r="L1467" s="91">
        <f>VLOOKUP($A1467,'2022-23 Salary &amp; Benefits'!$A:$I,4,FALSE)</f>
        <v>1.1600000000000001</v>
      </c>
      <c r="M1467" s="39">
        <f t="shared" si="283"/>
        <v>0</v>
      </c>
      <c r="N1467" s="24">
        <v>15</v>
      </c>
      <c r="O1467" s="26">
        <f t="shared" si="274"/>
        <v>0</v>
      </c>
      <c r="P1467" s="24">
        <v>1.1000000000000001</v>
      </c>
      <c r="Q1467" s="24">
        <v>36</v>
      </c>
      <c r="R1467" s="27">
        <f t="shared" si="275"/>
        <v>0</v>
      </c>
      <c r="S1467" s="102">
        <f t="shared" si="277"/>
        <v>0</v>
      </c>
      <c r="T1467" s="21">
        <f>VLOOKUP($A1467,'2022-23 Salary &amp; Benefits'!$A:$I,5,FALSE)</f>
        <v>68937</v>
      </c>
      <c r="U1467" s="21">
        <f>VLOOKUP($A1467,'2022-23 Salary &amp; Benefits'!$A:$I,6,FALSE)</f>
        <v>72728</v>
      </c>
      <c r="V1467" s="22">
        <f t="shared" si="278"/>
        <v>0</v>
      </c>
      <c r="W1467" s="22">
        <f t="shared" si="279"/>
        <v>0</v>
      </c>
      <c r="X1467" s="22">
        <f>'2022-23 Salary &amp; Benefits'!$G$6</f>
        <v>12558.24</v>
      </c>
      <c r="Y1467" s="23">
        <f>'2022-23 Salary &amp; Benefits'!$H$6</f>
        <v>0.2298</v>
      </c>
      <c r="Z1467" s="23">
        <f>'2022-23 Salary &amp; Benefits'!$I$6</f>
        <v>0.22339999999999999</v>
      </c>
      <c r="AA1467" s="22">
        <f t="shared" si="280"/>
        <v>0</v>
      </c>
      <c r="AB1467" s="22">
        <f t="shared" si="281"/>
        <v>0</v>
      </c>
      <c r="AC1467" s="22">
        <f t="shared" si="282"/>
        <v>0</v>
      </c>
      <c r="AD1467" s="22">
        <f t="shared" si="284"/>
        <v>0</v>
      </c>
      <c r="AE1467" s="22">
        <f t="shared" si="285"/>
        <v>0</v>
      </c>
      <c r="AF1467" s="19" t="str">
        <f>VLOOKUP(C1467,'2021-22 School Level AAFTE'!C:N,12,FALSE)</f>
        <v>No</v>
      </c>
    </row>
    <row r="1468" spans="1:32" s="5" customFormat="1">
      <c r="A1468" s="97" t="s">
        <v>2954</v>
      </c>
      <c r="B1468" s="97" t="s">
        <v>2955</v>
      </c>
      <c r="C1468" s="95">
        <v>5686</v>
      </c>
      <c r="D1468" s="95" t="s">
        <v>3036</v>
      </c>
      <c r="E1468" s="129">
        <f>VLOOKUP($C1468,'2021-22 School Level AAFTE'!$C:$Z,11,FALSE)</f>
        <v>0.43359999999999999</v>
      </c>
      <c r="F1468" s="129" t="str">
        <f>VLOOKUP($C1468,'2021-22 School Level AAFTE'!$C:$Z,8,FALSE)</f>
        <v>No</v>
      </c>
      <c r="G1468" s="129" t="str">
        <f>VLOOKUP($C1468,'2021-22 School Level AAFTE'!$C:$Z,12,FALSE)</f>
        <v>No</v>
      </c>
      <c r="H1468" s="127">
        <f>VLOOKUP($C1468,'2021-22 School Level AAFTE'!$C:$I,7,FALSE)</f>
        <v>110.71</v>
      </c>
      <c r="I1468" s="112">
        <f>IFERROR(IF(OR(G1468="yes",F1468= "yes"),VLOOKUP(C1468,Summary!$B:$J,6,0),0),0)</f>
        <v>0</v>
      </c>
      <c r="J1468" s="111">
        <f t="shared" si="276"/>
        <v>0</v>
      </c>
      <c r="K1468" s="91">
        <f>VLOOKUP($A1468,'2022-23 Salary &amp; Benefits'!$A:$I,3,FALSE)</f>
        <v>1.03</v>
      </c>
      <c r="L1468" s="91">
        <f>VLOOKUP($A1468,'2022-23 Salary &amp; Benefits'!$A:$I,4,FALSE)</f>
        <v>1.03</v>
      </c>
      <c r="M1468" s="39">
        <f t="shared" si="283"/>
        <v>0</v>
      </c>
      <c r="N1468" s="24">
        <v>15</v>
      </c>
      <c r="O1468" s="26">
        <f t="shared" si="274"/>
        <v>0</v>
      </c>
      <c r="P1468" s="24">
        <v>1.1000000000000001</v>
      </c>
      <c r="Q1468" s="24">
        <v>36</v>
      </c>
      <c r="R1468" s="27">
        <f t="shared" si="275"/>
        <v>0</v>
      </c>
      <c r="S1468" s="102">
        <f t="shared" si="277"/>
        <v>0</v>
      </c>
      <c r="T1468" s="21">
        <f>VLOOKUP($A1468,'2022-23 Salary &amp; Benefits'!$A:$I,5,FALSE)</f>
        <v>68937</v>
      </c>
      <c r="U1468" s="21">
        <f>VLOOKUP($A1468,'2022-23 Salary &amp; Benefits'!$A:$I,6,FALSE)</f>
        <v>72728</v>
      </c>
      <c r="V1468" s="22">
        <f t="shared" si="278"/>
        <v>0</v>
      </c>
      <c r="W1468" s="22">
        <f t="shared" si="279"/>
        <v>0</v>
      </c>
      <c r="X1468" s="22">
        <f>'2022-23 Salary &amp; Benefits'!$G$6</f>
        <v>12558.24</v>
      </c>
      <c r="Y1468" s="23">
        <f>'2022-23 Salary &amp; Benefits'!$H$6</f>
        <v>0.2298</v>
      </c>
      <c r="Z1468" s="23">
        <f>'2022-23 Salary &amp; Benefits'!$I$6</f>
        <v>0.22339999999999999</v>
      </c>
      <c r="AA1468" s="22">
        <f t="shared" si="280"/>
        <v>0</v>
      </c>
      <c r="AB1468" s="22">
        <f t="shared" si="281"/>
        <v>0</v>
      </c>
      <c r="AC1468" s="22">
        <f t="shared" si="282"/>
        <v>0</v>
      </c>
      <c r="AD1468" s="22">
        <f t="shared" si="284"/>
        <v>0</v>
      </c>
      <c r="AE1468" s="22">
        <f t="shared" si="285"/>
        <v>0</v>
      </c>
      <c r="AF1468" s="19" t="str">
        <f>VLOOKUP(C1468,'2021-22 School Level AAFTE'!C:N,12,FALSE)</f>
        <v>No</v>
      </c>
    </row>
    <row r="1469" spans="1:32" s="5" customFormat="1">
      <c r="A1469" s="97" t="s">
        <v>2418</v>
      </c>
      <c r="B1469" s="97" t="s">
        <v>1216</v>
      </c>
      <c r="C1469" s="95">
        <v>2865</v>
      </c>
      <c r="D1469" s="95" t="s">
        <v>130</v>
      </c>
      <c r="E1469" s="129">
        <f>VLOOKUP($C1469,'2021-22 School Level AAFTE'!$C:$Z,11,FALSE)</f>
        <v>0.63719999999999999</v>
      </c>
      <c r="F1469" s="129" t="str">
        <f>VLOOKUP($C1469,'2021-22 School Level AAFTE'!$C:$Z,8,FALSE)</f>
        <v>Yes</v>
      </c>
      <c r="G1469" s="129" t="str">
        <f>VLOOKUP($C1469,'2021-22 School Level AAFTE'!$C:$Z,12,FALSE)</f>
        <v>No</v>
      </c>
      <c r="H1469" s="127">
        <f>VLOOKUP($C1469,'2021-22 School Level AAFTE'!$C:$I,7,FALSE)</f>
        <v>216</v>
      </c>
      <c r="I1469" s="112">
        <f>IFERROR(IF(OR(G1469="yes",F1469= "yes"),VLOOKUP(C1469,Summary!$B:$J,6,0),0),0)</f>
        <v>0</v>
      </c>
      <c r="J1469" s="111">
        <f t="shared" si="276"/>
        <v>216</v>
      </c>
      <c r="K1469" s="91">
        <f>VLOOKUP($A1469,'2022-23 Salary &amp; Benefits'!$A:$I,3,FALSE)</f>
        <v>1</v>
      </c>
      <c r="L1469" s="91">
        <f>VLOOKUP($A1469,'2022-23 Salary &amp; Benefits'!$A:$I,4,FALSE)</f>
        <v>1</v>
      </c>
      <c r="M1469" s="101">
        <f t="shared" si="283"/>
        <v>216</v>
      </c>
      <c r="N1469" s="24">
        <v>15</v>
      </c>
      <c r="O1469" s="26">
        <f t="shared" si="274"/>
        <v>14.4</v>
      </c>
      <c r="P1469" s="24">
        <v>1.1000000000000001</v>
      </c>
      <c r="Q1469" s="24">
        <v>36</v>
      </c>
      <c r="R1469" s="27">
        <f t="shared" si="275"/>
        <v>570.24</v>
      </c>
      <c r="S1469" s="102">
        <f t="shared" si="277"/>
        <v>0.63400000000000001</v>
      </c>
      <c r="T1469" s="21">
        <f>VLOOKUP($A1469,'2022-23 Salary &amp; Benefits'!$A:$I,5,FALSE)</f>
        <v>68937</v>
      </c>
      <c r="U1469" s="21">
        <f>VLOOKUP($A1469,'2022-23 Salary &amp; Benefits'!$A:$I,6,FALSE)</f>
        <v>72728</v>
      </c>
      <c r="V1469" s="22">
        <f t="shared" si="278"/>
        <v>43706.06</v>
      </c>
      <c r="W1469" s="22">
        <f t="shared" si="279"/>
        <v>2403.4900000000052</v>
      </c>
      <c r="X1469" s="22">
        <f>'2022-23 Salary &amp; Benefits'!$G$6</f>
        <v>12558.24</v>
      </c>
      <c r="Y1469" s="23">
        <f>'2022-23 Salary &amp; Benefits'!$H$6</f>
        <v>0.2298</v>
      </c>
      <c r="Z1469" s="23">
        <f>'2022-23 Salary &amp; Benefits'!$I$6</f>
        <v>0.22339999999999999</v>
      </c>
      <c r="AA1469" s="22">
        <f t="shared" si="280"/>
        <v>18542.52</v>
      </c>
      <c r="AB1469" s="22">
        <f t="shared" si="281"/>
        <v>768.49</v>
      </c>
      <c r="AC1469" s="22">
        <f t="shared" si="282"/>
        <v>171.68</v>
      </c>
      <c r="AD1469" s="22">
        <f t="shared" si="284"/>
        <v>940.17000000000007</v>
      </c>
      <c r="AE1469" s="22">
        <f t="shared" si="285"/>
        <v>65592.240000000005</v>
      </c>
      <c r="AF1469" s="19" t="str">
        <f>VLOOKUP(C1469,'2021-22 School Level AAFTE'!C:N,12,FALSE)</f>
        <v>No</v>
      </c>
    </row>
    <row r="1470" spans="1:32" s="5" customFormat="1">
      <c r="A1470" s="97" t="s">
        <v>2418</v>
      </c>
      <c r="B1470" s="97" t="s">
        <v>1216</v>
      </c>
      <c r="C1470" s="95">
        <v>4463</v>
      </c>
      <c r="D1470" s="95" t="s">
        <v>244</v>
      </c>
      <c r="E1470" s="129">
        <f>VLOOKUP($C1470,'2021-22 School Level AAFTE'!$C:$Z,11,FALSE)</f>
        <v>0.5749333333333333</v>
      </c>
      <c r="F1470" s="129" t="str">
        <f>VLOOKUP($C1470,'2021-22 School Level AAFTE'!$C:$Z,8,FALSE)</f>
        <v>Yes</v>
      </c>
      <c r="G1470" s="129" t="str">
        <f>VLOOKUP($C1470,'2021-22 School Level AAFTE'!$C:$Z,12,FALSE)</f>
        <v>No</v>
      </c>
      <c r="H1470" s="127">
        <f>VLOOKUP($C1470,'2021-22 School Level AAFTE'!$C:$I,7,FALSE)</f>
        <v>439.18</v>
      </c>
      <c r="I1470" s="112">
        <f>IFERROR(IF(OR(G1470="yes",F1470= "yes"),VLOOKUP(C1470,Summary!$B:$J,6,0),0),0)</f>
        <v>0</v>
      </c>
      <c r="J1470" s="111">
        <f t="shared" si="276"/>
        <v>439.18</v>
      </c>
      <c r="K1470" s="91">
        <f>VLOOKUP($A1470,'2022-23 Salary &amp; Benefits'!$A:$I,3,FALSE)</f>
        <v>1</v>
      </c>
      <c r="L1470" s="91">
        <f>VLOOKUP($A1470,'2022-23 Salary &amp; Benefits'!$A:$I,4,FALSE)</f>
        <v>1</v>
      </c>
      <c r="M1470" s="101">
        <f t="shared" si="283"/>
        <v>439.18</v>
      </c>
      <c r="N1470" s="24">
        <v>15</v>
      </c>
      <c r="O1470" s="26">
        <f t="shared" si="274"/>
        <v>29.278666666666666</v>
      </c>
      <c r="P1470" s="24">
        <v>1.1000000000000001</v>
      </c>
      <c r="Q1470" s="24">
        <v>36</v>
      </c>
      <c r="R1470" s="27">
        <f t="shared" si="275"/>
        <v>1159.4351999999999</v>
      </c>
      <c r="S1470" s="102">
        <f t="shared" si="277"/>
        <v>1.288</v>
      </c>
      <c r="T1470" s="21">
        <f>VLOOKUP($A1470,'2022-23 Salary &amp; Benefits'!$A:$I,5,FALSE)</f>
        <v>68937</v>
      </c>
      <c r="U1470" s="21">
        <f>VLOOKUP($A1470,'2022-23 Salary &amp; Benefits'!$A:$I,6,FALSE)</f>
        <v>72728</v>
      </c>
      <c r="V1470" s="22">
        <f t="shared" si="278"/>
        <v>88790.86</v>
      </c>
      <c r="W1470" s="22">
        <f t="shared" si="279"/>
        <v>4882.8000000000029</v>
      </c>
      <c r="X1470" s="22">
        <f>'2022-23 Salary &amp; Benefits'!$G$6</f>
        <v>12558.24</v>
      </c>
      <c r="Y1470" s="23">
        <f>'2022-23 Salary &amp; Benefits'!$H$6</f>
        <v>0.2298</v>
      </c>
      <c r="Z1470" s="23">
        <f>'2022-23 Salary &amp; Benefits'!$I$6</f>
        <v>0.22339999999999999</v>
      </c>
      <c r="AA1470" s="22">
        <f t="shared" si="280"/>
        <v>37669.97</v>
      </c>
      <c r="AB1470" s="22">
        <f t="shared" si="281"/>
        <v>1561.23</v>
      </c>
      <c r="AC1470" s="22">
        <f t="shared" si="282"/>
        <v>348.78</v>
      </c>
      <c r="AD1470" s="22">
        <f t="shared" si="284"/>
        <v>1910.01</v>
      </c>
      <c r="AE1470" s="22">
        <f t="shared" si="285"/>
        <v>133253.64000000001</v>
      </c>
      <c r="AF1470" s="19" t="str">
        <f>VLOOKUP(C1470,'2021-22 School Level AAFTE'!C:N,12,FALSE)</f>
        <v>No</v>
      </c>
    </row>
    <row r="1471" spans="1:32" s="5" customFormat="1">
      <c r="A1471" s="97" t="s">
        <v>2418</v>
      </c>
      <c r="B1471" s="97" t="s">
        <v>1216</v>
      </c>
      <c r="C1471" s="95">
        <v>5704</v>
      </c>
      <c r="D1471" s="95" t="s">
        <v>3037</v>
      </c>
      <c r="E1471" s="129">
        <f>VLOOKUP($C1471,'2021-22 School Level AAFTE'!$C:$Z,11,FALSE)</f>
        <v>0.68179999999999996</v>
      </c>
      <c r="F1471" s="129" t="str">
        <f>VLOOKUP($C1471,'2021-22 School Level AAFTE'!$C:$Z,8,FALSE)</f>
        <v>Yes</v>
      </c>
      <c r="G1471" s="129" t="str">
        <f>VLOOKUP($C1471,'2021-22 School Level AAFTE'!$C:$Z,12,FALSE)</f>
        <v>No</v>
      </c>
      <c r="H1471" s="127">
        <f>VLOOKUP($C1471,'2021-22 School Level AAFTE'!$C:$I,7,FALSE)</f>
        <v>36</v>
      </c>
      <c r="I1471" s="112">
        <f>IFERROR(IF(OR(G1471="yes",F1471= "yes"),VLOOKUP(C1471,Summary!$B:$J,6,0),0),0)</f>
        <v>0</v>
      </c>
      <c r="J1471" s="111">
        <f t="shared" si="276"/>
        <v>36</v>
      </c>
      <c r="K1471" s="91">
        <f>VLOOKUP($A1471,'2022-23 Salary &amp; Benefits'!$A:$I,3,FALSE)</f>
        <v>1</v>
      </c>
      <c r="L1471" s="91">
        <f>VLOOKUP($A1471,'2022-23 Salary &amp; Benefits'!$A:$I,4,FALSE)</f>
        <v>1</v>
      </c>
      <c r="M1471" s="101">
        <f t="shared" si="283"/>
        <v>36</v>
      </c>
      <c r="N1471" s="24">
        <v>15</v>
      </c>
      <c r="O1471" s="26">
        <f t="shared" si="274"/>
        <v>2.4</v>
      </c>
      <c r="P1471" s="24">
        <v>1.1000000000000001</v>
      </c>
      <c r="Q1471" s="24">
        <v>36</v>
      </c>
      <c r="R1471" s="27">
        <f t="shared" si="275"/>
        <v>95.04</v>
      </c>
      <c r="S1471" s="102">
        <f t="shared" si="277"/>
        <v>0.106</v>
      </c>
      <c r="T1471" s="21">
        <f>VLOOKUP($A1471,'2022-23 Salary &amp; Benefits'!$A:$I,5,FALSE)</f>
        <v>68937</v>
      </c>
      <c r="U1471" s="21">
        <f>VLOOKUP($A1471,'2022-23 Salary &amp; Benefits'!$A:$I,6,FALSE)</f>
        <v>72728</v>
      </c>
      <c r="V1471" s="22">
        <f t="shared" si="278"/>
        <v>7307.32</v>
      </c>
      <c r="W1471" s="22">
        <f t="shared" si="279"/>
        <v>401.85000000000036</v>
      </c>
      <c r="X1471" s="22">
        <f>'2022-23 Salary &amp; Benefits'!$G$6</f>
        <v>12558.24</v>
      </c>
      <c r="Y1471" s="23">
        <f>'2022-23 Salary &amp; Benefits'!$H$6</f>
        <v>0.2298</v>
      </c>
      <c r="Z1471" s="23">
        <f>'2022-23 Salary &amp; Benefits'!$I$6</f>
        <v>0.22339999999999999</v>
      </c>
      <c r="AA1471" s="22">
        <f t="shared" si="280"/>
        <v>3100.17</v>
      </c>
      <c r="AB1471" s="22">
        <f t="shared" si="281"/>
        <v>128.49</v>
      </c>
      <c r="AC1471" s="22">
        <f t="shared" si="282"/>
        <v>28.7</v>
      </c>
      <c r="AD1471" s="22">
        <f t="shared" si="284"/>
        <v>157.19</v>
      </c>
      <c r="AE1471" s="22">
        <f t="shared" si="285"/>
        <v>10966.53</v>
      </c>
      <c r="AF1471" s="19" t="str">
        <f>VLOOKUP(C1471,'2021-22 School Level AAFTE'!C:N,12,FALSE)</f>
        <v>No</v>
      </c>
    </row>
    <row r="1472" spans="1:32" s="5" customFormat="1">
      <c r="A1472" s="97" t="s">
        <v>2316</v>
      </c>
      <c r="B1472" s="97" t="s">
        <v>405</v>
      </c>
      <c r="C1472" s="95">
        <v>2241</v>
      </c>
      <c r="D1472" s="95" t="s">
        <v>406</v>
      </c>
      <c r="E1472" s="129">
        <f>VLOOKUP($C1472,'2021-22 School Level AAFTE'!$C:$Z,11,FALSE)</f>
        <v>0.50260000000000005</v>
      </c>
      <c r="F1472" s="129" t="str">
        <f>VLOOKUP($C1472,'2021-22 School Level AAFTE'!$C:$Z,8,FALSE)</f>
        <v>Yes</v>
      </c>
      <c r="G1472" s="129" t="str">
        <f>VLOOKUP($C1472,'2021-22 School Level AAFTE'!$C:$Z,12,FALSE)</f>
        <v>No</v>
      </c>
      <c r="H1472" s="127">
        <f>VLOOKUP($C1472,'2021-22 School Level AAFTE'!$C:$I,7,FALSE)</f>
        <v>149.1</v>
      </c>
      <c r="I1472" s="112">
        <f>IFERROR(IF(OR(G1472="yes",F1472= "yes"),VLOOKUP(C1472,Summary!$B:$J,6,0),0),0)</f>
        <v>0</v>
      </c>
      <c r="J1472" s="111">
        <f t="shared" si="276"/>
        <v>149.1</v>
      </c>
      <c r="K1472" s="91">
        <f>VLOOKUP($A1472,'2022-23 Salary &amp; Benefits'!$A:$I,3,FALSE)</f>
        <v>1</v>
      </c>
      <c r="L1472" s="91">
        <f>VLOOKUP($A1472,'2022-23 Salary &amp; Benefits'!$A:$I,4,FALSE)</f>
        <v>1.04</v>
      </c>
      <c r="M1472" s="101">
        <f t="shared" si="283"/>
        <v>149.1</v>
      </c>
      <c r="N1472" s="24">
        <v>15</v>
      </c>
      <c r="O1472" s="26">
        <f t="shared" si="274"/>
        <v>9.94</v>
      </c>
      <c r="P1472" s="24">
        <v>1.1000000000000001</v>
      </c>
      <c r="Q1472" s="24">
        <v>36</v>
      </c>
      <c r="R1472" s="27">
        <f t="shared" si="275"/>
        <v>393.62400000000002</v>
      </c>
      <c r="S1472" s="102">
        <f t="shared" si="277"/>
        <v>0.437</v>
      </c>
      <c r="T1472" s="21">
        <f>VLOOKUP($A1472,'2022-23 Salary &amp; Benefits'!$A:$I,5,FALSE)</f>
        <v>68937</v>
      </c>
      <c r="U1472" s="21">
        <f>VLOOKUP($A1472,'2022-23 Salary &amp; Benefits'!$A:$I,6,FALSE)</f>
        <v>72728</v>
      </c>
      <c r="V1472" s="22">
        <f t="shared" si="278"/>
        <v>30125.47</v>
      </c>
      <c r="W1472" s="22">
        <f t="shared" si="279"/>
        <v>2927.9499999999971</v>
      </c>
      <c r="X1472" s="22">
        <f>'2022-23 Salary &amp; Benefits'!$G$6</f>
        <v>12558.24</v>
      </c>
      <c r="Y1472" s="23">
        <f>'2022-23 Salary &amp; Benefits'!$H$6</f>
        <v>0.2298</v>
      </c>
      <c r="Z1472" s="23">
        <f>'2022-23 Salary &amp; Benefits'!$I$6</f>
        <v>0.22339999999999999</v>
      </c>
      <c r="AA1472" s="22">
        <f t="shared" si="280"/>
        <v>13064.89</v>
      </c>
      <c r="AB1472" s="22">
        <f t="shared" si="281"/>
        <v>550.89</v>
      </c>
      <c r="AC1472" s="22">
        <f t="shared" si="282"/>
        <v>123.07</v>
      </c>
      <c r="AD1472" s="22">
        <f t="shared" si="284"/>
        <v>673.96</v>
      </c>
      <c r="AE1472" s="22">
        <f t="shared" si="285"/>
        <v>46792.27</v>
      </c>
      <c r="AF1472" s="19" t="str">
        <f>VLOOKUP(C1472,'2021-22 School Level AAFTE'!C:N,12,FALSE)</f>
        <v>No</v>
      </c>
    </row>
    <row r="1473" spans="1:284" s="5" customFormat="1">
      <c r="A1473" s="97" t="s">
        <v>2316</v>
      </c>
      <c r="B1473" s="97" t="s">
        <v>405</v>
      </c>
      <c r="C1473" s="95">
        <v>3087</v>
      </c>
      <c r="D1473" s="95" t="s">
        <v>407</v>
      </c>
      <c r="E1473" s="129">
        <f>VLOOKUP($C1473,'2021-22 School Level AAFTE'!$C:$Z,11,FALSE)</f>
        <v>0.49680000000000007</v>
      </c>
      <c r="F1473" s="129" t="str">
        <f>VLOOKUP($C1473,'2021-22 School Level AAFTE'!$C:$Z,8,FALSE)</f>
        <v>No</v>
      </c>
      <c r="G1473" s="129" t="str">
        <f>VLOOKUP($C1473,'2021-22 School Level AAFTE'!$C:$Z,12,FALSE)</f>
        <v>Yes</v>
      </c>
      <c r="H1473" s="127">
        <f>VLOOKUP($C1473,'2021-22 School Level AAFTE'!$C:$I,7,FALSE)</f>
        <v>203.29</v>
      </c>
      <c r="I1473" s="112">
        <f>IFERROR(IF(OR(G1473="yes",F1473= "yes"),VLOOKUP(C1473,Summary!$B:$J,6,0),0),0)</f>
        <v>0</v>
      </c>
      <c r="J1473" s="111">
        <f t="shared" si="276"/>
        <v>203.29</v>
      </c>
      <c r="K1473" s="91">
        <f>VLOOKUP($A1473,'2022-23 Salary &amp; Benefits'!$A:$I,3,FALSE)</f>
        <v>1</v>
      </c>
      <c r="L1473" s="91">
        <f>VLOOKUP($A1473,'2022-23 Salary &amp; Benefits'!$A:$I,4,FALSE)</f>
        <v>1.04</v>
      </c>
      <c r="M1473" s="101">
        <f t="shared" si="283"/>
        <v>203.29</v>
      </c>
      <c r="N1473" s="24">
        <v>15</v>
      </c>
      <c r="O1473" s="26">
        <f t="shared" si="274"/>
        <v>13.552666666666665</v>
      </c>
      <c r="P1473" s="24">
        <v>1.1000000000000001</v>
      </c>
      <c r="Q1473" s="24">
        <v>36</v>
      </c>
      <c r="R1473" s="27">
        <f t="shared" si="275"/>
        <v>536.68560000000002</v>
      </c>
      <c r="S1473" s="102">
        <f t="shared" si="277"/>
        <v>0.59599999999999997</v>
      </c>
      <c r="T1473" s="21">
        <f>VLOOKUP($A1473,'2022-23 Salary &amp; Benefits'!$A:$I,5,FALSE)</f>
        <v>68937</v>
      </c>
      <c r="U1473" s="21">
        <f>VLOOKUP($A1473,'2022-23 Salary &amp; Benefits'!$A:$I,6,FALSE)</f>
        <v>72728</v>
      </c>
      <c r="V1473" s="22">
        <f t="shared" si="278"/>
        <v>41086.449999999997</v>
      </c>
      <c r="W1473" s="22">
        <f t="shared" si="279"/>
        <v>3993.2700000000041</v>
      </c>
      <c r="X1473" s="22">
        <f>'2022-23 Salary &amp; Benefits'!$G$6</f>
        <v>12558.24</v>
      </c>
      <c r="Y1473" s="23">
        <f>'2022-23 Salary &amp; Benefits'!$H$6</f>
        <v>0.2298</v>
      </c>
      <c r="Z1473" s="23">
        <f>'2022-23 Salary &amp; Benefits'!$I$6</f>
        <v>0.22339999999999999</v>
      </c>
      <c r="AA1473" s="22">
        <f t="shared" si="280"/>
        <v>17818.47</v>
      </c>
      <c r="AB1473" s="22">
        <f t="shared" si="281"/>
        <v>751.33</v>
      </c>
      <c r="AC1473" s="22">
        <f t="shared" si="282"/>
        <v>167.85</v>
      </c>
      <c r="AD1473" s="22">
        <f t="shared" si="284"/>
        <v>919.18000000000006</v>
      </c>
      <c r="AE1473" s="22">
        <f t="shared" si="285"/>
        <v>63817.37</v>
      </c>
      <c r="AF1473" s="19" t="str">
        <f>VLOOKUP(C1473,'2021-22 School Level AAFTE'!C:N,12,FALSE)</f>
        <v>Yes</v>
      </c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  <c r="IV1473" s="3"/>
      <c r="IW1473" s="3"/>
      <c r="IX1473" s="3"/>
      <c r="IY1473" s="3"/>
      <c r="IZ1473" s="3"/>
      <c r="JA1473" s="3"/>
      <c r="JB1473" s="3"/>
      <c r="JC1473" s="3"/>
      <c r="JD1473" s="3"/>
      <c r="JE1473" s="3"/>
      <c r="JF1473" s="3"/>
      <c r="JG1473" s="3"/>
      <c r="JH1473" s="3"/>
      <c r="JI1473" s="3"/>
      <c r="JJ1473" s="3"/>
      <c r="JK1473" s="3"/>
      <c r="JL1473" s="3"/>
      <c r="JM1473" s="3"/>
      <c r="JN1473" s="3"/>
      <c r="JO1473" s="3"/>
      <c r="JP1473" s="3"/>
      <c r="JQ1473" s="3"/>
      <c r="JR1473" s="3"/>
      <c r="JS1473" s="3"/>
      <c r="JT1473" s="3"/>
      <c r="JU1473" s="3"/>
      <c r="JV1473" s="3"/>
      <c r="JW1473" s="3"/>
      <c r="JX1473" s="3"/>
    </row>
    <row r="1474" spans="1:284" s="5" customFormat="1">
      <c r="A1474" s="97" t="s">
        <v>2277</v>
      </c>
      <c r="B1474" s="97" t="s">
        <v>136</v>
      </c>
      <c r="C1474" s="95">
        <v>2368</v>
      </c>
      <c r="D1474" s="95" t="s">
        <v>79</v>
      </c>
      <c r="E1474" s="129">
        <f>VLOOKUP($C1474,'2021-22 School Level AAFTE'!$C:$Z,11,FALSE)</f>
        <v>0.59056666666666657</v>
      </c>
      <c r="F1474" s="129" t="str">
        <f>VLOOKUP($C1474,'2021-22 School Level AAFTE'!$C:$Z,8,FALSE)</f>
        <v>Yes</v>
      </c>
      <c r="G1474" s="129" t="str">
        <f>VLOOKUP($C1474,'2021-22 School Level AAFTE'!$C:$Z,12,FALSE)</f>
        <v>No</v>
      </c>
      <c r="H1474" s="127">
        <f>VLOOKUP($C1474,'2021-22 School Level AAFTE'!$C:$I,7,FALSE)</f>
        <v>260.81</v>
      </c>
      <c r="I1474" s="112">
        <f>IFERROR(IF(OR(G1474="yes",F1474= "yes"),VLOOKUP(C1474,Summary!$B:$J,6,0),0),0)</f>
        <v>0</v>
      </c>
      <c r="J1474" s="111">
        <f t="shared" si="276"/>
        <v>260.81</v>
      </c>
      <c r="K1474" s="91">
        <f>VLOOKUP($A1474,'2022-23 Salary &amp; Benefits'!$A:$I,3,FALSE)</f>
        <v>1.03</v>
      </c>
      <c r="L1474" s="91">
        <f>VLOOKUP($A1474,'2022-23 Salary &amp; Benefits'!$A:$I,4,FALSE)</f>
        <v>1.03</v>
      </c>
      <c r="M1474" s="39">
        <f t="shared" si="283"/>
        <v>260.81</v>
      </c>
      <c r="N1474" s="24">
        <v>15</v>
      </c>
      <c r="O1474" s="26">
        <f t="shared" si="274"/>
        <v>17.387333333333334</v>
      </c>
      <c r="P1474" s="24">
        <v>1.1000000000000001</v>
      </c>
      <c r="Q1474" s="24">
        <v>36</v>
      </c>
      <c r="R1474" s="27">
        <f t="shared" si="275"/>
        <v>688.53840000000014</v>
      </c>
      <c r="S1474" s="102">
        <f t="shared" si="277"/>
        <v>0.76500000000000001</v>
      </c>
      <c r="T1474" s="21">
        <f>VLOOKUP($A1474,'2022-23 Salary &amp; Benefits'!$A:$I,5,FALSE)</f>
        <v>68937</v>
      </c>
      <c r="U1474" s="21">
        <f>VLOOKUP($A1474,'2022-23 Salary &amp; Benefits'!$A:$I,6,FALSE)</f>
        <v>72728</v>
      </c>
      <c r="V1474" s="22">
        <f t="shared" si="278"/>
        <v>54318.91</v>
      </c>
      <c r="W1474" s="22">
        <f t="shared" si="279"/>
        <v>2987.1199999999953</v>
      </c>
      <c r="X1474" s="22">
        <f>'2022-23 Salary &amp; Benefits'!$G$6</f>
        <v>12558.24</v>
      </c>
      <c r="Y1474" s="23">
        <f>'2022-23 Salary &amp; Benefits'!$H$6</f>
        <v>0.2298</v>
      </c>
      <c r="Z1474" s="23">
        <f>'2022-23 Salary &amp; Benefits'!$I$6</f>
        <v>0.22339999999999999</v>
      </c>
      <c r="AA1474" s="22">
        <f t="shared" si="280"/>
        <v>22756.86</v>
      </c>
      <c r="AB1474" s="22">
        <f t="shared" si="281"/>
        <v>955.1</v>
      </c>
      <c r="AC1474" s="22">
        <f t="shared" si="282"/>
        <v>213.37</v>
      </c>
      <c r="AD1474" s="22">
        <f t="shared" si="284"/>
        <v>1168.47</v>
      </c>
      <c r="AE1474" s="22">
        <f t="shared" si="285"/>
        <v>81231.360000000001</v>
      </c>
      <c r="AF1474" s="19" t="str">
        <f>VLOOKUP(C1474,'2021-22 School Level AAFTE'!C:N,12,FALSE)</f>
        <v>No</v>
      </c>
    </row>
    <row r="1475" spans="1:284" s="5" customFormat="1">
      <c r="A1475" s="97" t="s">
        <v>2277</v>
      </c>
      <c r="B1475" s="97" t="s">
        <v>136</v>
      </c>
      <c r="C1475" s="95">
        <v>2908</v>
      </c>
      <c r="D1475" s="95" t="s">
        <v>138</v>
      </c>
      <c r="E1475" s="129">
        <f>VLOOKUP($C1475,'2021-22 School Level AAFTE'!$C:$Z,11,FALSE)</f>
        <v>0.4371666666666667</v>
      </c>
      <c r="F1475" s="129" t="str">
        <f>VLOOKUP($C1475,'2021-22 School Level AAFTE'!$C:$Z,8,FALSE)</f>
        <v>No</v>
      </c>
      <c r="G1475" s="129" t="str">
        <f>VLOOKUP($C1475,'2021-22 School Level AAFTE'!$C:$Z,12,FALSE)</f>
        <v>No</v>
      </c>
      <c r="H1475" s="127">
        <f>VLOOKUP($C1475,'2021-22 School Level AAFTE'!$C:$I,7,FALSE)</f>
        <v>927.4</v>
      </c>
      <c r="I1475" s="112">
        <f>IFERROR(IF(OR(G1475="yes",F1475= "yes"),VLOOKUP(C1475,Summary!$B:$J,6,0),0),0)</f>
        <v>0</v>
      </c>
      <c r="J1475" s="111">
        <f t="shared" si="276"/>
        <v>0</v>
      </c>
      <c r="K1475" s="91">
        <f>VLOOKUP($A1475,'2022-23 Salary &amp; Benefits'!$A:$I,3,FALSE)</f>
        <v>1.03</v>
      </c>
      <c r="L1475" s="91">
        <f>VLOOKUP($A1475,'2022-23 Salary &amp; Benefits'!$A:$I,4,FALSE)</f>
        <v>1.03</v>
      </c>
      <c r="M1475" s="101">
        <f t="shared" si="283"/>
        <v>0</v>
      </c>
      <c r="N1475" s="24">
        <v>15</v>
      </c>
      <c r="O1475" s="26">
        <f t="shared" si="274"/>
        <v>0</v>
      </c>
      <c r="P1475" s="24">
        <v>1.1000000000000001</v>
      </c>
      <c r="Q1475" s="24">
        <v>36</v>
      </c>
      <c r="R1475" s="27">
        <f t="shared" si="275"/>
        <v>0</v>
      </c>
      <c r="S1475" s="102">
        <f t="shared" si="277"/>
        <v>0</v>
      </c>
      <c r="T1475" s="21">
        <f>VLOOKUP($A1475,'2022-23 Salary &amp; Benefits'!$A:$I,5,FALSE)</f>
        <v>68937</v>
      </c>
      <c r="U1475" s="21">
        <f>VLOOKUP($A1475,'2022-23 Salary &amp; Benefits'!$A:$I,6,FALSE)</f>
        <v>72728</v>
      </c>
      <c r="V1475" s="22">
        <f t="shared" si="278"/>
        <v>0</v>
      </c>
      <c r="W1475" s="22">
        <f t="shared" si="279"/>
        <v>0</v>
      </c>
      <c r="X1475" s="22">
        <f>'2022-23 Salary &amp; Benefits'!$G$6</f>
        <v>12558.24</v>
      </c>
      <c r="Y1475" s="23">
        <f>'2022-23 Salary &amp; Benefits'!$H$6</f>
        <v>0.2298</v>
      </c>
      <c r="Z1475" s="23">
        <f>'2022-23 Salary &amp; Benefits'!$I$6</f>
        <v>0.22339999999999999</v>
      </c>
      <c r="AA1475" s="22">
        <f t="shared" si="280"/>
        <v>0</v>
      </c>
      <c r="AB1475" s="22">
        <f t="shared" si="281"/>
        <v>0</v>
      </c>
      <c r="AC1475" s="22">
        <f t="shared" si="282"/>
        <v>0</v>
      </c>
      <c r="AD1475" s="22">
        <f t="shared" si="284"/>
        <v>0</v>
      </c>
      <c r="AE1475" s="22">
        <f t="shared" si="285"/>
        <v>0</v>
      </c>
      <c r="AF1475" s="19" t="str">
        <f>VLOOKUP(C1475,'2021-22 School Level AAFTE'!C:N,12,FALSE)</f>
        <v>No</v>
      </c>
    </row>
    <row r="1476" spans="1:284" s="5" customFormat="1">
      <c r="A1476" s="97" t="s">
        <v>2277</v>
      </c>
      <c r="B1476" s="97" t="s">
        <v>136</v>
      </c>
      <c r="C1476" s="95">
        <v>2909</v>
      </c>
      <c r="D1476" s="95" t="s">
        <v>139</v>
      </c>
      <c r="E1476" s="129">
        <f>VLOOKUP($C1476,'2021-22 School Level AAFTE'!$C:$Z,11,FALSE)</f>
        <v>0.55663333333333342</v>
      </c>
      <c r="F1476" s="129" t="str">
        <f>VLOOKUP($C1476,'2021-22 School Level AAFTE'!$C:$Z,8,FALSE)</f>
        <v>Yes</v>
      </c>
      <c r="G1476" s="129" t="str">
        <f>VLOOKUP($C1476,'2021-22 School Level AAFTE'!$C:$Z,12,FALSE)</f>
        <v>No</v>
      </c>
      <c r="H1476" s="127">
        <f>VLOOKUP($C1476,'2021-22 School Level AAFTE'!$C:$I,7,FALSE)</f>
        <v>311.62</v>
      </c>
      <c r="I1476" s="112">
        <f>IFERROR(IF(OR(G1476="yes",F1476= "yes"),VLOOKUP(C1476,Summary!$B:$J,6,0),0),0)</f>
        <v>0</v>
      </c>
      <c r="J1476" s="111">
        <f t="shared" si="276"/>
        <v>311.62</v>
      </c>
      <c r="K1476" s="91">
        <f>VLOOKUP($A1476,'2022-23 Salary &amp; Benefits'!$A:$I,3,FALSE)</f>
        <v>1.03</v>
      </c>
      <c r="L1476" s="91">
        <f>VLOOKUP($A1476,'2022-23 Salary &amp; Benefits'!$A:$I,4,FALSE)</f>
        <v>1.03</v>
      </c>
      <c r="M1476" s="101">
        <f t="shared" si="283"/>
        <v>311.62</v>
      </c>
      <c r="N1476" s="24">
        <v>15</v>
      </c>
      <c r="O1476" s="26">
        <f t="shared" si="274"/>
        <v>20.774666666666668</v>
      </c>
      <c r="P1476" s="24">
        <v>1.1000000000000001</v>
      </c>
      <c r="Q1476" s="24">
        <v>36</v>
      </c>
      <c r="R1476" s="27">
        <f t="shared" si="275"/>
        <v>822.67680000000018</v>
      </c>
      <c r="S1476" s="102">
        <f t="shared" si="277"/>
        <v>0.91400000000000003</v>
      </c>
      <c r="T1476" s="21">
        <f>VLOOKUP($A1476,'2022-23 Salary &amp; Benefits'!$A:$I,5,FALSE)</f>
        <v>68937</v>
      </c>
      <c r="U1476" s="21">
        <f>VLOOKUP($A1476,'2022-23 Salary &amp; Benefits'!$A:$I,6,FALSE)</f>
        <v>72728</v>
      </c>
      <c r="V1476" s="22">
        <f t="shared" si="278"/>
        <v>64898.67</v>
      </c>
      <c r="W1476" s="22">
        <f t="shared" si="279"/>
        <v>3568.9199999999983</v>
      </c>
      <c r="X1476" s="22">
        <f>'2022-23 Salary &amp; Benefits'!$G$6</f>
        <v>12558.24</v>
      </c>
      <c r="Y1476" s="23">
        <f>'2022-23 Salary &amp; Benefits'!$H$6</f>
        <v>0.2298</v>
      </c>
      <c r="Z1476" s="23">
        <f>'2022-23 Salary &amp; Benefits'!$I$6</f>
        <v>0.22339999999999999</v>
      </c>
      <c r="AA1476" s="22">
        <f t="shared" si="280"/>
        <v>27189.24</v>
      </c>
      <c r="AB1476" s="22">
        <f t="shared" si="281"/>
        <v>1141.1300000000001</v>
      </c>
      <c r="AC1476" s="22">
        <f t="shared" si="282"/>
        <v>254.93</v>
      </c>
      <c r="AD1476" s="22">
        <f t="shared" si="284"/>
        <v>1396.0600000000002</v>
      </c>
      <c r="AE1476" s="22">
        <f t="shared" si="285"/>
        <v>97052.89</v>
      </c>
      <c r="AF1476" s="19" t="str">
        <f>VLOOKUP(C1476,'2021-22 School Level AAFTE'!C:N,12,FALSE)</f>
        <v>No</v>
      </c>
    </row>
    <row r="1477" spans="1:284" s="5" customFormat="1">
      <c r="A1477" s="97" t="s">
        <v>2277</v>
      </c>
      <c r="B1477" s="97" t="s">
        <v>136</v>
      </c>
      <c r="C1477" s="95">
        <v>3079</v>
      </c>
      <c r="D1477" s="95" t="s">
        <v>140</v>
      </c>
      <c r="E1477" s="129">
        <f>VLOOKUP($C1477,'2021-22 School Level AAFTE'!$C:$Z,11,FALSE)</f>
        <v>0.50780000000000003</v>
      </c>
      <c r="F1477" s="129" t="str">
        <f>VLOOKUP($C1477,'2021-22 School Level AAFTE'!$C:$Z,8,FALSE)</f>
        <v>Yes</v>
      </c>
      <c r="G1477" s="129" t="str">
        <f>VLOOKUP($C1477,'2021-22 School Level AAFTE'!$C:$Z,12,FALSE)</f>
        <v>No</v>
      </c>
      <c r="H1477" s="127">
        <f>VLOOKUP($C1477,'2021-22 School Level AAFTE'!$C:$I,7,FALSE)</f>
        <v>363.29</v>
      </c>
      <c r="I1477" s="112">
        <f>IFERROR(IF(OR(G1477="yes",F1477= "yes"),VLOOKUP(C1477,Summary!$B:$J,6,0),0),0)</f>
        <v>0</v>
      </c>
      <c r="J1477" s="111">
        <f t="shared" si="276"/>
        <v>363.29</v>
      </c>
      <c r="K1477" s="91">
        <f>VLOOKUP($A1477,'2022-23 Salary &amp; Benefits'!$A:$I,3,FALSE)</f>
        <v>1.03</v>
      </c>
      <c r="L1477" s="91">
        <f>VLOOKUP($A1477,'2022-23 Salary &amp; Benefits'!$A:$I,4,FALSE)</f>
        <v>1.03</v>
      </c>
      <c r="M1477" s="101">
        <f t="shared" si="283"/>
        <v>363.29</v>
      </c>
      <c r="N1477" s="24">
        <v>15</v>
      </c>
      <c r="O1477" s="26">
        <f t="shared" si="274"/>
        <v>24.219333333333335</v>
      </c>
      <c r="P1477" s="24">
        <v>1.1000000000000001</v>
      </c>
      <c r="Q1477" s="24">
        <v>36</v>
      </c>
      <c r="R1477" s="27">
        <f t="shared" si="275"/>
        <v>959.08560000000011</v>
      </c>
      <c r="S1477" s="102">
        <f t="shared" si="277"/>
        <v>1.0660000000000001</v>
      </c>
      <c r="T1477" s="21">
        <f>VLOOKUP($A1477,'2022-23 Salary &amp; Benefits'!$A:$I,5,FALSE)</f>
        <v>68937</v>
      </c>
      <c r="U1477" s="21">
        <f>VLOOKUP($A1477,'2022-23 Salary &amp; Benefits'!$A:$I,6,FALSE)</f>
        <v>72728</v>
      </c>
      <c r="V1477" s="22">
        <f t="shared" si="278"/>
        <v>75691.45</v>
      </c>
      <c r="W1477" s="22">
        <f t="shared" si="279"/>
        <v>4162.4400000000023</v>
      </c>
      <c r="X1477" s="22">
        <f>'2022-23 Salary &amp; Benefits'!$G$6</f>
        <v>12558.24</v>
      </c>
      <c r="Y1477" s="23">
        <f>'2022-23 Salary &amp; Benefits'!$H$6</f>
        <v>0.2298</v>
      </c>
      <c r="Z1477" s="23">
        <f>'2022-23 Salary &amp; Benefits'!$I$6</f>
        <v>0.22339999999999999</v>
      </c>
      <c r="AA1477" s="22">
        <f t="shared" si="280"/>
        <v>31710.87</v>
      </c>
      <c r="AB1477" s="22">
        <f t="shared" si="281"/>
        <v>1330.9</v>
      </c>
      <c r="AC1477" s="22">
        <f t="shared" si="282"/>
        <v>297.32</v>
      </c>
      <c r="AD1477" s="22">
        <f t="shared" si="284"/>
        <v>1628.22</v>
      </c>
      <c r="AE1477" s="22">
        <f t="shared" si="285"/>
        <v>113192.98</v>
      </c>
      <c r="AF1477" s="19" t="str">
        <f>VLOOKUP(C1477,'2021-22 School Level AAFTE'!C:N,12,FALSE)</f>
        <v>No</v>
      </c>
    </row>
    <row r="1478" spans="1:284" s="5" customFormat="1">
      <c r="A1478" s="97" t="s">
        <v>2277</v>
      </c>
      <c r="B1478" s="97" t="s">
        <v>136</v>
      </c>
      <c r="C1478" s="95">
        <v>3318</v>
      </c>
      <c r="D1478" s="95" t="s">
        <v>141</v>
      </c>
      <c r="E1478" s="129">
        <f>VLOOKUP($C1478,'2021-22 School Level AAFTE'!$C:$Z,11,FALSE)</f>
        <v>0.53013333333333335</v>
      </c>
      <c r="F1478" s="129" t="str">
        <f>VLOOKUP($C1478,'2021-22 School Level AAFTE'!$C:$Z,8,FALSE)</f>
        <v>Yes</v>
      </c>
      <c r="G1478" s="129" t="str">
        <f>VLOOKUP($C1478,'2021-22 School Level AAFTE'!$C:$Z,12,FALSE)</f>
        <v>No</v>
      </c>
      <c r="H1478" s="127">
        <f>VLOOKUP($C1478,'2021-22 School Level AAFTE'!$C:$I,7,FALSE)</f>
        <v>481.07</v>
      </c>
      <c r="I1478" s="112">
        <f>IFERROR(IF(OR(G1478="yes",F1478= "yes"),VLOOKUP(C1478,Summary!$B:$J,6,0),0),0)</f>
        <v>0</v>
      </c>
      <c r="J1478" s="111">
        <f t="shared" si="276"/>
        <v>481.07</v>
      </c>
      <c r="K1478" s="91">
        <f>VLOOKUP($A1478,'2022-23 Salary &amp; Benefits'!$A:$I,3,FALSE)</f>
        <v>1.03</v>
      </c>
      <c r="L1478" s="91">
        <f>VLOOKUP($A1478,'2022-23 Salary &amp; Benefits'!$A:$I,4,FALSE)</f>
        <v>1.03</v>
      </c>
      <c r="M1478" s="101">
        <f t="shared" si="283"/>
        <v>481.07</v>
      </c>
      <c r="N1478" s="24">
        <v>15</v>
      </c>
      <c r="O1478" s="26">
        <f t="shared" si="274"/>
        <v>32.071333333333335</v>
      </c>
      <c r="P1478" s="24">
        <v>1.1000000000000001</v>
      </c>
      <c r="Q1478" s="24">
        <v>36</v>
      </c>
      <c r="R1478" s="27">
        <f t="shared" si="275"/>
        <v>1270.0248000000001</v>
      </c>
      <c r="S1478" s="102">
        <f t="shared" si="277"/>
        <v>1.411</v>
      </c>
      <c r="T1478" s="21">
        <f>VLOOKUP($A1478,'2022-23 Salary &amp; Benefits'!$A:$I,5,FALSE)</f>
        <v>68937</v>
      </c>
      <c r="U1478" s="21">
        <f>VLOOKUP($A1478,'2022-23 Salary &amp; Benefits'!$A:$I,6,FALSE)</f>
        <v>72728</v>
      </c>
      <c r="V1478" s="22">
        <f t="shared" si="278"/>
        <v>100188.21</v>
      </c>
      <c r="W1478" s="22">
        <f t="shared" si="279"/>
        <v>5509.5699999999924</v>
      </c>
      <c r="X1478" s="22">
        <f>'2022-23 Salary &amp; Benefits'!$G$6</f>
        <v>12558.24</v>
      </c>
      <c r="Y1478" s="23">
        <f>'2022-23 Salary &amp; Benefits'!$H$6</f>
        <v>0.2298</v>
      </c>
      <c r="Z1478" s="23">
        <f>'2022-23 Salary &amp; Benefits'!$I$6</f>
        <v>0.22339999999999999</v>
      </c>
      <c r="AA1478" s="22">
        <f t="shared" si="280"/>
        <v>41973.77</v>
      </c>
      <c r="AB1478" s="22">
        <f t="shared" si="281"/>
        <v>1761.63</v>
      </c>
      <c r="AC1478" s="22">
        <f t="shared" si="282"/>
        <v>393.55</v>
      </c>
      <c r="AD1478" s="22">
        <f t="shared" si="284"/>
        <v>2155.1800000000003</v>
      </c>
      <c r="AE1478" s="22">
        <f t="shared" si="285"/>
        <v>149826.72999999998</v>
      </c>
      <c r="AF1478" s="19" t="str">
        <f>VLOOKUP(C1478,'2021-22 School Level AAFTE'!C:N,12,FALSE)</f>
        <v>No</v>
      </c>
    </row>
    <row r="1479" spans="1:284" s="5" customFormat="1">
      <c r="A1479" s="97" t="s">
        <v>2277</v>
      </c>
      <c r="B1479" s="97" t="s">
        <v>136</v>
      </c>
      <c r="C1479" s="95">
        <v>4003</v>
      </c>
      <c r="D1479" s="95" t="s">
        <v>142</v>
      </c>
      <c r="E1479" s="129">
        <f>VLOOKUP($C1479,'2021-22 School Level AAFTE'!$C:$Z,11,FALSE)</f>
        <v>0.67106666666666659</v>
      </c>
      <c r="F1479" s="129" t="str">
        <f>VLOOKUP($C1479,'2021-22 School Level AAFTE'!$C:$Z,8,FALSE)</f>
        <v>Yes</v>
      </c>
      <c r="G1479" s="129" t="str">
        <f>VLOOKUP($C1479,'2021-22 School Level AAFTE'!$C:$Z,12,FALSE)</f>
        <v>No</v>
      </c>
      <c r="H1479" s="127">
        <f>VLOOKUP($C1479,'2021-22 School Level AAFTE'!$C:$I,7,FALSE)</f>
        <v>38.229999999999997</v>
      </c>
      <c r="I1479" s="112">
        <f>IFERROR(IF(OR(G1479="yes",F1479= "yes"),VLOOKUP(C1479,Summary!$B:$J,6,0),0),0)</f>
        <v>0</v>
      </c>
      <c r="J1479" s="111">
        <f t="shared" si="276"/>
        <v>38.229999999999997</v>
      </c>
      <c r="K1479" s="91">
        <f>VLOOKUP($A1479,'2022-23 Salary &amp; Benefits'!$A:$I,3,FALSE)</f>
        <v>1.03</v>
      </c>
      <c r="L1479" s="91">
        <f>VLOOKUP($A1479,'2022-23 Salary &amp; Benefits'!$A:$I,4,FALSE)</f>
        <v>1.03</v>
      </c>
      <c r="M1479" s="101">
        <f t="shared" si="283"/>
        <v>38.229999999999997</v>
      </c>
      <c r="N1479" s="24">
        <v>15</v>
      </c>
      <c r="O1479" s="26">
        <f t="shared" si="274"/>
        <v>2.5486666666666666</v>
      </c>
      <c r="P1479" s="24">
        <v>1.1000000000000001</v>
      </c>
      <c r="Q1479" s="24">
        <v>36</v>
      </c>
      <c r="R1479" s="27">
        <f t="shared" si="275"/>
        <v>100.92720000000001</v>
      </c>
      <c r="S1479" s="102">
        <f t="shared" si="277"/>
        <v>0.112</v>
      </c>
      <c r="T1479" s="21">
        <f>VLOOKUP($A1479,'2022-23 Salary &amp; Benefits'!$A:$I,5,FALSE)</f>
        <v>68937</v>
      </c>
      <c r="U1479" s="21">
        <f>VLOOKUP($A1479,'2022-23 Salary &amp; Benefits'!$A:$I,6,FALSE)</f>
        <v>72728</v>
      </c>
      <c r="V1479" s="22">
        <f t="shared" si="278"/>
        <v>7952.57</v>
      </c>
      <c r="W1479" s="22">
        <f t="shared" si="279"/>
        <v>437.32999999999993</v>
      </c>
      <c r="X1479" s="22">
        <f>'2022-23 Salary &amp; Benefits'!$G$6</f>
        <v>12558.24</v>
      </c>
      <c r="Y1479" s="23">
        <f>'2022-23 Salary &amp; Benefits'!$H$6</f>
        <v>0.2298</v>
      </c>
      <c r="Z1479" s="23">
        <f>'2022-23 Salary &amp; Benefits'!$I$6</f>
        <v>0.22339999999999999</v>
      </c>
      <c r="AA1479" s="22">
        <f t="shared" si="280"/>
        <v>3331.72</v>
      </c>
      <c r="AB1479" s="22">
        <f t="shared" si="281"/>
        <v>139.83000000000001</v>
      </c>
      <c r="AC1479" s="22">
        <f t="shared" si="282"/>
        <v>31.24</v>
      </c>
      <c r="AD1479" s="22">
        <f t="shared" si="284"/>
        <v>171.07000000000002</v>
      </c>
      <c r="AE1479" s="22">
        <f t="shared" si="285"/>
        <v>11892.689999999999</v>
      </c>
      <c r="AF1479" s="19" t="str">
        <f>VLOOKUP(C1479,'2021-22 School Level AAFTE'!C:N,12,FALSE)</f>
        <v>No</v>
      </c>
    </row>
    <row r="1480" spans="1:284" s="5" customFormat="1">
      <c r="A1480" s="97" t="s">
        <v>2277</v>
      </c>
      <c r="B1480" s="97" t="s">
        <v>136</v>
      </c>
      <c r="C1480" s="95">
        <v>4494</v>
      </c>
      <c r="D1480" s="95" t="s">
        <v>143</v>
      </c>
      <c r="E1480" s="129">
        <f>VLOOKUP($C1480,'2021-22 School Level AAFTE'!$C:$Z,11,FALSE)</f>
        <v>0.6163333333333334</v>
      </c>
      <c r="F1480" s="129" t="str">
        <f>VLOOKUP($C1480,'2021-22 School Level AAFTE'!$C:$Z,8,FALSE)</f>
        <v>Yes</v>
      </c>
      <c r="G1480" s="129" t="str">
        <f>VLOOKUP($C1480,'2021-22 School Level AAFTE'!$C:$Z,12,FALSE)</f>
        <v>No</v>
      </c>
      <c r="H1480" s="127">
        <f>VLOOKUP($C1480,'2021-22 School Level AAFTE'!$C:$I,7,FALSE)</f>
        <v>317.95</v>
      </c>
      <c r="I1480" s="112">
        <f>IFERROR(IF(OR(G1480="yes",F1480= "yes"),VLOOKUP(C1480,Summary!$B:$J,6,0),0),0)</f>
        <v>0</v>
      </c>
      <c r="J1480" s="111">
        <f t="shared" si="276"/>
        <v>317.95</v>
      </c>
      <c r="K1480" s="91">
        <f>VLOOKUP($A1480,'2022-23 Salary &amp; Benefits'!$A:$I,3,FALSE)</f>
        <v>1.03</v>
      </c>
      <c r="L1480" s="91">
        <f>VLOOKUP($A1480,'2022-23 Salary &amp; Benefits'!$A:$I,4,FALSE)</f>
        <v>1.03</v>
      </c>
      <c r="M1480" s="39">
        <f t="shared" si="283"/>
        <v>317.95</v>
      </c>
      <c r="N1480" s="24">
        <v>15</v>
      </c>
      <c r="O1480" s="26">
        <f t="shared" si="274"/>
        <v>21.196666666666665</v>
      </c>
      <c r="P1480" s="24">
        <v>1.1000000000000001</v>
      </c>
      <c r="Q1480" s="24">
        <v>36</v>
      </c>
      <c r="R1480" s="27">
        <f t="shared" si="275"/>
        <v>839.38799999999992</v>
      </c>
      <c r="S1480" s="102">
        <f t="shared" si="277"/>
        <v>0.93300000000000005</v>
      </c>
      <c r="T1480" s="21">
        <f>VLOOKUP($A1480,'2022-23 Salary &amp; Benefits'!$A:$I,5,FALSE)</f>
        <v>68937</v>
      </c>
      <c r="U1480" s="21">
        <f>VLOOKUP($A1480,'2022-23 Salary &amp; Benefits'!$A:$I,6,FALSE)</f>
        <v>72728</v>
      </c>
      <c r="V1480" s="22">
        <f t="shared" si="278"/>
        <v>66247.77</v>
      </c>
      <c r="W1480" s="22">
        <f t="shared" si="279"/>
        <v>3643.1100000000006</v>
      </c>
      <c r="X1480" s="22">
        <f>'2022-23 Salary &amp; Benefits'!$G$6</f>
        <v>12558.24</v>
      </c>
      <c r="Y1480" s="23">
        <f>'2022-23 Salary &amp; Benefits'!$H$6</f>
        <v>0.2298</v>
      </c>
      <c r="Z1480" s="23">
        <f>'2022-23 Salary &amp; Benefits'!$I$6</f>
        <v>0.22339999999999999</v>
      </c>
      <c r="AA1480" s="22">
        <f t="shared" si="280"/>
        <v>27754.45</v>
      </c>
      <c r="AB1480" s="22">
        <f t="shared" si="281"/>
        <v>1164.8499999999999</v>
      </c>
      <c r="AC1480" s="22">
        <f t="shared" si="282"/>
        <v>260.23</v>
      </c>
      <c r="AD1480" s="22">
        <f t="shared" si="284"/>
        <v>1425.08</v>
      </c>
      <c r="AE1480" s="22">
        <f t="shared" si="285"/>
        <v>99070.41</v>
      </c>
      <c r="AF1480" s="19" t="str">
        <f>VLOOKUP(C1480,'2021-22 School Level AAFTE'!C:N,12,FALSE)</f>
        <v>No</v>
      </c>
    </row>
    <row r="1481" spans="1:284" s="5" customFormat="1">
      <c r="A1481" s="97" t="s">
        <v>2277</v>
      </c>
      <c r="B1481" s="97" t="s">
        <v>136</v>
      </c>
      <c r="C1481" s="95">
        <v>5115</v>
      </c>
      <c r="D1481" s="95" t="s">
        <v>144</v>
      </c>
      <c r="E1481" s="129">
        <f>VLOOKUP($C1481,'2021-22 School Level AAFTE'!$C:$Z,11,FALSE)</f>
        <v>0.53553333333333331</v>
      </c>
      <c r="F1481" s="129" t="str">
        <f>VLOOKUP($C1481,'2021-22 School Level AAFTE'!$C:$Z,8,FALSE)</f>
        <v>Yes</v>
      </c>
      <c r="G1481" s="129" t="str">
        <f>VLOOKUP($C1481,'2021-22 School Level AAFTE'!$C:$Z,12,FALSE)</f>
        <v>No</v>
      </c>
      <c r="H1481" s="127">
        <f>VLOOKUP($C1481,'2021-22 School Level AAFTE'!$C:$I,7,FALSE)</f>
        <v>426.11</v>
      </c>
      <c r="I1481" s="112">
        <f>IFERROR(IF(OR(G1481="yes",F1481= "yes"),VLOOKUP(C1481,Summary!$B:$J,6,0),0),0)</f>
        <v>0</v>
      </c>
      <c r="J1481" s="111">
        <f t="shared" si="276"/>
        <v>426.11</v>
      </c>
      <c r="K1481" s="91">
        <f>VLOOKUP($A1481,'2022-23 Salary &amp; Benefits'!$A:$I,3,FALSE)</f>
        <v>1.03</v>
      </c>
      <c r="L1481" s="91">
        <f>VLOOKUP($A1481,'2022-23 Salary &amp; Benefits'!$A:$I,4,FALSE)</f>
        <v>1.03</v>
      </c>
      <c r="M1481" s="39">
        <f t="shared" si="283"/>
        <v>426.11</v>
      </c>
      <c r="N1481" s="24">
        <v>15</v>
      </c>
      <c r="O1481" s="26">
        <f t="shared" si="274"/>
        <v>28.407333333333334</v>
      </c>
      <c r="P1481" s="24">
        <v>1.1000000000000001</v>
      </c>
      <c r="Q1481" s="24">
        <v>36</v>
      </c>
      <c r="R1481" s="27">
        <f t="shared" si="275"/>
        <v>1124.9304000000002</v>
      </c>
      <c r="S1481" s="102">
        <f t="shared" si="277"/>
        <v>1.25</v>
      </c>
      <c r="T1481" s="21">
        <f>VLOOKUP($A1481,'2022-23 Salary &amp; Benefits'!$A:$I,5,FALSE)</f>
        <v>68937</v>
      </c>
      <c r="U1481" s="21">
        <f>VLOOKUP($A1481,'2022-23 Salary &amp; Benefits'!$A:$I,6,FALSE)</f>
        <v>72728</v>
      </c>
      <c r="V1481" s="22">
        <f t="shared" si="278"/>
        <v>88756.39</v>
      </c>
      <c r="W1481" s="22">
        <f t="shared" si="279"/>
        <v>4880.9100000000035</v>
      </c>
      <c r="X1481" s="22">
        <f>'2022-23 Salary &amp; Benefits'!$G$6</f>
        <v>12558.24</v>
      </c>
      <c r="Y1481" s="23">
        <f>'2022-23 Salary &amp; Benefits'!$H$6</f>
        <v>0.2298</v>
      </c>
      <c r="Z1481" s="23">
        <f>'2022-23 Salary &amp; Benefits'!$I$6</f>
        <v>0.22339999999999999</v>
      </c>
      <c r="AA1481" s="22">
        <f t="shared" si="280"/>
        <v>37184.410000000003</v>
      </c>
      <c r="AB1481" s="22">
        <f t="shared" si="281"/>
        <v>1560.62</v>
      </c>
      <c r="AC1481" s="22">
        <f t="shared" si="282"/>
        <v>348.64</v>
      </c>
      <c r="AD1481" s="22">
        <f t="shared" si="284"/>
        <v>1909.2599999999998</v>
      </c>
      <c r="AE1481" s="22">
        <f t="shared" si="285"/>
        <v>132730.97</v>
      </c>
      <c r="AF1481" s="19" t="str">
        <f>VLOOKUP(C1481,'2021-22 School Level AAFTE'!C:N,12,FALSE)</f>
        <v>No</v>
      </c>
    </row>
    <row r="1482" spans="1:284" s="5" customFormat="1">
      <c r="A1482" s="97" t="s">
        <v>2277</v>
      </c>
      <c r="B1482" s="97" t="s">
        <v>136</v>
      </c>
      <c r="C1482" s="95">
        <v>5611</v>
      </c>
      <c r="D1482" s="95" t="s">
        <v>2907</v>
      </c>
      <c r="E1482" s="129">
        <f>VLOOKUP($C1482,'2021-22 School Level AAFTE'!$C:$Z,11,FALSE)</f>
        <v>0.49780000000000002</v>
      </c>
      <c r="F1482" s="129" t="str">
        <f>VLOOKUP($C1482,'2021-22 School Level AAFTE'!$C:$Z,8,FALSE)</f>
        <v>No</v>
      </c>
      <c r="G1482" s="129" t="str">
        <f>VLOOKUP($C1482,'2021-22 School Level AAFTE'!$C:$Z,12,FALSE)</f>
        <v>No</v>
      </c>
      <c r="H1482" s="127">
        <f>VLOOKUP($C1482,'2021-22 School Level AAFTE'!$C:$I,7,FALSE)</f>
        <v>363.71</v>
      </c>
      <c r="I1482" s="112">
        <f>IFERROR(IF(OR(G1482="yes",F1482= "yes"),VLOOKUP(C1482,Summary!$B:$J,6,0),0),0)</f>
        <v>0</v>
      </c>
      <c r="J1482" s="111">
        <f t="shared" si="276"/>
        <v>0</v>
      </c>
      <c r="K1482" s="91">
        <f>VLOOKUP($A1482,'2022-23 Salary &amp; Benefits'!$A:$I,3,FALSE)</f>
        <v>1.03</v>
      </c>
      <c r="L1482" s="91">
        <f>VLOOKUP($A1482,'2022-23 Salary &amp; Benefits'!$A:$I,4,FALSE)</f>
        <v>1.03</v>
      </c>
      <c r="M1482" s="39">
        <f t="shared" si="283"/>
        <v>0</v>
      </c>
      <c r="N1482" s="24">
        <v>15</v>
      </c>
      <c r="O1482" s="26">
        <f t="shared" ref="O1482:O1545" si="289">IF(M1482="no",0,M1482/N1482)</f>
        <v>0</v>
      </c>
      <c r="P1482" s="24">
        <v>1.1000000000000001</v>
      </c>
      <c r="Q1482" s="24">
        <v>36</v>
      </c>
      <c r="R1482" s="27">
        <f t="shared" ref="R1482:R1545" si="290">IF(M1482="no",0,O1482*P1482*Q1482)</f>
        <v>0</v>
      </c>
      <c r="S1482" s="102">
        <f t="shared" si="277"/>
        <v>0</v>
      </c>
      <c r="T1482" s="21">
        <f>VLOOKUP($A1482,'2022-23 Salary &amp; Benefits'!$A:$I,5,FALSE)</f>
        <v>68937</v>
      </c>
      <c r="U1482" s="21">
        <f>VLOOKUP($A1482,'2022-23 Salary &amp; Benefits'!$A:$I,6,FALSE)</f>
        <v>72728</v>
      </c>
      <c r="V1482" s="22">
        <f t="shared" si="278"/>
        <v>0</v>
      </c>
      <c r="W1482" s="22">
        <f t="shared" si="279"/>
        <v>0</v>
      </c>
      <c r="X1482" s="22">
        <f>'2022-23 Salary &amp; Benefits'!$G$6</f>
        <v>12558.24</v>
      </c>
      <c r="Y1482" s="23">
        <f>'2022-23 Salary &amp; Benefits'!$H$6</f>
        <v>0.2298</v>
      </c>
      <c r="Z1482" s="23">
        <f>'2022-23 Salary &amp; Benefits'!$I$6</f>
        <v>0.22339999999999999</v>
      </c>
      <c r="AA1482" s="22">
        <f t="shared" si="280"/>
        <v>0</v>
      </c>
      <c r="AB1482" s="22">
        <f t="shared" si="281"/>
        <v>0</v>
      </c>
      <c r="AC1482" s="22">
        <f t="shared" si="282"/>
        <v>0</v>
      </c>
      <c r="AD1482" s="22">
        <f t="shared" si="284"/>
        <v>0</v>
      </c>
      <c r="AE1482" s="22">
        <f t="shared" si="285"/>
        <v>0</v>
      </c>
      <c r="AF1482" s="19" t="str">
        <f>VLOOKUP(C1482,'2021-22 School Level AAFTE'!C:N,12,FALSE)</f>
        <v>No</v>
      </c>
    </row>
    <row r="1483" spans="1:284" s="5" customFormat="1">
      <c r="A1483" s="97" t="s">
        <v>2347</v>
      </c>
      <c r="B1483" s="97" t="s">
        <v>543</v>
      </c>
      <c r="C1483" s="95">
        <v>1798</v>
      </c>
      <c r="D1483" s="95" t="s">
        <v>544</v>
      </c>
      <c r="E1483" s="129">
        <f>VLOOKUP($C1483,'2021-22 School Level AAFTE'!$C:$Z,11,FALSE)</f>
        <v>0.51126666666666665</v>
      </c>
      <c r="F1483" s="129" t="str">
        <f>VLOOKUP($C1483,'2021-22 School Level AAFTE'!$C:$Z,8,FALSE)</f>
        <v>Yes</v>
      </c>
      <c r="G1483" s="129" t="str">
        <f>VLOOKUP($C1483,'2021-22 School Level AAFTE'!$C:$Z,12,FALSE)</f>
        <v>No</v>
      </c>
      <c r="H1483" s="127">
        <f>VLOOKUP($C1483,'2021-22 School Level AAFTE'!$C:$I,7,FALSE)</f>
        <v>138.68</v>
      </c>
      <c r="I1483" s="112">
        <f>IFERROR(IF(OR(G1483="yes",F1483= "yes"),VLOOKUP(C1483,Summary!$B:$J,6,0),0),0)</f>
        <v>0</v>
      </c>
      <c r="J1483" s="111">
        <f t="shared" ref="J1483:J1546" si="291">IF(OR(G1483="yes",F1483= "yes"), H1483,0)</f>
        <v>138.68</v>
      </c>
      <c r="K1483" s="91">
        <f>VLOOKUP($A1483,'2022-23 Salary &amp; Benefits'!$A:$I,3,FALSE)</f>
        <v>1.06</v>
      </c>
      <c r="L1483" s="91">
        <f>VLOOKUP($A1483,'2022-23 Salary &amp; Benefits'!$A:$I,4,FALSE)</f>
        <v>1.1000000000000001</v>
      </c>
      <c r="M1483" s="39">
        <f t="shared" si="283"/>
        <v>138.68</v>
      </c>
      <c r="N1483" s="24">
        <v>15</v>
      </c>
      <c r="O1483" s="26">
        <f t="shared" si="289"/>
        <v>9.245333333333333</v>
      </c>
      <c r="P1483" s="24">
        <v>1.1000000000000001</v>
      </c>
      <c r="Q1483" s="24">
        <v>36</v>
      </c>
      <c r="R1483" s="27">
        <f t="shared" si="290"/>
        <v>366.11520000000002</v>
      </c>
      <c r="S1483" s="102">
        <f t="shared" ref="S1483:S1546" si="292">ROUND(IF(M1483="no",0,R1483/900),3)</f>
        <v>0.40699999999999997</v>
      </c>
      <c r="T1483" s="21">
        <f>VLOOKUP($A1483,'2022-23 Salary &amp; Benefits'!$A:$I,5,FALSE)</f>
        <v>68937</v>
      </c>
      <c r="U1483" s="21">
        <f>VLOOKUP($A1483,'2022-23 Salary &amp; Benefits'!$A:$I,6,FALSE)</f>
        <v>72728</v>
      </c>
      <c r="V1483" s="22">
        <f t="shared" ref="V1483:V1546" si="293">ROUND($K1483*$T1483*$S1483,2)</f>
        <v>29740.799999999999</v>
      </c>
      <c r="W1483" s="22">
        <f t="shared" ref="W1483:W1546" si="294">ROUND($L1483*$U1483*$S1483,2)-V1483</f>
        <v>2819.5300000000025</v>
      </c>
      <c r="X1483" s="22">
        <f>'2022-23 Salary &amp; Benefits'!$G$6</f>
        <v>12558.24</v>
      </c>
      <c r="Y1483" s="23">
        <f>'2022-23 Salary &amp; Benefits'!$H$6</f>
        <v>0.2298</v>
      </c>
      <c r="Z1483" s="23">
        <f>'2022-23 Salary &amp; Benefits'!$I$6</f>
        <v>0.22339999999999999</v>
      </c>
      <c r="AA1483" s="22">
        <f t="shared" ref="AA1483:AA1546" si="295">ROUND(V1483*Y1483+W1483*Z1483+S1483*X1483,2)</f>
        <v>12575.52</v>
      </c>
      <c r="AB1483" s="22">
        <f t="shared" ref="AB1483:AB1546" si="296">ROUND(($U1483*$L1483*$S1483/180*3),2)</f>
        <v>542.66999999999996</v>
      </c>
      <c r="AC1483" s="22">
        <f t="shared" ref="AC1483:AC1546" si="297">ROUND(AB1483*Z1483,2)</f>
        <v>121.23</v>
      </c>
      <c r="AD1483" s="22">
        <f t="shared" si="284"/>
        <v>663.9</v>
      </c>
      <c r="AE1483" s="22">
        <f t="shared" si="285"/>
        <v>45799.750000000007</v>
      </c>
      <c r="AF1483" s="19" t="str">
        <f>VLOOKUP(C1483,'2021-22 School Level AAFTE'!C:N,12,FALSE)</f>
        <v>No</v>
      </c>
    </row>
    <row r="1484" spans="1:284" s="5" customFormat="1">
      <c r="A1484" s="97" t="s">
        <v>2347</v>
      </c>
      <c r="B1484" s="97" t="s">
        <v>543</v>
      </c>
      <c r="C1484" s="95">
        <v>2503</v>
      </c>
      <c r="D1484" s="95" t="s">
        <v>545</v>
      </c>
      <c r="E1484" s="129">
        <f>VLOOKUP($C1484,'2021-22 School Level AAFTE'!$C:$Z,11,FALSE)</f>
        <v>0.4296666666666667</v>
      </c>
      <c r="F1484" s="129" t="str">
        <f>VLOOKUP($C1484,'2021-22 School Level AAFTE'!$C:$Z,8,FALSE)</f>
        <v>No</v>
      </c>
      <c r="G1484" s="129" t="str">
        <f>VLOOKUP($C1484,'2021-22 School Level AAFTE'!$C:$Z,12,FALSE)</f>
        <v>No</v>
      </c>
      <c r="H1484" s="127">
        <f>VLOOKUP($C1484,'2021-22 School Level AAFTE'!$C:$I,7,FALSE)</f>
        <v>378.05</v>
      </c>
      <c r="I1484" s="112">
        <f>IFERROR(IF(OR(G1484="yes",F1484= "yes"),VLOOKUP(C1484,Summary!$B:$J,6,0),0),0)</f>
        <v>0</v>
      </c>
      <c r="J1484" s="111">
        <f t="shared" si="291"/>
        <v>0</v>
      </c>
      <c r="K1484" s="91">
        <f>VLOOKUP($A1484,'2022-23 Salary &amp; Benefits'!$A:$I,3,FALSE)</f>
        <v>1.06</v>
      </c>
      <c r="L1484" s="91">
        <f>VLOOKUP($A1484,'2022-23 Salary &amp; Benefits'!$A:$I,4,FALSE)</f>
        <v>1.1000000000000001</v>
      </c>
      <c r="M1484" s="39">
        <f t="shared" si="283"/>
        <v>0</v>
      </c>
      <c r="N1484" s="24">
        <v>15</v>
      </c>
      <c r="O1484" s="26">
        <f t="shared" si="289"/>
        <v>0</v>
      </c>
      <c r="P1484" s="24">
        <v>1.1000000000000001</v>
      </c>
      <c r="Q1484" s="24">
        <v>36</v>
      </c>
      <c r="R1484" s="27">
        <f t="shared" si="290"/>
        <v>0</v>
      </c>
      <c r="S1484" s="102">
        <f t="shared" si="292"/>
        <v>0</v>
      </c>
      <c r="T1484" s="21">
        <f>VLOOKUP($A1484,'2022-23 Salary &amp; Benefits'!$A:$I,5,FALSE)</f>
        <v>68937</v>
      </c>
      <c r="U1484" s="21">
        <f>VLOOKUP($A1484,'2022-23 Salary &amp; Benefits'!$A:$I,6,FALSE)</f>
        <v>72728</v>
      </c>
      <c r="V1484" s="22">
        <f t="shared" si="293"/>
        <v>0</v>
      </c>
      <c r="W1484" s="22">
        <f t="shared" si="294"/>
        <v>0</v>
      </c>
      <c r="X1484" s="22">
        <f>'2022-23 Salary &amp; Benefits'!$G$6</f>
        <v>12558.24</v>
      </c>
      <c r="Y1484" s="23">
        <f>'2022-23 Salary &amp; Benefits'!$H$6</f>
        <v>0.2298</v>
      </c>
      <c r="Z1484" s="23">
        <f>'2022-23 Salary &amp; Benefits'!$I$6</f>
        <v>0.22339999999999999</v>
      </c>
      <c r="AA1484" s="22">
        <f t="shared" si="295"/>
        <v>0</v>
      </c>
      <c r="AB1484" s="22">
        <f t="shared" si="296"/>
        <v>0</v>
      </c>
      <c r="AC1484" s="22">
        <f t="shared" si="297"/>
        <v>0</v>
      </c>
      <c r="AD1484" s="22">
        <f t="shared" si="284"/>
        <v>0</v>
      </c>
      <c r="AE1484" s="22">
        <f t="shared" si="285"/>
        <v>0</v>
      </c>
      <c r="AF1484" s="19" t="str">
        <f>VLOOKUP(C1484,'2021-22 School Level AAFTE'!C:N,12,FALSE)</f>
        <v>No</v>
      </c>
    </row>
    <row r="1485" spans="1:284" s="5" customFormat="1">
      <c r="A1485" s="97" t="s">
        <v>2347</v>
      </c>
      <c r="B1485" s="97" t="s">
        <v>543</v>
      </c>
      <c r="C1485" s="95">
        <v>3094</v>
      </c>
      <c r="D1485" s="95" t="s">
        <v>2790</v>
      </c>
      <c r="E1485" s="129">
        <f>VLOOKUP($C1485,'2021-22 School Level AAFTE'!$C:$Z,11,FALSE)</f>
        <v>0.4738</v>
      </c>
      <c r="F1485" s="129" t="str">
        <f>VLOOKUP($C1485,'2021-22 School Level AAFTE'!$C:$Z,8,FALSE)</f>
        <v>No</v>
      </c>
      <c r="G1485" s="129" t="str">
        <f>VLOOKUP($C1485,'2021-22 School Level AAFTE'!$C:$Z,12,FALSE)</f>
        <v>Yes</v>
      </c>
      <c r="H1485" s="127">
        <f>VLOOKUP($C1485,'2021-22 School Level AAFTE'!$C:$I,7,FALSE)</f>
        <v>400.31</v>
      </c>
      <c r="I1485" s="112">
        <f>IFERROR(IF(OR(G1485="yes",F1485= "yes"),VLOOKUP(C1485,Summary!$B:$J,6,0),0),0)</f>
        <v>0</v>
      </c>
      <c r="J1485" s="111">
        <f t="shared" si="291"/>
        <v>400.31</v>
      </c>
      <c r="K1485" s="91">
        <f>VLOOKUP($A1485,'2022-23 Salary &amp; Benefits'!$A:$I,3,FALSE)</f>
        <v>1.06</v>
      </c>
      <c r="L1485" s="91">
        <f>VLOOKUP($A1485,'2022-23 Salary &amp; Benefits'!$A:$I,4,FALSE)</f>
        <v>1.1000000000000001</v>
      </c>
      <c r="M1485" s="101">
        <f t="shared" ref="M1485:M1545" si="298">IF(I1485&gt;0,I1485,J1485)</f>
        <v>400.31</v>
      </c>
      <c r="N1485" s="24">
        <v>15</v>
      </c>
      <c r="O1485" s="26">
        <f t="shared" si="289"/>
        <v>26.687333333333335</v>
      </c>
      <c r="P1485" s="24">
        <v>1.1000000000000001</v>
      </c>
      <c r="Q1485" s="24">
        <v>36</v>
      </c>
      <c r="R1485" s="27">
        <f t="shared" si="290"/>
        <v>1056.8184000000001</v>
      </c>
      <c r="S1485" s="102">
        <f t="shared" si="292"/>
        <v>1.1739999999999999</v>
      </c>
      <c r="T1485" s="21">
        <f>VLOOKUP($A1485,'2022-23 Salary &amp; Benefits'!$A:$I,5,FALSE)</f>
        <v>68937</v>
      </c>
      <c r="U1485" s="21">
        <f>VLOOKUP($A1485,'2022-23 Salary &amp; Benefits'!$A:$I,6,FALSE)</f>
        <v>72728</v>
      </c>
      <c r="V1485" s="22">
        <f t="shared" si="293"/>
        <v>85787.96</v>
      </c>
      <c r="W1485" s="22">
        <f t="shared" si="294"/>
        <v>8132.9799999999959</v>
      </c>
      <c r="X1485" s="22">
        <f>'2022-23 Salary &amp; Benefits'!$G$6</f>
        <v>12558.24</v>
      </c>
      <c r="Y1485" s="23">
        <f>'2022-23 Salary &amp; Benefits'!$H$6</f>
        <v>0.2298</v>
      </c>
      <c r="Z1485" s="23">
        <f>'2022-23 Salary &amp; Benefits'!$I$6</f>
        <v>0.22339999999999999</v>
      </c>
      <c r="AA1485" s="22">
        <f t="shared" si="295"/>
        <v>36274.35</v>
      </c>
      <c r="AB1485" s="22">
        <f t="shared" si="296"/>
        <v>1565.35</v>
      </c>
      <c r="AC1485" s="22">
        <f t="shared" si="297"/>
        <v>349.7</v>
      </c>
      <c r="AD1485" s="22">
        <f t="shared" ref="AD1485:AD1545" si="299">SUM(AB1485:AC1485)</f>
        <v>1915.05</v>
      </c>
      <c r="AE1485" s="22">
        <f t="shared" ref="AE1485:AE1545" si="300">SUM(AA1485,V1485:W1485,AD1485)</f>
        <v>132110.34</v>
      </c>
      <c r="AF1485" s="19" t="str">
        <f>VLOOKUP(C1485,'2021-22 School Level AAFTE'!C:N,12,FALSE)</f>
        <v>Yes</v>
      </c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  <c r="IU1485" s="3"/>
      <c r="IV1485" s="3"/>
      <c r="IW1485" s="3"/>
      <c r="IX1485" s="3"/>
      <c r="IY1485" s="3"/>
      <c r="IZ1485" s="3"/>
      <c r="JA1485" s="3"/>
      <c r="JB1485" s="3"/>
      <c r="JC1485" s="3"/>
      <c r="JD1485" s="3"/>
      <c r="JE1485" s="3"/>
      <c r="JF1485" s="3"/>
      <c r="JG1485" s="3"/>
      <c r="JH1485" s="3"/>
      <c r="JI1485" s="3"/>
      <c r="JJ1485" s="3"/>
      <c r="JK1485" s="3"/>
      <c r="JL1485" s="3"/>
      <c r="JM1485" s="3"/>
      <c r="JN1485" s="3"/>
      <c r="JO1485" s="3"/>
      <c r="JP1485" s="3"/>
      <c r="JQ1485" s="3"/>
      <c r="JR1485" s="3"/>
      <c r="JS1485" s="3"/>
      <c r="JT1485" s="3"/>
      <c r="JU1485" s="3"/>
      <c r="JV1485" s="3"/>
      <c r="JW1485" s="3"/>
      <c r="JX1485" s="3"/>
    </row>
    <row r="1486" spans="1:284" s="5" customFormat="1">
      <c r="A1486" s="97" t="s">
        <v>2347</v>
      </c>
      <c r="B1486" s="97" t="s">
        <v>543</v>
      </c>
      <c r="C1486" s="95">
        <v>4475</v>
      </c>
      <c r="D1486" s="95" t="s">
        <v>546</v>
      </c>
      <c r="E1486" s="129">
        <f>VLOOKUP($C1486,'2021-22 School Level AAFTE'!$C:$Z,11,FALSE)</f>
        <v>0.48690000000000005</v>
      </c>
      <c r="F1486" s="129" t="str">
        <f>VLOOKUP($C1486,'2021-22 School Level AAFTE'!$C:$Z,8,FALSE)</f>
        <v>No</v>
      </c>
      <c r="G1486" s="129" t="str">
        <f>VLOOKUP($C1486,'2021-22 School Level AAFTE'!$C:$Z,12,FALSE)</f>
        <v>Yes</v>
      </c>
      <c r="H1486" s="127">
        <f>VLOOKUP($C1486,'2021-22 School Level AAFTE'!$C:$I,7,FALSE)</f>
        <v>257.06</v>
      </c>
      <c r="I1486" s="112">
        <f>IFERROR(IF(OR(G1486="yes",F1486= "yes"),VLOOKUP(C1486,Summary!$B:$J,6,0),0),0)</f>
        <v>0</v>
      </c>
      <c r="J1486" s="111">
        <f t="shared" si="291"/>
        <v>257.06</v>
      </c>
      <c r="K1486" s="91">
        <f>VLOOKUP($A1486,'2022-23 Salary &amp; Benefits'!$A:$I,3,FALSE)</f>
        <v>1.06</v>
      </c>
      <c r="L1486" s="91">
        <f>VLOOKUP($A1486,'2022-23 Salary &amp; Benefits'!$A:$I,4,FALSE)</f>
        <v>1.1000000000000001</v>
      </c>
      <c r="M1486" s="39">
        <f t="shared" si="298"/>
        <v>257.06</v>
      </c>
      <c r="N1486" s="24">
        <v>15</v>
      </c>
      <c r="O1486" s="26">
        <f t="shared" si="289"/>
        <v>17.137333333333334</v>
      </c>
      <c r="P1486" s="24">
        <v>1.1000000000000001</v>
      </c>
      <c r="Q1486" s="24">
        <v>36</v>
      </c>
      <c r="R1486" s="27">
        <f t="shared" si="290"/>
        <v>678.63840000000005</v>
      </c>
      <c r="S1486" s="102">
        <f t="shared" si="292"/>
        <v>0.754</v>
      </c>
      <c r="T1486" s="21">
        <f>VLOOKUP($A1486,'2022-23 Salary &amp; Benefits'!$A:$I,5,FALSE)</f>
        <v>68937</v>
      </c>
      <c r="U1486" s="21">
        <f>VLOOKUP($A1486,'2022-23 Salary &amp; Benefits'!$A:$I,6,FALSE)</f>
        <v>72728</v>
      </c>
      <c r="V1486" s="22">
        <f t="shared" si="293"/>
        <v>55097.21</v>
      </c>
      <c r="W1486" s="22">
        <f t="shared" si="294"/>
        <v>5223.3899999999994</v>
      </c>
      <c r="X1486" s="22">
        <f>'2022-23 Salary &amp; Benefits'!$G$6</f>
        <v>12558.24</v>
      </c>
      <c r="Y1486" s="23">
        <f>'2022-23 Salary &amp; Benefits'!$H$6</f>
        <v>0.2298</v>
      </c>
      <c r="Z1486" s="23">
        <f>'2022-23 Salary &amp; Benefits'!$I$6</f>
        <v>0.22339999999999999</v>
      </c>
      <c r="AA1486" s="22">
        <f t="shared" si="295"/>
        <v>23297.16</v>
      </c>
      <c r="AB1486" s="22">
        <f t="shared" si="296"/>
        <v>1005.34</v>
      </c>
      <c r="AC1486" s="22">
        <f t="shared" si="297"/>
        <v>224.59</v>
      </c>
      <c r="AD1486" s="22">
        <f t="shared" si="299"/>
        <v>1229.93</v>
      </c>
      <c r="AE1486" s="22">
        <f t="shared" si="300"/>
        <v>84847.689999999988</v>
      </c>
      <c r="AF1486" s="19" t="str">
        <f>VLOOKUP(C1486,'2021-22 School Level AAFTE'!C:N,12,FALSE)</f>
        <v>Yes</v>
      </c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  <c r="IU1486" s="3"/>
      <c r="IV1486" s="3"/>
      <c r="IW1486" s="3"/>
      <c r="IX1486" s="3"/>
      <c r="IY1486" s="3"/>
      <c r="IZ1486" s="3"/>
      <c r="JA1486" s="3"/>
      <c r="JB1486" s="3"/>
      <c r="JC1486" s="3"/>
      <c r="JD1486" s="3"/>
      <c r="JE1486" s="3"/>
      <c r="JF1486" s="3"/>
      <c r="JG1486" s="3"/>
      <c r="JH1486" s="3"/>
      <c r="JI1486" s="3"/>
      <c r="JJ1486" s="3"/>
      <c r="JK1486" s="3"/>
      <c r="JL1486" s="3"/>
      <c r="JM1486" s="3"/>
      <c r="JN1486" s="3"/>
      <c r="JO1486" s="3"/>
      <c r="JP1486" s="3"/>
      <c r="JQ1486" s="3"/>
      <c r="JR1486" s="3"/>
      <c r="JS1486" s="3"/>
      <c r="JT1486" s="3"/>
      <c r="JU1486" s="3"/>
      <c r="JV1486" s="3"/>
      <c r="JW1486" s="3"/>
      <c r="JX1486" s="3"/>
    </row>
    <row r="1487" spans="1:284" s="5" customFormat="1">
      <c r="A1487" s="97" t="s">
        <v>2531</v>
      </c>
      <c r="B1487" s="97" t="s">
        <v>2061</v>
      </c>
      <c r="C1487" s="95">
        <v>3574</v>
      </c>
      <c r="D1487" s="95" t="s">
        <v>2062</v>
      </c>
      <c r="E1487" s="129">
        <f>VLOOKUP($C1487,'2021-22 School Level AAFTE'!$C:$Z,11,FALSE)</f>
        <v>0.81643333333333334</v>
      </c>
      <c r="F1487" s="129" t="str">
        <f>VLOOKUP($C1487,'2021-22 School Level AAFTE'!$C:$Z,8,FALSE)</f>
        <v>Yes</v>
      </c>
      <c r="G1487" s="129" t="str">
        <f>VLOOKUP($C1487,'2021-22 School Level AAFTE'!$C:$Z,12,FALSE)</f>
        <v>No</v>
      </c>
      <c r="H1487" s="127">
        <f>VLOOKUP($C1487,'2021-22 School Level AAFTE'!$C:$I,7,FALSE)</f>
        <v>120.6</v>
      </c>
      <c r="I1487" s="112">
        <f>IFERROR(IF(OR(G1487="yes",F1487= "yes"),VLOOKUP(C1487,Summary!$B:$J,6,0),0),0)</f>
        <v>0</v>
      </c>
      <c r="J1487" s="111">
        <f t="shared" si="291"/>
        <v>120.6</v>
      </c>
      <c r="K1487" s="91">
        <f>VLOOKUP($A1487,'2022-23 Salary &amp; Benefits'!$A:$I,3,FALSE)</f>
        <v>1</v>
      </c>
      <c r="L1487" s="91">
        <f>VLOOKUP($A1487,'2022-23 Salary &amp; Benefits'!$A:$I,4,FALSE)</f>
        <v>1</v>
      </c>
      <c r="M1487" s="39">
        <f t="shared" si="298"/>
        <v>120.6</v>
      </c>
      <c r="N1487" s="24">
        <v>15</v>
      </c>
      <c r="O1487" s="26">
        <f t="shared" si="289"/>
        <v>8.0399999999999991</v>
      </c>
      <c r="P1487" s="24">
        <v>1.1000000000000001</v>
      </c>
      <c r="Q1487" s="24">
        <v>36</v>
      </c>
      <c r="R1487" s="27">
        <f t="shared" si="290"/>
        <v>318.38399999999996</v>
      </c>
      <c r="S1487" s="102">
        <f t="shared" si="292"/>
        <v>0.35399999999999998</v>
      </c>
      <c r="T1487" s="21">
        <f>VLOOKUP($A1487,'2022-23 Salary &amp; Benefits'!$A:$I,5,FALSE)</f>
        <v>68937</v>
      </c>
      <c r="U1487" s="21">
        <f>VLOOKUP($A1487,'2022-23 Salary &amp; Benefits'!$A:$I,6,FALSE)</f>
        <v>72728</v>
      </c>
      <c r="V1487" s="22">
        <f t="shared" si="293"/>
        <v>24403.7</v>
      </c>
      <c r="W1487" s="22">
        <f t="shared" si="294"/>
        <v>1342.0099999999984</v>
      </c>
      <c r="X1487" s="22">
        <f>'2022-23 Salary &amp; Benefits'!$G$6</f>
        <v>12558.24</v>
      </c>
      <c r="Y1487" s="23">
        <f>'2022-23 Salary &amp; Benefits'!$H$6</f>
        <v>0.2298</v>
      </c>
      <c r="Z1487" s="23">
        <f>'2022-23 Salary &amp; Benefits'!$I$6</f>
        <v>0.22339999999999999</v>
      </c>
      <c r="AA1487" s="22">
        <f t="shared" si="295"/>
        <v>10353.39</v>
      </c>
      <c r="AB1487" s="22">
        <f t="shared" si="296"/>
        <v>429.1</v>
      </c>
      <c r="AC1487" s="22">
        <f t="shared" si="297"/>
        <v>95.86</v>
      </c>
      <c r="AD1487" s="22">
        <f t="shared" si="299"/>
        <v>524.96</v>
      </c>
      <c r="AE1487" s="22">
        <f t="shared" si="300"/>
        <v>36624.05999999999</v>
      </c>
      <c r="AF1487" s="19" t="str">
        <f>VLOOKUP(C1487,'2021-22 School Level AAFTE'!C:N,12,FALSE)</f>
        <v>No</v>
      </c>
    </row>
    <row r="1488" spans="1:284" s="5" customFormat="1">
      <c r="A1488" s="97" t="s">
        <v>2531</v>
      </c>
      <c r="B1488" s="97" t="s">
        <v>2061</v>
      </c>
      <c r="C1488" s="95">
        <v>3575</v>
      </c>
      <c r="D1488" s="95" t="s">
        <v>2063</v>
      </c>
      <c r="E1488" s="129">
        <f>VLOOKUP($C1488,'2021-22 School Level AAFTE'!$C:$Z,11,FALSE)</f>
        <v>0.91590000000000005</v>
      </c>
      <c r="F1488" s="129" t="str">
        <f>VLOOKUP($C1488,'2021-22 School Level AAFTE'!$C:$Z,8,FALSE)</f>
        <v>Yes</v>
      </c>
      <c r="G1488" s="129" t="str">
        <f>VLOOKUP($C1488,'2021-22 School Level AAFTE'!$C:$Z,12,FALSE)</f>
        <v>No</v>
      </c>
      <c r="H1488" s="127">
        <f>VLOOKUP($C1488,'2021-22 School Level AAFTE'!$C:$I,7,FALSE)</f>
        <v>72.28</v>
      </c>
      <c r="I1488" s="112">
        <f>IFERROR(IF(OR(G1488="yes",F1488= "yes"),VLOOKUP(C1488,Summary!$B:$J,6,0),0),0)</f>
        <v>0</v>
      </c>
      <c r="J1488" s="111">
        <f t="shared" si="291"/>
        <v>72.28</v>
      </c>
      <c r="K1488" s="91">
        <f>VLOOKUP($A1488,'2022-23 Salary &amp; Benefits'!$A:$I,3,FALSE)</f>
        <v>1</v>
      </c>
      <c r="L1488" s="91">
        <f>VLOOKUP($A1488,'2022-23 Salary &amp; Benefits'!$A:$I,4,FALSE)</f>
        <v>1</v>
      </c>
      <c r="M1488" s="39">
        <f t="shared" si="298"/>
        <v>72.28</v>
      </c>
      <c r="N1488" s="24">
        <v>15</v>
      </c>
      <c r="O1488" s="26">
        <f t="shared" si="289"/>
        <v>4.8186666666666671</v>
      </c>
      <c r="P1488" s="24">
        <v>1.1000000000000001</v>
      </c>
      <c r="Q1488" s="24">
        <v>36</v>
      </c>
      <c r="R1488" s="27">
        <f t="shared" si="290"/>
        <v>190.81920000000002</v>
      </c>
      <c r="S1488" s="102">
        <f t="shared" si="292"/>
        <v>0.21199999999999999</v>
      </c>
      <c r="T1488" s="21">
        <f>VLOOKUP($A1488,'2022-23 Salary &amp; Benefits'!$A:$I,5,FALSE)</f>
        <v>68937</v>
      </c>
      <c r="U1488" s="21">
        <f>VLOOKUP($A1488,'2022-23 Salary &amp; Benefits'!$A:$I,6,FALSE)</f>
        <v>72728</v>
      </c>
      <c r="V1488" s="22">
        <f t="shared" si="293"/>
        <v>14614.64</v>
      </c>
      <c r="W1488" s="22">
        <f t="shared" si="294"/>
        <v>803.70000000000073</v>
      </c>
      <c r="X1488" s="22">
        <f>'2022-23 Salary &amp; Benefits'!$G$6</f>
        <v>12558.24</v>
      </c>
      <c r="Y1488" s="23">
        <f>'2022-23 Salary &amp; Benefits'!$H$6</f>
        <v>0.2298</v>
      </c>
      <c r="Z1488" s="23">
        <f>'2022-23 Salary &amp; Benefits'!$I$6</f>
        <v>0.22339999999999999</v>
      </c>
      <c r="AA1488" s="22">
        <f t="shared" si="295"/>
        <v>6200.34</v>
      </c>
      <c r="AB1488" s="22">
        <f t="shared" si="296"/>
        <v>256.97000000000003</v>
      </c>
      <c r="AC1488" s="22">
        <f t="shared" si="297"/>
        <v>57.41</v>
      </c>
      <c r="AD1488" s="22">
        <f t="shared" si="299"/>
        <v>314.38</v>
      </c>
      <c r="AE1488" s="22">
        <f t="shared" si="300"/>
        <v>21933.06</v>
      </c>
      <c r="AF1488" s="19" t="str">
        <f>VLOOKUP(C1488,'2021-22 School Level AAFTE'!C:N,12,FALSE)</f>
        <v>No</v>
      </c>
    </row>
    <row r="1489" spans="1:32" s="5" customFormat="1">
      <c r="A1489" s="97" t="s">
        <v>2531</v>
      </c>
      <c r="B1489" s="97" t="s">
        <v>2061</v>
      </c>
      <c r="C1489" s="95">
        <v>5687</v>
      </c>
      <c r="D1489" s="95" t="s">
        <v>3038</v>
      </c>
      <c r="E1489" s="129">
        <f>VLOOKUP($C1489,'2021-22 School Level AAFTE'!$C:$Z,11,FALSE)</f>
        <v>0.86050000000000004</v>
      </c>
      <c r="F1489" s="129" t="str">
        <f>VLOOKUP($C1489,'2021-22 School Level AAFTE'!$C:$Z,8,FALSE)</f>
        <v>Yes</v>
      </c>
      <c r="G1489" s="129" t="str">
        <f>VLOOKUP($C1489,'2021-22 School Level AAFTE'!$C:$Z,12,FALSE)</f>
        <v>No</v>
      </c>
      <c r="H1489" s="127">
        <f>VLOOKUP($C1489,'2021-22 School Level AAFTE'!$C:$I,7,FALSE)</f>
        <v>57.14</v>
      </c>
      <c r="I1489" s="112">
        <f>IFERROR(IF(OR(G1489="yes",F1489= "yes"),VLOOKUP(C1489,Summary!$B:$J,6,0),0),0)</f>
        <v>0</v>
      </c>
      <c r="J1489" s="111">
        <f t="shared" si="291"/>
        <v>57.14</v>
      </c>
      <c r="K1489" s="91">
        <f>VLOOKUP($A1489,'2022-23 Salary &amp; Benefits'!$A:$I,3,FALSE)</f>
        <v>1</v>
      </c>
      <c r="L1489" s="91">
        <f>VLOOKUP($A1489,'2022-23 Salary &amp; Benefits'!$A:$I,4,FALSE)</f>
        <v>1</v>
      </c>
      <c r="M1489" s="39">
        <f t="shared" si="298"/>
        <v>57.14</v>
      </c>
      <c r="N1489" s="24">
        <v>15</v>
      </c>
      <c r="O1489" s="26">
        <f t="shared" si="289"/>
        <v>3.8093333333333335</v>
      </c>
      <c r="P1489" s="24">
        <v>1.1000000000000001</v>
      </c>
      <c r="Q1489" s="24">
        <v>36</v>
      </c>
      <c r="R1489" s="27">
        <f t="shared" si="290"/>
        <v>150.84960000000001</v>
      </c>
      <c r="S1489" s="102">
        <f t="shared" si="292"/>
        <v>0.16800000000000001</v>
      </c>
      <c r="T1489" s="21">
        <f>VLOOKUP($A1489,'2022-23 Salary &amp; Benefits'!$A:$I,5,FALSE)</f>
        <v>68937</v>
      </c>
      <c r="U1489" s="21">
        <f>VLOOKUP($A1489,'2022-23 Salary &amp; Benefits'!$A:$I,6,FALSE)</f>
        <v>72728</v>
      </c>
      <c r="V1489" s="22">
        <f t="shared" si="293"/>
        <v>11581.42</v>
      </c>
      <c r="W1489" s="22">
        <f t="shared" si="294"/>
        <v>636.8799999999992</v>
      </c>
      <c r="X1489" s="22">
        <f>'2022-23 Salary &amp; Benefits'!$G$6</f>
        <v>12558.24</v>
      </c>
      <c r="Y1489" s="23">
        <f>'2022-23 Salary &amp; Benefits'!$H$6</f>
        <v>0.2298</v>
      </c>
      <c r="Z1489" s="23">
        <f>'2022-23 Salary &amp; Benefits'!$I$6</f>
        <v>0.22339999999999999</v>
      </c>
      <c r="AA1489" s="22">
        <f t="shared" si="295"/>
        <v>4913.47</v>
      </c>
      <c r="AB1489" s="22">
        <f t="shared" si="296"/>
        <v>203.64</v>
      </c>
      <c r="AC1489" s="22">
        <f t="shared" si="297"/>
        <v>45.49</v>
      </c>
      <c r="AD1489" s="22">
        <f t="shared" si="299"/>
        <v>249.13</v>
      </c>
      <c r="AE1489" s="22">
        <f t="shared" si="300"/>
        <v>17380.899999999998</v>
      </c>
      <c r="AF1489" s="19" t="str">
        <f>VLOOKUP(C1489,'2021-22 School Level AAFTE'!C:N,12,FALSE)</f>
        <v>No</v>
      </c>
    </row>
    <row r="1490" spans="1:32" s="5" customFormat="1">
      <c r="A1490" s="97" t="s">
        <v>2502</v>
      </c>
      <c r="B1490" s="97" t="s">
        <v>1922</v>
      </c>
      <c r="C1490" s="95">
        <v>5339</v>
      </c>
      <c r="D1490" s="95" t="s">
        <v>2908</v>
      </c>
      <c r="E1490" s="129">
        <f>VLOOKUP($C1490,'2021-22 School Level AAFTE'!$C:$Z,11,FALSE)</f>
        <v>0.58520000000000005</v>
      </c>
      <c r="F1490" s="129" t="str">
        <f>VLOOKUP($C1490,'2021-22 School Level AAFTE'!$C:$Z,8,FALSE)</f>
        <v>Yes</v>
      </c>
      <c r="G1490" s="129" t="str">
        <f>VLOOKUP($C1490,'2021-22 School Level AAFTE'!$C:$Z,12,FALSE)</f>
        <v>No</v>
      </c>
      <c r="H1490" s="127">
        <f>VLOOKUP($C1490,'2021-22 School Level AAFTE'!$C:$I,7,FALSE)</f>
        <v>632.49</v>
      </c>
      <c r="I1490" s="112">
        <f>IFERROR(IF(OR(G1490="yes",F1490= "yes"),VLOOKUP(C1490,Summary!$B:$J,6,0),0),0)</f>
        <v>0</v>
      </c>
      <c r="J1490" s="111">
        <f t="shared" si="291"/>
        <v>632.49</v>
      </c>
      <c r="K1490" s="91">
        <f>VLOOKUP($A1490,'2022-23 Salary &amp; Benefits'!$A:$I,3,FALSE)</f>
        <v>1.03</v>
      </c>
      <c r="L1490" s="91">
        <f>VLOOKUP($A1490,'2022-23 Salary &amp; Benefits'!$A:$I,4,FALSE)</f>
        <v>1.03</v>
      </c>
      <c r="M1490" s="101">
        <f t="shared" si="298"/>
        <v>632.49</v>
      </c>
      <c r="N1490" s="24">
        <v>15</v>
      </c>
      <c r="O1490" s="26">
        <f t="shared" si="289"/>
        <v>42.166000000000004</v>
      </c>
      <c r="P1490" s="24">
        <v>1.1000000000000001</v>
      </c>
      <c r="Q1490" s="24">
        <v>36</v>
      </c>
      <c r="R1490" s="27">
        <f t="shared" si="290"/>
        <v>1669.7736000000004</v>
      </c>
      <c r="S1490" s="102">
        <f t="shared" si="292"/>
        <v>1.855</v>
      </c>
      <c r="T1490" s="21">
        <f>VLOOKUP($A1490,'2022-23 Salary &amp; Benefits'!$A:$I,5,FALSE)</f>
        <v>68937</v>
      </c>
      <c r="U1490" s="21">
        <f>VLOOKUP($A1490,'2022-23 Salary &amp; Benefits'!$A:$I,6,FALSE)</f>
        <v>72728</v>
      </c>
      <c r="V1490" s="22">
        <f t="shared" si="293"/>
        <v>131714.48000000001</v>
      </c>
      <c r="W1490" s="22">
        <f t="shared" si="294"/>
        <v>7243.2699999999895</v>
      </c>
      <c r="X1490" s="22">
        <f>'2022-23 Salary &amp; Benefits'!$G$6</f>
        <v>12558.24</v>
      </c>
      <c r="Y1490" s="23">
        <f>'2022-23 Salary &amp; Benefits'!$H$6</f>
        <v>0.2298</v>
      </c>
      <c r="Z1490" s="23">
        <f>'2022-23 Salary &amp; Benefits'!$I$6</f>
        <v>0.22339999999999999</v>
      </c>
      <c r="AA1490" s="22">
        <f t="shared" si="295"/>
        <v>55181.67</v>
      </c>
      <c r="AB1490" s="22">
        <f t="shared" si="296"/>
        <v>2315.96</v>
      </c>
      <c r="AC1490" s="22">
        <f t="shared" si="297"/>
        <v>517.39</v>
      </c>
      <c r="AD1490" s="22">
        <f t="shared" si="299"/>
        <v>2833.35</v>
      </c>
      <c r="AE1490" s="22">
        <f t="shared" si="300"/>
        <v>196972.77000000002</v>
      </c>
      <c r="AF1490" s="19" t="str">
        <f>VLOOKUP(C1490,'2021-22 School Level AAFTE'!C:N,12,FALSE)</f>
        <v>No</v>
      </c>
    </row>
    <row r="1491" spans="1:32" s="5" customFormat="1">
      <c r="A1491" s="97" t="s">
        <v>2268</v>
      </c>
      <c r="B1491" s="97" t="s">
        <v>71</v>
      </c>
      <c r="C1491" s="95">
        <v>2195</v>
      </c>
      <c r="D1491" s="95" t="s">
        <v>72</v>
      </c>
      <c r="E1491" s="129">
        <f>VLOOKUP($C1491,'2021-22 School Level AAFTE'!$C:$Z,11,FALSE)</f>
        <v>0.71676666666666666</v>
      </c>
      <c r="F1491" s="129" t="str">
        <f>VLOOKUP($C1491,'2021-22 School Level AAFTE'!$C:$Z,8,FALSE)</f>
        <v>Yes</v>
      </c>
      <c r="G1491" s="129" t="str">
        <f>VLOOKUP($C1491,'2021-22 School Level AAFTE'!$C:$Z,12,FALSE)</f>
        <v>No</v>
      </c>
      <c r="H1491" s="127">
        <f>VLOOKUP($C1491,'2021-22 School Level AAFTE'!$C:$I,7,FALSE)</f>
        <v>366.86</v>
      </c>
      <c r="I1491" s="112">
        <f>IFERROR(IF(OR(G1491="yes",F1491= "yes"),VLOOKUP(C1491,Summary!$B:$J,6,0),0),0)</f>
        <v>0</v>
      </c>
      <c r="J1491" s="111">
        <f t="shared" si="291"/>
        <v>366.86</v>
      </c>
      <c r="K1491" s="91">
        <f>VLOOKUP($A1491,'2022-23 Salary &amp; Benefits'!$A:$I,3,FALSE)</f>
        <v>1</v>
      </c>
      <c r="L1491" s="91">
        <f>VLOOKUP($A1491,'2022-23 Salary &amp; Benefits'!$A:$I,4,FALSE)</f>
        <v>1</v>
      </c>
      <c r="M1491" s="39">
        <f t="shared" si="298"/>
        <v>366.86</v>
      </c>
      <c r="N1491" s="24">
        <v>15</v>
      </c>
      <c r="O1491" s="26">
        <f t="shared" si="289"/>
        <v>24.457333333333334</v>
      </c>
      <c r="P1491" s="24">
        <v>1.1000000000000001</v>
      </c>
      <c r="Q1491" s="24">
        <v>36</v>
      </c>
      <c r="R1491" s="27">
        <f t="shared" si="290"/>
        <v>968.51040000000012</v>
      </c>
      <c r="S1491" s="102">
        <f t="shared" si="292"/>
        <v>1.0760000000000001</v>
      </c>
      <c r="T1491" s="21">
        <f>VLOOKUP($A1491,'2022-23 Salary &amp; Benefits'!$A:$I,5,FALSE)</f>
        <v>68937</v>
      </c>
      <c r="U1491" s="21">
        <f>VLOOKUP($A1491,'2022-23 Salary &amp; Benefits'!$A:$I,6,FALSE)</f>
        <v>72728</v>
      </c>
      <c r="V1491" s="22">
        <f t="shared" si="293"/>
        <v>74176.210000000006</v>
      </c>
      <c r="W1491" s="22">
        <f t="shared" si="294"/>
        <v>4079.1199999999953</v>
      </c>
      <c r="X1491" s="22">
        <f>'2022-23 Salary &amp; Benefits'!$G$6</f>
        <v>12558.24</v>
      </c>
      <c r="Y1491" s="23">
        <f>'2022-23 Salary &amp; Benefits'!$H$6</f>
        <v>0.2298</v>
      </c>
      <c r="Z1491" s="23">
        <f>'2022-23 Salary &amp; Benefits'!$I$6</f>
        <v>0.22339999999999999</v>
      </c>
      <c r="AA1491" s="22">
        <f t="shared" si="295"/>
        <v>31469.63</v>
      </c>
      <c r="AB1491" s="22">
        <f t="shared" si="296"/>
        <v>1304.26</v>
      </c>
      <c r="AC1491" s="22">
        <f t="shared" si="297"/>
        <v>291.37</v>
      </c>
      <c r="AD1491" s="22">
        <f t="shared" si="299"/>
        <v>1595.63</v>
      </c>
      <c r="AE1491" s="22">
        <f t="shared" si="300"/>
        <v>111320.59000000001</v>
      </c>
      <c r="AF1491" s="19" t="str">
        <f>VLOOKUP(C1491,'2021-22 School Level AAFTE'!C:N,12,FALSE)</f>
        <v>No</v>
      </c>
    </row>
    <row r="1492" spans="1:32" s="5" customFormat="1">
      <c r="A1492" s="97" t="s">
        <v>2268</v>
      </c>
      <c r="B1492" s="97" t="s">
        <v>71</v>
      </c>
      <c r="C1492" s="95">
        <v>2508</v>
      </c>
      <c r="D1492" s="95" t="s">
        <v>73</v>
      </c>
      <c r="E1492" s="129">
        <f>VLOOKUP($C1492,'2021-22 School Level AAFTE'!$C:$Z,11,FALSE)</f>
        <v>0.64796666666666658</v>
      </c>
      <c r="F1492" s="129" t="str">
        <f>VLOOKUP($C1492,'2021-22 School Level AAFTE'!$C:$Z,8,FALSE)</f>
        <v>Yes</v>
      </c>
      <c r="G1492" s="129" t="str">
        <f>VLOOKUP($C1492,'2021-22 School Level AAFTE'!$C:$Z,12,FALSE)</f>
        <v>No</v>
      </c>
      <c r="H1492" s="127">
        <f>VLOOKUP($C1492,'2021-22 School Level AAFTE'!$C:$I,7,FALSE)</f>
        <v>869.42000000000007</v>
      </c>
      <c r="I1492" s="112">
        <f>IFERROR(IF(OR(G1492="yes",F1492= "yes"),VLOOKUP(C1492,Summary!$B:$J,6,0),0),0)</f>
        <v>0</v>
      </c>
      <c r="J1492" s="111">
        <f t="shared" si="291"/>
        <v>869.42000000000007</v>
      </c>
      <c r="K1492" s="91">
        <f>VLOOKUP($A1492,'2022-23 Salary &amp; Benefits'!$A:$I,3,FALSE)</f>
        <v>1</v>
      </c>
      <c r="L1492" s="91">
        <f>VLOOKUP($A1492,'2022-23 Salary &amp; Benefits'!$A:$I,4,FALSE)</f>
        <v>1</v>
      </c>
      <c r="M1492" s="39">
        <f t="shared" si="298"/>
        <v>869.42000000000007</v>
      </c>
      <c r="N1492" s="24">
        <v>15</v>
      </c>
      <c r="O1492" s="26">
        <f t="shared" si="289"/>
        <v>57.961333333333336</v>
      </c>
      <c r="P1492" s="24">
        <v>1.1000000000000001</v>
      </c>
      <c r="Q1492" s="24">
        <v>36</v>
      </c>
      <c r="R1492" s="27">
        <f t="shared" si="290"/>
        <v>2295.2688000000003</v>
      </c>
      <c r="S1492" s="102">
        <f t="shared" si="292"/>
        <v>2.5499999999999998</v>
      </c>
      <c r="T1492" s="21">
        <f>VLOOKUP($A1492,'2022-23 Salary &amp; Benefits'!$A:$I,5,FALSE)</f>
        <v>68937</v>
      </c>
      <c r="U1492" s="21">
        <f>VLOOKUP($A1492,'2022-23 Salary &amp; Benefits'!$A:$I,6,FALSE)</f>
        <v>72728</v>
      </c>
      <c r="V1492" s="22">
        <f t="shared" si="293"/>
        <v>175789.35</v>
      </c>
      <c r="W1492" s="22">
        <f t="shared" si="294"/>
        <v>9667.0499999999884</v>
      </c>
      <c r="X1492" s="22">
        <f>'2022-23 Salary &amp; Benefits'!$G$6</f>
        <v>12558.24</v>
      </c>
      <c r="Y1492" s="23">
        <f>'2022-23 Salary &amp; Benefits'!$H$6</f>
        <v>0.2298</v>
      </c>
      <c r="Z1492" s="23">
        <f>'2022-23 Salary &amp; Benefits'!$I$6</f>
        <v>0.22339999999999999</v>
      </c>
      <c r="AA1492" s="22">
        <f t="shared" si="295"/>
        <v>74579.520000000004</v>
      </c>
      <c r="AB1492" s="22">
        <f t="shared" si="296"/>
        <v>3090.94</v>
      </c>
      <c r="AC1492" s="22">
        <f t="shared" si="297"/>
        <v>690.52</v>
      </c>
      <c r="AD1492" s="22">
        <f t="shared" si="299"/>
        <v>3781.46</v>
      </c>
      <c r="AE1492" s="22">
        <f t="shared" si="300"/>
        <v>263817.38</v>
      </c>
      <c r="AF1492" s="19" t="str">
        <f>VLOOKUP(C1492,'2021-22 School Level AAFTE'!C:N,12,FALSE)</f>
        <v>No</v>
      </c>
    </row>
    <row r="1493" spans="1:32" s="5" customFormat="1">
      <c r="A1493" s="97" t="s">
        <v>2268</v>
      </c>
      <c r="B1493" s="97" t="s">
        <v>71</v>
      </c>
      <c r="C1493" s="95">
        <v>2905</v>
      </c>
      <c r="D1493" s="95" t="s">
        <v>74</v>
      </c>
      <c r="E1493" s="129">
        <f>VLOOKUP($C1493,'2021-22 School Level AAFTE'!$C:$Z,11,FALSE)</f>
        <v>0.76736666666666664</v>
      </c>
      <c r="F1493" s="129" t="str">
        <f>VLOOKUP($C1493,'2021-22 School Level AAFTE'!$C:$Z,8,FALSE)</f>
        <v>Yes</v>
      </c>
      <c r="G1493" s="129" t="str">
        <f>VLOOKUP($C1493,'2021-22 School Level AAFTE'!$C:$Z,12,FALSE)</f>
        <v>No</v>
      </c>
      <c r="H1493" s="127">
        <f>VLOOKUP($C1493,'2021-22 School Level AAFTE'!$C:$I,7,FALSE)</f>
        <v>232.43</v>
      </c>
      <c r="I1493" s="112">
        <f>IFERROR(IF(OR(G1493="yes",F1493= "yes"),VLOOKUP(C1493,Summary!$B:$J,6,0),0),0)</f>
        <v>0</v>
      </c>
      <c r="J1493" s="111">
        <f t="shared" si="291"/>
        <v>232.43</v>
      </c>
      <c r="K1493" s="91">
        <f>VLOOKUP($A1493,'2022-23 Salary &amp; Benefits'!$A:$I,3,FALSE)</f>
        <v>1</v>
      </c>
      <c r="L1493" s="91">
        <f>VLOOKUP($A1493,'2022-23 Salary &amp; Benefits'!$A:$I,4,FALSE)</f>
        <v>1</v>
      </c>
      <c r="M1493" s="39">
        <f t="shared" si="298"/>
        <v>232.43</v>
      </c>
      <c r="N1493" s="24">
        <v>15</v>
      </c>
      <c r="O1493" s="26">
        <f t="shared" si="289"/>
        <v>15.495333333333333</v>
      </c>
      <c r="P1493" s="24">
        <v>1.1000000000000001</v>
      </c>
      <c r="Q1493" s="24">
        <v>36</v>
      </c>
      <c r="R1493" s="27">
        <f t="shared" si="290"/>
        <v>613.61520000000007</v>
      </c>
      <c r="S1493" s="102">
        <f t="shared" si="292"/>
        <v>0.68200000000000005</v>
      </c>
      <c r="T1493" s="21">
        <f>VLOOKUP($A1493,'2022-23 Salary &amp; Benefits'!$A:$I,5,FALSE)</f>
        <v>68937</v>
      </c>
      <c r="U1493" s="21">
        <f>VLOOKUP($A1493,'2022-23 Salary &amp; Benefits'!$A:$I,6,FALSE)</f>
        <v>72728</v>
      </c>
      <c r="V1493" s="22">
        <f t="shared" si="293"/>
        <v>47015.03</v>
      </c>
      <c r="W1493" s="22">
        <f t="shared" si="294"/>
        <v>2585.4700000000012</v>
      </c>
      <c r="X1493" s="22">
        <f>'2022-23 Salary &amp; Benefits'!$G$6</f>
        <v>12558.24</v>
      </c>
      <c r="Y1493" s="23">
        <f>'2022-23 Salary &amp; Benefits'!$H$6</f>
        <v>0.2298</v>
      </c>
      <c r="Z1493" s="23">
        <f>'2022-23 Salary &amp; Benefits'!$I$6</f>
        <v>0.22339999999999999</v>
      </c>
      <c r="AA1493" s="22">
        <f t="shared" si="295"/>
        <v>19946.37</v>
      </c>
      <c r="AB1493" s="22">
        <f t="shared" si="296"/>
        <v>826.67</v>
      </c>
      <c r="AC1493" s="22">
        <f t="shared" si="297"/>
        <v>184.68</v>
      </c>
      <c r="AD1493" s="22">
        <f t="shared" si="299"/>
        <v>1011.3499999999999</v>
      </c>
      <c r="AE1493" s="22">
        <f t="shared" si="300"/>
        <v>70558.22</v>
      </c>
      <c r="AF1493" s="19" t="str">
        <f>VLOOKUP(C1493,'2021-22 School Level AAFTE'!C:N,12,FALSE)</f>
        <v>No</v>
      </c>
    </row>
    <row r="1494" spans="1:32" s="5" customFormat="1">
      <c r="A1494" s="97" t="s">
        <v>2268</v>
      </c>
      <c r="B1494" s="97" t="s">
        <v>71</v>
      </c>
      <c r="C1494" s="95">
        <v>2906</v>
      </c>
      <c r="D1494" s="95" t="s">
        <v>75</v>
      </c>
      <c r="E1494" s="129">
        <f>VLOOKUP($C1494,'2021-22 School Level AAFTE'!$C:$Z,11,FALSE)</f>
        <v>0.74896666666666667</v>
      </c>
      <c r="F1494" s="129" t="str">
        <f>VLOOKUP($C1494,'2021-22 School Level AAFTE'!$C:$Z,8,FALSE)</f>
        <v>Yes</v>
      </c>
      <c r="G1494" s="129" t="str">
        <f>VLOOKUP($C1494,'2021-22 School Level AAFTE'!$C:$Z,12,FALSE)</f>
        <v>No</v>
      </c>
      <c r="H1494" s="127">
        <f>VLOOKUP($C1494,'2021-22 School Level AAFTE'!$C:$I,7,FALSE)</f>
        <v>597.64</v>
      </c>
      <c r="I1494" s="112">
        <f>IFERROR(IF(OR(G1494="yes",F1494= "yes"),VLOOKUP(C1494,Summary!$B:$J,6,0),0),0)</f>
        <v>0</v>
      </c>
      <c r="J1494" s="111">
        <f t="shared" si="291"/>
        <v>597.64</v>
      </c>
      <c r="K1494" s="91">
        <f>VLOOKUP($A1494,'2022-23 Salary &amp; Benefits'!$A:$I,3,FALSE)</f>
        <v>1</v>
      </c>
      <c r="L1494" s="91">
        <f>VLOOKUP($A1494,'2022-23 Salary &amp; Benefits'!$A:$I,4,FALSE)</f>
        <v>1</v>
      </c>
      <c r="M1494" s="39">
        <f t="shared" si="298"/>
        <v>597.64</v>
      </c>
      <c r="N1494" s="24">
        <v>15</v>
      </c>
      <c r="O1494" s="26">
        <f t="shared" si="289"/>
        <v>39.842666666666666</v>
      </c>
      <c r="P1494" s="24">
        <v>1.1000000000000001</v>
      </c>
      <c r="Q1494" s="24">
        <v>36</v>
      </c>
      <c r="R1494" s="27">
        <f t="shared" si="290"/>
        <v>1577.7696000000001</v>
      </c>
      <c r="S1494" s="102">
        <f t="shared" si="292"/>
        <v>1.7529999999999999</v>
      </c>
      <c r="T1494" s="21">
        <f>VLOOKUP($A1494,'2022-23 Salary &amp; Benefits'!$A:$I,5,FALSE)</f>
        <v>68937</v>
      </c>
      <c r="U1494" s="21">
        <f>VLOOKUP($A1494,'2022-23 Salary &amp; Benefits'!$A:$I,6,FALSE)</f>
        <v>72728</v>
      </c>
      <c r="V1494" s="22">
        <f t="shared" si="293"/>
        <v>120846.56</v>
      </c>
      <c r="W1494" s="22">
        <f t="shared" si="294"/>
        <v>6645.6199999999953</v>
      </c>
      <c r="X1494" s="22">
        <f>'2022-23 Salary &amp; Benefits'!$G$6</f>
        <v>12558.24</v>
      </c>
      <c r="Y1494" s="23">
        <f>'2022-23 Salary &amp; Benefits'!$H$6</f>
        <v>0.2298</v>
      </c>
      <c r="Z1494" s="23">
        <f>'2022-23 Salary &amp; Benefits'!$I$6</f>
        <v>0.22339999999999999</v>
      </c>
      <c r="AA1494" s="22">
        <f t="shared" si="295"/>
        <v>51269.77</v>
      </c>
      <c r="AB1494" s="22">
        <f t="shared" si="296"/>
        <v>2124.87</v>
      </c>
      <c r="AC1494" s="22">
        <f t="shared" si="297"/>
        <v>474.7</v>
      </c>
      <c r="AD1494" s="22">
        <f t="shared" si="299"/>
        <v>2599.5699999999997</v>
      </c>
      <c r="AE1494" s="22">
        <f t="shared" si="300"/>
        <v>181361.52</v>
      </c>
      <c r="AF1494" s="19" t="str">
        <f>VLOOKUP(C1494,'2021-22 School Level AAFTE'!C:N,12,FALSE)</f>
        <v>No</v>
      </c>
    </row>
    <row r="1495" spans="1:32" s="5" customFormat="1">
      <c r="A1495" s="97" t="s">
        <v>2268</v>
      </c>
      <c r="B1495" s="97" t="s">
        <v>71</v>
      </c>
      <c r="C1495" s="95">
        <v>3316</v>
      </c>
      <c r="D1495" s="95" t="s">
        <v>76</v>
      </c>
      <c r="E1495" s="129">
        <f>VLOOKUP($C1495,'2021-22 School Level AAFTE'!$C:$Z,11,FALSE)</f>
        <v>0.74943333333333328</v>
      </c>
      <c r="F1495" s="129" t="str">
        <f>VLOOKUP($C1495,'2021-22 School Level AAFTE'!$C:$Z,8,FALSE)</f>
        <v>Yes</v>
      </c>
      <c r="G1495" s="129" t="str">
        <f>VLOOKUP($C1495,'2021-22 School Level AAFTE'!$C:$Z,12,FALSE)</f>
        <v>No</v>
      </c>
      <c r="H1495" s="127">
        <f>VLOOKUP($C1495,'2021-22 School Level AAFTE'!$C:$I,7,FALSE)</f>
        <v>372.9</v>
      </c>
      <c r="I1495" s="112">
        <f>IFERROR(IF(OR(G1495="yes",F1495= "yes"),VLOOKUP(C1495,Summary!$B:$J,6,0),0),0)</f>
        <v>0</v>
      </c>
      <c r="J1495" s="111">
        <f t="shared" si="291"/>
        <v>372.9</v>
      </c>
      <c r="K1495" s="91">
        <f>VLOOKUP($A1495,'2022-23 Salary &amp; Benefits'!$A:$I,3,FALSE)</f>
        <v>1</v>
      </c>
      <c r="L1495" s="91">
        <f>VLOOKUP($A1495,'2022-23 Salary &amp; Benefits'!$A:$I,4,FALSE)</f>
        <v>1</v>
      </c>
      <c r="M1495" s="39">
        <f t="shared" si="298"/>
        <v>372.9</v>
      </c>
      <c r="N1495" s="24">
        <v>15</v>
      </c>
      <c r="O1495" s="26">
        <f t="shared" si="289"/>
        <v>24.86</v>
      </c>
      <c r="P1495" s="24">
        <v>1.1000000000000001</v>
      </c>
      <c r="Q1495" s="24">
        <v>36</v>
      </c>
      <c r="R1495" s="27">
        <f t="shared" si="290"/>
        <v>984.45600000000002</v>
      </c>
      <c r="S1495" s="102">
        <f t="shared" si="292"/>
        <v>1.0940000000000001</v>
      </c>
      <c r="T1495" s="21">
        <f>VLOOKUP($A1495,'2022-23 Salary &amp; Benefits'!$A:$I,5,FALSE)</f>
        <v>68937</v>
      </c>
      <c r="U1495" s="21">
        <f>VLOOKUP($A1495,'2022-23 Salary &amp; Benefits'!$A:$I,6,FALSE)</f>
        <v>72728</v>
      </c>
      <c r="V1495" s="22">
        <f t="shared" si="293"/>
        <v>75417.08</v>
      </c>
      <c r="W1495" s="22">
        <f t="shared" si="294"/>
        <v>4147.3499999999913</v>
      </c>
      <c r="X1495" s="22">
        <f>'2022-23 Salary &amp; Benefits'!$G$6</f>
        <v>12558.24</v>
      </c>
      <c r="Y1495" s="23">
        <f>'2022-23 Salary &amp; Benefits'!$H$6</f>
        <v>0.2298</v>
      </c>
      <c r="Z1495" s="23">
        <f>'2022-23 Salary &amp; Benefits'!$I$6</f>
        <v>0.22339999999999999</v>
      </c>
      <c r="AA1495" s="22">
        <f t="shared" si="295"/>
        <v>31996.080000000002</v>
      </c>
      <c r="AB1495" s="22">
        <f t="shared" si="296"/>
        <v>1326.07</v>
      </c>
      <c r="AC1495" s="22">
        <f t="shared" si="297"/>
        <v>296.24</v>
      </c>
      <c r="AD1495" s="22">
        <f t="shared" si="299"/>
        <v>1622.31</v>
      </c>
      <c r="AE1495" s="22">
        <f t="shared" si="300"/>
        <v>113182.81999999999</v>
      </c>
      <c r="AF1495" s="19" t="str">
        <f>VLOOKUP(C1495,'2021-22 School Level AAFTE'!C:N,12,FALSE)</f>
        <v>No</v>
      </c>
    </row>
    <row r="1496" spans="1:32" s="5" customFormat="1">
      <c r="A1496" s="97" t="s">
        <v>2268</v>
      </c>
      <c r="B1496" s="97" t="s">
        <v>71</v>
      </c>
      <c r="C1496" s="95">
        <v>5537</v>
      </c>
      <c r="D1496" s="95" t="s">
        <v>2909</v>
      </c>
      <c r="E1496" s="129">
        <f>VLOOKUP($C1496,'2021-22 School Level AAFTE'!$C:$Z,11,FALSE)</f>
        <v>0.75</v>
      </c>
      <c r="F1496" s="129" t="str">
        <f>VLOOKUP($C1496,'2021-22 School Level AAFTE'!$C:$Z,8,FALSE)</f>
        <v>Yes</v>
      </c>
      <c r="G1496" s="129" t="str">
        <f>VLOOKUP($C1496,'2021-22 School Level AAFTE'!$C:$Z,12,FALSE)</f>
        <v>No</v>
      </c>
      <c r="H1496" s="127">
        <f>VLOOKUP($C1496,'2021-22 School Level AAFTE'!$C:$I,7,FALSE)</f>
        <v>12.43</v>
      </c>
      <c r="I1496" s="112">
        <f>IFERROR(IF(OR(G1496="yes",F1496= "yes"),VLOOKUP(C1496,Summary!$B:$J,6,0),0),0)</f>
        <v>0</v>
      </c>
      <c r="J1496" s="111">
        <f t="shared" si="291"/>
        <v>12.43</v>
      </c>
      <c r="K1496" s="91">
        <f>VLOOKUP($A1496,'2022-23 Salary &amp; Benefits'!$A:$I,3,FALSE)</f>
        <v>1</v>
      </c>
      <c r="L1496" s="91">
        <f>VLOOKUP($A1496,'2022-23 Salary &amp; Benefits'!$A:$I,4,FALSE)</f>
        <v>1</v>
      </c>
      <c r="M1496" s="39">
        <f t="shared" si="298"/>
        <v>12.43</v>
      </c>
      <c r="N1496" s="24">
        <v>15</v>
      </c>
      <c r="O1496" s="26">
        <f t="shared" si="289"/>
        <v>0.82866666666666666</v>
      </c>
      <c r="P1496" s="24">
        <v>1.1000000000000001</v>
      </c>
      <c r="Q1496" s="24">
        <v>36</v>
      </c>
      <c r="R1496" s="27">
        <f t="shared" si="290"/>
        <v>32.815200000000004</v>
      </c>
      <c r="S1496" s="102">
        <f t="shared" si="292"/>
        <v>3.5999999999999997E-2</v>
      </c>
      <c r="T1496" s="21">
        <f>VLOOKUP($A1496,'2022-23 Salary &amp; Benefits'!$A:$I,5,FALSE)</f>
        <v>68937</v>
      </c>
      <c r="U1496" s="21">
        <f>VLOOKUP($A1496,'2022-23 Salary &amp; Benefits'!$A:$I,6,FALSE)</f>
        <v>72728</v>
      </c>
      <c r="V1496" s="22">
        <f t="shared" si="293"/>
        <v>2481.73</v>
      </c>
      <c r="W1496" s="22">
        <f t="shared" si="294"/>
        <v>136.48000000000002</v>
      </c>
      <c r="X1496" s="22">
        <f>'2022-23 Salary &amp; Benefits'!$G$6</f>
        <v>12558.24</v>
      </c>
      <c r="Y1496" s="23">
        <f>'2022-23 Salary &amp; Benefits'!$H$6</f>
        <v>0.2298</v>
      </c>
      <c r="Z1496" s="23">
        <f>'2022-23 Salary &amp; Benefits'!$I$6</f>
        <v>0.22339999999999999</v>
      </c>
      <c r="AA1496" s="22">
        <f t="shared" si="295"/>
        <v>1052.8900000000001</v>
      </c>
      <c r="AB1496" s="22">
        <f t="shared" si="296"/>
        <v>43.64</v>
      </c>
      <c r="AC1496" s="22">
        <f t="shared" si="297"/>
        <v>9.75</v>
      </c>
      <c r="AD1496" s="22">
        <f t="shared" si="299"/>
        <v>53.39</v>
      </c>
      <c r="AE1496" s="22">
        <f t="shared" si="300"/>
        <v>3724.49</v>
      </c>
      <c r="AF1496" s="19" t="str">
        <f>VLOOKUP(C1496,'2021-22 School Level AAFTE'!C:N,12,FALSE)</f>
        <v>No</v>
      </c>
    </row>
    <row r="1497" spans="1:32" s="5" customFormat="1">
      <c r="A1497" s="97" t="s">
        <v>2543</v>
      </c>
      <c r="B1497" s="97" t="s">
        <v>2138</v>
      </c>
      <c r="C1497" s="95">
        <v>2499</v>
      </c>
      <c r="D1497" s="95" t="s">
        <v>2139</v>
      </c>
      <c r="E1497" s="129">
        <f>VLOOKUP($C1497,'2021-22 School Level AAFTE'!$C:$Z,11,FALSE)</f>
        <v>0.25679999999999997</v>
      </c>
      <c r="F1497" s="129" t="str">
        <f>VLOOKUP($C1497,'2021-22 School Level AAFTE'!$C:$Z,8,FALSE)</f>
        <v>No</v>
      </c>
      <c r="G1497" s="129" t="str">
        <f>VLOOKUP($C1497,'2021-22 School Level AAFTE'!$C:$Z,12,FALSE)</f>
        <v>No</v>
      </c>
      <c r="H1497" s="127">
        <f>VLOOKUP($C1497,'2021-22 School Level AAFTE'!$C:$I,7,FALSE)</f>
        <v>861.18</v>
      </c>
      <c r="I1497" s="112">
        <f>IFERROR(IF(OR(G1497="yes",F1497= "yes"),VLOOKUP(C1497,Summary!$B:$J,6,0),0),0)</f>
        <v>0</v>
      </c>
      <c r="J1497" s="111">
        <f t="shared" si="291"/>
        <v>0</v>
      </c>
      <c r="K1497" s="91">
        <f>VLOOKUP($A1497,'2022-23 Salary &amp; Benefits'!$A:$I,3,FALSE)</f>
        <v>1</v>
      </c>
      <c r="L1497" s="91">
        <f>VLOOKUP($A1497,'2022-23 Salary &amp; Benefits'!$A:$I,4,FALSE)</f>
        <v>1</v>
      </c>
      <c r="M1497" s="39">
        <f t="shared" si="298"/>
        <v>0</v>
      </c>
      <c r="N1497" s="24">
        <v>15</v>
      </c>
      <c r="O1497" s="26">
        <f t="shared" si="289"/>
        <v>0</v>
      </c>
      <c r="P1497" s="24">
        <v>1.1000000000000001</v>
      </c>
      <c r="Q1497" s="24">
        <v>36</v>
      </c>
      <c r="R1497" s="27">
        <f t="shared" si="290"/>
        <v>0</v>
      </c>
      <c r="S1497" s="102">
        <f t="shared" si="292"/>
        <v>0</v>
      </c>
      <c r="T1497" s="21">
        <f>VLOOKUP($A1497,'2022-23 Salary &amp; Benefits'!$A:$I,5,FALSE)</f>
        <v>68937</v>
      </c>
      <c r="U1497" s="21">
        <f>VLOOKUP($A1497,'2022-23 Salary &amp; Benefits'!$A:$I,6,FALSE)</f>
        <v>72728</v>
      </c>
      <c r="V1497" s="22">
        <f t="shared" si="293"/>
        <v>0</v>
      </c>
      <c r="W1497" s="22">
        <f t="shared" si="294"/>
        <v>0</v>
      </c>
      <c r="X1497" s="22">
        <f>'2022-23 Salary &amp; Benefits'!$G$6</f>
        <v>12558.24</v>
      </c>
      <c r="Y1497" s="23">
        <f>'2022-23 Salary &amp; Benefits'!$H$6</f>
        <v>0.2298</v>
      </c>
      <c r="Z1497" s="23">
        <f>'2022-23 Salary &amp; Benefits'!$I$6</f>
        <v>0.22339999999999999</v>
      </c>
      <c r="AA1497" s="22">
        <f t="shared" si="295"/>
        <v>0</v>
      </c>
      <c r="AB1497" s="22">
        <f t="shared" si="296"/>
        <v>0</v>
      </c>
      <c r="AC1497" s="22">
        <f t="shared" si="297"/>
        <v>0</v>
      </c>
      <c r="AD1497" s="22">
        <f t="shared" si="299"/>
        <v>0</v>
      </c>
      <c r="AE1497" s="22">
        <f t="shared" si="300"/>
        <v>0</v>
      </c>
      <c r="AF1497" s="19" t="str">
        <f>VLOOKUP(C1497,'2021-22 School Level AAFTE'!C:N,12,FALSE)</f>
        <v>No</v>
      </c>
    </row>
    <row r="1498" spans="1:32" s="5" customFormat="1">
      <c r="A1498" s="97" t="s">
        <v>2543</v>
      </c>
      <c r="B1498" s="97" t="s">
        <v>2138</v>
      </c>
      <c r="C1498" s="95">
        <v>2587</v>
      </c>
      <c r="D1498" s="95" t="s">
        <v>139</v>
      </c>
      <c r="E1498" s="129">
        <f>VLOOKUP($C1498,'2021-22 School Level AAFTE'!$C:$Z,11,FALSE)</f>
        <v>0.23253333333333334</v>
      </c>
      <c r="F1498" s="129" t="str">
        <f>VLOOKUP($C1498,'2021-22 School Level AAFTE'!$C:$Z,8,FALSE)</f>
        <v>No</v>
      </c>
      <c r="G1498" s="129" t="str">
        <f>VLOOKUP($C1498,'2021-22 School Level AAFTE'!$C:$Z,12,FALSE)</f>
        <v>No</v>
      </c>
      <c r="H1498" s="127">
        <f>VLOOKUP($C1498,'2021-22 School Level AAFTE'!$C:$I,7,FALSE)</f>
        <v>290.58999999999997</v>
      </c>
      <c r="I1498" s="112">
        <f>IFERROR(IF(OR(G1498="yes",F1498= "yes"),VLOOKUP(C1498,Summary!$B:$J,6,0),0),0)</f>
        <v>0</v>
      </c>
      <c r="J1498" s="111">
        <f t="shared" si="291"/>
        <v>0</v>
      </c>
      <c r="K1498" s="91">
        <f>VLOOKUP($A1498,'2022-23 Salary &amp; Benefits'!$A:$I,3,FALSE)</f>
        <v>1</v>
      </c>
      <c r="L1498" s="91">
        <f>VLOOKUP($A1498,'2022-23 Salary &amp; Benefits'!$A:$I,4,FALSE)</f>
        <v>1</v>
      </c>
      <c r="M1498" s="101">
        <f t="shared" si="298"/>
        <v>0</v>
      </c>
      <c r="N1498" s="24">
        <v>15</v>
      </c>
      <c r="O1498" s="26">
        <f t="shared" si="289"/>
        <v>0</v>
      </c>
      <c r="P1498" s="24">
        <v>1.1000000000000001</v>
      </c>
      <c r="Q1498" s="24">
        <v>36</v>
      </c>
      <c r="R1498" s="27">
        <f t="shared" si="290"/>
        <v>0</v>
      </c>
      <c r="S1498" s="102">
        <f t="shared" si="292"/>
        <v>0</v>
      </c>
      <c r="T1498" s="21">
        <f>VLOOKUP($A1498,'2022-23 Salary &amp; Benefits'!$A:$I,5,FALSE)</f>
        <v>68937</v>
      </c>
      <c r="U1498" s="21">
        <f>VLOOKUP($A1498,'2022-23 Salary &amp; Benefits'!$A:$I,6,FALSE)</f>
        <v>72728</v>
      </c>
      <c r="V1498" s="22">
        <f t="shared" si="293"/>
        <v>0</v>
      </c>
      <c r="W1498" s="22">
        <f t="shared" si="294"/>
        <v>0</v>
      </c>
      <c r="X1498" s="22">
        <f>'2022-23 Salary &amp; Benefits'!$G$6</f>
        <v>12558.24</v>
      </c>
      <c r="Y1498" s="23">
        <f>'2022-23 Salary &amp; Benefits'!$H$6</f>
        <v>0.2298</v>
      </c>
      <c r="Z1498" s="23">
        <f>'2022-23 Salary &amp; Benefits'!$I$6</f>
        <v>0.22339999999999999</v>
      </c>
      <c r="AA1498" s="22">
        <f t="shared" si="295"/>
        <v>0</v>
      </c>
      <c r="AB1498" s="22">
        <f t="shared" si="296"/>
        <v>0</v>
      </c>
      <c r="AC1498" s="22">
        <f t="shared" si="297"/>
        <v>0</v>
      </c>
      <c r="AD1498" s="22">
        <f t="shared" si="299"/>
        <v>0</v>
      </c>
      <c r="AE1498" s="22">
        <f t="shared" si="300"/>
        <v>0</v>
      </c>
      <c r="AF1498" s="19" t="str">
        <f>VLOOKUP(C1498,'2021-22 School Level AAFTE'!C:N,12,FALSE)</f>
        <v>No</v>
      </c>
    </row>
    <row r="1499" spans="1:32" s="5" customFormat="1">
      <c r="A1499" s="97" t="s">
        <v>2543</v>
      </c>
      <c r="B1499" s="97" t="s">
        <v>2138</v>
      </c>
      <c r="C1499" s="95">
        <v>3203</v>
      </c>
      <c r="D1499" s="95" t="s">
        <v>79</v>
      </c>
      <c r="E1499" s="129">
        <f>VLOOKUP($C1499,'2021-22 School Level AAFTE'!$C:$Z,11,FALSE)</f>
        <v>0.45080000000000003</v>
      </c>
      <c r="F1499" s="129" t="str">
        <f>VLOOKUP($C1499,'2021-22 School Level AAFTE'!$C:$Z,8,FALSE)</f>
        <v>No</v>
      </c>
      <c r="G1499" s="129" t="str">
        <f>VLOOKUP($C1499,'2021-22 School Level AAFTE'!$C:$Z,12,FALSE)</f>
        <v>No</v>
      </c>
      <c r="H1499" s="127">
        <f>VLOOKUP($C1499,'2021-22 School Level AAFTE'!$C:$I,7,FALSE)</f>
        <v>278.68</v>
      </c>
      <c r="I1499" s="112">
        <f>IFERROR(IF(OR(G1499="yes",F1499= "yes"),VLOOKUP(C1499,Summary!$B:$J,6,0),0),0)</f>
        <v>0</v>
      </c>
      <c r="J1499" s="111">
        <f t="shared" si="291"/>
        <v>0</v>
      </c>
      <c r="K1499" s="91">
        <f>VLOOKUP($A1499,'2022-23 Salary &amp; Benefits'!$A:$I,3,FALSE)</f>
        <v>1</v>
      </c>
      <c r="L1499" s="91">
        <f>VLOOKUP($A1499,'2022-23 Salary &amp; Benefits'!$A:$I,4,FALSE)</f>
        <v>1</v>
      </c>
      <c r="M1499" s="39">
        <f t="shared" si="298"/>
        <v>0</v>
      </c>
      <c r="N1499" s="24">
        <v>15</v>
      </c>
      <c r="O1499" s="26">
        <f t="shared" si="289"/>
        <v>0</v>
      </c>
      <c r="P1499" s="24">
        <v>1.1000000000000001</v>
      </c>
      <c r="Q1499" s="24">
        <v>36</v>
      </c>
      <c r="R1499" s="27">
        <f t="shared" si="290"/>
        <v>0</v>
      </c>
      <c r="S1499" s="102">
        <f t="shared" si="292"/>
        <v>0</v>
      </c>
      <c r="T1499" s="21">
        <f>VLOOKUP($A1499,'2022-23 Salary &amp; Benefits'!$A:$I,5,FALSE)</f>
        <v>68937</v>
      </c>
      <c r="U1499" s="21">
        <f>VLOOKUP($A1499,'2022-23 Salary &amp; Benefits'!$A:$I,6,FALSE)</f>
        <v>72728</v>
      </c>
      <c r="V1499" s="22">
        <f t="shared" si="293"/>
        <v>0</v>
      </c>
      <c r="W1499" s="22">
        <f t="shared" si="294"/>
        <v>0</v>
      </c>
      <c r="X1499" s="22">
        <f>'2022-23 Salary &amp; Benefits'!$G$6</f>
        <v>12558.24</v>
      </c>
      <c r="Y1499" s="23">
        <f>'2022-23 Salary &amp; Benefits'!$H$6</f>
        <v>0.2298</v>
      </c>
      <c r="Z1499" s="23">
        <f>'2022-23 Salary &amp; Benefits'!$I$6</f>
        <v>0.22339999999999999</v>
      </c>
      <c r="AA1499" s="22">
        <f t="shared" si="295"/>
        <v>0</v>
      </c>
      <c r="AB1499" s="22">
        <f t="shared" si="296"/>
        <v>0</v>
      </c>
      <c r="AC1499" s="22">
        <f t="shared" si="297"/>
        <v>0</v>
      </c>
      <c r="AD1499" s="22">
        <f t="shared" si="299"/>
        <v>0</v>
      </c>
      <c r="AE1499" s="22">
        <f t="shared" si="300"/>
        <v>0</v>
      </c>
      <c r="AF1499" s="19" t="str">
        <f>VLOOKUP(C1499,'2021-22 School Level AAFTE'!C:N,12,FALSE)</f>
        <v>No</v>
      </c>
    </row>
    <row r="1500" spans="1:32" s="5" customFormat="1">
      <c r="A1500" s="97" t="s">
        <v>2543</v>
      </c>
      <c r="B1500" s="97" t="s">
        <v>2138</v>
      </c>
      <c r="C1500" s="95">
        <v>3419</v>
      </c>
      <c r="D1500" s="95" t="s">
        <v>23</v>
      </c>
      <c r="E1500" s="129">
        <f>VLOOKUP($C1500,'2021-22 School Level AAFTE'!$C:$Z,11,FALSE)</f>
        <v>0.29189999999999999</v>
      </c>
      <c r="F1500" s="129" t="str">
        <f>VLOOKUP($C1500,'2021-22 School Level AAFTE'!$C:$Z,8,FALSE)</f>
        <v>No</v>
      </c>
      <c r="G1500" s="129" t="str">
        <f>VLOOKUP($C1500,'2021-22 School Level AAFTE'!$C:$Z,12,FALSE)</f>
        <v>No</v>
      </c>
      <c r="H1500" s="127">
        <f>VLOOKUP($C1500,'2021-22 School Level AAFTE'!$C:$I,7,FALSE)</f>
        <v>577.61</v>
      </c>
      <c r="I1500" s="112">
        <f>IFERROR(IF(OR(G1500="yes",F1500= "yes"),VLOOKUP(C1500,Summary!$B:$J,6,0),0),0)</f>
        <v>0</v>
      </c>
      <c r="J1500" s="111">
        <f t="shared" si="291"/>
        <v>0</v>
      </c>
      <c r="K1500" s="91">
        <f>VLOOKUP($A1500,'2022-23 Salary &amp; Benefits'!$A:$I,3,FALSE)</f>
        <v>1</v>
      </c>
      <c r="L1500" s="91">
        <f>VLOOKUP($A1500,'2022-23 Salary &amp; Benefits'!$A:$I,4,FALSE)</f>
        <v>1</v>
      </c>
      <c r="M1500" s="39">
        <f t="shared" si="298"/>
        <v>0</v>
      </c>
      <c r="N1500" s="24">
        <v>15</v>
      </c>
      <c r="O1500" s="26">
        <f t="shared" si="289"/>
        <v>0</v>
      </c>
      <c r="P1500" s="24">
        <v>1.1000000000000001</v>
      </c>
      <c r="Q1500" s="24">
        <v>36</v>
      </c>
      <c r="R1500" s="27">
        <f t="shared" si="290"/>
        <v>0</v>
      </c>
      <c r="S1500" s="102">
        <f t="shared" si="292"/>
        <v>0</v>
      </c>
      <c r="T1500" s="21">
        <f>VLOOKUP($A1500,'2022-23 Salary &amp; Benefits'!$A:$I,5,FALSE)</f>
        <v>68937</v>
      </c>
      <c r="U1500" s="21">
        <f>VLOOKUP($A1500,'2022-23 Salary &amp; Benefits'!$A:$I,6,FALSE)</f>
        <v>72728</v>
      </c>
      <c r="V1500" s="22">
        <f t="shared" si="293"/>
        <v>0</v>
      </c>
      <c r="W1500" s="22">
        <f t="shared" si="294"/>
        <v>0</v>
      </c>
      <c r="X1500" s="22">
        <f>'2022-23 Salary &amp; Benefits'!$G$6</f>
        <v>12558.24</v>
      </c>
      <c r="Y1500" s="23">
        <f>'2022-23 Salary &amp; Benefits'!$H$6</f>
        <v>0.2298</v>
      </c>
      <c r="Z1500" s="23">
        <f>'2022-23 Salary &amp; Benefits'!$I$6</f>
        <v>0.22339999999999999</v>
      </c>
      <c r="AA1500" s="22">
        <f t="shared" si="295"/>
        <v>0</v>
      </c>
      <c r="AB1500" s="22">
        <f t="shared" si="296"/>
        <v>0</v>
      </c>
      <c r="AC1500" s="22">
        <f t="shared" si="297"/>
        <v>0</v>
      </c>
      <c r="AD1500" s="22">
        <f t="shared" si="299"/>
        <v>0</v>
      </c>
      <c r="AE1500" s="22">
        <f t="shared" si="300"/>
        <v>0</v>
      </c>
      <c r="AF1500" s="19" t="str">
        <f>VLOOKUP(C1500,'2021-22 School Level AAFTE'!C:N,12,FALSE)</f>
        <v>No</v>
      </c>
    </row>
    <row r="1501" spans="1:32" s="5" customFormat="1">
      <c r="A1501" s="97" t="s">
        <v>2543</v>
      </c>
      <c r="B1501" s="97" t="s">
        <v>2138</v>
      </c>
      <c r="C1501" s="95">
        <v>3614</v>
      </c>
      <c r="D1501" s="95" t="s">
        <v>1697</v>
      </c>
      <c r="E1501" s="129">
        <f>VLOOKUP($C1501,'2021-22 School Level AAFTE'!$C:$Z,11,FALSE)</f>
        <v>0.17666666666666667</v>
      </c>
      <c r="F1501" s="129" t="str">
        <f>VLOOKUP($C1501,'2021-22 School Level AAFTE'!$C:$Z,8,FALSE)</f>
        <v>No</v>
      </c>
      <c r="G1501" s="129" t="str">
        <f>VLOOKUP($C1501,'2021-22 School Level AAFTE'!$C:$Z,12,FALSE)</f>
        <v>No</v>
      </c>
      <c r="H1501" s="127">
        <f>VLOOKUP($C1501,'2021-22 School Level AAFTE'!$C:$I,7,FALSE)</f>
        <v>255</v>
      </c>
      <c r="I1501" s="112">
        <f>IFERROR(IF(OR(G1501="yes",F1501= "yes"),VLOOKUP(C1501,Summary!$B:$J,6,0),0),0)</f>
        <v>0</v>
      </c>
      <c r="J1501" s="111">
        <f t="shared" si="291"/>
        <v>0</v>
      </c>
      <c r="K1501" s="91">
        <f>VLOOKUP($A1501,'2022-23 Salary &amp; Benefits'!$A:$I,3,FALSE)</f>
        <v>1</v>
      </c>
      <c r="L1501" s="91">
        <f>VLOOKUP($A1501,'2022-23 Salary &amp; Benefits'!$A:$I,4,FALSE)</f>
        <v>1</v>
      </c>
      <c r="M1501" s="101">
        <f t="shared" si="298"/>
        <v>0</v>
      </c>
      <c r="N1501" s="24">
        <v>15</v>
      </c>
      <c r="O1501" s="26">
        <f t="shared" si="289"/>
        <v>0</v>
      </c>
      <c r="P1501" s="24">
        <v>1.1000000000000001</v>
      </c>
      <c r="Q1501" s="24">
        <v>36</v>
      </c>
      <c r="R1501" s="27">
        <f t="shared" si="290"/>
        <v>0</v>
      </c>
      <c r="S1501" s="102">
        <f t="shared" si="292"/>
        <v>0</v>
      </c>
      <c r="T1501" s="21">
        <f>VLOOKUP($A1501,'2022-23 Salary &amp; Benefits'!$A:$I,5,FALSE)</f>
        <v>68937</v>
      </c>
      <c r="U1501" s="21">
        <f>VLOOKUP($A1501,'2022-23 Salary &amp; Benefits'!$A:$I,6,FALSE)</f>
        <v>72728</v>
      </c>
      <c r="V1501" s="22">
        <f t="shared" si="293"/>
        <v>0</v>
      </c>
      <c r="W1501" s="22">
        <f t="shared" si="294"/>
        <v>0</v>
      </c>
      <c r="X1501" s="22">
        <f>'2022-23 Salary &amp; Benefits'!$G$6</f>
        <v>12558.24</v>
      </c>
      <c r="Y1501" s="23">
        <f>'2022-23 Salary &amp; Benefits'!$H$6</f>
        <v>0.2298</v>
      </c>
      <c r="Z1501" s="23">
        <f>'2022-23 Salary &amp; Benefits'!$I$6</f>
        <v>0.22339999999999999</v>
      </c>
      <c r="AA1501" s="22">
        <f t="shared" si="295"/>
        <v>0</v>
      </c>
      <c r="AB1501" s="22">
        <f t="shared" si="296"/>
        <v>0</v>
      </c>
      <c r="AC1501" s="22">
        <f t="shared" si="297"/>
        <v>0</v>
      </c>
      <c r="AD1501" s="22">
        <f t="shared" si="299"/>
        <v>0</v>
      </c>
      <c r="AE1501" s="22">
        <f t="shared" si="300"/>
        <v>0</v>
      </c>
      <c r="AF1501" s="19" t="str">
        <f>VLOOKUP(C1501,'2021-22 School Level AAFTE'!C:N,12,FALSE)</f>
        <v>No</v>
      </c>
    </row>
    <row r="1502" spans="1:32" s="5" customFormat="1">
      <c r="A1502" s="97" t="s">
        <v>2543</v>
      </c>
      <c r="B1502" s="97" t="s">
        <v>2138</v>
      </c>
      <c r="C1502" s="95">
        <v>5574</v>
      </c>
      <c r="D1502" s="95" t="s">
        <v>2910</v>
      </c>
      <c r="E1502" s="129">
        <f>VLOOKUP($C1502,'2021-22 School Level AAFTE'!$C:$Z,11,FALSE)</f>
        <v>0.44229999999999997</v>
      </c>
      <c r="F1502" s="129" t="str">
        <f>VLOOKUP($C1502,'2021-22 School Level AAFTE'!$C:$Z,8,FALSE)</f>
        <v>No</v>
      </c>
      <c r="G1502" s="129" t="str">
        <f>VLOOKUP($C1502,'2021-22 School Level AAFTE'!$C:$Z,12,FALSE)</f>
        <v>No</v>
      </c>
      <c r="H1502" s="127">
        <f>VLOOKUP($C1502,'2021-22 School Level AAFTE'!$C:$I,7,FALSE)</f>
        <v>345.43</v>
      </c>
      <c r="I1502" s="112">
        <f>IFERROR(IF(OR(G1502="yes",F1502= "yes"),VLOOKUP(C1502,Summary!$B:$J,6,0),0),0)</f>
        <v>0</v>
      </c>
      <c r="J1502" s="111">
        <f t="shared" si="291"/>
        <v>0</v>
      </c>
      <c r="K1502" s="91">
        <f>VLOOKUP($A1502,'2022-23 Salary &amp; Benefits'!$A:$I,3,FALSE)</f>
        <v>1</v>
      </c>
      <c r="L1502" s="91">
        <f>VLOOKUP($A1502,'2022-23 Salary &amp; Benefits'!$A:$I,4,FALSE)</f>
        <v>1</v>
      </c>
      <c r="M1502" s="39">
        <f t="shared" si="298"/>
        <v>0</v>
      </c>
      <c r="N1502" s="24">
        <v>15</v>
      </c>
      <c r="O1502" s="26">
        <f t="shared" si="289"/>
        <v>0</v>
      </c>
      <c r="P1502" s="24">
        <v>1.1000000000000001</v>
      </c>
      <c r="Q1502" s="24">
        <v>36</v>
      </c>
      <c r="R1502" s="27">
        <f t="shared" si="290"/>
        <v>0</v>
      </c>
      <c r="S1502" s="102">
        <f t="shared" si="292"/>
        <v>0</v>
      </c>
      <c r="T1502" s="21">
        <f>VLOOKUP($A1502,'2022-23 Salary &amp; Benefits'!$A:$I,5,FALSE)</f>
        <v>68937</v>
      </c>
      <c r="U1502" s="21">
        <f>VLOOKUP($A1502,'2022-23 Salary &amp; Benefits'!$A:$I,6,FALSE)</f>
        <v>72728</v>
      </c>
      <c r="V1502" s="22">
        <f t="shared" si="293"/>
        <v>0</v>
      </c>
      <c r="W1502" s="22">
        <f t="shared" si="294"/>
        <v>0</v>
      </c>
      <c r="X1502" s="22">
        <f>'2022-23 Salary &amp; Benefits'!$G$6</f>
        <v>12558.24</v>
      </c>
      <c r="Y1502" s="23">
        <f>'2022-23 Salary &amp; Benefits'!$H$6</f>
        <v>0.2298</v>
      </c>
      <c r="Z1502" s="23">
        <f>'2022-23 Salary &amp; Benefits'!$I$6</f>
        <v>0.22339999999999999</v>
      </c>
      <c r="AA1502" s="22">
        <f t="shared" si="295"/>
        <v>0</v>
      </c>
      <c r="AB1502" s="22">
        <f t="shared" si="296"/>
        <v>0</v>
      </c>
      <c r="AC1502" s="22">
        <f t="shared" si="297"/>
        <v>0</v>
      </c>
      <c r="AD1502" s="22">
        <f t="shared" si="299"/>
        <v>0</v>
      </c>
      <c r="AE1502" s="22">
        <f t="shared" si="300"/>
        <v>0</v>
      </c>
      <c r="AF1502" s="19" t="str">
        <f>VLOOKUP(C1502,'2021-22 School Level AAFTE'!C:N,12,FALSE)</f>
        <v>No</v>
      </c>
    </row>
    <row r="1503" spans="1:32" s="5" customFormat="1">
      <c r="A1503" s="97" t="s">
        <v>2951</v>
      </c>
      <c r="B1503" s="97" t="s">
        <v>2952</v>
      </c>
      <c r="C1503" s="95">
        <v>5659</v>
      </c>
      <c r="D1503" s="95" t="s">
        <v>2952</v>
      </c>
      <c r="E1503" s="129">
        <f>VLOOKUP($C1503,'2021-22 School Level AAFTE'!$C:$Z,11,FALSE)</f>
        <v>0.2278</v>
      </c>
      <c r="F1503" s="129" t="str">
        <f>VLOOKUP($C1503,'2021-22 School Level AAFTE'!$C:$Z,8,FALSE)</f>
        <v>No</v>
      </c>
      <c r="G1503" s="129" t="str">
        <f>VLOOKUP($C1503,'2021-22 School Level AAFTE'!$C:$Z,12,FALSE)</f>
        <v>No</v>
      </c>
      <c r="H1503" s="127">
        <f>VLOOKUP($C1503,'2021-22 School Level AAFTE'!$C:$I,7,FALSE)</f>
        <v>75.14</v>
      </c>
      <c r="I1503" s="112">
        <f>IFERROR(IF(OR(G1503="yes",F1503= "yes"),VLOOKUP(C1503,Summary!$B:$J,6,0),0),0)</f>
        <v>0</v>
      </c>
      <c r="J1503" s="111">
        <f t="shared" si="291"/>
        <v>0</v>
      </c>
      <c r="K1503" s="91">
        <f>VLOOKUP($A1503,'2022-23 Salary &amp; Benefits'!$A:$I,3,FALSE)</f>
        <v>1</v>
      </c>
      <c r="L1503" s="91">
        <f>VLOOKUP($A1503,'2022-23 Salary &amp; Benefits'!$A:$I,4,FALSE)</f>
        <v>1</v>
      </c>
      <c r="M1503" s="39">
        <f t="shared" si="298"/>
        <v>0</v>
      </c>
      <c r="N1503" s="24">
        <v>15</v>
      </c>
      <c r="O1503" s="26">
        <f t="shared" si="289"/>
        <v>0</v>
      </c>
      <c r="P1503" s="24">
        <v>1.1000000000000001</v>
      </c>
      <c r="Q1503" s="24">
        <v>36</v>
      </c>
      <c r="R1503" s="27">
        <f t="shared" si="290"/>
        <v>0</v>
      </c>
      <c r="S1503" s="102">
        <f t="shared" si="292"/>
        <v>0</v>
      </c>
      <c r="T1503" s="21">
        <f>VLOOKUP($A1503,'2022-23 Salary &amp; Benefits'!$A:$I,5,FALSE)</f>
        <v>68937</v>
      </c>
      <c r="U1503" s="21">
        <f>VLOOKUP($A1503,'2022-23 Salary &amp; Benefits'!$A:$I,6,FALSE)</f>
        <v>72728</v>
      </c>
      <c r="V1503" s="22">
        <f t="shared" si="293"/>
        <v>0</v>
      </c>
      <c r="W1503" s="22">
        <f t="shared" si="294"/>
        <v>0</v>
      </c>
      <c r="X1503" s="22">
        <f>'2022-23 Salary &amp; Benefits'!$G$6</f>
        <v>12558.24</v>
      </c>
      <c r="Y1503" s="23">
        <f>'2022-23 Salary &amp; Benefits'!$H$6</f>
        <v>0.2298</v>
      </c>
      <c r="Z1503" s="23">
        <f>'2022-23 Salary &amp; Benefits'!$I$6</f>
        <v>0.22339999999999999</v>
      </c>
      <c r="AA1503" s="22">
        <f t="shared" si="295"/>
        <v>0</v>
      </c>
      <c r="AB1503" s="22">
        <f t="shared" si="296"/>
        <v>0</v>
      </c>
      <c r="AC1503" s="22">
        <f t="shared" si="297"/>
        <v>0</v>
      </c>
      <c r="AD1503" s="22">
        <f t="shared" si="299"/>
        <v>0</v>
      </c>
      <c r="AE1503" s="22">
        <f t="shared" si="300"/>
        <v>0</v>
      </c>
      <c r="AF1503" s="19" t="str">
        <f>VLOOKUP(C1503,'2021-22 School Level AAFTE'!C:N,12,FALSE)</f>
        <v>No</v>
      </c>
    </row>
    <row r="1504" spans="1:32" s="5" customFormat="1">
      <c r="A1504" s="97" t="s">
        <v>2439</v>
      </c>
      <c r="B1504" s="97" t="s">
        <v>1299</v>
      </c>
      <c r="C1504" s="95">
        <v>1640</v>
      </c>
      <c r="D1504" s="95" t="s">
        <v>2913</v>
      </c>
      <c r="E1504" s="129">
        <f>VLOOKUP($C1504,'2021-22 School Level AAFTE'!$C:$Z,11,FALSE)</f>
        <v>0.46346666666666669</v>
      </c>
      <c r="F1504" s="129" t="str">
        <f>VLOOKUP($C1504,'2021-22 School Level AAFTE'!$C:$Z,8,FALSE)</f>
        <v>No</v>
      </c>
      <c r="G1504" s="129" t="str">
        <f>VLOOKUP($C1504,'2021-22 School Level AAFTE'!$C:$Z,12,FALSE)</f>
        <v>No</v>
      </c>
      <c r="H1504" s="127">
        <f>VLOOKUP($C1504,'2021-22 School Level AAFTE'!$C:$I,7,FALSE)</f>
        <v>441.74</v>
      </c>
      <c r="I1504" s="112">
        <f>IFERROR(IF(OR(G1504="yes",F1504= "yes"),VLOOKUP(C1504,Summary!$B:$J,6,0),0),0)</f>
        <v>0</v>
      </c>
      <c r="J1504" s="111">
        <f t="shared" si="291"/>
        <v>0</v>
      </c>
      <c r="K1504" s="91">
        <f>VLOOKUP($A1504,'2022-23 Salary &amp; Benefits'!$A:$I,3,FALSE)</f>
        <v>1.06</v>
      </c>
      <c r="L1504" s="91">
        <f>VLOOKUP($A1504,'2022-23 Salary &amp; Benefits'!$A:$I,4,FALSE)</f>
        <v>1.06</v>
      </c>
      <c r="M1504" s="39">
        <f t="shared" si="298"/>
        <v>0</v>
      </c>
      <c r="N1504" s="24">
        <v>15</v>
      </c>
      <c r="O1504" s="26">
        <f t="shared" si="289"/>
        <v>0</v>
      </c>
      <c r="P1504" s="24">
        <v>1.1000000000000001</v>
      </c>
      <c r="Q1504" s="24">
        <v>36</v>
      </c>
      <c r="R1504" s="27">
        <f t="shared" si="290"/>
        <v>0</v>
      </c>
      <c r="S1504" s="102">
        <f t="shared" si="292"/>
        <v>0</v>
      </c>
      <c r="T1504" s="21">
        <f>VLOOKUP($A1504,'2022-23 Salary &amp; Benefits'!$A:$I,5,FALSE)</f>
        <v>68937</v>
      </c>
      <c r="U1504" s="21">
        <f>VLOOKUP($A1504,'2022-23 Salary &amp; Benefits'!$A:$I,6,FALSE)</f>
        <v>72728</v>
      </c>
      <c r="V1504" s="22">
        <f t="shared" si="293"/>
        <v>0</v>
      </c>
      <c r="W1504" s="22">
        <f t="shared" si="294"/>
        <v>0</v>
      </c>
      <c r="X1504" s="22">
        <f>'2022-23 Salary &amp; Benefits'!$G$6</f>
        <v>12558.24</v>
      </c>
      <c r="Y1504" s="23">
        <f>'2022-23 Salary &amp; Benefits'!$H$6</f>
        <v>0.2298</v>
      </c>
      <c r="Z1504" s="23">
        <f>'2022-23 Salary &amp; Benefits'!$I$6</f>
        <v>0.22339999999999999</v>
      </c>
      <c r="AA1504" s="22">
        <f t="shared" si="295"/>
        <v>0</v>
      </c>
      <c r="AB1504" s="22">
        <f t="shared" si="296"/>
        <v>0</v>
      </c>
      <c r="AC1504" s="22">
        <f t="shared" si="297"/>
        <v>0</v>
      </c>
      <c r="AD1504" s="22">
        <f t="shared" si="299"/>
        <v>0</v>
      </c>
      <c r="AE1504" s="22">
        <f t="shared" si="300"/>
        <v>0</v>
      </c>
      <c r="AF1504" s="19" t="str">
        <f>VLOOKUP(C1504,'2021-22 School Level AAFTE'!C:N,12,FALSE)</f>
        <v>No</v>
      </c>
    </row>
    <row r="1505" spans="1:284" s="5" customFormat="1">
      <c r="A1505" s="97" t="s">
        <v>2439</v>
      </c>
      <c r="B1505" s="97" t="s">
        <v>1299</v>
      </c>
      <c r="C1505" s="95">
        <v>2125</v>
      </c>
      <c r="D1505" s="95" t="s">
        <v>1300</v>
      </c>
      <c r="E1505" s="129">
        <f>VLOOKUP($C1505,'2021-22 School Level AAFTE'!$C:$Z,11,FALSE)</f>
        <v>0.29436666666666667</v>
      </c>
      <c r="F1505" s="129" t="str">
        <f>VLOOKUP($C1505,'2021-22 School Level AAFTE'!$C:$Z,8,FALSE)</f>
        <v>No</v>
      </c>
      <c r="G1505" s="129" t="str">
        <f>VLOOKUP($C1505,'2021-22 School Level AAFTE'!$C:$Z,12,FALSE)</f>
        <v>No</v>
      </c>
      <c r="H1505" s="127">
        <f>VLOOKUP($C1505,'2021-22 School Level AAFTE'!$C:$I,7,FALSE)</f>
        <v>1708.76</v>
      </c>
      <c r="I1505" s="112">
        <f>IFERROR(IF(OR(G1505="yes",F1505= "yes"),VLOOKUP(C1505,Summary!$B:$J,6,0),0),0)</f>
        <v>0</v>
      </c>
      <c r="J1505" s="111">
        <f t="shared" si="291"/>
        <v>0</v>
      </c>
      <c r="K1505" s="91">
        <f>VLOOKUP($A1505,'2022-23 Salary &amp; Benefits'!$A:$I,3,FALSE)</f>
        <v>1.06</v>
      </c>
      <c r="L1505" s="91">
        <f>VLOOKUP($A1505,'2022-23 Salary &amp; Benefits'!$A:$I,4,FALSE)</f>
        <v>1.06</v>
      </c>
      <c r="M1505" s="39">
        <f t="shared" si="298"/>
        <v>0</v>
      </c>
      <c r="N1505" s="24">
        <v>15</v>
      </c>
      <c r="O1505" s="26">
        <f t="shared" si="289"/>
        <v>0</v>
      </c>
      <c r="P1505" s="24">
        <v>1.1000000000000001</v>
      </c>
      <c r="Q1505" s="24">
        <v>36</v>
      </c>
      <c r="R1505" s="27">
        <f t="shared" si="290"/>
        <v>0</v>
      </c>
      <c r="S1505" s="102">
        <f t="shared" si="292"/>
        <v>0</v>
      </c>
      <c r="T1505" s="21">
        <f>VLOOKUP($A1505,'2022-23 Salary &amp; Benefits'!$A:$I,5,FALSE)</f>
        <v>68937</v>
      </c>
      <c r="U1505" s="21">
        <f>VLOOKUP($A1505,'2022-23 Salary &amp; Benefits'!$A:$I,6,FALSE)</f>
        <v>72728</v>
      </c>
      <c r="V1505" s="22">
        <f t="shared" si="293"/>
        <v>0</v>
      </c>
      <c r="W1505" s="22">
        <f t="shared" si="294"/>
        <v>0</v>
      </c>
      <c r="X1505" s="22">
        <f>'2022-23 Salary &amp; Benefits'!$G$6</f>
        <v>12558.24</v>
      </c>
      <c r="Y1505" s="23">
        <f>'2022-23 Salary &amp; Benefits'!$H$6</f>
        <v>0.2298</v>
      </c>
      <c r="Z1505" s="23">
        <f>'2022-23 Salary &amp; Benefits'!$I$6</f>
        <v>0.22339999999999999</v>
      </c>
      <c r="AA1505" s="22">
        <f t="shared" si="295"/>
        <v>0</v>
      </c>
      <c r="AB1505" s="22">
        <f t="shared" si="296"/>
        <v>0</v>
      </c>
      <c r="AC1505" s="22">
        <f t="shared" si="297"/>
        <v>0</v>
      </c>
      <c r="AD1505" s="22">
        <f t="shared" si="299"/>
        <v>0</v>
      </c>
      <c r="AE1505" s="22">
        <f t="shared" si="300"/>
        <v>0</v>
      </c>
      <c r="AF1505" s="19" t="str">
        <f>VLOOKUP(C1505,'2021-22 School Level AAFTE'!C:N,12,FALSE)</f>
        <v>No</v>
      </c>
    </row>
    <row r="1506" spans="1:284" s="5" customFormat="1">
      <c r="A1506" s="97" t="s">
        <v>2439</v>
      </c>
      <c r="B1506" s="97" t="s">
        <v>1299</v>
      </c>
      <c r="C1506" s="95">
        <v>2311</v>
      </c>
      <c r="D1506" s="95" t="s">
        <v>1301</v>
      </c>
      <c r="E1506" s="129">
        <f>VLOOKUP($C1506,'2021-22 School Level AAFTE'!$C:$Z,11,FALSE)</f>
        <v>0.57690000000000008</v>
      </c>
      <c r="F1506" s="129" t="str">
        <f>VLOOKUP($C1506,'2021-22 School Level AAFTE'!$C:$Z,8,FALSE)</f>
        <v>Yes</v>
      </c>
      <c r="G1506" s="129" t="str">
        <f>VLOOKUP($C1506,'2021-22 School Level AAFTE'!$C:$Z,12,FALSE)</f>
        <v>No</v>
      </c>
      <c r="H1506" s="127">
        <f>VLOOKUP($C1506,'2021-22 School Level AAFTE'!$C:$I,7,FALSE)</f>
        <v>283.33</v>
      </c>
      <c r="I1506" s="112">
        <f>IFERROR(IF(OR(G1506="yes",F1506= "yes"),VLOOKUP(C1506,Summary!$B:$J,6,0),0),0)</f>
        <v>0</v>
      </c>
      <c r="J1506" s="111">
        <f t="shared" si="291"/>
        <v>283.33</v>
      </c>
      <c r="K1506" s="91">
        <f>VLOOKUP($A1506,'2022-23 Salary &amp; Benefits'!$A:$I,3,FALSE)</f>
        <v>1.06</v>
      </c>
      <c r="L1506" s="91">
        <f>VLOOKUP($A1506,'2022-23 Salary &amp; Benefits'!$A:$I,4,FALSE)</f>
        <v>1.06</v>
      </c>
      <c r="M1506" s="39">
        <f t="shared" si="298"/>
        <v>283.33</v>
      </c>
      <c r="N1506" s="24">
        <v>15</v>
      </c>
      <c r="O1506" s="26">
        <f t="shared" si="289"/>
        <v>18.888666666666666</v>
      </c>
      <c r="P1506" s="24">
        <v>1.1000000000000001</v>
      </c>
      <c r="Q1506" s="24">
        <v>36</v>
      </c>
      <c r="R1506" s="27">
        <f t="shared" si="290"/>
        <v>747.99120000000005</v>
      </c>
      <c r="S1506" s="102">
        <f t="shared" si="292"/>
        <v>0.83099999999999996</v>
      </c>
      <c r="T1506" s="21">
        <f>VLOOKUP($A1506,'2022-23 Salary &amp; Benefits'!$A:$I,5,FALSE)</f>
        <v>68937</v>
      </c>
      <c r="U1506" s="21">
        <f>VLOOKUP($A1506,'2022-23 Salary &amp; Benefits'!$A:$I,6,FALSE)</f>
        <v>72728</v>
      </c>
      <c r="V1506" s="22">
        <f t="shared" si="293"/>
        <v>60723.85</v>
      </c>
      <c r="W1506" s="22">
        <f t="shared" si="294"/>
        <v>3339.3400000000038</v>
      </c>
      <c r="X1506" s="22">
        <f>'2022-23 Salary &amp; Benefits'!$G$6</f>
        <v>12558.24</v>
      </c>
      <c r="Y1506" s="23">
        <f>'2022-23 Salary &amp; Benefits'!$H$6</f>
        <v>0.2298</v>
      </c>
      <c r="Z1506" s="23">
        <f>'2022-23 Salary &amp; Benefits'!$I$6</f>
        <v>0.22339999999999999</v>
      </c>
      <c r="AA1506" s="22">
        <f t="shared" si="295"/>
        <v>25136.25</v>
      </c>
      <c r="AB1506" s="22">
        <f t="shared" si="296"/>
        <v>1067.72</v>
      </c>
      <c r="AC1506" s="22">
        <f t="shared" si="297"/>
        <v>238.53</v>
      </c>
      <c r="AD1506" s="22">
        <f t="shared" si="299"/>
        <v>1306.25</v>
      </c>
      <c r="AE1506" s="22">
        <f t="shared" si="300"/>
        <v>90505.69</v>
      </c>
      <c r="AF1506" s="19" t="str">
        <f>VLOOKUP(C1506,'2021-22 School Level AAFTE'!C:N,12,FALSE)</f>
        <v>No</v>
      </c>
    </row>
    <row r="1507" spans="1:284" s="5" customFormat="1">
      <c r="A1507" s="97" t="s">
        <v>2439</v>
      </c>
      <c r="B1507" s="97" t="s">
        <v>1299</v>
      </c>
      <c r="C1507" s="95">
        <v>2334</v>
      </c>
      <c r="D1507" s="95" t="s">
        <v>1302</v>
      </c>
      <c r="E1507" s="129">
        <f>VLOOKUP($C1507,'2021-22 School Level AAFTE'!$C:$Z,11,FALSE)</f>
        <v>0.33149999999999996</v>
      </c>
      <c r="F1507" s="129" t="str">
        <f>VLOOKUP($C1507,'2021-22 School Level AAFTE'!$C:$Z,8,FALSE)</f>
        <v>No</v>
      </c>
      <c r="G1507" s="129" t="str">
        <f>VLOOKUP($C1507,'2021-22 School Level AAFTE'!$C:$Z,12,FALSE)</f>
        <v>No</v>
      </c>
      <c r="H1507" s="127">
        <f>VLOOKUP($C1507,'2021-22 School Level AAFTE'!$C:$I,7,FALSE)</f>
        <v>358.86</v>
      </c>
      <c r="I1507" s="112">
        <f>IFERROR(IF(OR(G1507="yes",F1507= "yes"),VLOOKUP(C1507,Summary!$B:$J,6,0),0),0)</f>
        <v>0</v>
      </c>
      <c r="J1507" s="111">
        <f t="shared" si="291"/>
        <v>0</v>
      </c>
      <c r="K1507" s="91">
        <f>VLOOKUP($A1507,'2022-23 Salary &amp; Benefits'!$A:$I,3,FALSE)</f>
        <v>1.06</v>
      </c>
      <c r="L1507" s="91">
        <f>VLOOKUP($A1507,'2022-23 Salary &amp; Benefits'!$A:$I,4,FALSE)</f>
        <v>1.06</v>
      </c>
      <c r="M1507" s="39">
        <f t="shared" si="298"/>
        <v>0</v>
      </c>
      <c r="N1507" s="24">
        <v>15</v>
      </c>
      <c r="O1507" s="26">
        <f t="shared" si="289"/>
        <v>0</v>
      </c>
      <c r="P1507" s="24">
        <v>1.1000000000000001</v>
      </c>
      <c r="Q1507" s="24">
        <v>36</v>
      </c>
      <c r="R1507" s="27">
        <f t="shared" si="290"/>
        <v>0</v>
      </c>
      <c r="S1507" s="102">
        <f t="shared" si="292"/>
        <v>0</v>
      </c>
      <c r="T1507" s="21">
        <f>VLOOKUP($A1507,'2022-23 Salary &amp; Benefits'!$A:$I,5,FALSE)</f>
        <v>68937</v>
      </c>
      <c r="U1507" s="21">
        <f>VLOOKUP($A1507,'2022-23 Salary &amp; Benefits'!$A:$I,6,FALSE)</f>
        <v>72728</v>
      </c>
      <c r="V1507" s="22">
        <f t="shared" si="293"/>
        <v>0</v>
      </c>
      <c r="W1507" s="22">
        <f t="shared" si="294"/>
        <v>0</v>
      </c>
      <c r="X1507" s="22">
        <f>'2022-23 Salary &amp; Benefits'!$G$6</f>
        <v>12558.24</v>
      </c>
      <c r="Y1507" s="23">
        <f>'2022-23 Salary &amp; Benefits'!$H$6</f>
        <v>0.2298</v>
      </c>
      <c r="Z1507" s="23">
        <f>'2022-23 Salary &amp; Benefits'!$I$6</f>
        <v>0.22339999999999999</v>
      </c>
      <c r="AA1507" s="22">
        <f t="shared" si="295"/>
        <v>0</v>
      </c>
      <c r="AB1507" s="22">
        <f t="shared" si="296"/>
        <v>0</v>
      </c>
      <c r="AC1507" s="22">
        <f t="shared" si="297"/>
        <v>0</v>
      </c>
      <c r="AD1507" s="22">
        <f t="shared" si="299"/>
        <v>0</v>
      </c>
      <c r="AE1507" s="22">
        <f t="shared" si="300"/>
        <v>0</v>
      </c>
      <c r="AF1507" s="19" t="str">
        <f>VLOOKUP(C1507,'2021-22 School Level AAFTE'!C:N,12,FALSE)</f>
        <v>No</v>
      </c>
    </row>
    <row r="1508" spans="1:284" s="5" customFormat="1">
      <c r="A1508" s="97" t="s">
        <v>2439</v>
      </c>
      <c r="B1508" s="97" t="s">
        <v>1299</v>
      </c>
      <c r="C1508" s="95">
        <v>2495</v>
      </c>
      <c r="D1508" s="95" t="s">
        <v>1303</v>
      </c>
      <c r="E1508" s="129">
        <f>VLOOKUP($C1508,'2021-22 School Level AAFTE'!$C:$Z,11,FALSE)</f>
        <v>0.53703333333333336</v>
      </c>
      <c r="F1508" s="129" t="str">
        <f>VLOOKUP($C1508,'2021-22 School Level AAFTE'!$C:$Z,8,FALSE)</f>
        <v>Yes</v>
      </c>
      <c r="G1508" s="129" t="str">
        <f>VLOOKUP($C1508,'2021-22 School Level AAFTE'!$C:$Z,12,FALSE)</f>
        <v>No</v>
      </c>
      <c r="H1508" s="127">
        <f>VLOOKUP($C1508,'2021-22 School Level AAFTE'!$C:$I,7,FALSE)</f>
        <v>312.58</v>
      </c>
      <c r="I1508" s="112">
        <f>IFERROR(IF(OR(G1508="yes",F1508= "yes"),VLOOKUP(C1508,Summary!$B:$J,6,0),0),0)</f>
        <v>0</v>
      </c>
      <c r="J1508" s="111">
        <f t="shared" si="291"/>
        <v>312.58</v>
      </c>
      <c r="K1508" s="91">
        <f>VLOOKUP($A1508,'2022-23 Salary &amp; Benefits'!$A:$I,3,FALSE)</f>
        <v>1.06</v>
      </c>
      <c r="L1508" s="91">
        <f>VLOOKUP($A1508,'2022-23 Salary &amp; Benefits'!$A:$I,4,FALSE)</f>
        <v>1.06</v>
      </c>
      <c r="M1508" s="39">
        <f t="shared" si="298"/>
        <v>312.58</v>
      </c>
      <c r="N1508" s="24">
        <v>15</v>
      </c>
      <c r="O1508" s="26">
        <f t="shared" si="289"/>
        <v>20.838666666666665</v>
      </c>
      <c r="P1508" s="24">
        <v>1.1000000000000001</v>
      </c>
      <c r="Q1508" s="24">
        <v>36</v>
      </c>
      <c r="R1508" s="27">
        <f t="shared" si="290"/>
        <v>825.21119999999996</v>
      </c>
      <c r="S1508" s="102">
        <f t="shared" si="292"/>
        <v>0.91700000000000004</v>
      </c>
      <c r="T1508" s="21">
        <f>VLOOKUP($A1508,'2022-23 Salary &amp; Benefits'!$A:$I,5,FALSE)</f>
        <v>68937</v>
      </c>
      <c r="U1508" s="21">
        <f>VLOOKUP($A1508,'2022-23 Salary &amp; Benefits'!$A:$I,6,FALSE)</f>
        <v>72728</v>
      </c>
      <c r="V1508" s="22">
        <f t="shared" si="293"/>
        <v>67008.14</v>
      </c>
      <c r="W1508" s="22">
        <f t="shared" si="294"/>
        <v>3684.9300000000076</v>
      </c>
      <c r="X1508" s="22">
        <f>'2022-23 Salary &amp; Benefits'!$G$6</f>
        <v>12558.24</v>
      </c>
      <c r="Y1508" s="23">
        <f>'2022-23 Salary &amp; Benefits'!$H$6</f>
        <v>0.2298</v>
      </c>
      <c r="Z1508" s="23">
        <f>'2022-23 Salary &amp; Benefits'!$I$6</f>
        <v>0.22339999999999999</v>
      </c>
      <c r="AA1508" s="22">
        <f t="shared" si="295"/>
        <v>27737.59</v>
      </c>
      <c r="AB1508" s="22">
        <f t="shared" si="296"/>
        <v>1178.22</v>
      </c>
      <c r="AC1508" s="22">
        <f t="shared" si="297"/>
        <v>263.20999999999998</v>
      </c>
      <c r="AD1508" s="22">
        <f t="shared" si="299"/>
        <v>1441.43</v>
      </c>
      <c r="AE1508" s="22">
        <f t="shared" si="300"/>
        <v>99872.09</v>
      </c>
      <c r="AF1508" s="19" t="str">
        <f>VLOOKUP(C1508,'2021-22 School Level AAFTE'!C:N,12,FALSE)</f>
        <v>No</v>
      </c>
    </row>
    <row r="1509" spans="1:284" s="5" customFormat="1">
      <c r="A1509" s="97" t="s">
        <v>2439</v>
      </c>
      <c r="B1509" s="97" t="s">
        <v>1299</v>
      </c>
      <c r="C1509" s="95">
        <v>2496</v>
      </c>
      <c r="D1509" s="95" t="s">
        <v>1304</v>
      </c>
      <c r="E1509" s="129">
        <f>VLOOKUP($C1509,'2021-22 School Level AAFTE'!$C:$Z,11,FALSE)</f>
        <v>0.55853333333333322</v>
      </c>
      <c r="F1509" s="129" t="str">
        <f>VLOOKUP($C1509,'2021-22 School Level AAFTE'!$C:$Z,8,FALSE)</f>
        <v>Yes</v>
      </c>
      <c r="G1509" s="129" t="str">
        <f>VLOOKUP($C1509,'2021-22 School Level AAFTE'!$C:$Z,12,FALSE)</f>
        <v>No</v>
      </c>
      <c r="H1509" s="127">
        <f>VLOOKUP($C1509,'2021-22 School Level AAFTE'!$C:$I,7,FALSE)</f>
        <v>565.45000000000005</v>
      </c>
      <c r="I1509" s="112">
        <f>IFERROR(IF(OR(G1509="yes",F1509= "yes"),VLOOKUP(C1509,Summary!$B:$J,6,0),0),0)</f>
        <v>0</v>
      </c>
      <c r="J1509" s="111">
        <f t="shared" si="291"/>
        <v>565.45000000000005</v>
      </c>
      <c r="K1509" s="91">
        <f>VLOOKUP($A1509,'2022-23 Salary &amp; Benefits'!$A:$I,3,FALSE)</f>
        <v>1.06</v>
      </c>
      <c r="L1509" s="91">
        <f>VLOOKUP($A1509,'2022-23 Salary &amp; Benefits'!$A:$I,4,FALSE)</f>
        <v>1.06</v>
      </c>
      <c r="M1509" s="39">
        <f t="shared" si="298"/>
        <v>565.45000000000005</v>
      </c>
      <c r="N1509" s="24">
        <v>15</v>
      </c>
      <c r="O1509" s="26">
        <f t="shared" si="289"/>
        <v>37.696666666666673</v>
      </c>
      <c r="P1509" s="24">
        <v>1.1000000000000001</v>
      </c>
      <c r="Q1509" s="24">
        <v>36</v>
      </c>
      <c r="R1509" s="27">
        <f t="shared" si="290"/>
        <v>1492.7880000000005</v>
      </c>
      <c r="S1509" s="102">
        <f t="shared" si="292"/>
        <v>1.659</v>
      </c>
      <c r="T1509" s="21">
        <f>VLOOKUP($A1509,'2022-23 Salary &amp; Benefits'!$A:$I,5,FALSE)</f>
        <v>68937</v>
      </c>
      <c r="U1509" s="21">
        <f>VLOOKUP($A1509,'2022-23 Salary &amp; Benefits'!$A:$I,6,FALSE)</f>
        <v>72728</v>
      </c>
      <c r="V1509" s="22">
        <f t="shared" si="293"/>
        <v>121228.47</v>
      </c>
      <c r="W1509" s="22">
        <f t="shared" si="294"/>
        <v>6666.6300000000047</v>
      </c>
      <c r="X1509" s="22">
        <f>'2022-23 Salary &amp; Benefits'!$G$6</f>
        <v>12558.24</v>
      </c>
      <c r="Y1509" s="23">
        <f>'2022-23 Salary &amp; Benefits'!$H$6</f>
        <v>0.2298</v>
      </c>
      <c r="Z1509" s="23">
        <f>'2022-23 Salary &amp; Benefits'!$I$6</f>
        <v>0.22339999999999999</v>
      </c>
      <c r="AA1509" s="22">
        <f t="shared" si="295"/>
        <v>50181.75</v>
      </c>
      <c r="AB1509" s="22">
        <f t="shared" si="296"/>
        <v>2131.58</v>
      </c>
      <c r="AC1509" s="22">
        <f t="shared" si="297"/>
        <v>476.19</v>
      </c>
      <c r="AD1509" s="22">
        <f t="shared" si="299"/>
        <v>2607.77</v>
      </c>
      <c r="AE1509" s="22">
        <f t="shared" si="300"/>
        <v>180684.62</v>
      </c>
      <c r="AF1509" s="19" t="str">
        <f>VLOOKUP(C1509,'2021-22 School Level AAFTE'!C:N,12,FALSE)</f>
        <v>No</v>
      </c>
    </row>
    <row r="1510" spans="1:284" s="5" customFormat="1">
      <c r="A1510" s="97" t="s">
        <v>2439</v>
      </c>
      <c r="B1510" s="97" t="s">
        <v>1299</v>
      </c>
      <c r="C1510" s="95">
        <v>2497</v>
      </c>
      <c r="D1510" s="95" t="s">
        <v>1305</v>
      </c>
      <c r="E1510" s="129">
        <f>VLOOKUP($C1510,'2021-22 School Level AAFTE'!$C:$Z,11,FALSE)</f>
        <v>0.49756666666666671</v>
      </c>
      <c r="F1510" s="129" t="str">
        <f>VLOOKUP($C1510,'2021-22 School Level AAFTE'!$C:$Z,8,FALSE)</f>
        <v>No</v>
      </c>
      <c r="G1510" s="129" t="str">
        <f>VLOOKUP($C1510,'2021-22 School Level AAFTE'!$C:$Z,12,FALSE)</f>
        <v>Yes</v>
      </c>
      <c r="H1510" s="127">
        <f>VLOOKUP($C1510,'2021-22 School Level AAFTE'!$C:$I,7,FALSE)</f>
        <v>286.29000000000002</v>
      </c>
      <c r="I1510" s="112">
        <f>IFERROR(IF(OR(G1510="yes",F1510= "yes"),VLOOKUP(C1510,Summary!$B:$J,6,0),0),0)</f>
        <v>0</v>
      </c>
      <c r="J1510" s="111">
        <f t="shared" si="291"/>
        <v>286.29000000000002</v>
      </c>
      <c r="K1510" s="91">
        <f>VLOOKUP($A1510,'2022-23 Salary &amp; Benefits'!$A:$I,3,FALSE)</f>
        <v>1.06</v>
      </c>
      <c r="L1510" s="91">
        <f>VLOOKUP($A1510,'2022-23 Salary &amp; Benefits'!$A:$I,4,FALSE)</f>
        <v>1.06</v>
      </c>
      <c r="M1510" s="101">
        <f t="shared" si="298"/>
        <v>286.29000000000002</v>
      </c>
      <c r="N1510" s="24">
        <v>15</v>
      </c>
      <c r="O1510" s="26">
        <f t="shared" si="289"/>
        <v>19.086000000000002</v>
      </c>
      <c r="P1510" s="24">
        <v>1.1000000000000001</v>
      </c>
      <c r="Q1510" s="24">
        <v>36</v>
      </c>
      <c r="R1510" s="27">
        <f t="shared" si="290"/>
        <v>755.80560000000014</v>
      </c>
      <c r="S1510" s="102">
        <f t="shared" si="292"/>
        <v>0.84</v>
      </c>
      <c r="T1510" s="21">
        <f>VLOOKUP($A1510,'2022-23 Salary &amp; Benefits'!$A:$I,5,FALSE)</f>
        <v>68937</v>
      </c>
      <c r="U1510" s="21">
        <f>VLOOKUP($A1510,'2022-23 Salary &amp; Benefits'!$A:$I,6,FALSE)</f>
        <v>72728</v>
      </c>
      <c r="V1510" s="22">
        <f t="shared" si="293"/>
        <v>61381.5</v>
      </c>
      <c r="W1510" s="22">
        <f t="shared" si="294"/>
        <v>3375.510000000002</v>
      </c>
      <c r="X1510" s="22">
        <f>'2022-23 Salary &amp; Benefits'!$G$6</f>
        <v>12558.24</v>
      </c>
      <c r="Y1510" s="23">
        <f>'2022-23 Salary &amp; Benefits'!$H$6</f>
        <v>0.2298</v>
      </c>
      <c r="Z1510" s="23">
        <f>'2022-23 Salary &amp; Benefits'!$I$6</f>
        <v>0.22339999999999999</v>
      </c>
      <c r="AA1510" s="22">
        <f t="shared" si="295"/>
        <v>25408.48</v>
      </c>
      <c r="AB1510" s="22">
        <f t="shared" si="296"/>
        <v>1079.28</v>
      </c>
      <c r="AC1510" s="22">
        <f t="shared" si="297"/>
        <v>241.11</v>
      </c>
      <c r="AD1510" s="22">
        <f t="shared" si="299"/>
        <v>1320.3899999999999</v>
      </c>
      <c r="AE1510" s="22">
        <f t="shared" si="300"/>
        <v>91485.87999999999</v>
      </c>
      <c r="AF1510" s="19" t="str">
        <f>VLOOKUP(C1510,'2021-22 School Level AAFTE'!C:N,12,FALSE)</f>
        <v>Yes</v>
      </c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  <c r="IU1510" s="3"/>
      <c r="IV1510" s="3"/>
      <c r="IW1510" s="3"/>
      <c r="IX1510" s="3"/>
      <c r="IY1510" s="3"/>
      <c r="IZ1510" s="3"/>
      <c r="JA1510" s="3"/>
      <c r="JB1510" s="3"/>
      <c r="JC1510" s="3"/>
      <c r="JD1510" s="3"/>
      <c r="JE1510" s="3"/>
      <c r="JF1510" s="3"/>
      <c r="JG1510" s="3"/>
      <c r="JH1510" s="3"/>
      <c r="JI1510" s="3"/>
      <c r="JJ1510" s="3"/>
      <c r="JK1510" s="3"/>
      <c r="JL1510" s="3"/>
      <c r="JM1510" s="3"/>
      <c r="JN1510" s="3"/>
      <c r="JO1510" s="3"/>
      <c r="JP1510" s="3"/>
      <c r="JQ1510" s="3"/>
      <c r="JR1510" s="3"/>
      <c r="JS1510" s="3"/>
      <c r="JT1510" s="3"/>
      <c r="JU1510" s="3"/>
      <c r="JV1510" s="3"/>
      <c r="JW1510" s="3"/>
      <c r="JX1510" s="3"/>
    </row>
    <row r="1511" spans="1:284" s="5" customFormat="1">
      <c r="A1511" s="97" t="s">
        <v>2439</v>
      </c>
      <c r="B1511" s="97" t="s">
        <v>1299</v>
      </c>
      <c r="C1511" s="95">
        <v>2498</v>
      </c>
      <c r="D1511" s="95" t="s">
        <v>1306</v>
      </c>
      <c r="E1511" s="129">
        <f>VLOOKUP($C1511,'2021-22 School Level AAFTE'!$C:$Z,11,FALSE)</f>
        <v>0.26673333333333332</v>
      </c>
      <c r="F1511" s="129" t="str">
        <f>VLOOKUP($C1511,'2021-22 School Level AAFTE'!$C:$Z,8,FALSE)</f>
        <v>No</v>
      </c>
      <c r="G1511" s="129" t="str">
        <f>VLOOKUP($C1511,'2021-22 School Level AAFTE'!$C:$Z,12,FALSE)</f>
        <v>No</v>
      </c>
      <c r="H1511" s="127">
        <f>VLOOKUP($C1511,'2021-22 School Level AAFTE'!$C:$I,7,FALSE)</f>
        <v>334.25</v>
      </c>
      <c r="I1511" s="112">
        <f>IFERROR(IF(OR(G1511="yes",F1511= "yes"),VLOOKUP(C1511,Summary!$B:$J,6,0),0),0)</f>
        <v>0</v>
      </c>
      <c r="J1511" s="111">
        <f t="shared" si="291"/>
        <v>0</v>
      </c>
      <c r="K1511" s="91">
        <f>VLOOKUP($A1511,'2022-23 Salary &amp; Benefits'!$A:$I,3,FALSE)</f>
        <v>1.06</v>
      </c>
      <c r="L1511" s="91">
        <f>VLOOKUP($A1511,'2022-23 Salary &amp; Benefits'!$A:$I,4,FALSE)</f>
        <v>1.06</v>
      </c>
      <c r="M1511" s="101">
        <f t="shared" si="298"/>
        <v>0</v>
      </c>
      <c r="N1511" s="24">
        <v>15</v>
      </c>
      <c r="O1511" s="26">
        <f t="shared" si="289"/>
        <v>0</v>
      </c>
      <c r="P1511" s="24">
        <v>1.1000000000000001</v>
      </c>
      <c r="Q1511" s="24">
        <v>36</v>
      </c>
      <c r="R1511" s="27">
        <f t="shared" si="290"/>
        <v>0</v>
      </c>
      <c r="S1511" s="102">
        <f t="shared" si="292"/>
        <v>0</v>
      </c>
      <c r="T1511" s="21">
        <f>VLOOKUP($A1511,'2022-23 Salary &amp; Benefits'!$A:$I,5,FALSE)</f>
        <v>68937</v>
      </c>
      <c r="U1511" s="21">
        <f>VLOOKUP($A1511,'2022-23 Salary &amp; Benefits'!$A:$I,6,FALSE)</f>
        <v>72728</v>
      </c>
      <c r="V1511" s="22">
        <f t="shared" si="293"/>
        <v>0</v>
      </c>
      <c r="W1511" s="22">
        <f t="shared" si="294"/>
        <v>0</v>
      </c>
      <c r="X1511" s="22">
        <f>'2022-23 Salary &amp; Benefits'!$G$6</f>
        <v>12558.24</v>
      </c>
      <c r="Y1511" s="23">
        <f>'2022-23 Salary &amp; Benefits'!$H$6</f>
        <v>0.2298</v>
      </c>
      <c r="Z1511" s="23">
        <f>'2022-23 Salary &amp; Benefits'!$I$6</f>
        <v>0.22339999999999999</v>
      </c>
      <c r="AA1511" s="22">
        <f t="shared" si="295"/>
        <v>0</v>
      </c>
      <c r="AB1511" s="22">
        <f t="shared" si="296"/>
        <v>0</v>
      </c>
      <c r="AC1511" s="22">
        <f t="shared" si="297"/>
        <v>0</v>
      </c>
      <c r="AD1511" s="22">
        <f t="shared" si="299"/>
        <v>0</v>
      </c>
      <c r="AE1511" s="22">
        <f t="shared" si="300"/>
        <v>0</v>
      </c>
      <c r="AF1511" s="19" t="str">
        <f>VLOOKUP(C1511,'2021-22 School Level AAFTE'!C:N,12,FALSE)</f>
        <v>No</v>
      </c>
    </row>
    <row r="1512" spans="1:284" s="5" customFormat="1">
      <c r="A1512" s="97" t="s">
        <v>2439</v>
      </c>
      <c r="B1512" s="97" t="s">
        <v>1299</v>
      </c>
      <c r="C1512" s="95">
        <v>2519</v>
      </c>
      <c r="D1512" s="95" t="s">
        <v>1307</v>
      </c>
      <c r="E1512" s="129">
        <f>VLOOKUP($C1512,'2021-22 School Level AAFTE'!$C:$Z,11,FALSE)</f>
        <v>0.38663333333333333</v>
      </c>
      <c r="F1512" s="129" t="str">
        <f>VLOOKUP($C1512,'2021-22 School Level AAFTE'!$C:$Z,8,FALSE)</f>
        <v>No</v>
      </c>
      <c r="G1512" s="129" t="str">
        <f>VLOOKUP($C1512,'2021-22 School Level AAFTE'!$C:$Z,12,FALSE)</f>
        <v>No</v>
      </c>
      <c r="H1512" s="127">
        <f>VLOOKUP($C1512,'2021-22 School Level AAFTE'!$C:$I,7,FALSE)</f>
        <v>552.42999999999995</v>
      </c>
      <c r="I1512" s="112">
        <f>IFERROR(IF(OR(G1512="yes",F1512= "yes"),VLOOKUP(C1512,Summary!$B:$J,6,0),0),0)</f>
        <v>0</v>
      </c>
      <c r="J1512" s="111">
        <f t="shared" si="291"/>
        <v>0</v>
      </c>
      <c r="K1512" s="91">
        <f>VLOOKUP($A1512,'2022-23 Salary &amp; Benefits'!$A:$I,3,FALSE)</f>
        <v>1.06</v>
      </c>
      <c r="L1512" s="91">
        <f>VLOOKUP($A1512,'2022-23 Salary &amp; Benefits'!$A:$I,4,FALSE)</f>
        <v>1.06</v>
      </c>
      <c r="M1512" s="101">
        <f t="shared" si="298"/>
        <v>0</v>
      </c>
      <c r="N1512" s="24">
        <v>15</v>
      </c>
      <c r="O1512" s="26">
        <f t="shared" si="289"/>
        <v>0</v>
      </c>
      <c r="P1512" s="24">
        <v>1.1000000000000001</v>
      </c>
      <c r="Q1512" s="24">
        <v>36</v>
      </c>
      <c r="R1512" s="27">
        <f t="shared" si="290"/>
        <v>0</v>
      </c>
      <c r="S1512" s="102">
        <f t="shared" si="292"/>
        <v>0</v>
      </c>
      <c r="T1512" s="21">
        <f>VLOOKUP($A1512,'2022-23 Salary &amp; Benefits'!$A:$I,5,FALSE)</f>
        <v>68937</v>
      </c>
      <c r="U1512" s="21">
        <f>VLOOKUP($A1512,'2022-23 Salary &amp; Benefits'!$A:$I,6,FALSE)</f>
        <v>72728</v>
      </c>
      <c r="V1512" s="22">
        <f t="shared" si="293"/>
        <v>0</v>
      </c>
      <c r="W1512" s="22">
        <f t="shared" si="294"/>
        <v>0</v>
      </c>
      <c r="X1512" s="22">
        <f>'2022-23 Salary &amp; Benefits'!$G$6</f>
        <v>12558.24</v>
      </c>
      <c r="Y1512" s="23">
        <f>'2022-23 Salary &amp; Benefits'!$H$6</f>
        <v>0.2298</v>
      </c>
      <c r="Z1512" s="23">
        <f>'2022-23 Salary &amp; Benefits'!$I$6</f>
        <v>0.22339999999999999</v>
      </c>
      <c r="AA1512" s="22">
        <f t="shared" si="295"/>
        <v>0</v>
      </c>
      <c r="AB1512" s="22">
        <f t="shared" si="296"/>
        <v>0</v>
      </c>
      <c r="AC1512" s="22">
        <f t="shared" si="297"/>
        <v>0</v>
      </c>
      <c r="AD1512" s="22">
        <f t="shared" si="299"/>
        <v>0</v>
      </c>
      <c r="AE1512" s="22">
        <f t="shared" si="300"/>
        <v>0</v>
      </c>
      <c r="AF1512" s="19" t="str">
        <f>VLOOKUP(C1512,'2021-22 School Level AAFTE'!C:N,12,FALSE)</f>
        <v>No</v>
      </c>
    </row>
    <row r="1513" spans="1:284" s="5" customFormat="1">
      <c r="A1513" s="97" t="s">
        <v>2439</v>
      </c>
      <c r="B1513" s="97" t="s">
        <v>1299</v>
      </c>
      <c r="C1513" s="95">
        <v>2575</v>
      </c>
      <c r="D1513" s="95" t="s">
        <v>1308</v>
      </c>
      <c r="E1513" s="129">
        <f>VLOOKUP($C1513,'2021-22 School Level AAFTE'!$C:$Z,11,FALSE)</f>
        <v>0.32173333333333332</v>
      </c>
      <c r="F1513" s="129" t="str">
        <f>VLOOKUP($C1513,'2021-22 School Level AAFTE'!$C:$Z,8,FALSE)</f>
        <v>No</v>
      </c>
      <c r="G1513" s="129" t="str">
        <f>VLOOKUP($C1513,'2021-22 School Level AAFTE'!$C:$Z,12,FALSE)</f>
        <v>No</v>
      </c>
      <c r="H1513" s="127">
        <f>VLOOKUP($C1513,'2021-22 School Level AAFTE'!$C:$I,7,FALSE)</f>
        <v>489.85</v>
      </c>
      <c r="I1513" s="112">
        <f>IFERROR(IF(OR(G1513="yes",F1513= "yes"),VLOOKUP(C1513,Summary!$B:$J,6,0),0),0)</f>
        <v>0</v>
      </c>
      <c r="J1513" s="111">
        <f t="shared" si="291"/>
        <v>0</v>
      </c>
      <c r="K1513" s="91">
        <f>VLOOKUP($A1513,'2022-23 Salary &amp; Benefits'!$A:$I,3,FALSE)</f>
        <v>1.06</v>
      </c>
      <c r="L1513" s="91">
        <f>VLOOKUP($A1513,'2022-23 Salary &amp; Benefits'!$A:$I,4,FALSE)</f>
        <v>1.06</v>
      </c>
      <c r="M1513" s="101">
        <f t="shared" si="298"/>
        <v>0</v>
      </c>
      <c r="N1513" s="24">
        <v>15</v>
      </c>
      <c r="O1513" s="26">
        <f t="shared" si="289"/>
        <v>0</v>
      </c>
      <c r="P1513" s="24">
        <v>1.1000000000000001</v>
      </c>
      <c r="Q1513" s="24">
        <v>36</v>
      </c>
      <c r="R1513" s="27">
        <f t="shared" si="290"/>
        <v>0</v>
      </c>
      <c r="S1513" s="102">
        <f t="shared" si="292"/>
        <v>0</v>
      </c>
      <c r="T1513" s="21">
        <f>VLOOKUP($A1513,'2022-23 Salary &amp; Benefits'!$A:$I,5,FALSE)</f>
        <v>68937</v>
      </c>
      <c r="U1513" s="21">
        <f>VLOOKUP($A1513,'2022-23 Salary &amp; Benefits'!$A:$I,6,FALSE)</f>
        <v>72728</v>
      </c>
      <c r="V1513" s="22">
        <f t="shared" si="293"/>
        <v>0</v>
      </c>
      <c r="W1513" s="22">
        <f t="shared" si="294"/>
        <v>0</v>
      </c>
      <c r="X1513" s="22">
        <f>'2022-23 Salary &amp; Benefits'!$G$6</f>
        <v>12558.24</v>
      </c>
      <c r="Y1513" s="23">
        <f>'2022-23 Salary &amp; Benefits'!$H$6</f>
        <v>0.2298</v>
      </c>
      <c r="Z1513" s="23">
        <f>'2022-23 Salary &amp; Benefits'!$I$6</f>
        <v>0.22339999999999999</v>
      </c>
      <c r="AA1513" s="22">
        <f t="shared" si="295"/>
        <v>0</v>
      </c>
      <c r="AB1513" s="22">
        <f t="shared" si="296"/>
        <v>0</v>
      </c>
      <c r="AC1513" s="22">
        <f t="shared" si="297"/>
        <v>0</v>
      </c>
      <c r="AD1513" s="22">
        <f t="shared" si="299"/>
        <v>0</v>
      </c>
      <c r="AE1513" s="22">
        <f t="shared" si="300"/>
        <v>0</v>
      </c>
      <c r="AF1513" s="19" t="str">
        <f>VLOOKUP(C1513,'2021-22 School Level AAFTE'!C:N,12,FALSE)</f>
        <v>No</v>
      </c>
    </row>
    <row r="1514" spans="1:284" s="5" customFormat="1">
      <c r="A1514" s="97" t="s">
        <v>2439</v>
      </c>
      <c r="B1514" s="97" t="s">
        <v>1299</v>
      </c>
      <c r="C1514" s="95">
        <v>2870</v>
      </c>
      <c r="D1514" s="95" t="s">
        <v>1309</v>
      </c>
      <c r="E1514" s="129">
        <f>VLOOKUP($C1514,'2021-22 School Level AAFTE'!$C:$Z,11,FALSE)</f>
        <v>0.48110000000000003</v>
      </c>
      <c r="F1514" s="129" t="str">
        <f>VLOOKUP($C1514,'2021-22 School Level AAFTE'!$C:$Z,8,FALSE)</f>
        <v>No</v>
      </c>
      <c r="G1514" s="129" t="str">
        <f>VLOOKUP($C1514,'2021-22 School Level AAFTE'!$C:$Z,12,FALSE)</f>
        <v>No</v>
      </c>
      <c r="H1514" s="127">
        <f>VLOOKUP($C1514,'2021-22 School Level AAFTE'!$C:$I,7,FALSE)</f>
        <v>377.57</v>
      </c>
      <c r="I1514" s="112">
        <f>IFERROR(IF(OR(G1514="yes",F1514= "yes"),VLOOKUP(C1514,Summary!$B:$J,6,0),0),0)</f>
        <v>0</v>
      </c>
      <c r="J1514" s="111">
        <f t="shared" si="291"/>
        <v>0</v>
      </c>
      <c r="K1514" s="91">
        <f>VLOOKUP($A1514,'2022-23 Salary &amp; Benefits'!$A:$I,3,FALSE)</f>
        <v>1.06</v>
      </c>
      <c r="L1514" s="91">
        <f>VLOOKUP($A1514,'2022-23 Salary &amp; Benefits'!$A:$I,4,FALSE)</f>
        <v>1.06</v>
      </c>
      <c r="M1514" s="39">
        <f t="shared" si="298"/>
        <v>0</v>
      </c>
      <c r="N1514" s="24">
        <v>15</v>
      </c>
      <c r="O1514" s="26">
        <f t="shared" si="289"/>
        <v>0</v>
      </c>
      <c r="P1514" s="24">
        <v>1.1000000000000001</v>
      </c>
      <c r="Q1514" s="24">
        <v>36</v>
      </c>
      <c r="R1514" s="27">
        <f t="shared" si="290"/>
        <v>0</v>
      </c>
      <c r="S1514" s="102">
        <f t="shared" si="292"/>
        <v>0</v>
      </c>
      <c r="T1514" s="21">
        <f>VLOOKUP($A1514,'2022-23 Salary &amp; Benefits'!$A:$I,5,FALSE)</f>
        <v>68937</v>
      </c>
      <c r="U1514" s="21">
        <f>VLOOKUP($A1514,'2022-23 Salary &amp; Benefits'!$A:$I,6,FALSE)</f>
        <v>72728</v>
      </c>
      <c r="V1514" s="22">
        <f t="shared" si="293"/>
        <v>0</v>
      </c>
      <c r="W1514" s="22">
        <f t="shared" si="294"/>
        <v>0</v>
      </c>
      <c r="X1514" s="22">
        <f>'2022-23 Salary &amp; Benefits'!$G$6</f>
        <v>12558.24</v>
      </c>
      <c r="Y1514" s="23">
        <f>'2022-23 Salary &amp; Benefits'!$H$6</f>
        <v>0.2298</v>
      </c>
      <c r="Z1514" s="23">
        <f>'2022-23 Salary &amp; Benefits'!$I$6</f>
        <v>0.22339999999999999</v>
      </c>
      <c r="AA1514" s="22">
        <f t="shared" si="295"/>
        <v>0</v>
      </c>
      <c r="AB1514" s="22">
        <f t="shared" si="296"/>
        <v>0</v>
      </c>
      <c r="AC1514" s="22">
        <f t="shared" si="297"/>
        <v>0</v>
      </c>
      <c r="AD1514" s="22">
        <f t="shared" si="299"/>
        <v>0</v>
      </c>
      <c r="AE1514" s="22">
        <f t="shared" si="300"/>
        <v>0</v>
      </c>
      <c r="AF1514" s="19" t="str">
        <f>VLOOKUP(C1514,'2021-22 School Level AAFTE'!C:N,12,FALSE)</f>
        <v>No</v>
      </c>
    </row>
    <row r="1515" spans="1:284" s="5" customFormat="1">
      <c r="A1515" s="97" t="s">
        <v>2439</v>
      </c>
      <c r="B1515" s="97" t="s">
        <v>1299</v>
      </c>
      <c r="C1515" s="95">
        <v>3052</v>
      </c>
      <c r="D1515" s="95" t="s">
        <v>1310</v>
      </c>
      <c r="E1515" s="129">
        <f>VLOOKUP($C1515,'2021-22 School Level AAFTE'!$C:$Z,11,FALSE)</f>
        <v>0.33310000000000001</v>
      </c>
      <c r="F1515" s="129" t="str">
        <f>VLOOKUP($C1515,'2021-22 School Level AAFTE'!$C:$Z,8,FALSE)</f>
        <v>No</v>
      </c>
      <c r="G1515" s="129" t="str">
        <f>VLOOKUP($C1515,'2021-22 School Level AAFTE'!$C:$Z,12,FALSE)</f>
        <v>No</v>
      </c>
      <c r="H1515" s="127">
        <f>VLOOKUP($C1515,'2021-22 School Level AAFTE'!$C:$I,7,FALSE)</f>
        <v>807.88</v>
      </c>
      <c r="I1515" s="112">
        <f>IFERROR(IF(OR(G1515="yes",F1515= "yes"),VLOOKUP(C1515,Summary!$B:$J,6,0),0),0)</f>
        <v>0</v>
      </c>
      <c r="J1515" s="111">
        <f t="shared" si="291"/>
        <v>0</v>
      </c>
      <c r="K1515" s="91">
        <f>VLOOKUP($A1515,'2022-23 Salary &amp; Benefits'!$A:$I,3,FALSE)</f>
        <v>1.06</v>
      </c>
      <c r="L1515" s="91">
        <f>VLOOKUP($A1515,'2022-23 Salary &amp; Benefits'!$A:$I,4,FALSE)</f>
        <v>1.06</v>
      </c>
      <c r="M1515" s="39">
        <f t="shared" si="298"/>
        <v>0</v>
      </c>
      <c r="N1515" s="24">
        <v>15</v>
      </c>
      <c r="O1515" s="26">
        <f t="shared" si="289"/>
        <v>0</v>
      </c>
      <c r="P1515" s="24">
        <v>1.1000000000000001</v>
      </c>
      <c r="Q1515" s="24">
        <v>36</v>
      </c>
      <c r="R1515" s="27">
        <f t="shared" si="290"/>
        <v>0</v>
      </c>
      <c r="S1515" s="102">
        <f t="shared" si="292"/>
        <v>0</v>
      </c>
      <c r="T1515" s="21">
        <f>VLOOKUP($A1515,'2022-23 Salary &amp; Benefits'!$A:$I,5,FALSE)</f>
        <v>68937</v>
      </c>
      <c r="U1515" s="21">
        <f>VLOOKUP($A1515,'2022-23 Salary &amp; Benefits'!$A:$I,6,FALSE)</f>
        <v>72728</v>
      </c>
      <c r="V1515" s="22">
        <f t="shared" si="293"/>
        <v>0</v>
      </c>
      <c r="W1515" s="22">
        <f t="shared" si="294"/>
        <v>0</v>
      </c>
      <c r="X1515" s="22">
        <f>'2022-23 Salary &amp; Benefits'!$G$6</f>
        <v>12558.24</v>
      </c>
      <c r="Y1515" s="23">
        <f>'2022-23 Salary &amp; Benefits'!$H$6</f>
        <v>0.2298</v>
      </c>
      <c r="Z1515" s="23">
        <f>'2022-23 Salary &amp; Benefits'!$I$6</f>
        <v>0.22339999999999999</v>
      </c>
      <c r="AA1515" s="22">
        <f t="shared" si="295"/>
        <v>0</v>
      </c>
      <c r="AB1515" s="22">
        <f t="shared" si="296"/>
        <v>0</v>
      </c>
      <c r="AC1515" s="22">
        <f t="shared" si="297"/>
        <v>0</v>
      </c>
      <c r="AD1515" s="22">
        <f t="shared" si="299"/>
        <v>0</v>
      </c>
      <c r="AE1515" s="22">
        <f t="shared" si="300"/>
        <v>0</v>
      </c>
      <c r="AF1515" s="19" t="str">
        <f>VLOOKUP(C1515,'2021-22 School Level AAFTE'!C:N,12,FALSE)</f>
        <v>No</v>
      </c>
    </row>
    <row r="1516" spans="1:284" s="5" customFormat="1">
      <c r="A1516" s="97" t="s">
        <v>2439</v>
      </c>
      <c r="B1516" s="97" t="s">
        <v>1299</v>
      </c>
      <c r="C1516" s="95">
        <v>3447</v>
      </c>
      <c r="D1516" s="95" t="s">
        <v>1311</v>
      </c>
      <c r="E1516" s="129">
        <f>VLOOKUP($C1516,'2021-22 School Level AAFTE'!$C:$Z,11,FALSE)</f>
        <v>0.37709999999999999</v>
      </c>
      <c r="F1516" s="129" t="str">
        <f>VLOOKUP($C1516,'2021-22 School Level AAFTE'!$C:$Z,8,FALSE)</f>
        <v>No</v>
      </c>
      <c r="G1516" s="129" t="str">
        <f>VLOOKUP($C1516,'2021-22 School Level AAFTE'!$C:$Z,12,FALSE)</f>
        <v>No</v>
      </c>
      <c r="H1516" s="127">
        <f>VLOOKUP($C1516,'2021-22 School Level AAFTE'!$C:$I,7,FALSE)</f>
        <v>690.56</v>
      </c>
      <c r="I1516" s="112">
        <f>IFERROR(IF(OR(G1516="yes",F1516= "yes"),VLOOKUP(C1516,Summary!$B:$J,6,0),0),0)</f>
        <v>0</v>
      </c>
      <c r="J1516" s="111">
        <f t="shared" si="291"/>
        <v>0</v>
      </c>
      <c r="K1516" s="91">
        <f>VLOOKUP($A1516,'2022-23 Salary &amp; Benefits'!$A:$I,3,FALSE)</f>
        <v>1.06</v>
      </c>
      <c r="L1516" s="91">
        <f>VLOOKUP($A1516,'2022-23 Salary &amp; Benefits'!$A:$I,4,FALSE)</f>
        <v>1.06</v>
      </c>
      <c r="M1516" s="101">
        <f t="shared" si="298"/>
        <v>0</v>
      </c>
      <c r="N1516" s="24">
        <v>15</v>
      </c>
      <c r="O1516" s="26">
        <f t="shared" si="289"/>
        <v>0</v>
      </c>
      <c r="P1516" s="24">
        <v>1.1000000000000001</v>
      </c>
      <c r="Q1516" s="24">
        <v>36</v>
      </c>
      <c r="R1516" s="27">
        <f t="shared" si="290"/>
        <v>0</v>
      </c>
      <c r="S1516" s="102">
        <f t="shared" si="292"/>
        <v>0</v>
      </c>
      <c r="T1516" s="21">
        <f>VLOOKUP($A1516,'2022-23 Salary &amp; Benefits'!$A:$I,5,FALSE)</f>
        <v>68937</v>
      </c>
      <c r="U1516" s="21">
        <f>VLOOKUP($A1516,'2022-23 Salary &amp; Benefits'!$A:$I,6,FALSE)</f>
        <v>72728</v>
      </c>
      <c r="V1516" s="22">
        <f t="shared" si="293"/>
        <v>0</v>
      </c>
      <c r="W1516" s="22">
        <f t="shared" si="294"/>
        <v>0</v>
      </c>
      <c r="X1516" s="22">
        <f>'2022-23 Salary &amp; Benefits'!$G$6</f>
        <v>12558.24</v>
      </c>
      <c r="Y1516" s="23">
        <f>'2022-23 Salary &amp; Benefits'!$H$6</f>
        <v>0.2298</v>
      </c>
      <c r="Z1516" s="23">
        <f>'2022-23 Salary &amp; Benefits'!$I$6</f>
        <v>0.22339999999999999</v>
      </c>
      <c r="AA1516" s="22">
        <f t="shared" si="295"/>
        <v>0</v>
      </c>
      <c r="AB1516" s="22">
        <f t="shared" si="296"/>
        <v>0</v>
      </c>
      <c r="AC1516" s="22">
        <f t="shared" si="297"/>
        <v>0</v>
      </c>
      <c r="AD1516" s="22">
        <f t="shared" si="299"/>
        <v>0</v>
      </c>
      <c r="AE1516" s="22">
        <f t="shared" si="300"/>
        <v>0</v>
      </c>
      <c r="AF1516" s="19" t="str">
        <f>VLOOKUP(C1516,'2021-22 School Level AAFTE'!C:N,12,FALSE)</f>
        <v>No</v>
      </c>
    </row>
    <row r="1517" spans="1:284" s="5" customFormat="1">
      <c r="A1517" s="97" t="s">
        <v>2439</v>
      </c>
      <c r="B1517" s="97" t="s">
        <v>1299</v>
      </c>
      <c r="C1517" s="95">
        <v>3557</v>
      </c>
      <c r="D1517" s="95" t="s">
        <v>1312</v>
      </c>
      <c r="E1517" s="129">
        <f>VLOOKUP($C1517,'2021-22 School Level AAFTE'!$C:$Z,11,FALSE)</f>
        <v>0.22923333333333332</v>
      </c>
      <c r="F1517" s="129" t="str">
        <f>VLOOKUP($C1517,'2021-22 School Level AAFTE'!$C:$Z,8,FALSE)</f>
        <v>No</v>
      </c>
      <c r="G1517" s="129" t="str">
        <f>VLOOKUP($C1517,'2021-22 School Level AAFTE'!$C:$Z,12,FALSE)</f>
        <v>No</v>
      </c>
      <c r="H1517" s="127">
        <f>VLOOKUP($C1517,'2021-22 School Level AAFTE'!$C:$I,7,FALSE)</f>
        <v>557.86</v>
      </c>
      <c r="I1517" s="112">
        <f>IFERROR(IF(OR(G1517="yes",F1517= "yes"),VLOOKUP(C1517,Summary!$B:$J,6,0),0),0)</f>
        <v>0</v>
      </c>
      <c r="J1517" s="111">
        <f t="shared" si="291"/>
        <v>0</v>
      </c>
      <c r="K1517" s="91">
        <f>VLOOKUP($A1517,'2022-23 Salary &amp; Benefits'!$A:$I,3,FALSE)</f>
        <v>1.06</v>
      </c>
      <c r="L1517" s="91">
        <f>VLOOKUP($A1517,'2022-23 Salary &amp; Benefits'!$A:$I,4,FALSE)</f>
        <v>1.06</v>
      </c>
      <c r="M1517" s="101">
        <f t="shared" si="298"/>
        <v>0</v>
      </c>
      <c r="N1517" s="24">
        <v>15</v>
      </c>
      <c r="O1517" s="26">
        <f t="shared" si="289"/>
        <v>0</v>
      </c>
      <c r="P1517" s="24">
        <v>1.1000000000000001</v>
      </c>
      <c r="Q1517" s="24">
        <v>36</v>
      </c>
      <c r="R1517" s="27">
        <f t="shared" si="290"/>
        <v>0</v>
      </c>
      <c r="S1517" s="102">
        <f t="shared" si="292"/>
        <v>0</v>
      </c>
      <c r="T1517" s="21">
        <f>VLOOKUP($A1517,'2022-23 Salary &amp; Benefits'!$A:$I,5,FALSE)</f>
        <v>68937</v>
      </c>
      <c r="U1517" s="21">
        <f>VLOOKUP($A1517,'2022-23 Salary &amp; Benefits'!$A:$I,6,FALSE)</f>
        <v>72728</v>
      </c>
      <c r="V1517" s="22">
        <f t="shared" si="293"/>
        <v>0</v>
      </c>
      <c r="W1517" s="22">
        <f t="shared" si="294"/>
        <v>0</v>
      </c>
      <c r="X1517" s="22">
        <f>'2022-23 Salary &amp; Benefits'!$G$6</f>
        <v>12558.24</v>
      </c>
      <c r="Y1517" s="23">
        <f>'2022-23 Salary &amp; Benefits'!$H$6</f>
        <v>0.2298</v>
      </c>
      <c r="Z1517" s="23">
        <f>'2022-23 Salary &amp; Benefits'!$I$6</f>
        <v>0.22339999999999999</v>
      </c>
      <c r="AA1517" s="22">
        <f t="shared" si="295"/>
        <v>0</v>
      </c>
      <c r="AB1517" s="22">
        <f t="shared" si="296"/>
        <v>0</v>
      </c>
      <c r="AC1517" s="22">
        <f t="shared" si="297"/>
        <v>0</v>
      </c>
      <c r="AD1517" s="22">
        <f t="shared" si="299"/>
        <v>0</v>
      </c>
      <c r="AE1517" s="22">
        <f t="shared" si="300"/>
        <v>0</v>
      </c>
      <c r="AF1517" s="19" t="str">
        <f>VLOOKUP(C1517,'2021-22 School Level AAFTE'!C:N,12,FALSE)</f>
        <v>No</v>
      </c>
    </row>
    <row r="1518" spans="1:284" s="5" customFormat="1">
      <c r="A1518" s="97" t="s">
        <v>2439</v>
      </c>
      <c r="B1518" s="97" t="s">
        <v>1299</v>
      </c>
      <c r="C1518" s="95">
        <v>3558</v>
      </c>
      <c r="D1518" s="95" t="s">
        <v>1313</v>
      </c>
      <c r="E1518" s="129">
        <f>VLOOKUP($C1518,'2021-22 School Level AAFTE'!$C:$Z,11,FALSE)</f>
        <v>0.54789999999999994</v>
      </c>
      <c r="F1518" s="129" t="str">
        <f>VLOOKUP($C1518,'2021-22 School Level AAFTE'!$C:$Z,8,FALSE)</f>
        <v>Yes</v>
      </c>
      <c r="G1518" s="129" t="str">
        <f>VLOOKUP($C1518,'2021-22 School Level AAFTE'!$C:$Z,12,FALSE)</f>
        <v>No</v>
      </c>
      <c r="H1518" s="127">
        <f>VLOOKUP($C1518,'2021-22 School Level AAFTE'!$C:$I,7,FALSE)</f>
        <v>370.05</v>
      </c>
      <c r="I1518" s="112">
        <f>IFERROR(IF(OR(G1518="yes",F1518= "yes"),VLOOKUP(C1518,Summary!$B:$J,6,0),0),0)</f>
        <v>0</v>
      </c>
      <c r="J1518" s="111">
        <f t="shared" si="291"/>
        <v>370.05</v>
      </c>
      <c r="K1518" s="91">
        <f>VLOOKUP($A1518,'2022-23 Salary &amp; Benefits'!$A:$I,3,FALSE)</f>
        <v>1.06</v>
      </c>
      <c r="L1518" s="91">
        <f>VLOOKUP($A1518,'2022-23 Salary &amp; Benefits'!$A:$I,4,FALSE)</f>
        <v>1.06</v>
      </c>
      <c r="M1518" s="39">
        <f t="shared" si="298"/>
        <v>370.05</v>
      </c>
      <c r="N1518" s="24">
        <v>15</v>
      </c>
      <c r="O1518" s="26">
        <f t="shared" si="289"/>
        <v>24.67</v>
      </c>
      <c r="P1518" s="24">
        <v>1.1000000000000001</v>
      </c>
      <c r="Q1518" s="24">
        <v>36</v>
      </c>
      <c r="R1518" s="27">
        <f t="shared" si="290"/>
        <v>976.93200000000013</v>
      </c>
      <c r="S1518" s="102">
        <f t="shared" si="292"/>
        <v>1.085</v>
      </c>
      <c r="T1518" s="21">
        <f>VLOOKUP($A1518,'2022-23 Salary &amp; Benefits'!$A:$I,5,FALSE)</f>
        <v>68937</v>
      </c>
      <c r="U1518" s="21">
        <f>VLOOKUP($A1518,'2022-23 Salary &amp; Benefits'!$A:$I,6,FALSE)</f>
        <v>72728</v>
      </c>
      <c r="V1518" s="22">
        <f t="shared" si="293"/>
        <v>79284.44</v>
      </c>
      <c r="W1518" s="22">
        <f t="shared" si="294"/>
        <v>4360.0299999999988</v>
      </c>
      <c r="X1518" s="22">
        <f>'2022-23 Salary &amp; Benefits'!$G$6</f>
        <v>12558.24</v>
      </c>
      <c r="Y1518" s="23">
        <f>'2022-23 Salary &amp; Benefits'!$H$6</f>
        <v>0.2298</v>
      </c>
      <c r="Z1518" s="23">
        <f>'2022-23 Salary &amp; Benefits'!$I$6</f>
        <v>0.22339999999999999</v>
      </c>
      <c r="AA1518" s="22">
        <f t="shared" si="295"/>
        <v>32819.29</v>
      </c>
      <c r="AB1518" s="22">
        <f t="shared" si="296"/>
        <v>1394.07</v>
      </c>
      <c r="AC1518" s="22">
        <f t="shared" si="297"/>
        <v>311.44</v>
      </c>
      <c r="AD1518" s="22">
        <f t="shared" si="299"/>
        <v>1705.51</v>
      </c>
      <c r="AE1518" s="22">
        <f t="shared" si="300"/>
        <v>118169.27</v>
      </c>
      <c r="AF1518" s="19" t="str">
        <f>VLOOKUP(C1518,'2021-22 School Level AAFTE'!C:N,12,FALSE)</f>
        <v>No</v>
      </c>
    </row>
    <row r="1519" spans="1:284" s="5" customFormat="1">
      <c r="A1519" s="97" t="s">
        <v>2439</v>
      </c>
      <c r="B1519" s="97" t="s">
        <v>1299</v>
      </c>
      <c r="C1519" s="95">
        <v>3572</v>
      </c>
      <c r="D1519" s="95" t="s">
        <v>1314</v>
      </c>
      <c r="E1519" s="129">
        <f>VLOOKUP($C1519,'2021-22 School Level AAFTE'!$C:$Z,11,FALSE)</f>
        <v>0.33083333333333331</v>
      </c>
      <c r="F1519" s="129" t="str">
        <f>VLOOKUP($C1519,'2021-22 School Level AAFTE'!$C:$Z,8,FALSE)</f>
        <v>No</v>
      </c>
      <c r="G1519" s="129" t="str">
        <f>VLOOKUP($C1519,'2021-22 School Level AAFTE'!$C:$Z,12,FALSE)</f>
        <v>No</v>
      </c>
      <c r="H1519" s="127">
        <f>VLOOKUP($C1519,'2021-22 School Level AAFTE'!$C:$I,7,FALSE)</f>
        <v>296.23</v>
      </c>
      <c r="I1519" s="112">
        <f>IFERROR(IF(OR(G1519="yes",F1519= "yes"),VLOOKUP(C1519,Summary!$B:$J,6,0),0),0)</f>
        <v>0</v>
      </c>
      <c r="J1519" s="111">
        <f t="shared" si="291"/>
        <v>0</v>
      </c>
      <c r="K1519" s="91">
        <f>VLOOKUP($A1519,'2022-23 Salary &amp; Benefits'!$A:$I,3,FALSE)</f>
        <v>1.06</v>
      </c>
      <c r="L1519" s="91">
        <f>VLOOKUP($A1519,'2022-23 Salary &amp; Benefits'!$A:$I,4,FALSE)</f>
        <v>1.06</v>
      </c>
      <c r="M1519" s="39">
        <f t="shared" si="298"/>
        <v>0</v>
      </c>
      <c r="N1519" s="24">
        <v>15</v>
      </c>
      <c r="O1519" s="26">
        <f t="shared" si="289"/>
        <v>0</v>
      </c>
      <c r="P1519" s="24">
        <v>1.1000000000000001</v>
      </c>
      <c r="Q1519" s="24">
        <v>36</v>
      </c>
      <c r="R1519" s="27">
        <f t="shared" si="290"/>
        <v>0</v>
      </c>
      <c r="S1519" s="102">
        <f t="shared" si="292"/>
        <v>0</v>
      </c>
      <c r="T1519" s="21">
        <f>VLOOKUP($A1519,'2022-23 Salary &amp; Benefits'!$A:$I,5,FALSE)</f>
        <v>68937</v>
      </c>
      <c r="U1519" s="21">
        <f>VLOOKUP($A1519,'2022-23 Salary &amp; Benefits'!$A:$I,6,FALSE)</f>
        <v>72728</v>
      </c>
      <c r="V1519" s="22">
        <f t="shared" si="293"/>
        <v>0</v>
      </c>
      <c r="W1519" s="22">
        <f t="shared" si="294"/>
        <v>0</v>
      </c>
      <c r="X1519" s="22">
        <f>'2022-23 Salary &amp; Benefits'!$G$6</f>
        <v>12558.24</v>
      </c>
      <c r="Y1519" s="23">
        <f>'2022-23 Salary &amp; Benefits'!$H$6</f>
        <v>0.2298</v>
      </c>
      <c r="Z1519" s="23">
        <f>'2022-23 Salary &amp; Benefits'!$I$6</f>
        <v>0.22339999999999999</v>
      </c>
      <c r="AA1519" s="22">
        <f t="shared" si="295"/>
        <v>0</v>
      </c>
      <c r="AB1519" s="22">
        <f t="shared" si="296"/>
        <v>0</v>
      </c>
      <c r="AC1519" s="22">
        <f t="shared" si="297"/>
        <v>0</v>
      </c>
      <c r="AD1519" s="22">
        <f t="shared" si="299"/>
        <v>0</v>
      </c>
      <c r="AE1519" s="22">
        <f t="shared" si="300"/>
        <v>0</v>
      </c>
      <c r="AF1519" s="19" t="str">
        <f>VLOOKUP(C1519,'2021-22 School Level AAFTE'!C:N,12,FALSE)</f>
        <v>No</v>
      </c>
    </row>
    <row r="1520" spans="1:284" s="5" customFormat="1">
      <c r="A1520" s="97" t="s">
        <v>2439</v>
      </c>
      <c r="B1520" s="97" t="s">
        <v>1299</v>
      </c>
      <c r="C1520" s="95">
        <v>3645</v>
      </c>
      <c r="D1520" s="95" t="s">
        <v>1315</v>
      </c>
      <c r="E1520" s="129">
        <f>VLOOKUP($C1520,'2021-22 School Level AAFTE'!$C:$Z,11,FALSE)</f>
        <v>0.36136666666666661</v>
      </c>
      <c r="F1520" s="129" t="str">
        <f>VLOOKUP($C1520,'2021-22 School Level AAFTE'!$C:$Z,8,FALSE)</f>
        <v>No</v>
      </c>
      <c r="G1520" s="129" t="str">
        <f>VLOOKUP($C1520,'2021-22 School Level AAFTE'!$C:$Z,12,FALSE)</f>
        <v>No</v>
      </c>
      <c r="H1520" s="127">
        <f>VLOOKUP($C1520,'2021-22 School Level AAFTE'!$C:$I,7,FALSE)</f>
        <v>1719.59</v>
      </c>
      <c r="I1520" s="112">
        <f>IFERROR(IF(OR(G1520="yes",F1520= "yes"),VLOOKUP(C1520,Summary!$B:$J,6,0),0),0)</f>
        <v>0</v>
      </c>
      <c r="J1520" s="111">
        <f t="shared" si="291"/>
        <v>0</v>
      </c>
      <c r="K1520" s="91">
        <f>VLOOKUP($A1520,'2022-23 Salary &amp; Benefits'!$A:$I,3,FALSE)</f>
        <v>1.06</v>
      </c>
      <c r="L1520" s="91">
        <f>VLOOKUP($A1520,'2022-23 Salary &amp; Benefits'!$A:$I,4,FALSE)</f>
        <v>1.06</v>
      </c>
      <c r="M1520" s="39">
        <f t="shared" si="298"/>
        <v>0</v>
      </c>
      <c r="N1520" s="24">
        <v>15</v>
      </c>
      <c r="O1520" s="26">
        <f t="shared" si="289"/>
        <v>0</v>
      </c>
      <c r="P1520" s="24">
        <v>1.1000000000000001</v>
      </c>
      <c r="Q1520" s="24">
        <v>36</v>
      </c>
      <c r="R1520" s="27">
        <f t="shared" si="290"/>
        <v>0</v>
      </c>
      <c r="S1520" s="102">
        <f t="shared" si="292"/>
        <v>0</v>
      </c>
      <c r="T1520" s="21">
        <f>VLOOKUP($A1520,'2022-23 Salary &amp; Benefits'!$A:$I,5,FALSE)</f>
        <v>68937</v>
      </c>
      <c r="U1520" s="21">
        <f>VLOOKUP($A1520,'2022-23 Salary &amp; Benefits'!$A:$I,6,FALSE)</f>
        <v>72728</v>
      </c>
      <c r="V1520" s="22">
        <f t="shared" si="293"/>
        <v>0</v>
      </c>
      <c r="W1520" s="22">
        <f t="shared" si="294"/>
        <v>0</v>
      </c>
      <c r="X1520" s="22">
        <f>'2022-23 Salary &amp; Benefits'!$G$6</f>
        <v>12558.24</v>
      </c>
      <c r="Y1520" s="23">
        <f>'2022-23 Salary &amp; Benefits'!$H$6</f>
        <v>0.2298</v>
      </c>
      <c r="Z1520" s="23">
        <f>'2022-23 Salary &amp; Benefits'!$I$6</f>
        <v>0.22339999999999999</v>
      </c>
      <c r="AA1520" s="22">
        <f t="shared" si="295"/>
        <v>0</v>
      </c>
      <c r="AB1520" s="22">
        <f t="shared" si="296"/>
        <v>0</v>
      </c>
      <c r="AC1520" s="22">
        <f t="shared" si="297"/>
        <v>0</v>
      </c>
      <c r="AD1520" s="22">
        <f t="shared" si="299"/>
        <v>0</v>
      </c>
      <c r="AE1520" s="22">
        <f t="shared" si="300"/>
        <v>0</v>
      </c>
      <c r="AF1520" s="19" t="str">
        <f>VLOOKUP(C1520,'2021-22 School Level AAFTE'!C:N,12,FALSE)</f>
        <v>No</v>
      </c>
    </row>
    <row r="1521" spans="1:32" s="5" customFormat="1">
      <c r="A1521" s="97" t="s">
        <v>2439</v>
      </c>
      <c r="B1521" s="97" t="s">
        <v>1299</v>
      </c>
      <c r="C1521" s="95">
        <v>3750</v>
      </c>
      <c r="D1521" s="95" t="s">
        <v>1316</v>
      </c>
      <c r="E1521" s="129">
        <f>VLOOKUP($C1521,'2021-22 School Level AAFTE'!$C:$Z,11,FALSE)</f>
        <v>0.41063333333333335</v>
      </c>
      <c r="F1521" s="129" t="str">
        <f>VLOOKUP($C1521,'2021-22 School Level AAFTE'!$C:$Z,8,FALSE)</f>
        <v>No</v>
      </c>
      <c r="G1521" s="129" t="str">
        <f>VLOOKUP($C1521,'2021-22 School Level AAFTE'!$C:$Z,12,FALSE)</f>
        <v>No</v>
      </c>
      <c r="H1521" s="127">
        <f>VLOOKUP($C1521,'2021-22 School Level AAFTE'!$C:$I,7,FALSE)</f>
        <v>867.23</v>
      </c>
      <c r="I1521" s="112">
        <f>IFERROR(IF(OR(G1521="yes",F1521= "yes"),VLOOKUP(C1521,Summary!$B:$J,6,0),0),0)</f>
        <v>0</v>
      </c>
      <c r="J1521" s="111">
        <f t="shared" si="291"/>
        <v>0</v>
      </c>
      <c r="K1521" s="91">
        <f>VLOOKUP($A1521,'2022-23 Salary &amp; Benefits'!$A:$I,3,FALSE)</f>
        <v>1.06</v>
      </c>
      <c r="L1521" s="91">
        <f>VLOOKUP($A1521,'2022-23 Salary &amp; Benefits'!$A:$I,4,FALSE)</f>
        <v>1.06</v>
      </c>
      <c r="M1521" s="39">
        <f t="shared" si="298"/>
        <v>0</v>
      </c>
      <c r="N1521" s="24">
        <v>15</v>
      </c>
      <c r="O1521" s="26">
        <f t="shared" si="289"/>
        <v>0</v>
      </c>
      <c r="P1521" s="24">
        <v>1.1000000000000001</v>
      </c>
      <c r="Q1521" s="24">
        <v>36</v>
      </c>
      <c r="R1521" s="27">
        <f t="shared" si="290"/>
        <v>0</v>
      </c>
      <c r="S1521" s="102">
        <f t="shared" si="292"/>
        <v>0</v>
      </c>
      <c r="T1521" s="21">
        <f>VLOOKUP($A1521,'2022-23 Salary &amp; Benefits'!$A:$I,5,FALSE)</f>
        <v>68937</v>
      </c>
      <c r="U1521" s="21">
        <f>VLOOKUP($A1521,'2022-23 Salary &amp; Benefits'!$A:$I,6,FALSE)</f>
        <v>72728</v>
      </c>
      <c r="V1521" s="22">
        <f t="shared" si="293"/>
        <v>0</v>
      </c>
      <c r="W1521" s="22">
        <f t="shared" si="294"/>
        <v>0</v>
      </c>
      <c r="X1521" s="22">
        <f>'2022-23 Salary &amp; Benefits'!$G$6</f>
        <v>12558.24</v>
      </c>
      <c r="Y1521" s="23">
        <f>'2022-23 Salary &amp; Benefits'!$H$6</f>
        <v>0.2298</v>
      </c>
      <c r="Z1521" s="23">
        <f>'2022-23 Salary &amp; Benefits'!$I$6</f>
        <v>0.22339999999999999</v>
      </c>
      <c r="AA1521" s="22">
        <f t="shared" si="295"/>
        <v>0</v>
      </c>
      <c r="AB1521" s="22">
        <f t="shared" si="296"/>
        <v>0</v>
      </c>
      <c r="AC1521" s="22">
        <f t="shared" si="297"/>
        <v>0</v>
      </c>
      <c r="AD1521" s="22">
        <f t="shared" si="299"/>
        <v>0</v>
      </c>
      <c r="AE1521" s="22">
        <f t="shared" si="300"/>
        <v>0</v>
      </c>
      <c r="AF1521" s="19" t="str">
        <f>VLOOKUP(C1521,'2021-22 School Level AAFTE'!C:N,12,FALSE)</f>
        <v>No</v>
      </c>
    </row>
    <row r="1522" spans="1:32" s="5" customFormat="1">
      <c r="A1522" s="97" t="s">
        <v>2439</v>
      </c>
      <c r="B1522" s="97" t="s">
        <v>1299</v>
      </c>
      <c r="C1522" s="95">
        <v>3896</v>
      </c>
      <c r="D1522" s="95" t="s">
        <v>693</v>
      </c>
      <c r="E1522" s="129">
        <f>VLOOKUP($C1522,'2021-22 School Level AAFTE'!$C:$Z,11,FALSE)</f>
        <v>0.49790000000000001</v>
      </c>
      <c r="F1522" s="129" t="str">
        <f>VLOOKUP($C1522,'2021-22 School Level AAFTE'!$C:$Z,8,FALSE)</f>
        <v>No</v>
      </c>
      <c r="G1522" s="129" t="str">
        <f>VLOOKUP($C1522,'2021-22 School Level AAFTE'!$C:$Z,12,FALSE)</f>
        <v>No</v>
      </c>
      <c r="H1522" s="127">
        <f>VLOOKUP($C1522,'2021-22 School Level AAFTE'!$C:$I,7,FALSE)</f>
        <v>633.14</v>
      </c>
      <c r="I1522" s="112">
        <f>IFERROR(IF(OR(G1522="yes",F1522= "yes"),VLOOKUP(C1522,Summary!$B:$J,6,0),0),0)</f>
        <v>0</v>
      </c>
      <c r="J1522" s="111">
        <f t="shared" si="291"/>
        <v>0</v>
      </c>
      <c r="K1522" s="91">
        <f>VLOOKUP($A1522,'2022-23 Salary &amp; Benefits'!$A:$I,3,FALSE)</f>
        <v>1.06</v>
      </c>
      <c r="L1522" s="91">
        <f>VLOOKUP($A1522,'2022-23 Salary &amp; Benefits'!$A:$I,4,FALSE)</f>
        <v>1.06</v>
      </c>
      <c r="M1522" s="39">
        <f t="shared" si="298"/>
        <v>0</v>
      </c>
      <c r="N1522" s="24">
        <v>15</v>
      </c>
      <c r="O1522" s="26">
        <f t="shared" si="289"/>
        <v>0</v>
      </c>
      <c r="P1522" s="24">
        <v>1.1000000000000001</v>
      </c>
      <c r="Q1522" s="24">
        <v>36</v>
      </c>
      <c r="R1522" s="27">
        <f t="shared" si="290"/>
        <v>0</v>
      </c>
      <c r="S1522" s="102">
        <f t="shared" si="292"/>
        <v>0</v>
      </c>
      <c r="T1522" s="21">
        <f>VLOOKUP($A1522,'2022-23 Salary &amp; Benefits'!$A:$I,5,FALSE)</f>
        <v>68937</v>
      </c>
      <c r="U1522" s="21">
        <f>VLOOKUP($A1522,'2022-23 Salary &amp; Benefits'!$A:$I,6,FALSE)</f>
        <v>72728</v>
      </c>
      <c r="V1522" s="22">
        <f t="shared" si="293"/>
        <v>0</v>
      </c>
      <c r="W1522" s="22">
        <f t="shared" si="294"/>
        <v>0</v>
      </c>
      <c r="X1522" s="22">
        <f>'2022-23 Salary &amp; Benefits'!$G$6</f>
        <v>12558.24</v>
      </c>
      <c r="Y1522" s="23">
        <f>'2022-23 Salary &amp; Benefits'!$H$6</f>
        <v>0.2298</v>
      </c>
      <c r="Z1522" s="23">
        <f>'2022-23 Salary &amp; Benefits'!$I$6</f>
        <v>0.22339999999999999</v>
      </c>
      <c r="AA1522" s="22">
        <f t="shared" si="295"/>
        <v>0</v>
      </c>
      <c r="AB1522" s="22">
        <f t="shared" si="296"/>
        <v>0</v>
      </c>
      <c r="AC1522" s="22">
        <f t="shared" si="297"/>
        <v>0</v>
      </c>
      <c r="AD1522" s="22">
        <f t="shared" si="299"/>
        <v>0</v>
      </c>
      <c r="AE1522" s="22">
        <f t="shared" si="300"/>
        <v>0</v>
      </c>
      <c r="AF1522" s="19" t="str">
        <f>VLOOKUP(C1522,'2021-22 School Level AAFTE'!C:N,12,FALSE)</f>
        <v>No</v>
      </c>
    </row>
    <row r="1523" spans="1:32" s="5" customFormat="1">
      <c r="A1523" s="97" t="s">
        <v>2439</v>
      </c>
      <c r="B1523" s="97" t="s">
        <v>1299</v>
      </c>
      <c r="C1523" s="95">
        <v>3927</v>
      </c>
      <c r="D1523" s="95" t="s">
        <v>1317</v>
      </c>
      <c r="E1523" s="129">
        <f>VLOOKUP($C1523,'2021-22 School Level AAFTE'!$C:$Z,11,FALSE)</f>
        <v>0.29066666666666668</v>
      </c>
      <c r="F1523" s="129" t="str">
        <f>VLOOKUP($C1523,'2021-22 School Level AAFTE'!$C:$Z,8,FALSE)</f>
        <v>No</v>
      </c>
      <c r="G1523" s="129" t="str">
        <f>VLOOKUP($C1523,'2021-22 School Level AAFTE'!$C:$Z,12,FALSE)</f>
        <v>No</v>
      </c>
      <c r="H1523" s="127">
        <f>VLOOKUP($C1523,'2021-22 School Level AAFTE'!$C:$I,7,FALSE)</f>
        <v>592.14</v>
      </c>
      <c r="I1523" s="112">
        <f>IFERROR(IF(OR(G1523="yes",F1523= "yes"),VLOOKUP(C1523,Summary!$B:$J,6,0),0),0)</f>
        <v>0</v>
      </c>
      <c r="J1523" s="111">
        <f t="shared" si="291"/>
        <v>0</v>
      </c>
      <c r="K1523" s="91">
        <f>VLOOKUP($A1523,'2022-23 Salary &amp; Benefits'!$A:$I,3,FALSE)</f>
        <v>1.06</v>
      </c>
      <c r="L1523" s="91">
        <f>VLOOKUP($A1523,'2022-23 Salary &amp; Benefits'!$A:$I,4,FALSE)</f>
        <v>1.06</v>
      </c>
      <c r="M1523" s="39">
        <f t="shared" si="298"/>
        <v>0</v>
      </c>
      <c r="N1523" s="24">
        <v>15</v>
      </c>
      <c r="O1523" s="26">
        <f t="shared" si="289"/>
        <v>0</v>
      </c>
      <c r="P1523" s="24">
        <v>1.1000000000000001</v>
      </c>
      <c r="Q1523" s="24">
        <v>36</v>
      </c>
      <c r="R1523" s="27">
        <f t="shared" si="290"/>
        <v>0</v>
      </c>
      <c r="S1523" s="102">
        <f t="shared" si="292"/>
        <v>0</v>
      </c>
      <c r="T1523" s="21">
        <f>VLOOKUP($A1523,'2022-23 Salary &amp; Benefits'!$A:$I,5,FALSE)</f>
        <v>68937</v>
      </c>
      <c r="U1523" s="21">
        <f>VLOOKUP($A1523,'2022-23 Salary &amp; Benefits'!$A:$I,6,FALSE)</f>
        <v>72728</v>
      </c>
      <c r="V1523" s="22">
        <f t="shared" si="293"/>
        <v>0</v>
      </c>
      <c r="W1523" s="22">
        <f t="shared" si="294"/>
        <v>0</v>
      </c>
      <c r="X1523" s="22">
        <f>'2022-23 Salary &amp; Benefits'!$G$6</f>
        <v>12558.24</v>
      </c>
      <c r="Y1523" s="23">
        <f>'2022-23 Salary &amp; Benefits'!$H$6</f>
        <v>0.2298</v>
      </c>
      <c r="Z1523" s="23">
        <f>'2022-23 Salary &amp; Benefits'!$I$6</f>
        <v>0.22339999999999999</v>
      </c>
      <c r="AA1523" s="22">
        <f t="shared" si="295"/>
        <v>0</v>
      </c>
      <c r="AB1523" s="22">
        <f t="shared" si="296"/>
        <v>0</v>
      </c>
      <c r="AC1523" s="22">
        <f t="shared" si="297"/>
        <v>0</v>
      </c>
      <c r="AD1523" s="22">
        <f t="shared" si="299"/>
        <v>0</v>
      </c>
      <c r="AE1523" s="22">
        <f t="shared" si="300"/>
        <v>0</v>
      </c>
      <c r="AF1523" s="19" t="str">
        <f>VLOOKUP(C1523,'2021-22 School Level AAFTE'!C:N,12,FALSE)</f>
        <v>No</v>
      </c>
    </row>
    <row r="1524" spans="1:32" s="5" customFormat="1">
      <c r="A1524" s="97" t="s">
        <v>2439</v>
      </c>
      <c r="B1524" s="97" t="s">
        <v>1299</v>
      </c>
      <c r="C1524" s="95">
        <v>3972</v>
      </c>
      <c r="D1524" s="95" t="s">
        <v>1318</v>
      </c>
      <c r="E1524" s="129">
        <f>VLOOKUP($C1524,'2021-22 School Level AAFTE'!$C:$Z,11,FALSE)</f>
        <v>0.56613333333333338</v>
      </c>
      <c r="F1524" s="129" t="str">
        <f>VLOOKUP($C1524,'2021-22 School Level AAFTE'!$C:$Z,8,FALSE)</f>
        <v>Yes</v>
      </c>
      <c r="G1524" s="129" t="str">
        <f>VLOOKUP($C1524,'2021-22 School Level AAFTE'!$C:$Z,12,FALSE)</f>
        <v>No</v>
      </c>
      <c r="H1524" s="127">
        <f>VLOOKUP($C1524,'2021-22 School Level AAFTE'!$C:$I,7,FALSE)</f>
        <v>123.19</v>
      </c>
      <c r="I1524" s="112">
        <f>IFERROR(IF(OR(G1524="yes",F1524= "yes"),VLOOKUP(C1524,Summary!$B:$J,6,0),0),0)</f>
        <v>0</v>
      </c>
      <c r="J1524" s="111">
        <f t="shared" si="291"/>
        <v>123.19</v>
      </c>
      <c r="K1524" s="91">
        <f>VLOOKUP($A1524,'2022-23 Salary &amp; Benefits'!$A:$I,3,FALSE)</f>
        <v>1.06</v>
      </c>
      <c r="L1524" s="91">
        <f>VLOOKUP($A1524,'2022-23 Salary &amp; Benefits'!$A:$I,4,FALSE)</f>
        <v>1.06</v>
      </c>
      <c r="M1524" s="39">
        <f t="shared" si="298"/>
        <v>123.19</v>
      </c>
      <c r="N1524" s="24">
        <v>15</v>
      </c>
      <c r="O1524" s="26">
        <f t="shared" si="289"/>
        <v>8.2126666666666672</v>
      </c>
      <c r="P1524" s="24">
        <v>1.1000000000000001</v>
      </c>
      <c r="Q1524" s="24">
        <v>36</v>
      </c>
      <c r="R1524" s="27">
        <f t="shared" si="290"/>
        <v>325.22160000000008</v>
      </c>
      <c r="S1524" s="102">
        <f t="shared" si="292"/>
        <v>0.36099999999999999</v>
      </c>
      <c r="T1524" s="21">
        <f>VLOOKUP($A1524,'2022-23 Salary &amp; Benefits'!$A:$I,5,FALSE)</f>
        <v>68937</v>
      </c>
      <c r="U1524" s="21">
        <f>VLOOKUP($A1524,'2022-23 Salary &amp; Benefits'!$A:$I,6,FALSE)</f>
        <v>72728</v>
      </c>
      <c r="V1524" s="22">
        <f t="shared" si="293"/>
        <v>26379.43</v>
      </c>
      <c r="W1524" s="22">
        <f t="shared" si="294"/>
        <v>1450.6699999999983</v>
      </c>
      <c r="X1524" s="22">
        <f>'2022-23 Salary &amp; Benefits'!$G$6</f>
        <v>12558.24</v>
      </c>
      <c r="Y1524" s="23">
        <f>'2022-23 Salary &amp; Benefits'!$H$6</f>
        <v>0.2298</v>
      </c>
      <c r="Z1524" s="23">
        <f>'2022-23 Salary &amp; Benefits'!$I$6</f>
        <v>0.22339999999999999</v>
      </c>
      <c r="AA1524" s="22">
        <f t="shared" si="295"/>
        <v>10919.6</v>
      </c>
      <c r="AB1524" s="22">
        <f t="shared" si="296"/>
        <v>463.83</v>
      </c>
      <c r="AC1524" s="22">
        <f t="shared" si="297"/>
        <v>103.62</v>
      </c>
      <c r="AD1524" s="22">
        <f t="shared" si="299"/>
        <v>567.45000000000005</v>
      </c>
      <c r="AE1524" s="22">
        <f t="shared" si="300"/>
        <v>39317.149999999994</v>
      </c>
      <c r="AF1524" s="19" t="str">
        <f>VLOOKUP(C1524,'2021-22 School Level AAFTE'!C:N,12,FALSE)</f>
        <v>No</v>
      </c>
    </row>
    <row r="1525" spans="1:32" s="5" customFormat="1">
      <c r="A1525" s="97" t="s">
        <v>2439</v>
      </c>
      <c r="B1525" s="97" t="s">
        <v>1299</v>
      </c>
      <c r="C1525" s="95">
        <v>4121</v>
      </c>
      <c r="D1525" s="95" t="s">
        <v>876</v>
      </c>
      <c r="E1525" s="129">
        <f>VLOOKUP($C1525,'2021-22 School Level AAFTE'!$C:$Z,11,FALSE)</f>
        <v>0.40136666666666665</v>
      </c>
      <c r="F1525" s="129" t="str">
        <f>VLOOKUP($C1525,'2021-22 School Level AAFTE'!$C:$Z,8,FALSE)</f>
        <v>No</v>
      </c>
      <c r="G1525" s="129" t="str">
        <f>VLOOKUP($C1525,'2021-22 School Level AAFTE'!$C:$Z,12,FALSE)</f>
        <v>No</v>
      </c>
      <c r="H1525" s="127">
        <f>VLOOKUP($C1525,'2021-22 School Level AAFTE'!$C:$I,7,FALSE)</f>
        <v>447.11</v>
      </c>
      <c r="I1525" s="112">
        <f>IFERROR(IF(OR(G1525="yes",F1525= "yes"),VLOOKUP(C1525,Summary!$B:$J,6,0),0),0)</f>
        <v>0</v>
      </c>
      <c r="J1525" s="111">
        <f t="shared" si="291"/>
        <v>0</v>
      </c>
      <c r="K1525" s="91">
        <f>VLOOKUP($A1525,'2022-23 Salary &amp; Benefits'!$A:$I,3,FALSE)</f>
        <v>1.06</v>
      </c>
      <c r="L1525" s="91">
        <f>VLOOKUP($A1525,'2022-23 Salary &amp; Benefits'!$A:$I,4,FALSE)</f>
        <v>1.06</v>
      </c>
      <c r="M1525" s="39">
        <f t="shared" si="298"/>
        <v>0</v>
      </c>
      <c r="N1525" s="24">
        <v>15</v>
      </c>
      <c r="O1525" s="26">
        <f t="shared" si="289"/>
        <v>0</v>
      </c>
      <c r="P1525" s="24">
        <v>1.1000000000000001</v>
      </c>
      <c r="Q1525" s="24">
        <v>36</v>
      </c>
      <c r="R1525" s="27">
        <f t="shared" si="290"/>
        <v>0</v>
      </c>
      <c r="S1525" s="102">
        <f t="shared" si="292"/>
        <v>0</v>
      </c>
      <c r="T1525" s="21">
        <f>VLOOKUP($A1525,'2022-23 Salary &amp; Benefits'!$A:$I,5,FALSE)</f>
        <v>68937</v>
      </c>
      <c r="U1525" s="21">
        <f>VLOOKUP($A1525,'2022-23 Salary &amp; Benefits'!$A:$I,6,FALSE)</f>
        <v>72728</v>
      </c>
      <c r="V1525" s="22">
        <f t="shared" si="293"/>
        <v>0</v>
      </c>
      <c r="W1525" s="22">
        <f t="shared" si="294"/>
        <v>0</v>
      </c>
      <c r="X1525" s="22">
        <f>'2022-23 Salary &amp; Benefits'!$G$6</f>
        <v>12558.24</v>
      </c>
      <c r="Y1525" s="23">
        <f>'2022-23 Salary &amp; Benefits'!$H$6</f>
        <v>0.2298</v>
      </c>
      <c r="Z1525" s="23">
        <f>'2022-23 Salary &amp; Benefits'!$I$6</f>
        <v>0.22339999999999999</v>
      </c>
      <c r="AA1525" s="22">
        <f t="shared" si="295"/>
        <v>0</v>
      </c>
      <c r="AB1525" s="22">
        <f t="shared" si="296"/>
        <v>0</v>
      </c>
      <c r="AC1525" s="22">
        <f t="shared" si="297"/>
        <v>0</v>
      </c>
      <c r="AD1525" s="22">
        <f t="shared" si="299"/>
        <v>0</v>
      </c>
      <c r="AE1525" s="22">
        <f t="shared" si="300"/>
        <v>0</v>
      </c>
      <c r="AF1525" s="19" t="str">
        <f>VLOOKUP(C1525,'2021-22 School Level AAFTE'!C:N,12,FALSE)</f>
        <v>No</v>
      </c>
    </row>
    <row r="1526" spans="1:32" s="5" customFormat="1">
      <c r="A1526" s="97" t="s">
        <v>2439</v>
      </c>
      <c r="B1526" s="97" t="s">
        <v>1299</v>
      </c>
      <c r="C1526" s="95">
        <v>4146</v>
      </c>
      <c r="D1526" s="95" t="s">
        <v>1320</v>
      </c>
      <c r="E1526" s="129">
        <f>VLOOKUP($C1526,'2021-22 School Level AAFTE'!$C:$Z,11,FALSE)</f>
        <v>0.3738333333333333</v>
      </c>
      <c r="F1526" s="129" t="str">
        <f>VLOOKUP($C1526,'2021-22 School Level AAFTE'!$C:$Z,8,FALSE)</f>
        <v>No</v>
      </c>
      <c r="G1526" s="129" t="str">
        <f>VLOOKUP($C1526,'2021-22 School Level AAFTE'!$C:$Z,12,FALSE)</f>
        <v>No</v>
      </c>
      <c r="H1526" s="127">
        <f>VLOOKUP($C1526,'2021-22 School Level AAFTE'!$C:$I,7,FALSE)</f>
        <v>632.91</v>
      </c>
      <c r="I1526" s="112">
        <f>IFERROR(IF(OR(G1526="yes",F1526= "yes"),VLOOKUP(C1526,Summary!$B:$J,6,0),0),0)</f>
        <v>0</v>
      </c>
      <c r="J1526" s="111">
        <f t="shared" si="291"/>
        <v>0</v>
      </c>
      <c r="K1526" s="91">
        <f>VLOOKUP($A1526,'2022-23 Salary &amp; Benefits'!$A:$I,3,FALSE)</f>
        <v>1.06</v>
      </c>
      <c r="L1526" s="91">
        <f>VLOOKUP($A1526,'2022-23 Salary &amp; Benefits'!$A:$I,4,FALSE)</f>
        <v>1.06</v>
      </c>
      <c r="M1526" s="39">
        <f t="shared" si="298"/>
        <v>0</v>
      </c>
      <c r="N1526" s="24">
        <v>15</v>
      </c>
      <c r="O1526" s="26">
        <f t="shared" si="289"/>
        <v>0</v>
      </c>
      <c r="P1526" s="24">
        <v>1.1000000000000001</v>
      </c>
      <c r="Q1526" s="24">
        <v>36</v>
      </c>
      <c r="R1526" s="27">
        <f t="shared" si="290"/>
        <v>0</v>
      </c>
      <c r="S1526" s="102">
        <f t="shared" si="292"/>
        <v>0</v>
      </c>
      <c r="T1526" s="21">
        <f>VLOOKUP($A1526,'2022-23 Salary &amp; Benefits'!$A:$I,5,FALSE)</f>
        <v>68937</v>
      </c>
      <c r="U1526" s="21">
        <f>VLOOKUP($A1526,'2022-23 Salary &amp; Benefits'!$A:$I,6,FALSE)</f>
        <v>72728</v>
      </c>
      <c r="V1526" s="22">
        <f t="shared" si="293"/>
        <v>0</v>
      </c>
      <c r="W1526" s="22">
        <f t="shared" si="294"/>
        <v>0</v>
      </c>
      <c r="X1526" s="22">
        <f>'2022-23 Salary &amp; Benefits'!$G$6</f>
        <v>12558.24</v>
      </c>
      <c r="Y1526" s="23">
        <f>'2022-23 Salary &amp; Benefits'!$H$6</f>
        <v>0.2298</v>
      </c>
      <c r="Z1526" s="23">
        <f>'2022-23 Salary &amp; Benefits'!$I$6</f>
        <v>0.22339999999999999</v>
      </c>
      <c r="AA1526" s="22">
        <f t="shared" si="295"/>
        <v>0</v>
      </c>
      <c r="AB1526" s="22">
        <f t="shared" si="296"/>
        <v>0</v>
      </c>
      <c r="AC1526" s="22">
        <f t="shared" si="297"/>
        <v>0</v>
      </c>
      <c r="AD1526" s="22">
        <f t="shared" si="299"/>
        <v>0</v>
      </c>
      <c r="AE1526" s="22">
        <f t="shared" si="300"/>
        <v>0</v>
      </c>
      <c r="AF1526" s="19" t="str">
        <f>VLOOKUP(C1526,'2021-22 School Level AAFTE'!C:N,12,FALSE)</f>
        <v>No</v>
      </c>
    </row>
    <row r="1527" spans="1:32" s="5" customFormat="1">
      <c r="A1527" s="97" t="s">
        <v>2439</v>
      </c>
      <c r="B1527" s="97" t="s">
        <v>1299</v>
      </c>
      <c r="C1527" s="95">
        <v>4183</v>
      </c>
      <c r="D1527" s="95" t="s">
        <v>1321</v>
      </c>
      <c r="E1527" s="129">
        <f>VLOOKUP($C1527,'2021-22 School Level AAFTE'!$C:$Z,11,FALSE)</f>
        <v>0.45146666666666668</v>
      </c>
      <c r="F1527" s="129" t="str">
        <f>VLOOKUP($C1527,'2021-22 School Level AAFTE'!$C:$Z,8,FALSE)</f>
        <v>No</v>
      </c>
      <c r="G1527" s="129" t="str">
        <f>VLOOKUP($C1527,'2021-22 School Level AAFTE'!$C:$Z,12,FALSE)</f>
        <v>No</v>
      </c>
      <c r="H1527" s="127">
        <f>VLOOKUP($C1527,'2021-22 School Level AAFTE'!$C:$I,7,FALSE)</f>
        <v>796.2</v>
      </c>
      <c r="I1527" s="112">
        <f>IFERROR(IF(OR(G1527="yes",F1527= "yes"),VLOOKUP(C1527,Summary!$B:$J,6,0),0),0)</f>
        <v>0</v>
      </c>
      <c r="J1527" s="111">
        <f t="shared" si="291"/>
        <v>0</v>
      </c>
      <c r="K1527" s="91">
        <f>VLOOKUP($A1527,'2022-23 Salary &amp; Benefits'!$A:$I,3,FALSE)</f>
        <v>1.06</v>
      </c>
      <c r="L1527" s="91">
        <f>VLOOKUP($A1527,'2022-23 Salary &amp; Benefits'!$A:$I,4,FALSE)</f>
        <v>1.06</v>
      </c>
      <c r="M1527" s="39">
        <f t="shared" si="298"/>
        <v>0</v>
      </c>
      <c r="N1527" s="24">
        <v>15</v>
      </c>
      <c r="O1527" s="26">
        <f t="shared" si="289"/>
        <v>0</v>
      </c>
      <c r="P1527" s="24">
        <v>1.1000000000000001</v>
      </c>
      <c r="Q1527" s="24">
        <v>36</v>
      </c>
      <c r="R1527" s="27">
        <f t="shared" si="290"/>
        <v>0</v>
      </c>
      <c r="S1527" s="102">
        <f t="shared" si="292"/>
        <v>0</v>
      </c>
      <c r="T1527" s="21">
        <f>VLOOKUP($A1527,'2022-23 Salary &amp; Benefits'!$A:$I,5,FALSE)</f>
        <v>68937</v>
      </c>
      <c r="U1527" s="21">
        <f>VLOOKUP($A1527,'2022-23 Salary &amp; Benefits'!$A:$I,6,FALSE)</f>
        <v>72728</v>
      </c>
      <c r="V1527" s="22">
        <f t="shared" si="293"/>
        <v>0</v>
      </c>
      <c r="W1527" s="22">
        <f t="shared" si="294"/>
        <v>0</v>
      </c>
      <c r="X1527" s="22">
        <f>'2022-23 Salary &amp; Benefits'!$G$6</f>
        <v>12558.24</v>
      </c>
      <c r="Y1527" s="23">
        <f>'2022-23 Salary &amp; Benefits'!$H$6</f>
        <v>0.2298</v>
      </c>
      <c r="Z1527" s="23">
        <f>'2022-23 Salary &amp; Benefits'!$I$6</f>
        <v>0.22339999999999999</v>
      </c>
      <c r="AA1527" s="22">
        <f t="shared" si="295"/>
        <v>0</v>
      </c>
      <c r="AB1527" s="22">
        <f t="shared" si="296"/>
        <v>0</v>
      </c>
      <c r="AC1527" s="22">
        <f t="shared" si="297"/>
        <v>0</v>
      </c>
      <c r="AD1527" s="22">
        <f t="shared" si="299"/>
        <v>0</v>
      </c>
      <c r="AE1527" s="22">
        <f t="shared" si="300"/>
        <v>0</v>
      </c>
      <c r="AF1527" s="19" t="str">
        <f>VLOOKUP(C1527,'2021-22 School Level AAFTE'!C:N,12,FALSE)</f>
        <v>No</v>
      </c>
    </row>
    <row r="1528" spans="1:32" s="5" customFormat="1">
      <c r="A1528" s="97" t="s">
        <v>2439</v>
      </c>
      <c r="B1528" s="97" t="s">
        <v>1299</v>
      </c>
      <c r="C1528" s="95">
        <v>4360</v>
      </c>
      <c r="D1528" s="95" t="s">
        <v>2912</v>
      </c>
      <c r="E1528" s="129">
        <f>VLOOKUP($C1528,'2021-22 School Level AAFTE'!$C:$Z,11,FALSE)</f>
        <v>0.39660000000000001</v>
      </c>
      <c r="F1528" s="129" t="str">
        <f>VLOOKUP($C1528,'2021-22 School Level AAFTE'!$C:$Z,8,FALSE)</f>
        <v>No</v>
      </c>
      <c r="G1528" s="129" t="str">
        <f>VLOOKUP($C1528,'2021-22 School Level AAFTE'!$C:$Z,12,FALSE)</f>
        <v>No</v>
      </c>
      <c r="H1528" s="127">
        <f>VLOOKUP($C1528,'2021-22 School Level AAFTE'!$C:$I,7,FALSE)</f>
        <v>716.05</v>
      </c>
      <c r="I1528" s="112">
        <f>IFERROR(IF(OR(G1528="yes",F1528= "yes"),VLOOKUP(C1528,Summary!$B:$J,6,0),0),0)</f>
        <v>0</v>
      </c>
      <c r="J1528" s="111">
        <f t="shared" si="291"/>
        <v>0</v>
      </c>
      <c r="K1528" s="91">
        <f>VLOOKUP($A1528,'2022-23 Salary &amp; Benefits'!$A:$I,3,FALSE)</f>
        <v>1.06</v>
      </c>
      <c r="L1528" s="91">
        <f>VLOOKUP($A1528,'2022-23 Salary &amp; Benefits'!$A:$I,4,FALSE)</f>
        <v>1.06</v>
      </c>
      <c r="M1528" s="39">
        <f t="shared" si="298"/>
        <v>0</v>
      </c>
      <c r="N1528" s="24">
        <v>15</v>
      </c>
      <c r="O1528" s="26">
        <f t="shared" si="289"/>
        <v>0</v>
      </c>
      <c r="P1528" s="24">
        <v>1.1000000000000001</v>
      </c>
      <c r="Q1528" s="24">
        <v>36</v>
      </c>
      <c r="R1528" s="27">
        <f t="shared" si="290"/>
        <v>0</v>
      </c>
      <c r="S1528" s="102">
        <f t="shared" si="292"/>
        <v>0</v>
      </c>
      <c r="T1528" s="21">
        <f>VLOOKUP($A1528,'2022-23 Salary &amp; Benefits'!$A:$I,5,FALSE)</f>
        <v>68937</v>
      </c>
      <c r="U1528" s="21">
        <f>VLOOKUP($A1528,'2022-23 Salary &amp; Benefits'!$A:$I,6,FALSE)</f>
        <v>72728</v>
      </c>
      <c r="V1528" s="22">
        <f t="shared" si="293"/>
        <v>0</v>
      </c>
      <c r="W1528" s="22">
        <f t="shared" si="294"/>
        <v>0</v>
      </c>
      <c r="X1528" s="22">
        <f>'2022-23 Salary &amp; Benefits'!$G$6</f>
        <v>12558.24</v>
      </c>
      <c r="Y1528" s="23">
        <f>'2022-23 Salary &amp; Benefits'!$H$6</f>
        <v>0.2298</v>
      </c>
      <c r="Z1528" s="23">
        <f>'2022-23 Salary &amp; Benefits'!$I$6</f>
        <v>0.22339999999999999</v>
      </c>
      <c r="AA1528" s="22">
        <f t="shared" si="295"/>
        <v>0</v>
      </c>
      <c r="AB1528" s="22">
        <f t="shared" si="296"/>
        <v>0</v>
      </c>
      <c r="AC1528" s="22">
        <f t="shared" si="297"/>
        <v>0</v>
      </c>
      <c r="AD1528" s="22">
        <f t="shared" si="299"/>
        <v>0</v>
      </c>
      <c r="AE1528" s="22">
        <f t="shared" si="300"/>
        <v>0</v>
      </c>
      <c r="AF1528" s="19" t="str">
        <f>VLOOKUP(C1528,'2021-22 School Level AAFTE'!C:N,12,FALSE)</f>
        <v>No</v>
      </c>
    </row>
    <row r="1529" spans="1:32" s="5" customFormat="1">
      <c r="A1529" s="97" t="s">
        <v>2439</v>
      </c>
      <c r="B1529" s="97" t="s">
        <v>1299</v>
      </c>
      <c r="C1529" s="95">
        <v>4361</v>
      </c>
      <c r="D1529" s="95" t="s">
        <v>1322</v>
      </c>
      <c r="E1529" s="129">
        <f>VLOOKUP($C1529,'2021-22 School Level AAFTE'!$C:$Z,11,FALSE)</f>
        <v>0.3062333333333333</v>
      </c>
      <c r="F1529" s="129" t="str">
        <f>VLOOKUP($C1529,'2021-22 School Level AAFTE'!$C:$Z,8,FALSE)</f>
        <v>No</v>
      </c>
      <c r="G1529" s="129" t="str">
        <f>VLOOKUP($C1529,'2021-22 School Level AAFTE'!$C:$Z,12,FALSE)</f>
        <v>No</v>
      </c>
      <c r="H1529" s="127">
        <f>VLOOKUP($C1529,'2021-22 School Level AAFTE'!$C:$I,7,FALSE)</f>
        <v>544</v>
      </c>
      <c r="I1529" s="112">
        <f>IFERROR(IF(OR(G1529="yes",F1529= "yes"),VLOOKUP(C1529,Summary!$B:$J,6,0),0),0)</f>
        <v>0</v>
      </c>
      <c r="J1529" s="111">
        <f t="shared" si="291"/>
        <v>0</v>
      </c>
      <c r="K1529" s="91">
        <f>VLOOKUP($A1529,'2022-23 Salary &amp; Benefits'!$A:$I,3,FALSE)</f>
        <v>1.06</v>
      </c>
      <c r="L1529" s="91">
        <f>VLOOKUP($A1529,'2022-23 Salary &amp; Benefits'!$A:$I,4,FALSE)</f>
        <v>1.06</v>
      </c>
      <c r="M1529" s="39">
        <f t="shared" si="298"/>
        <v>0</v>
      </c>
      <c r="N1529" s="24">
        <v>15</v>
      </c>
      <c r="O1529" s="26">
        <f t="shared" si="289"/>
        <v>0</v>
      </c>
      <c r="P1529" s="24">
        <v>1.1000000000000001</v>
      </c>
      <c r="Q1529" s="24">
        <v>36</v>
      </c>
      <c r="R1529" s="27">
        <f t="shared" si="290"/>
        <v>0</v>
      </c>
      <c r="S1529" s="102">
        <f t="shared" si="292"/>
        <v>0</v>
      </c>
      <c r="T1529" s="21">
        <f>VLOOKUP($A1529,'2022-23 Salary &amp; Benefits'!$A:$I,5,FALSE)</f>
        <v>68937</v>
      </c>
      <c r="U1529" s="21">
        <f>VLOOKUP($A1529,'2022-23 Salary &amp; Benefits'!$A:$I,6,FALSE)</f>
        <v>72728</v>
      </c>
      <c r="V1529" s="22">
        <f t="shared" si="293"/>
        <v>0</v>
      </c>
      <c r="W1529" s="22">
        <f t="shared" si="294"/>
        <v>0</v>
      </c>
      <c r="X1529" s="22">
        <f>'2022-23 Salary &amp; Benefits'!$G$6</f>
        <v>12558.24</v>
      </c>
      <c r="Y1529" s="23">
        <f>'2022-23 Salary &amp; Benefits'!$H$6</f>
        <v>0.2298</v>
      </c>
      <c r="Z1529" s="23">
        <f>'2022-23 Salary &amp; Benefits'!$I$6</f>
        <v>0.22339999999999999</v>
      </c>
      <c r="AA1529" s="22">
        <f t="shared" si="295"/>
        <v>0</v>
      </c>
      <c r="AB1529" s="22">
        <f t="shared" si="296"/>
        <v>0</v>
      </c>
      <c r="AC1529" s="22">
        <f t="shared" si="297"/>
        <v>0</v>
      </c>
      <c r="AD1529" s="22">
        <f t="shared" si="299"/>
        <v>0</v>
      </c>
      <c r="AE1529" s="22">
        <f t="shared" si="300"/>
        <v>0</v>
      </c>
      <c r="AF1529" s="19" t="str">
        <f>VLOOKUP(C1529,'2021-22 School Level AAFTE'!C:N,12,FALSE)</f>
        <v>No</v>
      </c>
    </row>
    <row r="1530" spans="1:32" s="5" customFormat="1">
      <c r="A1530" s="97" t="s">
        <v>2439</v>
      </c>
      <c r="B1530" s="97" t="s">
        <v>1299</v>
      </c>
      <c r="C1530" s="95">
        <v>4414</v>
      </c>
      <c r="D1530" s="95" t="s">
        <v>1323</v>
      </c>
      <c r="E1530" s="129">
        <f>VLOOKUP($C1530,'2021-22 School Level AAFTE'!$C:$Z,11,FALSE)</f>
        <v>0.26163333333333333</v>
      </c>
      <c r="F1530" s="129" t="str">
        <f>VLOOKUP($C1530,'2021-22 School Level AAFTE'!$C:$Z,8,FALSE)</f>
        <v>No</v>
      </c>
      <c r="G1530" s="129" t="str">
        <f>VLOOKUP($C1530,'2021-22 School Level AAFTE'!$C:$Z,12,FALSE)</f>
        <v>No</v>
      </c>
      <c r="H1530" s="127">
        <f>VLOOKUP($C1530,'2021-22 School Level AAFTE'!$C:$I,7,FALSE)</f>
        <v>620.09</v>
      </c>
      <c r="I1530" s="112">
        <f>IFERROR(IF(OR(G1530="yes",F1530= "yes"),VLOOKUP(C1530,Summary!$B:$J,6,0),0),0)</f>
        <v>0</v>
      </c>
      <c r="J1530" s="111">
        <f t="shared" si="291"/>
        <v>0</v>
      </c>
      <c r="K1530" s="91">
        <f>VLOOKUP($A1530,'2022-23 Salary &amp; Benefits'!$A:$I,3,FALSE)</f>
        <v>1.06</v>
      </c>
      <c r="L1530" s="91">
        <f>VLOOKUP($A1530,'2022-23 Salary &amp; Benefits'!$A:$I,4,FALSE)</f>
        <v>1.06</v>
      </c>
      <c r="M1530" s="39">
        <f t="shared" si="298"/>
        <v>0</v>
      </c>
      <c r="N1530" s="24">
        <v>15</v>
      </c>
      <c r="O1530" s="26">
        <f t="shared" si="289"/>
        <v>0</v>
      </c>
      <c r="P1530" s="24">
        <v>1.1000000000000001</v>
      </c>
      <c r="Q1530" s="24">
        <v>36</v>
      </c>
      <c r="R1530" s="27">
        <f t="shared" si="290"/>
        <v>0</v>
      </c>
      <c r="S1530" s="102">
        <f t="shared" si="292"/>
        <v>0</v>
      </c>
      <c r="T1530" s="21">
        <f>VLOOKUP($A1530,'2022-23 Salary &amp; Benefits'!$A:$I,5,FALSE)</f>
        <v>68937</v>
      </c>
      <c r="U1530" s="21">
        <f>VLOOKUP($A1530,'2022-23 Salary &amp; Benefits'!$A:$I,6,FALSE)</f>
        <v>72728</v>
      </c>
      <c r="V1530" s="22">
        <f t="shared" si="293"/>
        <v>0</v>
      </c>
      <c r="W1530" s="22">
        <f t="shared" si="294"/>
        <v>0</v>
      </c>
      <c r="X1530" s="22">
        <f>'2022-23 Salary &amp; Benefits'!$G$6</f>
        <v>12558.24</v>
      </c>
      <c r="Y1530" s="23">
        <f>'2022-23 Salary &amp; Benefits'!$H$6</f>
        <v>0.2298</v>
      </c>
      <c r="Z1530" s="23">
        <f>'2022-23 Salary &amp; Benefits'!$I$6</f>
        <v>0.22339999999999999</v>
      </c>
      <c r="AA1530" s="22">
        <f t="shared" si="295"/>
        <v>0</v>
      </c>
      <c r="AB1530" s="22">
        <f t="shared" si="296"/>
        <v>0</v>
      </c>
      <c r="AC1530" s="22">
        <f t="shared" si="297"/>
        <v>0</v>
      </c>
      <c r="AD1530" s="22">
        <f t="shared" si="299"/>
        <v>0</v>
      </c>
      <c r="AE1530" s="22">
        <f t="shared" si="300"/>
        <v>0</v>
      </c>
      <c r="AF1530" s="19" t="str">
        <f>VLOOKUP(C1530,'2021-22 School Level AAFTE'!C:N,12,FALSE)</f>
        <v>No</v>
      </c>
    </row>
    <row r="1531" spans="1:32" s="5" customFormat="1">
      <c r="A1531" s="97" t="s">
        <v>2439</v>
      </c>
      <c r="B1531" s="97" t="s">
        <v>1299</v>
      </c>
      <c r="C1531" s="95">
        <v>4443</v>
      </c>
      <c r="D1531" s="95" t="s">
        <v>1324</v>
      </c>
      <c r="E1531" s="129">
        <f>VLOOKUP($C1531,'2021-22 School Level AAFTE'!$C:$Z,11,FALSE)</f>
        <v>0.38756666666666667</v>
      </c>
      <c r="F1531" s="129" t="str">
        <f>VLOOKUP($C1531,'2021-22 School Level AAFTE'!$C:$Z,8,FALSE)</f>
        <v>No</v>
      </c>
      <c r="G1531" s="129" t="str">
        <f>VLOOKUP($C1531,'2021-22 School Level AAFTE'!$C:$Z,12,FALSE)</f>
        <v>No</v>
      </c>
      <c r="H1531" s="127">
        <f>VLOOKUP($C1531,'2021-22 School Level AAFTE'!$C:$I,7,FALSE)</f>
        <v>882.12</v>
      </c>
      <c r="I1531" s="112">
        <f>IFERROR(IF(OR(G1531="yes",F1531= "yes"),VLOOKUP(C1531,Summary!$B:$J,6,0),0),0)</f>
        <v>0</v>
      </c>
      <c r="J1531" s="111">
        <f t="shared" si="291"/>
        <v>0</v>
      </c>
      <c r="K1531" s="91">
        <f>VLOOKUP($A1531,'2022-23 Salary &amp; Benefits'!$A:$I,3,FALSE)</f>
        <v>1.06</v>
      </c>
      <c r="L1531" s="91">
        <f>VLOOKUP($A1531,'2022-23 Salary &amp; Benefits'!$A:$I,4,FALSE)</f>
        <v>1.06</v>
      </c>
      <c r="M1531" s="39">
        <f t="shared" si="298"/>
        <v>0</v>
      </c>
      <c r="N1531" s="24">
        <v>15</v>
      </c>
      <c r="O1531" s="26">
        <f t="shared" si="289"/>
        <v>0</v>
      </c>
      <c r="P1531" s="24">
        <v>1.1000000000000001</v>
      </c>
      <c r="Q1531" s="24">
        <v>36</v>
      </c>
      <c r="R1531" s="27">
        <f t="shared" si="290"/>
        <v>0</v>
      </c>
      <c r="S1531" s="102">
        <f t="shared" si="292"/>
        <v>0</v>
      </c>
      <c r="T1531" s="21">
        <f>VLOOKUP($A1531,'2022-23 Salary &amp; Benefits'!$A:$I,5,FALSE)</f>
        <v>68937</v>
      </c>
      <c r="U1531" s="21">
        <f>VLOOKUP($A1531,'2022-23 Salary &amp; Benefits'!$A:$I,6,FALSE)</f>
        <v>72728</v>
      </c>
      <c r="V1531" s="22">
        <f t="shared" si="293"/>
        <v>0</v>
      </c>
      <c r="W1531" s="22">
        <f t="shared" si="294"/>
        <v>0</v>
      </c>
      <c r="X1531" s="22">
        <f>'2022-23 Salary &amp; Benefits'!$G$6</f>
        <v>12558.24</v>
      </c>
      <c r="Y1531" s="23">
        <f>'2022-23 Salary &amp; Benefits'!$H$6</f>
        <v>0.2298</v>
      </c>
      <c r="Z1531" s="23">
        <f>'2022-23 Salary &amp; Benefits'!$I$6</f>
        <v>0.22339999999999999</v>
      </c>
      <c r="AA1531" s="22">
        <f t="shared" si="295"/>
        <v>0</v>
      </c>
      <c r="AB1531" s="22">
        <f t="shared" si="296"/>
        <v>0</v>
      </c>
      <c r="AC1531" s="22">
        <f t="shared" si="297"/>
        <v>0</v>
      </c>
      <c r="AD1531" s="22">
        <f t="shared" si="299"/>
        <v>0</v>
      </c>
      <c r="AE1531" s="22">
        <f t="shared" si="300"/>
        <v>0</v>
      </c>
      <c r="AF1531" s="19" t="str">
        <f>VLOOKUP(C1531,'2021-22 School Level AAFTE'!C:N,12,FALSE)</f>
        <v>No</v>
      </c>
    </row>
    <row r="1532" spans="1:32" s="5" customFormat="1">
      <c r="A1532" s="97" t="s">
        <v>2439</v>
      </c>
      <c r="B1532" s="97" t="s">
        <v>1299</v>
      </c>
      <c r="C1532" s="95">
        <v>4496</v>
      </c>
      <c r="D1532" s="95" t="s">
        <v>1325</v>
      </c>
      <c r="E1532" s="129">
        <f>VLOOKUP($C1532,'2021-22 School Level AAFTE'!$C:$Z,11,FALSE)</f>
        <v>0.45296666666666668</v>
      </c>
      <c r="F1532" s="129" t="str">
        <f>VLOOKUP($C1532,'2021-22 School Level AAFTE'!$C:$Z,8,FALSE)</f>
        <v>No</v>
      </c>
      <c r="G1532" s="129" t="str">
        <f>VLOOKUP($C1532,'2021-22 School Level AAFTE'!$C:$Z,12,FALSE)</f>
        <v>No</v>
      </c>
      <c r="H1532" s="127">
        <f>VLOOKUP($C1532,'2021-22 School Level AAFTE'!$C:$I,7,FALSE)</f>
        <v>499.64</v>
      </c>
      <c r="I1532" s="112">
        <f>IFERROR(IF(OR(G1532="yes",F1532= "yes"),VLOOKUP(C1532,Summary!$B:$J,6,0),0),0)</f>
        <v>0</v>
      </c>
      <c r="J1532" s="111">
        <f t="shared" si="291"/>
        <v>0</v>
      </c>
      <c r="K1532" s="91">
        <f>VLOOKUP($A1532,'2022-23 Salary &amp; Benefits'!$A:$I,3,FALSE)</f>
        <v>1.06</v>
      </c>
      <c r="L1532" s="91">
        <f>VLOOKUP($A1532,'2022-23 Salary &amp; Benefits'!$A:$I,4,FALSE)</f>
        <v>1.06</v>
      </c>
      <c r="M1532" s="39">
        <f t="shared" si="298"/>
        <v>0</v>
      </c>
      <c r="N1532" s="24">
        <v>15</v>
      </c>
      <c r="O1532" s="26">
        <f t="shared" si="289"/>
        <v>0</v>
      </c>
      <c r="P1532" s="24">
        <v>1.1000000000000001</v>
      </c>
      <c r="Q1532" s="24">
        <v>36</v>
      </c>
      <c r="R1532" s="27">
        <f t="shared" si="290"/>
        <v>0</v>
      </c>
      <c r="S1532" s="102">
        <f t="shared" si="292"/>
        <v>0</v>
      </c>
      <c r="T1532" s="21">
        <f>VLOOKUP($A1532,'2022-23 Salary &amp; Benefits'!$A:$I,5,FALSE)</f>
        <v>68937</v>
      </c>
      <c r="U1532" s="21">
        <f>VLOOKUP($A1532,'2022-23 Salary &amp; Benefits'!$A:$I,6,FALSE)</f>
        <v>72728</v>
      </c>
      <c r="V1532" s="22">
        <f t="shared" si="293"/>
        <v>0</v>
      </c>
      <c r="W1532" s="22">
        <f t="shared" si="294"/>
        <v>0</v>
      </c>
      <c r="X1532" s="22">
        <f>'2022-23 Salary &amp; Benefits'!$G$6</f>
        <v>12558.24</v>
      </c>
      <c r="Y1532" s="23">
        <f>'2022-23 Salary &amp; Benefits'!$H$6</f>
        <v>0.2298</v>
      </c>
      <c r="Z1532" s="23">
        <f>'2022-23 Salary &amp; Benefits'!$I$6</f>
        <v>0.22339999999999999</v>
      </c>
      <c r="AA1532" s="22">
        <f t="shared" si="295"/>
        <v>0</v>
      </c>
      <c r="AB1532" s="22">
        <f t="shared" si="296"/>
        <v>0</v>
      </c>
      <c r="AC1532" s="22">
        <f t="shared" si="297"/>
        <v>0</v>
      </c>
      <c r="AD1532" s="22">
        <f t="shared" si="299"/>
        <v>0</v>
      </c>
      <c r="AE1532" s="22">
        <f t="shared" si="300"/>
        <v>0</v>
      </c>
      <c r="AF1532" s="19" t="str">
        <f>VLOOKUP(C1532,'2021-22 School Level AAFTE'!C:N,12,FALSE)</f>
        <v>No</v>
      </c>
    </row>
    <row r="1533" spans="1:32" s="5" customFormat="1">
      <c r="A1533" s="97" t="s">
        <v>2439</v>
      </c>
      <c r="B1533" s="97" t="s">
        <v>1299</v>
      </c>
      <c r="C1533" s="95">
        <v>4540</v>
      </c>
      <c r="D1533" s="95" t="s">
        <v>1326</v>
      </c>
      <c r="E1533" s="129">
        <f>VLOOKUP($C1533,'2021-22 School Level AAFTE'!$C:$Z,11,FALSE)</f>
        <v>0.33426666666666671</v>
      </c>
      <c r="F1533" s="129" t="str">
        <f>VLOOKUP($C1533,'2021-22 School Level AAFTE'!$C:$Z,8,FALSE)</f>
        <v>No</v>
      </c>
      <c r="G1533" s="129" t="str">
        <f>VLOOKUP($C1533,'2021-22 School Level AAFTE'!$C:$Z,12,FALSE)</f>
        <v>No</v>
      </c>
      <c r="H1533" s="127">
        <f>VLOOKUP($C1533,'2021-22 School Level AAFTE'!$C:$I,7,FALSE)</f>
        <v>1437.94</v>
      </c>
      <c r="I1533" s="112">
        <f>IFERROR(IF(OR(G1533="yes",F1533= "yes"),VLOOKUP(C1533,Summary!$B:$J,6,0),0),0)</f>
        <v>0</v>
      </c>
      <c r="J1533" s="111">
        <f t="shared" si="291"/>
        <v>0</v>
      </c>
      <c r="K1533" s="91">
        <f>VLOOKUP($A1533,'2022-23 Salary &amp; Benefits'!$A:$I,3,FALSE)</f>
        <v>1.06</v>
      </c>
      <c r="L1533" s="91">
        <f>VLOOKUP($A1533,'2022-23 Salary &amp; Benefits'!$A:$I,4,FALSE)</f>
        <v>1.06</v>
      </c>
      <c r="M1533" s="101">
        <f t="shared" si="298"/>
        <v>0</v>
      </c>
      <c r="N1533" s="24">
        <v>15</v>
      </c>
      <c r="O1533" s="26">
        <f t="shared" si="289"/>
        <v>0</v>
      </c>
      <c r="P1533" s="24">
        <v>1.1000000000000001</v>
      </c>
      <c r="Q1533" s="24">
        <v>36</v>
      </c>
      <c r="R1533" s="27">
        <f t="shared" si="290"/>
        <v>0</v>
      </c>
      <c r="S1533" s="102">
        <f t="shared" si="292"/>
        <v>0</v>
      </c>
      <c r="T1533" s="21">
        <f>VLOOKUP($A1533,'2022-23 Salary &amp; Benefits'!$A:$I,5,FALSE)</f>
        <v>68937</v>
      </c>
      <c r="U1533" s="21">
        <f>VLOOKUP($A1533,'2022-23 Salary &amp; Benefits'!$A:$I,6,FALSE)</f>
        <v>72728</v>
      </c>
      <c r="V1533" s="22">
        <f t="shared" si="293"/>
        <v>0</v>
      </c>
      <c r="W1533" s="22">
        <f t="shared" si="294"/>
        <v>0</v>
      </c>
      <c r="X1533" s="22">
        <f>'2022-23 Salary &amp; Benefits'!$G$6</f>
        <v>12558.24</v>
      </c>
      <c r="Y1533" s="23">
        <f>'2022-23 Salary &amp; Benefits'!$H$6</f>
        <v>0.2298</v>
      </c>
      <c r="Z1533" s="23">
        <f>'2022-23 Salary &amp; Benefits'!$I$6</f>
        <v>0.22339999999999999</v>
      </c>
      <c r="AA1533" s="22">
        <f t="shared" si="295"/>
        <v>0</v>
      </c>
      <c r="AB1533" s="22">
        <f t="shared" si="296"/>
        <v>0</v>
      </c>
      <c r="AC1533" s="22">
        <f t="shared" si="297"/>
        <v>0</v>
      </c>
      <c r="AD1533" s="22">
        <f t="shared" si="299"/>
        <v>0</v>
      </c>
      <c r="AE1533" s="22">
        <f t="shared" si="300"/>
        <v>0</v>
      </c>
      <c r="AF1533" s="19" t="str">
        <f>VLOOKUP(C1533,'2021-22 School Level AAFTE'!C:N,12,FALSE)</f>
        <v>No</v>
      </c>
    </row>
    <row r="1534" spans="1:32" s="5" customFormat="1">
      <c r="A1534" s="97" t="s">
        <v>2439</v>
      </c>
      <c r="B1534" s="97" t="s">
        <v>1299</v>
      </c>
      <c r="C1534" s="95">
        <v>5088</v>
      </c>
      <c r="D1534" s="95" t="s">
        <v>937</v>
      </c>
      <c r="E1534" s="129">
        <f>VLOOKUP($C1534,'2021-22 School Level AAFTE'!$C:$Z,11,FALSE)</f>
        <v>0.37290000000000001</v>
      </c>
      <c r="F1534" s="129" t="str">
        <f>VLOOKUP($C1534,'2021-22 School Level AAFTE'!$C:$Z,8,FALSE)</f>
        <v>No</v>
      </c>
      <c r="G1534" s="129" t="str">
        <f>VLOOKUP($C1534,'2021-22 School Level AAFTE'!$C:$Z,12,FALSE)</f>
        <v>No</v>
      </c>
      <c r="H1534" s="127">
        <f>VLOOKUP($C1534,'2021-22 School Level AAFTE'!$C:$I,7,FALSE)</f>
        <v>680.46</v>
      </c>
      <c r="I1534" s="112">
        <f>IFERROR(IF(OR(G1534="yes",F1534= "yes"),VLOOKUP(C1534,Summary!$B:$J,6,0),0),0)</f>
        <v>0</v>
      </c>
      <c r="J1534" s="111">
        <f t="shared" si="291"/>
        <v>0</v>
      </c>
      <c r="K1534" s="91">
        <f>VLOOKUP($A1534,'2022-23 Salary &amp; Benefits'!$A:$I,3,FALSE)</f>
        <v>1.06</v>
      </c>
      <c r="L1534" s="91">
        <f>VLOOKUP($A1534,'2022-23 Salary &amp; Benefits'!$A:$I,4,FALSE)</f>
        <v>1.06</v>
      </c>
      <c r="M1534" s="39">
        <f t="shared" si="298"/>
        <v>0</v>
      </c>
      <c r="N1534" s="24">
        <v>15</v>
      </c>
      <c r="O1534" s="26">
        <f t="shared" si="289"/>
        <v>0</v>
      </c>
      <c r="P1534" s="24">
        <v>1.1000000000000001</v>
      </c>
      <c r="Q1534" s="24">
        <v>36</v>
      </c>
      <c r="R1534" s="27">
        <f t="shared" si="290"/>
        <v>0</v>
      </c>
      <c r="S1534" s="102">
        <f t="shared" si="292"/>
        <v>0</v>
      </c>
      <c r="T1534" s="21">
        <f>VLOOKUP($A1534,'2022-23 Salary &amp; Benefits'!$A:$I,5,FALSE)</f>
        <v>68937</v>
      </c>
      <c r="U1534" s="21">
        <f>VLOOKUP($A1534,'2022-23 Salary &amp; Benefits'!$A:$I,6,FALSE)</f>
        <v>72728</v>
      </c>
      <c r="V1534" s="22">
        <f t="shared" si="293"/>
        <v>0</v>
      </c>
      <c r="W1534" s="22">
        <f t="shared" si="294"/>
        <v>0</v>
      </c>
      <c r="X1534" s="22">
        <f>'2022-23 Salary &amp; Benefits'!$G$6</f>
        <v>12558.24</v>
      </c>
      <c r="Y1534" s="23">
        <f>'2022-23 Salary &amp; Benefits'!$H$6</f>
        <v>0.2298</v>
      </c>
      <c r="Z1534" s="23">
        <f>'2022-23 Salary &amp; Benefits'!$I$6</f>
        <v>0.22339999999999999</v>
      </c>
      <c r="AA1534" s="22">
        <f t="shared" si="295"/>
        <v>0</v>
      </c>
      <c r="AB1534" s="22">
        <f t="shared" si="296"/>
        <v>0</v>
      </c>
      <c r="AC1534" s="22">
        <f t="shared" si="297"/>
        <v>0</v>
      </c>
      <c r="AD1534" s="22">
        <f t="shared" si="299"/>
        <v>0</v>
      </c>
      <c r="AE1534" s="22">
        <f t="shared" si="300"/>
        <v>0</v>
      </c>
      <c r="AF1534" s="19" t="str">
        <f>VLOOKUP(C1534,'2021-22 School Level AAFTE'!C:N,12,FALSE)</f>
        <v>No</v>
      </c>
    </row>
    <row r="1535" spans="1:32" s="5" customFormat="1">
      <c r="A1535" s="97" t="s">
        <v>2439</v>
      </c>
      <c r="B1535" s="97" t="s">
        <v>1299</v>
      </c>
      <c r="C1535" s="95">
        <v>5093</v>
      </c>
      <c r="D1535" s="95" t="s">
        <v>1327</v>
      </c>
      <c r="E1535" s="129">
        <f>VLOOKUP($C1535,'2021-22 School Level AAFTE'!$C:$Z,11,FALSE)</f>
        <v>0.25136666666666668</v>
      </c>
      <c r="F1535" s="129" t="str">
        <f>VLOOKUP($C1535,'2021-22 School Level AAFTE'!$C:$Z,8,FALSE)</f>
        <v>No</v>
      </c>
      <c r="G1535" s="129" t="str">
        <f>VLOOKUP($C1535,'2021-22 School Level AAFTE'!$C:$Z,12,FALSE)</f>
        <v>No</v>
      </c>
      <c r="H1535" s="127">
        <f>VLOOKUP($C1535,'2021-22 School Level AAFTE'!$C:$I,7,FALSE)</f>
        <v>673.57</v>
      </c>
      <c r="I1535" s="112">
        <f>IFERROR(IF(OR(G1535="yes",F1535= "yes"),VLOOKUP(C1535,Summary!$B:$J,6,0),0),0)</f>
        <v>0</v>
      </c>
      <c r="J1535" s="111">
        <f t="shared" si="291"/>
        <v>0</v>
      </c>
      <c r="K1535" s="91">
        <f>VLOOKUP($A1535,'2022-23 Salary &amp; Benefits'!$A:$I,3,FALSE)</f>
        <v>1.06</v>
      </c>
      <c r="L1535" s="91">
        <f>VLOOKUP($A1535,'2022-23 Salary &amp; Benefits'!$A:$I,4,FALSE)</f>
        <v>1.06</v>
      </c>
      <c r="M1535" s="39">
        <f t="shared" si="298"/>
        <v>0</v>
      </c>
      <c r="N1535" s="24">
        <v>15</v>
      </c>
      <c r="O1535" s="26">
        <f t="shared" si="289"/>
        <v>0</v>
      </c>
      <c r="P1535" s="24">
        <v>1.1000000000000001</v>
      </c>
      <c r="Q1535" s="24">
        <v>36</v>
      </c>
      <c r="R1535" s="27">
        <f t="shared" si="290"/>
        <v>0</v>
      </c>
      <c r="S1535" s="102">
        <f t="shared" si="292"/>
        <v>0</v>
      </c>
      <c r="T1535" s="21">
        <f>VLOOKUP($A1535,'2022-23 Salary &amp; Benefits'!$A:$I,5,FALSE)</f>
        <v>68937</v>
      </c>
      <c r="U1535" s="21">
        <f>VLOOKUP($A1535,'2022-23 Salary &amp; Benefits'!$A:$I,6,FALSE)</f>
        <v>72728</v>
      </c>
      <c r="V1535" s="22">
        <f t="shared" si="293"/>
        <v>0</v>
      </c>
      <c r="W1535" s="22">
        <f t="shared" si="294"/>
        <v>0</v>
      </c>
      <c r="X1535" s="22">
        <f>'2022-23 Salary &amp; Benefits'!$G$6</f>
        <v>12558.24</v>
      </c>
      <c r="Y1535" s="23">
        <f>'2022-23 Salary &amp; Benefits'!$H$6</f>
        <v>0.2298</v>
      </c>
      <c r="Z1535" s="23">
        <f>'2022-23 Salary &amp; Benefits'!$I$6</f>
        <v>0.22339999999999999</v>
      </c>
      <c r="AA1535" s="22">
        <f t="shared" si="295"/>
        <v>0</v>
      </c>
      <c r="AB1535" s="22">
        <f t="shared" si="296"/>
        <v>0</v>
      </c>
      <c r="AC1535" s="22">
        <f t="shared" si="297"/>
        <v>0</v>
      </c>
      <c r="AD1535" s="22">
        <f t="shared" si="299"/>
        <v>0</v>
      </c>
      <c r="AE1535" s="22">
        <f t="shared" si="300"/>
        <v>0</v>
      </c>
      <c r="AF1535" s="19" t="str">
        <f>VLOOKUP(C1535,'2021-22 School Level AAFTE'!C:N,12,FALSE)</f>
        <v>No</v>
      </c>
    </row>
    <row r="1536" spans="1:32" s="5" customFormat="1">
      <c r="A1536" s="97" t="s">
        <v>2439</v>
      </c>
      <c r="B1536" s="97" t="s">
        <v>1299</v>
      </c>
      <c r="C1536" s="95">
        <v>5142</v>
      </c>
      <c r="D1536" s="95" t="s">
        <v>1328</v>
      </c>
      <c r="E1536" s="129">
        <f>VLOOKUP($C1536,'2021-22 School Level AAFTE'!$C:$Z,11,FALSE)</f>
        <v>0.33039999999999997</v>
      </c>
      <c r="F1536" s="129" t="str">
        <f>VLOOKUP($C1536,'2021-22 School Level AAFTE'!$C:$Z,8,FALSE)</f>
        <v>No</v>
      </c>
      <c r="G1536" s="129" t="str">
        <f>VLOOKUP($C1536,'2021-22 School Level AAFTE'!$C:$Z,12,FALSE)</f>
        <v>No</v>
      </c>
      <c r="H1536" s="127">
        <f>VLOOKUP($C1536,'2021-22 School Level AAFTE'!$C:$I,7,FALSE)</f>
        <v>808.2</v>
      </c>
      <c r="I1536" s="112">
        <f>IFERROR(IF(OR(G1536="yes",F1536= "yes"),VLOOKUP(C1536,Summary!$B:$J,6,0),0),0)</f>
        <v>0</v>
      </c>
      <c r="J1536" s="111">
        <f t="shared" si="291"/>
        <v>0</v>
      </c>
      <c r="K1536" s="91">
        <f>VLOOKUP($A1536,'2022-23 Salary &amp; Benefits'!$A:$I,3,FALSE)</f>
        <v>1.06</v>
      </c>
      <c r="L1536" s="91">
        <f>VLOOKUP($A1536,'2022-23 Salary &amp; Benefits'!$A:$I,4,FALSE)</f>
        <v>1.06</v>
      </c>
      <c r="M1536" s="101">
        <f t="shared" si="298"/>
        <v>0</v>
      </c>
      <c r="N1536" s="24">
        <v>15</v>
      </c>
      <c r="O1536" s="26">
        <f t="shared" si="289"/>
        <v>0</v>
      </c>
      <c r="P1536" s="24">
        <v>1.1000000000000001</v>
      </c>
      <c r="Q1536" s="24">
        <v>36</v>
      </c>
      <c r="R1536" s="27">
        <f t="shared" si="290"/>
        <v>0</v>
      </c>
      <c r="S1536" s="102">
        <f t="shared" si="292"/>
        <v>0</v>
      </c>
      <c r="T1536" s="21">
        <f>VLOOKUP($A1536,'2022-23 Salary &amp; Benefits'!$A:$I,5,FALSE)</f>
        <v>68937</v>
      </c>
      <c r="U1536" s="21">
        <f>VLOOKUP($A1536,'2022-23 Salary &amp; Benefits'!$A:$I,6,FALSE)</f>
        <v>72728</v>
      </c>
      <c r="V1536" s="22">
        <f t="shared" si="293"/>
        <v>0</v>
      </c>
      <c r="W1536" s="22">
        <f t="shared" si="294"/>
        <v>0</v>
      </c>
      <c r="X1536" s="22">
        <f>'2022-23 Salary &amp; Benefits'!$G$6</f>
        <v>12558.24</v>
      </c>
      <c r="Y1536" s="23">
        <f>'2022-23 Salary &amp; Benefits'!$H$6</f>
        <v>0.2298</v>
      </c>
      <c r="Z1536" s="23">
        <f>'2022-23 Salary &amp; Benefits'!$I$6</f>
        <v>0.22339999999999999</v>
      </c>
      <c r="AA1536" s="22">
        <f t="shared" si="295"/>
        <v>0</v>
      </c>
      <c r="AB1536" s="22">
        <f t="shared" si="296"/>
        <v>0</v>
      </c>
      <c r="AC1536" s="22">
        <f t="shared" si="297"/>
        <v>0</v>
      </c>
      <c r="AD1536" s="22">
        <f t="shared" si="299"/>
        <v>0</v>
      </c>
      <c r="AE1536" s="22">
        <f t="shared" si="300"/>
        <v>0</v>
      </c>
      <c r="AF1536" s="19" t="str">
        <f>VLOOKUP(C1536,'2021-22 School Level AAFTE'!C:N,12,FALSE)</f>
        <v>No</v>
      </c>
    </row>
    <row r="1537" spans="1:32" s="5" customFormat="1">
      <c r="A1537" s="97" t="s">
        <v>2439</v>
      </c>
      <c r="B1537" s="97" t="s">
        <v>1299</v>
      </c>
      <c r="C1537" s="95">
        <v>5321</v>
      </c>
      <c r="D1537" s="95" t="s">
        <v>2914</v>
      </c>
      <c r="E1537" s="129">
        <f>VLOOKUP($C1537,'2021-22 School Level AAFTE'!$C:$Z,11,FALSE)</f>
        <v>0.53739999999999999</v>
      </c>
      <c r="F1537" s="129" t="str">
        <f>VLOOKUP($C1537,'2021-22 School Level AAFTE'!$C:$Z,8,FALSE)</f>
        <v>Yes</v>
      </c>
      <c r="G1537" s="129" t="str">
        <f>VLOOKUP($C1537,'2021-22 School Level AAFTE'!$C:$Z,12,FALSE)</f>
        <v>No</v>
      </c>
      <c r="H1537" s="127">
        <f>VLOOKUP($C1537,'2021-22 School Level AAFTE'!$C:$I,7,FALSE)</f>
        <v>53.86</v>
      </c>
      <c r="I1537" s="112">
        <f>IFERROR(IF(OR(G1537="yes",F1537= "yes"),VLOOKUP(C1537,Summary!$B:$J,6,0),0),0)</f>
        <v>0</v>
      </c>
      <c r="J1537" s="111">
        <f t="shared" si="291"/>
        <v>53.86</v>
      </c>
      <c r="K1537" s="91">
        <f>VLOOKUP($A1537,'2022-23 Salary &amp; Benefits'!$A:$I,3,FALSE)</f>
        <v>1.06</v>
      </c>
      <c r="L1537" s="91">
        <f>VLOOKUP($A1537,'2022-23 Salary &amp; Benefits'!$A:$I,4,FALSE)</f>
        <v>1.06</v>
      </c>
      <c r="M1537" s="39">
        <f t="shared" si="298"/>
        <v>53.86</v>
      </c>
      <c r="N1537" s="24">
        <v>15</v>
      </c>
      <c r="O1537" s="26">
        <f t="shared" si="289"/>
        <v>3.5906666666666665</v>
      </c>
      <c r="P1537" s="24">
        <v>1.1000000000000001</v>
      </c>
      <c r="Q1537" s="24">
        <v>36</v>
      </c>
      <c r="R1537" s="27">
        <f t="shared" si="290"/>
        <v>142.19040000000001</v>
      </c>
      <c r="S1537" s="102">
        <f t="shared" si="292"/>
        <v>0.158</v>
      </c>
      <c r="T1537" s="21">
        <f>VLOOKUP($A1537,'2022-23 Salary &amp; Benefits'!$A:$I,5,FALSE)</f>
        <v>68937</v>
      </c>
      <c r="U1537" s="21">
        <f>VLOOKUP($A1537,'2022-23 Salary &amp; Benefits'!$A:$I,6,FALSE)</f>
        <v>72728</v>
      </c>
      <c r="V1537" s="22">
        <f t="shared" si="293"/>
        <v>11545.57</v>
      </c>
      <c r="W1537" s="22">
        <f t="shared" si="294"/>
        <v>634.92000000000007</v>
      </c>
      <c r="X1537" s="22">
        <f>'2022-23 Salary &amp; Benefits'!$G$6</f>
        <v>12558.24</v>
      </c>
      <c r="Y1537" s="23">
        <f>'2022-23 Salary &amp; Benefits'!$H$6</f>
        <v>0.2298</v>
      </c>
      <c r="Z1537" s="23">
        <f>'2022-23 Salary &amp; Benefits'!$I$6</f>
        <v>0.22339999999999999</v>
      </c>
      <c r="AA1537" s="22">
        <f t="shared" si="295"/>
        <v>4779.22</v>
      </c>
      <c r="AB1537" s="22">
        <f t="shared" si="296"/>
        <v>203.01</v>
      </c>
      <c r="AC1537" s="22">
        <f t="shared" si="297"/>
        <v>45.35</v>
      </c>
      <c r="AD1537" s="22">
        <f t="shared" si="299"/>
        <v>248.35999999999999</v>
      </c>
      <c r="AE1537" s="22">
        <f t="shared" si="300"/>
        <v>17208.07</v>
      </c>
      <c r="AF1537" s="19" t="str">
        <f>VLOOKUP(C1537,'2021-22 School Level AAFTE'!C:N,12,FALSE)</f>
        <v>No</v>
      </c>
    </row>
    <row r="1538" spans="1:32" s="5" customFormat="1">
      <c r="A1538" s="97" t="s">
        <v>2439</v>
      </c>
      <c r="B1538" s="97" t="s">
        <v>1299</v>
      </c>
      <c r="C1538" s="95">
        <v>5322</v>
      </c>
      <c r="D1538" s="95" t="s">
        <v>1329</v>
      </c>
      <c r="E1538" s="129">
        <f>VLOOKUP($C1538,'2021-22 School Level AAFTE'!$C:$Z,11,FALSE)</f>
        <v>0.28856666666666664</v>
      </c>
      <c r="F1538" s="129" t="str">
        <f>VLOOKUP($C1538,'2021-22 School Level AAFTE'!$C:$Z,8,FALSE)</f>
        <v>No</v>
      </c>
      <c r="G1538" s="129" t="str">
        <f>VLOOKUP($C1538,'2021-22 School Level AAFTE'!$C:$Z,12,FALSE)</f>
        <v>No</v>
      </c>
      <c r="H1538" s="127">
        <f>VLOOKUP($C1538,'2021-22 School Level AAFTE'!$C:$I,7,FALSE)</f>
        <v>347.71</v>
      </c>
      <c r="I1538" s="112">
        <f>IFERROR(IF(OR(G1538="yes",F1538= "yes"),VLOOKUP(C1538,Summary!$B:$J,6,0),0),0)</f>
        <v>0</v>
      </c>
      <c r="J1538" s="111">
        <f t="shared" si="291"/>
        <v>0</v>
      </c>
      <c r="K1538" s="91">
        <f>VLOOKUP($A1538,'2022-23 Salary &amp; Benefits'!$A:$I,3,FALSE)</f>
        <v>1.06</v>
      </c>
      <c r="L1538" s="91">
        <f>VLOOKUP($A1538,'2022-23 Salary &amp; Benefits'!$A:$I,4,FALSE)</f>
        <v>1.06</v>
      </c>
      <c r="M1538" s="39">
        <f t="shared" si="298"/>
        <v>0</v>
      </c>
      <c r="N1538" s="24">
        <v>15</v>
      </c>
      <c r="O1538" s="26">
        <f t="shared" si="289"/>
        <v>0</v>
      </c>
      <c r="P1538" s="24">
        <v>1.1000000000000001</v>
      </c>
      <c r="Q1538" s="24">
        <v>36</v>
      </c>
      <c r="R1538" s="27">
        <f t="shared" si="290"/>
        <v>0</v>
      </c>
      <c r="S1538" s="102">
        <f t="shared" si="292"/>
        <v>0</v>
      </c>
      <c r="T1538" s="21">
        <f>VLOOKUP($A1538,'2022-23 Salary &amp; Benefits'!$A:$I,5,FALSE)</f>
        <v>68937</v>
      </c>
      <c r="U1538" s="21">
        <f>VLOOKUP($A1538,'2022-23 Salary &amp; Benefits'!$A:$I,6,FALSE)</f>
        <v>72728</v>
      </c>
      <c r="V1538" s="22">
        <f t="shared" si="293"/>
        <v>0</v>
      </c>
      <c r="W1538" s="22">
        <f t="shared" si="294"/>
        <v>0</v>
      </c>
      <c r="X1538" s="22">
        <f>'2022-23 Salary &amp; Benefits'!$G$6</f>
        <v>12558.24</v>
      </c>
      <c r="Y1538" s="23">
        <f>'2022-23 Salary &amp; Benefits'!$H$6</f>
        <v>0.2298</v>
      </c>
      <c r="Z1538" s="23">
        <f>'2022-23 Salary &amp; Benefits'!$I$6</f>
        <v>0.22339999999999999</v>
      </c>
      <c r="AA1538" s="22">
        <f t="shared" si="295"/>
        <v>0</v>
      </c>
      <c r="AB1538" s="22">
        <f t="shared" si="296"/>
        <v>0</v>
      </c>
      <c r="AC1538" s="22">
        <f t="shared" si="297"/>
        <v>0</v>
      </c>
      <c r="AD1538" s="22">
        <f t="shared" si="299"/>
        <v>0</v>
      </c>
      <c r="AE1538" s="22">
        <f t="shared" si="300"/>
        <v>0</v>
      </c>
      <c r="AF1538" s="19" t="str">
        <f>VLOOKUP(C1538,'2021-22 School Level AAFTE'!C:N,12,FALSE)</f>
        <v>No</v>
      </c>
    </row>
    <row r="1539" spans="1:32" s="5" customFormat="1">
      <c r="A1539" s="97" t="s">
        <v>2439</v>
      </c>
      <c r="B1539" s="97" t="s">
        <v>1299</v>
      </c>
      <c r="C1539" s="95">
        <v>5557</v>
      </c>
      <c r="D1539" s="95" t="s">
        <v>2911</v>
      </c>
      <c r="E1539" s="129">
        <f>VLOOKUP($C1539,'2021-22 School Level AAFTE'!$C:$Z,11,FALSE)</f>
        <v>0.38413333333333338</v>
      </c>
      <c r="F1539" s="129" t="str">
        <f>VLOOKUP($C1539,'2021-22 School Level AAFTE'!$C:$Z,8,FALSE)</f>
        <v>No</v>
      </c>
      <c r="G1539" s="129" t="str">
        <f>VLOOKUP($C1539,'2021-22 School Level AAFTE'!$C:$Z,12,FALSE)</f>
        <v>No</v>
      </c>
      <c r="H1539" s="127">
        <f>VLOOKUP($C1539,'2021-22 School Level AAFTE'!$C:$I,7,FALSE)</f>
        <v>896.86</v>
      </c>
      <c r="I1539" s="112">
        <f>IFERROR(IF(OR(G1539="yes",F1539= "yes"),VLOOKUP(C1539,Summary!$B:$J,6,0),0),0)</f>
        <v>0</v>
      </c>
      <c r="J1539" s="111">
        <f t="shared" si="291"/>
        <v>0</v>
      </c>
      <c r="K1539" s="91">
        <f>VLOOKUP($A1539,'2022-23 Salary &amp; Benefits'!$A:$I,3,FALSE)</f>
        <v>1.06</v>
      </c>
      <c r="L1539" s="91">
        <f>VLOOKUP($A1539,'2022-23 Salary &amp; Benefits'!$A:$I,4,FALSE)</f>
        <v>1.06</v>
      </c>
      <c r="M1539" s="39">
        <f t="shared" si="298"/>
        <v>0</v>
      </c>
      <c r="N1539" s="24">
        <v>15</v>
      </c>
      <c r="O1539" s="26">
        <f t="shared" si="289"/>
        <v>0</v>
      </c>
      <c r="P1539" s="24">
        <v>1.1000000000000001</v>
      </c>
      <c r="Q1539" s="24">
        <v>36</v>
      </c>
      <c r="R1539" s="27">
        <f t="shared" si="290"/>
        <v>0</v>
      </c>
      <c r="S1539" s="102">
        <f t="shared" si="292"/>
        <v>0</v>
      </c>
      <c r="T1539" s="21">
        <f>VLOOKUP($A1539,'2022-23 Salary &amp; Benefits'!$A:$I,5,FALSE)</f>
        <v>68937</v>
      </c>
      <c r="U1539" s="21">
        <f>VLOOKUP($A1539,'2022-23 Salary &amp; Benefits'!$A:$I,6,FALSE)</f>
        <v>72728</v>
      </c>
      <c r="V1539" s="22">
        <f t="shared" si="293"/>
        <v>0</v>
      </c>
      <c r="W1539" s="22">
        <f t="shared" si="294"/>
        <v>0</v>
      </c>
      <c r="X1539" s="22">
        <f>'2022-23 Salary &amp; Benefits'!$G$6</f>
        <v>12558.24</v>
      </c>
      <c r="Y1539" s="23">
        <f>'2022-23 Salary &amp; Benefits'!$H$6</f>
        <v>0.2298</v>
      </c>
      <c r="Z1539" s="23">
        <f>'2022-23 Salary &amp; Benefits'!$I$6</f>
        <v>0.22339999999999999</v>
      </c>
      <c r="AA1539" s="22">
        <f t="shared" si="295"/>
        <v>0</v>
      </c>
      <c r="AB1539" s="22">
        <f t="shared" si="296"/>
        <v>0</v>
      </c>
      <c r="AC1539" s="22">
        <f t="shared" si="297"/>
        <v>0</v>
      </c>
      <c r="AD1539" s="22">
        <f t="shared" si="299"/>
        <v>0</v>
      </c>
      <c r="AE1539" s="22">
        <f t="shared" si="300"/>
        <v>0</v>
      </c>
      <c r="AF1539" s="19" t="str">
        <f>VLOOKUP(C1539,'2021-22 School Level AAFTE'!C:N,12,FALSE)</f>
        <v>No</v>
      </c>
    </row>
    <row r="1540" spans="1:32" s="5" customFormat="1">
      <c r="A1540" s="97" t="s">
        <v>2343</v>
      </c>
      <c r="B1540" s="97" t="s">
        <v>532</v>
      </c>
      <c r="C1540" s="95">
        <v>2491</v>
      </c>
      <c r="D1540" s="95" t="s">
        <v>533</v>
      </c>
      <c r="E1540" s="129">
        <f>VLOOKUP($C1540,'2021-22 School Level AAFTE'!$C:$Z,11,FALSE)</f>
        <v>0.96923333333333339</v>
      </c>
      <c r="F1540" s="129" t="str">
        <f>VLOOKUP($C1540,'2021-22 School Level AAFTE'!$C:$Z,8,FALSE)</f>
        <v>Yes</v>
      </c>
      <c r="G1540" s="129" t="str">
        <f>VLOOKUP($C1540,'2021-22 School Level AAFTE'!$C:$Z,12,FALSE)</f>
        <v>No</v>
      </c>
      <c r="H1540" s="127">
        <f>VLOOKUP($C1540,'2021-22 School Level AAFTE'!$C:$I,7,FALSE)</f>
        <v>50.86</v>
      </c>
      <c r="I1540" s="112">
        <f>IFERROR(IF(OR(G1540="yes",F1540= "yes"),VLOOKUP(C1540,Summary!$B:$J,6,0),0),0)</f>
        <v>0</v>
      </c>
      <c r="J1540" s="111">
        <f t="shared" si="291"/>
        <v>50.86</v>
      </c>
      <c r="K1540" s="91">
        <f>VLOOKUP($A1540,'2022-23 Salary &amp; Benefits'!$A:$I,3,FALSE)</f>
        <v>1</v>
      </c>
      <c r="L1540" s="91">
        <f>VLOOKUP($A1540,'2022-23 Salary &amp; Benefits'!$A:$I,4,FALSE)</f>
        <v>1</v>
      </c>
      <c r="M1540" s="39">
        <f t="shared" si="298"/>
        <v>50.86</v>
      </c>
      <c r="N1540" s="24">
        <v>15</v>
      </c>
      <c r="O1540" s="26">
        <f t="shared" si="289"/>
        <v>3.3906666666666667</v>
      </c>
      <c r="P1540" s="24">
        <v>1.1000000000000001</v>
      </c>
      <c r="Q1540" s="24">
        <v>36</v>
      </c>
      <c r="R1540" s="27">
        <f t="shared" si="290"/>
        <v>134.27040000000002</v>
      </c>
      <c r="S1540" s="102">
        <f t="shared" si="292"/>
        <v>0.14899999999999999</v>
      </c>
      <c r="T1540" s="21">
        <f>VLOOKUP($A1540,'2022-23 Salary &amp; Benefits'!$A:$I,5,FALSE)</f>
        <v>68937</v>
      </c>
      <c r="U1540" s="21">
        <f>VLOOKUP($A1540,'2022-23 Salary &amp; Benefits'!$A:$I,6,FALSE)</f>
        <v>72728</v>
      </c>
      <c r="V1540" s="22">
        <f t="shared" si="293"/>
        <v>10271.61</v>
      </c>
      <c r="W1540" s="22">
        <f t="shared" si="294"/>
        <v>564.85999999999876</v>
      </c>
      <c r="X1540" s="22">
        <f>'2022-23 Salary &amp; Benefits'!$G$6</f>
        <v>12558.24</v>
      </c>
      <c r="Y1540" s="23">
        <f>'2022-23 Salary &amp; Benefits'!$H$6</f>
        <v>0.2298</v>
      </c>
      <c r="Z1540" s="23">
        <f>'2022-23 Salary &amp; Benefits'!$I$6</f>
        <v>0.22339999999999999</v>
      </c>
      <c r="AA1540" s="22">
        <f t="shared" si="295"/>
        <v>4357.78</v>
      </c>
      <c r="AB1540" s="22">
        <f t="shared" si="296"/>
        <v>180.61</v>
      </c>
      <c r="AC1540" s="22">
        <f t="shared" si="297"/>
        <v>40.35</v>
      </c>
      <c r="AD1540" s="22">
        <f t="shared" si="299"/>
        <v>220.96</v>
      </c>
      <c r="AE1540" s="22">
        <f t="shared" si="300"/>
        <v>15415.209999999997</v>
      </c>
      <c r="AF1540" s="19" t="str">
        <f>VLOOKUP(C1540,'2021-22 School Level AAFTE'!C:N,12,FALSE)</f>
        <v>No</v>
      </c>
    </row>
    <row r="1541" spans="1:32" s="5" customFormat="1">
      <c r="A1541" s="97" t="s">
        <v>2345</v>
      </c>
      <c r="B1541" s="97" t="s">
        <v>536</v>
      </c>
      <c r="C1541" s="95">
        <v>2474</v>
      </c>
      <c r="D1541" s="95" t="s">
        <v>537</v>
      </c>
      <c r="E1541" s="129">
        <f>VLOOKUP($C1541,'2021-22 School Level AAFTE'!$C:$Z,11,FALSE)</f>
        <v>0.49823333333333336</v>
      </c>
      <c r="F1541" s="129" t="str">
        <f>VLOOKUP($C1541,'2021-22 School Level AAFTE'!$C:$Z,8,FALSE)</f>
        <v>No</v>
      </c>
      <c r="G1541" s="129" t="str">
        <f>VLOOKUP($C1541,'2021-22 School Level AAFTE'!$C:$Z,12,FALSE)</f>
        <v>No</v>
      </c>
      <c r="H1541" s="127">
        <f>VLOOKUP($C1541,'2021-22 School Level AAFTE'!$C:$I,7,FALSE)</f>
        <v>212.05999999999997</v>
      </c>
      <c r="I1541" s="112">
        <f>IFERROR(IF(OR(G1541="yes",F1541= "yes"),VLOOKUP(C1541,Summary!$B:$J,6,0),0),0)</f>
        <v>0</v>
      </c>
      <c r="J1541" s="111">
        <f t="shared" si="291"/>
        <v>0</v>
      </c>
      <c r="K1541" s="91">
        <f>VLOOKUP($A1541,'2022-23 Salary &amp; Benefits'!$A:$I,3,FALSE)</f>
        <v>1.06</v>
      </c>
      <c r="L1541" s="91">
        <f>VLOOKUP($A1541,'2022-23 Salary &amp; Benefits'!$A:$I,4,FALSE)</f>
        <v>1.06</v>
      </c>
      <c r="M1541" s="39">
        <f t="shared" si="298"/>
        <v>0</v>
      </c>
      <c r="N1541" s="24">
        <v>15</v>
      </c>
      <c r="O1541" s="26">
        <f t="shared" si="289"/>
        <v>0</v>
      </c>
      <c r="P1541" s="24">
        <v>1.1000000000000001</v>
      </c>
      <c r="Q1541" s="24">
        <v>36</v>
      </c>
      <c r="R1541" s="27">
        <f t="shared" si="290"/>
        <v>0</v>
      </c>
      <c r="S1541" s="102">
        <f t="shared" si="292"/>
        <v>0</v>
      </c>
      <c r="T1541" s="21">
        <f>VLOOKUP($A1541,'2022-23 Salary &amp; Benefits'!$A:$I,5,FALSE)</f>
        <v>68937</v>
      </c>
      <c r="U1541" s="21">
        <f>VLOOKUP($A1541,'2022-23 Salary &amp; Benefits'!$A:$I,6,FALSE)</f>
        <v>72728</v>
      </c>
      <c r="V1541" s="22">
        <f t="shared" si="293"/>
        <v>0</v>
      </c>
      <c r="W1541" s="22">
        <f t="shared" si="294"/>
        <v>0</v>
      </c>
      <c r="X1541" s="22">
        <f>'2022-23 Salary &amp; Benefits'!$G$6</f>
        <v>12558.24</v>
      </c>
      <c r="Y1541" s="23">
        <f>'2022-23 Salary &amp; Benefits'!$H$6</f>
        <v>0.2298</v>
      </c>
      <c r="Z1541" s="23">
        <f>'2022-23 Salary &amp; Benefits'!$I$6</f>
        <v>0.22339999999999999</v>
      </c>
      <c r="AA1541" s="22">
        <f t="shared" si="295"/>
        <v>0</v>
      </c>
      <c r="AB1541" s="22">
        <f t="shared" si="296"/>
        <v>0</v>
      </c>
      <c r="AC1541" s="22">
        <f t="shared" si="297"/>
        <v>0</v>
      </c>
      <c r="AD1541" s="22">
        <f t="shared" si="299"/>
        <v>0</v>
      </c>
      <c r="AE1541" s="22">
        <f t="shared" si="300"/>
        <v>0</v>
      </c>
      <c r="AF1541" s="19" t="str">
        <f>VLOOKUP(C1541,'2021-22 School Level AAFTE'!C:N,12,FALSE)</f>
        <v>No</v>
      </c>
    </row>
    <row r="1542" spans="1:32" s="5" customFormat="1">
      <c r="A1542" s="97" t="s">
        <v>2345</v>
      </c>
      <c r="B1542" s="97" t="s">
        <v>536</v>
      </c>
      <c r="C1542" s="95">
        <v>5236</v>
      </c>
      <c r="D1542" s="95" t="s">
        <v>538</v>
      </c>
      <c r="E1542" s="129">
        <f>VLOOKUP($C1542,'2021-22 School Level AAFTE'!$C:$Z,11,FALSE)</f>
        <v>0.21233333333333335</v>
      </c>
      <c r="F1542" s="129" t="str">
        <f>VLOOKUP($C1542,'2021-22 School Level AAFTE'!$C:$Z,8,FALSE)</f>
        <v>No</v>
      </c>
      <c r="G1542" s="129" t="str">
        <f>VLOOKUP($C1542,'2021-22 School Level AAFTE'!$C:$Z,12,FALSE)</f>
        <v>No</v>
      </c>
      <c r="H1542" s="127">
        <f>VLOOKUP($C1542,'2021-22 School Level AAFTE'!$C:$I,7,FALSE)</f>
        <v>434.09</v>
      </c>
      <c r="I1542" s="112">
        <f>IFERROR(IF(OR(G1542="yes",F1542= "yes"),VLOOKUP(C1542,Summary!$B:$J,6,0),0),0)</f>
        <v>0</v>
      </c>
      <c r="J1542" s="111">
        <f t="shared" si="291"/>
        <v>0</v>
      </c>
      <c r="K1542" s="91">
        <f>VLOOKUP($A1542,'2022-23 Salary &amp; Benefits'!$A:$I,3,FALSE)</f>
        <v>1.06</v>
      </c>
      <c r="L1542" s="91">
        <f>VLOOKUP($A1542,'2022-23 Salary &amp; Benefits'!$A:$I,4,FALSE)</f>
        <v>1.06</v>
      </c>
      <c r="M1542" s="39">
        <f t="shared" si="298"/>
        <v>0</v>
      </c>
      <c r="N1542" s="24">
        <v>15</v>
      </c>
      <c r="O1542" s="26">
        <f t="shared" si="289"/>
        <v>0</v>
      </c>
      <c r="P1542" s="24">
        <v>1.1000000000000001</v>
      </c>
      <c r="Q1542" s="24">
        <v>36</v>
      </c>
      <c r="R1542" s="27">
        <f t="shared" si="290"/>
        <v>0</v>
      </c>
      <c r="S1542" s="102">
        <f t="shared" si="292"/>
        <v>0</v>
      </c>
      <c r="T1542" s="21">
        <f>VLOOKUP($A1542,'2022-23 Salary &amp; Benefits'!$A:$I,5,FALSE)</f>
        <v>68937</v>
      </c>
      <c r="U1542" s="21">
        <f>VLOOKUP($A1542,'2022-23 Salary &amp; Benefits'!$A:$I,6,FALSE)</f>
        <v>72728</v>
      </c>
      <c r="V1542" s="22">
        <f t="shared" si="293"/>
        <v>0</v>
      </c>
      <c r="W1542" s="22">
        <f t="shared" si="294"/>
        <v>0</v>
      </c>
      <c r="X1542" s="22">
        <f>'2022-23 Salary &amp; Benefits'!$G$6</f>
        <v>12558.24</v>
      </c>
      <c r="Y1542" s="23">
        <f>'2022-23 Salary &amp; Benefits'!$H$6</f>
        <v>0.2298</v>
      </c>
      <c r="Z1542" s="23">
        <f>'2022-23 Salary &amp; Benefits'!$I$6</f>
        <v>0.22339999999999999</v>
      </c>
      <c r="AA1542" s="22">
        <f t="shared" si="295"/>
        <v>0</v>
      </c>
      <c r="AB1542" s="22">
        <f t="shared" si="296"/>
        <v>0</v>
      </c>
      <c r="AC1542" s="22">
        <f t="shared" si="297"/>
        <v>0</v>
      </c>
      <c r="AD1542" s="22">
        <f t="shared" si="299"/>
        <v>0</v>
      </c>
      <c r="AE1542" s="22">
        <f t="shared" si="300"/>
        <v>0</v>
      </c>
      <c r="AF1542" s="19" t="str">
        <f>VLOOKUP(C1542,'2021-22 School Level AAFTE'!C:N,12,FALSE)</f>
        <v>No</v>
      </c>
    </row>
    <row r="1543" spans="1:32" s="5" customFormat="1">
      <c r="A1543" s="97" t="s">
        <v>2282</v>
      </c>
      <c r="B1543" s="97" t="s">
        <v>162</v>
      </c>
      <c r="C1543" s="95">
        <v>5430</v>
      </c>
      <c r="D1543" s="95" t="s">
        <v>163</v>
      </c>
      <c r="E1543" s="129">
        <f>VLOOKUP($C1543,'2021-22 School Level AAFTE'!$C:$Z,11,FALSE)</f>
        <v>0.93079999999999996</v>
      </c>
      <c r="F1543" s="129" t="str">
        <f>VLOOKUP($C1543,'2021-22 School Level AAFTE'!$C:$Z,8,FALSE)</f>
        <v>Yes</v>
      </c>
      <c r="G1543" s="129" t="str">
        <f>VLOOKUP($C1543,'2021-22 School Level AAFTE'!$C:$Z,12,FALSE)</f>
        <v>No</v>
      </c>
      <c r="H1543" s="127">
        <f>VLOOKUP($C1543,'2021-22 School Level AAFTE'!$C:$I,7,FALSE)</f>
        <v>115.57000000000001</v>
      </c>
      <c r="I1543" s="112">
        <f>IFERROR(IF(OR(G1543="yes",F1543= "yes"),VLOOKUP(C1543,Summary!$B:$J,6,0),0),0)</f>
        <v>0</v>
      </c>
      <c r="J1543" s="111">
        <f t="shared" si="291"/>
        <v>115.57000000000001</v>
      </c>
      <c r="K1543" s="91">
        <f>VLOOKUP($A1543,'2022-23 Salary &amp; Benefits'!$A:$I,3,FALSE)</f>
        <v>1</v>
      </c>
      <c r="L1543" s="91">
        <f>VLOOKUP($A1543,'2022-23 Salary &amp; Benefits'!$A:$I,4,FALSE)</f>
        <v>1</v>
      </c>
      <c r="M1543" s="101">
        <f t="shared" si="298"/>
        <v>115.57000000000001</v>
      </c>
      <c r="N1543" s="24">
        <v>15</v>
      </c>
      <c r="O1543" s="26">
        <f t="shared" si="289"/>
        <v>7.7046666666666672</v>
      </c>
      <c r="P1543" s="24">
        <v>1.1000000000000001</v>
      </c>
      <c r="Q1543" s="24">
        <v>36</v>
      </c>
      <c r="R1543" s="27">
        <f t="shared" si="290"/>
        <v>305.10480000000001</v>
      </c>
      <c r="S1543" s="102">
        <f t="shared" si="292"/>
        <v>0.33900000000000002</v>
      </c>
      <c r="T1543" s="21">
        <f>VLOOKUP($A1543,'2022-23 Salary &amp; Benefits'!$A:$I,5,FALSE)</f>
        <v>68937</v>
      </c>
      <c r="U1543" s="21">
        <f>VLOOKUP($A1543,'2022-23 Salary &amp; Benefits'!$A:$I,6,FALSE)</f>
        <v>72728</v>
      </c>
      <c r="V1543" s="22">
        <f t="shared" si="293"/>
        <v>23369.64</v>
      </c>
      <c r="W1543" s="22">
        <f t="shared" si="294"/>
        <v>1285.1500000000015</v>
      </c>
      <c r="X1543" s="22">
        <f>'2022-23 Salary &amp; Benefits'!$G$6</f>
        <v>12558.24</v>
      </c>
      <c r="Y1543" s="23">
        <f>'2022-23 Salary &amp; Benefits'!$H$6</f>
        <v>0.2298</v>
      </c>
      <c r="Z1543" s="23">
        <f>'2022-23 Salary &amp; Benefits'!$I$6</f>
        <v>0.22339999999999999</v>
      </c>
      <c r="AA1543" s="22">
        <f t="shared" si="295"/>
        <v>9914.69</v>
      </c>
      <c r="AB1543" s="22">
        <f t="shared" si="296"/>
        <v>410.91</v>
      </c>
      <c r="AC1543" s="22">
        <f t="shared" si="297"/>
        <v>91.8</v>
      </c>
      <c r="AD1543" s="22">
        <f t="shared" si="299"/>
        <v>502.71000000000004</v>
      </c>
      <c r="AE1543" s="22">
        <f t="shared" si="300"/>
        <v>35072.19</v>
      </c>
      <c r="AF1543" s="19" t="str">
        <f>VLOOKUP(C1543,'2021-22 School Level AAFTE'!C:N,12,FALSE)</f>
        <v>No</v>
      </c>
    </row>
    <row r="1544" spans="1:32" s="5" customFormat="1">
      <c r="A1544" s="97" t="s">
        <v>2281</v>
      </c>
      <c r="B1544" s="97" t="s">
        <v>157</v>
      </c>
      <c r="C1544" s="95">
        <v>1671</v>
      </c>
      <c r="D1544" s="95" t="s">
        <v>158</v>
      </c>
      <c r="E1544" s="129">
        <f>VLOOKUP($C1544,'2021-22 School Level AAFTE'!$C:$Z,11,FALSE)</f>
        <v>0.5988</v>
      </c>
      <c r="F1544" s="129" t="str">
        <f>VLOOKUP($C1544,'2021-22 School Level AAFTE'!$C:$Z,8,FALSE)</f>
        <v>Yes</v>
      </c>
      <c r="G1544" s="129" t="str">
        <f>VLOOKUP($C1544,'2021-22 School Level AAFTE'!$C:$Z,12,FALSE)</f>
        <v>No</v>
      </c>
      <c r="H1544" s="127">
        <f>VLOOKUP($C1544,'2021-22 School Level AAFTE'!$C:$I,7,FALSE)</f>
        <v>16.77</v>
      </c>
      <c r="I1544" s="112">
        <f>IFERROR(IF(OR(G1544="yes",F1544= "yes"),VLOOKUP(C1544,Summary!$B:$J,6,0),0),0)</f>
        <v>0</v>
      </c>
      <c r="J1544" s="111">
        <f t="shared" si="291"/>
        <v>16.77</v>
      </c>
      <c r="K1544" s="91">
        <f>VLOOKUP($A1544,'2022-23 Salary &amp; Benefits'!$A:$I,3,FALSE)</f>
        <v>1</v>
      </c>
      <c r="L1544" s="91">
        <f>VLOOKUP($A1544,'2022-23 Salary &amp; Benefits'!$A:$I,4,FALSE)</f>
        <v>1</v>
      </c>
      <c r="M1544" s="101">
        <f t="shared" si="298"/>
        <v>16.77</v>
      </c>
      <c r="N1544" s="24">
        <v>15</v>
      </c>
      <c r="O1544" s="26">
        <f t="shared" si="289"/>
        <v>1.1179999999999999</v>
      </c>
      <c r="P1544" s="24">
        <v>1.1000000000000001</v>
      </c>
      <c r="Q1544" s="24">
        <v>36</v>
      </c>
      <c r="R1544" s="27">
        <f t="shared" si="290"/>
        <v>44.272800000000004</v>
      </c>
      <c r="S1544" s="102">
        <f t="shared" si="292"/>
        <v>4.9000000000000002E-2</v>
      </c>
      <c r="T1544" s="21">
        <f>VLOOKUP($A1544,'2022-23 Salary &amp; Benefits'!$A:$I,5,FALSE)</f>
        <v>68937</v>
      </c>
      <c r="U1544" s="21">
        <f>VLOOKUP($A1544,'2022-23 Salary &amp; Benefits'!$A:$I,6,FALSE)</f>
        <v>72728</v>
      </c>
      <c r="V1544" s="22">
        <f t="shared" si="293"/>
        <v>3377.91</v>
      </c>
      <c r="W1544" s="22">
        <f t="shared" si="294"/>
        <v>185.76000000000022</v>
      </c>
      <c r="X1544" s="22">
        <f>'2022-23 Salary &amp; Benefits'!$G$6</f>
        <v>12558.24</v>
      </c>
      <c r="Y1544" s="23">
        <f>'2022-23 Salary &amp; Benefits'!$H$6</f>
        <v>0.2298</v>
      </c>
      <c r="Z1544" s="23">
        <f>'2022-23 Salary &amp; Benefits'!$I$6</f>
        <v>0.22339999999999999</v>
      </c>
      <c r="AA1544" s="22">
        <f t="shared" si="295"/>
        <v>1433.1</v>
      </c>
      <c r="AB1544" s="22">
        <f t="shared" si="296"/>
        <v>59.39</v>
      </c>
      <c r="AC1544" s="22">
        <f t="shared" si="297"/>
        <v>13.27</v>
      </c>
      <c r="AD1544" s="22">
        <f t="shared" si="299"/>
        <v>72.66</v>
      </c>
      <c r="AE1544" s="22">
        <f t="shared" si="300"/>
        <v>5069.43</v>
      </c>
      <c r="AF1544" s="19" t="str">
        <f>VLOOKUP(C1544,'2021-22 School Level AAFTE'!C:N,12,FALSE)</f>
        <v>No</v>
      </c>
    </row>
    <row r="1545" spans="1:32" s="5" customFormat="1">
      <c r="A1545" s="97" t="s">
        <v>2281</v>
      </c>
      <c r="B1545" s="97" t="s">
        <v>157</v>
      </c>
      <c r="C1545" s="95">
        <v>2349</v>
      </c>
      <c r="D1545" s="95" t="s">
        <v>159</v>
      </c>
      <c r="E1545" s="129">
        <f>VLOOKUP($C1545,'2021-22 School Level AAFTE'!$C:$Z,11,FALSE)</f>
        <v>0.63723333333333343</v>
      </c>
      <c r="F1545" s="129" t="str">
        <f>VLOOKUP($C1545,'2021-22 School Level AAFTE'!$C:$Z,8,FALSE)</f>
        <v>Yes</v>
      </c>
      <c r="G1545" s="129" t="str">
        <f>VLOOKUP($C1545,'2021-22 School Level AAFTE'!$C:$Z,12,FALSE)</f>
        <v>No</v>
      </c>
      <c r="H1545" s="127">
        <f>VLOOKUP($C1545,'2021-22 School Level AAFTE'!$C:$I,7,FALSE)</f>
        <v>298.60999999999996</v>
      </c>
      <c r="I1545" s="112">
        <f>IFERROR(IF(OR(G1545="yes",F1545= "yes"),VLOOKUP(C1545,Summary!$B:$J,6,0),0),0)</f>
        <v>0</v>
      </c>
      <c r="J1545" s="111">
        <f t="shared" si="291"/>
        <v>298.60999999999996</v>
      </c>
      <c r="K1545" s="91">
        <f>VLOOKUP($A1545,'2022-23 Salary &amp; Benefits'!$A:$I,3,FALSE)</f>
        <v>1</v>
      </c>
      <c r="L1545" s="91">
        <f>VLOOKUP($A1545,'2022-23 Salary &amp; Benefits'!$A:$I,4,FALSE)</f>
        <v>1</v>
      </c>
      <c r="M1545" s="101">
        <f t="shared" si="298"/>
        <v>298.60999999999996</v>
      </c>
      <c r="N1545" s="24">
        <v>15</v>
      </c>
      <c r="O1545" s="26">
        <f t="shared" si="289"/>
        <v>19.90733333333333</v>
      </c>
      <c r="P1545" s="24">
        <v>1.1000000000000001</v>
      </c>
      <c r="Q1545" s="24">
        <v>36</v>
      </c>
      <c r="R1545" s="27">
        <f t="shared" si="290"/>
        <v>788.33039999999994</v>
      </c>
      <c r="S1545" s="102">
        <f t="shared" si="292"/>
        <v>0.876</v>
      </c>
      <c r="T1545" s="21">
        <f>VLOOKUP($A1545,'2022-23 Salary &amp; Benefits'!$A:$I,5,FALSE)</f>
        <v>68937</v>
      </c>
      <c r="U1545" s="21">
        <f>VLOOKUP($A1545,'2022-23 Salary &amp; Benefits'!$A:$I,6,FALSE)</f>
        <v>72728</v>
      </c>
      <c r="V1545" s="22">
        <f t="shared" si="293"/>
        <v>60388.81</v>
      </c>
      <c r="W1545" s="22">
        <f t="shared" si="294"/>
        <v>3320.9200000000055</v>
      </c>
      <c r="X1545" s="22">
        <f>'2022-23 Salary &amp; Benefits'!$G$6</f>
        <v>12558.24</v>
      </c>
      <c r="Y1545" s="23">
        <f>'2022-23 Salary &amp; Benefits'!$H$6</f>
        <v>0.2298</v>
      </c>
      <c r="Z1545" s="23">
        <f>'2022-23 Salary &amp; Benefits'!$I$6</f>
        <v>0.22339999999999999</v>
      </c>
      <c r="AA1545" s="22">
        <f t="shared" si="295"/>
        <v>25620.26</v>
      </c>
      <c r="AB1545" s="22">
        <f t="shared" si="296"/>
        <v>1061.83</v>
      </c>
      <c r="AC1545" s="22">
        <f t="shared" si="297"/>
        <v>237.21</v>
      </c>
      <c r="AD1545" s="22">
        <f t="shared" si="299"/>
        <v>1299.04</v>
      </c>
      <c r="AE1545" s="22">
        <f t="shared" si="300"/>
        <v>90629.029999999984</v>
      </c>
      <c r="AF1545" s="19" t="str">
        <f>VLOOKUP(C1545,'2021-22 School Level AAFTE'!C:N,12,FALSE)</f>
        <v>No</v>
      </c>
    </row>
    <row r="1546" spans="1:32" s="5" customFormat="1">
      <c r="A1546" s="97" t="s">
        <v>2281</v>
      </c>
      <c r="B1546" s="97" t="s">
        <v>157</v>
      </c>
      <c r="C1546" s="95">
        <v>2609</v>
      </c>
      <c r="D1546" s="95" t="s">
        <v>2915</v>
      </c>
      <c r="E1546" s="129">
        <f>VLOOKUP($C1546,'2021-22 School Level AAFTE'!$C:$Z,11,FALSE)</f>
        <v>0.69730000000000003</v>
      </c>
      <c r="F1546" s="129" t="str">
        <f>VLOOKUP($C1546,'2021-22 School Level AAFTE'!$C:$Z,8,FALSE)</f>
        <v>Yes</v>
      </c>
      <c r="G1546" s="129" t="str">
        <f>VLOOKUP($C1546,'2021-22 School Level AAFTE'!$C:$Z,12,FALSE)</f>
        <v>No</v>
      </c>
      <c r="H1546" s="127">
        <f>VLOOKUP($C1546,'2021-22 School Level AAFTE'!$C:$I,7,FALSE)</f>
        <v>277.35000000000002</v>
      </c>
      <c r="I1546" s="112">
        <f>IFERROR(IF(OR(G1546="yes",F1546= "yes"),VLOOKUP(C1546,Summary!$B:$J,6,0),0),0)</f>
        <v>0</v>
      </c>
      <c r="J1546" s="111">
        <f t="shared" si="291"/>
        <v>277.35000000000002</v>
      </c>
      <c r="K1546" s="91">
        <f>VLOOKUP($A1546,'2022-23 Salary &amp; Benefits'!$A:$I,3,FALSE)</f>
        <v>1</v>
      </c>
      <c r="L1546" s="91">
        <f>VLOOKUP($A1546,'2022-23 Salary &amp; Benefits'!$A:$I,4,FALSE)</f>
        <v>1</v>
      </c>
      <c r="M1546" s="39">
        <f t="shared" ref="M1546:M1608" si="301">IF(I1546&gt;0,I1546,J1546)</f>
        <v>277.35000000000002</v>
      </c>
      <c r="N1546" s="24">
        <v>15</v>
      </c>
      <c r="O1546" s="26">
        <f t="shared" ref="O1546:O1609" si="302">IF(M1546="no",0,M1546/N1546)</f>
        <v>18.490000000000002</v>
      </c>
      <c r="P1546" s="24">
        <v>1.1000000000000001</v>
      </c>
      <c r="Q1546" s="24">
        <v>36</v>
      </c>
      <c r="R1546" s="27">
        <f t="shared" ref="R1546:R1609" si="303">IF(M1546="no",0,O1546*P1546*Q1546)</f>
        <v>732.20400000000006</v>
      </c>
      <c r="S1546" s="102">
        <f t="shared" si="292"/>
        <v>0.81399999999999995</v>
      </c>
      <c r="T1546" s="21">
        <f>VLOOKUP($A1546,'2022-23 Salary &amp; Benefits'!$A:$I,5,FALSE)</f>
        <v>68937</v>
      </c>
      <c r="U1546" s="21">
        <f>VLOOKUP($A1546,'2022-23 Salary &amp; Benefits'!$A:$I,6,FALSE)</f>
        <v>72728</v>
      </c>
      <c r="V1546" s="22">
        <f t="shared" si="293"/>
        <v>56114.720000000001</v>
      </c>
      <c r="W1546" s="22">
        <f t="shared" si="294"/>
        <v>3085.8699999999953</v>
      </c>
      <c r="X1546" s="22">
        <f>'2022-23 Salary &amp; Benefits'!$G$6</f>
        <v>12558.24</v>
      </c>
      <c r="Y1546" s="23">
        <f>'2022-23 Salary &amp; Benefits'!$H$6</f>
        <v>0.2298</v>
      </c>
      <c r="Z1546" s="23">
        <f>'2022-23 Salary &amp; Benefits'!$I$6</f>
        <v>0.22339999999999999</v>
      </c>
      <c r="AA1546" s="22">
        <f t="shared" si="295"/>
        <v>23806.95</v>
      </c>
      <c r="AB1546" s="22">
        <f t="shared" si="296"/>
        <v>986.68</v>
      </c>
      <c r="AC1546" s="22">
        <f t="shared" si="297"/>
        <v>220.42</v>
      </c>
      <c r="AD1546" s="22">
        <f t="shared" ref="AD1546:AD1608" si="304">SUM(AB1546:AC1546)</f>
        <v>1207.0999999999999</v>
      </c>
      <c r="AE1546" s="22">
        <f t="shared" ref="AE1546:AE1608" si="305">SUM(AA1546,V1546:W1546,AD1546)</f>
        <v>84214.64</v>
      </c>
      <c r="AF1546" s="19" t="str">
        <f>VLOOKUP(C1546,'2021-22 School Level AAFTE'!C:N,12,FALSE)</f>
        <v>No</v>
      </c>
    </row>
    <row r="1547" spans="1:32" s="5" customFormat="1">
      <c r="A1547" s="97" t="s">
        <v>2281</v>
      </c>
      <c r="B1547" s="97" t="s">
        <v>157</v>
      </c>
      <c r="C1547" s="95">
        <v>3737</v>
      </c>
      <c r="D1547" s="95" t="s">
        <v>160</v>
      </c>
      <c r="E1547" s="129">
        <f>VLOOKUP($C1547,'2021-22 School Level AAFTE'!$C:$Z,11,FALSE)</f>
        <v>0.74180000000000001</v>
      </c>
      <c r="F1547" s="129" t="str">
        <f>VLOOKUP($C1547,'2021-22 School Level AAFTE'!$C:$Z,8,FALSE)</f>
        <v>Yes</v>
      </c>
      <c r="G1547" s="129" t="str">
        <f>VLOOKUP($C1547,'2021-22 School Level AAFTE'!$C:$Z,12,FALSE)</f>
        <v>No</v>
      </c>
      <c r="H1547" s="127">
        <f>VLOOKUP($C1547,'2021-22 School Level AAFTE'!$C:$I,7,FALSE)</f>
        <v>341.48</v>
      </c>
      <c r="I1547" s="112">
        <f>IFERROR(IF(OR(G1547="yes",F1547= "yes"),VLOOKUP(C1547,Summary!$B:$J,6,0),0),0)</f>
        <v>0</v>
      </c>
      <c r="J1547" s="111">
        <f t="shared" ref="J1547:J1610" si="306">IF(OR(G1547="yes",F1547= "yes"), H1547,0)</f>
        <v>341.48</v>
      </c>
      <c r="K1547" s="91">
        <f>VLOOKUP($A1547,'2022-23 Salary &amp; Benefits'!$A:$I,3,FALSE)</f>
        <v>1</v>
      </c>
      <c r="L1547" s="91">
        <f>VLOOKUP($A1547,'2022-23 Salary &amp; Benefits'!$A:$I,4,FALSE)</f>
        <v>1</v>
      </c>
      <c r="M1547" s="39">
        <f t="shared" si="301"/>
        <v>341.48</v>
      </c>
      <c r="N1547" s="24">
        <v>15</v>
      </c>
      <c r="O1547" s="26">
        <f t="shared" si="302"/>
        <v>22.765333333333334</v>
      </c>
      <c r="P1547" s="24">
        <v>1.1000000000000001</v>
      </c>
      <c r="Q1547" s="24">
        <v>36</v>
      </c>
      <c r="R1547" s="27">
        <f t="shared" si="303"/>
        <v>901.50720000000013</v>
      </c>
      <c r="S1547" s="102">
        <f t="shared" ref="S1547:S1610" si="307">ROUND(IF(M1547="no",0,R1547/900),3)</f>
        <v>1.002</v>
      </c>
      <c r="T1547" s="21">
        <f>VLOOKUP($A1547,'2022-23 Salary &amp; Benefits'!$A:$I,5,FALSE)</f>
        <v>68937</v>
      </c>
      <c r="U1547" s="21">
        <f>VLOOKUP($A1547,'2022-23 Salary &amp; Benefits'!$A:$I,6,FALSE)</f>
        <v>72728</v>
      </c>
      <c r="V1547" s="22">
        <f t="shared" ref="V1547:V1610" si="308">ROUND($K1547*$T1547*$S1547,2)</f>
        <v>69074.87</v>
      </c>
      <c r="W1547" s="22">
        <f t="shared" ref="W1547:W1610" si="309">ROUND($L1547*$U1547*$S1547,2)-V1547</f>
        <v>3798.5900000000111</v>
      </c>
      <c r="X1547" s="22">
        <f>'2022-23 Salary &amp; Benefits'!$G$6</f>
        <v>12558.24</v>
      </c>
      <c r="Y1547" s="23">
        <f>'2022-23 Salary &amp; Benefits'!$H$6</f>
        <v>0.2298</v>
      </c>
      <c r="Z1547" s="23">
        <f>'2022-23 Salary &amp; Benefits'!$I$6</f>
        <v>0.22339999999999999</v>
      </c>
      <c r="AA1547" s="22">
        <f t="shared" ref="AA1547:AA1610" si="310">ROUND(V1547*Y1547+W1547*Z1547+S1547*X1547,2)</f>
        <v>29305.37</v>
      </c>
      <c r="AB1547" s="22">
        <f t="shared" ref="AB1547:AB1610" si="311">ROUND(($U1547*$L1547*$S1547/180*3),2)</f>
        <v>1214.56</v>
      </c>
      <c r="AC1547" s="22">
        <f t="shared" ref="AC1547:AC1610" si="312">ROUND(AB1547*Z1547,2)</f>
        <v>271.33</v>
      </c>
      <c r="AD1547" s="22">
        <f t="shared" si="304"/>
        <v>1485.8899999999999</v>
      </c>
      <c r="AE1547" s="22">
        <f t="shared" si="305"/>
        <v>103664.72</v>
      </c>
      <c r="AF1547" s="19" t="str">
        <f>VLOOKUP(C1547,'2021-22 School Level AAFTE'!C:N,12,FALSE)</f>
        <v>No</v>
      </c>
    </row>
    <row r="1548" spans="1:32" s="5" customFormat="1">
      <c r="A1548" s="97" t="s">
        <v>2281</v>
      </c>
      <c r="B1548" s="97" t="s">
        <v>157</v>
      </c>
      <c r="C1548" s="95">
        <v>5071</v>
      </c>
      <c r="D1548" s="95" t="s">
        <v>161</v>
      </c>
      <c r="E1548" s="129">
        <f>VLOOKUP($C1548,'2021-22 School Level AAFTE'!$C:$Z,11,FALSE)</f>
        <v>0.52466666666666673</v>
      </c>
      <c r="F1548" s="129" t="str">
        <f>VLOOKUP($C1548,'2021-22 School Level AAFTE'!$C:$Z,8,FALSE)</f>
        <v>Yes</v>
      </c>
      <c r="G1548" s="129" t="str">
        <f>VLOOKUP($C1548,'2021-22 School Level AAFTE'!$C:$Z,12,FALSE)</f>
        <v>No</v>
      </c>
      <c r="H1548" s="127">
        <f>VLOOKUP($C1548,'2021-22 School Level AAFTE'!$C:$I,7,FALSE)</f>
        <v>2483.5000000000005</v>
      </c>
      <c r="I1548" s="112">
        <f>IFERROR(IF(OR(G1548="yes",F1548= "yes"),VLOOKUP(C1548,Summary!$B:$J,6,0),0),0)</f>
        <v>0</v>
      </c>
      <c r="J1548" s="111">
        <f t="shared" si="306"/>
        <v>2483.5000000000005</v>
      </c>
      <c r="K1548" s="91">
        <f>VLOOKUP($A1548,'2022-23 Salary &amp; Benefits'!$A:$I,3,FALSE)</f>
        <v>1</v>
      </c>
      <c r="L1548" s="91">
        <f>VLOOKUP($A1548,'2022-23 Salary &amp; Benefits'!$A:$I,4,FALSE)</f>
        <v>1</v>
      </c>
      <c r="M1548" s="101">
        <f t="shared" si="301"/>
        <v>2483.5000000000005</v>
      </c>
      <c r="N1548" s="24">
        <v>15</v>
      </c>
      <c r="O1548" s="26">
        <f t="shared" si="302"/>
        <v>165.56666666666669</v>
      </c>
      <c r="P1548" s="24">
        <v>1.1000000000000001</v>
      </c>
      <c r="Q1548" s="24">
        <v>36</v>
      </c>
      <c r="R1548" s="27">
        <f t="shared" si="303"/>
        <v>6556.4400000000014</v>
      </c>
      <c r="S1548" s="102">
        <f t="shared" si="307"/>
        <v>7.2850000000000001</v>
      </c>
      <c r="T1548" s="21">
        <f>VLOOKUP($A1548,'2022-23 Salary &amp; Benefits'!$A:$I,5,FALSE)</f>
        <v>68937</v>
      </c>
      <c r="U1548" s="21">
        <f>VLOOKUP($A1548,'2022-23 Salary &amp; Benefits'!$A:$I,6,FALSE)</f>
        <v>72728</v>
      </c>
      <c r="V1548" s="22">
        <f t="shared" si="308"/>
        <v>502206.05</v>
      </c>
      <c r="W1548" s="22">
        <f t="shared" si="309"/>
        <v>27617.429999999993</v>
      </c>
      <c r="X1548" s="22">
        <f>'2022-23 Salary &amp; Benefits'!$G$6</f>
        <v>12558.24</v>
      </c>
      <c r="Y1548" s="23">
        <f>'2022-23 Salary &amp; Benefits'!$H$6</f>
        <v>0.2298</v>
      </c>
      <c r="Z1548" s="23">
        <f>'2022-23 Salary &amp; Benefits'!$I$6</f>
        <v>0.22339999999999999</v>
      </c>
      <c r="AA1548" s="22">
        <f t="shared" si="310"/>
        <v>213063.46</v>
      </c>
      <c r="AB1548" s="22">
        <f t="shared" si="311"/>
        <v>8830.39</v>
      </c>
      <c r="AC1548" s="22">
        <f t="shared" si="312"/>
        <v>1972.71</v>
      </c>
      <c r="AD1548" s="22">
        <f t="shared" si="304"/>
        <v>10803.099999999999</v>
      </c>
      <c r="AE1548" s="22">
        <f t="shared" si="305"/>
        <v>753690.03999999992</v>
      </c>
      <c r="AF1548" s="19" t="str">
        <f>VLOOKUP(C1548,'2021-22 School Level AAFTE'!C:N,12,FALSE)</f>
        <v>No</v>
      </c>
    </row>
    <row r="1549" spans="1:32" s="5" customFormat="1">
      <c r="A1549" s="56" t="s">
        <v>2334</v>
      </c>
      <c r="B1549" s="97" t="s">
        <v>500</v>
      </c>
      <c r="C1549" s="95">
        <v>2921</v>
      </c>
      <c r="D1549" s="56" t="s">
        <v>2791</v>
      </c>
      <c r="E1549" s="129">
        <f>VLOOKUP($C1549,'2021-22 School Level AAFTE'!$C:$Z,11,FALSE)</f>
        <v>0.96906666666666663</v>
      </c>
      <c r="F1549" s="129" t="str">
        <f>VLOOKUP($C1549,'2021-22 School Level AAFTE'!$C:$Z,8,FALSE)</f>
        <v>Yes</v>
      </c>
      <c r="G1549" s="129" t="str">
        <f>VLOOKUP($C1549,'2021-22 School Level AAFTE'!$C:$Z,12,FALSE)</f>
        <v>No</v>
      </c>
      <c r="H1549" s="127">
        <f>VLOOKUP($C1549,'2021-22 School Level AAFTE'!$C:$I,7,FALSE)</f>
        <v>176.7</v>
      </c>
      <c r="I1549" s="112">
        <f>IFERROR(IF(OR(G1549="yes",F1549= "yes"),VLOOKUP(C1549,Summary!$B:$J,6,0),0),0)</f>
        <v>0</v>
      </c>
      <c r="J1549" s="111">
        <f t="shared" si="306"/>
        <v>176.7</v>
      </c>
      <c r="K1549" s="91">
        <f>VLOOKUP($A1549,'2022-23 Salary &amp; Benefits'!$A:$I,3,FALSE)</f>
        <v>1</v>
      </c>
      <c r="L1549" s="91">
        <f>VLOOKUP($A1549,'2022-23 Salary &amp; Benefits'!$A:$I,4,FALSE)</f>
        <v>1</v>
      </c>
      <c r="M1549" s="39">
        <f t="shared" si="301"/>
        <v>176.7</v>
      </c>
      <c r="N1549" s="24">
        <v>15</v>
      </c>
      <c r="O1549" s="26">
        <f t="shared" si="302"/>
        <v>11.78</v>
      </c>
      <c r="P1549" s="24">
        <v>1.1000000000000001</v>
      </c>
      <c r="Q1549" s="24">
        <v>36</v>
      </c>
      <c r="R1549" s="27">
        <f t="shared" si="303"/>
        <v>466.488</v>
      </c>
      <c r="S1549" s="102">
        <f t="shared" si="307"/>
        <v>0.51800000000000002</v>
      </c>
      <c r="T1549" s="21">
        <f>VLOOKUP($A1549,'2022-23 Salary &amp; Benefits'!$A:$I,5,FALSE)</f>
        <v>68937</v>
      </c>
      <c r="U1549" s="21">
        <f>VLOOKUP($A1549,'2022-23 Salary &amp; Benefits'!$A:$I,6,FALSE)</f>
        <v>72728</v>
      </c>
      <c r="V1549" s="22">
        <f t="shared" si="308"/>
        <v>35709.370000000003</v>
      </c>
      <c r="W1549" s="22">
        <f t="shared" si="309"/>
        <v>1963.7299999999959</v>
      </c>
      <c r="X1549" s="22">
        <f>'2022-23 Salary &amp; Benefits'!$G$6</f>
        <v>12558.24</v>
      </c>
      <c r="Y1549" s="23">
        <f>'2022-23 Salary &amp; Benefits'!$H$6</f>
        <v>0.2298</v>
      </c>
      <c r="Z1549" s="23">
        <f>'2022-23 Salary &amp; Benefits'!$I$6</f>
        <v>0.22339999999999999</v>
      </c>
      <c r="AA1549" s="22">
        <f t="shared" si="310"/>
        <v>15149.88</v>
      </c>
      <c r="AB1549" s="22">
        <f t="shared" si="311"/>
        <v>627.89</v>
      </c>
      <c r="AC1549" s="22">
        <f t="shared" si="312"/>
        <v>140.27000000000001</v>
      </c>
      <c r="AD1549" s="22">
        <f t="shared" si="304"/>
        <v>768.16</v>
      </c>
      <c r="AE1549" s="22">
        <f t="shared" si="305"/>
        <v>53591.14</v>
      </c>
      <c r="AF1549" s="19" t="str">
        <f>VLOOKUP(C1549,'2021-22 School Level AAFTE'!C:N,12,FALSE)</f>
        <v>No</v>
      </c>
    </row>
    <row r="1550" spans="1:32" s="5" customFormat="1">
      <c r="A1550" s="97" t="s">
        <v>2318</v>
      </c>
      <c r="B1550" s="97" t="s">
        <v>415</v>
      </c>
      <c r="C1550" s="95">
        <v>2510</v>
      </c>
      <c r="D1550" s="95" t="s">
        <v>2917</v>
      </c>
      <c r="E1550" s="129">
        <f>VLOOKUP($C1550,'2021-22 School Level AAFTE'!$C:$Z,11,FALSE)</f>
        <v>0.85780000000000012</v>
      </c>
      <c r="F1550" s="129" t="str">
        <f>VLOOKUP($C1550,'2021-22 School Level AAFTE'!$C:$Z,8,FALSE)</f>
        <v>Yes</v>
      </c>
      <c r="G1550" s="129" t="str">
        <f>VLOOKUP($C1550,'2021-22 School Level AAFTE'!$C:$Z,12,FALSE)</f>
        <v>No</v>
      </c>
      <c r="H1550" s="127">
        <f>VLOOKUP($C1550,'2021-22 School Level AAFTE'!$C:$I,7,FALSE)</f>
        <v>756.19</v>
      </c>
      <c r="I1550" s="112">
        <f>IFERROR(IF(OR(G1550="yes",F1550= "yes"),VLOOKUP(C1550,Summary!$B:$J,6,0),0),0)</f>
        <v>0</v>
      </c>
      <c r="J1550" s="111">
        <f t="shared" si="306"/>
        <v>756.19</v>
      </c>
      <c r="K1550" s="91">
        <f>VLOOKUP($A1550,'2022-23 Salary &amp; Benefits'!$A:$I,3,FALSE)</f>
        <v>1</v>
      </c>
      <c r="L1550" s="91">
        <f>VLOOKUP($A1550,'2022-23 Salary &amp; Benefits'!$A:$I,4,FALSE)</f>
        <v>1</v>
      </c>
      <c r="M1550" s="39">
        <f t="shared" si="301"/>
        <v>756.19</v>
      </c>
      <c r="N1550" s="24">
        <v>15</v>
      </c>
      <c r="O1550" s="26">
        <f t="shared" si="302"/>
        <v>50.412666666666674</v>
      </c>
      <c r="P1550" s="24">
        <v>1.1000000000000001</v>
      </c>
      <c r="Q1550" s="24">
        <v>36</v>
      </c>
      <c r="R1550" s="27">
        <f t="shared" si="303"/>
        <v>1996.3416000000004</v>
      </c>
      <c r="S1550" s="102">
        <f t="shared" si="307"/>
        <v>2.218</v>
      </c>
      <c r="T1550" s="21">
        <f>VLOOKUP($A1550,'2022-23 Salary &amp; Benefits'!$A:$I,5,FALSE)</f>
        <v>68937</v>
      </c>
      <c r="U1550" s="21">
        <f>VLOOKUP($A1550,'2022-23 Salary &amp; Benefits'!$A:$I,6,FALSE)</f>
        <v>72728</v>
      </c>
      <c r="V1550" s="22">
        <f t="shared" si="308"/>
        <v>152902.26999999999</v>
      </c>
      <c r="W1550" s="22">
        <f t="shared" si="309"/>
        <v>8408.4300000000221</v>
      </c>
      <c r="X1550" s="22">
        <f>'2022-23 Salary &amp; Benefits'!$G$6</f>
        <v>12558.24</v>
      </c>
      <c r="Y1550" s="23">
        <f>'2022-23 Salary &amp; Benefits'!$H$6</f>
        <v>0.2298</v>
      </c>
      <c r="Z1550" s="23">
        <f>'2022-23 Salary &amp; Benefits'!$I$6</f>
        <v>0.22339999999999999</v>
      </c>
      <c r="AA1550" s="22">
        <f t="shared" si="310"/>
        <v>64869.56</v>
      </c>
      <c r="AB1550" s="22">
        <f t="shared" si="311"/>
        <v>2688.51</v>
      </c>
      <c r="AC1550" s="22">
        <f t="shared" si="312"/>
        <v>600.61</v>
      </c>
      <c r="AD1550" s="22">
        <f t="shared" si="304"/>
        <v>3289.1200000000003</v>
      </c>
      <c r="AE1550" s="22">
        <f t="shared" si="305"/>
        <v>229469.38</v>
      </c>
      <c r="AF1550" s="19" t="str">
        <f>VLOOKUP(C1550,'2021-22 School Level AAFTE'!C:N,12,FALSE)</f>
        <v>No</v>
      </c>
    </row>
    <row r="1551" spans="1:32" s="5" customFormat="1">
      <c r="A1551" s="97" t="s">
        <v>2318</v>
      </c>
      <c r="B1551" s="97" t="s">
        <v>415</v>
      </c>
      <c r="C1551" s="95">
        <v>2919</v>
      </c>
      <c r="D1551" s="95" t="s">
        <v>416</v>
      </c>
      <c r="E1551" s="129">
        <f>VLOOKUP($C1551,'2021-22 School Level AAFTE'!$C:$Z,11,FALSE)</f>
        <v>0.84416666666666673</v>
      </c>
      <c r="F1551" s="129" t="str">
        <f>VLOOKUP($C1551,'2021-22 School Level AAFTE'!$C:$Z,8,FALSE)</f>
        <v>Yes</v>
      </c>
      <c r="G1551" s="129" t="str">
        <f>VLOOKUP($C1551,'2021-22 School Level AAFTE'!$C:$Z,12,FALSE)</f>
        <v>No</v>
      </c>
      <c r="H1551" s="127">
        <f>VLOOKUP($C1551,'2021-22 School Level AAFTE'!$C:$I,7,FALSE)</f>
        <v>302.87</v>
      </c>
      <c r="I1551" s="112">
        <f>IFERROR(IF(OR(G1551="yes",F1551= "yes"),VLOOKUP(C1551,Summary!$B:$J,6,0),0),0)</f>
        <v>0</v>
      </c>
      <c r="J1551" s="111">
        <f t="shared" si="306"/>
        <v>302.87</v>
      </c>
      <c r="K1551" s="91">
        <f>VLOOKUP($A1551,'2022-23 Salary &amp; Benefits'!$A:$I,3,FALSE)</f>
        <v>1</v>
      </c>
      <c r="L1551" s="91">
        <f>VLOOKUP($A1551,'2022-23 Salary &amp; Benefits'!$A:$I,4,FALSE)</f>
        <v>1</v>
      </c>
      <c r="M1551" s="39">
        <f t="shared" si="301"/>
        <v>302.87</v>
      </c>
      <c r="N1551" s="24">
        <v>15</v>
      </c>
      <c r="O1551" s="26">
        <f t="shared" si="302"/>
        <v>20.191333333333333</v>
      </c>
      <c r="P1551" s="24">
        <v>1.1000000000000001</v>
      </c>
      <c r="Q1551" s="24">
        <v>36</v>
      </c>
      <c r="R1551" s="27">
        <f t="shared" si="303"/>
        <v>799.57680000000005</v>
      </c>
      <c r="S1551" s="102">
        <f t="shared" si="307"/>
        <v>0.88800000000000001</v>
      </c>
      <c r="T1551" s="21">
        <f>VLOOKUP($A1551,'2022-23 Salary &amp; Benefits'!$A:$I,5,FALSE)</f>
        <v>68937</v>
      </c>
      <c r="U1551" s="21">
        <f>VLOOKUP($A1551,'2022-23 Salary &amp; Benefits'!$A:$I,6,FALSE)</f>
        <v>72728</v>
      </c>
      <c r="V1551" s="22">
        <f t="shared" si="308"/>
        <v>61216.06</v>
      </c>
      <c r="W1551" s="22">
        <f t="shared" si="309"/>
        <v>3366.4000000000015</v>
      </c>
      <c r="X1551" s="22">
        <f>'2022-23 Salary &amp; Benefits'!$G$6</f>
        <v>12558.24</v>
      </c>
      <c r="Y1551" s="23">
        <f>'2022-23 Salary &amp; Benefits'!$H$6</f>
        <v>0.2298</v>
      </c>
      <c r="Z1551" s="23">
        <f>'2022-23 Salary &amp; Benefits'!$I$6</f>
        <v>0.22339999999999999</v>
      </c>
      <c r="AA1551" s="22">
        <f t="shared" si="310"/>
        <v>25971.22</v>
      </c>
      <c r="AB1551" s="22">
        <f t="shared" si="311"/>
        <v>1076.3699999999999</v>
      </c>
      <c r="AC1551" s="22">
        <f t="shared" si="312"/>
        <v>240.46</v>
      </c>
      <c r="AD1551" s="22">
        <f t="shared" si="304"/>
        <v>1316.83</v>
      </c>
      <c r="AE1551" s="22">
        <f t="shared" si="305"/>
        <v>91870.51</v>
      </c>
      <c r="AF1551" s="19" t="str">
        <f>VLOOKUP(C1551,'2021-22 School Level AAFTE'!C:N,12,FALSE)</f>
        <v>No</v>
      </c>
    </row>
    <row r="1552" spans="1:32" s="5" customFormat="1">
      <c r="A1552" s="97" t="s">
        <v>2318</v>
      </c>
      <c r="B1552" s="97" t="s">
        <v>415</v>
      </c>
      <c r="C1552" s="95">
        <v>3020</v>
      </c>
      <c r="D1552" s="95" t="s">
        <v>417</v>
      </c>
      <c r="E1552" s="129">
        <f>VLOOKUP($C1552,'2021-22 School Level AAFTE'!$C:$Z,11,FALSE)</f>
        <v>0.7954</v>
      </c>
      <c r="F1552" s="129" t="str">
        <f>VLOOKUP($C1552,'2021-22 School Level AAFTE'!$C:$Z,8,FALSE)</f>
        <v>Yes</v>
      </c>
      <c r="G1552" s="129" t="str">
        <f>VLOOKUP($C1552,'2021-22 School Level AAFTE'!$C:$Z,12,FALSE)</f>
        <v>No</v>
      </c>
      <c r="H1552" s="127">
        <f>VLOOKUP($C1552,'2021-22 School Level AAFTE'!$C:$I,7,FALSE)</f>
        <v>295.70999999999998</v>
      </c>
      <c r="I1552" s="112">
        <f>IFERROR(IF(OR(G1552="yes",F1552= "yes"),VLOOKUP(C1552,Summary!$B:$J,6,0),0),0)</f>
        <v>0</v>
      </c>
      <c r="J1552" s="111">
        <f t="shared" si="306"/>
        <v>295.70999999999998</v>
      </c>
      <c r="K1552" s="91">
        <f>VLOOKUP($A1552,'2022-23 Salary &amp; Benefits'!$A:$I,3,FALSE)</f>
        <v>1</v>
      </c>
      <c r="L1552" s="91">
        <f>VLOOKUP($A1552,'2022-23 Salary &amp; Benefits'!$A:$I,4,FALSE)</f>
        <v>1</v>
      </c>
      <c r="M1552" s="39">
        <f t="shared" si="301"/>
        <v>295.70999999999998</v>
      </c>
      <c r="N1552" s="24">
        <v>15</v>
      </c>
      <c r="O1552" s="26">
        <f t="shared" si="302"/>
        <v>19.713999999999999</v>
      </c>
      <c r="P1552" s="24">
        <v>1.1000000000000001</v>
      </c>
      <c r="Q1552" s="24">
        <v>36</v>
      </c>
      <c r="R1552" s="27">
        <f t="shared" si="303"/>
        <v>780.67440000000011</v>
      </c>
      <c r="S1552" s="102">
        <f t="shared" si="307"/>
        <v>0.86699999999999999</v>
      </c>
      <c r="T1552" s="21">
        <f>VLOOKUP($A1552,'2022-23 Salary &amp; Benefits'!$A:$I,5,FALSE)</f>
        <v>68937</v>
      </c>
      <c r="U1552" s="21">
        <f>VLOOKUP($A1552,'2022-23 Salary &amp; Benefits'!$A:$I,6,FALSE)</f>
        <v>72728</v>
      </c>
      <c r="V1552" s="22">
        <f t="shared" si="308"/>
        <v>59768.38</v>
      </c>
      <c r="W1552" s="22">
        <f t="shared" si="309"/>
        <v>3286.8000000000029</v>
      </c>
      <c r="X1552" s="22">
        <f>'2022-23 Salary &amp; Benefits'!$G$6</f>
        <v>12558.24</v>
      </c>
      <c r="Y1552" s="23">
        <f>'2022-23 Salary &amp; Benefits'!$H$6</f>
        <v>0.2298</v>
      </c>
      <c r="Z1552" s="23">
        <f>'2022-23 Salary &amp; Benefits'!$I$6</f>
        <v>0.22339999999999999</v>
      </c>
      <c r="AA1552" s="22">
        <f t="shared" si="310"/>
        <v>25357.040000000001</v>
      </c>
      <c r="AB1552" s="22">
        <f t="shared" si="311"/>
        <v>1050.92</v>
      </c>
      <c r="AC1552" s="22">
        <f t="shared" si="312"/>
        <v>234.78</v>
      </c>
      <c r="AD1552" s="22">
        <f t="shared" si="304"/>
        <v>1285.7</v>
      </c>
      <c r="AE1552" s="22">
        <f t="shared" si="305"/>
        <v>89697.919999999998</v>
      </c>
      <c r="AF1552" s="19" t="str">
        <f>VLOOKUP(C1552,'2021-22 School Level AAFTE'!C:N,12,FALSE)</f>
        <v>No</v>
      </c>
    </row>
    <row r="1553" spans="1:32" s="5" customFormat="1">
      <c r="A1553" s="97" t="s">
        <v>2318</v>
      </c>
      <c r="B1553" s="97" t="s">
        <v>415</v>
      </c>
      <c r="C1553" s="95">
        <v>3088</v>
      </c>
      <c r="D1553" s="95" t="s">
        <v>418</v>
      </c>
      <c r="E1553" s="129">
        <f>VLOOKUP($C1553,'2021-22 School Level AAFTE'!$C:$Z,11,FALSE)</f>
        <v>0.7936333333333333</v>
      </c>
      <c r="F1553" s="129" t="str">
        <f>VLOOKUP($C1553,'2021-22 School Level AAFTE'!$C:$Z,8,FALSE)</f>
        <v>Yes</v>
      </c>
      <c r="G1553" s="129" t="str">
        <f>VLOOKUP($C1553,'2021-22 School Level AAFTE'!$C:$Z,12,FALSE)</f>
        <v>No</v>
      </c>
      <c r="H1553" s="127">
        <f>VLOOKUP($C1553,'2021-22 School Level AAFTE'!$C:$I,7,FALSE)</f>
        <v>878.73</v>
      </c>
      <c r="I1553" s="112">
        <f>IFERROR(IF(OR(G1553="yes",F1553= "yes"),VLOOKUP(C1553,Summary!$B:$J,6,0),0),0)</f>
        <v>0</v>
      </c>
      <c r="J1553" s="111">
        <f t="shared" si="306"/>
        <v>878.73</v>
      </c>
      <c r="K1553" s="91">
        <f>VLOOKUP($A1553,'2022-23 Salary &amp; Benefits'!$A:$I,3,FALSE)</f>
        <v>1</v>
      </c>
      <c r="L1553" s="91">
        <f>VLOOKUP($A1553,'2022-23 Salary &amp; Benefits'!$A:$I,4,FALSE)</f>
        <v>1</v>
      </c>
      <c r="M1553" s="39">
        <f t="shared" si="301"/>
        <v>878.73</v>
      </c>
      <c r="N1553" s="24">
        <v>15</v>
      </c>
      <c r="O1553" s="26">
        <f t="shared" si="302"/>
        <v>58.582000000000001</v>
      </c>
      <c r="P1553" s="24">
        <v>1.1000000000000001</v>
      </c>
      <c r="Q1553" s="24">
        <v>36</v>
      </c>
      <c r="R1553" s="27">
        <f t="shared" si="303"/>
        <v>2319.8472000000002</v>
      </c>
      <c r="S1553" s="102">
        <f t="shared" si="307"/>
        <v>2.5779999999999998</v>
      </c>
      <c r="T1553" s="21">
        <f>VLOOKUP($A1553,'2022-23 Salary &amp; Benefits'!$A:$I,5,FALSE)</f>
        <v>68937</v>
      </c>
      <c r="U1553" s="21">
        <f>VLOOKUP($A1553,'2022-23 Salary &amp; Benefits'!$A:$I,6,FALSE)</f>
        <v>72728</v>
      </c>
      <c r="V1553" s="22">
        <f t="shared" si="308"/>
        <v>177719.59</v>
      </c>
      <c r="W1553" s="22">
        <f t="shared" si="309"/>
        <v>9773.1900000000023</v>
      </c>
      <c r="X1553" s="22">
        <f>'2022-23 Salary &amp; Benefits'!$G$6</f>
        <v>12558.24</v>
      </c>
      <c r="Y1553" s="23">
        <f>'2022-23 Salary &amp; Benefits'!$H$6</f>
        <v>0.2298</v>
      </c>
      <c r="Z1553" s="23">
        <f>'2022-23 Salary &amp; Benefits'!$I$6</f>
        <v>0.22339999999999999</v>
      </c>
      <c r="AA1553" s="22">
        <f t="shared" si="310"/>
        <v>75398.44</v>
      </c>
      <c r="AB1553" s="22">
        <f t="shared" si="311"/>
        <v>3124.88</v>
      </c>
      <c r="AC1553" s="22">
        <f t="shared" si="312"/>
        <v>698.1</v>
      </c>
      <c r="AD1553" s="22">
        <f t="shared" si="304"/>
        <v>3822.98</v>
      </c>
      <c r="AE1553" s="22">
        <f t="shared" si="305"/>
        <v>266714.19999999995</v>
      </c>
      <c r="AF1553" s="19" t="str">
        <f>VLOOKUP(C1553,'2021-22 School Level AAFTE'!C:N,12,FALSE)</f>
        <v>No</v>
      </c>
    </row>
    <row r="1554" spans="1:32" s="5" customFormat="1">
      <c r="A1554" s="97" t="s">
        <v>2318</v>
      </c>
      <c r="B1554" s="97" t="s">
        <v>415</v>
      </c>
      <c r="C1554" s="95">
        <v>3426</v>
      </c>
      <c r="D1554" s="95" t="s">
        <v>419</v>
      </c>
      <c r="E1554" s="129">
        <f>VLOOKUP($C1554,'2021-22 School Level AAFTE'!$C:$Z,11,FALSE)</f>
        <v>0.87420000000000009</v>
      </c>
      <c r="F1554" s="129" t="str">
        <f>VLOOKUP($C1554,'2021-22 School Level AAFTE'!$C:$Z,8,FALSE)</f>
        <v>Yes</v>
      </c>
      <c r="G1554" s="129" t="str">
        <f>VLOOKUP($C1554,'2021-22 School Level AAFTE'!$C:$Z,12,FALSE)</f>
        <v>No</v>
      </c>
      <c r="H1554" s="127">
        <f>VLOOKUP($C1554,'2021-22 School Level AAFTE'!$C:$I,7,FALSE)</f>
        <v>167</v>
      </c>
      <c r="I1554" s="112">
        <f>IFERROR(IF(OR(G1554="yes",F1554= "yes"),VLOOKUP(C1554,Summary!$B:$J,6,0),0),0)</f>
        <v>0</v>
      </c>
      <c r="J1554" s="111">
        <f t="shared" si="306"/>
        <v>167</v>
      </c>
      <c r="K1554" s="91">
        <f>VLOOKUP($A1554,'2022-23 Salary &amp; Benefits'!$A:$I,3,FALSE)</f>
        <v>1</v>
      </c>
      <c r="L1554" s="91">
        <f>VLOOKUP($A1554,'2022-23 Salary &amp; Benefits'!$A:$I,4,FALSE)</f>
        <v>1</v>
      </c>
      <c r="M1554" s="39">
        <f t="shared" si="301"/>
        <v>167</v>
      </c>
      <c r="N1554" s="24">
        <v>15</v>
      </c>
      <c r="O1554" s="26">
        <f t="shared" si="302"/>
        <v>11.133333333333333</v>
      </c>
      <c r="P1554" s="24">
        <v>1.1000000000000001</v>
      </c>
      <c r="Q1554" s="24">
        <v>36</v>
      </c>
      <c r="R1554" s="27">
        <f t="shared" si="303"/>
        <v>440.88000000000005</v>
      </c>
      <c r="S1554" s="102">
        <f t="shared" si="307"/>
        <v>0.49</v>
      </c>
      <c r="T1554" s="21">
        <f>VLOOKUP($A1554,'2022-23 Salary &amp; Benefits'!$A:$I,5,FALSE)</f>
        <v>68937</v>
      </c>
      <c r="U1554" s="21">
        <f>VLOOKUP($A1554,'2022-23 Salary &amp; Benefits'!$A:$I,6,FALSE)</f>
        <v>72728</v>
      </c>
      <c r="V1554" s="22">
        <f t="shared" si="308"/>
        <v>33779.129999999997</v>
      </c>
      <c r="W1554" s="22">
        <f t="shared" si="309"/>
        <v>1857.5900000000038</v>
      </c>
      <c r="X1554" s="22">
        <f>'2022-23 Salary &amp; Benefits'!$G$6</f>
        <v>12558.24</v>
      </c>
      <c r="Y1554" s="23">
        <f>'2022-23 Salary &amp; Benefits'!$H$6</f>
        <v>0.2298</v>
      </c>
      <c r="Z1554" s="23">
        <f>'2022-23 Salary &amp; Benefits'!$I$6</f>
        <v>0.22339999999999999</v>
      </c>
      <c r="AA1554" s="22">
        <f t="shared" si="310"/>
        <v>14330.97</v>
      </c>
      <c r="AB1554" s="22">
        <f t="shared" si="311"/>
        <v>593.95000000000005</v>
      </c>
      <c r="AC1554" s="22">
        <f t="shared" si="312"/>
        <v>132.69</v>
      </c>
      <c r="AD1554" s="22">
        <f t="shared" si="304"/>
        <v>726.6400000000001</v>
      </c>
      <c r="AE1554" s="22">
        <f t="shared" si="305"/>
        <v>50694.33</v>
      </c>
      <c r="AF1554" s="19" t="str">
        <f>VLOOKUP(C1554,'2021-22 School Level AAFTE'!C:N,12,FALSE)</f>
        <v>No</v>
      </c>
    </row>
    <row r="1555" spans="1:32" s="5" customFormat="1">
      <c r="A1555" s="97" t="s">
        <v>2318</v>
      </c>
      <c r="B1555" s="97" t="s">
        <v>415</v>
      </c>
      <c r="C1555" s="95">
        <v>4536</v>
      </c>
      <c r="D1555" s="95" t="s">
        <v>420</v>
      </c>
      <c r="E1555" s="129">
        <f>VLOOKUP($C1555,'2021-22 School Level AAFTE'!$C:$Z,11,FALSE)</f>
        <v>0.71196666666666664</v>
      </c>
      <c r="F1555" s="129" t="str">
        <f>VLOOKUP($C1555,'2021-22 School Level AAFTE'!$C:$Z,8,FALSE)</f>
        <v>Yes</v>
      </c>
      <c r="G1555" s="129" t="str">
        <f>VLOOKUP($C1555,'2021-22 School Level AAFTE'!$C:$Z,12,FALSE)</f>
        <v>No</v>
      </c>
      <c r="H1555" s="127">
        <f>VLOOKUP($C1555,'2021-22 School Level AAFTE'!$C:$I,7,FALSE)</f>
        <v>259.20999999999998</v>
      </c>
      <c r="I1555" s="112">
        <f>IFERROR(IF(OR(G1555="yes",F1555= "yes"),VLOOKUP(C1555,Summary!$B:$J,6,0),0),0)</f>
        <v>0</v>
      </c>
      <c r="J1555" s="111">
        <f t="shared" si="306"/>
        <v>259.20999999999998</v>
      </c>
      <c r="K1555" s="91">
        <f>VLOOKUP($A1555,'2022-23 Salary &amp; Benefits'!$A:$I,3,FALSE)</f>
        <v>1</v>
      </c>
      <c r="L1555" s="91">
        <f>VLOOKUP($A1555,'2022-23 Salary &amp; Benefits'!$A:$I,4,FALSE)</f>
        <v>1</v>
      </c>
      <c r="M1555" s="101">
        <f t="shared" si="301"/>
        <v>259.20999999999998</v>
      </c>
      <c r="N1555" s="24">
        <v>15</v>
      </c>
      <c r="O1555" s="26">
        <f t="shared" si="302"/>
        <v>17.280666666666665</v>
      </c>
      <c r="P1555" s="24">
        <v>1.1000000000000001</v>
      </c>
      <c r="Q1555" s="24">
        <v>36</v>
      </c>
      <c r="R1555" s="27">
        <f t="shared" si="303"/>
        <v>684.31439999999998</v>
      </c>
      <c r="S1555" s="102">
        <f t="shared" si="307"/>
        <v>0.76</v>
      </c>
      <c r="T1555" s="21">
        <f>VLOOKUP($A1555,'2022-23 Salary &amp; Benefits'!$A:$I,5,FALSE)</f>
        <v>68937</v>
      </c>
      <c r="U1555" s="21">
        <f>VLOOKUP($A1555,'2022-23 Salary &amp; Benefits'!$A:$I,6,FALSE)</f>
        <v>72728</v>
      </c>
      <c r="V1555" s="22">
        <f t="shared" si="308"/>
        <v>52392.12</v>
      </c>
      <c r="W1555" s="22">
        <f t="shared" si="309"/>
        <v>2881.1599999999962</v>
      </c>
      <c r="X1555" s="22">
        <f>'2022-23 Salary &amp; Benefits'!$G$6</f>
        <v>12558.24</v>
      </c>
      <c r="Y1555" s="23">
        <f>'2022-23 Salary &amp; Benefits'!$H$6</f>
        <v>0.2298</v>
      </c>
      <c r="Z1555" s="23">
        <f>'2022-23 Salary &amp; Benefits'!$I$6</f>
        <v>0.22339999999999999</v>
      </c>
      <c r="AA1555" s="22">
        <f t="shared" si="310"/>
        <v>22227.62</v>
      </c>
      <c r="AB1555" s="22">
        <f t="shared" si="311"/>
        <v>921.22</v>
      </c>
      <c r="AC1555" s="22">
        <f t="shared" si="312"/>
        <v>205.8</v>
      </c>
      <c r="AD1555" s="22">
        <f t="shared" si="304"/>
        <v>1127.02</v>
      </c>
      <c r="AE1555" s="22">
        <f t="shared" si="305"/>
        <v>78627.92</v>
      </c>
      <c r="AF1555" s="19" t="str">
        <f>VLOOKUP(C1555,'2021-22 School Level AAFTE'!C:N,12,FALSE)</f>
        <v>No</v>
      </c>
    </row>
    <row r="1556" spans="1:32" s="5" customFormat="1">
      <c r="A1556" s="97" t="s">
        <v>2318</v>
      </c>
      <c r="B1556" s="97" t="s">
        <v>415</v>
      </c>
      <c r="C1556" s="95">
        <v>5585</v>
      </c>
      <c r="D1556" s="95" t="s">
        <v>2824</v>
      </c>
      <c r="E1556" s="129">
        <f>VLOOKUP($C1556,'2021-22 School Level AAFTE'!$C:$Z,11,FALSE)</f>
        <v>0.73063333333333336</v>
      </c>
      <c r="F1556" s="129" t="str">
        <f>VLOOKUP($C1556,'2021-22 School Level AAFTE'!$C:$Z,8,FALSE)</f>
        <v>Yes</v>
      </c>
      <c r="G1556" s="129" t="str">
        <f>VLOOKUP($C1556,'2021-22 School Level AAFTE'!$C:$Z,12,FALSE)</f>
        <v>No</v>
      </c>
      <c r="H1556" s="127">
        <f>VLOOKUP($C1556,'2021-22 School Level AAFTE'!$C:$I,7,FALSE)</f>
        <v>385.34</v>
      </c>
      <c r="I1556" s="112">
        <f>IFERROR(IF(OR(G1556="yes",F1556= "yes"),VLOOKUP(C1556,Summary!$B:$J,6,0),0),0)</f>
        <v>0</v>
      </c>
      <c r="J1556" s="111">
        <f t="shared" si="306"/>
        <v>385.34</v>
      </c>
      <c r="K1556" s="91">
        <f>VLOOKUP($A1556,'2022-23 Salary &amp; Benefits'!$A:$I,3,FALSE)</f>
        <v>1</v>
      </c>
      <c r="L1556" s="91">
        <f>VLOOKUP($A1556,'2022-23 Salary &amp; Benefits'!$A:$I,4,FALSE)</f>
        <v>1</v>
      </c>
      <c r="M1556" s="101">
        <f t="shared" si="301"/>
        <v>385.34</v>
      </c>
      <c r="N1556" s="24">
        <v>15</v>
      </c>
      <c r="O1556" s="26">
        <f t="shared" si="302"/>
        <v>25.68933333333333</v>
      </c>
      <c r="P1556" s="24">
        <v>1.1000000000000001</v>
      </c>
      <c r="Q1556" s="24">
        <v>36</v>
      </c>
      <c r="R1556" s="27">
        <f t="shared" si="303"/>
        <v>1017.2975999999999</v>
      </c>
      <c r="S1556" s="102">
        <f t="shared" si="307"/>
        <v>1.1299999999999999</v>
      </c>
      <c r="T1556" s="21">
        <f>VLOOKUP($A1556,'2022-23 Salary &amp; Benefits'!$A:$I,5,FALSE)</f>
        <v>68937</v>
      </c>
      <c r="U1556" s="21">
        <f>VLOOKUP($A1556,'2022-23 Salary &amp; Benefits'!$A:$I,6,FALSE)</f>
        <v>72728</v>
      </c>
      <c r="V1556" s="22">
        <f t="shared" si="308"/>
        <v>77898.81</v>
      </c>
      <c r="W1556" s="22">
        <f t="shared" si="309"/>
        <v>4283.8300000000017</v>
      </c>
      <c r="X1556" s="22">
        <f>'2022-23 Salary &amp; Benefits'!$G$6</f>
        <v>12558.24</v>
      </c>
      <c r="Y1556" s="23">
        <f>'2022-23 Salary &amp; Benefits'!$H$6</f>
        <v>0.2298</v>
      </c>
      <c r="Z1556" s="23">
        <f>'2022-23 Salary &amp; Benefits'!$I$6</f>
        <v>0.22339999999999999</v>
      </c>
      <c r="AA1556" s="22">
        <f t="shared" si="310"/>
        <v>33048.97</v>
      </c>
      <c r="AB1556" s="22">
        <f t="shared" si="311"/>
        <v>1369.71</v>
      </c>
      <c r="AC1556" s="22">
        <f t="shared" si="312"/>
        <v>305.99</v>
      </c>
      <c r="AD1556" s="22">
        <f t="shared" si="304"/>
        <v>1675.7</v>
      </c>
      <c r="AE1556" s="22">
        <f t="shared" si="305"/>
        <v>116907.31</v>
      </c>
      <c r="AF1556" s="19" t="str">
        <f>VLOOKUP(C1556,'2021-22 School Level AAFTE'!C:N,12,FALSE)</f>
        <v>No</v>
      </c>
    </row>
    <row r="1557" spans="1:32" s="5" customFormat="1">
      <c r="A1557" s="97" t="s">
        <v>2318</v>
      </c>
      <c r="B1557" s="97" t="s">
        <v>415</v>
      </c>
      <c r="C1557" s="95">
        <v>5648</v>
      </c>
      <c r="D1557" s="95" t="s">
        <v>2916</v>
      </c>
      <c r="E1557" s="129">
        <f>VLOOKUP($C1557,'2021-22 School Level AAFTE'!$C:$Z,11,FALSE)</f>
        <v>0.63405</v>
      </c>
      <c r="F1557" s="129" t="str">
        <f>VLOOKUP($C1557,'2021-22 School Level AAFTE'!$C:$Z,8,FALSE)</f>
        <v>Yes</v>
      </c>
      <c r="G1557" s="129" t="str">
        <f>VLOOKUP($C1557,'2021-22 School Level AAFTE'!$C:$Z,12,FALSE)</f>
        <v>No</v>
      </c>
      <c r="H1557" s="127">
        <f>VLOOKUP($C1557,'2021-22 School Level AAFTE'!$C:$I,7,FALSE)</f>
        <v>71.37</v>
      </c>
      <c r="I1557" s="112">
        <f>IFERROR(IF(OR(G1557="yes",F1557= "yes"),VLOOKUP(C1557,Summary!$B:$J,6,0),0),0)</f>
        <v>0</v>
      </c>
      <c r="J1557" s="111">
        <f t="shared" si="306"/>
        <v>71.37</v>
      </c>
      <c r="K1557" s="91">
        <f>VLOOKUP($A1557,'2022-23 Salary &amp; Benefits'!$A:$I,3,FALSE)</f>
        <v>1</v>
      </c>
      <c r="L1557" s="91">
        <f>VLOOKUP($A1557,'2022-23 Salary &amp; Benefits'!$A:$I,4,FALSE)</f>
        <v>1</v>
      </c>
      <c r="M1557" s="101">
        <f t="shared" si="301"/>
        <v>71.37</v>
      </c>
      <c r="N1557" s="24">
        <v>15</v>
      </c>
      <c r="O1557" s="26">
        <f t="shared" si="302"/>
        <v>4.758</v>
      </c>
      <c r="P1557" s="24">
        <v>1.1000000000000001</v>
      </c>
      <c r="Q1557" s="24">
        <v>36</v>
      </c>
      <c r="R1557" s="27">
        <f t="shared" si="303"/>
        <v>188.41680000000002</v>
      </c>
      <c r="S1557" s="102">
        <f t="shared" si="307"/>
        <v>0.20899999999999999</v>
      </c>
      <c r="T1557" s="21">
        <f>VLOOKUP($A1557,'2022-23 Salary &amp; Benefits'!$A:$I,5,FALSE)</f>
        <v>68937</v>
      </c>
      <c r="U1557" s="21">
        <f>VLOOKUP($A1557,'2022-23 Salary &amp; Benefits'!$A:$I,6,FALSE)</f>
        <v>72728</v>
      </c>
      <c r="V1557" s="22">
        <f t="shared" si="308"/>
        <v>14407.83</v>
      </c>
      <c r="W1557" s="22">
        <f t="shared" si="309"/>
        <v>792.31999999999971</v>
      </c>
      <c r="X1557" s="22">
        <f>'2022-23 Salary &amp; Benefits'!$G$6</f>
        <v>12558.24</v>
      </c>
      <c r="Y1557" s="23">
        <f>'2022-23 Salary &amp; Benefits'!$H$6</f>
        <v>0.2298</v>
      </c>
      <c r="Z1557" s="23">
        <f>'2022-23 Salary &amp; Benefits'!$I$6</f>
        <v>0.22339999999999999</v>
      </c>
      <c r="AA1557" s="22">
        <f t="shared" si="310"/>
        <v>6112.6</v>
      </c>
      <c r="AB1557" s="22">
        <f t="shared" si="311"/>
        <v>253.34</v>
      </c>
      <c r="AC1557" s="22">
        <f t="shared" si="312"/>
        <v>56.6</v>
      </c>
      <c r="AD1557" s="22">
        <f t="shared" si="304"/>
        <v>309.94</v>
      </c>
      <c r="AE1557" s="22">
        <f t="shared" si="305"/>
        <v>21622.69</v>
      </c>
      <c r="AF1557" s="19" t="str">
        <f>VLOOKUP(C1557,'2021-22 School Level AAFTE'!C:N,12,FALSE)</f>
        <v>No</v>
      </c>
    </row>
    <row r="1558" spans="1:32" s="5" customFormat="1">
      <c r="A1558" s="97" t="s">
        <v>2318</v>
      </c>
      <c r="B1558" s="97" t="s">
        <v>415</v>
      </c>
      <c r="C1558" s="95">
        <v>5650</v>
      </c>
      <c r="D1558" s="95" t="s">
        <v>2972</v>
      </c>
      <c r="E1558" s="129">
        <f>VLOOKUP($C1558,'2021-22 School Level AAFTE'!$C:$Z,11,FALSE)</f>
        <v>0.69569999999999999</v>
      </c>
      <c r="F1558" s="129" t="str">
        <f>VLOOKUP($C1558,'2021-22 School Level AAFTE'!$C:$Z,8,FALSE)</f>
        <v>Yes</v>
      </c>
      <c r="G1558" s="129" t="str">
        <f>VLOOKUP($C1558,'2021-22 School Level AAFTE'!$C:$Z,12,FALSE)</f>
        <v>No</v>
      </c>
      <c r="H1558" s="127">
        <f>VLOOKUP($C1558,'2021-22 School Level AAFTE'!$C:$I,7,FALSE)</f>
        <v>30.57</v>
      </c>
      <c r="I1558" s="112">
        <f>IFERROR(IF(OR(G1558="yes",F1558= "yes"),VLOOKUP(C1558,Summary!$B:$J,6,0),0),0)</f>
        <v>0</v>
      </c>
      <c r="J1558" s="111">
        <f t="shared" si="306"/>
        <v>30.57</v>
      </c>
      <c r="K1558" s="91">
        <f>VLOOKUP($A1558,'2022-23 Salary &amp; Benefits'!$A:$I,3,FALSE)</f>
        <v>1</v>
      </c>
      <c r="L1558" s="91">
        <f>VLOOKUP($A1558,'2022-23 Salary &amp; Benefits'!$A:$I,4,FALSE)</f>
        <v>1</v>
      </c>
      <c r="M1558" s="101">
        <f t="shared" si="301"/>
        <v>30.57</v>
      </c>
      <c r="N1558" s="24">
        <v>15</v>
      </c>
      <c r="O1558" s="26">
        <f t="shared" si="302"/>
        <v>2.0379999999999998</v>
      </c>
      <c r="P1558" s="24">
        <v>1.1000000000000001</v>
      </c>
      <c r="Q1558" s="24">
        <v>36</v>
      </c>
      <c r="R1558" s="27">
        <f t="shared" si="303"/>
        <v>80.704800000000006</v>
      </c>
      <c r="S1558" s="102">
        <f t="shared" si="307"/>
        <v>0.09</v>
      </c>
      <c r="T1558" s="21">
        <f>VLOOKUP($A1558,'2022-23 Salary &amp; Benefits'!$A:$I,5,FALSE)</f>
        <v>68937</v>
      </c>
      <c r="U1558" s="21">
        <f>VLOOKUP($A1558,'2022-23 Salary &amp; Benefits'!$A:$I,6,FALSE)</f>
        <v>72728</v>
      </c>
      <c r="V1558" s="22">
        <f t="shared" si="308"/>
        <v>6204.33</v>
      </c>
      <c r="W1558" s="22">
        <f t="shared" si="309"/>
        <v>341.19000000000051</v>
      </c>
      <c r="X1558" s="22">
        <f>'2022-23 Salary &amp; Benefits'!$G$6</f>
        <v>12558.24</v>
      </c>
      <c r="Y1558" s="23">
        <f>'2022-23 Salary &amp; Benefits'!$H$6</f>
        <v>0.2298</v>
      </c>
      <c r="Z1558" s="23">
        <f>'2022-23 Salary &amp; Benefits'!$I$6</f>
        <v>0.22339999999999999</v>
      </c>
      <c r="AA1558" s="22">
        <f t="shared" si="310"/>
        <v>2632.22</v>
      </c>
      <c r="AB1558" s="22">
        <f t="shared" si="311"/>
        <v>109.09</v>
      </c>
      <c r="AC1558" s="22">
        <f t="shared" si="312"/>
        <v>24.37</v>
      </c>
      <c r="AD1558" s="22">
        <f t="shared" si="304"/>
        <v>133.46</v>
      </c>
      <c r="AE1558" s="22">
        <f t="shared" si="305"/>
        <v>9311.1999999999989</v>
      </c>
      <c r="AF1558" s="19" t="str">
        <f>VLOOKUP(C1558,'2021-22 School Level AAFTE'!C:N,12,FALSE)</f>
        <v>No</v>
      </c>
    </row>
    <row r="1559" spans="1:32" s="5" customFormat="1">
      <c r="A1559" s="97" t="s">
        <v>2519</v>
      </c>
      <c r="B1559" s="97" t="s">
        <v>2021</v>
      </c>
      <c r="C1559" s="95">
        <v>2158</v>
      </c>
      <c r="D1559" s="95" t="s">
        <v>819</v>
      </c>
      <c r="E1559" s="129">
        <f>VLOOKUP($C1559,'2021-22 School Level AAFTE'!$C:$Z,11,FALSE)</f>
        <v>0.47039999999999998</v>
      </c>
      <c r="F1559" s="129" t="str">
        <f>VLOOKUP($C1559,'2021-22 School Level AAFTE'!$C:$Z,8,FALSE)</f>
        <v>No</v>
      </c>
      <c r="G1559" s="129" t="str">
        <f>VLOOKUP($C1559,'2021-22 School Level AAFTE'!$C:$Z,12,FALSE)</f>
        <v>No</v>
      </c>
      <c r="H1559" s="127">
        <f>VLOOKUP($C1559,'2021-22 School Level AAFTE'!$C:$I,7,FALSE)</f>
        <v>210.57</v>
      </c>
      <c r="I1559" s="112">
        <f>IFERROR(IF(OR(G1559="yes",F1559= "yes"),VLOOKUP(C1559,Summary!$B:$J,6,0),0),0)</f>
        <v>0</v>
      </c>
      <c r="J1559" s="111">
        <f t="shared" si="306"/>
        <v>0</v>
      </c>
      <c r="K1559" s="91">
        <f>VLOOKUP($A1559,'2022-23 Salary &amp; Benefits'!$A:$I,3,FALSE)</f>
        <v>1</v>
      </c>
      <c r="L1559" s="91">
        <f>VLOOKUP($A1559,'2022-23 Salary &amp; Benefits'!$A:$I,4,FALSE)</f>
        <v>1</v>
      </c>
      <c r="M1559" s="101">
        <f t="shared" si="301"/>
        <v>0</v>
      </c>
      <c r="N1559" s="24">
        <v>15</v>
      </c>
      <c r="O1559" s="26">
        <f t="shared" si="302"/>
        <v>0</v>
      </c>
      <c r="P1559" s="24">
        <v>1.1000000000000001</v>
      </c>
      <c r="Q1559" s="24">
        <v>36</v>
      </c>
      <c r="R1559" s="27">
        <f t="shared" si="303"/>
        <v>0</v>
      </c>
      <c r="S1559" s="102">
        <f t="shared" si="307"/>
        <v>0</v>
      </c>
      <c r="T1559" s="21">
        <f>VLOOKUP($A1559,'2022-23 Salary &amp; Benefits'!$A:$I,5,FALSE)</f>
        <v>68937</v>
      </c>
      <c r="U1559" s="21">
        <f>VLOOKUP($A1559,'2022-23 Salary &amp; Benefits'!$A:$I,6,FALSE)</f>
        <v>72728</v>
      </c>
      <c r="V1559" s="22">
        <f t="shared" si="308"/>
        <v>0</v>
      </c>
      <c r="W1559" s="22">
        <f t="shared" si="309"/>
        <v>0</v>
      </c>
      <c r="X1559" s="22">
        <f>'2022-23 Salary &amp; Benefits'!$G$6</f>
        <v>12558.24</v>
      </c>
      <c r="Y1559" s="23">
        <f>'2022-23 Salary &amp; Benefits'!$H$6</f>
        <v>0.2298</v>
      </c>
      <c r="Z1559" s="23">
        <f>'2022-23 Salary &amp; Benefits'!$I$6</f>
        <v>0.22339999999999999</v>
      </c>
      <c r="AA1559" s="22">
        <f t="shared" si="310"/>
        <v>0</v>
      </c>
      <c r="AB1559" s="22">
        <f t="shared" si="311"/>
        <v>0</v>
      </c>
      <c r="AC1559" s="22">
        <f t="shared" si="312"/>
        <v>0</v>
      </c>
      <c r="AD1559" s="22">
        <f t="shared" si="304"/>
        <v>0</v>
      </c>
      <c r="AE1559" s="22">
        <f t="shared" si="305"/>
        <v>0</v>
      </c>
      <c r="AF1559" s="19" t="str">
        <f>VLOOKUP(C1559,'2021-22 School Level AAFTE'!C:N,12,FALSE)</f>
        <v>No</v>
      </c>
    </row>
    <row r="1560" spans="1:32" s="5" customFormat="1">
      <c r="A1560" s="97" t="s">
        <v>2519</v>
      </c>
      <c r="B1560" s="97" t="s">
        <v>2021</v>
      </c>
      <c r="C1560" s="95">
        <v>2468</v>
      </c>
      <c r="D1560" s="95" t="s">
        <v>2022</v>
      </c>
      <c r="E1560" s="129">
        <f>VLOOKUP($C1560,'2021-22 School Level AAFTE'!$C:$Z,11,FALSE)</f>
        <v>0.43136666666666662</v>
      </c>
      <c r="F1560" s="129" t="str">
        <f>VLOOKUP($C1560,'2021-22 School Level AAFTE'!$C:$Z,8,FALSE)</f>
        <v>No</v>
      </c>
      <c r="G1560" s="129" t="str">
        <f>VLOOKUP($C1560,'2021-22 School Level AAFTE'!$C:$Z,12,FALSE)</f>
        <v>No</v>
      </c>
      <c r="H1560" s="127">
        <f>VLOOKUP($C1560,'2021-22 School Level AAFTE'!$C:$I,7,FALSE)</f>
        <v>245.89000000000001</v>
      </c>
      <c r="I1560" s="112">
        <f>IFERROR(IF(OR(G1560="yes",F1560= "yes"),VLOOKUP(C1560,Summary!$B:$J,6,0),0),0)</f>
        <v>0</v>
      </c>
      <c r="J1560" s="111">
        <f t="shared" si="306"/>
        <v>0</v>
      </c>
      <c r="K1560" s="91">
        <f>VLOOKUP($A1560,'2022-23 Salary &amp; Benefits'!$A:$I,3,FALSE)</f>
        <v>1</v>
      </c>
      <c r="L1560" s="91">
        <f>VLOOKUP($A1560,'2022-23 Salary &amp; Benefits'!$A:$I,4,FALSE)</f>
        <v>1</v>
      </c>
      <c r="M1560" s="101">
        <f t="shared" si="301"/>
        <v>0</v>
      </c>
      <c r="N1560" s="24">
        <v>15</v>
      </c>
      <c r="O1560" s="26">
        <f t="shared" si="302"/>
        <v>0</v>
      </c>
      <c r="P1560" s="24">
        <v>1.1000000000000001</v>
      </c>
      <c r="Q1560" s="24">
        <v>36</v>
      </c>
      <c r="R1560" s="27">
        <f t="shared" si="303"/>
        <v>0</v>
      </c>
      <c r="S1560" s="102">
        <f t="shared" si="307"/>
        <v>0</v>
      </c>
      <c r="T1560" s="21">
        <f>VLOOKUP($A1560,'2022-23 Salary &amp; Benefits'!$A:$I,5,FALSE)</f>
        <v>68937</v>
      </c>
      <c r="U1560" s="21">
        <f>VLOOKUP($A1560,'2022-23 Salary &amp; Benefits'!$A:$I,6,FALSE)</f>
        <v>72728</v>
      </c>
      <c r="V1560" s="22">
        <f t="shared" si="308"/>
        <v>0</v>
      </c>
      <c r="W1560" s="22">
        <f t="shared" si="309"/>
        <v>0</v>
      </c>
      <c r="X1560" s="22">
        <f>'2022-23 Salary &amp; Benefits'!$G$6</f>
        <v>12558.24</v>
      </c>
      <c r="Y1560" s="23">
        <f>'2022-23 Salary &amp; Benefits'!$H$6</f>
        <v>0.2298</v>
      </c>
      <c r="Z1560" s="23">
        <f>'2022-23 Salary &amp; Benefits'!$I$6</f>
        <v>0.22339999999999999</v>
      </c>
      <c r="AA1560" s="22">
        <f t="shared" si="310"/>
        <v>0</v>
      </c>
      <c r="AB1560" s="22">
        <f t="shared" si="311"/>
        <v>0</v>
      </c>
      <c r="AC1560" s="22">
        <f t="shared" si="312"/>
        <v>0</v>
      </c>
      <c r="AD1560" s="22">
        <f t="shared" si="304"/>
        <v>0</v>
      </c>
      <c r="AE1560" s="22">
        <f t="shared" si="305"/>
        <v>0</v>
      </c>
      <c r="AF1560" s="19" t="str">
        <f>VLOOKUP(C1560,'2021-22 School Level AAFTE'!C:N,12,FALSE)</f>
        <v>No</v>
      </c>
    </row>
    <row r="1561" spans="1:32" s="5" customFormat="1">
      <c r="A1561" s="97" t="s">
        <v>2519</v>
      </c>
      <c r="B1561" s="97" t="s">
        <v>2021</v>
      </c>
      <c r="C1561" s="95">
        <v>4486</v>
      </c>
      <c r="D1561" s="95" t="s">
        <v>1440</v>
      </c>
      <c r="E1561" s="129">
        <f>VLOOKUP($C1561,'2021-22 School Level AAFTE'!$C:$Z,11,FALSE)</f>
        <v>0.38339999999999996</v>
      </c>
      <c r="F1561" s="129" t="str">
        <f>VLOOKUP($C1561,'2021-22 School Level AAFTE'!$C:$Z,8,FALSE)</f>
        <v>No</v>
      </c>
      <c r="G1561" s="129" t="str">
        <f>VLOOKUP($C1561,'2021-22 School Level AAFTE'!$C:$Z,12,FALSE)</f>
        <v>No</v>
      </c>
      <c r="H1561" s="127">
        <f>VLOOKUP($C1561,'2021-22 School Level AAFTE'!$C:$I,7,FALSE)</f>
        <v>425.13</v>
      </c>
      <c r="I1561" s="112">
        <f>IFERROR(IF(OR(G1561="yes",F1561= "yes"),VLOOKUP(C1561,Summary!$B:$J,6,0),0),0)</f>
        <v>0</v>
      </c>
      <c r="J1561" s="111">
        <f t="shared" si="306"/>
        <v>0</v>
      </c>
      <c r="K1561" s="91">
        <f>VLOOKUP($A1561,'2022-23 Salary &amp; Benefits'!$A:$I,3,FALSE)</f>
        <v>1</v>
      </c>
      <c r="L1561" s="91">
        <f>VLOOKUP($A1561,'2022-23 Salary &amp; Benefits'!$A:$I,4,FALSE)</f>
        <v>1</v>
      </c>
      <c r="M1561" s="101">
        <f t="shared" si="301"/>
        <v>0</v>
      </c>
      <c r="N1561" s="24">
        <v>15</v>
      </c>
      <c r="O1561" s="26">
        <f t="shared" si="302"/>
        <v>0</v>
      </c>
      <c r="P1561" s="24">
        <v>1.1000000000000001</v>
      </c>
      <c r="Q1561" s="24">
        <v>36</v>
      </c>
      <c r="R1561" s="27">
        <f t="shared" si="303"/>
        <v>0</v>
      </c>
      <c r="S1561" s="102">
        <f t="shared" si="307"/>
        <v>0</v>
      </c>
      <c r="T1561" s="21">
        <f>VLOOKUP($A1561,'2022-23 Salary &amp; Benefits'!$A:$I,5,FALSE)</f>
        <v>68937</v>
      </c>
      <c r="U1561" s="21">
        <f>VLOOKUP($A1561,'2022-23 Salary &amp; Benefits'!$A:$I,6,FALSE)</f>
        <v>72728</v>
      </c>
      <c r="V1561" s="22">
        <f t="shared" si="308"/>
        <v>0</v>
      </c>
      <c r="W1561" s="22">
        <f t="shared" si="309"/>
        <v>0</v>
      </c>
      <c r="X1561" s="22">
        <f>'2022-23 Salary &amp; Benefits'!$G$6</f>
        <v>12558.24</v>
      </c>
      <c r="Y1561" s="23">
        <f>'2022-23 Salary &amp; Benefits'!$H$6</f>
        <v>0.2298</v>
      </c>
      <c r="Z1561" s="23">
        <f>'2022-23 Salary &amp; Benefits'!$I$6</f>
        <v>0.22339999999999999</v>
      </c>
      <c r="AA1561" s="22">
        <f t="shared" si="310"/>
        <v>0</v>
      </c>
      <c r="AB1561" s="22">
        <f t="shared" si="311"/>
        <v>0</v>
      </c>
      <c r="AC1561" s="22">
        <f t="shared" si="312"/>
        <v>0</v>
      </c>
      <c r="AD1561" s="22">
        <f t="shared" si="304"/>
        <v>0</v>
      </c>
      <c r="AE1561" s="22">
        <f t="shared" si="305"/>
        <v>0</v>
      </c>
      <c r="AF1561" s="19" t="str">
        <f>VLOOKUP(C1561,'2021-22 School Level AAFTE'!C:N,12,FALSE)</f>
        <v>No</v>
      </c>
    </row>
    <row r="1562" spans="1:32" s="5" customFormat="1">
      <c r="A1562" s="97" t="s">
        <v>2369</v>
      </c>
      <c r="B1562" s="97" t="s">
        <v>1014</v>
      </c>
      <c r="C1562" s="95">
        <v>5380</v>
      </c>
      <c r="D1562" s="95" t="s">
        <v>1015</v>
      </c>
      <c r="E1562" s="129">
        <f>VLOOKUP($C1562,'2021-22 School Level AAFTE'!$C:$Z,11,FALSE)</f>
        <v>0.71749999999999992</v>
      </c>
      <c r="F1562" s="129" t="str">
        <f>VLOOKUP($C1562,'2021-22 School Level AAFTE'!$C:$Z,8,FALSE)</f>
        <v>Yes</v>
      </c>
      <c r="G1562" s="129" t="str">
        <f>VLOOKUP($C1562,'2021-22 School Level AAFTE'!$C:$Z,12,FALSE)</f>
        <v>No</v>
      </c>
      <c r="H1562" s="127">
        <f>VLOOKUP($C1562,'2021-22 School Level AAFTE'!$C:$I,7,FALSE)</f>
        <v>328.86</v>
      </c>
      <c r="I1562" s="112">
        <f>IFERROR(IF(OR(G1562="yes",F1562= "yes"),VLOOKUP(C1562,Summary!$B:$J,6,0),0),0)</f>
        <v>0</v>
      </c>
      <c r="J1562" s="111">
        <f t="shared" si="306"/>
        <v>328.86</v>
      </c>
      <c r="K1562" s="91">
        <f>VLOOKUP($A1562,'2022-23 Salary &amp; Benefits'!$A:$I,3,FALSE)</f>
        <v>1.18</v>
      </c>
      <c r="L1562" s="91">
        <f>VLOOKUP($A1562,'2022-23 Salary &amp; Benefits'!$A:$I,4,FALSE)</f>
        <v>1.18</v>
      </c>
      <c r="M1562" s="39">
        <f t="shared" si="301"/>
        <v>328.86</v>
      </c>
      <c r="N1562" s="24">
        <v>15</v>
      </c>
      <c r="O1562" s="26">
        <f t="shared" si="302"/>
        <v>21.923999999999999</v>
      </c>
      <c r="P1562" s="24">
        <v>1.1000000000000001</v>
      </c>
      <c r="Q1562" s="24">
        <v>36</v>
      </c>
      <c r="R1562" s="27">
        <f t="shared" si="303"/>
        <v>868.19040000000007</v>
      </c>
      <c r="S1562" s="102">
        <f t="shared" si="307"/>
        <v>0.96499999999999997</v>
      </c>
      <c r="T1562" s="21">
        <f>VLOOKUP($A1562,'2022-23 Salary &amp; Benefits'!$A:$I,5,FALSE)</f>
        <v>68937</v>
      </c>
      <c r="U1562" s="21">
        <f>VLOOKUP($A1562,'2022-23 Salary &amp; Benefits'!$A:$I,6,FALSE)</f>
        <v>72728</v>
      </c>
      <c r="V1562" s="22">
        <f t="shared" si="308"/>
        <v>78498.559999999998</v>
      </c>
      <c r="W1562" s="22">
        <f t="shared" si="309"/>
        <v>4316.8099999999977</v>
      </c>
      <c r="X1562" s="22">
        <f>'2022-23 Salary &amp; Benefits'!$G$6</f>
        <v>12558.24</v>
      </c>
      <c r="Y1562" s="23">
        <f>'2022-23 Salary &amp; Benefits'!$H$6</f>
        <v>0.2298</v>
      </c>
      <c r="Z1562" s="23">
        <f>'2022-23 Salary &amp; Benefits'!$I$6</f>
        <v>0.22339999999999999</v>
      </c>
      <c r="AA1562" s="22">
        <f t="shared" si="310"/>
        <v>31122.05</v>
      </c>
      <c r="AB1562" s="22">
        <f t="shared" si="311"/>
        <v>1380.26</v>
      </c>
      <c r="AC1562" s="22">
        <f t="shared" si="312"/>
        <v>308.35000000000002</v>
      </c>
      <c r="AD1562" s="22">
        <f t="shared" si="304"/>
        <v>1688.6100000000001</v>
      </c>
      <c r="AE1562" s="22">
        <f t="shared" si="305"/>
        <v>115626.03</v>
      </c>
      <c r="AF1562" s="19" t="str">
        <f>VLOOKUP(C1562,'2021-22 School Level AAFTE'!C:N,12,FALSE)</f>
        <v>No</v>
      </c>
    </row>
    <row r="1563" spans="1:32" s="5" customFormat="1">
      <c r="A1563" s="97" t="s">
        <v>2587</v>
      </c>
      <c r="B1563" s="97" t="s">
        <v>2959</v>
      </c>
      <c r="C1563" s="95">
        <v>5468</v>
      </c>
      <c r="D1563" s="95" t="s">
        <v>2720</v>
      </c>
      <c r="E1563" s="129">
        <f>VLOOKUP($C1563,'2021-22 School Level AAFTE'!$C:$Z,11,FALSE)</f>
        <v>0.78229999999999988</v>
      </c>
      <c r="F1563" s="129" t="str">
        <f>VLOOKUP($C1563,'2021-22 School Level AAFTE'!$C:$Z,8,FALSE)</f>
        <v>Yes</v>
      </c>
      <c r="G1563" s="129" t="str">
        <f>VLOOKUP($C1563,'2021-22 School Level AAFTE'!$C:$Z,12,FALSE)</f>
        <v>No</v>
      </c>
      <c r="H1563" s="127">
        <f>VLOOKUP($C1563,'2021-22 School Level AAFTE'!$C:$I,7,FALSE)</f>
        <v>159</v>
      </c>
      <c r="I1563" s="112">
        <f>IFERROR(IF(OR(G1563="yes",F1563= "yes"),VLOOKUP(C1563,Summary!$B:$J,6,0),0),0)</f>
        <v>0</v>
      </c>
      <c r="J1563" s="111">
        <f t="shared" si="306"/>
        <v>159</v>
      </c>
      <c r="K1563" s="91">
        <f>VLOOKUP($A1563,'2022-23 Salary &amp; Benefits'!$A:$I,3,FALSE)</f>
        <v>1.18</v>
      </c>
      <c r="L1563" s="91">
        <f>VLOOKUP($A1563,'2022-23 Salary &amp; Benefits'!$A:$I,4,FALSE)</f>
        <v>1.18</v>
      </c>
      <c r="M1563" s="39">
        <f t="shared" si="301"/>
        <v>159</v>
      </c>
      <c r="N1563" s="24">
        <v>15</v>
      </c>
      <c r="O1563" s="26">
        <f t="shared" si="302"/>
        <v>10.6</v>
      </c>
      <c r="P1563" s="24">
        <v>1.1000000000000001</v>
      </c>
      <c r="Q1563" s="24">
        <v>36</v>
      </c>
      <c r="R1563" s="27">
        <f t="shared" si="303"/>
        <v>419.76</v>
      </c>
      <c r="S1563" s="102">
        <f t="shared" si="307"/>
        <v>0.46600000000000003</v>
      </c>
      <c r="T1563" s="21">
        <f>VLOOKUP($A1563,'2022-23 Salary &amp; Benefits'!$A:$I,5,FALSE)</f>
        <v>68937</v>
      </c>
      <c r="U1563" s="21">
        <f>VLOOKUP($A1563,'2022-23 Salary &amp; Benefits'!$A:$I,6,FALSE)</f>
        <v>72728</v>
      </c>
      <c r="V1563" s="22">
        <f t="shared" si="308"/>
        <v>37907.08</v>
      </c>
      <c r="W1563" s="22">
        <f t="shared" si="309"/>
        <v>2084.5899999999965</v>
      </c>
      <c r="X1563" s="22">
        <f>'2022-23 Salary &amp; Benefits'!$G$6</f>
        <v>12558.24</v>
      </c>
      <c r="Y1563" s="23">
        <f>'2022-23 Salary &amp; Benefits'!$H$6</f>
        <v>0.2298</v>
      </c>
      <c r="Z1563" s="23">
        <f>'2022-23 Salary &amp; Benefits'!$I$6</f>
        <v>0.22339999999999999</v>
      </c>
      <c r="AA1563" s="22">
        <f t="shared" si="310"/>
        <v>15028.88</v>
      </c>
      <c r="AB1563" s="22">
        <f t="shared" si="311"/>
        <v>666.53</v>
      </c>
      <c r="AC1563" s="22">
        <f t="shared" si="312"/>
        <v>148.9</v>
      </c>
      <c r="AD1563" s="22">
        <f t="shared" si="304"/>
        <v>815.43</v>
      </c>
      <c r="AE1563" s="22">
        <f t="shared" si="305"/>
        <v>55835.979999999996</v>
      </c>
      <c r="AF1563" s="19" t="str">
        <f>VLOOKUP(C1563,'2021-22 School Level AAFTE'!C:N,12,FALSE)</f>
        <v>No</v>
      </c>
    </row>
    <row r="1564" spans="1:32" s="5" customFormat="1">
      <c r="A1564" s="97" t="s">
        <v>2430</v>
      </c>
      <c r="B1564" s="97" t="s">
        <v>1267</v>
      </c>
      <c r="C1564" s="95">
        <v>2357</v>
      </c>
      <c r="D1564" s="95" t="s">
        <v>1268</v>
      </c>
      <c r="E1564" s="129">
        <f>VLOOKUP($C1564,'2021-22 School Level AAFTE'!$C:$Z,11,FALSE)</f>
        <v>0.61906666666666654</v>
      </c>
      <c r="F1564" s="129" t="str">
        <f>VLOOKUP($C1564,'2021-22 School Level AAFTE'!$C:$Z,8,FALSE)</f>
        <v>Yes</v>
      </c>
      <c r="G1564" s="129" t="str">
        <f>VLOOKUP($C1564,'2021-22 School Level AAFTE'!$C:$Z,12,FALSE)</f>
        <v>No</v>
      </c>
      <c r="H1564" s="127">
        <f>VLOOKUP($C1564,'2021-22 School Level AAFTE'!$C:$I,7,FALSE)</f>
        <v>263.57</v>
      </c>
      <c r="I1564" s="112">
        <f>IFERROR(IF(OR(G1564="yes",F1564= "yes"),VLOOKUP(C1564,Summary!$B:$J,6,0),0),0)</f>
        <v>0</v>
      </c>
      <c r="J1564" s="111">
        <f t="shared" si="306"/>
        <v>263.57</v>
      </c>
      <c r="K1564" s="91">
        <f>VLOOKUP($A1564,'2022-23 Salary &amp; Benefits'!$A:$I,3,FALSE)</f>
        <v>1</v>
      </c>
      <c r="L1564" s="91">
        <f>VLOOKUP($A1564,'2022-23 Salary &amp; Benefits'!$A:$I,4,FALSE)</f>
        <v>1</v>
      </c>
      <c r="M1564" s="39">
        <f t="shared" si="301"/>
        <v>263.57</v>
      </c>
      <c r="N1564" s="24">
        <v>15</v>
      </c>
      <c r="O1564" s="26">
        <f t="shared" si="302"/>
        <v>17.571333333333332</v>
      </c>
      <c r="P1564" s="24">
        <v>1.1000000000000001</v>
      </c>
      <c r="Q1564" s="24">
        <v>36</v>
      </c>
      <c r="R1564" s="27">
        <f t="shared" si="303"/>
        <v>695.82479999999998</v>
      </c>
      <c r="S1564" s="102">
        <f t="shared" si="307"/>
        <v>0.77300000000000002</v>
      </c>
      <c r="T1564" s="21">
        <f>VLOOKUP($A1564,'2022-23 Salary &amp; Benefits'!$A:$I,5,FALSE)</f>
        <v>68937</v>
      </c>
      <c r="U1564" s="21">
        <f>VLOOKUP($A1564,'2022-23 Salary &amp; Benefits'!$A:$I,6,FALSE)</f>
        <v>72728</v>
      </c>
      <c r="V1564" s="22">
        <f t="shared" si="308"/>
        <v>53288.3</v>
      </c>
      <c r="W1564" s="22">
        <f t="shared" si="309"/>
        <v>2930.4399999999951</v>
      </c>
      <c r="X1564" s="22">
        <f>'2022-23 Salary &amp; Benefits'!$G$6</f>
        <v>12558.24</v>
      </c>
      <c r="Y1564" s="23">
        <f>'2022-23 Salary &amp; Benefits'!$H$6</f>
        <v>0.2298</v>
      </c>
      <c r="Z1564" s="23">
        <f>'2022-23 Salary &amp; Benefits'!$I$6</f>
        <v>0.22339999999999999</v>
      </c>
      <c r="AA1564" s="22">
        <f t="shared" si="310"/>
        <v>22607.83</v>
      </c>
      <c r="AB1564" s="22">
        <f t="shared" si="311"/>
        <v>936.98</v>
      </c>
      <c r="AC1564" s="22">
        <f t="shared" si="312"/>
        <v>209.32</v>
      </c>
      <c r="AD1564" s="22">
        <f t="shared" si="304"/>
        <v>1146.3</v>
      </c>
      <c r="AE1564" s="22">
        <f t="shared" si="305"/>
        <v>79972.87000000001</v>
      </c>
      <c r="AF1564" s="19" t="str">
        <f>VLOOKUP(C1564,'2021-22 School Level AAFTE'!C:N,12,FALSE)</f>
        <v>No</v>
      </c>
    </row>
    <row r="1565" spans="1:32" s="5" customFormat="1">
      <c r="A1565" s="97" t="s">
        <v>2430</v>
      </c>
      <c r="B1565" s="97" t="s">
        <v>1267</v>
      </c>
      <c r="C1565" s="95">
        <v>2803</v>
      </c>
      <c r="D1565" s="95" t="s">
        <v>1269</v>
      </c>
      <c r="E1565" s="129">
        <f>VLOOKUP($C1565,'2021-22 School Level AAFTE'!$C:$Z,11,FALSE)</f>
        <v>0.71893333333333331</v>
      </c>
      <c r="F1565" s="129" t="str">
        <f>VLOOKUP($C1565,'2021-22 School Level AAFTE'!$C:$Z,8,FALSE)</f>
        <v>Yes</v>
      </c>
      <c r="G1565" s="129" t="str">
        <f>VLOOKUP($C1565,'2021-22 School Level AAFTE'!$C:$Z,12,FALSE)</f>
        <v>No</v>
      </c>
      <c r="H1565" s="127">
        <f>VLOOKUP($C1565,'2021-22 School Level AAFTE'!$C:$I,7,FALSE)</f>
        <v>257.38</v>
      </c>
      <c r="I1565" s="112">
        <f>IFERROR(IF(OR(G1565="yes",F1565= "yes"),VLOOKUP(C1565,Summary!$B:$J,6,0),0),0)</f>
        <v>0</v>
      </c>
      <c r="J1565" s="111">
        <f t="shared" si="306"/>
        <v>257.38</v>
      </c>
      <c r="K1565" s="91">
        <f>VLOOKUP($A1565,'2022-23 Salary &amp; Benefits'!$A:$I,3,FALSE)</f>
        <v>1</v>
      </c>
      <c r="L1565" s="91">
        <f>VLOOKUP($A1565,'2022-23 Salary &amp; Benefits'!$A:$I,4,FALSE)</f>
        <v>1</v>
      </c>
      <c r="M1565" s="39">
        <f t="shared" si="301"/>
        <v>257.38</v>
      </c>
      <c r="N1565" s="24">
        <v>15</v>
      </c>
      <c r="O1565" s="26">
        <f t="shared" si="302"/>
        <v>17.158666666666665</v>
      </c>
      <c r="P1565" s="24">
        <v>1.1000000000000001</v>
      </c>
      <c r="Q1565" s="24">
        <v>36</v>
      </c>
      <c r="R1565" s="27">
        <f t="shared" si="303"/>
        <v>679.4831999999999</v>
      </c>
      <c r="S1565" s="102">
        <f t="shared" si="307"/>
        <v>0.755</v>
      </c>
      <c r="T1565" s="21">
        <f>VLOOKUP($A1565,'2022-23 Salary &amp; Benefits'!$A:$I,5,FALSE)</f>
        <v>68937</v>
      </c>
      <c r="U1565" s="21">
        <f>VLOOKUP($A1565,'2022-23 Salary &amp; Benefits'!$A:$I,6,FALSE)</f>
        <v>72728</v>
      </c>
      <c r="V1565" s="22">
        <f t="shared" si="308"/>
        <v>52047.44</v>
      </c>
      <c r="W1565" s="22">
        <f t="shared" si="309"/>
        <v>2862.1999999999971</v>
      </c>
      <c r="X1565" s="22">
        <f>'2022-23 Salary &amp; Benefits'!$G$6</f>
        <v>12558.24</v>
      </c>
      <c r="Y1565" s="23">
        <f>'2022-23 Salary &amp; Benefits'!$H$6</f>
        <v>0.2298</v>
      </c>
      <c r="Z1565" s="23">
        <f>'2022-23 Salary &amp; Benefits'!$I$6</f>
        <v>0.22339999999999999</v>
      </c>
      <c r="AA1565" s="22">
        <f t="shared" si="310"/>
        <v>22081.39</v>
      </c>
      <c r="AB1565" s="22">
        <f t="shared" si="311"/>
        <v>915.16</v>
      </c>
      <c r="AC1565" s="22">
        <f t="shared" si="312"/>
        <v>204.45</v>
      </c>
      <c r="AD1565" s="22">
        <f t="shared" si="304"/>
        <v>1119.6099999999999</v>
      </c>
      <c r="AE1565" s="22">
        <f t="shared" si="305"/>
        <v>78110.64</v>
      </c>
      <c r="AF1565" s="19" t="str">
        <f>VLOOKUP(C1565,'2021-22 School Level AAFTE'!C:N,12,FALSE)</f>
        <v>No</v>
      </c>
    </row>
    <row r="1566" spans="1:32" s="5" customFormat="1">
      <c r="A1566" s="97" t="s">
        <v>2407</v>
      </c>
      <c r="B1566" s="97" t="s">
        <v>1184</v>
      </c>
      <c r="C1566" s="95">
        <v>2478</v>
      </c>
      <c r="D1566" s="95" t="s">
        <v>1185</v>
      </c>
      <c r="E1566" s="129">
        <f>VLOOKUP($C1566,'2021-22 School Level AAFTE'!$C:$Z,11,FALSE)</f>
        <v>0.36593333333333328</v>
      </c>
      <c r="F1566" s="129" t="str">
        <f>VLOOKUP($C1566,'2021-22 School Level AAFTE'!$C:$Z,8,FALSE)</f>
        <v>No</v>
      </c>
      <c r="G1566" s="129" t="str">
        <f>VLOOKUP($C1566,'2021-22 School Level AAFTE'!$C:$Z,12,FALSE)</f>
        <v>No</v>
      </c>
      <c r="H1566" s="127">
        <f>VLOOKUP($C1566,'2021-22 School Level AAFTE'!$C:$I,7,FALSE)</f>
        <v>335.01</v>
      </c>
      <c r="I1566" s="112">
        <f>IFERROR(IF(OR(G1566="yes",F1566= "yes"),VLOOKUP(C1566,Summary!$B:$J,6,0),0),0)</f>
        <v>0</v>
      </c>
      <c r="J1566" s="111">
        <f t="shared" si="306"/>
        <v>0</v>
      </c>
      <c r="K1566" s="91">
        <f>VLOOKUP($A1566,'2022-23 Salary &amp; Benefits'!$A:$I,3,FALSE)</f>
        <v>1</v>
      </c>
      <c r="L1566" s="91">
        <f>VLOOKUP($A1566,'2022-23 Salary &amp; Benefits'!$A:$I,4,FALSE)</f>
        <v>1</v>
      </c>
      <c r="M1566" s="101">
        <f t="shared" si="301"/>
        <v>0</v>
      </c>
      <c r="N1566" s="24">
        <v>15</v>
      </c>
      <c r="O1566" s="26">
        <f t="shared" si="302"/>
        <v>0</v>
      </c>
      <c r="P1566" s="24">
        <v>1.1000000000000001</v>
      </c>
      <c r="Q1566" s="24">
        <v>36</v>
      </c>
      <c r="R1566" s="27">
        <f t="shared" si="303"/>
        <v>0</v>
      </c>
      <c r="S1566" s="102">
        <f t="shared" si="307"/>
        <v>0</v>
      </c>
      <c r="T1566" s="21">
        <f>VLOOKUP($A1566,'2022-23 Salary &amp; Benefits'!$A:$I,5,FALSE)</f>
        <v>68937</v>
      </c>
      <c r="U1566" s="21">
        <f>VLOOKUP($A1566,'2022-23 Salary &amp; Benefits'!$A:$I,6,FALSE)</f>
        <v>72728</v>
      </c>
      <c r="V1566" s="22">
        <f t="shared" si="308"/>
        <v>0</v>
      </c>
      <c r="W1566" s="22">
        <f t="shared" si="309"/>
        <v>0</v>
      </c>
      <c r="X1566" s="22">
        <f>'2022-23 Salary &amp; Benefits'!$G$6</f>
        <v>12558.24</v>
      </c>
      <c r="Y1566" s="23">
        <f>'2022-23 Salary &amp; Benefits'!$H$6</f>
        <v>0.2298</v>
      </c>
      <c r="Z1566" s="23">
        <f>'2022-23 Salary &amp; Benefits'!$I$6</f>
        <v>0.22339999999999999</v>
      </c>
      <c r="AA1566" s="22">
        <f t="shared" si="310"/>
        <v>0</v>
      </c>
      <c r="AB1566" s="22">
        <f t="shared" si="311"/>
        <v>0</v>
      </c>
      <c r="AC1566" s="22">
        <f t="shared" si="312"/>
        <v>0</v>
      </c>
      <c r="AD1566" s="22">
        <f t="shared" si="304"/>
        <v>0</v>
      </c>
      <c r="AE1566" s="22">
        <f t="shared" si="305"/>
        <v>0</v>
      </c>
      <c r="AF1566" s="19" t="str">
        <f>VLOOKUP(C1566,'2021-22 School Level AAFTE'!C:N,12,FALSE)</f>
        <v>No</v>
      </c>
    </row>
    <row r="1567" spans="1:32" s="5" customFormat="1">
      <c r="A1567" s="97" t="s">
        <v>2407</v>
      </c>
      <c r="B1567" s="97" t="s">
        <v>1184</v>
      </c>
      <c r="C1567" s="95">
        <v>2864</v>
      </c>
      <c r="D1567" s="95" t="s">
        <v>1186</v>
      </c>
      <c r="E1567" s="129">
        <f>VLOOKUP($C1567,'2021-22 School Level AAFTE'!$C:$Z,11,FALSE)</f>
        <v>0.46943333333333337</v>
      </c>
      <c r="F1567" s="129" t="str">
        <f>VLOOKUP($C1567,'2021-22 School Level AAFTE'!$C:$Z,8,FALSE)</f>
        <v>No</v>
      </c>
      <c r="G1567" s="129" t="str">
        <f>VLOOKUP($C1567,'2021-22 School Level AAFTE'!$C:$Z,12,FALSE)</f>
        <v>No</v>
      </c>
      <c r="H1567" s="127">
        <f>VLOOKUP($C1567,'2021-22 School Level AAFTE'!$C:$I,7,FALSE)</f>
        <v>359.38</v>
      </c>
      <c r="I1567" s="112">
        <f>IFERROR(IF(OR(G1567="yes",F1567= "yes"),VLOOKUP(C1567,Summary!$B:$J,6,0),0),0)</f>
        <v>0</v>
      </c>
      <c r="J1567" s="111">
        <f t="shared" si="306"/>
        <v>0</v>
      </c>
      <c r="K1567" s="91">
        <f>VLOOKUP($A1567,'2022-23 Salary &amp; Benefits'!$A:$I,3,FALSE)</f>
        <v>1</v>
      </c>
      <c r="L1567" s="91">
        <f>VLOOKUP($A1567,'2022-23 Salary &amp; Benefits'!$A:$I,4,FALSE)</f>
        <v>1</v>
      </c>
      <c r="M1567" s="101">
        <f t="shared" si="301"/>
        <v>0</v>
      </c>
      <c r="N1567" s="24">
        <v>15</v>
      </c>
      <c r="O1567" s="26">
        <f t="shared" si="302"/>
        <v>0</v>
      </c>
      <c r="P1567" s="24">
        <v>1.1000000000000001</v>
      </c>
      <c r="Q1567" s="24">
        <v>36</v>
      </c>
      <c r="R1567" s="27">
        <f t="shared" si="303"/>
        <v>0</v>
      </c>
      <c r="S1567" s="102">
        <f t="shared" si="307"/>
        <v>0</v>
      </c>
      <c r="T1567" s="21">
        <f>VLOOKUP($A1567,'2022-23 Salary &amp; Benefits'!$A:$I,5,FALSE)</f>
        <v>68937</v>
      </c>
      <c r="U1567" s="21">
        <f>VLOOKUP($A1567,'2022-23 Salary &amp; Benefits'!$A:$I,6,FALSE)</f>
        <v>72728</v>
      </c>
      <c r="V1567" s="22">
        <f t="shared" si="308"/>
        <v>0</v>
      </c>
      <c r="W1567" s="22">
        <f t="shared" si="309"/>
        <v>0</v>
      </c>
      <c r="X1567" s="22">
        <f>'2022-23 Salary &amp; Benefits'!$G$6</f>
        <v>12558.24</v>
      </c>
      <c r="Y1567" s="23">
        <f>'2022-23 Salary &amp; Benefits'!$H$6</f>
        <v>0.2298</v>
      </c>
      <c r="Z1567" s="23">
        <f>'2022-23 Salary &amp; Benefits'!$I$6</f>
        <v>0.22339999999999999</v>
      </c>
      <c r="AA1567" s="22">
        <f t="shared" si="310"/>
        <v>0</v>
      </c>
      <c r="AB1567" s="22">
        <f t="shared" si="311"/>
        <v>0</v>
      </c>
      <c r="AC1567" s="22">
        <f t="shared" si="312"/>
        <v>0</v>
      </c>
      <c r="AD1567" s="22">
        <f t="shared" si="304"/>
        <v>0</v>
      </c>
      <c r="AE1567" s="22">
        <f t="shared" si="305"/>
        <v>0</v>
      </c>
      <c r="AF1567" s="19" t="str">
        <f>VLOOKUP(C1567,'2021-22 School Level AAFTE'!C:N,12,FALSE)</f>
        <v>No</v>
      </c>
    </row>
    <row r="1568" spans="1:32" s="5" customFormat="1">
      <c r="A1568" s="97" t="s">
        <v>2407</v>
      </c>
      <c r="B1568" s="97" t="s">
        <v>1184</v>
      </c>
      <c r="C1568" s="95">
        <v>5688</v>
      </c>
      <c r="D1568" s="95" t="s">
        <v>3040</v>
      </c>
      <c r="E1568" s="129">
        <f>VLOOKUP($C1568,'2021-22 School Level AAFTE'!$C:$Z,11,FALSE)</f>
        <v>0.36670000000000003</v>
      </c>
      <c r="F1568" s="129" t="str">
        <f>VLOOKUP($C1568,'2021-22 School Level AAFTE'!$C:$Z,8,FALSE)</f>
        <v>No</v>
      </c>
      <c r="G1568" s="129" t="str">
        <f>VLOOKUP($C1568,'2021-22 School Level AAFTE'!$C:$Z,12,FALSE)</f>
        <v>No</v>
      </c>
      <c r="H1568" s="127">
        <f>VLOOKUP($C1568,'2021-22 School Level AAFTE'!$C:$I,7,FALSE)</f>
        <v>28.56</v>
      </c>
      <c r="I1568" s="112">
        <f>IFERROR(IF(OR(G1568="yes",F1568= "yes"),VLOOKUP(C1568,Summary!$B:$J,6,0),0),0)</f>
        <v>0</v>
      </c>
      <c r="J1568" s="111">
        <f t="shared" si="306"/>
        <v>0</v>
      </c>
      <c r="K1568" s="91">
        <f>VLOOKUP($A1568,'2022-23 Salary &amp; Benefits'!$A:$I,3,FALSE)</f>
        <v>1</v>
      </c>
      <c r="L1568" s="91">
        <f>VLOOKUP($A1568,'2022-23 Salary &amp; Benefits'!$A:$I,4,FALSE)</f>
        <v>1</v>
      </c>
      <c r="M1568" s="39">
        <f t="shared" si="301"/>
        <v>0</v>
      </c>
      <c r="N1568" s="24">
        <v>15</v>
      </c>
      <c r="O1568" s="26">
        <f t="shared" si="302"/>
        <v>0</v>
      </c>
      <c r="P1568" s="24">
        <v>1.1000000000000001</v>
      </c>
      <c r="Q1568" s="24">
        <v>36</v>
      </c>
      <c r="R1568" s="27">
        <f t="shared" si="303"/>
        <v>0</v>
      </c>
      <c r="S1568" s="102">
        <f t="shared" si="307"/>
        <v>0</v>
      </c>
      <c r="T1568" s="21">
        <f>VLOOKUP($A1568,'2022-23 Salary &amp; Benefits'!$A:$I,5,FALSE)</f>
        <v>68937</v>
      </c>
      <c r="U1568" s="21">
        <f>VLOOKUP($A1568,'2022-23 Salary &amp; Benefits'!$A:$I,6,FALSE)</f>
        <v>72728</v>
      </c>
      <c r="V1568" s="22">
        <f t="shared" si="308"/>
        <v>0</v>
      </c>
      <c r="W1568" s="22">
        <f t="shared" si="309"/>
        <v>0</v>
      </c>
      <c r="X1568" s="22">
        <f>'2022-23 Salary &amp; Benefits'!$G$6</f>
        <v>12558.24</v>
      </c>
      <c r="Y1568" s="23">
        <f>'2022-23 Salary &amp; Benefits'!$H$6</f>
        <v>0.2298</v>
      </c>
      <c r="Z1568" s="23">
        <f>'2022-23 Salary &amp; Benefits'!$I$6</f>
        <v>0.22339999999999999</v>
      </c>
      <c r="AA1568" s="22">
        <f t="shared" si="310"/>
        <v>0</v>
      </c>
      <c r="AB1568" s="22">
        <f t="shared" si="311"/>
        <v>0</v>
      </c>
      <c r="AC1568" s="22">
        <f t="shared" si="312"/>
        <v>0</v>
      </c>
      <c r="AD1568" s="22">
        <f t="shared" si="304"/>
        <v>0</v>
      </c>
      <c r="AE1568" s="22">
        <f t="shared" si="305"/>
        <v>0</v>
      </c>
      <c r="AF1568" s="19" t="str">
        <f>VLOOKUP(C1568,'2021-22 School Level AAFTE'!C:N,12,FALSE)</f>
        <v>No</v>
      </c>
    </row>
    <row r="1569" spans="1:32" s="5" customFormat="1">
      <c r="A1569" s="97" t="s">
        <v>2354</v>
      </c>
      <c r="B1569" s="97" t="s">
        <v>736</v>
      </c>
      <c r="C1569" s="95">
        <v>1534</v>
      </c>
      <c r="D1569" s="95" t="s">
        <v>737</v>
      </c>
      <c r="E1569" s="129">
        <f>VLOOKUP($C1569,'2021-22 School Level AAFTE'!$C:$Z,11,FALSE)</f>
        <v>0.72223333333333339</v>
      </c>
      <c r="F1569" s="129" t="str">
        <f>VLOOKUP($C1569,'2021-22 School Level AAFTE'!$C:$Z,8,FALSE)</f>
        <v>Yes</v>
      </c>
      <c r="G1569" s="129" t="str">
        <f>VLOOKUP($C1569,'2021-22 School Level AAFTE'!$C:$Z,12,FALSE)</f>
        <v>No</v>
      </c>
      <c r="H1569" s="127">
        <f>VLOOKUP($C1569,'2021-22 School Level AAFTE'!$C:$I,7,FALSE)</f>
        <v>4.71</v>
      </c>
      <c r="I1569" s="112">
        <f>IFERROR(IF(OR(G1569="yes",F1569= "yes"),VLOOKUP(C1569,Summary!$B:$J,6,0),0),0)</f>
        <v>0</v>
      </c>
      <c r="J1569" s="111">
        <f t="shared" si="306"/>
        <v>4.71</v>
      </c>
      <c r="K1569" s="91">
        <f>VLOOKUP($A1569,'2022-23 Salary &amp; Benefits'!$A:$I,3,FALSE)</f>
        <v>1.18</v>
      </c>
      <c r="L1569" s="91">
        <f>VLOOKUP($A1569,'2022-23 Salary &amp; Benefits'!$A:$I,4,FALSE)</f>
        <v>1.18</v>
      </c>
      <c r="M1569" s="101">
        <f t="shared" si="301"/>
        <v>4.71</v>
      </c>
      <c r="N1569" s="24">
        <v>15</v>
      </c>
      <c r="O1569" s="26">
        <f t="shared" si="302"/>
        <v>0.314</v>
      </c>
      <c r="P1569" s="24">
        <v>1.1000000000000001</v>
      </c>
      <c r="Q1569" s="24">
        <v>36</v>
      </c>
      <c r="R1569" s="27">
        <f t="shared" si="303"/>
        <v>12.434400000000002</v>
      </c>
      <c r="S1569" s="102">
        <f t="shared" si="307"/>
        <v>1.4E-2</v>
      </c>
      <c r="T1569" s="21">
        <f>VLOOKUP($A1569,'2022-23 Salary &amp; Benefits'!$A:$I,5,FALSE)</f>
        <v>68937</v>
      </c>
      <c r="U1569" s="21">
        <f>VLOOKUP($A1569,'2022-23 Salary &amp; Benefits'!$A:$I,6,FALSE)</f>
        <v>72728</v>
      </c>
      <c r="V1569" s="22">
        <f t="shared" si="308"/>
        <v>1138.8399999999999</v>
      </c>
      <c r="W1569" s="22">
        <f t="shared" si="309"/>
        <v>62.630000000000109</v>
      </c>
      <c r="X1569" s="22">
        <f>'2022-23 Salary &amp; Benefits'!$G$6</f>
        <v>12558.24</v>
      </c>
      <c r="Y1569" s="23">
        <f>'2022-23 Salary &amp; Benefits'!$H$6</f>
        <v>0.2298</v>
      </c>
      <c r="Z1569" s="23">
        <f>'2022-23 Salary &amp; Benefits'!$I$6</f>
        <v>0.22339999999999999</v>
      </c>
      <c r="AA1569" s="22">
        <f t="shared" si="310"/>
        <v>451.51</v>
      </c>
      <c r="AB1569" s="22">
        <f t="shared" si="311"/>
        <v>20.02</v>
      </c>
      <c r="AC1569" s="22">
        <f t="shared" si="312"/>
        <v>4.47</v>
      </c>
      <c r="AD1569" s="22">
        <f t="shared" si="304"/>
        <v>24.49</v>
      </c>
      <c r="AE1569" s="22">
        <f t="shared" si="305"/>
        <v>1677.47</v>
      </c>
      <c r="AF1569" s="19" t="str">
        <f>VLOOKUP(C1569,'2021-22 School Level AAFTE'!C:N,12,FALSE)</f>
        <v>No</v>
      </c>
    </row>
    <row r="1570" spans="1:32" s="5" customFormat="1">
      <c r="A1570" s="97" t="s">
        <v>2354</v>
      </c>
      <c r="B1570" s="97" t="s">
        <v>736</v>
      </c>
      <c r="C1570" s="95">
        <v>1648</v>
      </c>
      <c r="D1570" s="95" t="s">
        <v>738</v>
      </c>
      <c r="E1570" s="129">
        <f>VLOOKUP($C1570,'2021-22 School Level AAFTE'!$C:$Z,11,FALSE)</f>
        <v>0.40123333333333333</v>
      </c>
      <c r="F1570" s="129" t="str">
        <f>VLOOKUP($C1570,'2021-22 School Level AAFTE'!$C:$Z,8,FALSE)</f>
        <v>No</v>
      </c>
      <c r="G1570" s="129" t="str">
        <f>VLOOKUP($C1570,'2021-22 School Level AAFTE'!$C:$Z,12,FALSE)</f>
        <v>No</v>
      </c>
      <c r="H1570" s="127">
        <f>VLOOKUP($C1570,'2021-22 School Level AAFTE'!$C:$I,7,FALSE)</f>
        <v>15.29</v>
      </c>
      <c r="I1570" s="112">
        <f>IFERROR(IF(OR(G1570="yes",F1570= "yes"),VLOOKUP(C1570,Summary!$B:$J,6,0),0),0)</f>
        <v>0</v>
      </c>
      <c r="J1570" s="111">
        <f t="shared" si="306"/>
        <v>0</v>
      </c>
      <c r="K1570" s="91">
        <f>VLOOKUP($A1570,'2022-23 Salary &amp; Benefits'!$A:$I,3,FALSE)</f>
        <v>1.18</v>
      </c>
      <c r="L1570" s="91">
        <f>VLOOKUP($A1570,'2022-23 Salary &amp; Benefits'!$A:$I,4,FALSE)</f>
        <v>1.18</v>
      </c>
      <c r="M1570" s="39">
        <f t="shared" si="301"/>
        <v>0</v>
      </c>
      <c r="N1570" s="24">
        <v>15</v>
      </c>
      <c r="O1570" s="26">
        <f t="shared" si="302"/>
        <v>0</v>
      </c>
      <c r="P1570" s="24">
        <v>1.1000000000000001</v>
      </c>
      <c r="Q1570" s="24">
        <v>36</v>
      </c>
      <c r="R1570" s="27">
        <f t="shared" si="303"/>
        <v>0</v>
      </c>
      <c r="S1570" s="102">
        <f t="shared" si="307"/>
        <v>0</v>
      </c>
      <c r="T1570" s="21">
        <f>VLOOKUP($A1570,'2022-23 Salary &amp; Benefits'!$A:$I,5,FALSE)</f>
        <v>68937</v>
      </c>
      <c r="U1570" s="21">
        <f>VLOOKUP($A1570,'2022-23 Salary &amp; Benefits'!$A:$I,6,FALSE)</f>
        <v>72728</v>
      </c>
      <c r="V1570" s="22">
        <f t="shared" si="308"/>
        <v>0</v>
      </c>
      <c r="W1570" s="22">
        <f t="shared" si="309"/>
        <v>0</v>
      </c>
      <c r="X1570" s="22">
        <f>'2022-23 Salary &amp; Benefits'!$G$6</f>
        <v>12558.24</v>
      </c>
      <c r="Y1570" s="23">
        <f>'2022-23 Salary &amp; Benefits'!$H$6</f>
        <v>0.2298</v>
      </c>
      <c r="Z1570" s="23">
        <f>'2022-23 Salary &amp; Benefits'!$I$6</f>
        <v>0.22339999999999999</v>
      </c>
      <c r="AA1570" s="22">
        <f t="shared" si="310"/>
        <v>0</v>
      </c>
      <c r="AB1570" s="22">
        <f t="shared" si="311"/>
        <v>0</v>
      </c>
      <c r="AC1570" s="22">
        <f t="shared" si="312"/>
        <v>0</v>
      </c>
      <c r="AD1570" s="22">
        <f t="shared" si="304"/>
        <v>0</v>
      </c>
      <c r="AE1570" s="22">
        <f t="shared" si="305"/>
        <v>0</v>
      </c>
      <c r="AF1570" s="19" t="str">
        <f>VLOOKUP(C1570,'2021-22 School Level AAFTE'!C:N,12,FALSE)</f>
        <v>No</v>
      </c>
    </row>
    <row r="1571" spans="1:32" s="5" customFormat="1">
      <c r="A1571" s="97" t="s">
        <v>2354</v>
      </c>
      <c r="B1571" s="97" t="s">
        <v>736</v>
      </c>
      <c r="C1571" s="95">
        <v>1784</v>
      </c>
      <c r="D1571" s="95" t="s">
        <v>2731</v>
      </c>
      <c r="E1571" s="129">
        <f>VLOOKUP($C1571,'2021-22 School Level AAFTE'!$C:$Z,11,FALSE)</f>
        <v>0.11209999999999999</v>
      </c>
      <c r="F1571" s="129" t="str">
        <f>VLOOKUP($C1571,'2021-22 School Level AAFTE'!$C:$Z,8,FALSE)</f>
        <v>No</v>
      </c>
      <c r="G1571" s="129" t="str">
        <f>VLOOKUP($C1571,'2021-22 School Level AAFTE'!$C:$Z,12,FALSE)</f>
        <v>No</v>
      </c>
      <c r="H1571" s="127">
        <f>VLOOKUP($C1571,'2021-22 School Level AAFTE'!$C:$I,7,FALSE)</f>
        <v>121.16</v>
      </c>
      <c r="I1571" s="112">
        <f>IFERROR(IF(OR(G1571="yes",F1571= "yes"),VLOOKUP(C1571,Summary!$B:$J,6,0),0),0)</f>
        <v>0</v>
      </c>
      <c r="J1571" s="111">
        <f t="shared" si="306"/>
        <v>0</v>
      </c>
      <c r="K1571" s="91">
        <f>VLOOKUP($A1571,'2022-23 Salary &amp; Benefits'!$A:$I,3,FALSE)</f>
        <v>1.18</v>
      </c>
      <c r="L1571" s="91">
        <f>VLOOKUP($A1571,'2022-23 Salary &amp; Benefits'!$A:$I,4,FALSE)</f>
        <v>1.18</v>
      </c>
      <c r="M1571" s="101">
        <f t="shared" si="301"/>
        <v>0</v>
      </c>
      <c r="N1571" s="24">
        <v>15</v>
      </c>
      <c r="O1571" s="26">
        <f t="shared" si="302"/>
        <v>0</v>
      </c>
      <c r="P1571" s="24">
        <v>1.1000000000000001</v>
      </c>
      <c r="Q1571" s="24">
        <v>36</v>
      </c>
      <c r="R1571" s="27">
        <f t="shared" si="303"/>
        <v>0</v>
      </c>
      <c r="S1571" s="102">
        <f t="shared" si="307"/>
        <v>0</v>
      </c>
      <c r="T1571" s="21">
        <f>VLOOKUP($A1571,'2022-23 Salary &amp; Benefits'!$A:$I,5,FALSE)</f>
        <v>68937</v>
      </c>
      <c r="U1571" s="21">
        <f>VLOOKUP($A1571,'2022-23 Salary &amp; Benefits'!$A:$I,6,FALSE)</f>
        <v>72728</v>
      </c>
      <c r="V1571" s="22">
        <f t="shared" si="308"/>
        <v>0</v>
      </c>
      <c r="W1571" s="22">
        <f t="shared" si="309"/>
        <v>0</v>
      </c>
      <c r="X1571" s="22">
        <f>'2022-23 Salary &amp; Benefits'!$G$6</f>
        <v>12558.24</v>
      </c>
      <c r="Y1571" s="23">
        <f>'2022-23 Salary &amp; Benefits'!$H$6</f>
        <v>0.2298</v>
      </c>
      <c r="Z1571" s="23">
        <f>'2022-23 Salary &amp; Benefits'!$I$6</f>
        <v>0.22339999999999999</v>
      </c>
      <c r="AA1571" s="22">
        <f t="shared" si="310"/>
        <v>0</v>
      </c>
      <c r="AB1571" s="22">
        <f t="shared" si="311"/>
        <v>0</v>
      </c>
      <c r="AC1571" s="22">
        <f t="shared" si="312"/>
        <v>0</v>
      </c>
      <c r="AD1571" s="22">
        <f t="shared" si="304"/>
        <v>0</v>
      </c>
      <c r="AE1571" s="22">
        <f t="shared" si="305"/>
        <v>0</v>
      </c>
      <c r="AF1571" s="19" t="str">
        <f>VLOOKUP(C1571,'2021-22 School Level AAFTE'!C:N,12,FALSE)</f>
        <v>No</v>
      </c>
    </row>
    <row r="1572" spans="1:32" s="5" customFormat="1">
      <c r="A1572" s="97" t="s">
        <v>2354</v>
      </c>
      <c r="B1572" s="97" t="s">
        <v>736</v>
      </c>
      <c r="C1572" s="95">
        <v>2439</v>
      </c>
      <c r="D1572" s="95" t="s">
        <v>739</v>
      </c>
      <c r="E1572" s="129">
        <f>VLOOKUP($C1572,'2021-22 School Level AAFTE'!$C:$Z,11,FALSE)</f>
        <v>0.59393333333333331</v>
      </c>
      <c r="F1572" s="129" t="str">
        <f>VLOOKUP($C1572,'2021-22 School Level AAFTE'!$C:$Z,8,FALSE)</f>
        <v>Yes</v>
      </c>
      <c r="G1572" s="129" t="str">
        <f>VLOOKUP($C1572,'2021-22 School Level AAFTE'!$C:$Z,12,FALSE)</f>
        <v>No</v>
      </c>
      <c r="H1572" s="127">
        <f>VLOOKUP($C1572,'2021-22 School Level AAFTE'!$C:$I,7,FALSE)</f>
        <v>346.07</v>
      </c>
      <c r="I1572" s="112">
        <f>IFERROR(IF(OR(G1572="yes",F1572= "yes"),VLOOKUP(C1572,Summary!$B:$J,6,0),0),0)</f>
        <v>0</v>
      </c>
      <c r="J1572" s="111">
        <f t="shared" si="306"/>
        <v>346.07</v>
      </c>
      <c r="K1572" s="91">
        <f>VLOOKUP($A1572,'2022-23 Salary &amp; Benefits'!$A:$I,3,FALSE)</f>
        <v>1.18</v>
      </c>
      <c r="L1572" s="91">
        <f>VLOOKUP($A1572,'2022-23 Salary &amp; Benefits'!$A:$I,4,FALSE)</f>
        <v>1.18</v>
      </c>
      <c r="M1572" s="39">
        <f t="shared" si="301"/>
        <v>346.07</v>
      </c>
      <c r="N1572" s="24">
        <v>15</v>
      </c>
      <c r="O1572" s="26">
        <f t="shared" si="302"/>
        <v>23.071333333333332</v>
      </c>
      <c r="P1572" s="24">
        <v>1.1000000000000001</v>
      </c>
      <c r="Q1572" s="24">
        <v>36</v>
      </c>
      <c r="R1572" s="27">
        <f t="shared" si="303"/>
        <v>913.62480000000005</v>
      </c>
      <c r="S1572" s="102">
        <f t="shared" si="307"/>
        <v>1.0149999999999999</v>
      </c>
      <c r="T1572" s="21">
        <f>VLOOKUP($A1572,'2022-23 Salary &amp; Benefits'!$A:$I,5,FALSE)</f>
        <v>68937</v>
      </c>
      <c r="U1572" s="21">
        <f>VLOOKUP($A1572,'2022-23 Salary &amp; Benefits'!$A:$I,6,FALSE)</f>
        <v>72728</v>
      </c>
      <c r="V1572" s="22">
        <f t="shared" si="308"/>
        <v>82565.84</v>
      </c>
      <c r="W1572" s="22">
        <f t="shared" si="309"/>
        <v>4540.4900000000052</v>
      </c>
      <c r="X1572" s="22">
        <f>'2022-23 Salary &amp; Benefits'!$G$6</f>
        <v>12558.24</v>
      </c>
      <c r="Y1572" s="23">
        <f>'2022-23 Salary &amp; Benefits'!$H$6</f>
        <v>0.2298</v>
      </c>
      <c r="Z1572" s="23">
        <f>'2022-23 Salary &amp; Benefits'!$I$6</f>
        <v>0.22339999999999999</v>
      </c>
      <c r="AA1572" s="22">
        <f t="shared" si="310"/>
        <v>32734.59</v>
      </c>
      <c r="AB1572" s="22">
        <f t="shared" si="311"/>
        <v>1451.77</v>
      </c>
      <c r="AC1572" s="22">
        <f t="shared" si="312"/>
        <v>324.33</v>
      </c>
      <c r="AD1572" s="22">
        <f t="shared" si="304"/>
        <v>1776.1</v>
      </c>
      <c r="AE1572" s="22">
        <f t="shared" si="305"/>
        <v>121617.02</v>
      </c>
      <c r="AF1572" s="19" t="str">
        <f>VLOOKUP(C1572,'2021-22 School Level AAFTE'!C:N,12,FALSE)</f>
        <v>No</v>
      </c>
    </row>
    <row r="1573" spans="1:32" s="5" customFormat="1">
      <c r="A1573" s="97" t="s">
        <v>2354</v>
      </c>
      <c r="B1573" s="97" t="s">
        <v>736</v>
      </c>
      <c r="C1573" s="95">
        <v>2475</v>
      </c>
      <c r="D1573" s="95" t="s">
        <v>740</v>
      </c>
      <c r="E1573" s="129">
        <f>VLOOKUP($C1573,'2021-22 School Level AAFTE'!$C:$Z,11,FALSE)</f>
        <v>0.60960000000000003</v>
      </c>
      <c r="F1573" s="129" t="str">
        <f>VLOOKUP($C1573,'2021-22 School Level AAFTE'!$C:$Z,8,FALSE)</f>
        <v>Yes</v>
      </c>
      <c r="G1573" s="129" t="str">
        <f>VLOOKUP($C1573,'2021-22 School Level AAFTE'!$C:$Z,12,FALSE)</f>
        <v>No</v>
      </c>
      <c r="H1573" s="127">
        <f>VLOOKUP($C1573,'2021-22 School Level AAFTE'!$C:$I,7,FALSE)</f>
        <v>1119.93</v>
      </c>
      <c r="I1573" s="112">
        <f>IFERROR(IF(OR(G1573="yes",F1573= "yes"),VLOOKUP(C1573,Summary!$B:$J,6,0),0),0)</f>
        <v>0</v>
      </c>
      <c r="J1573" s="111">
        <f t="shared" si="306"/>
        <v>1119.93</v>
      </c>
      <c r="K1573" s="91">
        <f>VLOOKUP($A1573,'2022-23 Salary &amp; Benefits'!$A:$I,3,FALSE)</f>
        <v>1.18</v>
      </c>
      <c r="L1573" s="91">
        <f>VLOOKUP($A1573,'2022-23 Salary &amp; Benefits'!$A:$I,4,FALSE)</f>
        <v>1.18</v>
      </c>
      <c r="M1573" s="39">
        <f t="shared" si="301"/>
        <v>1119.93</v>
      </c>
      <c r="N1573" s="24">
        <v>15</v>
      </c>
      <c r="O1573" s="26">
        <f t="shared" si="302"/>
        <v>74.662000000000006</v>
      </c>
      <c r="P1573" s="24">
        <v>1.1000000000000001</v>
      </c>
      <c r="Q1573" s="24">
        <v>36</v>
      </c>
      <c r="R1573" s="27">
        <f t="shared" si="303"/>
        <v>2956.6152000000002</v>
      </c>
      <c r="S1573" s="102">
        <f t="shared" si="307"/>
        <v>3.2850000000000001</v>
      </c>
      <c r="T1573" s="21">
        <f>VLOOKUP($A1573,'2022-23 Salary &amp; Benefits'!$A:$I,5,FALSE)</f>
        <v>68937</v>
      </c>
      <c r="U1573" s="21">
        <f>VLOOKUP($A1573,'2022-23 Salary &amp; Benefits'!$A:$I,6,FALSE)</f>
        <v>72728</v>
      </c>
      <c r="V1573" s="22">
        <f t="shared" si="308"/>
        <v>267220.49</v>
      </c>
      <c r="W1573" s="22">
        <f t="shared" si="309"/>
        <v>14695.059999999998</v>
      </c>
      <c r="X1573" s="22">
        <f>'2022-23 Salary &amp; Benefits'!$G$6</f>
        <v>12558.24</v>
      </c>
      <c r="Y1573" s="23">
        <f>'2022-23 Salary &amp; Benefits'!$H$6</f>
        <v>0.2298</v>
      </c>
      <c r="Z1573" s="23">
        <f>'2022-23 Salary &amp; Benefits'!$I$6</f>
        <v>0.22339999999999999</v>
      </c>
      <c r="AA1573" s="22">
        <f t="shared" si="310"/>
        <v>105943.96</v>
      </c>
      <c r="AB1573" s="22">
        <f t="shared" si="311"/>
        <v>4698.59</v>
      </c>
      <c r="AC1573" s="22">
        <f t="shared" si="312"/>
        <v>1049.67</v>
      </c>
      <c r="AD1573" s="22">
        <f t="shared" si="304"/>
        <v>5748.26</v>
      </c>
      <c r="AE1573" s="22">
        <f t="shared" si="305"/>
        <v>393607.77</v>
      </c>
      <c r="AF1573" s="19" t="str">
        <f>VLOOKUP(C1573,'2021-22 School Level AAFTE'!C:N,12,FALSE)</f>
        <v>No</v>
      </c>
    </row>
    <row r="1574" spans="1:32" s="5" customFormat="1">
      <c r="A1574" s="97" t="s">
        <v>2354</v>
      </c>
      <c r="B1574" s="97" t="s">
        <v>736</v>
      </c>
      <c r="C1574" s="95">
        <v>2597</v>
      </c>
      <c r="D1574" s="95" t="s">
        <v>741</v>
      </c>
      <c r="E1574" s="129">
        <f>VLOOKUP($C1574,'2021-22 School Level AAFTE'!$C:$Z,11,FALSE)</f>
        <v>0.31949999999999995</v>
      </c>
      <c r="F1574" s="129" t="str">
        <f>VLOOKUP($C1574,'2021-22 School Level AAFTE'!$C:$Z,8,FALSE)</f>
        <v>No</v>
      </c>
      <c r="G1574" s="129" t="str">
        <f>VLOOKUP($C1574,'2021-22 School Level AAFTE'!$C:$Z,12,FALSE)</f>
        <v>No</v>
      </c>
      <c r="H1574" s="127">
        <f>VLOOKUP($C1574,'2021-22 School Level AAFTE'!$C:$I,7,FALSE)</f>
        <v>562.57000000000005</v>
      </c>
      <c r="I1574" s="112">
        <f>IFERROR(IF(OR(G1574="yes",F1574= "yes"),VLOOKUP(C1574,Summary!$B:$J,6,0),0),0)</f>
        <v>0</v>
      </c>
      <c r="J1574" s="111">
        <f t="shared" si="306"/>
        <v>0</v>
      </c>
      <c r="K1574" s="91">
        <f>VLOOKUP($A1574,'2022-23 Salary &amp; Benefits'!$A:$I,3,FALSE)</f>
        <v>1.18</v>
      </c>
      <c r="L1574" s="91">
        <f>VLOOKUP($A1574,'2022-23 Salary &amp; Benefits'!$A:$I,4,FALSE)</f>
        <v>1.18</v>
      </c>
      <c r="M1574" s="101">
        <f t="shared" si="301"/>
        <v>0</v>
      </c>
      <c r="N1574" s="24">
        <v>15</v>
      </c>
      <c r="O1574" s="26">
        <f t="shared" si="302"/>
        <v>0</v>
      </c>
      <c r="P1574" s="24">
        <v>1.1000000000000001</v>
      </c>
      <c r="Q1574" s="24">
        <v>36</v>
      </c>
      <c r="R1574" s="27">
        <f t="shared" si="303"/>
        <v>0</v>
      </c>
      <c r="S1574" s="102">
        <f t="shared" si="307"/>
        <v>0</v>
      </c>
      <c r="T1574" s="21">
        <f>VLOOKUP($A1574,'2022-23 Salary &amp; Benefits'!$A:$I,5,FALSE)</f>
        <v>68937</v>
      </c>
      <c r="U1574" s="21">
        <f>VLOOKUP($A1574,'2022-23 Salary &amp; Benefits'!$A:$I,6,FALSE)</f>
        <v>72728</v>
      </c>
      <c r="V1574" s="22">
        <f t="shared" si="308"/>
        <v>0</v>
      </c>
      <c r="W1574" s="22">
        <f t="shared" si="309"/>
        <v>0</v>
      </c>
      <c r="X1574" s="22">
        <f>'2022-23 Salary &amp; Benefits'!$G$6</f>
        <v>12558.24</v>
      </c>
      <c r="Y1574" s="23">
        <f>'2022-23 Salary &amp; Benefits'!$H$6</f>
        <v>0.2298</v>
      </c>
      <c r="Z1574" s="23">
        <f>'2022-23 Salary &amp; Benefits'!$I$6</f>
        <v>0.22339999999999999</v>
      </c>
      <c r="AA1574" s="22">
        <f t="shared" si="310"/>
        <v>0</v>
      </c>
      <c r="AB1574" s="22">
        <f t="shared" si="311"/>
        <v>0</v>
      </c>
      <c r="AC1574" s="22">
        <f t="shared" si="312"/>
        <v>0</v>
      </c>
      <c r="AD1574" s="22">
        <f t="shared" si="304"/>
        <v>0</v>
      </c>
      <c r="AE1574" s="22">
        <f t="shared" si="305"/>
        <v>0</v>
      </c>
      <c r="AF1574" s="19" t="str">
        <f>VLOOKUP(C1574,'2021-22 School Level AAFTE'!C:N,12,FALSE)</f>
        <v>No</v>
      </c>
    </row>
    <row r="1575" spans="1:32" s="5" customFormat="1">
      <c r="A1575" s="97" t="s">
        <v>2354</v>
      </c>
      <c r="B1575" s="97" t="s">
        <v>736</v>
      </c>
      <c r="C1575" s="95">
        <v>2640</v>
      </c>
      <c r="D1575" s="95" t="s">
        <v>742</v>
      </c>
      <c r="E1575" s="129">
        <f>VLOOKUP($C1575,'2021-22 School Level AAFTE'!$C:$Z,11,FALSE)</f>
        <v>0.6539666666666667</v>
      </c>
      <c r="F1575" s="129" t="str">
        <f>VLOOKUP($C1575,'2021-22 School Level AAFTE'!$C:$Z,8,FALSE)</f>
        <v>Yes</v>
      </c>
      <c r="G1575" s="129" t="str">
        <f>VLOOKUP($C1575,'2021-22 School Level AAFTE'!$C:$Z,12,FALSE)</f>
        <v>No</v>
      </c>
      <c r="H1575" s="127">
        <f>VLOOKUP($C1575,'2021-22 School Level AAFTE'!$C:$I,7,FALSE)</f>
        <v>438.45</v>
      </c>
      <c r="I1575" s="112">
        <f>IFERROR(IF(OR(G1575="yes",F1575= "yes"),VLOOKUP(C1575,Summary!$B:$J,6,0),0),0)</f>
        <v>0</v>
      </c>
      <c r="J1575" s="111">
        <f t="shared" si="306"/>
        <v>438.45</v>
      </c>
      <c r="K1575" s="91">
        <f>VLOOKUP($A1575,'2022-23 Salary &amp; Benefits'!$A:$I,3,FALSE)</f>
        <v>1.18</v>
      </c>
      <c r="L1575" s="91">
        <f>VLOOKUP($A1575,'2022-23 Salary &amp; Benefits'!$A:$I,4,FALSE)</f>
        <v>1.18</v>
      </c>
      <c r="M1575" s="39">
        <f t="shared" si="301"/>
        <v>438.45</v>
      </c>
      <c r="N1575" s="24">
        <v>15</v>
      </c>
      <c r="O1575" s="26">
        <f t="shared" si="302"/>
        <v>29.23</v>
      </c>
      <c r="P1575" s="24">
        <v>1.1000000000000001</v>
      </c>
      <c r="Q1575" s="24">
        <v>36</v>
      </c>
      <c r="R1575" s="27">
        <f t="shared" si="303"/>
        <v>1157.5080000000003</v>
      </c>
      <c r="S1575" s="102">
        <f t="shared" si="307"/>
        <v>1.286</v>
      </c>
      <c r="T1575" s="21">
        <f>VLOOKUP($A1575,'2022-23 Salary &amp; Benefits'!$A:$I,5,FALSE)</f>
        <v>68937</v>
      </c>
      <c r="U1575" s="21">
        <f>VLOOKUP($A1575,'2022-23 Salary &amp; Benefits'!$A:$I,6,FALSE)</f>
        <v>72728</v>
      </c>
      <c r="V1575" s="22">
        <f t="shared" si="308"/>
        <v>104610.52</v>
      </c>
      <c r="W1575" s="22">
        <f t="shared" si="309"/>
        <v>5752.7699999999895</v>
      </c>
      <c r="X1575" s="22">
        <f>'2022-23 Salary &amp; Benefits'!$G$6</f>
        <v>12558.24</v>
      </c>
      <c r="Y1575" s="23">
        <f>'2022-23 Salary &amp; Benefits'!$H$6</f>
        <v>0.2298</v>
      </c>
      <c r="Z1575" s="23">
        <f>'2022-23 Salary &amp; Benefits'!$I$6</f>
        <v>0.22339999999999999</v>
      </c>
      <c r="AA1575" s="22">
        <f t="shared" si="310"/>
        <v>41474.559999999998</v>
      </c>
      <c r="AB1575" s="22">
        <f t="shared" si="311"/>
        <v>1839.39</v>
      </c>
      <c r="AC1575" s="22">
        <f t="shared" si="312"/>
        <v>410.92</v>
      </c>
      <c r="AD1575" s="22">
        <f t="shared" si="304"/>
        <v>2250.31</v>
      </c>
      <c r="AE1575" s="22">
        <f t="shared" si="305"/>
        <v>154088.16</v>
      </c>
      <c r="AF1575" s="19" t="str">
        <f>VLOOKUP(C1575,'2021-22 School Level AAFTE'!C:N,12,FALSE)</f>
        <v>No</v>
      </c>
    </row>
    <row r="1576" spans="1:32" s="5" customFormat="1">
      <c r="A1576" s="97" t="s">
        <v>2354</v>
      </c>
      <c r="B1576" s="97" t="s">
        <v>736</v>
      </c>
      <c r="C1576" s="95">
        <v>2929</v>
      </c>
      <c r="D1576" s="95" t="s">
        <v>696</v>
      </c>
      <c r="E1576" s="129">
        <f>VLOOKUP($C1576,'2021-22 School Level AAFTE'!$C:$Z,11,FALSE)</f>
        <v>0.71606666666666652</v>
      </c>
      <c r="F1576" s="129" t="str">
        <f>VLOOKUP($C1576,'2021-22 School Level AAFTE'!$C:$Z,8,FALSE)</f>
        <v>Yes</v>
      </c>
      <c r="G1576" s="129" t="str">
        <f>VLOOKUP($C1576,'2021-22 School Level AAFTE'!$C:$Z,12,FALSE)</f>
        <v>No</v>
      </c>
      <c r="H1576" s="127">
        <f>VLOOKUP($C1576,'2021-22 School Level AAFTE'!$C:$I,7,FALSE)</f>
        <v>339.86</v>
      </c>
      <c r="I1576" s="112">
        <f>IFERROR(IF(OR(G1576="yes",F1576= "yes"),VLOOKUP(C1576,Summary!$B:$J,6,0),0),0)</f>
        <v>0</v>
      </c>
      <c r="J1576" s="111">
        <f t="shared" si="306"/>
        <v>339.86</v>
      </c>
      <c r="K1576" s="91">
        <f>VLOOKUP($A1576,'2022-23 Salary &amp; Benefits'!$A:$I,3,FALSE)</f>
        <v>1.18</v>
      </c>
      <c r="L1576" s="91">
        <f>VLOOKUP($A1576,'2022-23 Salary &amp; Benefits'!$A:$I,4,FALSE)</f>
        <v>1.18</v>
      </c>
      <c r="M1576" s="39">
        <f t="shared" si="301"/>
        <v>339.86</v>
      </c>
      <c r="N1576" s="24">
        <v>15</v>
      </c>
      <c r="O1576" s="26">
        <f t="shared" si="302"/>
        <v>22.657333333333334</v>
      </c>
      <c r="P1576" s="24">
        <v>1.1000000000000001</v>
      </c>
      <c r="Q1576" s="24">
        <v>36</v>
      </c>
      <c r="R1576" s="27">
        <f t="shared" si="303"/>
        <v>897.23040000000015</v>
      </c>
      <c r="S1576" s="102">
        <f t="shared" si="307"/>
        <v>0.997</v>
      </c>
      <c r="T1576" s="21">
        <f>VLOOKUP($A1576,'2022-23 Salary &amp; Benefits'!$A:$I,5,FALSE)</f>
        <v>68937</v>
      </c>
      <c r="U1576" s="21">
        <f>VLOOKUP($A1576,'2022-23 Salary &amp; Benefits'!$A:$I,6,FALSE)</f>
        <v>72728</v>
      </c>
      <c r="V1576" s="22">
        <f t="shared" si="308"/>
        <v>81101.62</v>
      </c>
      <c r="W1576" s="22">
        <f t="shared" si="309"/>
        <v>4459.9600000000064</v>
      </c>
      <c r="X1576" s="22">
        <f>'2022-23 Salary &amp; Benefits'!$G$6</f>
        <v>12558.24</v>
      </c>
      <c r="Y1576" s="23">
        <f>'2022-23 Salary &amp; Benefits'!$H$6</f>
        <v>0.2298</v>
      </c>
      <c r="Z1576" s="23">
        <f>'2022-23 Salary &amp; Benefits'!$I$6</f>
        <v>0.22339999999999999</v>
      </c>
      <c r="AA1576" s="22">
        <f t="shared" si="310"/>
        <v>32154.07</v>
      </c>
      <c r="AB1576" s="22">
        <f t="shared" si="311"/>
        <v>1426.03</v>
      </c>
      <c r="AC1576" s="22">
        <f t="shared" si="312"/>
        <v>318.58</v>
      </c>
      <c r="AD1576" s="22">
        <f t="shared" si="304"/>
        <v>1744.61</v>
      </c>
      <c r="AE1576" s="22">
        <f t="shared" si="305"/>
        <v>119460.26000000001</v>
      </c>
      <c r="AF1576" s="19" t="str">
        <f>VLOOKUP(C1576,'2021-22 School Level AAFTE'!C:N,12,FALSE)</f>
        <v>No</v>
      </c>
    </row>
    <row r="1577" spans="1:32" s="5" customFormat="1">
      <c r="A1577" s="97" t="s">
        <v>2354</v>
      </c>
      <c r="B1577" s="97" t="s">
        <v>736</v>
      </c>
      <c r="C1577" s="95">
        <v>3034</v>
      </c>
      <c r="D1577" s="95" t="s">
        <v>743</v>
      </c>
      <c r="E1577" s="129">
        <f>VLOOKUP($C1577,'2021-22 School Level AAFTE'!$C:$Z,11,FALSE)</f>
        <v>0.69523333333333337</v>
      </c>
      <c r="F1577" s="129" t="str">
        <f>VLOOKUP($C1577,'2021-22 School Level AAFTE'!$C:$Z,8,FALSE)</f>
        <v>Yes</v>
      </c>
      <c r="G1577" s="129" t="str">
        <f>VLOOKUP($C1577,'2021-22 School Level AAFTE'!$C:$Z,12,FALSE)</f>
        <v>No</v>
      </c>
      <c r="H1577" s="127">
        <f>VLOOKUP($C1577,'2021-22 School Level AAFTE'!$C:$I,7,FALSE)</f>
        <v>319.14999999999998</v>
      </c>
      <c r="I1577" s="112">
        <f>IFERROR(IF(OR(G1577="yes",F1577= "yes"),VLOOKUP(C1577,Summary!$B:$J,6,0),0),0)</f>
        <v>0</v>
      </c>
      <c r="J1577" s="111">
        <f t="shared" si="306"/>
        <v>319.14999999999998</v>
      </c>
      <c r="K1577" s="91">
        <f>VLOOKUP($A1577,'2022-23 Salary &amp; Benefits'!$A:$I,3,FALSE)</f>
        <v>1.18</v>
      </c>
      <c r="L1577" s="91">
        <f>VLOOKUP($A1577,'2022-23 Salary &amp; Benefits'!$A:$I,4,FALSE)</f>
        <v>1.18</v>
      </c>
      <c r="M1577" s="39">
        <f t="shared" si="301"/>
        <v>319.14999999999998</v>
      </c>
      <c r="N1577" s="24">
        <v>15</v>
      </c>
      <c r="O1577" s="26">
        <f t="shared" si="302"/>
        <v>21.276666666666664</v>
      </c>
      <c r="P1577" s="24">
        <v>1.1000000000000001</v>
      </c>
      <c r="Q1577" s="24">
        <v>36</v>
      </c>
      <c r="R1577" s="27">
        <f t="shared" si="303"/>
        <v>842.55600000000004</v>
      </c>
      <c r="S1577" s="102">
        <f t="shared" si="307"/>
        <v>0.93600000000000005</v>
      </c>
      <c r="T1577" s="21">
        <f>VLOOKUP($A1577,'2022-23 Salary &amp; Benefits'!$A:$I,5,FALSE)</f>
        <v>68937</v>
      </c>
      <c r="U1577" s="21">
        <f>VLOOKUP($A1577,'2022-23 Salary &amp; Benefits'!$A:$I,6,FALSE)</f>
        <v>72728</v>
      </c>
      <c r="V1577" s="22">
        <f t="shared" si="308"/>
        <v>76139.539999999994</v>
      </c>
      <c r="W1577" s="22">
        <f t="shared" si="309"/>
        <v>4187.0800000000017</v>
      </c>
      <c r="X1577" s="22">
        <f>'2022-23 Salary &amp; Benefits'!$G$6</f>
        <v>12558.24</v>
      </c>
      <c r="Y1577" s="23">
        <f>'2022-23 Salary &amp; Benefits'!$H$6</f>
        <v>0.2298</v>
      </c>
      <c r="Z1577" s="23">
        <f>'2022-23 Salary &amp; Benefits'!$I$6</f>
        <v>0.22339999999999999</v>
      </c>
      <c r="AA1577" s="22">
        <f t="shared" si="310"/>
        <v>30186.77</v>
      </c>
      <c r="AB1577" s="22">
        <f t="shared" si="311"/>
        <v>1338.78</v>
      </c>
      <c r="AC1577" s="22">
        <f t="shared" si="312"/>
        <v>299.08</v>
      </c>
      <c r="AD1577" s="22">
        <f t="shared" si="304"/>
        <v>1637.86</v>
      </c>
      <c r="AE1577" s="22">
        <f t="shared" si="305"/>
        <v>112151.25</v>
      </c>
      <c r="AF1577" s="19" t="str">
        <f>VLOOKUP(C1577,'2021-22 School Level AAFTE'!C:N,12,FALSE)</f>
        <v>No</v>
      </c>
    </row>
    <row r="1578" spans="1:32" s="5" customFormat="1">
      <c r="A1578" s="97" t="s">
        <v>2354</v>
      </c>
      <c r="B1578" s="97" t="s">
        <v>736</v>
      </c>
      <c r="C1578" s="95">
        <v>3035</v>
      </c>
      <c r="D1578" s="95" t="s">
        <v>744</v>
      </c>
      <c r="E1578" s="129">
        <f>VLOOKUP($C1578,'2021-22 School Level AAFTE'!$C:$Z,11,FALSE)</f>
        <v>0.47939999999999999</v>
      </c>
      <c r="F1578" s="129" t="str">
        <f>VLOOKUP($C1578,'2021-22 School Level AAFTE'!$C:$Z,8,FALSE)</f>
        <v>No</v>
      </c>
      <c r="G1578" s="129" t="str">
        <f>VLOOKUP($C1578,'2021-22 School Level AAFTE'!$C:$Z,12,FALSE)</f>
        <v>No</v>
      </c>
      <c r="H1578" s="127">
        <f>VLOOKUP($C1578,'2021-22 School Level AAFTE'!$C:$I,7,FALSE)</f>
        <v>885.11</v>
      </c>
      <c r="I1578" s="112">
        <f>IFERROR(IF(OR(G1578="yes",F1578= "yes"),VLOOKUP(C1578,Summary!$B:$J,6,0),0),0)</f>
        <v>0</v>
      </c>
      <c r="J1578" s="111">
        <f t="shared" si="306"/>
        <v>0</v>
      </c>
      <c r="K1578" s="91">
        <f>VLOOKUP($A1578,'2022-23 Salary &amp; Benefits'!$A:$I,3,FALSE)</f>
        <v>1.18</v>
      </c>
      <c r="L1578" s="91">
        <f>VLOOKUP($A1578,'2022-23 Salary &amp; Benefits'!$A:$I,4,FALSE)</f>
        <v>1.18</v>
      </c>
      <c r="M1578" s="101">
        <f t="shared" si="301"/>
        <v>0</v>
      </c>
      <c r="N1578" s="24">
        <v>15</v>
      </c>
      <c r="O1578" s="26">
        <f t="shared" si="302"/>
        <v>0</v>
      </c>
      <c r="P1578" s="24">
        <v>1.1000000000000001</v>
      </c>
      <c r="Q1578" s="24">
        <v>36</v>
      </c>
      <c r="R1578" s="27">
        <f t="shared" si="303"/>
        <v>0</v>
      </c>
      <c r="S1578" s="102">
        <f t="shared" si="307"/>
        <v>0</v>
      </c>
      <c r="T1578" s="21">
        <f>VLOOKUP($A1578,'2022-23 Salary &amp; Benefits'!$A:$I,5,FALSE)</f>
        <v>68937</v>
      </c>
      <c r="U1578" s="21">
        <f>VLOOKUP($A1578,'2022-23 Salary &amp; Benefits'!$A:$I,6,FALSE)</f>
        <v>72728</v>
      </c>
      <c r="V1578" s="22">
        <f t="shared" si="308"/>
        <v>0</v>
      </c>
      <c r="W1578" s="22">
        <f t="shared" si="309"/>
        <v>0</v>
      </c>
      <c r="X1578" s="22">
        <f>'2022-23 Salary &amp; Benefits'!$G$6</f>
        <v>12558.24</v>
      </c>
      <c r="Y1578" s="23">
        <f>'2022-23 Salary &amp; Benefits'!$H$6</f>
        <v>0.2298</v>
      </c>
      <c r="Z1578" s="23">
        <f>'2022-23 Salary &amp; Benefits'!$I$6</f>
        <v>0.22339999999999999</v>
      </c>
      <c r="AA1578" s="22">
        <f t="shared" si="310"/>
        <v>0</v>
      </c>
      <c r="AB1578" s="22">
        <f t="shared" si="311"/>
        <v>0</v>
      </c>
      <c r="AC1578" s="22">
        <f t="shared" si="312"/>
        <v>0</v>
      </c>
      <c r="AD1578" s="22">
        <f t="shared" si="304"/>
        <v>0</v>
      </c>
      <c r="AE1578" s="22">
        <f t="shared" si="305"/>
        <v>0</v>
      </c>
      <c r="AF1578" s="19" t="str">
        <f>VLOOKUP(C1578,'2021-22 School Level AAFTE'!C:N,12,FALSE)</f>
        <v>No</v>
      </c>
    </row>
    <row r="1579" spans="1:32" s="5" customFormat="1">
      <c r="A1579" s="97" t="s">
        <v>2354</v>
      </c>
      <c r="B1579" s="97" t="s">
        <v>736</v>
      </c>
      <c r="C1579" s="95">
        <v>3280</v>
      </c>
      <c r="D1579" s="95" t="s">
        <v>745</v>
      </c>
      <c r="E1579" s="129">
        <f>VLOOKUP($C1579,'2021-22 School Level AAFTE'!$C:$Z,11,FALSE)</f>
        <v>0.65813333333333335</v>
      </c>
      <c r="F1579" s="129" t="str">
        <f>VLOOKUP($C1579,'2021-22 School Level AAFTE'!$C:$Z,8,FALSE)</f>
        <v>Yes</v>
      </c>
      <c r="G1579" s="129" t="str">
        <f>VLOOKUP($C1579,'2021-22 School Level AAFTE'!$C:$Z,12,FALSE)</f>
        <v>No</v>
      </c>
      <c r="H1579" s="127">
        <f>VLOOKUP($C1579,'2021-22 School Level AAFTE'!$C:$I,7,FALSE)</f>
        <v>643.30999999999995</v>
      </c>
      <c r="I1579" s="112">
        <f>IFERROR(IF(OR(G1579="yes",F1579= "yes"),VLOOKUP(C1579,Summary!$B:$J,6,0),0),0)</f>
        <v>0</v>
      </c>
      <c r="J1579" s="111">
        <f t="shared" si="306"/>
        <v>643.30999999999995</v>
      </c>
      <c r="K1579" s="91">
        <f>VLOOKUP($A1579,'2022-23 Salary &amp; Benefits'!$A:$I,3,FALSE)</f>
        <v>1.18</v>
      </c>
      <c r="L1579" s="91">
        <f>VLOOKUP($A1579,'2022-23 Salary &amp; Benefits'!$A:$I,4,FALSE)</f>
        <v>1.18</v>
      </c>
      <c r="M1579" s="101">
        <f t="shared" si="301"/>
        <v>643.30999999999995</v>
      </c>
      <c r="N1579" s="24">
        <v>15</v>
      </c>
      <c r="O1579" s="26">
        <f t="shared" si="302"/>
        <v>42.887333333333331</v>
      </c>
      <c r="P1579" s="24">
        <v>1.1000000000000001</v>
      </c>
      <c r="Q1579" s="24">
        <v>36</v>
      </c>
      <c r="R1579" s="27">
        <f t="shared" si="303"/>
        <v>1698.3384000000001</v>
      </c>
      <c r="S1579" s="102">
        <f t="shared" si="307"/>
        <v>1.887</v>
      </c>
      <c r="T1579" s="21">
        <f>VLOOKUP($A1579,'2022-23 Salary &amp; Benefits'!$A:$I,5,FALSE)</f>
        <v>68937</v>
      </c>
      <c r="U1579" s="21">
        <f>VLOOKUP($A1579,'2022-23 Salary &amp; Benefits'!$A:$I,6,FALSE)</f>
        <v>72728</v>
      </c>
      <c r="V1579" s="22">
        <f t="shared" si="308"/>
        <v>153499.26</v>
      </c>
      <c r="W1579" s="22">
        <f t="shared" si="309"/>
        <v>8441.2699999999895</v>
      </c>
      <c r="X1579" s="22">
        <f>'2022-23 Salary &amp; Benefits'!$G$6</f>
        <v>12558.24</v>
      </c>
      <c r="Y1579" s="23">
        <f>'2022-23 Salary &amp; Benefits'!$H$6</f>
        <v>0.2298</v>
      </c>
      <c r="Z1579" s="23">
        <f>'2022-23 Salary &amp; Benefits'!$I$6</f>
        <v>0.22339999999999999</v>
      </c>
      <c r="AA1579" s="22">
        <f t="shared" si="310"/>
        <v>60857.31</v>
      </c>
      <c r="AB1579" s="22">
        <f t="shared" si="311"/>
        <v>2699.01</v>
      </c>
      <c r="AC1579" s="22">
        <f t="shared" si="312"/>
        <v>602.96</v>
      </c>
      <c r="AD1579" s="22">
        <f t="shared" si="304"/>
        <v>3301.9700000000003</v>
      </c>
      <c r="AE1579" s="22">
        <f t="shared" si="305"/>
        <v>226099.81</v>
      </c>
      <c r="AF1579" s="19" t="str">
        <f>VLOOKUP(C1579,'2021-22 School Level AAFTE'!C:N,12,FALSE)</f>
        <v>No</v>
      </c>
    </row>
    <row r="1580" spans="1:32" s="5" customFormat="1">
      <c r="A1580" s="97" t="s">
        <v>2354</v>
      </c>
      <c r="B1580" s="97" t="s">
        <v>736</v>
      </c>
      <c r="C1580" s="95">
        <v>3337</v>
      </c>
      <c r="D1580" s="95" t="s">
        <v>51</v>
      </c>
      <c r="E1580" s="129">
        <f>VLOOKUP($C1580,'2021-22 School Level AAFTE'!$C:$Z,11,FALSE)</f>
        <v>0.59843333333333337</v>
      </c>
      <c r="F1580" s="129" t="str">
        <f>VLOOKUP($C1580,'2021-22 School Level AAFTE'!$C:$Z,8,FALSE)</f>
        <v>Yes</v>
      </c>
      <c r="G1580" s="129" t="str">
        <f>VLOOKUP($C1580,'2021-22 School Level AAFTE'!$C:$Z,12,FALSE)</f>
        <v>No</v>
      </c>
      <c r="H1580" s="127">
        <f>VLOOKUP($C1580,'2021-22 School Level AAFTE'!$C:$I,7,FALSE)</f>
        <v>368.68</v>
      </c>
      <c r="I1580" s="112">
        <f>IFERROR(IF(OR(G1580="yes",F1580= "yes"),VLOOKUP(C1580,Summary!$B:$J,6,0),0),0)</f>
        <v>0</v>
      </c>
      <c r="J1580" s="111">
        <f t="shared" si="306"/>
        <v>368.68</v>
      </c>
      <c r="K1580" s="91">
        <f>VLOOKUP($A1580,'2022-23 Salary &amp; Benefits'!$A:$I,3,FALSE)</f>
        <v>1.18</v>
      </c>
      <c r="L1580" s="91">
        <f>VLOOKUP($A1580,'2022-23 Salary &amp; Benefits'!$A:$I,4,FALSE)</f>
        <v>1.18</v>
      </c>
      <c r="M1580" s="39">
        <f t="shared" si="301"/>
        <v>368.68</v>
      </c>
      <c r="N1580" s="24">
        <v>15</v>
      </c>
      <c r="O1580" s="26">
        <f t="shared" si="302"/>
        <v>24.578666666666667</v>
      </c>
      <c r="P1580" s="24">
        <v>1.1000000000000001</v>
      </c>
      <c r="Q1580" s="24">
        <v>36</v>
      </c>
      <c r="R1580" s="27">
        <f t="shared" si="303"/>
        <v>973.3152</v>
      </c>
      <c r="S1580" s="102">
        <f t="shared" si="307"/>
        <v>1.081</v>
      </c>
      <c r="T1580" s="21">
        <f>VLOOKUP($A1580,'2022-23 Salary &amp; Benefits'!$A:$I,5,FALSE)</f>
        <v>68937</v>
      </c>
      <c r="U1580" s="21">
        <f>VLOOKUP($A1580,'2022-23 Salary &amp; Benefits'!$A:$I,6,FALSE)</f>
        <v>72728</v>
      </c>
      <c r="V1580" s="22">
        <f t="shared" si="308"/>
        <v>87934.66</v>
      </c>
      <c r="W1580" s="22">
        <f t="shared" si="309"/>
        <v>4835.7200000000012</v>
      </c>
      <c r="X1580" s="22">
        <f>'2022-23 Salary &amp; Benefits'!$G$6</f>
        <v>12558.24</v>
      </c>
      <c r="Y1580" s="23">
        <f>'2022-23 Salary &amp; Benefits'!$H$6</f>
        <v>0.2298</v>
      </c>
      <c r="Z1580" s="23">
        <f>'2022-23 Salary &amp; Benefits'!$I$6</f>
        <v>0.22339999999999999</v>
      </c>
      <c r="AA1580" s="22">
        <f t="shared" si="310"/>
        <v>34863.14</v>
      </c>
      <c r="AB1580" s="22">
        <f t="shared" si="311"/>
        <v>1546.17</v>
      </c>
      <c r="AC1580" s="22">
        <f t="shared" si="312"/>
        <v>345.41</v>
      </c>
      <c r="AD1580" s="22">
        <f t="shared" si="304"/>
        <v>1891.5800000000002</v>
      </c>
      <c r="AE1580" s="22">
        <f t="shared" si="305"/>
        <v>129525.1</v>
      </c>
      <c r="AF1580" s="19" t="str">
        <f>VLOOKUP(C1580,'2021-22 School Level AAFTE'!C:N,12,FALSE)</f>
        <v>No</v>
      </c>
    </row>
    <row r="1581" spans="1:32" s="5" customFormat="1">
      <c r="A1581" s="97" t="s">
        <v>2354</v>
      </c>
      <c r="B1581" s="97" t="s">
        <v>736</v>
      </c>
      <c r="C1581" s="95">
        <v>3434</v>
      </c>
      <c r="D1581" s="95" t="s">
        <v>746</v>
      </c>
      <c r="E1581" s="129">
        <f>VLOOKUP($C1581,'2021-22 School Level AAFTE'!$C:$Z,11,FALSE)</f>
        <v>0.55673333333333341</v>
      </c>
      <c r="F1581" s="129" t="str">
        <f>VLOOKUP($C1581,'2021-22 School Level AAFTE'!$C:$Z,8,FALSE)</f>
        <v>Yes</v>
      </c>
      <c r="G1581" s="129" t="str">
        <f>VLOOKUP($C1581,'2021-22 School Level AAFTE'!$C:$Z,12,FALSE)</f>
        <v>No</v>
      </c>
      <c r="H1581" s="127">
        <f>VLOOKUP($C1581,'2021-22 School Level AAFTE'!$C:$I,7,FALSE)</f>
        <v>908.84</v>
      </c>
      <c r="I1581" s="112">
        <f>IFERROR(IF(OR(G1581="yes",F1581= "yes"),VLOOKUP(C1581,Summary!$B:$J,6,0),0),0)</f>
        <v>0</v>
      </c>
      <c r="J1581" s="111">
        <f t="shared" si="306"/>
        <v>908.84</v>
      </c>
      <c r="K1581" s="91">
        <f>VLOOKUP($A1581,'2022-23 Salary &amp; Benefits'!$A:$I,3,FALSE)</f>
        <v>1.18</v>
      </c>
      <c r="L1581" s="91">
        <f>VLOOKUP($A1581,'2022-23 Salary &amp; Benefits'!$A:$I,4,FALSE)</f>
        <v>1.18</v>
      </c>
      <c r="M1581" s="101">
        <f t="shared" si="301"/>
        <v>908.84</v>
      </c>
      <c r="N1581" s="24">
        <v>15</v>
      </c>
      <c r="O1581" s="26">
        <f t="shared" si="302"/>
        <v>60.589333333333336</v>
      </c>
      <c r="P1581" s="24">
        <v>1.1000000000000001</v>
      </c>
      <c r="Q1581" s="24">
        <v>36</v>
      </c>
      <c r="R1581" s="27">
        <f t="shared" si="303"/>
        <v>2399.3376000000003</v>
      </c>
      <c r="S1581" s="102">
        <f t="shared" si="307"/>
        <v>2.6659999999999999</v>
      </c>
      <c r="T1581" s="21">
        <f>VLOOKUP($A1581,'2022-23 Salary &amp; Benefits'!$A:$I,5,FALSE)</f>
        <v>68937</v>
      </c>
      <c r="U1581" s="21">
        <f>VLOOKUP($A1581,'2022-23 Salary &amp; Benefits'!$A:$I,6,FALSE)</f>
        <v>72728</v>
      </c>
      <c r="V1581" s="22">
        <f t="shared" si="308"/>
        <v>216867.53</v>
      </c>
      <c r="W1581" s="22">
        <f t="shared" si="309"/>
        <v>11926.029999999999</v>
      </c>
      <c r="X1581" s="22">
        <f>'2022-23 Salary &amp; Benefits'!$G$6</f>
        <v>12558.24</v>
      </c>
      <c r="Y1581" s="23">
        <f>'2022-23 Salary &amp; Benefits'!$H$6</f>
        <v>0.2298</v>
      </c>
      <c r="Z1581" s="23">
        <f>'2022-23 Salary &amp; Benefits'!$I$6</f>
        <v>0.22339999999999999</v>
      </c>
      <c r="AA1581" s="22">
        <f t="shared" si="310"/>
        <v>85980.7</v>
      </c>
      <c r="AB1581" s="22">
        <f t="shared" si="311"/>
        <v>3813.23</v>
      </c>
      <c r="AC1581" s="22">
        <f t="shared" si="312"/>
        <v>851.88</v>
      </c>
      <c r="AD1581" s="22">
        <f t="shared" si="304"/>
        <v>4665.1099999999997</v>
      </c>
      <c r="AE1581" s="22">
        <f t="shared" si="305"/>
        <v>319439.37</v>
      </c>
      <c r="AF1581" s="19" t="str">
        <f>VLOOKUP(C1581,'2021-22 School Level AAFTE'!C:N,12,FALSE)</f>
        <v>No</v>
      </c>
    </row>
    <row r="1582" spans="1:32" s="5" customFormat="1">
      <c r="A1582" s="97" t="s">
        <v>2354</v>
      </c>
      <c r="B1582" s="97" t="s">
        <v>736</v>
      </c>
      <c r="C1582" s="95">
        <v>3485</v>
      </c>
      <c r="D1582" s="95" t="s">
        <v>747</v>
      </c>
      <c r="E1582" s="129">
        <f>VLOOKUP($C1582,'2021-22 School Level AAFTE'!$C:$Z,11,FALSE)</f>
        <v>0.18136666666666668</v>
      </c>
      <c r="F1582" s="129" t="str">
        <f>VLOOKUP($C1582,'2021-22 School Level AAFTE'!$C:$Z,8,FALSE)</f>
        <v>No</v>
      </c>
      <c r="G1582" s="129" t="str">
        <f>VLOOKUP($C1582,'2021-22 School Level AAFTE'!$C:$Z,12,FALSE)</f>
        <v>No</v>
      </c>
      <c r="H1582" s="127">
        <f>VLOOKUP($C1582,'2021-22 School Level AAFTE'!$C:$I,7,FALSE)</f>
        <v>512.45000000000005</v>
      </c>
      <c r="I1582" s="112">
        <f>IFERROR(IF(OR(G1582="yes",F1582= "yes"),VLOOKUP(C1582,Summary!$B:$J,6,0),0),0)</f>
        <v>0</v>
      </c>
      <c r="J1582" s="111">
        <f t="shared" si="306"/>
        <v>0</v>
      </c>
      <c r="K1582" s="91">
        <f>VLOOKUP($A1582,'2022-23 Salary &amp; Benefits'!$A:$I,3,FALSE)</f>
        <v>1.18</v>
      </c>
      <c r="L1582" s="91">
        <f>VLOOKUP($A1582,'2022-23 Salary &amp; Benefits'!$A:$I,4,FALSE)</f>
        <v>1.18</v>
      </c>
      <c r="M1582" s="39">
        <f t="shared" si="301"/>
        <v>0</v>
      </c>
      <c r="N1582" s="24">
        <v>15</v>
      </c>
      <c r="O1582" s="26">
        <f t="shared" si="302"/>
        <v>0</v>
      </c>
      <c r="P1582" s="24">
        <v>1.1000000000000001</v>
      </c>
      <c r="Q1582" s="24">
        <v>36</v>
      </c>
      <c r="R1582" s="27">
        <f t="shared" si="303"/>
        <v>0</v>
      </c>
      <c r="S1582" s="102">
        <f t="shared" si="307"/>
        <v>0</v>
      </c>
      <c r="T1582" s="21">
        <f>VLOOKUP($A1582,'2022-23 Salary &amp; Benefits'!$A:$I,5,FALSE)</f>
        <v>68937</v>
      </c>
      <c r="U1582" s="21">
        <f>VLOOKUP($A1582,'2022-23 Salary &amp; Benefits'!$A:$I,6,FALSE)</f>
        <v>72728</v>
      </c>
      <c r="V1582" s="22">
        <f t="shared" si="308"/>
        <v>0</v>
      </c>
      <c r="W1582" s="22">
        <f t="shared" si="309"/>
        <v>0</v>
      </c>
      <c r="X1582" s="22">
        <f>'2022-23 Salary &amp; Benefits'!$G$6</f>
        <v>12558.24</v>
      </c>
      <c r="Y1582" s="23">
        <f>'2022-23 Salary &amp; Benefits'!$H$6</f>
        <v>0.2298</v>
      </c>
      <c r="Z1582" s="23">
        <f>'2022-23 Salary &amp; Benefits'!$I$6</f>
        <v>0.22339999999999999</v>
      </c>
      <c r="AA1582" s="22">
        <f t="shared" si="310"/>
        <v>0</v>
      </c>
      <c r="AB1582" s="22">
        <f t="shared" si="311"/>
        <v>0</v>
      </c>
      <c r="AC1582" s="22">
        <f t="shared" si="312"/>
        <v>0</v>
      </c>
      <c r="AD1582" s="22">
        <f t="shared" si="304"/>
        <v>0</v>
      </c>
      <c r="AE1582" s="22">
        <f t="shared" si="305"/>
        <v>0</v>
      </c>
      <c r="AF1582" s="19" t="str">
        <f>VLOOKUP(C1582,'2021-22 School Level AAFTE'!C:N,12,FALSE)</f>
        <v>No</v>
      </c>
    </row>
    <row r="1583" spans="1:32" s="5" customFormat="1">
      <c r="A1583" s="97" t="s">
        <v>2354</v>
      </c>
      <c r="B1583" s="97" t="s">
        <v>736</v>
      </c>
      <c r="C1583" s="95">
        <v>3521</v>
      </c>
      <c r="D1583" s="95" t="s">
        <v>748</v>
      </c>
      <c r="E1583" s="129">
        <f>VLOOKUP($C1583,'2021-22 School Level AAFTE'!$C:$Z,11,FALSE)</f>
        <v>0.56866666666666665</v>
      </c>
      <c r="F1583" s="129" t="str">
        <f>VLOOKUP($C1583,'2021-22 School Level AAFTE'!$C:$Z,8,FALSE)</f>
        <v>Yes</v>
      </c>
      <c r="G1583" s="129" t="str">
        <f>VLOOKUP($C1583,'2021-22 School Level AAFTE'!$C:$Z,12,FALSE)</f>
        <v>No</v>
      </c>
      <c r="H1583" s="127">
        <f>VLOOKUP($C1583,'2021-22 School Level AAFTE'!$C:$I,7,FALSE)</f>
        <v>337.43</v>
      </c>
      <c r="I1583" s="112">
        <f>IFERROR(IF(OR(G1583="yes",F1583= "yes"),VLOOKUP(C1583,Summary!$B:$J,6,0),0),0)</f>
        <v>0</v>
      </c>
      <c r="J1583" s="111">
        <f t="shared" si="306"/>
        <v>337.43</v>
      </c>
      <c r="K1583" s="91">
        <f>VLOOKUP($A1583,'2022-23 Salary &amp; Benefits'!$A:$I,3,FALSE)</f>
        <v>1.18</v>
      </c>
      <c r="L1583" s="91">
        <f>VLOOKUP($A1583,'2022-23 Salary &amp; Benefits'!$A:$I,4,FALSE)</f>
        <v>1.18</v>
      </c>
      <c r="M1583" s="101">
        <f t="shared" si="301"/>
        <v>337.43</v>
      </c>
      <c r="N1583" s="24">
        <v>15</v>
      </c>
      <c r="O1583" s="26">
        <f t="shared" si="302"/>
        <v>22.495333333333335</v>
      </c>
      <c r="P1583" s="24">
        <v>1.1000000000000001</v>
      </c>
      <c r="Q1583" s="24">
        <v>36</v>
      </c>
      <c r="R1583" s="27">
        <f t="shared" si="303"/>
        <v>890.81520000000012</v>
      </c>
      <c r="S1583" s="102">
        <f t="shared" si="307"/>
        <v>0.99</v>
      </c>
      <c r="T1583" s="21">
        <f>VLOOKUP($A1583,'2022-23 Salary &amp; Benefits'!$A:$I,5,FALSE)</f>
        <v>68937</v>
      </c>
      <c r="U1583" s="21">
        <f>VLOOKUP($A1583,'2022-23 Salary &amp; Benefits'!$A:$I,6,FALSE)</f>
        <v>72728</v>
      </c>
      <c r="V1583" s="22">
        <f t="shared" si="308"/>
        <v>80532.2</v>
      </c>
      <c r="W1583" s="22">
        <f t="shared" si="309"/>
        <v>4428.6500000000087</v>
      </c>
      <c r="X1583" s="22">
        <f>'2022-23 Salary &amp; Benefits'!$G$6</f>
        <v>12558.24</v>
      </c>
      <c r="Y1583" s="23">
        <f>'2022-23 Salary &amp; Benefits'!$H$6</f>
        <v>0.2298</v>
      </c>
      <c r="Z1583" s="23">
        <f>'2022-23 Salary &amp; Benefits'!$I$6</f>
        <v>0.22339999999999999</v>
      </c>
      <c r="AA1583" s="22">
        <f t="shared" si="310"/>
        <v>31928.32</v>
      </c>
      <c r="AB1583" s="22">
        <f t="shared" si="311"/>
        <v>1416.01</v>
      </c>
      <c r="AC1583" s="22">
        <f t="shared" si="312"/>
        <v>316.33999999999997</v>
      </c>
      <c r="AD1583" s="22">
        <f t="shared" si="304"/>
        <v>1732.35</v>
      </c>
      <c r="AE1583" s="22">
        <f t="shared" si="305"/>
        <v>118621.52</v>
      </c>
      <c r="AF1583" s="19" t="str">
        <f>VLOOKUP(C1583,'2021-22 School Level AAFTE'!C:N,12,FALSE)</f>
        <v>No</v>
      </c>
    </row>
    <row r="1584" spans="1:32" s="5" customFormat="1">
      <c r="A1584" s="97" t="s">
        <v>2354</v>
      </c>
      <c r="B1584" s="97" t="s">
        <v>736</v>
      </c>
      <c r="C1584" s="95">
        <v>3586</v>
      </c>
      <c r="D1584" s="95" t="s">
        <v>749</v>
      </c>
      <c r="E1584" s="129">
        <f>VLOOKUP($C1584,'2021-22 School Level AAFTE'!$C:$Z,11,FALSE)</f>
        <v>0.24183333333333334</v>
      </c>
      <c r="F1584" s="129" t="str">
        <f>VLOOKUP($C1584,'2021-22 School Level AAFTE'!$C:$Z,8,FALSE)</f>
        <v>No</v>
      </c>
      <c r="G1584" s="129" t="str">
        <f>VLOOKUP($C1584,'2021-22 School Level AAFTE'!$C:$Z,12,FALSE)</f>
        <v>No</v>
      </c>
      <c r="H1584" s="127">
        <f>VLOOKUP($C1584,'2021-22 School Level AAFTE'!$C:$I,7,FALSE)</f>
        <v>604.77</v>
      </c>
      <c r="I1584" s="112">
        <f>IFERROR(IF(OR(G1584="yes",F1584= "yes"),VLOOKUP(C1584,Summary!$B:$J,6,0),0),0)</f>
        <v>0</v>
      </c>
      <c r="J1584" s="111">
        <f t="shared" si="306"/>
        <v>0</v>
      </c>
      <c r="K1584" s="91">
        <f>VLOOKUP($A1584,'2022-23 Salary &amp; Benefits'!$A:$I,3,FALSE)</f>
        <v>1.18</v>
      </c>
      <c r="L1584" s="91">
        <f>VLOOKUP($A1584,'2022-23 Salary &amp; Benefits'!$A:$I,4,FALSE)</f>
        <v>1.18</v>
      </c>
      <c r="M1584" s="39">
        <f t="shared" si="301"/>
        <v>0</v>
      </c>
      <c r="N1584" s="24">
        <v>15</v>
      </c>
      <c r="O1584" s="26">
        <f t="shared" si="302"/>
        <v>0</v>
      </c>
      <c r="P1584" s="24">
        <v>1.1000000000000001</v>
      </c>
      <c r="Q1584" s="24">
        <v>36</v>
      </c>
      <c r="R1584" s="27">
        <f t="shared" si="303"/>
        <v>0</v>
      </c>
      <c r="S1584" s="102">
        <f t="shared" si="307"/>
        <v>0</v>
      </c>
      <c r="T1584" s="21">
        <f>VLOOKUP($A1584,'2022-23 Salary &amp; Benefits'!$A:$I,5,FALSE)</f>
        <v>68937</v>
      </c>
      <c r="U1584" s="21">
        <f>VLOOKUP($A1584,'2022-23 Salary &amp; Benefits'!$A:$I,6,FALSE)</f>
        <v>72728</v>
      </c>
      <c r="V1584" s="22">
        <f t="shared" si="308"/>
        <v>0</v>
      </c>
      <c r="W1584" s="22">
        <f t="shared" si="309"/>
        <v>0</v>
      </c>
      <c r="X1584" s="22">
        <f>'2022-23 Salary &amp; Benefits'!$G$6</f>
        <v>12558.24</v>
      </c>
      <c r="Y1584" s="23">
        <f>'2022-23 Salary &amp; Benefits'!$H$6</f>
        <v>0.2298</v>
      </c>
      <c r="Z1584" s="23">
        <f>'2022-23 Salary &amp; Benefits'!$I$6</f>
        <v>0.22339999999999999</v>
      </c>
      <c r="AA1584" s="22">
        <f t="shared" si="310"/>
        <v>0</v>
      </c>
      <c r="AB1584" s="22">
        <f t="shared" si="311"/>
        <v>0</v>
      </c>
      <c r="AC1584" s="22">
        <f t="shared" si="312"/>
        <v>0</v>
      </c>
      <c r="AD1584" s="22">
        <f t="shared" si="304"/>
        <v>0</v>
      </c>
      <c r="AE1584" s="22">
        <f t="shared" si="305"/>
        <v>0</v>
      </c>
      <c r="AF1584" s="19" t="str">
        <f>VLOOKUP(C1584,'2021-22 School Level AAFTE'!C:N,12,FALSE)</f>
        <v>No</v>
      </c>
    </row>
    <row r="1585" spans="1:32" s="5" customFormat="1">
      <c r="A1585" s="97" t="s">
        <v>2354</v>
      </c>
      <c r="B1585" s="97" t="s">
        <v>736</v>
      </c>
      <c r="C1585" s="95">
        <v>3587</v>
      </c>
      <c r="D1585" s="95" t="s">
        <v>750</v>
      </c>
      <c r="E1585" s="129">
        <f>VLOOKUP($C1585,'2021-22 School Level AAFTE'!$C:$Z,11,FALSE)</f>
        <v>0.44209999999999999</v>
      </c>
      <c r="F1585" s="129" t="str">
        <f>VLOOKUP($C1585,'2021-22 School Level AAFTE'!$C:$Z,8,FALSE)</f>
        <v>No</v>
      </c>
      <c r="G1585" s="129" t="str">
        <f>VLOOKUP($C1585,'2021-22 School Level AAFTE'!$C:$Z,12,FALSE)</f>
        <v>No</v>
      </c>
      <c r="H1585" s="127">
        <f>VLOOKUP($C1585,'2021-22 School Level AAFTE'!$C:$I,7,FALSE)</f>
        <v>443.65</v>
      </c>
      <c r="I1585" s="112">
        <f>IFERROR(IF(OR(G1585="yes",F1585= "yes"),VLOOKUP(C1585,Summary!$B:$J,6,0),0),0)</f>
        <v>0</v>
      </c>
      <c r="J1585" s="111">
        <f t="shared" si="306"/>
        <v>0</v>
      </c>
      <c r="K1585" s="91">
        <f>VLOOKUP($A1585,'2022-23 Salary &amp; Benefits'!$A:$I,3,FALSE)</f>
        <v>1.18</v>
      </c>
      <c r="L1585" s="91">
        <f>VLOOKUP($A1585,'2022-23 Salary &amp; Benefits'!$A:$I,4,FALSE)</f>
        <v>1.18</v>
      </c>
      <c r="M1585" s="101">
        <f t="shared" si="301"/>
        <v>0</v>
      </c>
      <c r="N1585" s="24">
        <v>15</v>
      </c>
      <c r="O1585" s="26">
        <f t="shared" si="302"/>
        <v>0</v>
      </c>
      <c r="P1585" s="24">
        <v>1.1000000000000001</v>
      </c>
      <c r="Q1585" s="24">
        <v>36</v>
      </c>
      <c r="R1585" s="27">
        <f t="shared" si="303"/>
        <v>0</v>
      </c>
      <c r="S1585" s="102">
        <f t="shared" si="307"/>
        <v>0</v>
      </c>
      <c r="T1585" s="21">
        <f>VLOOKUP($A1585,'2022-23 Salary &amp; Benefits'!$A:$I,5,FALSE)</f>
        <v>68937</v>
      </c>
      <c r="U1585" s="21">
        <f>VLOOKUP($A1585,'2022-23 Salary &amp; Benefits'!$A:$I,6,FALSE)</f>
        <v>72728</v>
      </c>
      <c r="V1585" s="22">
        <f t="shared" si="308"/>
        <v>0</v>
      </c>
      <c r="W1585" s="22">
        <f t="shared" si="309"/>
        <v>0</v>
      </c>
      <c r="X1585" s="22">
        <f>'2022-23 Salary &amp; Benefits'!$G$6</f>
        <v>12558.24</v>
      </c>
      <c r="Y1585" s="23">
        <f>'2022-23 Salary &amp; Benefits'!$H$6</f>
        <v>0.2298</v>
      </c>
      <c r="Z1585" s="23">
        <f>'2022-23 Salary &amp; Benefits'!$I$6</f>
        <v>0.22339999999999999</v>
      </c>
      <c r="AA1585" s="22">
        <f t="shared" si="310"/>
        <v>0</v>
      </c>
      <c r="AB1585" s="22">
        <f t="shared" si="311"/>
        <v>0</v>
      </c>
      <c r="AC1585" s="22">
        <f t="shared" si="312"/>
        <v>0</v>
      </c>
      <c r="AD1585" s="22">
        <f t="shared" si="304"/>
        <v>0</v>
      </c>
      <c r="AE1585" s="22">
        <f t="shared" si="305"/>
        <v>0</v>
      </c>
      <c r="AF1585" s="19" t="str">
        <f>VLOOKUP(C1585,'2021-22 School Level AAFTE'!C:N,12,FALSE)</f>
        <v>No</v>
      </c>
    </row>
    <row r="1586" spans="1:32" s="5" customFormat="1">
      <c r="A1586" s="97" t="s">
        <v>2354</v>
      </c>
      <c r="B1586" s="97" t="s">
        <v>736</v>
      </c>
      <c r="C1586" s="95">
        <v>3630</v>
      </c>
      <c r="D1586" s="95" t="s">
        <v>751</v>
      </c>
      <c r="E1586" s="129">
        <f>VLOOKUP($C1586,'2021-22 School Level AAFTE'!$C:$Z,11,FALSE)</f>
        <v>0.34696666666666665</v>
      </c>
      <c r="F1586" s="129" t="str">
        <f>VLOOKUP($C1586,'2021-22 School Level AAFTE'!$C:$Z,8,FALSE)</f>
        <v>No</v>
      </c>
      <c r="G1586" s="129" t="str">
        <f>VLOOKUP($C1586,'2021-22 School Level AAFTE'!$C:$Z,12,FALSE)</f>
        <v>No</v>
      </c>
      <c r="H1586" s="127">
        <f>VLOOKUP($C1586,'2021-22 School Level AAFTE'!$C:$I,7,FALSE)</f>
        <v>1809.1699999999998</v>
      </c>
      <c r="I1586" s="112">
        <f>IFERROR(IF(OR(G1586="yes",F1586= "yes"),VLOOKUP(C1586,Summary!$B:$J,6,0),0),0)</f>
        <v>0</v>
      </c>
      <c r="J1586" s="111">
        <f t="shared" si="306"/>
        <v>0</v>
      </c>
      <c r="K1586" s="91">
        <f>VLOOKUP($A1586,'2022-23 Salary &amp; Benefits'!$A:$I,3,FALSE)</f>
        <v>1.18</v>
      </c>
      <c r="L1586" s="91">
        <f>VLOOKUP($A1586,'2022-23 Salary &amp; Benefits'!$A:$I,4,FALSE)</f>
        <v>1.18</v>
      </c>
      <c r="M1586" s="101">
        <f t="shared" si="301"/>
        <v>0</v>
      </c>
      <c r="N1586" s="24">
        <v>15</v>
      </c>
      <c r="O1586" s="26">
        <f t="shared" si="302"/>
        <v>0</v>
      </c>
      <c r="P1586" s="24">
        <v>1.1000000000000001</v>
      </c>
      <c r="Q1586" s="24">
        <v>36</v>
      </c>
      <c r="R1586" s="27">
        <f t="shared" si="303"/>
        <v>0</v>
      </c>
      <c r="S1586" s="102">
        <f t="shared" si="307"/>
        <v>0</v>
      </c>
      <c r="T1586" s="21">
        <f>VLOOKUP($A1586,'2022-23 Salary &amp; Benefits'!$A:$I,5,FALSE)</f>
        <v>68937</v>
      </c>
      <c r="U1586" s="21">
        <f>VLOOKUP($A1586,'2022-23 Salary &amp; Benefits'!$A:$I,6,FALSE)</f>
        <v>72728</v>
      </c>
      <c r="V1586" s="22">
        <f t="shared" si="308"/>
        <v>0</v>
      </c>
      <c r="W1586" s="22">
        <f t="shared" si="309"/>
        <v>0</v>
      </c>
      <c r="X1586" s="22">
        <f>'2022-23 Salary &amp; Benefits'!$G$6</f>
        <v>12558.24</v>
      </c>
      <c r="Y1586" s="23">
        <f>'2022-23 Salary &amp; Benefits'!$H$6</f>
        <v>0.2298</v>
      </c>
      <c r="Z1586" s="23">
        <f>'2022-23 Salary &amp; Benefits'!$I$6</f>
        <v>0.22339999999999999</v>
      </c>
      <c r="AA1586" s="22">
        <f t="shared" si="310"/>
        <v>0</v>
      </c>
      <c r="AB1586" s="22">
        <f t="shared" si="311"/>
        <v>0</v>
      </c>
      <c r="AC1586" s="22">
        <f t="shared" si="312"/>
        <v>0</v>
      </c>
      <c r="AD1586" s="22">
        <f t="shared" si="304"/>
        <v>0</v>
      </c>
      <c r="AE1586" s="22">
        <f t="shared" si="305"/>
        <v>0</v>
      </c>
      <c r="AF1586" s="19" t="str">
        <f>VLOOKUP(C1586,'2021-22 School Level AAFTE'!C:N,12,FALSE)</f>
        <v>No</v>
      </c>
    </row>
    <row r="1587" spans="1:32" s="5" customFormat="1">
      <c r="A1587" s="97" t="s">
        <v>2354</v>
      </c>
      <c r="B1587" s="97" t="s">
        <v>736</v>
      </c>
      <c r="C1587" s="95">
        <v>3668</v>
      </c>
      <c r="D1587" s="95" t="s">
        <v>752</v>
      </c>
      <c r="E1587" s="129">
        <f>VLOOKUP($C1587,'2021-22 School Level AAFTE'!$C:$Z,11,FALSE)</f>
        <v>0.4424333333333334</v>
      </c>
      <c r="F1587" s="129" t="str">
        <f>VLOOKUP($C1587,'2021-22 School Level AAFTE'!$C:$Z,8,FALSE)</f>
        <v>No</v>
      </c>
      <c r="G1587" s="129" t="str">
        <f>VLOOKUP($C1587,'2021-22 School Level AAFTE'!$C:$Z,12,FALSE)</f>
        <v>No</v>
      </c>
      <c r="H1587" s="127">
        <f>VLOOKUP($C1587,'2021-22 School Level AAFTE'!$C:$I,7,FALSE)</f>
        <v>454.91</v>
      </c>
      <c r="I1587" s="112">
        <f>IFERROR(IF(OR(G1587="yes",F1587= "yes"),VLOOKUP(C1587,Summary!$B:$J,6,0),0),0)</f>
        <v>0</v>
      </c>
      <c r="J1587" s="111">
        <f t="shared" si="306"/>
        <v>0</v>
      </c>
      <c r="K1587" s="91">
        <f>VLOOKUP($A1587,'2022-23 Salary &amp; Benefits'!$A:$I,3,FALSE)</f>
        <v>1.18</v>
      </c>
      <c r="L1587" s="91">
        <f>VLOOKUP($A1587,'2022-23 Salary &amp; Benefits'!$A:$I,4,FALSE)</f>
        <v>1.18</v>
      </c>
      <c r="M1587" s="101">
        <f t="shared" si="301"/>
        <v>0</v>
      </c>
      <c r="N1587" s="24">
        <v>15</v>
      </c>
      <c r="O1587" s="26">
        <f t="shared" si="302"/>
        <v>0</v>
      </c>
      <c r="P1587" s="24">
        <v>1.1000000000000001</v>
      </c>
      <c r="Q1587" s="24">
        <v>36</v>
      </c>
      <c r="R1587" s="27">
        <f t="shared" si="303"/>
        <v>0</v>
      </c>
      <c r="S1587" s="102">
        <f t="shared" si="307"/>
        <v>0</v>
      </c>
      <c r="T1587" s="21">
        <f>VLOOKUP($A1587,'2022-23 Salary &amp; Benefits'!$A:$I,5,FALSE)</f>
        <v>68937</v>
      </c>
      <c r="U1587" s="21">
        <f>VLOOKUP($A1587,'2022-23 Salary &amp; Benefits'!$A:$I,6,FALSE)</f>
        <v>72728</v>
      </c>
      <c r="V1587" s="22">
        <f t="shared" si="308"/>
        <v>0</v>
      </c>
      <c r="W1587" s="22">
        <f t="shared" si="309"/>
        <v>0</v>
      </c>
      <c r="X1587" s="22">
        <f>'2022-23 Salary &amp; Benefits'!$G$6</f>
        <v>12558.24</v>
      </c>
      <c r="Y1587" s="23">
        <f>'2022-23 Salary &amp; Benefits'!$H$6</f>
        <v>0.2298</v>
      </c>
      <c r="Z1587" s="23">
        <f>'2022-23 Salary &amp; Benefits'!$I$6</f>
        <v>0.22339999999999999</v>
      </c>
      <c r="AA1587" s="22">
        <f t="shared" si="310"/>
        <v>0</v>
      </c>
      <c r="AB1587" s="22">
        <f t="shared" si="311"/>
        <v>0</v>
      </c>
      <c r="AC1587" s="22">
        <f t="shared" si="312"/>
        <v>0</v>
      </c>
      <c r="AD1587" s="22">
        <f t="shared" si="304"/>
        <v>0</v>
      </c>
      <c r="AE1587" s="22">
        <f t="shared" si="305"/>
        <v>0</v>
      </c>
      <c r="AF1587" s="19" t="str">
        <f>VLOOKUP(C1587,'2021-22 School Level AAFTE'!C:N,12,FALSE)</f>
        <v>No</v>
      </c>
    </row>
    <row r="1588" spans="1:32" s="5" customFormat="1">
      <c r="A1588" s="97" t="s">
        <v>2354</v>
      </c>
      <c r="B1588" s="97" t="s">
        <v>736</v>
      </c>
      <c r="C1588" s="95">
        <v>3702</v>
      </c>
      <c r="D1588" s="95" t="s">
        <v>753</v>
      </c>
      <c r="E1588" s="129">
        <f>VLOOKUP($C1588,'2021-22 School Level AAFTE'!$C:$Z,11,FALSE)</f>
        <v>0.50743333333333329</v>
      </c>
      <c r="F1588" s="129" t="str">
        <f>VLOOKUP($C1588,'2021-22 School Level AAFTE'!$C:$Z,8,FALSE)</f>
        <v>Yes</v>
      </c>
      <c r="G1588" s="129" t="str">
        <f>VLOOKUP($C1588,'2021-22 School Level AAFTE'!$C:$Z,12,FALSE)</f>
        <v>No</v>
      </c>
      <c r="H1588" s="127">
        <f>VLOOKUP($C1588,'2021-22 School Level AAFTE'!$C:$I,7,FALSE)</f>
        <v>344.8</v>
      </c>
      <c r="I1588" s="112">
        <f>IFERROR(IF(OR(G1588="yes",F1588= "yes"),VLOOKUP(C1588,Summary!$B:$J,6,0),0),0)</f>
        <v>0</v>
      </c>
      <c r="J1588" s="111">
        <f t="shared" si="306"/>
        <v>344.8</v>
      </c>
      <c r="K1588" s="91">
        <f>VLOOKUP($A1588,'2022-23 Salary &amp; Benefits'!$A:$I,3,FALSE)</f>
        <v>1.18</v>
      </c>
      <c r="L1588" s="91">
        <f>VLOOKUP($A1588,'2022-23 Salary &amp; Benefits'!$A:$I,4,FALSE)</f>
        <v>1.18</v>
      </c>
      <c r="M1588" s="101">
        <f t="shared" si="301"/>
        <v>344.8</v>
      </c>
      <c r="N1588" s="24">
        <v>15</v>
      </c>
      <c r="O1588" s="26">
        <f t="shared" si="302"/>
        <v>22.986666666666668</v>
      </c>
      <c r="P1588" s="24">
        <v>1.1000000000000001</v>
      </c>
      <c r="Q1588" s="24">
        <v>36</v>
      </c>
      <c r="R1588" s="27">
        <f t="shared" si="303"/>
        <v>910.27200000000016</v>
      </c>
      <c r="S1588" s="102">
        <f t="shared" si="307"/>
        <v>1.0109999999999999</v>
      </c>
      <c r="T1588" s="21">
        <f>VLOOKUP($A1588,'2022-23 Salary &amp; Benefits'!$A:$I,5,FALSE)</f>
        <v>68937</v>
      </c>
      <c r="U1588" s="21">
        <f>VLOOKUP($A1588,'2022-23 Salary &amp; Benefits'!$A:$I,6,FALSE)</f>
        <v>72728</v>
      </c>
      <c r="V1588" s="22">
        <f t="shared" si="308"/>
        <v>82240.460000000006</v>
      </c>
      <c r="W1588" s="22">
        <f t="shared" si="309"/>
        <v>4522.5899999999965</v>
      </c>
      <c r="X1588" s="22">
        <f>'2022-23 Salary &amp; Benefits'!$G$6</f>
        <v>12558.24</v>
      </c>
      <c r="Y1588" s="23">
        <f>'2022-23 Salary &amp; Benefits'!$H$6</f>
        <v>0.2298</v>
      </c>
      <c r="Z1588" s="23">
        <f>'2022-23 Salary &amp; Benefits'!$I$6</f>
        <v>0.22339999999999999</v>
      </c>
      <c r="AA1588" s="22">
        <f t="shared" si="310"/>
        <v>32605.58</v>
      </c>
      <c r="AB1588" s="22">
        <f t="shared" si="311"/>
        <v>1446.05</v>
      </c>
      <c r="AC1588" s="22">
        <f t="shared" si="312"/>
        <v>323.05</v>
      </c>
      <c r="AD1588" s="22">
        <f t="shared" si="304"/>
        <v>1769.1</v>
      </c>
      <c r="AE1588" s="22">
        <f t="shared" si="305"/>
        <v>121137.73000000001</v>
      </c>
      <c r="AF1588" s="19" t="str">
        <f>VLOOKUP(C1588,'2021-22 School Level AAFTE'!C:N,12,FALSE)</f>
        <v>No</v>
      </c>
    </row>
    <row r="1589" spans="1:32" s="5" customFormat="1">
      <c r="A1589" s="97" t="s">
        <v>2354</v>
      </c>
      <c r="B1589" s="97" t="s">
        <v>736</v>
      </c>
      <c r="C1589" s="95">
        <v>3740</v>
      </c>
      <c r="D1589" s="95" t="s">
        <v>754</v>
      </c>
      <c r="E1589" s="129">
        <f>VLOOKUP($C1589,'2021-22 School Level AAFTE'!$C:$Z,11,FALSE)</f>
        <v>0.41289999999999999</v>
      </c>
      <c r="F1589" s="129" t="str">
        <f>VLOOKUP($C1589,'2021-22 School Level AAFTE'!$C:$Z,8,FALSE)</f>
        <v>No</v>
      </c>
      <c r="G1589" s="129" t="str">
        <f>VLOOKUP($C1589,'2021-22 School Level AAFTE'!$C:$Z,12,FALSE)</f>
        <v>No</v>
      </c>
      <c r="H1589" s="127">
        <f>VLOOKUP($C1589,'2021-22 School Level AAFTE'!$C:$I,7,FALSE)</f>
        <v>364.57</v>
      </c>
      <c r="I1589" s="112">
        <f>IFERROR(IF(OR(G1589="yes",F1589= "yes"),VLOOKUP(C1589,Summary!$B:$J,6,0),0),0)</f>
        <v>0</v>
      </c>
      <c r="J1589" s="111">
        <f t="shared" si="306"/>
        <v>0</v>
      </c>
      <c r="K1589" s="91">
        <f>VLOOKUP($A1589,'2022-23 Salary &amp; Benefits'!$A:$I,3,FALSE)</f>
        <v>1.18</v>
      </c>
      <c r="L1589" s="91">
        <f>VLOOKUP($A1589,'2022-23 Salary &amp; Benefits'!$A:$I,4,FALSE)</f>
        <v>1.18</v>
      </c>
      <c r="M1589" s="39">
        <f t="shared" si="301"/>
        <v>0</v>
      </c>
      <c r="N1589" s="24">
        <v>15</v>
      </c>
      <c r="O1589" s="26">
        <f t="shared" si="302"/>
        <v>0</v>
      </c>
      <c r="P1589" s="24">
        <v>1.1000000000000001</v>
      </c>
      <c r="Q1589" s="24">
        <v>36</v>
      </c>
      <c r="R1589" s="27">
        <f t="shared" si="303"/>
        <v>0</v>
      </c>
      <c r="S1589" s="102">
        <f t="shared" si="307"/>
        <v>0</v>
      </c>
      <c r="T1589" s="21">
        <f>VLOOKUP($A1589,'2022-23 Salary &amp; Benefits'!$A:$I,5,FALSE)</f>
        <v>68937</v>
      </c>
      <c r="U1589" s="21">
        <f>VLOOKUP($A1589,'2022-23 Salary &amp; Benefits'!$A:$I,6,FALSE)</f>
        <v>72728</v>
      </c>
      <c r="V1589" s="22">
        <f t="shared" si="308"/>
        <v>0</v>
      </c>
      <c r="W1589" s="22">
        <f t="shared" si="309"/>
        <v>0</v>
      </c>
      <c r="X1589" s="22">
        <f>'2022-23 Salary &amp; Benefits'!$G$6</f>
        <v>12558.24</v>
      </c>
      <c r="Y1589" s="23">
        <f>'2022-23 Salary &amp; Benefits'!$H$6</f>
        <v>0.2298</v>
      </c>
      <c r="Z1589" s="23">
        <f>'2022-23 Salary &amp; Benefits'!$I$6</f>
        <v>0.22339999999999999</v>
      </c>
      <c r="AA1589" s="22">
        <f t="shared" si="310"/>
        <v>0</v>
      </c>
      <c r="AB1589" s="22">
        <f t="shared" si="311"/>
        <v>0</v>
      </c>
      <c r="AC1589" s="22">
        <f t="shared" si="312"/>
        <v>0</v>
      </c>
      <c r="AD1589" s="22">
        <f t="shared" si="304"/>
        <v>0</v>
      </c>
      <c r="AE1589" s="22">
        <f t="shared" si="305"/>
        <v>0</v>
      </c>
      <c r="AF1589" s="19" t="str">
        <f>VLOOKUP(C1589,'2021-22 School Level AAFTE'!C:N,12,FALSE)</f>
        <v>No</v>
      </c>
    </row>
    <row r="1590" spans="1:32" s="5" customFormat="1">
      <c r="A1590" s="97" t="s">
        <v>2354</v>
      </c>
      <c r="B1590" s="97" t="s">
        <v>736</v>
      </c>
      <c r="C1590" s="95">
        <v>3741</v>
      </c>
      <c r="D1590" s="95" t="s">
        <v>755</v>
      </c>
      <c r="E1590" s="129">
        <f>VLOOKUP($C1590,'2021-22 School Level AAFTE'!$C:$Z,11,FALSE)</f>
        <v>0.51406666666666678</v>
      </c>
      <c r="F1590" s="129" t="str">
        <f>VLOOKUP($C1590,'2021-22 School Level AAFTE'!$C:$Z,8,FALSE)</f>
        <v>Yes</v>
      </c>
      <c r="G1590" s="129" t="str">
        <f>VLOOKUP($C1590,'2021-22 School Level AAFTE'!$C:$Z,12,FALSE)</f>
        <v>No</v>
      </c>
      <c r="H1590" s="127">
        <f>VLOOKUP($C1590,'2021-22 School Level AAFTE'!$C:$I,7,FALSE)</f>
        <v>1162.97</v>
      </c>
      <c r="I1590" s="112">
        <f>IFERROR(IF(OR(G1590="yes",F1590= "yes"),VLOOKUP(C1590,Summary!$B:$J,6,0),0),0)</f>
        <v>0</v>
      </c>
      <c r="J1590" s="111">
        <f t="shared" si="306"/>
        <v>1162.97</v>
      </c>
      <c r="K1590" s="91">
        <f>VLOOKUP($A1590,'2022-23 Salary &amp; Benefits'!$A:$I,3,FALSE)</f>
        <v>1.18</v>
      </c>
      <c r="L1590" s="91">
        <f>VLOOKUP($A1590,'2022-23 Salary &amp; Benefits'!$A:$I,4,FALSE)</f>
        <v>1.18</v>
      </c>
      <c r="M1590" s="101">
        <f t="shared" si="301"/>
        <v>1162.97</v>
      </c>
      <c r="N1590" s="24">
        <v>15</v>
      </c>
      <c r="O1590" s="26">
        <f t="shared" si="302"/>
        <v>77.531333333333336</v>
      </c>
      <c r="P1590" s="24">
        <v>1.1000000000000001</v>
      </c>
      <c r="Q1590" s="24">
        <v>36</v>
      </c>
      <c r="R1590" s="27">
        <f t="shared" si="303"/>
        <v>3070.2408000000005</v>
      </c>
      <c r="S1590" s="102">
        <f t="shared" si="307"/>
        <v>3.411</v>
      </c>
      <c r="T1590" s="21">
        <f>VLOOKUP($A1590,'2022-23 Salary &amp; Benefits'!$A:$I,5,FALSE)</f>
        <v>68937</v>
      </c>
      <c r="U1590" s="21">
        <f>VLOOKUP($A1590,'2022-23 Salary &amp; Benefits'!$A:$I,6,FALSE)</f>
        <v>72728</v>
      </c>
      <c r="V1590" s="22">
        <f t="shared" si="308"/>
        <v>277470.05</v>
      </c>
      <c r="W1590" s="22">
        <f t="shared" si="309"/>
        <v>15258.700000000012</v>
      </c>
      <c r="X1590" s="22">
        <f>'2022-23 Salary &amp; Benefits'!$G$6</f>
        <v>12558.24</v>
      </c>
      <c r="Y1590" s="23">
        <f>'2022-23 Salary &amp; Benefits'!$H$6</f>
        <v>0.2298</v>
      </c>
      <c r="Z1590" s="23">
        <f>'2022-23 Salary &amp; Benefits'!$I$6</f>
        <v>0.22339999999999999</v>
      </c>
      <c r="AA1590" s="22">
        <f t="shared" si="310"/>
        <v>110007.57</v>
      </c>
      <c r="AB1590" s="22">
        <f t="shared" si="311"/>
        <v>4878.8100000000004</v>
      </c>
      <c r="AC1590" s="22">
        <f t="shared" si="312"/>
        <v>1089.93</v>
      </c>
      <c r="AD1590" s="22">
        <f t="shared" si="304"/>
        <v>5968.7400000000007</v>
      </c>
      <c r="AE1590" s="22">
        <f t="shared" si="305"/>
        <v>408705.06</v>
      </c>
      <c r="AF1590" s="19" t="str">
        <f>VLOOKUP(C1590,'2021-22 School Level AAFTE'!C:N,12,FALSE)</f>
        <v>No</v>
      </c>
    </row>
    <row r="1591" spans="1:32" s="5" customFormat="1">
      <c r="A1591" s="97" t="s">
        <v>2354</v>
      </c>
      <c r="B1591" s="97" t="s">
        <v>736</v>
      </c>
      <c r="C1591" s="95">
        <v>5070</v>
      </c>
      <c r="D1591" s="95" t="s">
        <v>756</v>
      </c>
      <c r="E1591" s="129">
        <f>VLOOKUP($C1591,'2021-22 School Level AAFTE'!$C:$Z,11,FALSE)</f>
        <v>0.77056666666666673</v>
      </c>
      <c r="F1591" s="129" t="str">
        <f>VLOOKUP($C1591,'2021-22 School Level AAFTE'!$C:$Z,8,FALSE)</f>
        <v>Yes</v>
      </c>
      <c r="G1591" s="129" t="str">
        <f>VLOOKUP($C1591,'2021-22 School Level AAFTE'!$C:$Z,12,FALSE)</f>
        <v>No</v>
      </c>
      <c r="H1591" s="127">
        <f>VLOOKUP($C1591,'2021-22 School Level AAFTE'!$C:$I,7,FALSE)</f>
        <v>26.67</v>
      </c>
      <c r="I1591" s="112">
        <f>IFERROR(IF(OR(G1591="yes",F1591= "yes"),VLOOKUP(C1591,Summary!$B:$J,6,0),0),0)</f>
        <v>0</v>
      </c>
      <c r="J1591" s="111">
        <f t="shared" si="306"/>
        <v>26.67</v>
      </c>
      <c r="K1591" s="91">
        <f>VLOOKUP($A1591,'2022-23 Salary &amp; Benefits'!$A:$I,3,FALSE)</f>
        <v>1.18</v>
      </c>
      <c r="L1591" s="91">
        <f>VLOOKUP($A1591,'2022-23 Salary &amp; Benefits'!$A:$I,4,FALSE)</f>
        <v>1.18</v>
      </c>
      <c r="M1591" s="101">
        <f t="shared" si="301"/>
        <v>26.67</v>
      </c>
      <c r="N1591" s="24">
        <v>15</v>
      </c>
      <c r="O1591" s="26">
        <f t="shared" si="302"/>
        <v>1.778</v>
      </c>
      <c r="P1591" s="24">
        <v>1.1000000000000001</v>
      </c>
      <c r="Q1591" s="24">
        <v>36</v>
      </c>
      <c r="R1591" s="27">
        <f t="shared" si="303"/>
        <v>70.408800000000014</v>
      </c>
      <c r="S1591" s="102">
        <f t="shared" si="307"/>
        <v>7.8E-2</v>
      </c>
      <c r="T1591" s="21">
        <f>VLOOKUP($A1591,'2022-23 Salary &amp; Benefits'!$A:$I,5,FALSE)</f>
        <v>68937</v>
      </c>
      <c r="U1591" s="21">
        <f>VLOOKUP($A1591,'2022-23 Salary &amp; Benefits'!$A:$I,6,FALSE)</f>
        <v>72728</v>
      </c>
      <c r="V1591" s="22">
        <f t="shared" si="308"/>
        <v>6344.96</v>
      </c>
      <c r="W1591" s="22">
        <f t="shared" si="309"/>
        <v>348.93000000000029</v>
      </c>
      <c r="X1591" s="22">
        <f>'2022-23 Salary &amp; Benefits'!$G$6</f>
        <v>12558.24</v>
      </c>
      <c r="Y1591" s="23">
        <f>'2022-23 Salary &amp; Benefits'!$H$6</f>
        <v>0.2298</v>
      </c>
      <c r="Z1591" s="23">
        <f>'2022-23 Salary &amp; Benefits'!$I$6</f>
        <v>0.22339999999999999</v>
      </c>
      <c r="AA1591" s="22">
        <f t="shared" si="310"/>
        <v>2515.5700000000002</v>
      </c>
      <c r="AB1591" s="22">
        <f t="shared" si="311"/>
        <v>111.56</v>
      </c>
      <c r="AC1591" s="22">
        <f t="shared" si="312"/>
        <v>24.92</v>
      </c>
      <c r="AD1591" s="22">
        <f t="shared" si="304"/>
        <v>136.48000000000002</v>
      </c>
      <c r="AE1591" s="22">
        <f t="shared" si="305"/>
        <v>9345.94</v>
      </c>
      <c r="AF1591" s="19" t="str">
        <f>VLOOKUP(C1591,'2021-22 School Level AAFTE'!C:N,12,FALSE)</f>
        <v>No</v>
      </c>
    </row>
    <row r="1592" spans="1:32" s="5" customFormat="1">
      <c r="A1592" s="97" t="s">
        <v>2354</v>
      </c>
      <c r="B1592" s="97" t="s">
        <v>736</v>
      </c>
      <c r="C1592" s="95">
        <v>5229</v>
      </c>
      <c r="D1592" s="95" t="s">
        <v>757</v>
      </c>
      <c r="E1592" s="129">
        <f>VLOOKUP($C1592,'2021-22 School Level AAFTE'!$C:$Z,11,FALSE)</f>
        <v>0.60096666666666654</v>
      </c>
      <c r="F1592" s="129" t="str">
        <f>VLOOKUP($C1592,'2021-22 School Level AAFTE'!$C:$Z,8,FALSE)</f>
        <v>Yes</v>
      </c>
      <c r="G1592" s="129" t="str">
        <f>VLOOKUP($C1592,'2021-22 School Level AAFTE'!$C:$Z,12,FALSE)</f>
        <v>No</v>
      </c>
      <c r="H1592" s="127">
        <f>VLOOKUP($C1592,'2021-22 School Level AAFTE'!$C:$I,7,FALSE)</f>
        <v>351.72</v>
      </c>
      <c r="I1592" s="112">
        <f>IFERROR(IF(OR(G1592="yes",F1592= "yes"),VLOOKUP(C1592,Summary!$B:$J,6,0),0),0)</f>
        <v>0</v>
      </c>
      <c r="J1592" s="111">
        <f t="shared" si="306"/>
        <v>351.72</v>
      </c>
      <c r="K1592" s="91">
        <f>VLOOKUP($A1592,'2022-23 Salary &amp; Benefits'!$A:$I,3,FALSE)</f>
        <v>1.18</v>
      </c>
      <c r="L1592" s="91">
        <f>VLOOKUP($A1592,'2022-23 Salary &amp; Benefits'!$A:$I,4,FALSE)</f>
        <v>1.18</v>
      </c>
      <c r="M1592" s="39">
        <f t="shared" si="301"/>
        <v>351.72</v>
      </c>
      <c r="N1592" s="24">
        <v>15</v>
      </c>
      <c r="O1592" s="26">
        <f t="shared" si="302"/>
        <v>23.448</v>
      </c>
      <c r="P1592" s="24">
        <v>1.1000000000000001</v>
      </c>
      <c r="Q1592" s="24">
        <v>36</v>
      </c>
      <c r="R1592" s="27">
        <f t="shared" si="303"/>
        <v>928.5408000000001</v>
      </c>
      <c r="S1592" s="102">
        <f t="shared" si="307"/>
        <v>1.032</v>
      </c>
      <c r="T1592" s="21">
        <f>VLOOKUP($A1592,'2022-23 Salary &amp; Benefits'!$A:$I,5,FALSE)</f>
        <v>68937</v>
      </c>
      <c r="U1592" s="21">
        <f>VLOOKUP($A1592,'2022-23 Salary &amp; Benefits'!$A:$I,6,FALSE)</f>
        <v>72728</v>
      </c>
      <c r="V1592" s="22">
        <f t="shared" si="308"/>
        <v>83948.72</v>
      </c>
      <c r="W1592" s="22">
        <f t="shared" si="309"/>
        <v>4616.5299999999988</v>
      </c>
      <c r="X1592" s="22">
        <f>'2022-23 Salary &amp; Benefits'!$G$6</f>
        <v>12558.24</v>
      </c>
      <c r="Y1592" s="23">
        <f>'2022-23 Salary &amp; Benefits'!$H$6</f>
        <v>0.2298</v>
      </c>
      <c r="Z1592" s="23">
        <f>'2022-23 Salary &amp; Benefits'!$I$6</f>
        <v>0.22339999999999999</v>
      </c>
      <c r="AA1592" s="22">
        <f t="shared" si="310"/>
        <v>33282.85</v>
      </c>
      <c r="AB1592" s="22">
        <f t="shared" si="311"/>
        <v>1476.09</v>
      </c>
      <c r="AC1592" s="22">
        <f t="shared" si="312"/>
        <v>329.76</v>
      </c>
      <c r="AD1592" s="22">
        <f t="shared" si="304"/>
        <v>1805.85</v>
      </c>
      <c r="AE1592" s="22">
        <f t="shared" si="305"/>
        <v>123653.95000000001</v>
      </c>
      <c r="AF1592" s="19" t="str">
        <f>VLOOKUP(C1592,'2021-22 School Level AAFTE'!C:N,12,FALSE)</f>
        <v>No</v>
      </c>
    </row>
    <row r="1593" spans="1:32" s="5" customFormat="1">
      <c r="A1593" s="97" t="s">
        <v>2354</v>
      </c>
      <c r="B1593" s="97" t="s">
        <v>736</v>
      </c>
      <c r="C1593" s="95">
        <v>5282</v>
      </c>
      <c r="D1593" s="95" t="s">
        <v>758</v>
      </c>
      <c r="E1593" s="129">
        <f>VLOOKUP($C1593,'2021-22 School Level AAFTE'!$C:$Z,11,FALSE)</f>
        <v>0.64613333333333334</v>
      </c>
      <c r="F1593" s="129" t="str">
        <f>VLOOKUP($C1593,'2021-22 School Level AAFTE'!$C:$Z,8,FALSE)</f>
        <v>Yes</v>
      </c>
      <c r="G1593" s="129" t="str">
        <f>VLOOKUP($C1593,'2021-22 School Level AAFTE'!$C:$Z,12,FALSE)</f>
        <v>No</v>
      </c>
      <c r="H1593" s="127">
        <f>VLOOKUP($C1593,'2021-22 School Level AAFTE'!$C:$I,7,FALSE)</f>
        <v>496.87</v>
      </c>
      <c r="I1593" s="112">
        <f>IFERROR(IF(OR(G1593="yes",F1593= "yes"),VLOOKUP(C1593,Summary!$B:$J,6,0),0),0)</f>
        <v>0</v>
      </c>
      <c r="J1593" s="111">
        <f t="shared" si="306"/>
        <v>496.87</v>
      </c>
      <c r="K1593" s="91">
        <f>VLOOKUP($A1593,'2022-23 Salary &amp; Benefits'!$A:$I,3,FALSE)</f>
        <v>1.18</v>
      </c>
      <c r="L1593" s="91">
        <f>VLOOKUP($A1593,'2022-23 Salary &amp; Benefits'!$A:$I,4,FALSE)</f>
        <v>1.18</v>
      </c>
      <c r="M1593" s="101">
        <f t="shared" si="301"/>
        <v>496.87</v>
      </c>
      <c r="N1593" s="24">
        <v>15</v>
      </c>
      <c r="O1593" s="26">
        <f t="shared" si="302"/>
        <v>33.12466666666667</v>
      </c>
      <c r="P1593" s="24">
        <v>1.1000000000000001</v>
      </c>
      <c r="Q1593" s="24">
        <v>36</v>
      </c>
      <c r="R1593" s="27">
        <f t="shared" si="303"/>
        <v>1311.7368000000004</v>
      </c>
      <c r="S1593" s="102">
        <f t="shared" si="307"/>
        <v>1.4570000000000001</v>
      </c>
      <c r="T1593" s="21">
        <f>VLOOKUP($A1593,'2022-23 Salary &amp; Benefits'!$A:$I,5,FALSE)</f>
        <v>68937</v>
      </c>
      <c r="U1593" s="21">
        <f>VLOOKUP($A1593,'2022-23 Salary &amp; Benefits'!$A:$I,6,FALSE)</f>
        <v>72728</v>
      </c>
      <c r="V1593" s="22">
        <f t="shared" si="308"/>
        <v>118520.63</v>
      </c>
      <c r="W1593" s="22">
        <f t="shared" si="309"/>
        <v>6517.7099999999919</v>
      </c>
      <c r="X1593" s="22">
        <f>'2022-23 Salary &amp; Benefits'!$G$6</f>
        <v>12558.24</v>
      </c>
      <c r="Y1593" s="23">
        <f>'2022-23 Salary &amp; Benefits'!$H$6</f>
        <v>0.2298</v>
      </c>
      <c r="Z1593" s="23">
        <f>'2022-23 Salary &amp; Benefits'!$I$6</f>
        <v>0.22339999999999999</v>
      </c>
      <c r="AA1593" s="22">
        <f t="shared" si="310"/>
        <v>46989.45</v>
      </c>
      <c r="AB1593" s="22">
        <f t="shared" si="311"/>
        <v>2083.9699999999998</v>
      </c>
      <c r="AC1593" s="22">
        <f t="shared" si="312"/>
        <v>465.56</v>
      </c>
      <c r="AD1593" s="22">
        <f t="shared" si="304"/>
        <v>2549.5299999999997</v>
      </c>
      <c r="AE1593" s="22">
        <f t="shared" si="305"/>
        <v>174577.32</v>
      </c>
      <c r="AF1593" s="19" t="str">
        <f>VLOOKUP(C1593,'2021-22 School Level AAFTE'!C:N,12,FALSE)</f>
        <v>No</v>
      </c>
    </row>
    <row r="1594" spans="1:32" s="5" customFormat="1">
      <c r="A1594" s="97" t="s">
        <v>2354</v>
      </c>
      <c r="B1594" s="97" t="s">
        <v>736</v>
      </c>
      <c r="C1594" s="95">
        <v>5335</v>
      </c>
      <c r="D1594" s="95" t="s">
        <v>759</v>
      </c>
      <c r="E1594" s="129">
        <f>VLOOKUP($C1594,'2021-22 School Level AAFTE'!$C:$Z,11,FALSE)</f>
        <v>0.53123333333333334</v>
      </c>
      <c r="F1594" s="129" t="str">
        <f>VLOOKUP($C1594,'2021-22 School Level AAFTE'!$C:$Z,8,FALSE)</f>
        <v>Yes</v>
      </c>
      <c r="G1594" s="129" t="str">
        <f>VLOOKUP($C1594,'2021-22 School Level AAFTE'!$C:$Z,12,FALSE)</f>
        <v>No</v>
      </c>
      <c r="H1594" s="127">
        <f>VLOOKUP($C1594,'2021-22 School Level AAFTE'!$C:$I,7,FALSE)</f>
        <v>14.57</v>
      </c>
      <c r="I1594" s="112">
        <f>IFERROR(IF(OR(G1594="yes",F1594= "yes"),VLOOKUP(C1594,Summary!$B:$J,6,0),0),0)</f>
        <v>0</v>
      </c>
      <c r="J1594" s="111">
        <f t="shared" si="306"/>
        <v>14.57</v>
      </c>
      <c r="K1594" s="91">
        <f>VLOOKUP($A1594,'2022-23 Salary &amp; Benefits'!$A:$I,3,FALSE)</f>
        <v>1.18</v>
      </c>
      <c r="L1594" s="91">
        <f>VLOOKUP($A1594,'2022-23 Salary &amp; Benefits'!$A:$I,4,FALSE)</f>
        <v>1.18</v>
      </c>
      <c r="M1594" s="39">
        <f t="shared" si="301"/>
        <v>14.57</v>
      </c>
      <c r="N1594" s="24">
        <v>15</v>
      </c>
      <c r="O1594" s="26">
        <f t="shared" si="302"/>
        <v>0.97133333333333338</v>
      </c>
      <c r="P1594" s="24">
        <v>1.1000000000000001</v>
      </c>
      <c r="Q1594" s="24">
        <v>36</v>
      </c>
      <c r="R1594" s="27">
        <f t="shared" si="303"/>
        <v>38.464800000000011</v>
      </c>
      <c r="S1594" s="102">
        <f t="shared" si="307"/>
        <v>4.2999999999999997E-2</v>
      </c>
      <c r="T1594" s="21">
        <f>VLOOKUP($A1594,'2022-23 Salary &amp; Benefits'!$A:$I,5,FALSE)</f>
        <v>68937</v>
      </c>
      <c r="U1594" s="21">
        <f>VLOOKUP($A1594,'2022-23 Salary &amp; Benefits'!$A:$I,6,FALSE)</f>
        <v>72728</v>
      </c>
      <c r="V1594" s="22">
        <f t="shared" si="308"/>
        <v>3497.86</v>
      </c>
      <c r="W1594" s="22">
        <f t="shared" si="309"/>
        <v>192.35999999999967</v>
      </c>
      <c r="X1594" s="22">
        <f>'2022-23 Salary &amp; Benefits'!$G$6</f>
        <v>12558.24</v>
      </c>
      <c r="Y1594" s="23">
        <f>'2022-23 Salary &amp; Benefits'!$H$6</f>
        <v>0.2298</v>
      </c>
      <c r="Z1594" s="23">
        <f>'2022-23 Salary &amp; Benefits'!$I$6</f>
        <v>0.22339999999999999</v>
      </c>
      <c r="AA1594" s="22">
        <f t="shared" si="310"/>
        <v>1386.79</v>
      </c>
      <c r="AB1594" s="22">
        <f t="shared" si="311"/>
        <v>61.5</v>
      </c>
      <c r="AC1594" s="22">
        <f t="shared" si="312"/>
        <v>13.74</v>
      </c>
      <c r="AD1594" s="22">
        <f t="shared" si="304"/>
        <v>75.239999999999995</v>
      </c>
      <c r="AE1594" s="22">
        <f t="shared" si="305"/>
        <v>5152.2499999999991</v>
      </c>
      <c r="AF1594" s="19" t="str">
        <f>VLOOKUP(C1594,'2021-22 School Level AAFTE'!C:N,12,FALSE)</f>
        <v>No</v>
      </c>
    </row>
    <row r="1595" spans="1:32" s="5" customFormat="1">
      <c r="A1595" s="97" t="s">
        <v>2354</v>
      </c>
      <c r="B1595" s="97" t="s">
        <v>736</v>
      </c>
      <c r="C1595" s="95">
        <v>5484</v>
      </c>
      <c r="D1595" s="95" t="s">
        <v>2732</v>
      </c>
      <c r="E1595" s="129">
        <f>VLOOKUP($C1595,'2021-22 School Level AAFTE'!$C:$Z,11,FALSE)</f>
        <v>0.37483333333333335</v>
      </c>
      <c r="F1595" s="129" t="str">
        <f>VLOOKUP($C1595,'2021-22 School Level AAFTE'!$C:$Z,8,FALSE)</f>
        <v>No</v>
      </c>
      <c r="G1595" s="129" t="str">
        <f>VLOOKUP($C1595,'2021-22 School Level AAFTE'!$C:$Z,12,FALSE)</f>
        <v>No</v>
      </c>
      <c r="H1595" s="127">
        <f>VLOOKUP($C1595,'2021-22 School Level AAFTE'!$C:$I,7,FALSE)</f>
        <v>799.46</v>
      </c>
      <c r="I1595" s="112">
        <f>IFERROR(IF(OR(G1595="yes",F1595= "yes"),VLOOKUP(C1595,Summary!$B:$J,6,0),0),0)</f>
        <v>0</v>
      </c>
      <c r="J1595" s="111">
        <f t="shared" si="306"/>
        <v>0</v>
      </c>
      <c r="K1595" s="91">
        <f>VLOOKUP($A1595,'2022-23 Salary &amp; Benefits'!$A:$I,3,FALSE)</f>
        <v>1.18</v>
      </c>
      <c r="L1595" s="91">
        <f>VLOOKUP($A1595,'2022-23 Salary &amp; Benefits'!$A:$I,4,FALSE)</f>
        <v>1.18</v>
      </c>
      <c r="M1595" s="101">
        <f t="shared" si="301"/>
        <v>0</v>
      </c>
      <c r="N1595" s="24">
        <v>15</v>
      </c>
      <c r="O1595" s="26">
        <f t="shared" si="302"/>
        <v>0</v>
      </c>
      <c r="P1595" s="24">
        <v>1.1000000000000001</v>
      </c>
      <c r="Q1595" s="24">
        <v>36</v>
      </c>
      <c r="R1595" s="27">
        <f t="shared" si="303"/>
        <v>0</v>
      </c>
      <c r="S1595" s="102">
        <f t="shared" si="307"/>
        <v>0</v>
      </c>
      <c r="T1595" s="21">
        <f>VLOOKUP($A1595,'2022-23 Salary &amp; Benefits'!$A:$I,5,FALSE)</f>
        <v>68937</v>
      </c>
      <c r="U1595" s="21">
        <f>VLOOKUP($A1595,'2022-23 Salary &amp; Benefits'!$A:$I,6,FALSE)</f>
        <v>72728</v>
      </c>
      <c r="V1595" s="22">
        <f t="shared" si="308"/>
        <v>0</v>
      </c>
      <c r="W1595" s="22">
        <f t="shared" si="309"/>
        <v>0</v>
      </c>
      <c r="X1595" s="22">
        <f>'2022-23 Salary &amp; Benefits'!$G$6</f>
        <v>12558.24</v>
      </c>
      <c r="Y1595" s="23">
        <f>'2022-23 Salary &amp; Benefits'!$H$6</f>
        <v>0.2298</v>
      </c>
      <c r="Z1595" s="23">
        <f>'2022-23 Salary &amp; Benefits'!$I$6</f>
        <v>0.22339999999999999</v>
      </c>
      <c r="AA1595" s="22">
        <f t="shared" si="310"/>
        <v>0</v>
      </c>
      <c r="AB1595" s="22">
        <f t="shared" si="311"/>
        <v>0</v>
      </c>
      <c r="AC1595" s="22">
        <f t="shared" si="312"/>
        <v>0</v>
      </c>
      <c r="AD1595" s="22">
        <f t="shared" si="304"/>
        <v>0</v>
      </c>
      <c r="AE1595" s="22">
        <f t="shared" si="305"/>
        <v>0</v>
      </c>
      <c r="AF1595" s="19" t="str">
        <f>VLOOKUP(C1595,'2021-22 School Level AAFTE'!C:N,12,FALSE)</f>
        <v>No</v>
      </c>
    </row>
    <row r="1596" spans="1:32" s="5" customFormat="1">
      <c r="A1596" s="97" t="s">
        <v>2354</v>
      </c>
      <c r="B1596" s="97" t="s">
        <v>736</v>
      </c>
      <c r="C1596" s="95">
        <v>5519</v>
      </c>
      <c r="D1596" s="95" t="s">
        <v>2808</v>
      </c>
      <c r="E1596" s="129">
        <f>VLOOKUP($C1596,'2021-22 School Level AAFTE'!$C:$Z,11,FALSE)</f>
        <v>0.35426666666666667</v>
      </c>
      <c r="F1596" s="129" t="str">
        <f>VLOOKUP($C1596,'2021-22 School Level AAFTE'!$C:$Z,8,FALSE)</f>
        <v>No</v>
      </c>
      <c r="G1596" s="129" t="str">
        <f>VLOOKUP($C1596,'2021-22 School Level AAFTE'!$C:$Z,12,FALSE)</f>
        <v>No</v>
      </c>
      <c r="H1596" s="127">
        <f>VLOOKUP($C1596,'2021-22 School Level AAFTE'!$C:$I,7,FALSE)</f>
        <v>509.43</v>
      </c>
      <c r="I1596" s="112">
        <f>IFERROR(IF(OR(G1596="yes",F1596= "yes"),VLOOKUP(C1596,Summary!$B:$J,6,0),0),0)</f>
        <v>0</v>
      </c>
      <c r="J1596" s="111">
        <f t="shared" si="306"/>
        <v>0</v>
      </c>
      <c r="K1596" s="91">
        <f>VLOOKUP($A1596,'2022-23 Salary &amp; Benefits'!$A:$I,3,FALSE)</f>
        <v>1.18</v>
      </c>
      <c r="L1596" s="91">
        <f>VLOOKUP($A1596,'2022-23 Salary &amp; Benefits'!$A:$I,4,FALSE)</f>
        <v>1.18</v>
      </c>
      <c r="M1596" s="39">
        <f t="shared" si="301"/>
        <v>0</v>
      </c>
      <c r="N1596" s="24">
        <v>15</v>
      </c>
      <c r="O1596" s="26">
        <f t="shared" si="302"/>
        <v>0</v>
      </c>
      <c r="P1596" s="24">
        <v>1.1000000000000001</v>
      </c>
      <c r="Q1596" s="24">
        <v>36</v>
      </c>
      <c r="R1596" s="27">
        <f t="shared" si="303"/>
        <v>0</v>
      </c>
      <c r="S1596" s="102">
        <f t="shared" si="307"/>
        <v>0</v>
      </c>
      <c r="T1596" s="21">
        <f>VLOOKUP($A1596,'2022-23 Salary &amp; Benefits'!$A:$I,5,FALSE)</f>
        <v>68937</v>
      </c>
      <c r="U1596" s="21">
        <f>VLOOKUP($A1596,'2022-23 Salary &amp; Benefits'!$A:$I,6,FALSE)</f>
        <v>72728</v>
      </c>
      <c r="V1596" s="22">
        <f t="shared" si="308"/>
        <v>0</v>
      </c>
      <c r="W1596" s="22">
        <f t="shared" si="309"/>
        <v>0</v>
      </c>
      <c r="X1596" s="22">
        <f>'2022-23 Salary &amp; Benefits'!$G$6</f>
        <v>12558.24</v>
      </c>
      <c r="Y1596" s="23">
        <f>'2022-23 Salary &amp; Benefits'!$H$6</f>
        <v>0.2298</v>
      </c>
      <c r="Z1596" s="23">
        <f>'2022-23 Salary &amp; Benefits'!$I$6</f>
        <v>0.22339999999999999</v>
      </c>
      <c r="AA1596" s="22">
        <f t="shared" si="310"/>
        <v>0</v>
      </c>
      <c r="AB1596" s="22">
        <f t="shared" si="311"/>
        <v>0</v>
      </c>
      <c r="AC1596" s="22">
        <f t="shared" si="312"/>
        <v>0</v>
      </c>
      <c r="AD1596" s="22">
        <f t="shared" si="304"/>
        <v>0</v>
      </c>
      <c r="AE1596" s="22">
        <f t="shared" si="305"/>
        <v>0</v>
      </c>
      <c r="AF1596" s="19" t="str">
        <f>VLOOKUP(C1596,'2021-22 School Level AAFTE'!C:N,12,FALSE)</f>
        <v>No</v>
      </c>
    </row>
    <row r="1597" spans="1:32" s="5" customFormat="1">
      <c r="A1597" s="97" t="s">
        <v>2354</v>
      </c>
      <c r="B1597" s="97" t="s">
        <v>736</v>
      </c>
      <c r="C1597" s="95">
        <v>5638</v>
      </c>
      <c r="D1597" s="95" t="s">
        <v>3041</v>
      </c>
      <c r="E1597" s="129">
        <f>VLOOKUP($C1597,'2021-22 School Level AAFTE'!$C:$Z,11,FALSE)</f>
        <v>0.46539999999999998</v>
      </c>
      <c r="F1597" s="129" t="str">
        <f>VLOOKUP($C1597,'2021-22 School Level AAFTE'!$C:$Z,8,FALSE)</f>
        <v>No</v>
      </c>
      <c r="G1597" s="129" t="str">
        <f>VLOOKUP($C1597,'2021-22 School Level AAFTE'!$C:$Z,12,FALSE)</f>
        <v>No</v>
      </c>
      <c r="H1597" s="127">
        <f>VLOOKUP($C1597,'2021-22 School Level AAFTE'!$C:$I,7,FALSE)</f>
        <v>407.24</v>
      </c>
      <c r="I1597" s="112">
        <f>IFERROR(IF(OR(G1597="yes",F1597= "yes"),VLOOKUP(C1597,Summary!$B:$J,6,0),0),0)</f>
        <v>0</v>
      </c>
      <c r="J1597" s="111">
        <f t="shared" si="306"/>
        <v>0</v>
      </c>
      <c r="K1597" s="91">
        <f>VLOOKUP($A1597,'2022-23 Salary &amp; Benefits'!$A:$I,3,FALSE)</f>
        <v>1.18</v>
      </c>
      <c r="L1597" s="91">
        <f>VLOOKUP($A1597,'2022-23 Salary &amp; Benefits'!$A:$I,4,FALSE)</f>
        <v>1.18</v>
      </c>
      <c r="M1597" s="39">
        <f t="shared" si="301"/>
        <v>0</v>
      </c>
      <c r="N1597" s="24">
        <v>15</v>
      </c>
      <c r="O1597" s="26">
        <f t="shared" si="302"/>
        <v>0</v>
      </c>
      <c r="P1597" s="24">
        <v>1.1000000000000001</v>
      </c>
      <c r="Q1597" s="24">
        <v>36</v>
      </c>
      <c r="R1597" s="27">
        <f t="shared" si="303"/>
        <v>0</v>
      </c>
      <c r="S1597" s="102">
        <f t="shared" si="307"/>
        <v>0</v>
      </c>
      <c r="T1597" s="21">
        <f>VLOOKUP($A1597,'2022-23 Salary &amp; Benefits'!$A:$I,5,FALSE)</f>
        <v>68937</v>
      </c>
      <c r="U1597" s="21">
        <f>VLOOKUP($A1597,'2022-23 Salary &amp; Benefits'!$A:$I,6,FALSE)</f>
        <v>72728</v>
      </c>
      <c r="V1597" s="22">
        <f t="shared" si="308"/>
        <v>0</v>
      </c>
      <c r="W1597" s="22">
        <f t="shared" si="309"/>
        <v>0</v>
      </c>
      <c r="X1597" s="22">
        <f>'2022-23 Salary &amp; Benefits'!$G$6</f>
        <v>12558.24</v>
      </c>
      <c r="Y1597" s="23">
        <f>'2022-23 Salary &amp; Benefits'!$H$6</f>
        <v>0.2298</v>
      </c>
      <c r="Z1597" s="23">
        <f>'2022-23 Salary &amp; Benefits'!$I$6</f>
        <v>0.22339999999999999</v>
      </c>
      <c r="AA1597" s="22">
        <f t="shared" si="310"/>
        <v>0</v>
      </c>
      <c r="AB1597" s="22">
        <f t="shared" si="311"/>
        <v>0</v>
      </c>
      <c r="AC1597" s="22">
        <f t="shared" si="312"/>
        <v>0</v>
      </c>
      <c r="AD1597" s="22">
        <f t="shared" si="304"/>
        <v>0</v>
      </c>
      <c r="AE1597" s="22">
        <f t="shared" si="305"/>
        <v>0</v>
      </c>
      <c r="AF1597" s="19" t="str">
        <f>VLOOKUP(C1597,'2021-22 School Level AAFTE'!C:N,12,FALSE)</f>
        <v>No</v>
      </c>
    </row>
    <row r="1598" spans="1:32" s="5" customFormat="1">
      <c r="A1598" s="97" t="s">
        <v>2311</v>
      </c>
      <c r="B1598" s="97" t="s">
        <v>367</v>
      </c>
      <c r="C1598" s="95">
        <v>1898</v>
      </c>
      <c r="D1598" s="95" t="s">
        <v>368</v>
      </c>
      <c r="E1598" s="129">
        <f>VLOOKUP($C1598,'2021-22 School Level AAFTE'!$C:$Z,11,FALSE)</f>
        <v>0.12613333333333332</v>
      </c>
      <c r="F1598" s="129" t="str">
        <f>VLOOKUP($C1598,'2021-22 School Level AAFTE'!$C:$Z,8,FALSE)</f>
        <v>No</v>
      </c>
      <c r="G1598" s="129" t="str">
        <f>VLOOKUP($C1598,'2021-22 School Level AAFTE'!$C:$Z,12,FALSE)</f>
        <v>No</v>
      </c>
      <c r="H1598" s="127">
        <f>VLOOKUP($C1598,'2021-22 School Level AAFTE'!$C:$I,7,FALSE)</f>
        <v>57.86</v>
      </c>
      <c r="I1598" s="112">
        <f>IFERROR(IF(OR(G1598="yes",F1598= "yes"),VLOOKUP(C1598,Summary!$B:$J,6,0),0),0)</f>
        <v>0</v>
      </c>
      <c r="J1598" s="111">
        <f t="shared" si="306"/>
        <v>0</v>
      </c>
      <c r="K1598" s="91">
        <f>VLOOKUP($A1598,'2022-23 Salary &amp; Benefits'!$A:$I,3,FALSE)</f>
        <v>1</v>
      </c>
      <c r="L1598" s="91">
        <f>VLOOKUP($A1598,'2022-23 Salary &amp; Benefits'!$A:$I,4,FALSE)</f>
        <v>1.04</v>
      </c>
      <c r="M1598" s="101">
        <f t="shared" si="301"/>
        <v>0</v>
      </c>
      <c r="N1598" s="24">
        <v>15</v>
      </c>
      <c r="O1598" s="26">
        <f t="shared" si="302"/>
        <v>0</v>
      </c>
      <c r="P1598" s="24">
        <v>1.1000000000000001</v>
      </c>
      <c r="Q1598" s="24">
        <v>36</v>
      </c>
      <c r="R1598" s="27">
        <f t="shared" si="303"/>
        <v>0</v>
      </c>
      <c r="S1598" s="102">
        <f t="shared" si="307"/>
        <v>0</v>
      </c>
      <c r="T1598" s="21">
        <f>VLOOKUP($A1598,'2022-23 Salary &amp; Benefits'!$A:$I,5,FALSE)</f>
        <v>68937</v>
      </c>
      <c r="U1598" s="21">
        <f>VLOOKUP($A1598,'2022-23 Salary &amp; Benefits'!$A:$I,6,FALSE)</f>
        <v>72728</v>
      </c>
      <c r="V1598" s="22">
        <f t="shared" si="308"/>
        <v>0</v>
      </c>
      <c r="W1598" s="22">
        <f t="shared" si="309"/>
        <v>0</v>
      </c>
      <c r="X1598" s="22">
        <f>'2022-23 Salary &amp; Benefits'!$G$6</f>
        <v>12558.24</v>
      </c>
      <c r="Y1598" s="23">
        <f>'2022-23 Salary &amp; Benefits'!$H$6</f>
        <v>0.2298</v>
      </c>
      <c r="Z1598" s="23">
        <f>'2022-23 Salary &amp; Benefits'!$I$6</f>
        <v>0.22339999999999999</v>
      </c>
      <c r="AA1598" s="22">
        <f t="shared" si="310"/>
        <v>0</v>
      </c>
      <c r="AB1598" s="22">
        <f t="shared" si="311"/>
        <v>0</v>
      </c>
      <c r="AC1598" s="22">
        <f t="shared" si="312"/>
        <v>0</v>
      </c>
      <c r="AD1598" s="22">
        <f t="shared" si="304"/>
        <v>0</v>
      </c>
      <c r="AE1598" s="22">
        <f t="shared" si="305"/>
        <v>0</v>
      </c>
      <c r="AF1598" s="19" t="str">
        <f>VLOOKUP(C1598,'2021-22 School Level AAFTE'!C:N,12,FALSE)</f>
        <v>No</v>
      </c>
    </row>
    <row r="1599" spans="1:32" s="5" customFormat="1">
      <c r="A1599" s="97" t="s">
        <v>2311</v>
      </c>
      <c r="B1599" s="97" t="s">
        <v>367</v>
      </c>
      <c r="C1599" s="95">
        <v>2789</v>
      </c>
      <c r="D1599" s="95" t="s">
        <v>369</v>
      </c>
      <c r="E1599" s="129">
        <f>VLOOKUP($C1599,'2021-22 School Level AAFTE'!$C:$Z,11,FALSE)</f>
        <v>0.68153333333333332</v>
      </c>
      <c r="F1599" s="129" t="str">
        <f>VLOOKUP($C1599,'2021-22 School Level AAFTE'!$C:$Z,8,FALSE)</f>
        <v>Yes</v>
      </c>
      <c r="G1599" s="129" t="str">
        <f>VLOOKUP($C1599,'2021-22 School Level AAFTE'!$C:$Z,12,FALSE)</f>
        <v>No</v>
      </c>
      <c r="H1599" s="127">
        <f>VLOOKUP($C1599,'2021-22 School Level AAFTE'!$C:$I,7,FALSE)</f>
        <v>162.71</v>
      </c>
      <c r="I1599" s="112">
        <f>IFERROR(IF(OR(G1599="yes",F1599= "yes"),VLOOKUP(C1599,Summary!$B:$J,6,0),0),0)</f>
        <v>0</v>
      </c>
      <c r="J1599" s="111">
        <f t="shared" si="306"/>
        <v>162.71</v>
      </c>
      <c r="K1599" s="91">
        <f>VLOOKUP($A1599,'2022-23 Salary &amp; Benefits'!$A:$I,3,FALSE)</f>
        <v>1</v>
      </c>
      <c r="L1599" s="91">
        <f>VLOOKUP($A1599,'2022-23 Salary &amp; Benefits'!$A:$I,4,FALSE)</f>
        <v>1.04</v>
      </c>
      <c r="M1599" s="101">
        <f t="shared" si="301"/>
        <v>162.71</v>
      </c>
      <c r="N1599" s="24">
        <v>15</v>
      </c>
      <c r="O1599" s="26">
        <f t="shared" si="302"/>
        <v>10.847333333333333</v>
      </c>
      <c r="P1599" s="24">
        <v>1.1000000000000001</v>
      </c>
      <c r="Q1599" s="24">
        <v>36</v>
      </c>
      <c r="R1599" s="27">
        <f t="shared" si="303"/>
        <v>429.55440000000004</v>
      </c>
      <c r="S1599" s="102">
        <f t="shared" si="307"/>
        <v>0.47699999999999998</v>
      </c>
      <c r="T1599" s="21">
        <f>VLOOKUP($A1599,'2022-23 Salary &amp; Benefits'!$A:$I,5,FALSE)</f>
        <v>68937</v>
      </c>
      <c r="U1599" s="21">
        <f>VLOOKUP($A1599,'2022-23 Salary &amp; Benefits'!$A:$I,6,FALSE)</f>
        <v>72728</v>
      </c>
      <c r="V1599" s="22">
        <f t="shared" si="308"/>
        <v>32882.949999999997</v>
      </c>
      <c r="W1599" s="22">
        <f t="shared" si="309"/>
        <v>3195.9600000000064</v>
      </c>
      <c r="X1599" s="22">
        <f>'2022-23 Salary &amp; Benefits'!$G$6</f>
        <v>12558.24</v>
      </c>
      <c r="Y1599" s="23">
        <f>'2022-23 Salary &amp; Benefits'!$H$6</f>
        <v>0.2298</v>
      </c>
      <c r="Z1599" s="23">
        <f>'2022-23 Salary &amp; Benefits'!$I$6</f>
        <v>0.22339999999999999</v>
      </c>
      <c r="AA1599" s="22">
        <f t="shared" si="310"/>
        <v>14260.76</v>
      </c>
      <c r="AB1599" s="22">
        <f t="shared" si="311"/>
        <v>601.32000000000005</v>
      </c>
      <c r="AC1599" s="22">
        <f t="shared" si="312"/>
        <v>134.33000000000001</v>
      </c>
      <c r="AD1599" s="22">
        <f t="shared" si="304"/>
        <v>735.65000000000009</v>
      </c>
      <c r="AE1599" s="22">
        <f t="shared" si="305"/>
        <v>51075.320000000007</v>
      </c>
      <c r="AF1599" s="19" t="str">
        <f>VLOOKUP(C1599,'2021-22 School Level AAFTE'!C:N,12,FALSE)</f>
        <v>No</v>
      </c>
    </row>
    <row r="1600" spans="1:32" s="5" customFormat="1">
      <c r="A1600" s="97" t="s">
        <v>2311</v>
      </c>
      <c r="B1600" s="97" t="s">
        <v>367</v>
      </c>
      <c r="C1600" s="95">
        <v>3559</v>
      </c>
      <c r="D1600" s="95" t="s">
        <v>370</v>
      </c>
      <c r="E1600" s="129">
        <f>VLOOKUP($C1600,'2021-22 School Level AAFTE'!$C:$Z,11,FALSE)</f>
        <v>0.72783333333333333</v>
      </c>
      <c r="F1600" s="129" t="str">
        <f>VLOOKUP($C1600,'2021-22 School Level AAFTE'!$C:$Z,8,FALSE)</f>
        <v>Yes</v>
      </c>
      <c r="G1600" s="129" t="str">
        <f>VLOOKUP($C1600,'2021-22 School Level AAFTE'!$C:$Z,12,FALSE)</f>
        <v>No</v>
      </c>
      <c r="H1600" s="127">
        <f>VLOOKUP($C1600,'2021-22 School Level AAFTE'!$C:$I,7,FALSE)</f>
        <v>41.86</v>
      </c>
      <c r="I1600" s="112">
        <f>IFERROR(IF(OR(G1600="yes",F1600= "yes"),VLOOKUP(C1600,Summary!$B:$J,6,0),0),0)</f>
        <v>0</v>
      </c>
      <c r="J1600" s="111">
        <f t="shared" si="306"/>
        <v>41.86</v>
      </c>
      <c r="K1600" s="91">
        <f>VLOOKUP($A1600,'2022-23 Salary &amp; Benefits'!$A:$I,3,FALSE)</f>
        <v>1</v>
      </c>
      <c r="L1600" s="91">
        <f>VLOOKUP($A1600,'2022-23 Salary &amp; Benefits'!$A:$I,4,FALSE)</f>
        <v>1.04</v>
      </c>
      <c r="M1600" s="101">
        <f t="shared" si="301"/>
        <v>41.86</v>
      </c>
      <c r="N1600" s="24">
        <v>15</v>
      </c>
      <c r="O1600" s="26">
        <f t="shared" si="302"/>
        <v>2.7906666666666666</v>
      </c>
      <c r="P1600" s="24">
        <v>1.1000000000000001</v>
      </c>
      <c r="Q1600" s="24">
        <v>36</v>
      </c>
      <c r="R1600" s="27">
        <f t="shared" si="303"/>
        <v>110.5104</v>
      </c>
      <c r="S1600" s="102">
        <f t="shared" si="307"/>
        <v>0.123</v>
      </c>
      <c r="T1600" s="21">
        <f>VLOOKUP($A1600,'2022-23 Salary &amp; Benefits'!$A:$I,5,FALSE)</f>
        <v>68937</v>
      </c>
      <c r="U1600" s="21">
        <f>VLOOKUP($A1600,'2022-23 Salary &amp; Benefits'!$A:$I,6,FALSE)</f>
        <v>72728</v>
      </c>
      <c r="V1600" s="22">
        <f t="shared" si="308"/>
        <v>8479.25</v>
      </c>
      <c r="W1600" s="22">
        <f t="shared" si="309"/>
        <v>824.1200000000008</v>
      </c>
      <c r="X1600" s="22">
        <f>'2022-23 Salary &amp; Benefits'!$G$6</f>
        <v>12558.24</v>
      </c>
      <c r="Y1600" s="23">
        <f>'2022-23 Salary &amp; Benefits'!$H$6</f>
        <v>0.2298</v>
      </c>
      <c r="Z1600" s="23">
        <f>'2022-23 Salary &amp; Benefits'!$I$6</f>
        <v>0.22339999999999999</v>
      </c>
      <c r="AA1600" s="22">
        <f t="shared" si="310"/>
        <v>3677.3</v>
      </c>
      <c r="AB1600" s="22">
        <f t="shared" si="311"/>
        <v>155.06</v>
      </c>
      <c r="AC1600" s="22">
        <f t="shared" si="312"/>
        <v>34.64</v>
      </c>
      <c r="AD1600" s="22">
        <f t="shared" si="304"/>
        <v>189.7</v>
      </c>
      <c r="AE1600" s="22">
        <f t="shared" si="305"/>
        <v>13170.37</v>
      </c>
      <c r="AF1600" s="19" t="str">
        <f>VLOOKUP(C1600,'2021-22 School Level AAFTE'!C:N,12,FALSE)</f>
        <v>No</v>
      </c>
    </row>
    <row r="1601" spans="1:32" s="5" customFormat="1">
      <c r="A1601" s="97" t="s">
        <v>2311</v>
      </c>
      <c r="B1601" s="97" t="s">
        <v>367</v>
      </c>
      <c r="C1601" s="95">
        <v>3579</v>
      </c>
      <c r="D1601" s="95" t="s">
        <v>371</v>
      </c>
      <c r="E1601" s="129">
        <f>VLOOKUP($C1601,'2021-22 School Level AAFTE'!$C:$Z,11,FALSE)</f>
        <v>0.71523333333333328</v>
      </c>
      <c r="F1601" s="129" t="str">
        <f>VLOOKUP($C1601,'2021-22 School Level AAFTE'!$C:$Z,8,FALSE)</f>
        <v>Yes</v>
      </c>
      <c r="G1601" s="129" t="str">
        <f>VLOOKUP($C1601,'2021-22 School Level AAFTE'!$C:$Z,12,FALSE)</f>
        <v>No</v>
      </c>
      <c r="H1601" s="127">
        <f>VLOOKUP($C1601,'2021-22 School Level AAFTE'!$C:$I,7,FALSE)</f>
        <v>100.3</v>
      </c>
      <c r="I1601" s="112">
        <f>IFERROR(IF(OR(G1601="yes",F1601= "yes"),VLOOKUP(C1601,Summary!$B:$J,6,0),0),0)</f>
        <v>0</v>
      </c>
      <c r="J1601" s="111">
        <f t="shared" si="306"/>
        <v>100.3</v>
      </c>
      <c r="K1601" s="91">
        <f>VLOOKUP($A1601,'2022-23 Salary &amp; Benefits'!$A:$I,3,FALSE)</f>
        <v>1</v>
      </c>
      <c r="L1601" s="91">
        <f>VLOOKUP($A1601,'2022-23 Salary &amp; Benefits'!$A:$I,4,FALSE)</f>
        <v>1.04</v>
      </c>
      <c r="M1601" s="101">
        <f t="shared" si="301"/>
        <v>100.3</v>
      </c>
      <c r="N1601" s="24">
        <v>15</v>
      </c>
      <c r="O1601" s="26">
        <f t="shared" si="302"/>
        <v>6.6866666666666665</v>
      </c>
      <c r="P1601" s="24">
        <v>1.1000000000000001</v>
      </c>
      <c r="Q1601" s="24">
        <v>36</v>
      </c>
      <c r="R1601" s="27">
        <f t="shared" si="303"/>
        <v>264.79200000000003</v>
      </c>
      <c r="S1601" s="102">
        <f t="shared" si="307"/>
        <v>0.29399999999999998</v>
      </c>
      <c r="T1601" s="21">
        <f>VLOOKUP($A1601,'2022-23 Salary &amp; Benefits'!$A:$I,5,FALSE)</f>
        <v>68937</v>
      </c>
      <c r="U1601" s="21">
        <f>VLOOKUP($A1601,'2022-23 Salary &amp; Benefits'!$A:$I,6,FALSE)</f>
        <v>72728</v>
      </c>
      <c r="V1601" s="22">
        <f t="shared" si="308"/>
        <v>20267.48</v>
      </c>
      <c r="W1601" s="22">
        <f t="shared" si="309"/>
        <v>1969.8300000000017</v>
      </c>
      <c r="X1601" s="22">
        <f>'2022-23 Salary &amp; Benefits'!$G$6</f>
        <v>12558.24</v>
      </c>
      <c r="Y1601" s="23">
        <f>'2022-23 Salary &amp; Benefits'!$H$6</f>
        <v>0.2298</v>
      </c>
      <c r="Z1601" s="23">
        <f>'2022-23 Salary &amp; Benefits'!$I$6</f>
        <v>0.22339999999999999</v>
      </c>
      <c r="AA1601" s="22">
        <f t="shared" si="310"/>
        <v>8789.65</v>
      </c>
      <c r="AB1601" s="22">
        <f t="shared" si="311"/>
        <v>370.62</v>
      </c>
      <c r="AC1601" s="22">
        <f t="shared" si="312"/>
        <v>82.8</v>
      </c>
      <c r="AD1601" s="22">
        <f t="shared" si="304"/>
        <v>453.42</v>
      </c>
      <c r="AE1601" s="22">
        <f t="shared" si="305"/>
        <v>31480.379999999997</v>
      </c>
      <c r="AF1601" s="19" t="str">
        <f>VLOOKUP(C1601,'2021-22 School Level AAFTE'!C:N,12,FALSE)</f>
        <v>No</v>
      </c>
    </row>
    <row r="1602" spans="1:32" s="5" customFormat="1">
      <c r="A1602" s="97" t="s">
        <v>2269</v>
      </c>
      <c r="B1602" s="97" t="s">
        <v>77</v>
      </c>
      <c r="C1602" s="95">
        <v>2001</v>
      </c>
      <c r="D1602" s="95" t="s">
        <v>78</v>
      </c>
      <c r="E1602" s="129">
        <f>VLOOKUP($C1602,'2021-22 School Level AAFTE'!$C:$Z,11,FALSE)</f>
        <v>1.11E-2</v>
      </c>
      <c r="F1602" s="129" t="str">
        <f>VLOOKUP($C1602,'2021-22 School Level AAFTE'!$C:$Z,8,FALSE)</f>
        <v>No</v>
      </c>
      <c r="G1602" s="129" t="str">
        <f>VLOOKUP($C1602,'2021-22 School Level AAFTE'!$C:$Z,12,FALSE)</f>
        <v>No</v>
      </c>
      <c r="H1602" s="127">
        <f>VLOOKUP($C1602,'2021-22 School Level AAFTE'!$C:$I,7,FALSE)</f>
        <v>2.78</v>
      </c>
      <c r="I1602" s="112">
        <f>IFERROR(IF(OR(G1602="yes",F1602= "yes"),VLOOKUP(C1602,Summary!$B:$J,6,0),0),0)</f>
        <v>0</v>
      </c>
      <c r="J1602" s="111">
        <f t="shared" si="306"/>
        <v>0</v>
      </c>
      <c r="K1602" s="91">
        <f>VLOOKUP($A1602,'2022-23 Salary &amp; Benefits'!$A:$I,3,FALSE)</f>
        <v>1.03</v>
      </c>
      <c r="L1602" s="91">
        <f>VLOOKUP($A1602,'2022-23 Salary &amp; Benefits'!$A:$I,4,FALSE)</f>
        <v>1.03</v>
      </c>
      <c r="M1602" s="39">
        <f t="shared" si="301"/>
        <v>0</v>
      </c>
      <c r="N1602" s="24">
        <v>15</v>
      </c>
      <c r="O1602" s="26">
        <f t="shared" si="302"/>
        <v>0</v>
      </c>
      <c r="P1602" s="24">
        <v>1.1000000000000001</v>
      </c>
      <c r="Q1602" s="24">
        <v>36</v>
      </c>
      <c r="R1602" s="27">
        <f t="shared" si="303"/>
        <v>0</v>
      </c>
      <c r="S1602" s="102">
        <f t="shared" si="307"/>
        <v>0</v>
      </c>
      <c r="T1602" s="21">
        <f>VLOOKUP($A1602,'2022-23 Salary &amp; Benefits'!$A:$I,5,FALSE)</f>
        <v>68937</v>
      </c>
      <c r="U1602" s="21">
        <f>VLOOKUP($A1602,'2022-23 Salary &amp; Benefits'!$A:$I,6,FALSE)</f>
        <v>72728</v>
      </c>
      <c r="V1602" s="22">
        <f t="shared" si="308"/>
        <v>0</v>
      </c>
      <c r="W1602" s="22">
        <f t="shared" si="309"/>
        <v>0</v>
      </c>
      <c r="X1602" s="22">
        <f>'2022-23 Salary &amp; Benefits'!$G$6</f>
        <v>12558.24</v>
      </c>
      <c r="Y1602" s="23">
        <f>'2022-23 Salary &amp; Benefits'!$H$6</f>
        <v>0.2298</v>
      </c>
      <c r="Z1602" s="23">
        <f>'2022-23 Salary &amp; Benefits'!$I$6</f>
        <v>0.22339999999999999</v>
      </c>
      <c r="AA1602" s="22">
        <f t="shared" si="310"/>
        <v>0</v>
      </c>
      <c r="AB1602" s="22">
        <f t="shared" si="311"/>
        <v>0</v>
      </c>
      <c r="AC1602" s="22">
        <f t="shared" si="312"/>
        <v>0</v>
      </c>
      <c r="AD1602" s="22">
        <f t="shared" si="304"/>
        <v>0</v>
      </c>
      <c r="AE1602" s="22">
        <f t="shared" si="305"/>
        <v>0</v>
      </c>
      <c r="AF1602" s="19" t="str">
        <f>VLOOKUP(C1602,'2021-22 School Level AAFTE'!C:N,12,FALSE)</f>
        <v>No</v>
      </c>
    </row>
    <row r="1603" spans="1:32" s="5" customFormat="1">
      <c r="A1603" s="137" t="s">
        <v>2269</v>
      </c>
      <c r="B1603" s="97" t="s">
        <v>77</v>
      </c>
      <c r="C1603" s="138">
        <v>2642</v>
      </c>
      <c r="D1603" s="56" t="s">
        <v>79</v>
      </c>
      <c r="E1603" s="129">
        <f>VLOOKUP($C1603,'2021-22 School Level AAFTE'!$C:$Z,11,FALSE)</f>
        <v>0.40853333333333336</v>
      </c>
      <c r="F1603" s="129" t="str">
        <f>VLOOKUP($C1603,'2021-22 School Level AAFTE'!$C:$Z,8,FALSE)</f>
        <v>Yes</v>
      </c>
      <c r="G1603" s="129" t="str">
        <f>VLOOKUP($C1603,'2021-22 School Level AAFTE'!$C:$Z,12,FALSE)</f>
        <v>No</v>
      </c>
      <c r="H1603" s="127">
        <f>VLOOKUP($C1603,'2021-22 School Level AAFTE'!$C:$I,7,FALSE)</f>
        <v>403.94</v>
      </c>
      <c r="I1603" s="112">
        <f>IFERROR(IF(OR(G1603="yes",F1603= "yes"),VLOOKUP(C1603,Summary!$B:$J,6,0),0),0)</f>
        <v>0</v>
      </c>
      <c r="J1603" s="111">
        <f t="shared" si="306"/>
        <v>403.94</v>
      </c>
      <c r="K1603" s="91">
        <f>VLOOKUP($A1603,'2022-23 Salary &amp; Benefits'!$A:$I,3,FALSE)</f>
        <v>1.03</v>
      </c>
      <c r="L1603" s="91">
        <f>VLOOKUP($A1603,'2022-23 Salary &amp; Benefits'!$A:$I,4,FALSE)</f>
        <v>1.03</v>
      </c>
      <c r="M1603" s="39">
        <f t="shared" si="301"/>
        <v>403.94</v>
      </c>
      <c r="N1603" s="24">
        <v>15</v>
      </c>
      <c r="O1603" s="26">
        <f t="shared" si="302"/>
        <v>26.929333333333332</v>
      </c>
      <c r="P1603" s="24">
        <v>1.1000000000000001</v>
      </c>
      <c r="Q1603" s="24">
        <v>36</v>
      </c>
      <c r="R1603" s="27">
        <f t="shared" si="303"/>
        <v>1066.4016000000001</v>
      </c>
      <c r="S1603" s="102">
        <f t="shared" si="307"/>
        <v>1.1850000000000001</v>
      </c>
      <c r="T1603" s="21">
        <f>VLOOKUP($A1603,'2022-23 Salary &amp; Benefits'!$A:$I,5,FALSE)</f>
        <v>68937</v>
      </c>
      <c r="U1603" s="21">
        <f>VLOOKUP($A1603,'2022-23 Salary &amp; Benefits'!$A:$I,6,FALSE)</f>
        <v>72728</v>
      </c>
      <c r="V1603" s="22">
        <f t="shared" si="308"/>
        <v>84141.06</v>
      </c>
      <c r="W1603" s="22">
        <f t="shared" si="309"/>
        <v>4627.1000000000058</v>
      </c>
      <c r="X1603" s="22">
        <f>'2022-23 Salary &amp; Benefits'!$G$6</f>
        <v>12558.24</v>
      </c>
      <c r="Y1603" s="23">
        <f>'2022-23 Salary &amp; Benefits'!$H$6</f>
        <v>0.2298</v>
      </c>
      <c r="Z1603" s="23">
        <f>'2022-23 Salary &amp; Benefits'!$I$6</f>
        <v>0.22339999999999999</v>
      </c>
      <c r="AA1603" s="22">
        <f t="shared" si="310"/>
        <v>35250.82</v>
      </c>
      <c r="AB1603" s="22">
        <f t="shared" si="311"/>
        <v>1479.47</v>
      </c>
      <c r="AC1603" s="22">
        <f t="shared" si="312"/>
        <v>330.51</v>
      </c>
      <c r="AD1603" s="22">
        <f t="shared" si="304"/>
        <v>1809.98</v>
      </c>
      <c r="AE1603" s="22">
        <f t="shared" si="305"/>
        <v>125828.96</v>
      </c>
      <c r="AF1603" s="19" t="str">
        <f>VLOOKUP(C1603,'2021-22 School Level AAFTE'!C:N,12,FALSE)</f>
        <v>No</v>
      </c>
    </row>
    <row r="1604" spans="1:32" s="5" customFormat="1">
      <c r="A1604" s="97" t="s">
        <v>2269</v>
      </c>
      <c r="B1604" s="97" t="s">
        <v>77</v>
      </c>
      <c r="C1604" s="95">
        <v>2656</v>
      </c>
      <c r="D1604" s="95" t="s">
        <v>80</v>
      </c>
      <c r="E1604" s="129">
        <f>VLOOKUP($C1604,'2021-22 School Level AAFTE'!$C:$Z,11,FALSE)</f>
        <v>0.39560000000000001</v>
      </c>
      <c r="F1604" s="129" t="str">
        <f>VLOOKUP($C1604,'2021-22 School Level AAFTE'!$C:$Z,8,FALSE)</f>
        <v>Yes</v>
      </c>
      <c r="G1604" s="129" t="str">
        <f>VLOOKUP($C1604,'2021-22 School Level AAFTE'!$C:$Z,12,FALSE)</f>
        <v>No</v>
      </c>
      <c r="H1604" s="127">
        <f>VLOOKUP($C1604,'2021-22 School Level AAFTE'!$C:$I,7,FALSE)</f>
        <v>464.25</v>
      </c>
      <c r="I1604" s="112">
        <f>IFERROR(IF(OR(G1604="yes",F1604= "yes"),VLOOKUP(C1604,Summary!$B:$J,6,0),0),0)</f>
        <v>0</v>
      </c>
      <c r="J1604" s="111">
        <f t="shared" si="306"/>
        <v>464.25</v>
      </c>
      <c r="K1604" s="91">
        <f>VLOOKUP($A1604,'2022-23 Salary &amp; Benefits'!$A:$I,3,FALSE)</f>
        <v>1.03</v>
      </c>
      <c r="L1604" s="91">
        <f>VLOOKUP($A1604,'2022-23 Salary &amp; Benefits'!$A:$I,4,FALSE)</f>
        <v>1.03</v>
      </c>
      <c r="M1604" s="101">
        <f t="shared" si="301"/>
        <v>464.25</v>
      </c>
      <c r="N1604" s="24">
        <v>15</v>
      </c>
      <c r="O1604" s="26">
        <f t="shared" si="302"/>
        <v>30.95</v>
      </c>
      <c r="P1604" s="24">
        <v>1.1000000000000001</v>
      </c>
      <c r="Q1604" s="24">
        <v>36</v>
      </c>
      <c r="R1604" s="27">
        <f t="shared" si="303"/>
        <v>1225.6200000000001</v>
      </c>
      <c r="S1604" s="102">
        <f t="shared" si="307"/>
        <v>1.3620000000000001</v>
      </c>
      <c r="T1604" s="21">
        <f>VLOOKUP($A1604,'2022-23 Salary &amp; Benefits'!$A:$I,5,FALSE)</f>
        <v>68937</v>
      </c>
      <c r="U1604" s="21">
        <f>VLOOKUP($A1604,'2022-23 Salary &amp; Benefits'!$A:$I,6,FALSE)</f>
        <v>72728</v>
      </c>
      <c r="V1604" s="22">
        <f t="shared" si="308"/>
        <v>96708.96</v>
      </c>
      <c r="W1604" s="22">
        <f t="shared" si="309"/>
        <v>5318.2399999999907</v>
      </c>
      <c r="X1604" s="22">
        <f>'2022-23 Salary &amp; Benefits'!$G$6</f>
        <v>12558.24</v>
      </c>
      <c r="Y1604" s="23">
        <f>'2022-23 Salary &amp; Benefits'!$H$6</f>
        <v>0.2298</v>
      </c>
      <c r="Z1604" s="23">
        <f>'2022-23 Salary &amp; Benefits'!$I$6</f>
        <v>0.22339999999999999</v>
      </c>
      <c r="AA1604" s="22">
        <f t="shared" si="310"/>
        <v>40516.14</v>
      </c>
      <c r="AB1604" s="22">
        <f t="shared" si="311"/>
        <v>1700.45</v>
      </c>
      <c r="AC1604" s="22">
        <f t="shared" si="312"/>
        <v>379.88</v>
      </c>
      <c r="AD1604" s="22">
        <f t="shared" si="304"/>
        <v>2080.33</v>
      </c>
      <c r="AE1604" s="22">
        <f t="shared" si="305"/>
        <v>144623.66999999998</v>
      </c>
      <c r="AF1604" s="19" t="str">
        <f>VLOOKUP(C1604,'2021-22 School Level AAFTE'!C:N,12,FALSE)</f>
        <v>No</v>
      </c>
    </row>
    <row r="1605" spans="1:32" s="5" customFormat="1">
      <c r="A1605" s="97" t="s">
        <v>2269</v>
      </c>
      <c r="B1605" s="97" t="s">
        <v>77</v>
      </c>
      <c r="C1605" s="95">
        <v>2657</v>
      </c>
      <c r="D1605" s="95" t="s">
        <v>81</v>
      </c>
      <c r="E1605" s="129">
        <f>VLOOKUP($C1605,'2021-22 School Level AAFTE'!$C:$Z,11,FALSE)</f>
        <v>0.36893333333333334</v>
      </c>
      <c r="F1605" s="129" t="str">
        <f>VLOOKUP($C1605,'2021-22 School Level AAFTE'!$C:$Z,8,FALSE)</f>
        <v>Yes</v>
      </c>
      <c r="G1605" s="129" t="str">
        <f>VLOOKUP($C1605,'2021-22 School Level AAFTE'!$C:$Z,12,FALSE)</f>
        <v>No</v>
      </c>
      <c r="H1605" s="127">
        <f>VLOOKUP($C1605,'2021-22 School Level AAFTE'!$C:$I,7,FALSE)</f>
        <v>474</v>
      </c>
      <c r="I1605" s="112">
        <f>IFERROR(IF(OR(G1605="yes",F1605= "yes"),VLOOKUP(C1605,Summary!$B:$J,6,0),0),0)</f>
        <v>0</v>
      </c>
      <c r="J1605" s="111">
        <f t="shared" si="306"/>
        <v>474</v>
      </c>
      <c r="K1605" s="91">
        <f>VLOOKUP($A1605,'2022-23 Salary &amp; Benefits'!$A:$I,3,FALSE)</f>
        <v>1.03</v>
      </c>
      <c r="L1605" s="91">
        <f>VLOOKUP($A1605,'2022-23 Salary &amp; Benefits'!$A:$I,4,FALSE)</f>
        <v>1.03</v>
      </c>
      <c r="M1605" s="101">
        <f t="shared" si="301"/>
        <v>474</v>
      </c>
      <c r="N1605" s="24">
        <v>15</v>
      </c>
      <c r="O1605" s="26">
        <f t="shared" si="302"/>
        <v>31.6</v>
      </c>
      <c r="P1605" s="24">
        <v>1.1000000000000001</v>
      </c>
      <c r="Q1605" s="24">
        <v>36</v>
      </c>
      <c r="R1605" s="27">
        <f t="shared" si="303"/>
        <v>1251.3600000000001</v>
      </c>
      <c r="S1605" s="102">
        <f t="shared" si="307"/>
        <v>1.39</v>
      </c>
      <c r="T1605" s="21">
        <f>VLOOKUP($A1605,'2022-23 Salary &amp; Benefits'!$A:$I,5,FALSE)</f>
        <v>68937</v>
      </c>
      <c r="U1605" s="21">
        <f>VLOOKUP($A1605,'2022-23 Salary &amp; Benefits'!$A:$I,6,FALSE)</f>
        <v>72728</v>
      </c>
      <c r="V1605" s="22">
        <f t="shared" si="308"/>
        <v>98697.1</v>
      </c>
      <c r="W1605" s="22">
        <f t="shared" si="309"/>
        <v>5427.5799999999872</v>
      </c>
      <c r="X1605" s="22">
        <f>'2022-23 Salary &amp; Benefits'!$G$6</f>
        <v>12558.24</v>
      </c>
      <c r="Y1605" s="23">
        <f>'2022-23 Salary &amp; Benefits'!$H$6</f>
        <v>0.2298</v>
      </c>
      <c r="Z1605" s="23">
        <f>'2022-23 Salary &amp; Benefits'!$I$6</f>
        <v>0.22339999999999999</v>
      </c>
      <c r="AA1605" s="22">
        <f t="shared" si="310"/>
        <v>41349.07</v>
      </c>
      <c r="AB1605" s="22">
        <f t="shared" si="311"/>
        <v>1735.41</v>
      </c>
      <c r="AC1605" s="22">
        <f t="shared" si="312"/>
        <v>387.69</v>
      </c>
      <c r="AD1605" s="22">
        <f t="shared" si="304"/>
        <v>2123.1</v>
      </c>
      <c r="AE1605" s="22">
        <f t="shared" si="305"/>
        <v>147596.85</v>
      </c>
      <c r="AF1605" s="19" t="str">
        <f>VLOOKUP(C1605,'2021-22 School Level AAFTE'!C:N,12,FALSE)</f>
        <v>No</v>
      </c>
    </row>
    <row r="1606" spans="1:32" s="5" customFormat="1">
      <c r="A1606" s="97" t="s">
        <v>2269</v>
      </c>
      <c r="B1606" s="97" t="s">
        <v>77</v>
      </c>
      <c r="C1606" s="95">
        <v>2721</v>
      </c>
      <c r="D1606" s="95" t="s">
        <v>82</v>
      </c>
      <c r="E1606" s="129">
        <f>VLOOKUP($C1606,'2021-22 School Level AAFTE'!$C:$Z,11,FALSE)</f>
        <v>0.41010000000000008</v>
      </c>
      <c r="F1606" s="129" t="str">
        <f>VLOOKUP($C1606,'2021-22 School Level AAFTE'!$C:$Z,8,FALSE)</f>
        <v>No</v>
      </c>
      <c r="G1606" s="129" t="str">
        <f>VLOOKUP($C1606,'2021-22 School Level AAFTE'!$C:$Z,12,FALSE)</f>
        <v>No</v>
      </c>
      <c r="H1606" s="127">
        <f>VLOOKUP($C1606,'2021-22 School Level AAFTE'!$C:$I,7,FALSE)</f>
        <v>813.26</v>
      </c>
      <c r="I1606" s="112">
        <f>IFERROR(IF(OR(G1606="yes",F1606= "yes"),VLOOKUP(C1606,Summary!$B:$J,6,0),0),0)</f>
        <v>0</v>
      </c>
      <c r="J1606" s="111">
        <f t="shared" si="306"/>
        <v>0</v>
      </c>
      <c r="K1606" s="91">
        <f>VLOOKUP($A1606,'2022-23 Salary &amp; Benefits'!$A:$I,3,FALSE)</f>
        <v>1.03</v>
      </c>
      <c r="L1606" s="91">
        <f>VLOOKUP($A1606,'2022-23 Salary &amp; Benefits'!$A:$I,4,FALSE)</f>
        <v>1.03</v>
      </c>
      <c r="M1606" s="101">
        <f t="shared" si="301"/>
        <v>0</v>
      </c>
      <c r="N1606" s="24">
        <v>15</v>
      </c>
      <c r="O1606" s="26">
        <f t="shared" si="302"/>
        <v>0</v>
      </c>
      <c r="P1606" s="24">
        <v>1.1000000000000001</v>
      </c>
      <c r="Q1606" s="24">
        <v>36</v>
      </c>
      <c r="R1606" s="27">
        <f t="shared" si="303"/>
        <v>0</v>
      </c>
      <c r="S1606" s="102">
        <f t="shared" si="307"/>
        <v>0</v>
      </c>
      <c r="T1606" s="21">
        <f>VLOOKUP($A1606,'2022-23 Salary &amp; Benefits'!$A:$I,5,FALSE)</f>
        <v>68937</v>
      </c>
      <c r="U1606" s="21">
        <f>VLOOKUP($A1606,'2022-23 Salary &amp; Benefits'!$A:$I,6,FALSE)</f>
        <v>72728</v>
      </c>
      <c r="V1606" s="22">
        <f t="shared" si="308"/>
        <v>0</v>
      </c>
      <c r="W1606" s="22">
        <f t="shared" si="309"/>
        <v>0</v>
      </c>
      <c r="X1606" s="22">
        <f>'2022-23 Salary &amp; Benefits'!$G$6</f>
        <v>12558.24</v>
      </c>
      <c r="Y1606" s="23">
        <f>'2022-23 Salary &amp; Benefits'!$H$6</f>
        <v>0.2298</v>
      </c>
      <c r="Z1606" s="23">
        <f>'2022-23 Salary &amp; Benefits'!$I$6</f>
        <v>0.22339999999999999</v>
      </c>
      <c r="AA1606" s="22">
        <f t="shared" si="310"/>
        <v>0</v>
      </c>
      <c r="AB1606" s="22">
        <f t="shared" si="311"/>
        <v>0</v>
      </c>
      <c r="AC1606" s="22">
        <f t="shared" si="312"/>
        <v>0</v>
      </c>
      <c r="AD1606" s="22">
        <f t="shared" si="304"/>
        <v>0</v>
      </c>
      <c r="AE1606" s="22">
        <f t="shared" si="305"/>
        <v>0</v>
      </c>
      <c r="AF1606" s="19" t="str">
        <f>VLOOKUP(C1606,'2021-22 School Level AAFTE'!C:N,12,FALSE)</f>
        <v>No</v>
      </c>
    </row>
    <row r="1607" spans="1:32" s="5" customFormat="1">
      <c r="A1607" s="97" t="s">
        <v>2269</v>
      </c>
      <c r="B1607" s="97" t="s">
        <v>77</v>
      </c>
      <c r="C1607" s="95">
        <v>2785</v>
      </c>
      <c r="D1607" s="95" t="s">
        <v>83</v>
      </c>
      <c r="E1607" s="129">
        <f>VLOOKUP($C1607,'2021-22 School Level AAFTE'!$C:$Z,11,FALSE)</f>
        <v>0.46353333333333335</v>
      </c>
      <c r="F1607" s="129" t="str">
        <f>VLOOKUP($C1607,'2021-22 School Level AAFTE'!$C:$Z,8,FALSE)</f>
        <v>No</v>
      </c>
      <c r="G1607" s="129" t="str">
        <f>VLOOKUP($C1607,'2021-22 School Level AAFTE'!$C:$Z,12,FALSE)</f>
        <v>No</v>
      </c>
      <c r="H1607" s="127">
        <f>VLOOKUP($C1607,'2021-22 School Level AAFTE'!$C:$I,7,FALSE)</f>
        <v>683.8</v>
      </c>
      <c r="I1607" s="112">
        <f>IFERROR(IF(OR(G1607="yes",F1607= "yes"),VLOOKUP(C1607,Summary!$B:$J,6,0),0),0)</f>
        <v>0</v>
      </c>
      <c r="J1607" s="111">
        <f t="shared" si="306"/>
        <v>0</v>
      </c>
      <c r="K1607" s="91">
        <f>VLOOKUP($A1607,'2022-23 Salary &amp; Benefits'!$A:$I,3,FALSE)</f>
        <v>1.03</v>
      </c>
      <c r="L1607" s="91">
        <f>VLOOKUP($A1607,'2022-23 Salary &amp; Benefits'!$A:$I,4,FALSE)</f>
        <v>1.03</v>
      </c>
      <c r="M1607" s="101">
        <f t="shared" si="301"/>
        <v>0</v>
      </c>
      <c r="N1607" s="24">
        <v>15</v>
      </c>
      <c r="O1607" s="26">
        <f t="shared" si="302"/>
        <v>0</v>
      </c>
      <c r="P1607" s="24">
        <v>1.1000000000000001</v>
      </c>
      <c r="Q1607" s="24">
        <v>36</v>
      </c>
      <c r="R1607" s="27">
        <f t="shared" si="303"/>
        <v>0</v>
      </c>
      <c r="S1607" s="102">
        <f t="shared" si="307"/>
        <v>0</v>
      </c>
      <c r="T1607" s="21">
        <f>VLOOKUP($A1607,'2022-23 Salary &amp; Benefits'!$A:$I,5,FALSE)</f>
        <v>68937</v>
      </c>
      <c r="U1607" s="21">
        <f>VLOOKUP($A1607,'2022-23 Salary &amp; Benefits'!$A:$I,6,FALSE)</f>
        <v>72728</v>
      </c>
      <c r="V1607" s="22">
        <f t="shared" si="308"/>
        <v>0</v>
      </c>
      <c r="W1607" s="22">
        <f t="shared" si="309"/>
        <v>0</v>
      </c>
      <c r="X1607" s="22">
        <f>'2022-23 Salary &amp; Benefits'!$G$6</f>
        <v>12558.24</v>
      </c>
      <c r="Y1607" s="23">
        <f>'2022-23 Salary &amp; Benefits'!$H$6</f>
        <v>0.2298</v>
      </c>
      <c r="Z1607" s="23">
        <f>'2022-23 Salary &amp; Benefits'!$I$6</f>
        <v>0.22339999999999999</v>
      </c>
      <c r="AA1607" s="22">
        <f t="shared" si="310"/>
        <v>0</v>
      </c>
      <c r="AB1607" s="22">
        <f t="shared" si="311"/>
        <v>0</v>
      </c>
      <c r="AC1607" s="22">
        <f t="shared" si="312"/>
        <v>0</v>
      </c>
      <c r="AD1607" s="22">
        <f t="shared" si="304"/>
        <v>0</v>
      </c>
      <c r="AE1607" s="22">
        <f t="shared" si="305"/>
        <v>0</v>
      </c>
      <c r="AF1607" s="19" t="str">
        <f>VLOOKUP(C1607,'2021-22 School Level AAFTE'!C:N,12,FALSE)</f>
        <v>No</v>
      </c>
    </row>
    <row r="1608" spans="1:32" s="5" customFormat="1">
      <c r="A1608" s="97" t="s">
        <v>2269</v>
      </c>
      <c r="B1608" s="97" t="s">
        <v>77</v>
      </c>
      <c r="C1608" s="95">
        <v>2786</v>
      </c>
      <c r="D1608" s="95" t="s">
        <v>84</v>
      </c>
      <c r="E1608" s="129">
        <f>VLOOKUP($C1608,'2021-22 School Level AAFTE'!$C:$Z,11,FALSE)</f>
        <v>0.49223333333333336</v>
      </c>
      <c r="F1608" s="129" t="str">
        <f>VLOOKUP($C1608,'2021-22 School Level AAFTE'!$C:$Z,8,FALSE)</f>
        <v>Yes</v>
      </c>
      <c r="G1608" s="129" t="str">
        <f>VLOOKUP($C1608,'2021-22 School Level AAFTE'!$C:$Z,12,FALSE)</f>
        <v>No</v>
      </c>
      <c r="H1608" s="127">
        <f>VLOOKUP($C1608,'2021-22 School Level AAFTE'!$C:$I,7,FALSE)</f>
        <v>476.49</v>
      </c>
      <c r="I1608" s="112">
        <f>IFERROR(IF(OR(G1608="yes",F1608= "yes"),VLOOKUP(C1608,Summary!$B:$J,6,0),0),0)</f>
        <v>0</v>
      </c>
      <c r="J1608" s="111">
        <f t="shared" si="306"/>
        <v>476.49</v>
      </c>
      <c r="K1608" s="91">
        <f>VLOOKUP($A1608,'2022-23 Salary &amp; Benefits'!$A:$I,3,FALSE)</f>
        <v>1.03</v>
      </c>
      <c r="L1608" s="91">
        <f>VLOOKUP($A1608,'2022-23 Salary &amp; Benefits'!$A:$I,4,FALSE)</f>
        <v>1.03</v>
      </c>
      <c r="M1608" s="101">
        <f t="shared" si="301"/>
        <v>476.49</v>
      </c>
      <c r="N1608" s="24">
        <v>15</v>
      </c>
      <c r="O1608" s="26">
        <f t="shared" si="302"/>
        <v>31.766000000000002</v>
      </c>
      <c r="P1608" s="24">
        <v>1.1000000000000001</v>
      </c>
      <c r="Q1608" s="24">
        <v>36</v>
      </c>
      <c r="R1608" s="27">
        <f t="shared" si="303"/>
        <v>1257.9336000000003</v>
      </c>
      <c r="S1608" s="102">
        <f t="shared" si="307"/>
        <v>1.3979999999999999</v>
      </c>
      <c r="T1608" s="21">
        <f>VLOOKUP($A1608,'2022-23 Salary &amp; Benefits'!$A:$I,5,FALSE)</f>
        <v>68937</v>
      </c>
      <c r="U1608" s="21">
        <f>VLOOKUP($A1608,'2022-23 Salary &amp; Benefits'!$A:$I,6,FALSE)</f>
        <v>72728</v>
      </c>
      <c r="V1608" s="22">
        <f t="shared" si="308"/>
        <v>99265.14</v>
      </c>
      <c r="W1608" s="22">
        <f t="shared" si="309"/>
        <v>5458.820000000007</v>
      </c>
      <c r="X1608" s="22">
        <f>'2022-23 Salary &amp; Benefits'!$G$6</f>
        <v>12558.24</v>
      </c>
      <c r="Y1608" s="23">
        <f>'2022-23 Salary &amp; Benefits'!$H$6</f>
        <v>0.2298</v>
      </c>
      <c r="Z1608" s="23">
        <f>'2022-23 Salary &amp; Benefits'!$I$6</f>
        <v>0.22339999999999999</v>
      </c>
      <c r="AA1608" s="22">
        <f t="shared" si="310"/>
        <v>41587.050000000003</v>
      </c>
      <c r="AB1608" s="22">
        <f t="shared" si="311"/>
        <v>1745.4</v>
      </c>
      <c r="AC1608" s="22">
        <f t="shared" si="312"/>
        <v>389.92</v>
      </c>
      <c r="AD1608" s="22">
        <f t="shared" si="304"/>
        <v>2135.3200000000002</v>
      </c>
      <c r="AE1608" s="22">
        <f t="shared" si="305"/>
        <v>148446.33000000002</v>
      </c>
      <c r="AF1608" s="19" t="str">
        <f>VLOOKUP(C1608,'2021-22 School Level AAFTE'!C:N,12,FALSE)</f>
        <v>No</v>
      </c>
    </row>
    <row r="1609" spans="1:32" s="5" customFormat="1">
      <c r="A1609" s="97" t="s">
        <v>2269</v>
      </c>
      <c r="B1609" s="97" t="s">
        <v>77</v>
      </c>
      <c r="C1609" s="95">
        <v>3511</v>
      </c>
      <c r="D1609" s="95" t="s">
        <v>85</v>
      </c>
      <c r="E1609" s="129">
        <f>VLOOKUP($C1609,'2021-22 School Level AAFTE'!$C:$Z,11,FALSE)</f>
        <v>0.2311</v>
      </c>
      <c r="F1609" s="129" t="str">
        <f>VLOOKUP($C1609,'2021-22 School Level AAFTE'!$C:$Z,8,FALSE)</f>
        <v>No</v>
      </c>
      <c r="G1609" s="129" t="str">
        <f>VLOOKUP($C1609,'2021-22 School Level AAFTE'!$C:$Z,12,FALSE)</f>
        <v>No</v>
      </c>
      <c r="H1609" s="127">
        <f>VLOOKUP($C1609,'2021-22 School Level AAFTE'!$C:$I,7,FALSE)</f>
        <v>2032.1799999999998</v>
      </c>
      <c r="I1609" s="112">
        <f>IFERROR(IF(OR(G1609="yes",F1609= "yes"),VLOOKUP(C1609,Summary!$B:$J,6,0),0),0)</f>
        <v>0</v>
      </c>
      <c r="J1609" s="111">
        <f t="shared" si="306"/>
        <v>0</v>
      </c>
      <c r="K1609" s="91">
        <f>VLOOKUP($A1609,'2022-23 Salary &amp; Benefits'!$A:$I,3,FALSE)</f>
        <v>1.03</v>
      </c>
      <c r="L1609" s="91">
        <f>VLOOKUP($A1609,'2022-23 Salary &amp; Benefits'!$A:$I,4,FALSE)</f>
        <v>1.03</v>
      </c>
      <c r="M1609" s="39">
        <f t="shared" ref="M1609:M1671" si="313">IF(I1609&gt;0,I1609,J1609)</f>
        <v>0</v>
      </c>
      <c r="N1609" s="24">
        <v>15</v>
      </c>
      <c r="O1609" s="26">
        <f t="shared" si="302"/>
        <v>0</v>
      </c>
      <c r="P1609" s="24">
        <v>1.1000000000000001</v>
      </c>
      <c r="Q1609" s="24">
        <v>36</v>
      </c>
      <c r="R1609" s="27">
        <f t="shared" si="303"/>
        <v>0</v>
      </c>
      <c r="S1609" s="102">
        <f t="shared" si="307"/>
        <v>0</v>
      </c>
      <c r="T1609" s="21">
        <f>VLOOKUP($A1609,'2022-23 Salary &amp; Benefits'!$A:$I,5,FALSE)</f>
        <v>68937</v>
      </c>
      <c r="U1609" s="21">
        <f>VLOOKUP($A1609,'2022-23 Salary &amp; Benefits'!$A:$I,6,FALSE)</f>
        <v>72728</v>
      </c>
      <c r="V1609" s="22">
        <f t="shared" si="308"/>
        <v>0</v>
      </c>
      <c r="W1609" s="22">
        <f t="shared" si="309"/>
        <v>0</v>
      </c>
      <c r="X1609" s="22">
        <f>'2022-23 Salary &amp; Benefits'!$G$6</f>
        <v>12558.24</v>
      </c>
      <c r="Y1609" s="23">
        <f>'2022-23 Salary &amp; Benefits'!$H$6</f>
        <v>0.2298</v>
      </c>
      <c r="Z1609" s="23">
        <f>'2022-23 Salary &amp; Benefits'!$I$6</f>
        <v>0.22339999999999999</v>
      </c>
      <c r="AA1609" s="22">
        <f t="shared" si="310"/>
        <v>0</v>
      </c>
      <c r="AB1609" s="22">
        <f t="shared" si="311"/>
        <v>0</v>
      </c>
      <c r="AC1609" s="22">
        <f t="shared" si="312"/>
        <v>0</v>
      </c>
      <c r="AD1609" s="22">
        <f t="shared" ref="AD1609:AD1671" si="314">SUM(AB1609:AC1609)</f>
        <v>0</v>
      </c>
      <c r="AE1609" s="22">
        <f t="shared" ref="AE1609:AE1671" si="315">SUM(AA1609,V1609:W1609,AD1609)</f>
        <v>0</v>
      </c>
      <c r="AF1609" s="19" t="str">
        <f>VLOOKUP(C1609,'2021-22 School Level AAFTE'!C:N,12,FALSE)</f>
        <v>No</v>
      </c>
    </row>
    <row r="1610" spans="1:32" s="5" customFormat="1">
      <c r="A1610" s="97" t="s">
        <v>2269</v>
      </c>
      <c r="B1610" s="97" t="s">
        <v>77</v>
      </c>
      <c r="C1610" s="95">
        <v>3732</v>
      </c>
      <c r="D1610" s="95" t="s">
        <v>86</v>
      </c>
      <c r="E1610" s="129">
        <f>VLOOKUP($C1610,'2021-22 School Level AAFTE'!$C:$Z,11,FALSE)</f>
        <v>0.3257666666666667</v>
      </c>
      <c r="F1610" s="129" t="str">
        <f>VLOOKUP($C1610,'2021-22 School Level AAFTE'!$C:$Z,8,FALSE)</f>
        <v>No</v>
      </c>
      <c r="G1610" s="129" t="str">
        <f>VLOOKUP($C1610,'2021-22 School Level AAFTE'!$C:$Z,12,FALSE)</f>
        <v>No</v>
      </c>
      <c r="H1610" s="127">
        <f>VLOOKUP($C1610,'2021-22 School Level AAFTE'!$C:$I,7,FALSE)</f>
        <v>439.57</v>
      </c>
      <c r="I1610" s="112">
        <f>IFERROR(IF(OR(G1610="yes",F1610= "yes"),VLOOKUP(C1610,Summary!$B:$J,6,0),0),0)</f>
        <v>0</v>
      </c>
      <c r="J1610" s="111">
        <f t="shared" si="306"/>
        <v>0</v>
      </c>
      <c r="K1610" s="91">
        <f>VLOOKUP($A1610,'2022-23 Salary &amp; Benefits'!$A:$I,3,FALSE)</f>
        <v>1.03</v>
      </c>
      <c r="L1610" s="91">
        <f>VLOOKUP($A1610,'2022-23 Salary &amp; Benefits'!$A:$I,4,FALSE)</f>
        <v>1.03</v>
      </c>
      <c r="M1610" s="101">
        <f t="shared" si="313"/>
        <v>0</v>
      </c>
      <c r="N1610" s="24">
        <v>15</v>
      </c>
      <c r="O1610" s="26">
        <f t="shared" ref="O1610:O1673" si="316">IF(M1610="no",0,M1610/N1610)</f>
        <v>0</v>
      </c>
      <c r="P1610" s="24">
        <v>1.1000000000000001</v>
      </c>
      <c r="Q1610" s="24">
        <v>36</v>
      </c>
      <c r="R1610" s="27">
        <f t="shared" ref="R1610:R1673" si="317">IF(M1610="no",0,O1610*P1610*Q1610)</f>
        <v>0</v>
      </c>
      <c r="S1610" s="102">
        <f t="shared" si="307"/>
        <v>0</v>
      </c>
      <c r="T1610" s="21">
        <f>VLOOKUP($A1610,'2022-23 Salary &amp; Benefits'!$A:$I,5,FALSE)</f>
        <v>68937</v>
      </c>
      <c r="U1610" s="21">
        <f>VLOOKUP($A1610,'2022-23 Salary &amp; Benefits'!$A:$I,6,FALSE)</f>
        <v>72728</v>
      </c>
      <c r="V1610" s="22">
        <f t="shared" si="308"/>
        <v>0</v>
      </c>
      <c r="W1610" s="22">
        <f t="shared" si="309"/>
        <v>0</v>
      </c>
      <c r="X1610" s="22">
        <f>'2022-23 Salary &amp; Benefits'!$G$6</f>
        <v>12558.24</v>
      </c>
      <c r="Y1610" s="23">
        <f>'2022-23 Salary &amp; Benefits'!$H$6</f>
        <v>0.2298</v>
      </c>
      <c r="Z1610" s="23">
        <f>'2022-23 Salary &amp; Benefits'!$I$6</f>
        <v>0.22339999999999999</v>
      </c>
      <c r="AA1610" s="22">
        <f t="shared" si="310"/>
        <v>0</v>
      </c>
      <c r="AB1610" s="22">
        <f t="shared" si="311"/>
        <v>0</v>
      </c>
      <c r="AC1610" s="22">
        <f t="shared" si="312"/>
        <v>0</v>
      </c>
      <c r="AD1610" s="22">
        <f t="shared" si="314"/>
        <v>0</v>
      </c>
      <c r="AE1610" s="22">
        <f t="shared" si="315"/>
        <v>0</v>
      </c>
      <c r="AF1610" s="19" t="str">
        <f>VLOOKUP(C1610,'2021-22 School Level AAFTE'!C:N,12,FALSE)</f>
        <v>No</v>
      </c>
    </row>
    <row r="1611" spans="1:32" s="5" customFormat="1">
      <c r="A1611" s="97" t="s">
        <v>2269</v>
      </c>
      <c r="B1611" s="97" t="s">
        <v>77</v>
      </c>
      <c r="C1611" s="95">
        <v>3833</v>
      </c>
      <c r="D1611" s="95" t="s">
        <v>87</v>
      </c>
      <c r="E1611" s="129">
        <f>VLOOKUP($C1611,'2021-22 School Level AAFTE'!$C:$Z,11,FALSE)</f>
        <v>0.19316666666666668</v>
      </c>
      <c r="F1611" s="129" t="str">
        <f>VLOOKUP($C1611,'2021-22 School Level AAFTE'!$C:$Z,8,FALSE)</f>
        <v>No</v>
      </c>
      <c r="G1611" s="129" t="str">
        <f>VLOOKUP($C1611,'2021-22 School Level AAFTE'!$C:$Z,12,FALSE)</f>
        <v>No</v>
      </c>
      <c r="H1611" s="127">
        <f>VLOOKUP($C1611,'2021-22 School Level AAFTE'!$C:$I,7,FALSE)</f>
        <v>1848.7</v>
      </c>
      <c r="I1611" s="112">
        <f>IFERROR(IF(OR(G1611="yes",F1611= "yes"),VLOOKUP(C1611,Summary!$B:$J,6,0),0),0)</f>
        <v>0</v>
      </c>
      <c r="J1611" s="111">
        <f t="shared" ref="J1611:J1674" si="318">IF(OR(G1611="yes",F1611= "yes"), H1611,0)</f>
        <v>0</v>
      </c>
      <c r="K1611" s="91">
        <f>VLOOKUP($A1611,'2022-23 Salary &amp; Benefits'!$A:$I,3,FALSE)</f>
        <v>1.03</v>
      </c>
      <c r="L1611" s="91">
        <f>VLOOKUP($A1611,'2022-23 Salary &amp; Benefits'!$A:$I,4,FALSE)</f>
        <v>1.03</v>
      </c>
      <c r="M1611" s="101">
        <f t="shared" si="313"/>
        <v>0</v>
      </c>
      <c r="N1611" s="24">
        <v>15</v>
      </c>
      <c r="O1611" s="26">
        <f t="shared" si="316"/>
        <v>0</v>
      </c>
      <c r="P1611" s="24">
        <v>1.1000000000000001</v>
      </c>
      <c r="Q1611" s="24">
        <v>36</v>
      </c>
      <c r="R1611" s="27">
        <f t="shared" si="317"/>
        <v>0</v>
      </c>
      <c r="S1611" s="102">
        <f t="shared" ref="S1611:S1674" si="319">ROUND(IF(M1611="no",0,R1611/900),3)</f>
        <v>0</v>
      </c>
      <c r="T1611" s="21">
        <f>VLOOKUP($A1611,'2022-23 Salary &amp; Benefits'!$A:$I,5,FALSE)</f>
        <v>68937</v>
      </c>
      <c r="U1611" s="21">
        <f>VLOOKUP($A1611,'2022-23 Salary &amp; Benefits'!$A:$I,6,FALSE)</f>
        <v>72728</v>
      </c>
      <c r="V1611" s="22">
        <f t="shared" ref="V1611:V1674" si="320">ROUND($K1611*$T1611*$S1611,2)</f>
        <v>0</v>
      </c>
      <c r="W1611" s="22">
        <f t="shared" ref="W1611:W1674" si="321">ROUND($L1611*$U1611*$S1611,2)-V1611</f>
        <v>0</v>
      </c>
      <c r="X1611" s="22">
        <f>'2022-23 Salary &amp; Benefits'!$G$6</f>
        <v>12558.24</v>
      </c>
      <c r="Y1611" s="23">
        <f>'2022-23 Salary &amp; Benefits'!$H$6</f>
        <v>0.2298</v>
      </c>
      <c r="Z1611" s="23">
        <f>'2022-23 Salary &amp; Benefits'!$I$6</f>
        <v>0.22339999999999999</v>
      </c>
      <c r="AA1611" s="22">
        <f t="shared" ref="AA1611:AA1674" si="322">ROUND(V1611*Y1611+W1611*Z1611+S1611*X1611,2)</f>
        <v>0</v>
      </c>
      <c r="AB1611" s="22">
        <f t="shared" ref="AB1611:AB1674" si="323">ROUND(($U1611*$L1611*$S1611/180*3),2)</f>
        <v>0</v>
      </c>
      <c r="AC1611" s="22">
        <f t="shared" ref="AC1611:AC1674" si="324">ROUND(AB1611*Z1611,2)</f>
        <v>0</v>
      </c>
      <c r="AD1611" s="22">
        <f t="shared" si="314"/>
        <v>0</v>
      </c>
      <c r="AE1611" s="22">
        <f t="shared" si="315"/>
        <v>0</v>
      </c>
      <c r="AF1611" s="19" t="str">
        <f>VLOOKUP(C1611,'2021-22 School Level AAFTE'!C:N,12,FALSE)</f>
        <v>No</v>
      </c>
    </row>
    <row r="1612" spans="1:32" s="5" customFormat="1">
      <c r="A1612" s="97" t="s">
        <v>2269</v>
      </c>
      <c r="B1612" s="97" t="s">
        <v>77</v>
      </c>
      <c r="C1612" s="95">
        <v>3926</v>
      </c>
      <c r="D1612" s="95" t="s">
        <v>88</v>
      </c>
      <c r="E1612" s="129">
        <f>VLOOKUP($C1612,'2021-22 School Level AAFTE'!$C:$Z,11,FALSE)</f>
        <v>0.23506666666666667</v>
      </c>
      <c r="F1612" s="129" t="str">
        <f>VLOOKUP($C1612,'2021-22 School Level AAFTE'!$C:$Z,8,FALSE)</f>
        <v>No</v>
      </c>
      <c r="G1612" s="129" t="str">
        <f>VLOOKUP($C1612,'2021-22 School Level AAFTE'!$C:$Z,12,FALSE)</f>
        <v>No</v>
      </c>
      <c r="H1612" s="127">
        <f>VLOOKUP($C1612,'2021-22 School Level AAFTE'!$C:$I,7,FALSE)</f>
        <v>665.53</v>
      </c>
      <c r="I1612" s="112">
        <f>IFERROR(IF(OR(G1612="yes",F1612= "yes"),VLOOKUP(C1612,Summary!$B:$J,6,0),0),0)</f>
        <v>0</v>
      </c>
      <c r="J1612" s="111">
        <f t="shared" si="318"/>
        <v>0</v>
      </c>
      <c r="K1612" s="91">
        <f>VLOOKUP($A1612,'2022-23 Salary &amp; Benefits'!$A:$I,3,FALSE)</f>
        <v>1.03</v>
      </c>
      <c r="L1612" s="91">
        <f>VLOOKUP($A1612,'2022-23 Salary &amp; Benefits'!$A:$I,4,FALSE)</f>
        <v>1.03</v>
      </c>
      <c r="M1612" s="101">
        <f t="shared" si="313"/>
        <v>0</v>
      </c>
      <c r="N1612" s="24">
        <v>15</v>
      </c>
      <c r="O1612" s="26">
        <f t="shared" si="316"/>
        <v>0</v>
      </c>
      <c r="P1612" s="24">
        <v>1.1000000000000001</v>
      </c>
      <c r="Q1612" s="24">
        <v>36</v>
      </c>
      <c r="R1612" s="27">
        <f t="shared" si="317"/>
        <v>0</v>
      </c>
      <c r="S1612" s="102">
        <f t="shared" si="319"/>
        <v>0</v>
      </c>
      <c r="T1612" s="21">
        <f>VLOOKUP($A1612,'2022-23 Salary &amp; Benefits'!$A:$I,5,FALSE)</f>
        <v>68937</v>
      </c>
      <c r="U1612" s="21">
        <f>VLOOKUP($A1612,'2022-23 Salary &amp; Benefits'!$A:$I,6,FALSE)</f>
        <v>72728</v>
      </c>
      <c r="V1612" s="22">
        <f t="shared" si="320"/>
        <v>0</v>
      </c>
      <c r="W1612" s="22">
        <f t="shared" si="321"/>
        <v>0</v>
      </c>
      <c r="X1612" s="22">
        <f>'2022-23 Salary &amp; Benefits'!$G$6</f>
        <v>12558.24</v>
      </c>
      <c r="Y1612" s="23">
        <f>'2022-23 Salary &amp; Benefits'!$H$6</f>
        <v>0.2298</v>
      </c>
      <c r="Z1612" s="23">
        <f>'2022-23 Salary &amp; Benefits'!$I$6</f>
        <v>0.22339999999999999</v>
      </c>
      <c r="AA1612" s="22">
        <f t="shared" si="322"/>
        <v>0</v>
      </c>
      <c r="AB1612" s="22">
        <f t="shared" si="323"/>
        <v>0</v>
      </c>
      <c r="AC1612" s="22">
        <f t="shared" si="324"/>
        <v>0</v>
      </c>
      <c r="AD1612" s="22">
        <f t="shared" si="314"/>
        <v>0</v>
      </c>
      <c r="AE1612" s="22">
        <f t="shared" si="315"/>
        <v>0</v>
      </c>
      <c r="AF1612" s="19" t="str">
        <f>VLOOKUP(C1612,'2021-22 School Level AAFTE'!C:N,12,FALSE)</f>
        <v>No</v>
      </c>
    </row>
    <row r="1613" spans="1:32" s="5" customFormat="1">
      <c r="A1613" s="97" t="s">
        <v>2269</v>
      </c>
      <c r="B1613" s="97" t="s">
        <v>77</v>
      </c>
      <c r="C1613" s="95">
        <v>4059</v>
      </c>
      <c r="D1613" s="95" t="s">
        <v>89</v>
      </c>
      <c r="E1613" s="129">
        <f>VLOOKUP($C1613,'2021-22 School Level AAFTE'!$C:$Z,11,FALSE)</f>
        <v>0.34260000000000002</v>
      </c>
      <c r="F1613" s="129" t="str">
        <f>VLOOKUP($C1613,'2021-22 School Level AAFTE'!$C:$Z,8,FALSE)</f>
        <v>No</v>
      </c>
      <c r="G1613" s="129" t="str">
        <f>VLOOKUP($C1613,'2021-22 School Level AAFTE'!$C:$Z,12,FALSE)</f>
        <v>No</v>
      </c>
      <c r="H1613" s="127">
        <f>VLOOKUP($C1613,'2021-22 School Level AAFTE'!$C:$I,7,FALSE)</f>
        <v>634.86</v>
      </c>
      <c r="I1613" s="112">
        <f>IFERROR(IF(OR(G1613="yes",F1613= "yes"),VLOOKUP(C1613,Summary!$B:$J,6,0),0),0)</f>
        <v>0</v>
      </c>
      <c r="J1613" s="111">
        <f t="shared" si="318"/>
        <v>0</v>
      </c>
      <c r="K1613" s="91">
        <f>VLOOKUP($A1613,'2022-23 Salary &amp; Benefits'!$A:$I,3,FALSE)</f>
        <v>1.03</v>
      </c>
      <c r="L1613" s="91">
        <f>VLOOKUP($A1613,'2022-23 Salary &amp; Benefits'!$A:$I,4,FALSE)</f>
        <v>1.03</v>
      </c>
      <c r="M1613" s="101">
        <f t="shared" si="313"/>
        <v>0</v>
      </c>
      <c r="N1613" s="24">
        <v>15</v>
      </c>
      <c r="O1613" s="26">
        <f t="shared" si="316"/>
        <v>0</v>
      </c>
      <c r="P1613" s="24">
        <v>1.1000000000000001</v>
      </c>
      <c r="Q1613" s="24">
        <v>36</v>
      </c>
      <c r="R1613" s="27">
        <f t="shared" si="317"/>
        <v>0</v>
      </c>
      <c r="S1613" s="102">
        <f t="shared" si="319"/>
        <v>0</v>
      </c>
      <c r="T1613" s="21">
        <f>VLOOKUP($A1613,'2022-23 Salary &amp; Benefits'!$A:$I,5,FALSE)</f>
        <v>68937</v>
      </c>
      <c r="U1613" s="21">
        <f>VLOOKUP($A1613,'2022-23 Salary &amp; Benefits'!$A:$I,6,FALSE)</f>
        <v>72728</v>
      </c>
      <c r="V1613" s="22">
        <f t="shared" si="320"/>
        <v>0</v>
      </c>
      <c r="W1613" s="22">
        <f t="shared" si="321"/>
        <v>0</v>
      </c>
      <c r="X1613" s="22">
        <f>'2022-23 Salary &amp; Benefits'!$G$6</f>
        <v>12558.24</v>
      </c>
      <c r="Y1613" s="23">
        <f>'2022-23 Salary &amp; Benefits'!$H$6</f>
        <v>0.2298</v>
      </c>
      <c r="Z1613" s="23">
        <f>'2022-23 Salary &amp; Benefits'!$I$6</f>
        <v>0.22339999999999999</v>
      </c>
      <c r="AA1613" s="22">
        <f t="shared" si="322"/>
        <v>0</v>
      </c>
      <c r="AB1613" s="22">
        <f t="shared" si="323"/>
        <v>0</v>
      </c>
      <c r="AC1613" s="22">
        <f t="shared" si="324"/>
        <v>0</v>
      </c>
      <c r="AD1613" s="22">
        <f t="shared" si="314"/>
        <v>0</v>
      </c>
      <c r="AE1613" s="22">
        <f t="shared" si="315"/>
        <v>0</v>
      </c>
      <c r="AF1613" s="19" t="str">
        <f>VLOOKUP(C1613,'2021-22 School Level AAFTE'!C:N,12,FALSE)</f>
        <v>No</v>
      </c>
    </row>
    <row r="1614" spans="1:32" s="5" customFormat="1">
      <c r="A1614" s="97" t="s">
        <v>2269</v>
      </c>
      <c r="B1614" s="97" t="s">
        <v>77</v>
      </c>
      <c r="C1614" s="95">
        <v>4060</v>
      </c>
      <c r="D1614" s="95" t="s">
        <v>90</v>
      </c>
      <c r="E1614" s="129">
        <f>VLOOKUP($C1614,'2021-22 School Level AAFTE'!$C:$Z,11,FALSE)</f>
        <v>0.23050000000000001</v>
      </c>
      <c r="F1614" s="129" t="str">
        <f>VLOOKUP($C1614,'2021-22 School Level AAFTE'!$C:$Z,8,FALSE)</f>
        <v>No</v>
      </c>
      <c r="G1614" s="129" t="str">
        <f>VLOOKUP($C1614,'2021-22 School Level AAFTE'!$C:$Z,12,FALSE)</f>
        <v>No</v>
      </c>
      <c r="H1614" s="127">
        <f>VLOOKUP($C1614,'2021-22 School Level AAFTE'!$C:$I,7,FALSE)</f>
        <v>495.81</v>
      </c>
      <c r="I1614" s="112">
        <f>IFERROR(IF(OR(G1614="yes",F1614= "yes"),VLOOKUP(C1614,Summary!$B:$J,6,0),0),0)</f>
        <v>0</v>
      </c>
      <c r="J1614" s="111">
        <f t="shared" si="318"/>
        <v>0</v>
      </c>
      <c r="K1614" s="91">
        <f>VLOOKUP($A1614,'2022-23 Salary &amp; Benefits'!$A:$I,3,FALSE)</f>
        <v>1.03</v>
      </c>
      <c r="L1614" s="91">
        <f>VLOOKUP($A1614,'2022-23 Salary &amp; Benefits'!$A:$I,4,FALSE)</f>
        <v>1.03</v>
      </c>
      <c r="M1614" s="39">
        <f t="shared" si="313"/>
        <v>0</v>
      </c>
      <c r="N1614" s="24">
        <v>15</v>
      </c>
      <c r="O1614" s="26">
        <f t="shared" si="316"/>
        <v>0</v>
      </c>
      <c r="P1614" s="24">
        <v>1.1000000000000001</v>
      </c>
      <c r="Q1614" s="24">
        <v>36</v>
      </c>
      <c r="R1614" s="27">
        <f t="shared" si="317"/>
        <v>0</v>
      </c>
      <c r="S1614" s="102">
        <f t="shared" si="319"/>
        <v>0</v>
      </c>
      <c r="T1614" s="21">
        <f>VLOOKUP($A1614,'2022-23 Salary &amp; Benefits'!$A:$I,5,FALSE)</f>
        <v>68937</v>
      </c>
      <c r="U1614" s="21">
        <f>VLOOKUP($A1614,'2022-23 Salary &amp; Benefits'!$A:$I,6,FALSE)</f>
        <v>72728</v>
      </c>
      <c r="V1614" s="22">
        <f t="shared" si="320"/>
        <v>0</v>
      </c>
      <c r="W1614" s="22">
        <f t="shared" si="321"/>
        <v>0</v>
      </c>
      <c r="X1614" s="22">
        <f>'2022-23 Salary &amp; Benefits'!$G$6</f>
        <v>12558.24</v>
      </c>
      <c r="Y1614" s="23">
        <f>'2022-23 Salary &amp; Benefits'!$H$6</f>
        <v>0.2298</v>
      </c>
      <c r="Z1614" s="23">
        <f>'2022-23 Salary &amp; Benefits'!$I$6</f>
        <v>0.22339999999999999</v>
      </c>
      <c r="AA1614" s="22">
        <f t="shared" si="322"/>
        <v>0</v>
      </c>
      <c r="AB1614" s="22">
        <f t="shared" si="323"/>
        <v>0</v>
      </c>
      <c r="AC1614" s="22">
        <f t="shared" si="324"/>
        <v>0</v>
      </c>
      <c r="AD1614" s="22">
        <f t="shared" si="314"/>
        <v>0</v>
      </c>
      <c r="AE1614" s="22">
        <f t="shared" si="315"/>
        <v>0</v>
      </c>
      <c r="AF1614" s="19" t="str">
        <f>VLOOKUP(C1614,'2021-22 School Level AAFTE'!C:N,12,FALSE)</f>
        <v>No</v>
      </c>
    </row>
    <row r="1615" spans="1:32" s="5" customFormat="1">
      <c r="A1615" s="97" t="s">
        <v>2269</v>
      </c>
      <c r="B1615" s="97" t="s">
        <v>77</v>
      </c>
      <c r="C1615" s="95">
        <v>4295</v>
      </c>
      <c r="D1615" s="95" t="s">
        <v>91</v>
      </c>
      <c r="E1615" s="129">
        <f>VLOOKUP($C1615,'2021-22 School Level AAFTE'!$C:$Z,11,FALSE)</f>
        <v>0.42656666666666671</v>
      </c>
      <c r="F1615" s="129" t="str">
        <f>VLOOKUP($C1615,'2021-22 School Level AAFTE'!$C:$Z,8,FALSE)</f>
        <v>Yes</v>
      </c>
      <c r="G1615" s="129" t="str">
        <f>VLOOKUP($C1615,'2021-22 School Level AAFTE'!$C:$Z,12,FALSE)</f>
        <v>No</v>
      </c>
      <c r="H1615" s="127">
        <f>VLOOKUP($C1615,'2021-22 School Level AAFTE'!$C:$I,7,FALSE)</f>
        <v>175.13</v>
      </c>
      <c r="I1615" s="112">
        <f>IFERROR(IF(OR(G1615="yes",F1615= "yes"),VLOOKUP(C1615,Summary!$B:$J,6,0),0),0)</f>
        <v>0</v>
      </c>
      <c r="J1615" s="111">
        <f t="shared" si="318"/>
        <v>175.13</v>
      </c>
      <c r="K1615" s="91">
        <f>VLOOKUP($A1615,'2022-23 Salary &amp; Benefits'!$A:$I,3,FALSE)</f>
        <v>1.03</v>
      </c>
      <c r="L1615" s="91">
        <f>VLOOKUP($A1615,'2022-23 Salary &amp; Benefits'!$A:$I,4,FALSE)</f>
        <v>1.03</v>
      </c>
      <c r="M1615" s="101">
        <f t="shared" si="313"/>
        <v>175.13</v>
      </c>
      <c r="N1615" s="24">
        <v>15</v>
      </c>
      <c r="O1615" s="26">
        <f t="shared" si="316"/>
        <v>11.675333333333333</v>
      </c>
      <c r="P1615" s="24">
        <v>1.1000000000000001</v>
      </c>
      <c r="Q1615" s="24">
        <v>36</v>
      </c>
      <c r="R1615" s="27">
        <f t="shared" si="317"/>
        <v>462.34320000000002</v>
      </c>
      <c r="S1615" s="102">
        <f t="shared" si="319"/>
        <v>0.51400000000000001</v>
      </c>
      <c r="T1615" s="21">
        <f>VLOOKUP($A1615,'2022-23 Salary &amp; Benefits'!$A:$I,5,FALSE)</f>
        <v>68937</v>
      </c>
      <c r="U1615" s="21">
        <f>VLOOKUP($A1615,'2022-23 Salary &amp; Benefits'!$A:$I,6,FALSE)</f>
        <v>72728</v>
      </c>
      <c r="V1615" s="22">
        <f t="shared" si="320"/>
        <v>36496.629999999997</v>
      </c>
      <c r="W1615" s="22">
        <f t="shared" si="321"/>
        <v>2007.0300000000061</v>
      </c>
      <c r="X1615" s="22">
        <f>'2022-23 Salary &amp; Benefits'!$G$6</f>
        <v>12558.24</v>
      </c>
      <c r="Y1615" s="23">
        <f>'2022-23 Salary &amp; Benefits'!$H$6</f>
        <v>0.2298</v>
      </c>
      <c r="Z1615" s="23">
        <f>'2022-23 Salary &amp; Benefits'!$I$6</f>
        <v>0.22339999999999999</v>
      </c>
      <c r="AA1615" s="22">
        <f t="shared" si="322"/>
        <v>15290.23</v>
      </c>
      <c r="AB1615" s="22">
        <f t="shared" si="323"/>
        <v>641.73</v>
      </c>
      <c r="AC1615" s="22">
        <f t="shared" si="324"/>
        <v>143.36000000000001</v>
      </c>
      <c r="AD1615" s="22">
        <f t="shared" si="314"/>
        <v>785.09</v>
      </c>
      <c r="AE1615" s="22">
        <f t="shared" si="315"/>
        <v>54578.98</v>
      </c>
      <c r="AF1615" s="19" t="str">
        <f>VLOOKUP(C1615,'2021-22 School Level AAFTE'!C:N,12,FALSE)</f>
        <v>No</v>
      </c>
    </row>
    <row r="1616" spans="1:32" s="5" customFormat="1">
      <c r="A1616" s="97" t="s">
        <v>2269</v>
      </c>
      <c r="B1616" s="97" t="s">
        <v>77</v>
      </c>
      <c r="C1616" s="95">
        <v>4543</v>
      </c>
      <c r="D1616" s="95" t="s">
        <v>92</v>
      </c>
      <c r="E1616" s="129">
        <f>VLOOKUP($C1616,'2021-22 School Level AAFTE'!$C:$Z,11,FALSE)</f>
        <v>0.16879999999999998</v>
      </c>
      <c r="F1616" s="129" t="str">
        <f>VLOOKUP($C1616,'2021-22 School Level AAFTE'!$C:$Z,8,FALSE)</f>
        <v>No</v>
      </c>
      <c r="G1616" s="129" t="str">
        <f>VLOOKUP($C1616,'2021-22 School Level AAFTE'!$C:$Z,12,FALSE)</f>
        <v>No</v>
      </c>
      <c r="H1616" s="127">
        <f>VLOOKUP($C1616,'2021-22 School Level AAFTE'!$C:$I,7,FALSE)</f>
        <v>568.86</v>
      </c>
      <c r="I1616" s="112">
        <f>IFERROR(IF(OR(G1616="yes",F1616= "yes"),VLOOKUP(C1616,Summary!$B:$J,6,0),0),0)</f>
        <v>0</v>
      </c>
      <c r="J1616" s="111">
        <f t="shared" si="318"/>
        <v>0</v>
      </c>
      <c r="K1616" s="91">
        <f>VLOOKUP($A1616,'2022-23 Salary &amp; Benefits'!$A:$I,3,FALSE)</f>
        <v>1.03</v>
      </c>
      <c r="L1616" s="91">
        <f>VLOOKUP($A1616,'2022-23 Salary &amp; Benefits'!$A:$I,4,FALSE)</f>
        <v>1.03</v>
      </c>
      <c r="M1616" s="101">
        <f t="shared" si="313"/>
        <v>0</v>
      </c>
      <c r="N1616" s="24">
        <v>15</v>
      </c>
      <c r="O1616" s="26">
        <f t="shared" si="316"/>
        <v>0</v>
      </c>
      <c r="P1616" s="24">
        <v>1.1000000000000001</v>
      </c>
      <c r="Q1616" s="24">
        <v>36</v>
      </c>
      <c r="R1616" s="27">
        <f t="shared" si="317"/>
        <v>0</v>
      </c>
      <c r="S1616" s="102">
        <f t="shared" si="319"/>
        <v>0</v>
      </c>
      <c r="T1616" s="21">
        <f>VLOOKUP($A1616,'2022-23 Salary &amp; Benefits'!$A:$I,5,FALSE)</f>
        <v>68937</v>
      </c>
      <c r="U1616" s="21">
        <f>VLOOKUP($A1616,'2022-23 Salary &amp; Benefits'!$A:$I,6,FALSE)</f>
        <v>72728</v>
      </c>
      <c r="V1616" s="22">
        <f t="shared" si="320"/>
        <v>0</v>
      </c>
      <c r="W1616" s="22">
        <f t="shared" si="321"/>
        <v>0</v>
      </c>
      <c r="X1616" s="22">
        <f>'2022-23 Salary &amp; Benefits'!$G$6</f>
        <v>12558.24</v>
      </c>
      <c r="Y1616" s="23">
        <f>'2022-23 Salary &amp; Benefits'!$H$6</f>
        <v>0.2298</v>
      </c>
      <c r="Z1616" s="23">
        <f>'2022-23 Salary &amp; Benefits'!$I$6</f>
        <v>0.22339999999999999</v>
      </c>
      <c r="AA1616" s="22">
        <f t="shared" si="322"/>
        <v>0</v>
      </c>
      <c r="AB1616" s="22">
        <f t="shared" si="323"/>
        <v>0</v>
      </c>
      <c r="AC1616" s="22">
        <f t="shared" si="324"/>
        <v>0</v>
      </c>
      <c r="AD1616" s="22">
        <f t="shared" si="314"/>
        <v>0</v>
      </c>
      <c r="AE1616" s="22">
        <f t="shared" si="315"/>
        <v>0</v>
      </c>
      <c r="AF1616" s="19" t="str">
        <f>VLOOKUP(C1616,'2021-22 School Level AAFTE'!C:N,12,FALSE)</f>
        <v>No</v>
      </c>
    </row>
    <row r="1617" spans="1:32" s="5" customFormat="1">
      <c r="A1617" s="97" t="s">
        <v>2269</v>
      </c>
      <c r="B1617" s="97" t="s">
        <v>77</v>
      </c>
      <c r="C1617" s="95">
        <v>5092</v>
      </c>
      <c r="D1617" s="95" t="s">
        <v>93</v>
      </c>
      <c r="E1617" s="129">
        <f>VLOOKUP($C1617,'2021-22 School Level AAFTE'!$C:$Z,11,FALSE)</f>
        <v>0.12069999999999999</v>
      </c>
      <c r="F1617" s="129" t="str">
        <f>VLOOKUP($C1617,'2021-22 School Level AAFTE'!$C:$Z,8,FALSE)</f>
        <v>No</v>
      </c>
      <c r="G1617" s="129" t="str">
        <f>VLOOKUP($C1617,'2021-22 School Level AAFTE'!$C:$Z,12,FALSE)</f>
        <v>No</v>
      </c>
      <c r="H1617" s="127">
        <f>VLOOKUP($C1617,'2021-22 School Level AAFTE'!$C:$I,7,FALSE)</f>
        <v>709.55</v>
      </c>
      <c r="I1617" s="112">
        <f>IFERROR(IF(OR(G1617="yes",F1617= "yes"),VLOOKUP(C1617,Summary!$B:$J,6,0),0),0)</f>
        <v>0</v>
      </c>
      <c r="J1617" s="111">
        <f t="shared" si="318"/>
        <v>0</v>
      </c>
      <c r="K1617" s="91">
        <f>VLOOKUP($A1617,'2022-23 Salary &amp; Benefits'!$A:$I,3,FALSE)</f>
        <v>1.03</v>
      </c>
      <c r="L1617" s="91">
        <f>VLOOKUP($A1617,'2022-23 Salary &amp; Benefits'!$A:$I,4,FALSE)</f>
        <v>1.03</v>
      </c>
      <c r="M1617" s="101">
        <f t="shared" si="313"/>
        <v>0</v>
      </c>
      <c r="N1617" s="24">
        <v>15</v>
      </c>
      <c r="O1617" s="26">
        <f t="shared" si="316"/>
        <v>0</v>
      </c>
      <c r="P1617" s="24">
        <v>1.1000000000000001</v>
      </c>
      <c r="Q1617" s="24">
        <v>36</v>
      </c>
      <c r="R1617" s="27">
        <f t="shared" si="317"/>
        <v>0</v>
      </c>
      <c r="S1617" s="102">
        <f t="shared" si="319"/>
        <v>0</v>
      </c>
      <c r="T1617" s="21">
        <f>VLOOKUP($A1617,'2022-23 Salary &amp; Benefits'!$A:$I,5,FALSE)</f>
        <v>68937</v>
      </c>
      <c r="U1617" s="21">
        <f>VLOOKUP($A1617,'2022-23 Salary &amp; Benefits'!$A:$I,6,FALSE)</f>
        <v>72728</v>
      </c>
      <c r="V1617" s="22">
        <f t="shared" si="320"/>
        <v>0</v>
      </c>
      <c r="W1617" s="22">
        <f t="shared" si="321"/>
        <v>0</v>
      </c>
      <c r="X1617" s="22">
        <f>'2022-23 Salary &amp; Benefits'!$G$6</f>
        <v>12558.24</v>
      </c>
      <c r="Y1617" s="23">
        <f>'2022-23 Salary &amp; Benefits'!$H$6</f>
        <v>0.2298</v>
      </c>
      <c r="Z1617" s="23">
        <f>'2022-23 Salary &amp; Benefits'!$I$6</f>
        <v>0.22339999999999999</v>
      </c>
      <c r="AA1617" s="22">
        <f t="shared" si="322"/>
        <v>0</v>
      </c>
      <c r="AB1617" s="22">
        <f t="shared" si="323"/>
        <v>0</v>
      </c>
      <c r="AC1617" s="22">
        <f t="shared" si="324"/>
        <v>0</v>
      </c>
      <c r="AD1617" s="22">
        <f t="shared" si="314"/>
        <v>0</v>
      </c>
      <c r="AE1617" s="22">
        <f t="shared" si="315"/>
        <v>0</v>
      </c>
      <c r="AF1617" s="19" t="str">
        <f>VLOOKUP(C1617,'2021-22 School Level AAFTE'!C:N,12,FALSE)</f>
        <v>No</v>
      </c>
    </row>
    <row r="1618" spans="1:32" s="5" customFormat="1">
      <c r="A1618" s="97" t="s">
        <v>2269</v>
      </c>
      <c r="B1618" s="97" t="s">
        <v>77</v>
      </c>
      <c r="C1618" s="95">
        <v>5165</v>
      </c>
      <c r="D1618" s="95" t="s">
        <v>94</v>
      </c>
      <c r="E1618" s="129">
        <f>VLOOKUP($C1618,'2021-22 School Level AAFTE'!$C:$Z,11,FALSE)</f>
        <v>0.12746666666666667</v>
      </c>
      <c r="F1618" s="129" t="str">
        <f>VLOOKUP($C1618,'2021-22 School Level AAFTE'!$C:$Z,8,FALSE)</f>
        <v>No</v>
      </c>
      <c r="G1618" s="129" t="str">
        <f>VLOOKUP($C1618,'2021-22 School Level AAFTE'!$C:$Z,12,FALSE)</f>
        <v>No</v>
      </c>
      <c r="H1618" s="127">
        <f>VLOOKUP($C1618,'2021-22 School Level AAFTE'!$C:$I,7,FALSE)</f>
        <v>646.98</v>
      </c>
      <c r="I1618" s="112">
        <f>IFERROR(IF(OR(G1618="yes",F1618= "yes"),VLOOKUP(C1618,Summary!$B:$J,6,0),0),0)</f>
        <v>0</v>
      </c>
      <c r="J1618" s="111">
        <f t="shared" si="318"/>
        <v>0</v>
      </c>
      <c r="K1618" s="91">
        <f>VLOOKUP($A1618,'2022-23 Salary &amp; Benefits'!$A:$I,3,FALSE)</f>
        <v>1.03</v>
      </c>
      <c r="L1618" s="91">
        <f>VLOOKUP($A1618,'2022-23 Salary &amp; Benefits'!$A:$I,4,FALSE)</f>
        <v>1.03</v>
      </c>
      <c r="M1618" s="101">
        <f t="shared" si="313"/>
        <v>0</v>
      </c>
      <c r="N1618" s="24">
        <v>15</v>
      </c>
      <c r="O1618" s="26">
        <f t="shared" si="316"/>
        <v>0</v>
      </c>
      <c r="P1618" s="24">
        <v>1.1000000000000001</v>
      </c>
      <c r="Q1618" s="24">
        <v>36</v>
      </c>
      <c r="R1618" s="27">
        <f t="shared" si="317"/>
        <v>0</v>
      </c>
      <c r="S1618" s="102">
        <f t="shared" si="319"/>
        <v>0</v>
      </c>
      <c r="T1618" s="21">
        <f>VLOOKUP($A1618,'2022-23 Salary &amp; Benefits'!$A:$I,5,FALSE)</f>
        <v>68937</v>
      </c>
      <c r="U1618" s="21">
        <f>VLOOKUP($A1618,'2022-23 Salary &amp; Benefits'!$A:$I,6,FALSE)</f>
        <v>72728</v>
      </c>
      <c r="V1618" s="22">
        <f t="shared" si="320"/>
        <v>0</v>
      </c>
      <c r="W1618" s="22">
        <f t="shared" si="321"/>
        <v>0</v>
      </c>
      <c r="X1618" s="22">
        <f>'2022-23 Salary &amp; Benefits'!$G$6</f>
        <v>12558.24</v>
      </c>
      <c r="Y1618" s="23">
        <f>'2022-23 Salary &amp; Benefits'!$H$6</f>
        <v>0.2298</v>
      </c>
      <c r="Z1618" s="23">
        <f>'2022-23 Salary &amp; Benefits'!$I$6</f>
        <v>0.22339999999999999</v>
      </c>
      <c r="AA1618" s="22">
        <f t="shared" si="322"/>
        <v>0</v>
      </c>
      <c r="AB1618" s="22">
        <f t="shared" si="323"/>
        <v>0</v>
      </c>
      <c r="AC1618" s="22">
        <f t="shared" si="324"/>
        <v>0</v>
      </c>
      <c r="AD1618" s="22">
        <f t="shared" si="314"/>
        <v>0</v>
      </c>
      <c r="AE1618" s="22">
        <f t="shared" si="315"/>
        <v>0</v>
      </c>
      <c r="AF1618" s="19" t="str">
        <f>VLOOKUP(C1618,'2021-22 School Level AAFTE'!C:N,12,FALSE)</f>
        <v>No</v>
      </c>
    </row>
    <row r="1619" spans="1:32" s="5" customFormat="1">
      <c r="A1619" s="97" t="s">
        <v>2269</v>
      </c>
      <c r="B1619" s="97" t="s">
        <v>77</v>
      </c>
      <c r="C1619" s="95">
        <v>5419</v>
      </c>
      <c r="D1619" s="95" t="s">
        <v>95</v>
      </c>
      <c r="E1619" s="129">
        <f>VLOOKUP($C1619,'2021-22 School Level AAFTE'!$C:$Z,11,FALSE)</f>
        <v>0.13846666666666665</v>
      </c>
      <c r="F1619" s="129" t="str">
        <f>VLOOKUP($C1619,'2021-22 School Level AAFTE'!$C:$Z,8,FALSE)</f>
        <v>No</v>
      </c>
      <c r="G1619" s="129" t="str">
        <f>VLOOKUP($C1619,'2021-22 School Level AAFTE'!$C:$Z,12,FALSE)</f>
        <v>No</v>
      </c>
      <c r="H1619" s="127">
        <f>VLOOKUP($C1619,'2021-22 School Level AAFTE'!$C:$I,7,FALSE)</f>
        <v>666.07</v>
      </c>
      <c r="I1619" s="112">
        <f>IFERROR(IF(OR(G1619="yes",F1619= "yes"),VLOOKUP(C1619,Summary!$B:$J,6,0),0),0)</f>
        <v>0</v>
      </c>
      <c r="J1619" s="111">
        <f t="shared" si="318"/>
        <v>0</v>
      </c>
      <c r="K1619" s="91">
        <f>VLOOKUP($A1619,'2022-23 Salary &amp; Benefits'!$A:$I,3,FALSE)</f>
        <v>1.03</v>
      </c>
      <c r="L1619" s="91">
        <f>VLOOKUP($A1619,'2022-23 Salary &amp; Benefits'!$A:$I,4,FALSE)</f>
        <v>1.03</v>
      </c>
      <c r="M1619" s="101">
        <f t="shared" si="313"/>
        <v>0</v>
      </c>
      <c r="N1619" s="24">
        <v>15</v>
      </c>
      <c r="O1619" s="26">
        <f t="shared" si="316"/>
        <v>0</v>
      </c>
      <c r="P1619" s="24">
        <v>1.1000000000000001</v>
      </c>
      <c r="Q1619" s="24">
        <v>36</v>
      </c>
      <c r="R1619" s="27">
        <f t="shared" si="317"/>
        <v>0</v>
      </c>
      <c r="S1619" s="102">
        <f t="shared" si="319"/>
        <v>0</v>
      </c>
      <c r="T1619" s="21">
        <f>VLOOKUP($A1619,'2022-23 Salary &amp; Benefits'!$A:$I,5,FALSE)</f>
        <v>68937</v>
      </c>
      <c r="U1619" s="21">
        <f>VLOOKUP($A1619,'2022-23 Salary &amp; Benefits'!$A:$I,6,FALSE)</f>
        <v>72728</v>
      </c>
      <c r="V1619" s="22">
        <f t="shared" si="320"/>
        <v>0</v>
      </c>
      <c r="W1619" s="22">
        <f t="shared" si="321"/>
        <v>0</v>
      </c>
      <c r="X1619" s="22">
        <f>'2022-23 Salary &amp; Benefits'!$G$6</f>
        <v>12558.24</v>
      </c>
      <c r="Y1619" s="23">
        <f>'2022-23 Salary &amp; Benefits'!$H$6</f>
        <v>0.2298</v>
      </c>
      <c r="Z1619" s="23">
        <f>'2022-23 Salary &amp; Benefits'!$I$6</f>
        <v>0.22339999999999999</v>
      </c>
      <c r="AA1619" s="22">
        <f t="shared" si="322"/>
        <v>0</v>
      </c>
      <c r="AB1619" s="22">
        <f t="shared" si="323"/>
        <v>0</v>
      </c>
      <c r="AC1619" s="22">
        <f t="shared" si="324"/>
        <v>0</v>
      </c>
      <c r="AD1619" s="22">
        <f t="shared" si="314"/>
        <v>0</v>
      </c>
      <c r="AE1619" s="22">
        <f t="shared" si="315"/>
        <v>0</v>
      </c>
      <c r="AF1619" s="19" t="str">
        <f>VLOOKUP(C1619,'2021-22 School Level AAFTE'!C:N,12,FALSE)</f>
        <v>No</v>
      </c>
    </row>
    <row r="1620" spans="1:32" s="5" customFormat="1">
      <c r="A1620" s="97" t="s">
        <v>2269</v>
      </c>
      <c r="B1620" s="97" t="s">
        <v>77</v>
      </c>
      <c r="C1620" s="95">
        <v>5493</v>
      </c>
      <c r="D1620" s="95" t="s">
        <v>2733</v>
      </c>
      <c r="E1620" s="129">
        <f>VLOOKUP($C1620,'2021-22 School Level AAFTE'!$C:$Z,11,FALSE)</f>
        <v>0.11616666666666668</v>
      </c>
      <c r="F1620" s="129" t="str">
        <f>VLOOKUP($C1620,'2021-22 School Level AAFTE'!$C:$Z,8,FALSE)</f>
        <v>No</v>
      </c>
      <c r="G1620" s="129" t="str">
        <f>VLOOKUP($C1620,'2021-22 School Level AAFTE'!$C:$Z,12,FALSE)</f>
        <v>No</v>
      </c>
      <c r="H1620" s="127">
        <f>VLOOKUP($C1620,'2021-22 School Level AAFTE'!$C:$I,7,FALSE)</f>
        <v>744.5</v>
      </c>
      <c r="I1620" s="112">
        <f>IFERROR(IF(OR(G1620="yes",F1620= "yes"),VLOOKUP(C1620,Summary!$B:$J,6,0),0),0)</f>
        <v>0</v>
      </c>
      <c r="J1620" s="111">
        <f t="shared" si="318"/>
        <v>0</v>
      </c>
      <c r="K1620" s="91">
        <f>VLOOKUP($A1620,'2022-23 Salary &amp; Benefits'!$A:$I,3,FALSE)</f>
        <v>1.03</v>
      </c>
      <c r="L1620" s="91">
        <f>VLOOKUP($A1620,'2022-23 Salary &amp; Benefits'!$A:$I,4,FALSE)</f>
        <v>1.03</v>
      </c>
      <c r="M1620" s="101">
        <f t="shared" si="313"/>
        <v>0</v>
      </c>
      <c r="N1620" s="24">
        <v>15</v>
      </c>
      <c r="O1620" s="26">
        <f t="shared" si="316"/>
        <v>0</v>
      </c>
      <c r="P1620" s="24">
        <v>1.1000000000000001</v>
      </c>
      <c r="Q1620" s="24">
        <v>36</v>
      </c>
      <c r="R1620" s="27">
        <f t="shared" si="317"/>
        <v>0</v>
      </c>
      <c r="S1620" s="102">
        <f t="shared" si="319"/>
        <v>0</v>
      </c>
      <c r="T1620" s="21">
        <f>VLOOKUP($A1620,'2022-23 Salary &amp; Benefits'!$A:$I,5,FALSE)</f>
        <v>68937</v>
      </c>
      <c r="U1620" s="21">
        <f>VLOOKUP($A1620,'2022-23 Salary &amp; Benefits'!$A:$I,6,FALSE)</f>
        <v>72728</v>
      </c>
      <c r="V1620" s="22">
        <f t="shared" si="320"/>
        <v>0</v>
      </c>
      <c r="W1620" s="22">
        <f t="shared" si="321"/>
        <v>0</v>
      </c>
      <c r="X1620" s="22">
        <f>'2022-23 Salary &amp; Benefits'!$G$6</f>
        <v>12558.24</v>
      </c>
      <c r="Y1620" s="23">
        <f>'2022-23 Salary &amp; Benefits'!$H$6</f>
        <v>0.2298</v>
      </c>
      <c r="Z1620" s="23">
        <f>'2022-23 Salary &amp; Benefits'!$I$6</f>
        <v>0.22339999999999999</v>
      </c>
      <c r="AA1620" s="22">
        <f t="shared" si="322"/>
        <v>0</v>
      </c>
      <c r="AB1620" s="22">
        <f t="shared" si="323"/>
        <v>0</v>
      </c>
      <c r="AC1620" s="22">
        <f t="shared" si="324"/>
        <v>0</v>
      </c>
      <c r="AD1620" s="22">
        <f t="shared" si="314"/>
        <v>0</v>
      </c>
      <c r="AE1620" s="22">
        <f t="shared" si="315"/>
        <v>0</v>
      </c>
      <c r="AF1620" s="19" t="str">
        <f>VLOOKUP(C1620,'2021-22 School Level AAFTE'!C:N,12,FALSE)</f>
        <v>No</v>
      </c>
    </row>
    <row r="1621" spans="1:32" s="5" customFormat="1">
      <c r="A1621" s="97" t="s">
        <v>2269</v>
      </c>
      <c r="B1621" s="97" t="s">
        <v>77</v>
      </c>
      <c r="C1621" s="95">
        <v>5689</v>
      </c>
      <c r="D1621" s="95" t="s">
        <v>3042</v>
      </c>
      <c r="E1621" s="129">
        <f>VLOOKUP($C1621,'2021-22 School Level AAFTE'!$C:$Z,11,FALSE)</f>
        <v>0.51539999999999997</v>
      </c>
      <c r="F1621" s="129" t="str">
        <f>VLOOKUP($C1621,'2021-22 School Level AAFTE'!$C:$Z,8,FALSE)</f>
        <v>Yes</v>
      </c>
      <c r="G1621" s="129" t="str">
        <f>VLOOKUP($C1621,'2021-22 School Level AAFTE'!$C:$Z,12,FALSE)</f>
        <v>No</v>
      </c>
      <c r="H1621" s="127">
        <f>VLOOKUP($C1621,'2021-22 School Level AAFTE'!$C:$I,7,FALSE)</f>
        <v>462.91</v>
      </c>
      <c r="I1621" s="112">
        <f>IFERROR(IF(OR(G1621="yes",F1621= "yes"),VLOOKUP(C1621,Summary!$B:$J,6,0),0),0)</f>
        <v>0</v>
      </c>
      <c r="J1621" s="111">
        <f t="shared" si="318"/>
        <v>462.91</v>
      </c>
      <c r="K1621" s="91">
        <f>VLOOKUP($A1621,'2022-23 Salary &amp; Benefits'!$A:$I,3,FALSE)</f>
        <v>1.03</v>
      </c>
      <c r="L1621" s="91">
        <f>VLOOKUP($A1621,'2022-23 Salary &amp; Benefits'!$A:$I,4,FALSE)</f>
        <v>1.03</v>
      </c>
      <c r="M1621" s="39">
        <f t="shared" si="313"/>
        <v>462.91</v>
      </c>
      <c r="N1621" s="24">
        <v>15</v>
      </c>
      <c r="O1621" s="26">
        <f t="shared" si="316"/>
        <v>30.860666666666667</v>
      </c>
      <c r="P1621" s="24">
        <v>1.1000000000000001</v>
      </c>
      <c r="Q1621" s="24">
        <v>36</v>
      </c>
      <c r="R1621" s="27">
        <f t="shared" si="317"/>
        <v>1222.0824</v>
      </c>
      <c r="S1621" s="102">
        <f t="shared" si="319"/>
        <v>1.3580000000000001</v>
      </c>
      <c r="T1621" s="21">
        <f>VLOOKUP($A1621,'2022-23 Salary &amp; Benefits'!$A:$I,5,FALSE)</f>
        <v>68937</v>
      </c>
      <c r="U1621" s="21">
        <f>VLOOKUP($A1621,'2022-23 Salary &amp; Benefits'!$A:$I,6,FALSE)</f>
        <v>72728</v>
      </c>
      <c r="V1621" s="22">
        <f t="shared" si="320"/>
        <v>96424.94</v>
      </c>
      <c r="W1621" s="22">
        <f t="shared" si="321"/>
        <v>5302.6199999999953</v>
      </c>
      <c r="X1621" s="22">
        <f>'2022-23 Salary &amp; Benefits'!$G$6</f>
        <v>12558.24</v>
      </c>
      <c r="Y1621" s="23">
        <f>'2022-23 Salary &amp; Benefits'!$H$6</f>
        <v>0.2298</v>
      </c>
      <c r="Z1621" s="23">
        <f>'2022-23 Salary &amp; Benefits'!$I$6</f>
        <v>0.22339999999999999</v>
      </c>
      <c r="AA1621" s="22">
        <f t="shared" si="322"/>
        <v>40397.15</v>
      </c>
      <c r="AB1621" s="22">
        <f t="shared" si="323"/>
        <v>1695.46</v>
      </c>
      <c r="AC1621" s="22">
        <f t="shared" si="324"/>
        <v>378.77</v>
      </c>
      <c r="AD1621" s="22">
        <f t="shared" si="314"/>
        <v>2074.23</v>
      </c>
      <c r="AE1621" s="22">
        <f t="shared" si="315"/>
        <v>144198.94</v>
      </c>
      <c r="AF1621" s="19" t="str">
        <f>VLOOKUP(C1621,'2021-22 School Level AAFTE'!C:N,12,FALSE)</f>
        <v>No</v>
      </c>
    </row>
    <row r="1622" spans="1:32" s="5" customFormat="1">
      <c r="A1622" s="97" t="s">
        <v>2291</v>
      </c>
      <c r="B1622" s="97" t="s">
        <v>284</v>
      </c>
      <c r="C1622" s="95">
        <v>2390</v>
      </c>
      <c r="D1622" s="95" t="s">
        <v>285</v>
      </c>
      <c r="E1622" s="129">
        <f>VLOOKUP($C1622,'2021-22 School Level AAFTE'!$C:$Z,11,FALSE)</f>
        <v>0.2366</v>
      </c>
      <c r="F1622" s="129" t="str">
        <f>VLOOKUP($C1622,'2021-22 School Level AAFTE'!$C:$Z,8,FALSE)</f>
        <v>No</v>
      </c>
      <c r="G1622" s="129" t="str">
        <f>VLOOKUP($C1622,'2021-22 School Level AAFTE'!$C:$Z,12,FALSE)</f>
        <v>No</v>
      </c>
      <c r="H1622" s="127">
        <f>VLOOKUP($C1622,'2021-22 School Level AAFTE'!$C:$I,7,FALSE)</f>
        <v>1009.1099999999999</v>
      </c>
      <c r="I1622" s="112">
        <f>IFERROR(IF(OR(G1622="yes",F1622= "yes"),VLOOKUP(C1622,Summary!$B:$J,6,0),0),0)</f>
        <v>0</v>
      </c>
      <c r="J1622" s="111">
        <f t="shared" si="318"/>
        <v>0</v>
      </c>
      <c r="K1622" s="91">
        <f>VLOOKUP($A1622,'2022-23 Salary &amp; Benefits'!$A:$I,3,FALSE)</f>
        <v>1.06</v>
      </c>
      <c r="L1622" s="91">
        <f>VLOOKUP($A1622,'2022-23 Salary &amp; Benefits'!$A:$I,4,FALSE)</f>
        <v>1.06</v>
      </c>
      <c r="M1622" s="101">
        <f t="shared" si="313"/>
        <v>0</v>
      </c>
      <c r="N1622" s="24">
        <v>15</v>
      </c>
      <c r="O1622" s="26">
        <f t="shared" si="316"/>
        <v>0</v>
      </c>
      <c r="P1622" s="24">
        <v>1.1000000000000001</v>
      </c>
      <c r="Q1622" s="24">
        <v>36</v>
      </c>
      <c r="R1622" s="27">
        <f t="shared" si="317"/>
        <v>0</v>
      </c>
      <c r="S1622" s="102">
        <f t="shared" si="319"/>
        <v>0</v>
      </c>
      <c r="T1622" s="21">
        <f>VLOOKUP($A1622,'2022-23 Salary &amp; Benefits'!$A:$I,5,FALSE)</f>
        <v>68937</v>
      </c>
      <c r="U1622" s="21">
        <f>VLOOKUP($A1622,'2022-23 Salary &amp; Benefits'!$A:$I,6,FALSE)</f>
        <v>72728</v>
      </c>
      <c r="V1622" s="22">
        <f t="shared" si="320"/>
        <v>0</v>
      </c>
      <c r="W1622" s="22">
        <f t="shared" si="321"/>
        <v>0</v>
      </c>
      <c r="X1622" s="22">
        <f>'2022-23 Salary &amp; Benefits'!$G$6</f>
        <v>12558.24</v>
      </c>
      <c r="Y1622" s="23">
        <f>'2022-23 Salary &amp; Benefits'!$H$6</f>
        <v>0.2298</v>
      </c>
      <c r="Z1622" s="23">
        <f>'2022-23 Salary &amp; Benefits'!$I$6</f>
        <v>0.22339999999999999</v>
      </c>
      <c r="AA1622" s="22">
        <f t="shared" si="322"/>
        <v>0</v>
      </c>
      <c r="AB1622" s="22">
        <f t="shared" si="323"/>
        <v>0</v>
      </c>
      <c r="AC1622" s="22">
        <f t="shared" si="324"/>
        <v>0</v>
      </c>
      <c r="AD1622" s="22">
        <f t="shared" si="314"/>
        <v>0</v>
      </c>
      <c r="AE1622" s="22">
        <f t="shared" si="315"/>
        <v>0</v>
      </c>
      <c r="AF1622" s="19" t="str">
        <f>VLOOKUP(C1622,'2021-22 School Level AAFTE'!C:N,12,FALSE)</f>
        <v>No</v>
      </c>
    </row>
    <row r="1623" spans="1:32" s="5" customFormat="1">
      <c r="A1623" s="97" t="s">
        <v>2291</v>
      </c>
      <c r="B1623" s="97" t="s">
        <v>284</v>
      </c>
      <c r="C1623" s="95">
        <v>3321</v>
      </c>
      <c r="D1623" s="95" t="s">
        <v>286</v>
      </c>
      <c r="E1623" s="129">
        <f>VLOOKUP($C1623,'2021-22 School Level AAFTE'!$C:$Z,11,FALSE)</f>
        <v>0.2165</v>
      </c>
      <c r="F1623" s="129" t="str">
        <f>VLOOKUP($C1623,'2021-22 School Level AAFTE'!$C:$Z,8,FALSE)</f>
        <v>No</v>
      </c>
      <c r="G1623" s="129" t="str">
        <f>VLOOKUP($C1623,'2021-22 School Level AAFTE'!$C:$Z,12,FALSE)</f>
        <v>No</v>
      </c>
      <c r="H1623" s="127">
        <f>VLOOKUP($C1623,'2021-22 School Level AAFTE'!$C:$I,7,FALSE)</f>
        <v>569.03</v>
      </c>
      <c r="I1623" s="112">
        <f>IFERROR(IF(OR(G1623="yes",F1623= "yes"),VLOOKUP(C1623,Summary!$B:$J,6,0),0),0)</f>
        <v>0</v>
      </c>
      <c r="J1623" s="111">
        <f t="shared" si="318"/>
        <v>0</v>
      </c>
      <c r="K1623" s="91">
        <f>VLOOKUP($A1623,'2022-23 Salary &amp; Benefits'!$A:$I,3,FALSE)</f>
        <v>1.06</v>
      </c>
      <c r="L1623" s="91">
        <f>VLOOKUP($A1623,'2022-23 Salary &amp; Benefits'!$A:$I,4,FALSE)</f>
        <v>1.06</v>
      </c>
      <c r="M1623" s="39">
        <f t="shared" si="313"/>
        <v>0</v>
      </c>
      <c r="N1623" s="24">
        <v>15</v>
      </c>
      <c r="O1623" s="26">
        <f t="shared" si="316"/>
        <v>0</v>
      </c>
      <c r="P1623" s="24">
        <v>1.1000000000000001</v>
      </c>
      <c r="Q1623" s="24">
        <v>36</v>
      </c>
      <c r="R1623" s="27">
        <f t="shared" si="317"/>
        <v>0</v>
      </c>
      <c r="S1623" s="102">
        <f t="shared" si="319"/>
        <v>0</v>
      </c>
      <c r="T1623" s="21">
        <f>VLOOKUP($A1623,'2022-23 Salary &amp; Benefits'!$A:$I,5,FALSE)</f>
        <v>68937</v>
      </c>
      <c r="U1623" s="21">
        <f>VLOOKUP($A1623,'2022-23 Salary &amp; Benefits'!$A:$I,6,FALSE)</f>
        <v>72728</v>
      </c>
      <c r="V1623" s="22">
        <f t="shared" si="320"/>
        <v>0</v>
      </c>
      <c r="W1623" s="22">
        <f t="shared" si="321"/>
        <v>0</v>
      </c>
      <c r="X1623" s="22">
        <f>'2022-23 Salary &amp; Benefits'!$G$6</f>
        <v>12558.24</v>
      </c>
      <c r="Y1623" s="23">
        <f>'2022-23 Salary &amp; Benefits'!$H$6</f>
        <v>0.2298</v>
      </c>
      <c r="Z1623" s="23">
        <f>'2022-23 Salary &amp; Benefits'!$I$6</f>
        <v>0.22339999999999999</v>
      </c>
      <c r="AA1623" s="22">
        <f t="shared" si="322"/>
        <v>0</v>
      </c>
      <c r="AB1623" s="22">
        <f t="shared" si="323"/>
        <v>0</v>
      </c>
      <c r="AC1623" s="22">
        <f t="shared" si="324"/>
        <v>0</v>
      </c>
      <c r="AD1623" s="22">
        <f t="shared" si="314"/>
        <v>0</v>
      </c>
      <c r="AE1623" s="22">
        <f t="shared" si="315"/>
        <v>0</v>
      </c>
      <c r="AF1623" s="19" t="str">
        <f>VLOOKUP(C1623,'2021-22 School Level AAFTE'!C:N,12,FALSE)</f>
        <v>No</v>
      </c>
    </row>
    <row r="1624" spans="1:32" s="5" customFormat="1">
      <c r="A1624" s="97" t="s">
        <v>2291</v>
      </c>
      <c r="B1624" s="97" t="s">
        <v>284</v>
      </c>
      <c r="C1624" s="95">
        <v>3786</v>
      </c>
      <c r="D1624" s="95" t="s">
        <v>287</v>
      </c>
      <c r="E1624" s="129">
        <f>VLOOKUP($C1624,'2021-22 School Level AAFTE'!$C:$Z,11,FALSE)</f>
        <v>0.20293333333333333</v>
      </c>
      <c r="F1624" s="129" t="str">
        <f>VLOOKUP($C1624,'2021-22 School Level AAFTE'!$C:$Z,8,FALSE)</f>
        <v>No</v>
      </c>
      <c r="G1624" s="129" t="str">
        <f>VLOOKUP($C1624,'2021-22 School Level AAFTE'!$C:$Z,12,FALSE)</f>
        <v>No</v>
      </c>
      <c r="H1624" s="127">
        <f>VLOOKUP($C1624,'2021-22 School Level AAFTE'!$C:$I,7,FALSE)</f>
        <v>807.53</v>
      </c>
      <c r="I1624" s="112">
        <f>IFERROR(IF(OR(G1624="yes",F1624= "yes"),VLOOKUP(C1624,Summary!$B:$J,6,0),0),0)</f>
        <v>0</v>
      </c>
      <c r="J1624" s="111">
        <f t="shared" si="318"/>
        <v>0</v>
      </c>
      <c r="K1624" s="91">
        <f>VLOOKUP($A1624,'2022-23 Salary &amp; Benefits'!$A:$I,3,FALSE)</f>
        <v>1.06</v>
      </c>
      <c r="L1624" s="91">
        <f>VLOOKUP($A1624,'2022-23 Salary &amp; Benefits'!$A:$I,4,FALSE)</f>
        <v>1.06</v>
      </c>
      <c r="M1624" s="39">
        <f t="shared" si="313"/>
        <v>0</v>
      </c>
      <c r="N1624" s="24">
        <v>15</v>
      </c>
      <c r="O1624" s="26">
        <f t="shared" si="316"/>
        <v>0</v>
      </c>
      <c r="P1624" s="24">
        <v>1.1000000000000001</v>
      </c>
      <c r="Q1624" s="24">
        <v>36</v>
      </c>
      <c r="R1624" s="27">
        <f t="shared" si="317"/>
        <v>0</v>
      </c>
      <c r="S1624" s="102">
        <f t="shared" si="319"/>
        <v>0</v>
      </c>
      <c r="T1624" s="21">
        <f>VLOOKUP($A1624,'2022-23 Salary &amp; Benefits'!$A:$I,5,FALSE)</f>
        <v>68937</v>
      </c>
      <c r="U1624" s="21">
        <f>VLOOKUP($A1624,'2022-23 Salary &amp; Benefits'!$A:$I,6,FALSE)</f>
        <v>72728</v>
      </c>
      <c r="V1624" s="22">
        <f t="shared" si="320"/>
        <v>0</v>
      </c>
      <c r="W1624" s="22">
        <f t="shared" si="321"/>
        <v>0</v>
      </c>
      <c r="X1624" s="22">
        <f>'2022-23 Salary &amp; Benefits'!$G$6</f>
        <v>12558.24</v>
      </c>
      <c r="Y1624" s="23">
        <f>'2022-23 Salary &amp; Benefits'!$H$6</f>
        <v>0.2298</v>
      </c>
      <c r="Z1624" s="23">
        <f>'2022-23 Salary &amp; Benefits'!$I$6</f>
        <v>0.22339999999999999</v>
      </c>
      <c r="AA1624" s="22">
        <f t="shared" si="322"/>
        <v>0</v>
      </c>
      <c r="AB1624" s="22">
        <f t="shared" si="323"/>
        <v>0</v>
      </c>
      <c r="AC1624" s="22">
        <f t="shared" si="324"/>
        <v>0</v>
      </c>
      <c r="AD1624" s="22">
        <f t="shared" si="314"/>
        <v>0</v>
      </c>
      <c r="AE1624" s="22">
        <f t="shared" si="315"/>
        <v>0</v>
      </c>
      <c r="AF1624" s="19" t="str">
        <f>VLOOKUP(C1624,'2021-22 School Level AAFTE'!C:N,12,FALSE)</f>
        <v>No</v>
      </c>
    </row>
    <row r="1625" spans="1:32" s="5" customFormat="1">
      <c r="A1625" s="97" t="s">
        <v>2291</v>
      </c>
      <c r="B1625" s="97" t="s">
        <v>284</v>
      </c>
      <c r="C1625" s="95">
        <v>3891</v>
      </c>
      <c r="D1625" s="95" t="s">
        <v>288</v>
      </c>
      <c r="E1625" s="129">
        <f>VLOOKUP($C1625,'2021-22 School Level AAFTE'!$C:$Z,11,FALSE)</f>
        <v>0.25230000000000002</v>
      </c>
      <c r="F1625" s="129" t="str">
        <f>VLOOKUP($C1625,'2021-22 School Level AAFTE'!$C:$Z,8,FALSE)</f>
        <v>No</v>
      </c>
      <c r="G1625" s="129" t="str">
        <f>VLOOKUP($C1625,'2021-22 School Level AAFTE'!$C:$Z,12,FALSE)</f>
        <v>No</v>
      </c>
      <c r="H1625" s="127">
        <f>VLOOKUP($C1625,'2021-22 School Level AAFTE'!$C:$I,7,FALSE)</f>
        <v>607.91</v>
      </c>
      <c r="I1625" s="112">
        <f>IFERROR(IF(OR(G1625="yes",F1625= "yes"),VLOOKUP(C1625,Summary!$B:$J,6,0),0),0)</f>
        <v>0</v>
      </c>
      <c r="J1625" s="111">
        <f t="shared" si="318"/>
        <v>0</v>
      </c>
      <c r="K1625" s="91">
        <f>VLOOKUP($A1625,'2022-23 Salary &amp; Benefits'!$A:$I,3,FALSE)</f>
        <v>1.06</v>
      </c>
      <c r="L1625" s="91">
        <f>VLOOKUP($A1625,'2022-23 Salary &amp; Benefits'!$A:$I,4,FALSE)</f>
        <v>1.06</v>
      </c>
      <c r="M1625" s="39">
        <f t="shared" si="313"/>
        <v>0</v>
      </c>
      <c r="N1625" s="24">
        <v>15</v>
      </c>
      <c r="O1625" s="26">
        <f t="shared" si="316"/>
        <v>0</v>
      </c>
      <c r="P1625" s="24">
        <v>1.1000000000000001</v>
      </c>
      <c r="Q1625" s="24">
        <v>36</v>
      </c>
      <c r="R1625" s="27">
        <f t="shared" si="317"/>
        <v>0</v>
      </c>
      <c r="S1625" s="102">
        <f t="shared" si="319"/>
        <v>0</v>
      </c>
      <c r="T1625" s="21">
        <f>VLOOKUP($A1625,'2022-23 Salary &amp; Benefits'!$A:$I,5,FALSE)</f>
        <v>68937</v>
      </c>
      <c r="U1625" s="21">
        <f>VLOOKUP($A1625,'2022-23 Salary &amp; Benefits'!$A:$I,6,FALSE)</f>
        <v>72728</v>
      </c>
      <c r="V1625" s="22">
        <f t="shared" si="320"/>
        <v>0</v>
      </c>
      <c r="W1625" s="22">
        <f t="shared" si="321"/>
        <v>0</v>
      </c>
      <c r="X1625" s="22">
        <f>'2022-23 Salary &amp; Benefits'!$G$6</f>
        <v>12558.24</v>
      </c>
      <c r="Y1625" s="23">
        <f>'2022-23 Salary &amp; Benefits'!$H$6</f>
        <v>0.2298</v>
      </c>
      <c r="Z1625" s="23">
        <f>'2022-23 Salary &amp; Benefits'!$I$6</f>
        <v>0.22339999999999999</v>
      </c>
      <c r="AA1625" s="22">
        <f t="shared" si="322"/>
        <v>0</v>
      </c>
      <c r="AB1625" s="22">
        <f t="shared" si="323"/>
        <v>0</v>
      </c>
      <c r="AC1625" s="22">
        <f t="shared" si="324"/>
        <v>0</v>
      </c>
      <c r="AD1625" s="22">
        <f t="shared" si="314"/>
        <v>0</v>
      </c>
      <c r="AE1625" s="22">
        <f t="shared" si="315"/>
        <v>0</v>
      </c>
      <c r="AF1625" s="19" t="str">
        <f>VLOOKUP(C1625,'2021-22 School Level AAFTE'!C:N,12,FALSE)</f>
        <v>No</v>
      </c>
    </row>
    <row r="1626" spans="1:32" s="5" customFormat="1">
      <c r="A1626" s="97" t="s">
        <v>2291</v>
      </c>
      <c r="B1626" s="97" t="s">
        <v>284</v>
      </c>
      <c r="C1626" s="95">
        <v>5518</v>
      </c>
      <c r="D1626" s="95" t="s">
        <v>2809</v>
      </c>
      <c r="E1626" s="129">
        <f>VLOOKUP($C1626,'2021-22 School Level AAFTE'!$C:$Z,11,FALSE)</f>
        <v>0.23250000000000001</v>
      </c>
      <c r="F1626" s="129" t="str">
        <f>VLOOKUP($C1626,'2021-22 School Level AAFTE'!$C:$Z,8,FALSE)</f>
        <v>No</v>
      </c>
      <c r="G1626" s="129" t="str">
        <f>VLOOKUP($C1626,'2021-22 School Level AAFTE'!$C:$Z,12,FALSE)</f>
        <v>No</v>
      </c>
      <c r="H1626" s="127">
        <f>VLOOKUP($C1626,'2021-22 School Level AAFTE'!$C:$I,7,FALSE)</f>
        <v>577.16999999999996</v>
      </c>
      <c r="I1626" s="112">
        <f>IFERROR(IF(OR(G1626="yes",F1626= "yes"),VLOOKUP(C1626,Summary!$B:$J,6,0),0),0)</f>
        <v>0</v>
      </c>
      <c r="J1626" s="111">
        <f t="shared" si="318"/>
        <v>0</v>
      </c>
      <c r="K1626" s="91">
        <f>VLOOKUP($A1626,'2022-23 Salary &amp; Benefits'!$A:$I,3,FALSE)</f>
        <v>1.06</v>
      </c>
      <c r="L1626" s="91">
        <f>VLOOKUP($A1626,'2022-23 Salary &amp; Benefits'!$A:$I,4,FALSE)</f>
        <v>1.06</v>
      </c>
      <c r="M1626" s="101">
        <f t="shared" si="313"/>
        <v>0</v>
      </c>
      <c r="N1626" s="24">
        <v>15</v>
      </c>
      <c r="O1626" s="26">
        <f t="shared" si="316"/>
        <v>0</v>
      </c>
      <c r="P1626" s="24">
        <v>1.1000000000000001</v>
      </c>
      <c r="Q1626" s="24">
        <v>36</v>
      </c>
      <c r="R1626" s="27">
        <f t="shared" si="317"/>
        <v>0</v>
      </c>
      <c r="S1626" s="102">
        <f t="shared" si="319"/>
        <v>0</v>
      </c>
      <c r="T1626" s="21">
        <f>VLOOKUP($A1626,'2022-23 Salary &amp; Benefits'!$A:$I,5,FALSE)</f>
        <v>68937</v>
      </c>
      <c r="U1626" s="21">
        <f>VLOOKUP($A1626,'2022-23 Salary &amp; Benefits'!$A:$I,6,FALSE)</f>
        <v>72728</v>
      </c>
      <c r="V1626" s="22">
        <f t="shared" si="320"/>
        <v>0</v>
      </c>
      <c r="W1626" s="22">
        <f t="shared" si="321"/>
        <v>0</v>
      </c>
      <c r="X1626" s="22">
        <f>'2022-23 Salary &amp; Benefits'!$G$6</f>
        <v>12558.24</v>
      </c>
      <c r="Y1626" s="23">
        <f>'2022-23 Salary &amp; Benefits'!$H$6</f>
        <v>0.2298</v>
      </c>
      <c r="Z1626" s="23">
        <f>'2022-23 Salary &amp; Benefits'!$I$6</f>
        <v>0.22339999999999999</v>
      </c>
      <c r="AA1626" s="22">
        <f t="shared" si="322"/>
        <v>0</v>
      </c>
      <c r="AB1626" s="22">
        <f t="shared" si="323"/>
        <v>0</v>
      </c>
      <c r="AC1626" s="22">
        <f t="shared" si="324"/>
        <v>0</v>
      </c>
      <c r="AD1626" s="22">
        <f t="shared" si="314"/>
        <v>0</v>
      </c>
      <c r="AE1626" s="22">
        <f t="shared" si="315"/>
        <v>0</v>
      </c>
      <c r="AF1626" s="19" t="str">
        <f>VLOOKUP(C1626,'2021-22 School Level AAFTE'!C:N,12,FALSE)</f>
        <v>No</v>
      </c>
    </row>
    <row r="1627" spans="1:32" s="5" customFormat="1">
      <c r="A1627" s="97" t="s">
        <v>2291</v>
      </c>
      <c r="B1627" s="97" t="s">
        <v>284</v>
      </c>
      <c r="C1627" s="95">
        <v>5690</v>
      </c>
      <c r="D1627" s="95" t="s">
        <v>3043</v>
      </c>
      <c r="E1627" s="129">
        <f>VLOOKUP($C1627,'2021-22 School Level AAFTE'!$C:$Z,11,FALSE)</f>
        <v>0.26879999999999998</v>
      </c>
      <c r="F1627" s="129" t="str">
        <f>VLOOKUP($C1627,'2021-22 School Level AAFTE'!$C:$Z,8,FALSE)</f>
        <v>No</v>
      </c>
      <c r="G1627" s="129" t="str">
        <f>VLOOKUP($C1627,'2021-22 School Level AAFTE'!$C:$Z,12,FALSE)</f>
        <v>No</v>
      </c>
      <c r="H1627" s="127">
        <f>VLOOKUP($C1627,'2021-22 School Level AAFTE'!$C:$I,7,FALSE)</f>
        <v>153.28</v>
      </c>
      <c r="I1627" s="112">
        <f>IFERROR(IF(OR(G1627="yes",F1627= "yes"),VLOOKUP(C1627,Summary!$B:$J,6,0),0),0)</f>
        <v>0</v>
      </c>
      <c r="J1627" s="111">
        <f t="shared" si="318"/>
        <v>0</v>
      </c>
      <c r="K1627" s="91">
        <f>VLOOKUP($A1627,'2022-23 Salary &amp; Benefits'!$A:$I,3,FALSE)</f>
        <v>1.06</v>
      </c>
      <c r="L1627" s="91">
        <f>VLOOKUP($A1627,'2022-23 Salary &amp; Benefits'!$A:$I,4,FALSE)</f>
        <v>1.06</v>
      </c>
      <c r="M1627" s="39">
        <f t="shared" si="313"/>
        <v>0</v>
      </c>
      <c r="N1627" s="24">
        <v>15</v>
      </c>
      <c r="O1627" s="26">
        <f t="shared" si="316"/>
        <v>0</v>
      </c>
      <c r="P1627" s="24">
        <v>1.1000000000000001</v>
      </c>
      <c r="Q1627" s="24">
        <v>36</v>
      </c>
      <c r="R1627" s="27">
        <f t="shared" si="317"/>
        <v>0</v>
      </c>
      <c r="S1627" s="102">
        <f t="shared" si="319"/>
        <v>0</v>
      </c>
      <c r="T1627" s="21">
        <f>VLOOKUP($A1627,'2022-23 Salary &amp; Benefits'!$A:$I,5,FALSE)</f>
        <v>68937</v>
      </c>
      <c r="U1627" s="21">
        <f>VLOOKUP($A1627,'2022-23 Salary &amp; Benefits'!$A:$I,6,FALSE)</f>
        <v>72728</v>
      </c>
      <c r="V1627" s="22">
        <f t="shared" si="320"/>
        <v>0</v>
      </c>
      <c r="W1627" s="22">
        <f t="shared" si="321"/>
        <v>0</v>
      </c>
      <c r="X1627" s="22">
        <f>'2022-23 Salary &amp; Benefits'!$G$6</f>
        <v>12558.24</v>
      </c>
      <c r="Y1627" s="23">
        <f>'2022-23 Salary &amp; Benefits'!$H$6</f>
        <v>0.2298</v>
      </c>
      <c r="Z1627" s="23">
        <f>'2022-23 Salary &amp; Benefits'!$I$6</f>
        <v>0.22339999999999999</v>
      </c>
      <c r="AA1627" s="22">
        <f t="shared" si="322"/>
        <v>0</v>
      </c>
      <c r="AB1627" s="22">
        <f t="shared" si="323"/>
        <v>0</v>
      </c>
      <c r="AC1627" s="22">
        <f t="shared" si="324"/>
        <v>0</v>
      </c>
      <c r="AD1627" s="22">
        <f t="shared" si="314"/>
        <v>0</v>
      </c>
      <c r="AE1627" s="22">
        <f t="shared" si="315"/>
        <v>0</v>
      </c>
      <c r="AF1627" s="19" t="str">
        <f>VLOOKUP(C1627,'2021-22 School Level AAFTE'!C:N,12,FALSE)</f>
        <v>No</v>
      </c>
    </row>
    <row r="1628" spans="1:32" s="5" customFormat="1">
      <c r="A1628" s="97" t="s">
        <v>2261</v>
      </c>
      <c r="B1628" s="97" t="s">
        <v>16</v>
      </c>
      <c r="C1628" s="95">
        <v>2132</v>
      </c>
      <c r="D1628" s="95" t="s">
        <v>17</v>
      </c>
      <c r="E1628" s="129">
        <f>VLOOKUP($C1628,'2021-22 School Level AAFTE'!$C:$Z,11,FALSE)</f>
        <v>0.36906666666666665</v>
      </c>
      <c r="F1628" s="129" t="str">
        <f>VLOOKUP($C1628,'2021-22 School Level AAFTE'!$C:$Z,8,FALSE)</f>
        <v>No</v>
      </c>
      <c r="G1628" s="129" t="str">
        <f>VLOOKUP($C1628,'2021-22 School Level AAFTE'!$C:$Z,12,FALSE)</f>
        <v>No</v>
      </c>
      <c r="H1628" s="127">
        <f>VLOOKUP($C1628,'2021-22 School Level AAFTE'!$C:$I,7,FALSE)</f>
        <v>99.710000000000008</v>
      </c>
      <c r="I1628" s="112">
        <f>IFERROR(IF(OR(G1628="yes",F1628= "yes"),VLOOKUP(C1628,Summary!$B:$J,6,0),0),0)</f>
        <v>0</v>
      </c>
      <c r="J1628" s="111">
        <f t="shared" si="318"/>
        <v>0</v>
      </c>
      <c r="K1628" s="91">
        <f>VLOOKUP($A1628,'2022-23 Salary &amp; Benefits'!$A:$I,3,FALSE)</f>
        <v>1</v>
      </c>
      <c r="L1628" s="91">
        <f>VLOOKUP($A1628,'2022-23 Salary &amp; Benefits'!$A:$I,4,FALSE)</f>
        <v>1.04</v>
      </c>
      <c r="M1628" s="101">
        <f t="shared" si="313"/>
        <v>0</v>
      </c>
      <c r="N1628" s="24">
        <v>15</v>
      </c>
      <c r="O1628" s="26">
        <f t="shared" si="316"/>
        <v>0</v>
      </c>
      <c r="P1628" s="24">
        <v>1.1000000000000001</v>
      </c>
      <c r="Q1628" s="24">
        <v>36</v>
      </c>
      <c r="R1628" s="27">
        <f t="shared" si="317"/>
        <v>0</v>
      </c>
      <c r="S1628" s="102">
        <f t="shared" si="319"/>
        <v>0</v>
      </c>
      <c r="T1628" s="21">
        <f>VLOOKUP($A1628,'2022-23 Salary &amp; Benefits'!$A:$I,5,FALSE)</f>
        <v>68937</v>
      </c>
      <c r="U1628" s="21">
        <f>VLOOKUP($A1628,'2022-23 Salary &amp; Benefits'!$A:$I,6,FALSE)</f>
        <v>72728</v>
      </c>
      <c r="V1628" s="22">
        <f t="shared" si="320"/>
        <v>0</v>
      </c>
      <c r="W1628" s="22">
        <f t="shared" si="321"/>
        <v>0</v>
      </c>
      <c r="X1628" s="22">
        <f>'2022-23 Salary &amp; Benefits'!$G$6</f>
        <v>12558.24</v>
      </c>
      <c r="Y1628" s="23">
        <f>'2022-23 Salary &amp; Benefits'!$H$6</f>
        <v>0.2298</v>
      </c>
      <c r="Z1628" s="23">
        <f>'2022-23 Salary &amp; Benefits'!$I$6</f>
        <v>0.22339999999999999</v>
      </c>
      <c r="AA1628" s="22">
        <f t="shared" si="322"/>
        <v>0</v>
      </c>
      <c r="AB1628" s="22">
        <f t="shared" si="323"/>
        <v>0</v>
      </c>
      <c r="AC1628" s="22">
        <f t="shared" si="324"/>
        <v>0</v>
      </c>
      <c r="AD1628" s="22">
        <f t="shared" si="314"/>
        <v>0</v>
      </c>
      <c r="AE1628" s="22">
        <f t="shared" si="315"/>
        <v>0</v>
      </c>
      <c r="AF1628" s="19" t="str">
        <f>VLOOKUP(C1628,'2021-22 School Level AAFTE'!C:N,12,FALSE)</f>
        <v>No</v>
      </c>
    </row>
    <row r="1629" spans="1:32" s="5" customFormat="1">
      <c r="A1629" s="97" t="s">
        <v>2261</v>
      </c>
      <c r="B1629" s="97" t="s">
        <v>16</v>
      </c>
      <c r="C1629" s="95">
        <v>2719</v>
      </c>
      <c r="D1629" s="95" t="s">
        <v>18</v>
      </c>
      <c r="E1629" s="129">
        <f>VLOOKUP($C1629,'2021-22 School Level AAFTE'!$C:$Z,11,FALSE)</f>
        <v>0.52856666666666674</v>
      </c>
      <c r="F1629" s="129" t="str">
        <f>VLOOKUP($C1629,'2021-22 School Level AAFTE'!$C:$Z,8,FALSE)</f>
        <v>Yes</v>
      </c>
      <c r="G1629" s="129" t="str">
        <f>VLOOKUP($C1629,'2021-22 School Level AAFTE'!$C:$Z,12,FALSE)</f>
        <v>No</v>
      </c>
      <c r="H1629" s="127">
        <f>VLOOKUP($C1629,'2021-22 School Level AAFTE'!$C:$I,7,FALSE)</f>
        <v>163.13999999999999</v>
      </c>
      <c r="I1629" s="112">
        <f>IFERROR(IF(OR(G1629="yes",F1629= "yes"),VLOOKUP(C1629,Summary!$B:$J,6,0),0),0)</f>
        <v>0</v>
      </c>
      <c r="J1629" s="111">
        <f t="shared" si="318"/>
        <v>163.13999999999999</v>
      </c>
      <c r="K1629" s="91">
        <f>VLOOKUP($A1629,'2022-23 Salary &amp; Benefits'!$A:$I,3,FALSE)</f>
        <v>1</v>
      </c>
      <c r="L1629" s="91">
        <f>VLOOKUP($A1629,'2022-23 Salary &amp; Benefits'!$A:$I,4,FALSE)</f>
        <v>1.04</v>
      </c>
      <c r="M1629" s="39">
        <f t="shared" si="313"/>
        <v>163.13999999999999</v>
      </c>
      <c r="N1629" s="24">
        <v>15</v>
      </c>
      <c r="O1629" s="26">
        <f t="shared" si="316"/>
        <v>10.875999999999999</v>
      </c>
      <c r="P1629" s="24">
        <v>1.1000000000000001</v>
      </c>
      <c r="Q1629" s="24">
        <v>36</v>
      </c>
      <c r="R1629" s="27">
        <f t="shared" si="317"/>
        <v>430.68959999999998</v>
      </c>
      <c r="S1629" s="102">
        <f t="shared" si="319"/>
        <v>0.47899999999999998</v>
      </c>
      <c r="T1629" s="21">
        <f>VLOOKUP($A1629,'2022-23 Salary &amp; Benefits'!$A:$I,5,FALSE)</f>
        <v>68937</v>
      </c>
      <c r="U1629" s="21">
        <f>VLOOKUP($A1629,'2022-23 Salary &amp; Benefits'!$A:$I,6,FALSE)</f>
        <v>72728</v>
      </c>
      <c r="V1629" s="22">
        <f t="shared" si="320"/>
        <v>33020.82</v>
      </c>
      <c r="W1629" s="22">
        <f t="shared" si="321"/>
        <v>3209.3600000000006</v>
      </c>
      <c r="X1629" s="22">
        <f>'2022-23 Salary &amp; Benefits'!$G$6</f>
        <v>12558.24</v>
      </c>
      <c r="Y1629" s="23">
        <f>'2022-23 Salary &amp; Benefits'!$H$6</f>
        <v>0.2298</v>
      </c>
      <c r="Z1629" s="23">
        <f>'2022-23 Salary &amp; Benefits'!$I$6</f>
        <v>0.22339999999999999</v>
      </c>
      <c r="AA1629" s="22">
        <f t="shared" si="322"/>
        <v>14320.55</v>
      </c>
      <c r="AB1629" s="22">
        <f t="shared" si="323"/>
        <v>603.84</v>
      </c>
      <c r="AC1629" s="22">
        <f t="shared" si="324"/>
        <v>134.9</v>
      </c>
      <c r="AD1629" s="22">
        <f t="shared" si="314"/>
        <v>738.74</v>
      </c>
      <c r="AE1629" s="22">
        <f t="shared" si="315"/>
        <v>51289.469999999994</v>
      </c>
      <c r="AF1629" s="19" t="str">
        <f>VLOOKUP(C1629,'2021-22 School Level AAFTE'!C:N,12,FALSE)</f>
        <v>No</v>
      </c>
    </row>
    <row r="1630" spans="1:32" s="5" customFormat="1">
      <c r="A1630" s="97" t="s">
        <v>2261</v>
      </c>
      <c r="B1630" s="97" t="s">
        <v>16</v>
      </c>
      <c r="C1630" s="95">
        <v>5303</v>
      </c>
      <c r="D1630" s="95" t="s">
        <v>19</v>
      </c>
      <c r="E1630" s="129">
        <f>VLOOKUP($C1630,'2021-22 School Level AAFTE'!$C:$Z,11,FALSE)</f>
        <v>0.47759999999999997</v>
      </c>
      <c r="F1630" s="129" t="str">
        <f>VLOOKUP($C1630,'2021-22 School Level AAFTE'!$C:$Z,8,FALSE)</f>
        <v>No</v>
      </c>
      <c r="G1630" s="129" t="str">
        <f>VLOOKUP($C1630,'2021-22 School Level AAFTE'!$C:$Z,12,FALSE)</f>
        <v>No</v>
      </c>
      <c r="H1630" s="127">
        <f>VLOOKUP($C1630,'2021-22 School Level AAFTE'!$C:$I,7,FALSE)</f>
        <v>87.6</v>
      </c>
      <c r="I1630" s="112">
        <f>IFERROR(IF(OR(G1630="yes",F1630= "yes"),VLOOKUP(C1630,Summary!$B:$J,6,0),0),0)</f>
        <v>0</v>
      </c>
      <c r="J1630" s="111">
        <f t="shared" si="318"/>
        <v>0</v>
      </c>
      <c r="K1630" s="91">
        <f>VLOOKUP($A1630,'2022-23 Salary &amp; Benefits'!$A:$I,3,FALSE)</f>
        <v>1</v>
      </c>
      <c r="L1630" s="91">
        <f>VLOOKUP($A1630,'2022-23 Salary &amp; Benefits'!$A:$I,4,FALSE)</f>
        <v>1.04</v>
      </c>
      <c r="M1630" s="101">
        <f t="shared" si="313"/>
        <v>0</v>
      </c>
      <c r="N1630" s="24">
        <v>15</v>
      </c>
      <c r="O1630" s="26">
        <f t="shared" si="316"/>
        <v>0</v>
      </c>
      <c r="P1630" s="24">
        <v>1.1000000000000001</v>
      </c>
      <c r="Q1630" s="24">
        <v>36</v>
      </c>
      <c r="R1630" s="27">
        <f t="shared" si="317"/>
        <v>0</v>
      </c>
      <c r="S1630" s="102">
        <f t="shared" si="319"/>
        <v>0</v>
      </c>
      <c r="T1630" s="21">
        <f>VLOOKUP($A1630,'2022-23 Salary &amp; Benefits'!$A:$I,5,FALSE)</f>
        <v>68937</v>
      </c>
      <c r="U1630" s="21">
        <f>VLOOKUP($A1630,'2022-23 Salary &amp; Benefits'!$A:$I,6,FALSE)</f>
        <v>72728</v>
      </c>
      <c r="V1630" s="22">
        <f t="shared" si="320"/>
        <v>0</v>
      </c>
      <c r="W1630" s="22">
        <f t="shared" si="321"/>
        <v>0</v>
      </c>
      <c r="X1630" s="22">
        <f>'2022-23 Salary &amp; Benefits'!$G$6</f>
        <v>12558.24</v>
      </c>
      <c r="Y1630" s="23">
        <f>'2022-23 Salary &amp; Benefits'!$H$6</f>
        <v>0.2298</v>
      </c>
      <c r="Z1630" s="23">
        <f>'2022-23 Salary &amp; Benefits'!$I$6</f>
        <v>0.22339999999999999</v>
      </c>
      <c r="AA1630" s="22">
        <f t="shared" si="322"/>
        <v>0</v>
      </c>
      <c r="AB1630" s="22">
        <f t="shared" si="323"/>
        <v>0</v>
      </c>
      <c r="AC1630" s="22">
        <f t="shared" si="324"/>
        <v>0</v>
      </c>
      <c r="AD1630" s="22">
        <f t="shared" si="314"/>
        <v>0</v>
      </c>
      <c r="AE1630" s="22">
        <f t="shared" si="315"/>
        <v>0</v>
      </c>
      <c r="AF1630" s="19" t="str">
        <f>VLOOKUP(C1630,'2021-22 School Level AAFTE'!C:N,12,FALSE)</f>
        <v>No</v>
      </c>
    </row>
    <row r="1631" spans="1:32" s="5" customFormat="1">
      <c r="A1631" s="97" t="s">
        <v>2499</v>
      </c>
      <c r="B1631" s="97" t="s">
        <v>1914</v>
      </c>
      <c r="C1631" s="95">
        <v>1919</v>
      </c>
      <c r="D1631" s="95" t="s">
        <v>1915</v>
      </c>
      <c r="E1631" s="129">
        <f>VLOOKUP($C1631,'2021-22 School Level AAFTE'!$C:$Z,11,FALSE)</f>
        <v>0.46303333333333335</v>
      </c>
      <c r="F1631" s="129" t="str">
        <f>VLOOKUP($C1631,'2021-22 School Level AAFTE'!$C:$Z,8,FALSE)</f>
        <v>No</v>
      </c>
      <c r="G1631" s="129" t="str">
        <f>VLOOKUP($C1631,'2021-22 School Level AAFTE'!$C:$Z,12,FALSE)</f>
        <v>No</v>
      </c>
      <c r="H1631" s="127">
        <f>VLOOKUP($C1631,'2021-22 School Level AAFTE'!$C:$I,7,FALSE)</f>
        <v>107.78</v>
      </c>
      <c r="I1631" s="112">
        <f>IFERROR(IF(OR(G1631="yes",F1631= "yes"),VLOOKUP(C1631,Summary!$B:$J,6,0),0),0)</f>
        <v>0</v>
      </c>
      <c r="J1631" s="111">
        <f t="shared" si="318"/>
        <v>0</v>
      </c>
      <c r="K1631" s="91">
        <f>VLOOKUP($A1631,'2022-23 Salary &amp; Benefits'!$A:$I,3,FALSE)</f>
        <v>1</v>
      </c>
      <c r="L1631" s="91">
        <f>VLOOKUP($A1631,'2022-23 Salary &amp; Benefits'!$A:$I,4,FALSE)</f>
        <v>1</v>
      </c>
      <c r="M1631" s="101">
        <f t="shared" si="313"/>
        <v>0</v>
      </c>
      <c r="N1631" s="24">
        <v>15</v>
      </c>
      <c r="O1631" s="26">
        <f t="shared" si="316"/>
        <v>0</v>
      </c>
      <c r="P1631" s="24">
        <v>1.1000000000000001</v>
      </c>
      <c r="Q1631" s="24">
        <v>36</v>
      </c>
      <c r="R1631" s="27">
        <f t="shared" si="317"/>
        <v>0</v>
      </c>
      <c r="S1631" s="102">
        <f t="shared" si="319"/>
        <v>0</v>
      </c>
      <c r="T1631" s="21">
        <f>VLOOKUP($A1631,'2022-23 Salary &amp; Benefits'!$A:$I,5,FALSE)</f>
        <v>68937</v>
      </c>
      <c r="U1631" s="21">
        <f>VLOOKUP($A1631,'2022-23 Salary &amp; Benefits'!$A:$I,6,FALSE)</f>
        <v>72728</v>
      </c>
      <c r="V1631" s="22">
        <f t="shared" si="320"/>
        <v>0</v>
      </c>
      <c r="W1631" s="22">
        <f t="shared" si="321"/>
        <v>0</v>
      </c>
      <c r="X1631" s="22">
        <f>'2022-23 Salary &amp; Benefits'!$G$6</f>
        <v>12558.24</v>
      </c>
      <c r="Y1631" s="23">
        <f>'2022-23 Salary &amp; Benefits'!$H$6</f>
        <v>0.2298</v>
      </c>
      <c r="Z1631" s="23">
        <f>'2022-23 Salary &amp; Benefits'!$I$6</f>
        <v>0.22339999999999999</v>
      </c>
      <c r="AA1631" s="22">
        <f t="shared" si="322"/>
        <v>0</v>
      </c>
      <c r="AB1631" s="22">
        <f t="shared" si="323"/>
        <v>0</v>
      </c>
      <c r="AC1631" s="22">
        <f t="shared" si="324"/>
        <v>0</v>
      </c>
      <c r="AD1631" s="22">
        <f t="shared" si="314"/>
        <v>0</v>
      </c>
      <c r="AE1631" s="22">
        <f t="shared" si="315"/>
        <v>0</v>
      </c>
      <c r="AF1631" s="19" t="str">
        <f>VLOOKUP(C1631,'2021-22 School Level AAFTE'!C:N,12,FALSE)</f>
        <v>No</v>
      </c>
    </row>
    <row r="1632" spans="1:32" s="5" customFormat="1">
      <c r="A1632" s="97" t="s">
        <v>2499</v>
      </c>
      <c r="B1632" s="97" t="s">
        <v>1914</v>
      </c>
      <c r="C1632" s="95">
        <v>2525</v>
      </c>
      <c r="D1632" s="95" t="s">
        <v>1916</v>
      </c>
      <c r="E1632" s="129">
        <f>VLOOKUP($C1632,'2021-22 School Level AAFTE'!$C:$Z,11,FALSE)</f>
        <v>0.49279999999999996</v>
      </c>
      <c r="F1632" s="129" t="str">
        <f>VLOOKUP($C1632,'2021-22 School Level AAFTE'!$C:$Z,8,FALSE)</f>
        <v>No</v>
      </c>
      <c r="G1632" s="129" t="str">
        <f>VLOOKUP($C1632,'2021-22 School Level AAFTE'!$C:$Z,12,FALSE)</f>
        <v>No</v>
      </c>
      <c r="H1632" s="127">
        <f>VLOOKUP($C1632,'2021-22 School Level AAFTE'!$C:$I,7,FALSE)</f>
        <v>205.45</v>
      </c>
      <c r="I1632" s="112">
        <f>IFERROR(IF(OR(G1632="yes",F1632= "yes"),VLOOKUP(C1632,Summary!$B:$J,6,0),0),0)</f>
        <v>0</v>
      </c>
      <c r="J1632" s="111">
        <f t="shared" si="318"/>
        <v>0</v>
      </c>
      <c r="K1632" s="91">
        <f>VLOOKUP($A1632,'2022-23 Salary &amp; Benefits'!$A:$I,3,FALSE)</f>
        <v>1</v>
      </c>
      <c r="L1632" s="91">
        <f>VLOOKUP($A1632,'2022-23 Salary &amp; Benefits'!$A:$I,4,FALSE)</f>
        <v>1</v>
      </c>
      <c r="M1632" s="39">
        <f t="shared" si="313"/>
        <v>0</v>
      </c>
      <c r="N1632" s="24">
        <v>15</v>
      </c>
      <c r="O1632" s="26">
        <f t="shared" si="316"/>
        <v>0</v>
      </c>
      <c r="P1632" s="24">
        <v>1.1000000000000001</v>
      </c>
      <c r="Q1632" s="24">
        <v>36</v>
      </c>
      <c r="R1632" s="27">
        <f t="shared" si="317"/>
        <v>0</v>
      </c>
      <c r="S1632" s="102">
        <f t="shared" si="319"/>
        <v>0</v>
      </c>
      <c r="T1632" s="21">
        <f>VLOOKUP($A1632,'2022-23 Salary &amp; Benefits'!$A:$I,5,FALSE)</f>
        <v>68937</v>
      </c>
      <c r="U1632" s="21">
        <f>VLOOKUP($A1632,'2022-23 Salary &amp; Benefits'!$A:$I,6,FALSE)</f>
        <v>72728</v>
      </c>
      <c r="V1632" s="22">
        <f t="shared" si="320"/>
        <v>0</v>
      </c>
      <c r="W1632" s="22">
        <f t="shared" si="321"/>
        <v>0</v>
      </c>
      <c r="X1632" s="22">
        <f>'2022-23 Salary &amp; Benefits'!$G$6</f>
        <v>12558.24</v>
      </c>
      <c r="Y1632" s="23">
        <f>'2022-23 Salary &amp; Benefits'!$H$6</f>
        <v>0.2298</v>
      </c>
      <c r="Z1632" s="23">
        <f>'2022-23 Salary &amp; Benefits'!$I$6</f>
        <v>0.22339999999999999</v>
      </c>
      <c r="AA1632" s="22">
        <f t="shared" si="322"/>
        <v>0</v>
      </c>
      <c r="AB1632" s="22">
        <f t="shared" si="323"/>
        <v>0</v>
      </c>
      <c r="AC1632" s="22">
        <f t="shared" si="324"/>
        <v>0</v>
      </c>
      <c r="AD1632" s="22">
        <f t="shared" si="314"/>
        <v>0</v>
      </c>
      <c r="AE1632" s="22">
        <f t="shared" si="315"/>
        <v>0</v>
      </c>
      <c r="AF1632" s="19" t="str">
        <f>VLOOKUP(C1632,'2021-22 School Level AAFTE'!C:N,12,FALSE)</f>
        <v>No</v>
      </c>
    </row>
    <row r="1633" spans="1:284" s="5" customFormat="1">
      <c r="A1633" s="97" t="s">
        <v>2499</v>
      </c>
      <c r="B1633" s="97" t="s">
        <v>1914</v>
      </c>
      <c r="C1633" s="95">
        <v>3466</v>
      </c>
      <c r="D1633" s="95" t="s">
        <v>1917</v>
      </c>
      <c r="E1633" s="129">
        <f>VLOOKUP($C1633,'2021-22 School Level AAFTE'!$C:$Z,11,FALSE)</f>
        <v>0.46826666666666666</v>
      </c>
      <c r="F1633" s="129" t="str">
        <f>VLOOKUP($C1633,'2021-22 School Level AAFTE'!$C:$Z,8,FALSE)</f>
        <v>No</v>
      </c>
      <c r="G1633" s="129" t="str">
        <f>VLOOKUP($C1633,'2021-22 School Level AAFTE'!$C:$Z,12,FALSE)</f>
        <v>No</v>
      </c>
      <c r="H1633" s="127">
        <f>VLOOKUP($C1633,'2021-22 School Level AAFTE'!$C:$I,7,FALSE)</f>
        <v>295.61</v>
      </c>
      <c r="I1633" s="112">
        <f>IFERROR(IF(OR(G1633="yes",F1633= "yes"),VLOOKUP(C1633,Summary!$B:$J,6,0),0),0)</f>
        <v>0</v>
      </c>
      <c r="J1633" s="111">
        <f t="shared" si="318"/>
        <v>0</v>
      </c>
      <c r="K1633" s="91">
        <f>VLOOKUP($A1633,'2022-23 Salary &amp; Benefits'!$A:$I,3,FALSE)</f>
        <v>1</v>
      </c>
      <c r="L1633" s="91">
        <f>VLOOKUP($A1633,'2022-23 Salary &amp; Benefits'!$A:$I,4,FALSE)</f>
        <v>1</v>
      </c>
      <c r="M1633" s="101">
        <f t="shared" si="313"/>
        <v>0</v>
      </c>
      <c r="N1633" s="24">
        <v>15</v>
      </c>
      <c r="O1633" s="26">
        <f t="shared" si="316"/>
        <v>0</v>
      </c>
      <c r="P1633" s="24">
        <v>1.1000000000000001</v>
      </c>
      <c r="Q1633" s="24">
        <v>36</v>
      </c>
      <c r="R1633" s="27">
        <f t="shared" si="317"/>
        <v>0</v>
      </c>
      <c r="S1633" s="102">
        <f t="shared" si="319"/>
        <v>0</v>
      </c>
      <c r="T1633" s="21">
        <f>VLOOKUP($A1633,'2022-23 Salary &amp; Benefits'!$A:$I,5,FALSE)</f>
        <v>68937</v>
      </c>
      <c r="U1633" s="21">
        <f>VLOOKUP($A1633,'2022-23 Salary &amp; Benefits'!$A:$I,6,FALSE)</f>
        <v>72728</v>
      </c>
      <c r="V1633" s="22">
        <f t="shared" si="320"/>
        <v>0</v>
      </c>
      <c r="W1633" s="22">
        <f t="shared" si="321"/>
        <v>0</v>
      </c>
      <c r="X1633" s="22">
        <f>'2022-23 Salary &amp; Benefits'!$G$6</f>
        <v>12558.24</v>
      </c>
      <c r="Y1633" s="23">
        <f>'2022-23 Salary &amp; Benefits'!$H$6</f>
        <v>0.2298</v>
      </c>
      <c r="Z1633" s="23">
        <f>'2022-23 Salary &amp; Benefits'!$I$6</f>
        <v>0.22339999999999999</v>
      </c>
      <c r="AA1633" s="22">
        <f t="shared" si="322"/>
        <v>0</v>
      </c>
      <c r="AB1633" s="22">
        <f t="shared" si="323"/>
        <v>0</v>
      </c>
      <c r="AC1633" s="22">
        <f t="shared" si="324"/>
        <v>0</v>
      </c>
      <c r="AD1633" s="22">
        <f t="shared" si="314"/>
        <v>0</v>
      </c>
      <c r="AE1633" s="22">
        <f t="shared" si="315"/>
        <v>0</v>
      </c>
      <c r="AF1633" s="19" t="str">
        <f>VLOOKUP(C1633,'2021-22 School Level AAFTE'!C:N,12,FALSE)</f>
        <v>No</v>
      </c>
    </row>
    <row r="1634" spans="1:284" s="5" customFormat="1">
      <c r="A1634" s="97" t="s">
        <v>2499</v>
      </c>
      <c r="B1634" s="97" t="s">
        <v>1914</v>
      </c>
      <c r="C1634" s="95">
        <v>4033</v>
      </c>
      <c r="D1634" s="95" t="s">
        <v>1918</v>
      </c>
      <c r="E1634" s="129">
        <f>VLOOKUP($C1634,'2021-22 School Level AAFTE'!$C:$Z,11,FALSE)</f>
        <v>0.52366666666666661</v>
      </c>
      <c r="F1634" s="129" t="str">
        <f>VLOOKUP($C1634,'2021-22 School Level AAFTE'!$C:$Z,8,FALSE)</f>
        <v>Yes</v>
      </c>
      <c r="G1634" s="129" t="str">
        <f>VLOOKUP($C1634,'2021-22 School Level AAFTE'!$C:$Z,12,FALSE)</f>
        <v>No</v>
      </c>
      <c r="H1634" s="127">
        <f>VLOOKUP($C1634,'2021-22 School Level AAFTE'!$C:$I,7,FALSE)</f>
        <v>381.46</v>
      </c>
      <c r="I1634" s="112">
        <f>IFERROR(IF(OR(G1634="yes",F1634= "yes"),VLOOKUP(C1634,Summary!$B:$J,6,0),0),0)</f>
        <v>0</v>
      </c>
      <c r="J1634" s="111">
        <f t="shared" si="318"/>
        <v>381.46</v>
      </c>
      <c r="K1634" s="91">
        <f>VLOOKUP($A1634,'2022-23 Salary &amp; Benefits'!$A:$I,3,FALSE)</f>
        <v>1</v>
      </c>
      <c r="L1634" s="91">
        <f>VLOOKUP($A1634,'2022-23 Salary &amp; Benefits'!$A:$I,4,FALSE)</f>
        <v>1</v>
      </c>
      <c r="M1634" s="101">
        <f t="shared" si="313"/>
        <v>381.46</v>
      </c>
      <c r="N1634" s="24">
        <v>15</v>
      </c>
      <c r="O1634" s="26">
        <f t="shared" si="316"/>
        <v>25.430666666666664</v>
      </c>
      <c r="P1634" s="24">
        <v>1.1000000000000001</v>
      </c>
      <c r="Q1634" s="24">
        <v>36</v>
      </c>
      <c r="R1634" s="27">
        <f t="shared" si="317"/>
        <v>1007.0544</v>
      </c>
      <c r="S1634" s="102">
        <f t="shared" si="319"/>
        <v>1.119</v>
      </c>
      <c r="T1634" s="21">
        <f>VLOOKUP($A1634,'2022-23 Salary &amp; Benefits'!$A:$I,5,FALSE)</f>
        <v>68937</v>
      </c>
      <c r="U1634" s="21">
        <f>VLOOKUP($A1634,'2022-23 Salary &amp; Benefits'!$A:$I,6,FALSE)</f>
        <v>72728</v>
      </c>
      <c r="V1634" s="22">
        <f t="shared" si="320"/>
        <v>77140.5</v>
      </c>
      <c r="W1634" s="22">
        <f t="shared" si="321"/>
        <v>4242.1300000000047</v>
      </c>
      <c r="X1634" s="22">
        <f>'2022-23 Salary &amp; Benefits'!$G$6</f>
        <v>12558.24</v>
      </c>
      <c r="Y1634" s="23">
        <f>'2022-23 Salary &amp; Benefits'!$H$6</f>
        <v>0.2298</v>
      </c>
      <c r="Z1634" s="23">
        <f>'2022-23 Salary &amp; Benefits'!$I$6</f>
        <v>0.22339999999999999</v>
      </c>
      <c r="AA1634" s="22">
        <f t="shared" si="322"/>
        <v>32727.25</v>
      </c>
      <c r="AB1634" s="22">
        <f t="shared" si="323"/>
        <v>1356.38</v>
      </c>
      <c r="AC1634" s="22">
        <f t="shared" si="324"/>
        <v>303.02</v>
      </c>
      <c r="AD1634" s="22">
        <f t="shared" si="314"/>
        <v>1659.4</v>
      </c>
      <c r="AE1634" s="22">
        <f t="shared" si="315"/>
        <v>115769.28</v>
      </c>
      <c r="AF1634" s="19" t="str">
        <f>VLOOKUP(C1634,'2021-22 School Level AAFTE'!C:N,12,FALSE)</f>
        <v>No</v>
      </c>
    </row>
    <row r="1635" spans="1:284" s="5" customFormat="1">
      <c r="A1635" s="97" t="s">
        <v>2499</v>
      </c>
      <c r="B1635" s="97" t="s">
        <v>1914</v>
      </c>
      <c r="C1635" s="95">
        <v>4228</v>
      </c>
      <c r="D1635" s="95" t="s">
        <v>1919</v>
      </c>
      <c r="E1635" s="129">
        <f>VLOOKUP($C1635,'2021-22 School Level AAFTE'!$C:$Z,11,FALSE)</f>
        <v>0.42880000000000001</v>
      </c>
      <c r="F1635" s="129" t="str">
        <f>VLOOKUP($C1635,'2021-22 School Level AAFTE'!$C:$Z,8,FALSE)</f>
        <v>No</v>
      </c>
      <c r="G1635" s="129" t="str">
        <f>VLOOKUP($C1635,'2021-22 School Level AAFTE'!$C:$Z,12,FALSE)</f>
        <v>No</v>
      </c>
      <c r="H1635" s="127">
        <f>VLOOKUP($C1635,'2021-22 School Level AAFTE'!$C:$I,7,FALSE)</f>
        <v>444.03000000000003</v>
      </c>
      <c r="I1635" s="112">
        <f>IFERROR(IF(OR(G1635="yes",F1635= "yes"),VLOOKUP(C1635,Summary!$B:$J,6,0),0),0)</f>
        <v>0</v>
      </c>
      <c r="J1635" s="111">
        <f t="shared" si="318"/>
        <v>0</v>
      </c>
      <c r="K1635" s="91">
        <f>VLOOKUP($A1635,'2022-23 Salary &amp; Benefits'!$A:$I,3,FALSE)</f>
        <v>1</v>
      </c>
      <c r="L1635" s="91">
        <f>VLOOKUP($A1635,'2022-23 Salary &amp; Benefits'!$A:$I,4,FALSE)</f>
        <v>1</v>
      </c>
      <c r="M1635" s="101">
        <f t="shared" si="313"/>
        <v>0</v>
      </c>
      <c r="N1635" s="24">
        <v>15</v>
      </c>
      <c r="O1635" s="26">
        <f t="shared" si="316"/>
        <v>0</v>
      </c>
      <c r="P1635" s="24">
        <v>1.1000000000000001</v>
      </c>
      <c r="Q1635" s="24">
        <v>36</v>
      </c>
      <c r="R1635" s="27">
        <f t="shared" si="317"/>
        <v>0</v>
      </c>
      <c r="S1635" s="102">
        <f t="shared" si="319"/>
        <v>0</v>
      </c>
      <c r="T1635" s="21">
        <f>VLOOKUP($A1635,'2022-23 Salary &amp; Benefits'!$A:$I,5,FALSE)</f>
        <v>68937</v>
      </c>
      <c r="U1635" s="21">
        <f>VLOOKUP($A1635,'2022-23 Salary &amp; Benefits'!$A:$I,6,FALSE)</f>
        <v>72728</v>
      </c>
      <c r="V1635" s="22">
        <f t="shared" si="320"/>
        <v>0</v>
      </c>
      <c r="W1635" s="22">
        <f t="shared" si="321"/>
        <v>0</v>
      </c>
      <c r="X1635" s="22">
        <f>'2022-23 Salary &amp; Benefits'!$G$6</f>
        <v>12558.24</v>
      </c>
      <c r="Y1635" s="23">
        <f>'2022-23 Salary &amp; Benefits'!$H$6</f>
        <v>0.2298</v>
      </c>
      <c r="Z1635" s="23">
        <f>'2022-23 Salary &amp; Benefits'!$I$6</f>
        <v>0.22339999999999999</v>
      </c>
      <c r="AA1635" s="22">
        <f t="shared" si="322"/>
        <v>0</v>
      </c>
      <c r="AB1635" s="22">
        <f t="shared" si="323"/>
        <v>0</v>
      </c>
      <c r="AC1635" s="22">
        <f t="shared" si="324"/>
        <v>0</v>
      </c>
      <c r="AD1635" s="22">
        <f t="shared" si="314"/>
        <v>0</v>
      </c>
      <c r="AE1635" s="22">
        <f t="shared" si="315"/>
        <v>0</v>
      </c>
      <c r="AF1635" s="19" t="str">
        <f>VLOOKUP(C1635,'2021-22 School Level AAFTE'!C:N,12,FALSE)</f>
        <v>No</v>
      </c>
    </row>
    <row r="1636" spans="1:284" s="5" customFormat="1">
      <c r="A1636" s="97" t="s">
        <v>2358</v>
      </c>
      <c r="B1636" s="97" t="s">
        <v>798</v>
      </c>
      <c r="C1636" s="95">
        <v>1756</v>
      </c>
      <c r="D1636" s="95" t="s">
        <v>799</v>
      </c>
      <c r="E1636" s="129">
        <f>VLOOKUP($C1636,'2021-22 School Level AAFTE'!$C:$Z,11,FALSE)</f>
        <v>0.22443333333333335</v>
      </c>
      <c r="F1636" s="129" t="str">
        <f>VLOOKUP($C1636,'2021-22 School Level AAFTE'!$C:$Z,8,FALSE)</f>
        <v>No</v>
      </c>
      <c r="G1636" s="129" t="str">
        <f>VLOOKUP($C1636,'2021-22 School Level AAFTE'!$C:$Z,12,FALSE)</f>
        <v>No</v>
      </c>
      <c r="H1636" s="127">
        <f>VLOOKUP($C1636,'2021-22 School Level AAFTE'!$C:$I,7,FALSE)</f>
        <v>48.41</v>
      </c>
      <c r="I1636" s="112">
        <f>IFERROR(IF(OR(G1636="yes",F1636= "yes"),VLOOKUP(C1636,Summary!$B:$J,6,0),0),0)</f>
        <v>0</v>
      </c>
      <c r="J1636" s="111">
        <f t="shared" si="318"/>
        <v>0</v>
      </c>
      <c r="K1636" s="91">
        <f>VLOOKUP($A1636,'2022-23 Salary &amp; Benefits'!$A:$I,3,FALSE)</f>
        <v>1.18</v>
      </c>
      <c r="L1636" s="91">
        <f>VLOOKUP($A1636,'2022-23 Salary &amp; Benefits'!$A:$I,4,FALSE)</f>
        <v>1.18</v>
      </c>
      <c r="M1636" s="101">
        <f t="shared" si="313"/>
        <v>0</v>
      </c>
      <c r="N1636" s="24">
        <v>15</v>
      </c>
      <c r="O1636" s="26">
        <f t="shared" si="316"/>
        <v>0</v>
      </c>
      <c r="P1636" s="24">
        <v>1.1000000000000001</v>
      </c>
      <c r="Q1636" s="24">
        <v>36</v>
      </c>
      <c r="R1636" s="27">
        <f t="shared" si="317"/>
        <v>0</v>
      </c>
      <c r="S1636" s="102">
        <f t="shared" si="319"/>
        <v>0</v>
      </c>
      <c r="T1636" s="21">
        <f>VLOOKUP($A1636,'2022-23 Salary &amp; Benefits'!$A:$I,5,FALSE)</f>
        <v>68937</v>
      </c>
      <c r="U1636" s="21">
        <f>VLOOKUP($A1636,'2022-23 Salary &amp; Benefits'!$A:$I,6,FALSE)</f>
        <v>72728</v>
      </c>
      <c r="V1636" s="22">
        <f t="shared" si="320"/>
        <v>0</v>
      </c>
      <c r="W1636" s="22">
        <f t="shared" si="321"/>
        <v>0</v>
      </c>
      <c r="X1636" s="22">
        <f>'2022-23 Salary &amp; Benefits'!$G$6</f>
        <v>12558.24</v>
      </c>
      <c r="Y1636" s="23">
        <f>'2022-23 Salary &amp; Benefits'!$H$6</f>
        <v>0.2298</v>
      </c>
      <c r="Z1636" s="23">
        <f>'2022-23 Salary &amp; Benefits'!$I$6</f>
        <v>0.22339999999999999</v>
      </c>
      <c r="AA1636" s="22">
        <f t="shared" si="322"/>
        <v>0</v>
      </c>
      <c r="AB1636" s="22">
        <f t="shared" si="323"/>
        <v>0</v>
      </c>
      <c r="AC1636" s="22">
        <f t="shared" si="324"/>
        <v>0</v>
      </c>
      <c r="AD1636" s="22">
        <f t="shared" si="314"/>
        <v>0</v>
      </c>
      <c r="AE1636" s="22">
        <f t="shared" si="315"/>
        <v>0</v>
      </c>
      <c r="AF1636" s="19" t="str">
        <f>VLOOKUP(C1636,'2021-22 School Level AAFTE'!C:N,12,FALSE)</f>
        <v>No</v>
      </c>
    </row>
    <row r="1637" spans="1:284" s="5" customFormat="1">
      <c r="A1637" s="97" t="s">
        <v>2358</v>
      </c>
      <c r="B1637" s="97" t="s">
        <v>798</v>
      </c>
      <c r="C1637" s="95">
        <v>1854</v>
      </c>
      <c r="D1637" s="95" t="s">
        <v>800</v>
      </c>
      <c r="E1637" s="129">
        <f>VLOOKUP($C1637,'2021-22 School Level AAFTE'!$C:$Z,11,FALSE)</f>
        <v>9.6000000000000016E-2</v>
      </c>
      <c r="F1637" s="129" t="str">
        <f>VLOOKUP($C1637,'2021-22 School Level AAFTE'!$C:$Z,8,FALSE)</f>
        <v>No</v>
      </c>
      <c r="G1637" s="129" t="str">
        <f>VLOOKUP($C1637,'2021-22 School Level AAFTE'!$C:$Z,12,FALSE)</f>
        <v>No</v>
      </c>
      <c r="H1637" s="127">
        <f>VLOOKUP($C1637,'2021-22 School Level AAFTE'!$C:$I,7,FALSE)</f>
        <v>150.17999999999998</v>
      </c>
      <c r="I1637" s="112">
        <f>IFERROR(IF(OR(G1637="yes",F1637= "yes"),VLOOKUP(C1637,Summary!$B:$J,6,0),0),0)</f>
        <v>0</v>
      </c>
      <c r="J1637" s="111">
        <f t="shared" si="318"/>
        <v>0</v>
      </c>
      <c r="K1637" s="91">
        <f>VLOOKUP($A1637,'2022-23 Salary &amp; Benefits'!$A:$I,3,FALSE)</f>
        <v>1.18</v>
      </c>
      <c r="L1637" s="91">
        <f>VLOOKUP($A1637,'2022-23 Salary &amp; Benefits'!$A:$I,4,FALSE)</f>
        <v>1.18</v>
      </c>
      <c r="M1637" s="39">
        <f t="shared" si="313"/>
        <v>0</v>
      </c>
      <c r="N1637" s="24">
        <v>15</v>
      </c>
      <c r="O1637" s="26">
        <f t="shared" si="316"/>
        <v>0</v>
      </c>
      <c r="P1637" s="24">
        <v>1.1000000000000001</v>
      </c>
      <c r="Q1637" s="24">
        <v>36</v>
      </c>
      <c r="R1637" s="27">
        <f t="shared" si="317"/>
        <v>0</v>
      </c>
      <c r="S1637" s="102">
        <f t="shared" si="319"/>
        <v>0</v>
      </c>
      <c r="T1637" s="21">
        <f>VLOOKUP($A1637,'2022-23 Salary &amp; Benefits'!$A:$I,5,FALSE)</f>
        <v>68937</v>
      </c>
      <c r="U1637" s="21">
        <f>VLOOKUP($A1637,'2022-23 Salary &amp; Benefits'!$A:$I,6,FALSE)</f>
        <v>72728</v>
      </c>
      <c r="V1637" s="22">
        <f t="shared" si="320"/>
        <v>0</v>
      </c>
      <c r="W1637" s="22">
        <f t="shared" si="321"/>
        <v>0</v>
      </c>
      <c r="X1637" s="22">
        <f>'2022-23 Salary &amp; Benefits'!$G$6</f>
        <v>12558.24</v>
      </c>
      <c r="Y1637" s="23">
        <f>'2022-23 Salary &amp; Benefits'!$H$6</f>
        <v>0.2298</v>
      </c>
      <c r="Z1637" s="23">
        <f>'2022-23 Salary &amp; Benefits'!$I$6</f>
        <v>0.22339999999999999</v>
      </c>
      <c r="AA1637" s="22">
        <f t="shared" si="322"/>
        <v>0</v>
      </c>
      <c r="AB1637" s="22">
        <f t="shared" si="323"/>
        <v>0</v>
      </c>
      <c r="AC1637" s="22">
        <f t="shared" si="324"/>
        <v>0</v>
      </c>
      <c r="AD1637" s="22">
        <f t="shared" si="314"/>
        <v>0</v>
      </c>
      <c r="AE1637" s="22">
        <f t="shared" si="315"/>
        <v>0</v>
      </c>
      <c r="AF1637" s="19" t="str">
        <f>VLOOKUP(C1637,'2021-22 School Level AAFTE'!C:N,12,FALSE)</f>
        <v>No</v>
      </c>
    </row>
    <row r="1638" spans="1:284" s="5" customFormat="1">
      <c r="A1638" s="97" t="s">
        <v>2358</v>
      </c>
      <c r="B1638" s="97" t="s">
        <v>798</v>
      </c>
      <c r="C1638" s="95">
        <v>2485</v>
      </c>
      <c r="D1638" s="95" t="s">
        <v>801</v>
      </c>
      <c r="E1638" s="129">
        <f>VLOOKUP($C1638,'2021-22 School Level AAFTE'!$C:$Z,11,FALSE)</f>
        <v>0.19509999999999997</v>
      </c>
      <c r="F1638" s="129" t="str">
        <f>VLOOKUP($C1638,'2021-22 School Level AAFTE'!$C:$Z,8,FALSE)</f>
        <v>No</v>
      </c>
      <c r="G1638" s="129" t="str">
        <f>VLOOKUP($C1638,'2021-22 School Level AAFTE'!$C:$Z,12,FALSE)</f>
        <v>No</v>
      </c>
      <c r="H1638" s="127">
        <f>VLOOKUP($C1638,'2021-22 School Level AAFTE'!$C:$I,7,FALSE)</f>
        <v>311.02999999999997</v>
      </c>
      <c r="I1638" s="112">
        <f>IFERROR(IF(OR(G1638="yes",F1638= "yes"),VLOOKUP(C1638,Summary!$B:$J,6,0),0),0)</f>
        <v>0</v>
      </c>
      <c r="J1638" s="111">
        <f t="shared" si="318"/>
        <v>0</v>
      </c>
      <c r="K1638" s="91">
        <f>VLOOKUP($A1638,'2022-23 Salary &amp; Benefits'!$A:$I,3,FALSE)</f>
        <v>1.18</v>
      </c>
      <c r="L1638" s="91">
        <f>VLOOKUP($A1638,'2022-23 Salary &amp; Benefits'!$A:$I,4,FALSE)</f>
        <v>1.18</v>
      </c>
      <c r="M1638" s="101">
        <f t="shared" si="313"/>
        <v>0</v>
      </c>
      <c r="N1638" s="24">
        <v>15</v>
      </c>
      <c r="O1638" s="26">
        <f t="shared" si="316"/>
        <v>0</v>
      </c>
      <c r="P1638" s="24">
        <v>1.1000000000000001</v>
      </c>
      <c r="Q1638" s="24">
        <v>36</v>
      </c>
      <c r="R1638" s="27">
        <f t="shared" si="317"/>
        <v>0</v>
      </c>
      <c r="S1638" s="102">
        <f t="shared" si="319"/>
        <v>0</v>
      </c>
      <c r="T1638" s="21">
        <f>VLOOKUP($A1638,'2022-23 Salary &amp; Benefits'!$A:$I,5,FALSE)</f>
        <v>68937</v>
      </c>
      <c r="U1638" s="21">
        <f>VLOOKUP($A1638,'2022-23 Salary &amp; Benefits'!$A:$I,6,FALSE)</f>
        <v>72728</v>
      </c>
      <c r="V1638" s="22">
        <f t="shared" si="320"/>
        <v>0</v>
      </c>
      <c r="W1638" s="22">
        <f t="shared" si="321"/>
        <v>0</v>
      </c>
      <c r="X1638" s="22">
        <f>'2022-23 Salary &amp; Benefits'!$G$6</f>
        <v>12558.24</v>
      </c>
      <c r="Y1638" s="23">
        <f>'2022-23 Salary &amp; Benefits'!$H$6</f>
        <v>0.2298</v>
      </c>
      <c r="Z1638" s="23">
        <f>'2022-23 Salary &amp; Benefits'!$I$6</f>
        <v>0.22339999999999999</v>
      </c>
      <c r="AA1638" s="22">
        <f t="shared" si="322"/>
        <v>0</v>
      </c>
      <c r="AB1638" s="22">
        <f t="shared" si="323"/>
        <v>0</v>
      </c>
      <c r="AC1638" s="22">
        <f t="shared" si="324"/>
        <v>0</v>
      </c>
      <c r="AD1638" s="22">
        <f t="shared" si="314"/>
        <v>0</v>
      </c>
      <c r="AE1638" s="22">
        <f t="shared" si="315"/>
        <v>0</v>
      </c>
      <c r="AF1638" s="19" t="str">
        <f>VLOOKUP(C1638,'2021-22 School Level AAFTE'!C:N,12,FALSE)</f>
        <v>No</v>
      </c>
    </row>
    <row r="1639" spans="1:284" s="5" customFormat="1">
      <c r="A1639" s="97" t="s">
        <v>2358</v>
      </c>
      <c r="B1639" s="97" t="s">
        <v>798</v>
      </c>
      <c r="C1639" s="95">
        <v>3006</v>
      </c>
      <c r="D1639" s="95" t="s">
        <v>802</v>
      </c>
      <c r="E1639" s="129">
        <f>VLOOKUP($C1639,'2021-22 School Level AAFTE'!$C:$Z,11,FALSE)</f>
        <v>0</v>
      </c>
      <c r="F1639" s="129" t="str">
        <f>VLOOKUP($C1639,'2021-22 School Level AAFTE'!$C:$Z,8,FALSE)</f>
        <v>No</v>
      </c>
      <c r="G1639" s="129" t="str">
        <f>VLOOKUP($C1639,'2021-22 School Level AAFTE'!$C:$Z,12,FALSE)</f>
        <v>No</v>
      </c>
      <c r="H1639" s="127">
        <f>VLOOKUP($C1639,'2021-22 School Level AAFTE'!$C:$I,7,FALSE)</f>
        <v>46.43</v>
      </c>
      <c r="I1639" s="112">
        <f>IFERROR(IF(OR(G1639="yes",F1639= "yes"),VLOOKUP(C1639,Summary!$B:$J,6,0),0),0)</f>
        <v>0</v>
      </c>
      <c r="J1639" s="111">
        <f t="shared" si="318"/>
        <v>0</v>
      </c>
      <c r="K1639" s="91">
        <f>VLOOKUP($A1639,'2022-23 Salary &amp; Benefits'!$A:$I,3,FALSE)</f>
        <v>1.18</v>
      </c>
      <c r="L1639" s="91">
        <f>VLOOKUP($A1639,'2022-23 Salary &amp; Benefits'!$A:$I,4,FALSE)</f>
        <v>1.18</v>
      </c>
      <c r="M1639" s="101">
        <f t="shared" si="313"/>
        <v>0</v>
      </c>
      <c r="N1639" s="24">
        <v>15</v>
      </c>
      <c r="O1639" s="26">
        <f t="shared" si="316"/>
        <v>0</v>
      </c>
      <c r="P1639" s="24">
        <v>1.1000000000000001</v>
      </c>
      <c r="Q1639" s="24">
        <v>36</v>
      </c>
      <c r="R1639" s="27">
        <f t="shared" si="317"/>
        <v>0</v>
      </c>
      <c r="S1639" s="102">
        <f t="shared" si="319"/>
        <v>0</v>
      </c>
      <c r="T1639" s="21">
        <f>VLOOKUP($A1639,'2022-23 Salary &amp; Benefits'!$A:$I,5,FALSE)</f>
        <v>68937</v>
      </c>
      <c r="U1639" s="21">
        <f>VLOOKUP($A1639,'2022-23 Salary &amp; Benefits'!$A:$I,6,FALSE)</f>
        <v>72728</v>
      </c>
      <c r="V1639" s="22">
        <f t="shared" si="320"/>
        <v>0</v>
      </c>
      <c r="W1639" s="22">
        <f t="shared" si="321"/>
        <v>0</v>
      </c>
      <c r="X1639" s="22">
        <f>'2022-23 Salary &amp; Benefits'!$G$6</f>
        <v>12558.24</v>
      </c>
      <c r="Y1639" s="23">
        <f>'2022-23 Salary &amp; Benefits'!$H$6</f>
        <v>0.2298</v>
      </c>
      <c r="Z1639" s="23">
        <f>'2022-23 Salary &amp; Benefits'!$I$6</f>
        <v>0.22339999999999999</v>
      </c>
      <c r="AA1639" s="22">
        <f t="shared" si="322"/>
        <v>0</v>
      </c>
      <c r="AB1639" s="22">
        <f t="shared" si="323"/>
        <v>0</v>
      </c>
      <c r="AC1639" s="22">
        <f t="shared" si="324"/>
        <v>0</v>
      </c>
      <c r="AD1639" s="22">
        <f t="shared" si="314"/>
        <v>0</v>
      </c>
      <c r="AE1639" s="22">
        <f t="shared" si="315"/>
        <v>0</v>
      </c>
      <c r="AF1639" s="19" t="str">
        <f>VLOOKUP(C1639,'2021-22 School Level AAFTE'!C:N,12,FALSE)</f>
        <v>No</v>
      </c>
    </row>
    <row r="1640" spans="1:284" s="5" customFormat="1">
      <c r="A1640" s="97" t="s">
        <v>2358</v>
      </c>
      <c r="B1640" s="97" t="s">
        <v>798</v>
      </c>
      <c r="C1640" s="95">
        <v>3101</v>
      </c>
      <c r="D1640" s="95" t="s">
        <v>803</v>
      </c>
      <c r="E1640" s="129">
        <f>VLOOKUP($C1640,'2021-22 School Level AAFTE'!$C:$Z,11,FALSE)</f>
        <v>0.10463333333333334</v>
      </c>
      <c r="F1640" s="129" t="str">
        <f>VLOOKUP($C1640,'2021-22 School Level AAFTE'!$C:$Z,8,FALSE)</f>
        <v>No</v>
      </c>
      <c r="G1640" s="129" t="str">
        <f>VLOOKUP($C1640,'2021-22 School Level AAFTE'!$C:$Z,12,FALSE)</f>
        <v>No</v>
      </c>
      <c r="H1640" s="127">
        <f>VLOOKUP($C1640,'2021-22 School Level AAFTE'!$C:$I,7,FALSE)</f>
        <v>418.48</v>
      </c>
      <c r="I1640" s="112">
        <f>IFERROR(IF(OR(G1640="yes",F1640= "yes"),VLOOKUP(C1640,Summary!$B:$J,6,0),0),0)</f>
        <v>0</v>
      </c>
      <c r="J1640" s="111">
        <f t="shared" si="318"/>
        <v>0</v>
      </c>
      <c r="K1640" s="91">
        <f>VLOOKUP($A1640,'2022-23 Salary &amp; Benefits'!$A:$I,3,FALSE)</f>
        <v>1.18</v>
      </c>
      <c r="L1640" s="91">
        <f>VLOOKUP($A1640,'2022-23 Salary &amp; Benefits'!$A:$I,4,FALSE)</f>
        <v>1.18</v>
      </c>
      <c r="M1640" s="101">
        <f t="shared" si="313"/>
        <v>0</v>
      </c>
      <c r="N1640" s="24">
        <v>15</v>
      </c>
      <c r="O1640" s="26">
        <f t="shared" si="316"/>
        <v>0</v>
      </c>
      <c r="P1640" s="24">
        <v>1.1000000000000001</v>
      </c>
      <c r="Q1640" s="24">
        <v>36</v>
      </c>
      <c r="R1640" s="27">
        <f t="shared" si="317"/>
        <v>0</v>
      </c>
      <c r="S1640" s="102">
        <f t="shared" si="319"/>
        <v>0</v>
      </c>
      <c r="T1640" s="21">
        <f>VLOOKUP($A1640,'2022-23 Salary &amp; Benefits'!$A:$I,5,FALSE)</f>
        <v>68937</v>
      </c>
      <c r="U1640" s="21">
        <f>VLOOKUP($A1640,'2022-23 Salary &amp; Benefits'!$A:$I,6,FALSE)</f>
        <v>72728</v>
      </c>
      <c r="V1640" s="22">
        <f t="shared" si="320"/>
        <v>0</v>
      </c>
      <c r="W1640" s="22">
        <f t="shared" si="321"/>
        <v>0</v>
      </c>
      <c r="X1640" s="22">
        <f>'2022-23 Salary &amp; Benefits'!$G$6</f>
        <v>12558.24</v>
      </c>
      <c r="Y1640" s="23">
        <f>'2022-23 Salary &amp; Benefits'!$H$6</f>
        <v>0.2298</v>
      </c>
      <c r="Z1640" s="23">
        <f>'2022-23 Salary &amp; Benefits'!$I$6</f>
        <v>0.22339999999999999</v>
      </c>
      <c r="AA1640" s="22">
        <f t="shared" si="322"/>
        <v>0</v>
      </c>
      <c r="AB1640" s="22">
        <f t="shared" si="323"/>
        <v>0</v>
      </c>
      <c r="AC1640" s="22">
        <f t="shared" si="324"/>
        <v>0</v>
      </c>
      <c r="AD1640" s="22">
        <f t="shared" si="314"/>
        <v>0</v>
      </c>
      <c r="AE1640" s="22">
        <f t="shared" si="315"/>
        <v>0</v>
      </c>
      <c r="AF1640" s="19" t="str">
        <f>VLOOKUP(C1640,'2021-22 School Level AAFTE'!C:N,12,FALSE)</f>
        <v>No</v>
      </c>
    </row>
    <row r="1641" spans="1:284" s="5" customFormat="1">
      <c r="A1641" s="97" t="s">
        <v>2358</v>
      </c>
      <c r="B1641" s="97" t="s">
        <v>798</v>
      </c>
      <c r="C1641" s="95">
        <v>3524</v>
      </c>
      <c r="D1641" s="95" t="s">
        <v>804</v>
      </c>
      <c r="E1641" s="129">
        <f>VLOOKUP($C1641,'2021-22 School Level AAFTE'!$C:$Z,11,FALSE)</f>
        <v>0.10713333333333334</v>
      </c>
      <c r="F1641" s="129" t="str">
        <f>VLOOKUP($C1641,'2021-22 School Level AAFTE'!$C:$Z,8,FALSE)</f>
        <v>No</v>
      </c>
      <c r="G1641" s="129" t="str">
        <f>VLOOKUP($C1641,'2021-22 School Level AAFTE'!$C:$Z,12,FALSE)</f>
        <v>No</v>
      </c>
      <c r="H1641" s="127">
        <f>VLOOKUP($C1641,'2021-22 School Level AAFTE'!$C:$I,7,FALSE)</f>
        <v>916.67000000000007</v>
      </c>
      <c r="I1641" s="112">
        <f>IFERROR(IF(OR(G1641="yes",F1641= "yes"),VLOOKUP(C1641,Summary!$B:$J,6,0),0),0)</f>
        <v>0</v>
      </c>
      <c r="J1641" s="111">
        <f t="shared" si="318"/>
        <v>0</v>
      </c>
      <c r="K1641" s="91">
        <f>VLOOKUP($A1641,'2022-23 Salary &amp; Benefits'!$A:$I,3,FALSE)</f>
        <v>1.18</v>
      </c>
      <c r="L1641" s="91">
        <f>VLOOKUP($A1641,'2022-23 Salary &amp; Benefits'!$A:$I,4,FALSE)</f>
        <v>1.18</v>
      </c>
      <c r="M1641" s="101">
        <f t="shared" si="313"/>
        <v>0</v>
      </c>
      <c r="N1641" s="24">
        <v>15</v>
      </c>
      <c r="O1641" s="26">
        <f t="shared" si="316"/>
        <v>0</v>
      </c>
      <c r="P1641" s="24">
        <v>1.1000000000000001</v>
      </c>
      <c r="Q1641" s="24">
        <v>36</v>
      </c>
      <c r="R1641" s="27">
        <f t="shared" si="317"/>
        <v>0</v>
      </c>
      <c r="S1641" s="102">
        <f t="shared" si="319"/>
        <v>0</v>
      </c>
      <c r="T1641" s="21">
        <f>VLOOKUP($A1641,'2022-23 Salary &amp; Benefits'!$A:$I,5,FALSE)</f>
        <v>68937</v>
      </c>
      <c r="U1641" s="21">
        <f>VLOOKUP($A1641,'2022-23 Salary &amp; Benefits'!$A:$I,6,FALSE)</f>
        <v>72728</v>
      </c>
      <c r="V1641" s="22">
        <f t="shared" si="320"/>
        <v>0</v>
      </c>
      <c r="W1641" s="22">
        <f t="shared" si="321"/>
        <v>0</v>
      </c>
      <c r="X1641" s="22">
        <f>'2022-23 Salary &amp; Benefits'!$G$6</f>
        <v>12558.24</v>
      </c>
      <c r="Y1641" s="23">
        <f>'2022-23 Salary &amp; Benefits'!$H$6</f>
        <v>0.2298</v>
      </c>
      <c r="Z1641" s="23">
        <f>'2022-23 Salary &amp; Benefits'!$I$6</f>
        <v>0.22339999999999999</v>
      </c>
      <c r="AA1641" s="22">
        <f t="shared" si="322"/>
        <v>0</v>
      </c>
      <c r="AB1641" s="22">
        <f t="shared" si="323"/>
        <v>0</v>
      </c>
      <c r="AC1641" s="22">
        <f t="shared" si="324"/>
        <v>0</v>
      </c>
      <c r="AD1641" s="22">
        <f t="shared" si="314"/>
        <v>0</v>
      </c>
      <c r="AE1641" s="22">
        <f t="shared" si="315"/>
        <v>0</v>
      </c>
      <c r="AF1641" s="19" t="str">
        <f>VLOOKUP(C1641,'2021-22 School Level AAFTE'!C:N,12,FALSE)</f>
        <v>No</v>
      </c>
    </row>
    <row r="1642" spans="1:284" s="5" customFormat="1">
      <c r="A1642" s="97" t="s">
        <v>2358</v>
      </c>
      <c r="B1642" s="97" t="s">
        <v>798</v>
      </c>
      <c r="C1642" s="95">
        <v>4318</v>
      </c>
      <c r="D1642" s="95" t="s">
        <v>805</v>
      </c>
      <c r="E1642" s="129">
        <f>VLOOKUP($C1642,'2021-22 School Level AAFTE'!$C:$Z,11,FALSE)</f>
        <v>0.14700000000000002</v>
      </c>
      <c r="F1642" s="129" t="str">
        <f>VLOOKUP($C1642,'2021-22 School Level AAFTE'!$C:$Z,8,FALSE)</f>
        <v>No</v>
      </c>
      <c r="G1642" s="129" t="str">
        <f>VLOOKUP($C1642,'2021-22 School Level AAFTE'!$C:$Z,12,FALSE)</f>
        <v>No</v>
      </c>
      <c r="H1642" s="127">
        <f>VLOOKUP($C1642,'2021-22 School Level AAFTE'!$C:$I,7,FALSE)</f>
        <v>665.32</v>
      </c>
      <c r="I1642" s="112">
        <f>IFERROR(IF(OR(G1642="yes",F1642= "yes"),VLOOKUP(C1642,Summary!$B:$J,6,0),0),0)</f>
        <v>0</v>
      </c>
      <c r="J1642" s="111">
        <f t="shared" si="318"/>
        <v>0</v>
      </c>
      <c r="K1642" s="91">
        <f>VLOOKUP($A1642,'2022-23 Salary &amp; Benefits'!$A:$I,3,FALSE)</f>
        <v>1.18</v>
      </c>
      <c r="L1642" s="91">
        <f>VLOOKUP($A1642,'2022-23 Salary &amp; Benefits'!$A:$I,4,FALSE)</f>
        <v>1.18</v>
      </c>
      <c r="M1642" s="101">
        <f t="shared" si="313"/>
        <v>0</v>
      </c>
      <c r="N1642" s="24">
        <v>15</v>
      </c>
      <c r="O1642" s="26">
        <f t="shared" si="316"/>
        <v>0</v>
      </c>
      <c r="P1642" s="24">
        <v>1.1000000000000001</v>
      </c>
      <c r="Q1642" s="24">
        <v>36</v>
      </c>
      <c r="R1642" s="27">
        <f t="shared" si="317"/>
        <v>0</v>
      </c>
      <c r="S1642" s="102">
        <f t="shared" si="319"/>
        <v>0</v>
      </c>
      <c r="T1642" s="21">
        <f>VLOOKUP($A1642,'2022-23 Salary &amp; Benefits'!$A:$I,5,FALSE)</f>
        <v>68937</v>
      </c>
      <c r="U1642" s="21">
        <f>VLOOKUP($A1642,'2022-23 Salary &amp; Benefits'!$A:$I,6,FALSE)</f>
        <v>72728</v>
      </c>
      <c r="V1642" s="22">
        <f t="shared" si="320"/>
        <v>0</v>
      </c>
      <c r="W1642" s="22">
        <f t="shared" si="321"/>
        <v>0</v>
      </c>
      <c r="X1642" s="22">
        <f>'2022-23 Salary &amp; Benefits'!$G$6</f>
        <v>12558.24</v>
      </c>
      <c r="Y1642" s="23">
        <f>'2022-23 Salary &amp; Benefits'!$H$6</f>
        <v>0.2298</v>
      </c>
      <c r="Z1642" s="23">
        <f>'2022-23 Salary &amp; Benefits'!$I$6</f>
        <v>0.22339999999999999</v>
      </c>
      <c r="AA1642" s="22">
        <f t="shared" si="322"/>
        <v>0</v>
      </c>
      <c r="AB1642" s="22">
        <f t="shared" si="323"/>
        <v>0</v>
      </c>
      <c r="AC1642" s="22">
        <f t="shared" si="324"/>
        <v>0</v>
      </c>
      <c r="AD1642" s="22">
        <f t="shared" si="314"/>
        <v>0</v>
      </c>
      <c r="AE1642" s="22">
        <f t="shared" si="315"/>
        <v>0</v>
      </c>
      <c r="AF1642" s="19" t="str">
        <f>VLOOKUP(C1642,'2021-22 School Level AAFTE'!C:N,12,FALSE)</f>
        <v>No</v>
      </c>
    </row>
    <row r="1643" spans="1:284" s="5" customFormat="1">
      <c r="A1643" s="97" t="s">
        <v>2358</v>
      </c>
      <c r="B1643" s="97" t="s">
        <v>798</v>
      </c>
      <c r="C1643" s="95">
        <v>4332</v>
      </c>
      <c r="D1643" s="95" t="s">
        <v>806</v>
      </c>
      <c r="E1643" s="129">
        <f>VLOOKUP($C1643,'2021-22 School Level AAFTE'!$C:$Z,11,FALSE)</f>
        <v>0.12206666666666666</v>
      </c>
      <c r="F1643" s="129" t="str">
        <f>VLOOKUP($C1643,'2021-22 School Level AAFTE'!$C:$Z,8,FALSE)</f>
        <v>No</v>
      </c>
      <c r="G1643" s="129" t="str">
        <f>VLOOKUP($C1643,'2021-22 School Level AAFTE'!$C:$Z,12,FALSE)</f>
        <v>No</v>
      </c>
      <c r="H1643" s="127">
        <f>VLOOKUP($C1643,'2021-22 School Level AAFTE'!$C:$I,7,FALSE)</f>
        <v>462.02</v>
      </c>
      <c r="I1643" s="112">
        <f>IFERROR(IF(OR(G1643="yes",F1643= "yes"),VLOOKUP(C1643,Summary!$B:$J,6,0),0),0)</f>
        <v>0</v>
      </c>
      <c r="J1643" s="111">
        <f t="shared" si="318"/>
        <v>0</v>
      </c>
      <c r="K1643" s="91">
        <f>VLOOKUP($A1643,'2022-23 Salary &amp; Benefits'!$A:$I,3,FALSE)</f>
        <v>1.18</v>
      </c>
      <c r="L1643" s="91">
        <f>VLOOKUP($A1643,'2022-23 Salary &amp; Benefits'!$A:$I,4,FALSE)</f>
        <v>1.18</v>
      </c>
      <c r="M1643" s="39">
        <f t="shared" si="313"/>
        <v>0</v>
      </c>
      <c r="N1643" s="24">
        <v>15</v>
      </c>
      <c r="O1643" s="26">
        <f t="shared" si="316"/>
        <v>0</v>
      </c>
      <c r="P1643" s="24">
        <v>1.1000000000000001</v>
      </c>
      <c r="Q1643" s="24">
        <v>36</v>
      </c>
      <c r="R1643" s="27">
        <f t="shared" si="317"/>
        <v>0</v>
      </c>
      <c r="S1643" s="102">
        <f t="shared" si="319"/>
        <v>0</v>
      </c>
      <c r="T1643" s="21">
        <f>VLOOKUP($A1643,'2022-23 Salary &amp; Benefits'!$A:$I,5,FALSE)</f>
        <v>68937</v>
      </c>
      <c r="U1643" s="21">
        <f>VLOOKUP($A1643,'2022-23 Salary &amp; Benefits'!$A:$I,6,FALSE)</f>
        <v>72728</v>
      </c>
      <c r="V1643" s="22">
        <f t="shared" si="320"/>
        <v>0</v>
      </c>
      <c r="W1643" s="22">
        <f t="shared" si="321"/>
        <v>0</v>
      </c>
      <c r="X1643" s="22">
        <f>'2022-23 Salary &amp; Benefits'!$G$6</f>
        <v>12558.24</v>
      </c>
      <c r="Y1643" s="23">
        <f>'2022-23 Salary &amp; Benefits'!$H$6</f>
        <v>0.2298</v>
      </c>
      <c r="Z1643" s="23">
        <f>'2022-23 Salary &amp; Benefits'!$I$6</f>
        <v>0.22339999999999999</v>
      </c>
      <c r="AA1643" s="22">
        <f t="shared" si="322"/>
        <v>0</v>
      </c>
      <c r="AB1643" s="22">
        <f t="shared" si="323"/>
        <v>0</v>
      </c>
      <c r="AC1643" s="22">
        <f t="shared" si="324"/>
        <v>0</v>
      </c>
      <c r="AD1643" s="22">
        <f t="shared" si="314"/>
        <v>0</v>
      </c>
      <c r="AE1643" s="22">
        <f t="shared" si="315"/>
        <v>0</v>
      </c>
      <c r="AF1643" s="19" t="str">
        <f>VLOOKUP(C1643,'2021-22 School Level AAFTE'!C:N,12,FALSE)</f>
        <v>No</v>
      </c>
    </row>
    <row r="1644" spans="1:284" s="5" customFormat="1">
      <c r="A1644" s="97" t="s">
        <v>2358</v>
      </c>
      <c r="B1644" s="97" t="s">
        <v>798</v>
      </c>
      <c r="C1644" s="95">
        <v>5244</v>
      </c>
      <c r="D1644" s="95" t="s">
        <v>807</v>
      </c>
      <c r="E1644" s="129">
        <f>VLOOKUP($C1644,'2021-22 School Level AAFTE'!$C:$Z,11,FALSE)</f>
        <v>0.16363333333333333</v>
      </c>
      <c r="F1644" s="129" t="str">
        <f>VLOOKUP($C1644,'2021-22 School Level AAFTE'!$C:$Z,8,FALSE)</f>
        <v>No</v>
      </c>
      <c r="G1644" s="129" t="str">
        <f>VLOOKUP($C1644,'2021-22 School Level AAFTE'!$C:$Z,12,FALSE)</f>
        <v>No</v>
      </c>
      <c r="H1644" s="127">
        <f>VLOOKUP($C1644,'2021-22 School Level AAFTE'!$C:$I,7,FALSE)</f>
        <v>14.57</v>
      </c>
      <c r="I1644" s="112">
        <f>IFERROR(IF(OR(G1644="yes",F1644= "yes"),VLOOKUP(C1644,Summary!$B:$J,6,0),0),0)</f>
        <v>0</v>
      </c>
      <c r="J1644" s="111">
        <f t="shared" si="318"/>
        <v>0</v>
      </c>
      <c r="K1644" s="91">
        <f>VLOOKUP($A1644,'2022-23 Salary &amp; Benefits'!$A:$I,3,FALSE)</f>
        <v>1.18</v>
      </c>
      <c r="L1644" s="91">
        <f>VLOOKUP($A1644,'2022-23 Salary &amp; Benefits'!$A:$I,4,FALSE)</f>
        <v>1.18</v>
      </c>
      <c r="M1644" s="101">
        <f t="shared" si="313"/>
        <v>0</v>
      </c>
      <c r="N1644" s="24">
        <v>15</v>
      </c>
      <c r="O1644" s="26">
        <f t="shared" si="316"/>
        <v>0</v>
      </c>
      <c r="P1644" s="24">
        <v>1.1000000000000001</v>
      </c>
      <c r="Q1644" s="24">
        <v>36</v>
      </c>
      <c r="R1644" s="27">
        <f t="shared" si="317"/>
        <v>0</v>
      </c>
      <c r="S1644" s="102">
        <f t="shared" si="319"/>
        <v>0</v>
      </c>
      <c r="T1644" s="21">
        <f>VLOOKUP($A1644,'2022-23 Salary &amp; Benefits'!$A:$I,5,FALSE)</f>
        <v>68937</v>
      </c>
      <c r="U1644" s="21">
        <f>VLOOKUP($A1644,'2022-23 Salary &amp; Benefits'!$A:$I,6,FALSE)</f>
        <v>72728</v>
      </c>
      <c r="V1644" s="22">
        <f t="shared" si="320"/>
        <v>0</v>
      </c>
      <c r="W1644" s="22">
        <f t="shared" si="321"/>
        <v>0</v>
      </c>
      <c r="X1644" s="22">
        <f>'2022-23 Salary &amp; Benefits'!$G$6</f>
        <v>12558.24</v>
      </c>
      <c r="Y1644" s="23">
        <f>'2022-23 Salary &amp; Benefits'!$H$6</f>
        <v>0.2298</v>
      </c>
      <c r="Z1644" s="23">
        <f>'2022-23 Salary &amp; Benefits'!$I$6</f>
        <v>0.22339999999999999</v>
      </c>
      <c r="AA1644" s="22">
        <f t="shared" si="322"/>
        <v>0</v>
      </c>
      <c r="AB1644" s="22">
        <f t="shared" si="323"/>
        <v>0</v>
      </c>
      <c r="AC1644" s="22">
        <f t="shared" si="324"/>
        <v>0</v>
      </c>
      <c r="AD1644" s="22">
        <f t="shared" si="314"/>
        <v>0</v>
      </c>
      <c r="AE1644" s="22">
        <f t="shared" si="315"/>
        <v>0</v>
      </c>
      <c r="AF1644" s="19" t="str">
        <f>VLOOKUP(C1644,'2021-22 School Level AAFTE'!C:N,12,FALSE)</f>
        <v>No</v>
      </c>
    </row>
    <row r="1645" spans="1:284" s="5" customFormat="1">
      <c r="A1645" s="97" t="s">
        <v>2521</v>
      </c>
      <c r="B1645" s="97" t="s">
        <v>2025</v>
      </c>
      <c r="C1645" s="95">
        <v>1735</v>
      </c>
      <c r="D1645" s="95" t="s">
        <v>2026</v>
      </c>
      <c r="E1645" s="129">
        <f>VLOOKUP($C1645,'2021-22 School Level AAFTE'!$C:$Z,11,FALSE)</f>
        <v>0.55443333333333333</v>
      </c>
      <c r="F1645" s="129" t="str">
        <f>VLOOKUP($C1645,'2021-22 School Level AAFTE'!$C:$Z,8,FALSE)</f>
        <v>Yes</v>
      </c>
      <c r="G1645" s="129" t="str">
        <f>VLOOKUP($C1645,'2021-22 School Level AAFTE'!$C:$Z,12,FALSE)</f>
        <v>No</v>
      </c>
      <c r="H1645" s="127">
        <f>VLOOKUP($C1645,'2021-22 School Level AAFTE'!$C:$I,7,FALSE)</f>
        <v>37.71</v>
      </c>
      <c r="I1645" s="112">
        <f>IFERROR(IF(OR(G1645="yes",F1645= "yes"),VLOOKUP(C1645,Summary!$B:$J,6,0),0),0)</f>
        <v>0</v>
      </c>
      <c r="J1645" s="111">
        <f t="shared" si="318"/>
        <v>37.71</v>
      </c>
      <c r="K1645" s="91">
        <f>VLOOKUP($A1645,'2022-23 Salary &amp; Benefits'!$A:$I,3,FALSE)</f>
        <v>1</v>
      </c>
      <c r="L1645" s="91">
        <f>VLOOKUP($A1645,'2022-23 Salary &amp; Benefits'!$A:$I,4,FALSE)</f>
        <v>1</v>
      </c>
      <c r="M1645" s="101">
        <f t="shared" si="313"/>
        <v>37.71</v>
      </c>
      <c r="N1645" s="24">
        <v>15</v>
      </c>
      <c r="O1645" s="26">
        <f t="shared" si="316"/>
        <v>2.5140000000000002</v>
      </c>
      <c r="P1645" s="24">
        <v>1.1000000000000001</v>
      </c>
      <c r="Q1645" s="24">
        <v>36</v>
      </c>
      <c r="R1645" s="27">
        <f t="shared" si="317"/>
        <v>99.554400000000015</v>
      </c>
      <c r="S1645" s="102">
        <f t="shared" si="319"/>
        <v>0.111</v>
      </c>
      <c r="T1645" s="21">
        <f>VLOOKUP($A1645,'2022-23 Salary &amp; Benefits'!$A:$I,5,FALSE)</f>
        <v>68937</v>
      </c>
      <c r="U1645" s="21">
        <f>VLOOKUP($A1645,'2022-23 Salary &amp; Benefits'!$A:$I,6,FALSE)</f>
        <v>72728</v>
      </c>
      <c r="V1645" s="22">
        <f t="shared" si="320"/>
        <v>7652.01</v>
      </c>
      <c r="W1645" s="22">
        <f t="shared" si="321"/>
        <v>420.80000000000018</v>
      </c>
      <c r="X1645" s="22">
        <f>'2022-23 Salary &amp; Benefits'!$G$6</f>
        <v>12558.24</v>
      </c>
      <c r="Y1645" s="23">
        <f>'2022-23 Salary &amp; Benefits'!$H$6</f>
        <v>0.2298</v>
      </c>
      <c r="Z1645" s="23">
        <f>'2022-23 Salary &amp; Benefits'!$I$6</f>
        <v>0.22339999999999999</v>
      </c>
      <c r="AA1645" s="22">
        <f t="shared" si="322"/>
        <v>3246.4</v>
      </c>
      <c r="AB1645" s="22">
        <f t="shared" si="323"/>
        <v>134.55000000000001</v>
      </c>
      <c r="AC1645" s="22">
        <f t="shared" si="324"/>
        <v>30.06</v>
      </c>
      <c r="AD1645" s="22">
        <f t="shared" si="314"/>
        <v>164.61</v>
      </c>
      <c r="AE1645" s="22">
        <f t="shared" si="315"/>
        <v>11483.82</v>
      </c>
      <c r="AF1645" s="19" t="str">
        <f>VLOOKUP(C1645,'2021-22 School Level AAFTE'!C:N,12,FALSE)</f>
        <v>No</v>
      </c>
    </row>
    <row r="1646" spans="1:284" s="5" customFormat="1">
      <c r="A1646" s="97" t="s">
        <v>2521</v>
      </c>
      <c r="B1646" s="97" t="s">
        <v>2025</v>
      </c>
      <c r="C1646" s="95">
        <v>2527</v>
      </c>
      <c r="D1646" s="95" t="s">
        <v>2027</v>
      </c>
      <c r="E1646" s="129">
        <f>VLOOKUP($C1646,'2021-22 School Level AAFTE'!$C:$Z,11,FALSE)</f>
        <v>0.49199999999999999</v>
      </c>
      <c r="F1646" s="129" t="str">
        <f>VLOOKUP($C1646,'2021-22 School Level AAFTE'!$C:$Z,8,FALSE)</f>
        <v>No</v>
      </c>
      <c r="G1646" s="129" t="str">
        <f>VLOOKUP($C1646,'2021-22 School Level AAFTE'!$C:$Z,12,FALSE)</f>
        <v>Yes</v>
      </c>
      <c r="H1646" s="127">
        <f>VLOOKUP($C1646,'2021-22 School Level AAFTE'!$C:$I,7,FALSE)</f>
        <v>461.02</v>
      </c>
      <c r="I1646" s="112">
        <f>IFERROR(IF(OR(G1646="yes",F1646= "yes"),VLOOKUP(C1646,Summary!$B:$J,6,0),0),0)</f>
        <v>0</v>
      </c>
      <c r="J1646" s="111">
        <f t="shared" si="318"/>
        <v>461.02</v>
      </c>
      <c r="K1646" s="91">
        <f>VLOOKUP($A1646,'2022-23 Salary &amp; Benefits'!$A:$I,3,FALSE)</f>
        <v>1</v>
      </c>
      <c r="L1646" s="91">
        <f>VLOOKUP($A1646,'2022-23 Salary &amp; Benefits'!$A:$I,4,FALSE)</f>
        <v>1</v>
      </c>
      <c r="M1646" s="101">
        <f t="shared" si="313"/>
        <v>461.02</v>
      </c>
      <c r="N1646" s="24">
        <v>15</v>
      </c>
      <c r="O1646" s="26">
        <f t="shared" si="316"/>
        <v>30.734666666666666</v>
      </c>
      <c r="P1646" s="24">
        <v>1.1000000000000001</v>
      </c>
      <c r="Q1646" s="24">
        <v>36</v>
      </c>
      <c r="R1646" s="27">
        <f t="shared" si="317"/>
        <v>1217.0928000000001</v>
      </c>
      <c r="S1646" s="102">
        <f t="shared" si="319"/>
        <v>1.3520000000000001</v>
      </c>
      <c r="T1646" s="21">
        <f>VLOOKUP($A1646,'2022-23 Salary &amp; Benefits'!$A:$I,5,FALSE)</f>
        <v>68937</v>
      </c>
      <c r="U1646" s="21">
        <f>VLOOKUP($A1646,'2022-23 Salary &amp; Benefits'!$A:$I,6,FALSE)</f>
        <v>72728</v>
      </c>
      <c r="V1646" s="22">
        <f t="shared" si="320"/>
        <v>93202.82</v>
      </c>
      <c r="W1646" s="22">
        <f t="shared" si="321"/>
        <v>5125.4399999999878</v>
      </c>
      <c r="X1646" s="22">
        <f>'2022-23 Salary &amp; Benefits'!$G$6</f>
        <v>12558.24</v>
      </c>
      <c r="Y1646" s="23">
        <f>'2022-23 Salary &amp; Benefits'!$H$6</f>
        <v>0.2298</v>
      </c>
      <c r="Z1646" s="23">
        <f>'2022-23 Salary &amp; Benefits'!$I$6</f>
        <v>0.22339999999999999</v>
      </c>
      <c r="AA1646" s="22">
        <f t="shared" si="322"/>
        <v>39541.769999999997</v>
      </c>
      <c r="AB1646" s="22">
        <f t="shared" si="323"/>
        <v>1638.8</v>
      </c>
      <c r="AC1646" s="22">
        <f t="shared" si="324"/>
        <v>366.11</v>
      </c>
      <c r="AD1646" s="22">
        <f t="shared" si="314"/>
        <v>2004.9099999999999</v>
      </c>
      <c r="AE1646" s="22">
        <f t="shared" si="315"/>
        <v>139874.93999999997</v>
      </c>
      <c r="AF1646" s="19" t="str">
        <f>VLOOKUP(C1646,'2021-22 School Level AAFTE'!C:N,12,FALSE)</f>
        <v>Yes</v>
      </c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  <c r="IU1646" s="3"/>
      <c r="IV1646" s="3"/>
      <c r="IW1646" s="3"/>
      <c r="IX1646" s="3"/>
      <c r="IY1646" s="3"/>
      <c r="IZ1646" s="3"/>
      <c r="JA1646" s="3"/>
      <c r="JB1646" s="3"/>
      <c r="JC1646" s="3"/>
      <c r="JD1646" s="3"/>
      <c r="JE1646" s="3"/>
      <c r="JF1646" s="3"/>
      <c r="JG1646" s="3"/>
      <c r="JH1646" s="3"/>
      <c r="JI1646" s="3"/>
      <c r="JJ1646" s="3"/>
      <c r="JK1646" s="3"/>
      <c r="JL1646" s="3"/>
      <c r="JM1646" s="3"/>
      <c r="JN1646" s="3"/>
      <c r="JO1646" s="3"/>
      <c r="JP1646" s="3"/>
      <c r="JQ1646" s="3"/>
      <c r="JR1646" s="3"/>
      <c r="JS1646" s="3"/>
      <c r="JT1646" s="3"/>
      <c r="JU1646" s="3"/>
      <c r="JV1646" s="3"/>
      <c r="JW1646" s="3"/>
      <c r="JX1646" s="3"/>
    </row>
    <row r="1647" spans="1:284" s="5" customFormat="1">
      <c r="A1647" s="97" t="s">
        <v>2521</v>
      </c>
      <c r="B1647" s="97" t="s">
        <v>2025</v>
      </c>
      <c r="C1647" s="95">
        <v>3067</v>
      </c>
      <c r="D1647" s="95" t="s">
        <v>2028</v>
      </c>
      <c r="E1647" s="129">
        <f>VLOOKUP($C1647,'2021-22 School Level AAFTE'!$C:$Z,11,FALSE)</f>
        <v>0.52190000000000003</v>
      </c>
      <c r="F1647" s="129" t="str">
        <f>VLOOKUP($C1647,'2021-22 School Level AAFTE'!$C:$Z,8,FALSE)</f>
        <v>Yes</v>
      </c>
      <c r="G1647" s="129" t="str">
        <f>VLOOKUP($C1647,'2021-22 School Level AAFTE'!$C:$Z,12,FALSE)</f>
        <v>No</v>
      </c>
      <c r="H1647" s="127">
        <f>VLOOKUP($C1647,'2021-22 School Level AAFTE'!$C:$I,7,FALSE)</f>
        <v>458.68</v>
      </c>
      <c r="I1647" s="112">
        <f>IFERROR(IF(OR(G1647="yes",F1647= "yes"),VLOOKUP(C1647,Summary!$B:$J,6,0),0),0)</f>
        <v>0</v>
      </c>
      <c r="J1647" s="111">
        <f t="shared" si="318"/>
        <v>458.68</v>
      </c>
      <c r="K1647" s="91">
        <f>VLOOKUP($A1647,'2022-23 Salary &amp; Benefits'!$A:$I,3,FALSE)</f>
        <v>1</v>
      </c>
      <c r="L1647" s="91">
        <f>VLOOKUP($A1647,'2022-23 Salary &amp; Benefits'!$A:$I,4,FALSE)</f>
        <v>1</v>
      </c>
      <c r="M1647" s="101">
        <f>IF(I1647&gt;0,I1647,J1647)</f>
        <v>458.68</v>
      </c>
      <c r="N1647" s="24">
        <v>15</v>
      </c>
      <c r="O1647" s="26">
        <f t="shared" si="316"/>
        <v>30.578666666666667</v>
      </c>
      <c r="P1647" s="24">
        <v>1.1000000000000001</v>
      </c>
      <c r="Q1647" s="24">
        <v>36</v>
      </c>
      <c r="R1647" s="27">
        <f t="shared" si="317"/>
        <v>1210.9152000000001</v>
      </c>
      <c r="S1647" s="102">
        <f t="shared" si="319"/>
        <v>1.345</v>
      </c>
      <c r="T1647" s="21">
        <f>VLOOKUP($A1647,'2022-23 Salary &amp; Benefits'!$A:$I,5,FALSE)</f>
        <v>68937</v>
      </c>
      <c r="U1647" s="21">
        <f>VLOOKUP($A1647,'2022-23 Salary &amp; Benefits'!$A:$I,6,FALSE)</f>
        <v>72728</v>
      </c>
      <c r="V1647" s="22">
        <f t="shared" si="320"/>
        <v>92720.27</v>
      </c>
      <c r="W1647" s="22">
        <f t="shared" si="321"/>
        <v>5098.8899999999994</v>
      </c>
      <c r="X1647" s="22">
        <f>'2022-23 Salary &amp; Benefits'!$G$6</f>
        <v>12558.24</v>
      </c>
      <c r="Y1647" s="23">
        <f>'2022-23 Salary &amp; Benefits'!$H$6</f>
        <v>0.2298</v>
      </c>
      <c r="Z1647" s="23">
        <f>'2022-23 Salary &amp; Benefits'!$I$6</f>
        <v>0.22339999999999999</v>
      </c>
      <c r="AA1647" s="22">
        <f t="shared" si="322"/>
        <v>39337.040000000001</v>
      </c>
      <c r="AB1647" s="22">
        <f t="shared" si="323"/>
        <v>1630.32</v>
      </c>
      <c r="AC1647" s="22">
        <f t="shared" si="324"/>
        <v>364.21</v>
      </c>
      <c r="AD1647" s="22">
        <f t="shared" si="314"/>
        <v>1994.53</v>
      </c>
      <c r="AE1647" s="22">
        <f t="shared" si="315"/>
        <v>139150.73000000001</v>
      </c>
      <c r="AF1647" s="19" t="str">
        <f>VLOOKUP(C1647,'2021-22 School Level AAFTE'!C:N,12,FALSE)</f>
        <v>No</v>
      </c>
    </row>
    <row r="1648" spans="1:284" s="5" customFormat="1">
      <c r="A1648" s="137" t="s">
        <v>2521</v>
      </c>
      <c r="B1648" s="97" t="s">
        <v>2025</v>
      </c>
      <c r="C1648" s="138">
        <v>3801</v>
      </c>
      <c r="D1648" s="56" t="s">
        <v>2029</v>
      </c>
      <c r="E1648" s="129">
        <f>VLOOKUP($C1648,'2021-22 School Level AAFTE'!$C:$Z,11,FALSE)</f>
        <v>0.52316666666666667</v>
      </c>
      <c r="F1648" s="129" t="str">
        <f>VLOOKUP($C1648,'2021-22 School Level AAFTE'!$C:$Z,8,FALSE)</f>
        <v>Yes</v>
      </c>
      <c r="G1648" s="129" t="str">
        <f>VLOOKUP($C1648,'2021-22 School Level AAFTE'!$C:$Z,12,FALSE)</f>
        <v>No</v>
      </c>
      <c r="H1648" s="127">
        <f>VLOOKUP($C1648,'2021-22 School Level AAFTE'!$C:$I,7,FALSE)</f>
        <v>515.71</v>
      </c>
      <c r="I1648" s="112">
        <f>IFERROR(IF(OR(G1648="yes",F1648= "yes"),VLOOKUP(C1648,Summary!$B:$J,6,0),0),0)</f>
        <v>0</v>
      </c>
      <c r="J1648" s="111">
        <f t="shared" si="318"/>
        <v>515.71</v>
      </c>
      <c r="K1648" s="91">
        <f>VLOOKUP($A1648,'2022-23 Salary &amp; Benefits'!$A:$I,3,FALSE)</f>
        <v>1</v>
      </c>
      <c r="L1648" s="91">
        <f>VLOOKUP($A1648,'2022-23 Salary &amp; Benefits'!$A:$I,4,FALSE)</f>
        <v>1</v>
      </c>
      <c r="M1648" s="39">
        <f t="shared" si="313"/>
        <v>515.71</v>
      </c>
      <c r="N1648" s="24">
        <v>15</v>
      </c>
      <c r="O1648" s="26">
        <f t="shared" si="316"/>
        <v>34.38066666666667</v>
      </c>
      <c r="P1648" s="24">
        <v>1.1000000000000001</v>
      </c>
      <c r="Q1648" s="24">
        <v>36</v>
      </c>
      <c r="R1648" s="27">
        <f t="shared" si="317"/>
        <v>1361.4744000000003</v>
      </c>
      <c r="S1648" s="102">
        <f t="shared" si="319"/>
        <v>1.5129999999999999</v>
      </c>
      <c r="T1648" s="21">
        <f>VLOOKUP($A1648,'2022-23 Salary &amp; Benefits'!$A:$I,5,FALSE)</f>
        <v>68937</v>
      </c>
      <c r="U1648" s="21">
        <f>VLOOKUP($A1648,'2022-23 Salary &amp; Benefits'!$A:$I,6,FALSE)</f>
        <v>72728</v>
      </c>
      <c r="V1648" s="22">
        <f t="shared" si="320"/>
        <v>104301.68</v>
      </c>
      <c r="W1648" s="22">
        <f t="shared" si="321"/>
        <v>5735.7800000000134</v>
      </c>
      <c r="X1648" s="22">
        <f>'2022-23 Salary &amp; Benefits'!$G$6</f>
        <v>12558.24</v>
      </c>
      <c r="Y1648" s="23">
        <f>'2022-23 Salary &amp; Benefits'!$H$6</f>
        <v>0.2298</v>
      </c>
      <c r="Z1648" s="23">
        <f>'2022-23 Salary &amp; Benefits'!$I$6</f>
        <v>0.22339999999999999</v>
      </c>
      <c r="AA1648" s="22">
        <f t="shared" si="322"/>
        <v>44250.52</v>
      </c>
      <c r="AB1648" s="22">
        <f t="shared" si="323"/>
        <v>1833.96</v>
      </c>
      <c r="AC1648" s="22">
        <f t="shared" si="324"/>
        <v>409.71</v>
      </c>
      <c r="AD1648" s="22">
        <f t="shared" si="314"/>
        <v>2243.67</v>
      </c>
      <c r="AE1648" s="22">
        <f t="shared" si="315"/>
        <v>156531.65</v>
      </c>
      <c r="AF1648" s="19" t="str">
        <f>VLOOKUP(C1648,'2021-22 School Level AAFTE'!C:N,12,FALSE)</f>
        <v>No</v>
      </c>
    </row>
    <row r="1649" spans="1:32" s="5" customFormat="1">
      <c r="A1649" s="97" t="s">
        <v>2521</v>
      </c>
      <c r="B1649" s="97" t="s">
        <v>2025</v>
      </c>
      <c r="C1649" s="95">
        <v>4326</v>
      </c>
      <c r="D1649" s="95" t="s">
        <v>2030</v>
      </c>
      <c r="E1649" s="129">
        <f>VLOOKUP($C1649,'2021-22 School Level AAFTE'!$C:$Z,11,FALSE)</f>
        <v>0.45379999999999998</v>
      </c>
      <c r="F1649" s="129" t="str">
        <f>VLOOKUP($C1649,'2021-22 School Level AAFTE'!$C:$Z,8,FALSE)</f>
        <v>No</v>
      </c>
      <c r="G1649" s="129" t="str">
        <f>VLOOKUP($C1649,'2021-22 School Level AAFTE'!$C:$Z,12,FALSE)</f>
        <v>No</v>
      </c>
      <c r="H1649" s="127">
        <f>VLOOKUP($C1649,'2021-22 School Level AAFTE'!$C:$I,7,FALSE)</f>
        <v>604.79000000000008</v>
      </c>
      <c r="I1649" s="112">
        <f>IFERROR(IF(OR(G1649="yes",F1649= "yes"),VLOOKUP(C1649,Summary!$B:$J,6,0),0),0)</f>
        <v>0</v>
      </c>
      <c r="J1649" s="111">
        <f t="shared" si="318"/>
        <v>0</v>
      </c>
      <c r="K1649" s="91">
        <f>VLOOKUP($A1649,'2022-23 Salary &amp; Benefits'!$A:$I,3,FALSE)</f>
        <v>1</v>
      </c>
      <c r="L1649" s="91">
        <f>VLOOKUP($A1649,'2022-23 Salary &amp; Benefits'!$A:$I,4,FALSE)</f>
        <v>1</v>
      </c>
      <c r="M1649" s="101">
        <f t="shared" si="313"/>
        <v>0</v>
      </c>
      <c r="N1649" s="24">
        <v>15</v>
      </c>
      <c r="O1649" s="26">
        <f t="shared" si="316"/>
        <v>0</v>
      </c>
      <c r="P1649" s="24">
        <v>1.1000000000000001</v>
      </c>
      <c r="Q1649" s="24">
        <v>36</v>
      </c>
      <c r="R1649" s="27">
        <f t="shared" si="317"/>
        <v>0</v>
      </c>
      <c r="S1649" s="102">
        <f t="shared" si="319"/>
        <v>0</v>
      </c>
      <c r="T1649" s="21">
        <f>VLOOKUP($A1649,'2022-23 Salary &amp; Benefits'!$A:$I,5,FALSE)</f>
        <v>68937</v>
      </c>
      <c r="U1649" s="21">
        <f>VLOOKUP($A1649,'2022-23 Salary &amp; Benefits'!$A:$I,6,FALSE)</f>
        <v>72728</v>
      </c>
      <c r="V1649" s="22">
        <f t="shared" si="320"/>
        <v>0</v>
      </c>
      <c r="W1649" s="22">
        <f t="shared" si="321"/>
        <v>0</v>
      </c>
      <c r="X1649" s="22">
        <f>'2022-23 Salary &amp; Benefits'!$G$6</f>
        <v>12558.24</v>
      </c>
      <c r="Y1649" s="23">
        <f>'2022-23 Salary &amp; Benefits'!$H$6</f>
        <v>0.2298</v>
      </c>
      <c r="Z1649" s="23">
        <f>'2022-23 Salary &amp; Benefits'!$I$6</f>
        <v>0.22339999999999999</v>
      </c>
      <c r="AA1649" s="22">
        <f t="shared" si="322"/>
        <v>0</v>
      </c>
      <c r="AB1649" s="22">
        <f t="shared" si="323"/>
        <v>0</v>
      </c>
      <c r="AC1649" s="22">
        <f t="shared" si="324"/>
        <v>0</v>
      </c>
      <c r="AD1649" s="22">
        <f t="shared" si="314"/>
        <v>0</v>
      </c>
      <c r="AE1649" s="22">
        <f t="shared" si="315"/>
        <v>0</v>
      </c>
      <c r="AF1649" s="19" t="str">
        <f>VLOOKUP(C1649,'2021-22 School Level AAFTE'!C:N,12,FALSE)</f>
        <v>No</v>
      </c>
    </row>
    <row r="1650" spans="1:32" s="5" customFormat="1">
      <c r="A1650" s="97" t="s">
        <v>2521</v>
      </c>
      <c r="B1650" s="97" t="s">
        <v>2025</v>
      </c>
      <c r="C1650" s="95">
        <v>5691</v>
      </c>
      <c r="D1650" s="95" t="s">
        <v>3044</v>
      </c>
      <c r="E1650" s="129">
        <f>VLOOKUP($C1650,'2021-22 School Level AAFTE'!$C:$Z,11,FALSE)</f>
        <v>0.25</v>
      </c>
      <c r="F1650" s="129" t="str">
        <f>VLOOKUP($C1650,'2021-22 School Level AAFTE'!$C:$Z,8,FALSE)</f>
        <v>No</v>
      </c>
      <c r="G1650" s="129" t="str">
        <f>VLOOKUP($C1650,'2021-22 School Level AAFTE'!$C:$Z,12,FALSE)</f>
        <v>No</v>
      </c>
      <c r="H1650" s="127">
        <f>VLOOKUP($C1650,'2021-22 School Level AAFTE'!$C:$I,7,FALSE)</f>
        <v>4.8600000000000003</v>
      </c>
      <c r="I1650" s="112">
        <f>IFERROR(IF(OR(G1650="yes",F1650= "yes"),VLOOKUP(C1650,Summary!$B:$J,6,0),0),0)</f>
        <v>0</v>
      </c>
      <c r="J1650" s="111">
        <f t="shared" si="318"/>
        <v>0</v>
      </c>
      <c r="K1650" s="91">
        <f>VLOOKUP($A1650,'2022-23 Salary &amp; Benefits'!$A:$I,3,FALSE)</f>
        <v>1</v>
      </c>
      <c r="L1650" s="91">
        <f>VLOOKUP($A1650,'2022-23 Salary &amp; Benefits'!$A:$I,4,FALSE)</f>
        <v>1</v>
      </c>
      <c r="M1650" s="39">
        <f t="shared" si="313"/>
        <v>0</v>
      </c>
      <c r="N1650" s="24">
        <v>15</v>
      </c>
      <c r="O1650" s="26">
        <f t="shared" si="316"/>
        <v>0</v>
      </c>
      <c r="P1650" s="24">
        <v>1.1000000000000001</v>
      </c>
      <c r="Q1650" s="24">
        <v>36</v>
      </c>
      <c r="R1650" s="27">
        <f t="shared" si="317"/>
        <v>0</v>
      </c>
      <c r="S1650" s="102">
        <f t="shared" si="319"/>
        <v>0</v>
      </c>
      <c r="T1650" s="21">
        <f>VLOOKUP($A1650,'2022-23 Salary &amp; Benefits'!$A:$I,5,FALSE)</f>
        <v>68937</v>
      </c>
      <c r="U1650" s="21">
        <f>VLOOKUP($A1650,'2022-23 Salary &amp; Benefits'!$A:$I,6,FALSE)</f>
        <v>72728</v>
      </c>
      <c r="V1650" s="22">
        <f t="shared" si="320"/>
        <v>0</v>
      </c>
      <c r="W1650" s="22">
        <f t="shared" si="321"/>
        <v>0</v>
      </c>
      <c r="X1650" s="22">
        <f>'2022-23 Salary &amp; Benefits'!$G$6</f>
        <v>12558.24</v>
      </c>
      <c r="Y1650" s="23">
        <f>'2022-23 Salary &amp; Benefits'!$H$6</f>
        <v>0.2298</v>
      </c>
      <c r="Z1650" s="23">
        <f>'2022-23 Salary &amp; Benefits'!$I$6</f>
        <v>0.22339999999999999</v>
      </c>
      <c r="AA1650" s="22">
        <f t="shared" si="322"/>
        <v>0</v>
      </c>
      <c r="AB1650" s="22">
        <f t="shared" si="323"/>
        <v>0</v>
      </c>
      <c r="AC1650" s="22">
        <f t="shared" si="324"/>
        <v>0</v>
      </c>
      <c r="AD1650" s="22">
        <f t="shared" si="314"/>
        <v>0</v>
      </c>
      <c r="AE1650" s="22">
        <f t="shared" si="315"/>
        <v>0</v>
      </c>
      <c r="AF1650" s="19" t="str">
        <f>VLOOKUP(C1650,'2021-22 School Level AAFTE'!C:N,12,FALSE)</f>
        <v>No</v>
      </c>
    </row>
    <row r="1651" spans="1:32" s="5" customFormat="1">
      <c r="A1651" s="97" t="s">
        <v>2389</v>
      </c>
      <c r="B1651" s="97" t="s">
        <v>1118</v>
      </c>
      <c r="C1651" s="95">
        <v>3530</v>
      </c>
      <c r="D1651" s="95" t="s">
        <v>144</v>
      </c>
      <c r="E1651" s="129">
        <f>VLOOKUP($C1651,'2021-22 School Level AAFTE'!$C:$Z,11,FALSE)</f>
        <v>0</v>
      </c>
      <c r="F1651" s="129" t="str">
        <f>VLOOKUP($C1651,'2021-22 School Level AAFTE'!$C:$Z,8,FALSE)</f>
        <v>No</v>
      </c>
      <c r="G1651" s="129" t="str">
        <f>VLOOKUP($C1651,'2021-22 School Level AAFTE'!$C:$Z,12,FALSE)</f>
        <v>No</v>
      </c>
      <c r="H1651" s="127">
        <f>VLOOKUP($C1651,'2021-22 School Level AAFTE'!$C:$I,7,FALSE)</f>
        <v>34.57</v>
      </c>
      <c r="I1651" s="112">
        <f>IFERROR(IF(OR(G1651="yes",F1651= "yes"),VLOOKUP(C1651,Summary!$B:$J,6,0),0),0)</f>
        <v>0</v>
      </c>
      <c r="J1651" s="111">
        <f t="shared" si="318"/>
        <v>0</v>
      </c>
      <c r="K1651" s="91">
        <f>VLOOKUP($A1651,'2022-23 Salary &amp; Benefits'!$A:$I,3,FALSE)</f>
        <v>1</v>
      </c>
      <c r="L1651" s="91">
        <f>VLOOKUP($A1651,'2022-23 Salary &amp; Benefits'!$A:$I,4,FALSE)</f>
        <v>1</v>
      </c>
      <c r="M1651" s="39">
        <f t="shared" si="313"/>
        <v>0</v>
      </c>
      <c r="N1651" s="24">
        <v>15</v>
      </c>
      <c r="O1651" s="26">
        <f t="shared" si="316"/>
        <v>0</v>
      </c>
      <c r="P1651" s="24">
        <v>1.1000000000000001</v>
      </c>
      <c r="Q1651" s="24">
        <v>36</v>
      </c>
      <c r="R1651" s="27">
        <f t="shared" si="317"/>
        <v>0</v>
      </c>
      <c r="S1651" s="102">
        <f t="shared" si="319"/>
        <v>0</v>
      </c>
      <c r="T1651" s="21">
        <f>VLOOKUP($A1651,'2022-23 Salary &amp; Benefits'!$A:$I,5,FALSE)</f>
        <v>68937</v>
      </c>
      <c r="U1651" s="21">
        <f>VLOOKUP($A1651,'2022-23 Salary &amp; Benefits'!$A:$I,6,FALSE)</f>
        <v>72728</v>
      </c>
      <c r="V1651" s="22">
        <f t="shared" si="320"/>
        <v>0</v>
      </c>
      <c r="W1651" s="22">
        <f t="shared" si="321"/>
        <v>0</v>
      </c>
      <c r="X1651" s="22">
        <f>'2022-23 Salary &amp; Benefits'!$G$6</f>
        <v>12558.24</v>
      </c>
      <c r="Y1651" s="23">
        <f>'2022-23 Salary &amp; Benefits'!$H$6</f>
        <v>0.2298</v>
      </c>
      <c r="Z1651" s="23">
        <f>'2022-23 Salary &amp; Benefits'!$I$6</f>
        <v>0.22339999999999999</v>
      </c>
      <c r="AA1651" s="22">
        <f t="shared" si="322"/>
        <v>0</v>
      </c>
      <c r="AB1651" s="22">
        <f t="shared" si="323"/>
        <v>0</v>
      </c>
      <c r="AC1651" s="22">
        <f t="shared" si="324"/>
        <v>0</v>
      </c>
      <c r="AD1651" s="22">
        <f t="shared" si="314"/>
        <v>0</v>
      </c>
      <c r="AE1651" s="22">
        <f t="shared" si="315"/>
        <v>0</v>
      </c>
      <c r="AF1651" s="19" t="str">
        <f>VLOOKUP(C1651,'2021-22 School Level AAFTE'!C:N,12,FALSE)</f>
        <v>No</v>
      </c>
    </row>
    <row r="1652" spans="1:32" s="5" customFormat="1">
      <c r="A1652" s="97" t="s">
        <v>2550</v>
      </c>
      <c r="B1652" s="97" t="s">
        <v>2156</v>
      </c>
      <c r="C1652" s="95">
        <v>3204</v>
      </c>
      <c r="D1652" s="95" t="s">
        <v>2157</v>
      </c>
      <c r="E1652" s="129">
        <f>VLOOKUP($C1652,'2021-22 School Level AAFTE'!$C:$Z,11,FALSE)</f>
        <v>0.63446666666666662</v>
      </c>
      <c r="F1652" s="129" t="str">
        <f>VLOOKUP($C1652,'2021-22 School Level AAFTE'!$C:$Z,8,FALSE)</f>
        <v>Yes</v>
      </c>
      <c r="G1652" s="129" t="str">
        <f>VLOOKUP($C1652,'2021-22 School Level AAFTE'!$C:$Z,12,FALSE)</f>
        <v>No</v>
      </c>
      <c r="H1652" s="127">
        <f>VLOOKUP($C1652,'2021-22 School Level AAFTE'!$C:$I,7,FALSE)</f>
        <v>152.55999999999997</v>
      </c>
      <c r="I1652" s="112">
        <f>IFERROR(IF(OR(G1652="yes",F1652= "yes"),VLOOKUP(C1652,Summary!$B:$J,6,0),0),0)</f>
        <v>0</v>
      </c>
      <c r="J1652" s="111">
        <f t="shared" si="318"/>
        <v>152.55999999999997</v>
      </c>
      <c r="K1652" s="91">
        <f>VLOOKUP($A1652,'2022-23 Salary &amp; Benefits'!$A:$I,3,FALSE)</f>
        <v>1</v>
      </c>
      <c r="L1652" s="91">
        <f>VLOOKUP($A1652,'2022-23 Salary &amp; Benefits'!$A:$I,4,FALSE)</f>
        <v>1.04</v>
      </c>
      <c r="M1652" s="39">
        <f t="shared" si="313"/>
        <v>152.55999999999997</v>
      </c>
      <c r="N1652" s="24">
        <v>15</v>
      </c>
      <c r="O1652" s="26">
        <f t="shared" si="316"/>
        <v>10.170666666666666</v>
      </c>
      <c r="P1652" s="24">
        <v>1.1000000000000001</v>
      </c>
      <c r="Q1652" s="24">
        <v>36</v>
      </c>
      <c r="R1652" s="27">
        <f t="shared" si="317"/>
        <v>402.75840000000005</v>
      </c>
      <c r="S1652" s="102">
        <f t="shared" si="319"/>
        <v>0.44800000000000001</v>
      </c>
      <c r="T1652" s="21">
        <f>VLOOKUP($A1652,'2022-23 Salary &amp; Benefits'!$A:$I,5,FALSE)</f>
        <v>68937</v>
      </c>
      <c r="U1652" s="21">
        <f>VLOOKUP($A1652,'2022-23 Salary &amp; Benefits'!$A:$I,6,FALSE)</f>
        <v>72728</v>
      </c>
      <c r="V1652" s="22">
        <f t="shared" si="320"/>
        <v>30883.78</v>
      </c>
      <c r="W1652" s="22">
        <f t="shared" si="321"/>
        <v>3001.6500000000015</v>
      </c>
      <c r="X1652" s="22">
        <f>'2022-23 Salary &amp; Benefits'!$G$6</f>
        <v>12558.24</v>
      </c>
      <c r="Y1652" s="23">
        <f>'2022-23 Salary &amp; Benefits'!$H$6</f>
        <v>0.2298</v>
      </c>
      <c r="Z1652" s="23">
        <f>'2022-23 Salary &amp; Benefits'!$I$6</f>
        <v>0.22339999999999999</v>
      </c>
      <c r="AA1652" s="22">
        <f t="shared" si="322"/>
        <v>13393.75</v>
      </c>
      <c r="AB1652" s="22">
        <f t="shared" si="323"/>
        <v>564.76</v>
      </c>
      <c r="AC1652" s="22">
        <f t="shared" si="324"/>
        <v>126.17</v>
      </c>
      <c r="AD1652" s="22">
        <f t="shared" si="314"/>
        <v>690.93</v>
      </c>
      <c r="AE1652" s="22">
        <f t="shared" si="315"/>
        <v>47970.11</v>
      </c>
      <c r="AF1652" s="19" t="str">
        <f>VLOOKUP(C1652,'2021-22 School Level AAFTE'!C:N,12,FALSE)</f>
        <v>No</v>
      </c>
    </row>
    <row r="1653" spans="1:32" s="5" customFormat="1">
      <c r="A1653" s="97" t="s">
        <v>2322</v>
      </c>
      <c r="B1653" s="97" t="s">
        <v>431</v>
      </c>
      <c r="C1653" s="95">
        <v>3090</v>
      </c>
      <c r="D1653" s="95" t="s">
        <v>432</v>
      </c>
      <c r="E1653" s="129">
        <f>VLOOKUP($C1653,'2021-22 School Level AAFTE'!$C:$Z,11,FALSE)</f>
        <v>0.73139999999999994</v>
      </c>
      <c r="F1653" s="129" t="str">
        <f>VLOOKUP($C1653,'2021-22 School Level AAFTE'!$C:$Z,8,FALSE)</f>
        <v>Yes</v>
      </c>
      <c r="G1653" s="129" t="str">
        <f>VLOOKUP($C1653,'2021-22 School Level AAFTE'!$C:$Z,12,FALSE)</f>
        <v>No</v>
      </c>
      <c r="H1653" s="127">
        <f>VLOOKUP($C1653,'2021-22 School Level AAFTE'!$C:$I,7,FALSE)</f>
        <v>496.29</v>
      </c>
      <c r="I1653" s="112">
        <f>IFERROR(IF(OR(G1653="yes",F1653= "yes"),VLOOKUP(C1653,Summary!$B:$J,6,0),0),0)</f>
        <v>0</v>
      </c>
      <c r="J1653" s="111">
        <f t="shared" si="318"/>
        <v>496.29</v>
      </c>
      <c r="K1653" s="91">
        <f>VLOOKUP($A1653,'2022-23 Salary &amp; Benefits'!$A:$I,3,FALSE)</f>
        <v>1</v>
      </c>
      <c r="L1653" s="91">
        <f>VLOOKUP($A1653,'2022-23 Salary &amp; Benefits'!$A:$I,4,FALSE)</f>
        <v>1</v>
      </c>
      <c r="M1653" s="101">
        <f t="shared" si="313"/>
        <v>496.29</v>
      </c>
      <c r="N1653" s="24">
        <v>15</v>
      </c>
      <c r="O1653" s="26">
        <f t="shared" si="316"/>
        <v>33.085999999999999</v>
      </c>
      <c r="P1653" s="24">
        <v>1.1000000000000001</v>
      </c>
      <c r="Q1653" s="24">
        <v>36</v>
      </c>
      <c r="R1653" s="27">
        <f t="shared" si="317"/>
        <v>1310.2056000000002</v>
      </c>
      <c r="S1653" s="102">
        <f t="shared" si="319"/>
        <v>1.456</v>
      </c>
      <c r="T1653" s="21">
        <f>VLOOKUP($A1653,'2022-23 Salary &amp; Benefits'!$A:$I,5,FALSE)</f>
        <v>68937</v>
      </c>
      <c r="U1653" s="21">
        <f>VLOOKUP($A1653,'2022-23 Salary &amp; Benefits'!$A:$I,6,FALSE)</f>
        <v>72728</v>
      </c>
      <c r="V1653" s="22">
        <f t="shared" si="320"/>
        <v>100372.27</v>
      </c>
      <c r="W1653" s="22">
        <f t="shared" si="321"/>
        <v>5519.6999999999971</v>
      </c>
      <c r="X1653" s="22">
        <f>'2022-23 Salary &amp; Benefits'!$G$6</f>
        <v>12558.24</v>
      </c>
      <c r="Y1653" s="23">
        <f>'2022-23 Salary &amp; Benefits'!$H$6</f>
        <v>0.2298</v>
      </c>
      <c r="Z1653" s="23">
        <f>'2022-23 Salary &amp; Benefits'!$I$6</f>
        <v>0.22339999999999999</v>
      </c>
      <c r="AA1653" s="22">
        <f t="shared" si="322"/>
        <v>42583.45</v>
      </c>
      <c r="AB1653" s="22">
        <f t="shared" si="323"/>
        <v>1764.87</v>
      </c>
      <c r="AC1653" s="22">
        <f t="shared" si="324"/>
        <v>394.27</v>
      </c>
      <c r="AD1653" s="22">
        <f t="shared" si="314"/>
        <v>2159.14</v>
      </c>
      <c r="AE1653" s="22">
        <f t="shared" si="315"/>
        <v>150634.56</v>
      </c>
      <c r="AF1653" s="19" t="str">
        <f>VLOOKUP(C1653,'2021-22 School Level AAFTE'!C:N,12,FALSE)</f>
        <v>No</v>
      </c>
    </row>
    <row r="1654" spans="1:32" s="5" customFormat="1">
      <c r="A1654" s="97" t="s">
        <v>2322</v>
      </c>
      <c r="B1654" s="97" t="s">
        <v>431</v>
      </c>
      <c r="C1654" s="95">
        <v>3516</v>
      </c>
      <c r="D1654" s="95" t="s">
        <v>433</v>
      </c>
      <c r="E1654" s="129">
        <f>VLOOKUP($C1654,'2021-22 School Level AAFTE'!$C:$Z,11,FALSE)</f>
        <v>0.66186666666666671</v>
      </c>
      <c r="F1654" s="129" t="str">
        <f>VLOOKUP($C1654,'2021-22 School Level AAFTE'!$C:$Z,8,FALSE)</f>
        <v>Yes</v>
      </c>
      <c r="G1654" s="129" t="str">
        <f>VLOOKUP($C1654,'2021-22 School Level AAFTE'!$C:$Z,12,FALSE)</f>
        <v>No</v>
      </c>
      <c r="H1654" s="127">
        <f>VLOOKUP($C1654,'2021-22 School Level AAFTE'!$C:$I,7,FALSE)</f>
        <v>530.13</v>
      </c>
      <c r="I1654" s="112">
        <f>IFERROR(IF(OR(G1654="yes",F1654= "yes"),VLOOKUP(C1654,Summary!$B:$J,6,0),0),0)</f>
        <v>0</v>
      </c>
      <c r="J1654" s="111">
        <f t="shared" si="318"/>
        <v>530.13</v>
      </c>
      <c r="K1654" s="91">
        <f>VLOOKUP($A1654,'2022-23 Salary &amp; Benefits'!$A:$I,3,FALSE)</f>
        <v>1</v>
      </c>
      <c r="L1654" s="91">
        <f>VLOOKUP($A1654,'2022-23 Salary &amp; Benefits'!$A:$I,4,FALSE)</f>
        <v>1</v>
      </c>
      <c r="M1654" s="101">
        <f t="shared" si="313"/>
        <v>530.13</v>
      </c>
      <c r="N1654" s="24">
        <v>15</v>
      </c>
      <c r="O1654" s="26">
        <f t="shared" si="316"/>
        <v>35.341999999999999</v>
      </c>
      <c r="P1654" s="24">
        <v>1.1000000000000001</v>
      </c>
      <c r="Q1654" s="24">
        <v>36</v>
      </c>
      <c r="R1654" s="27">
        <f t="shared" si="317"/>
        <v>1399.5432000000001</v>
      </c>
      <c r="S1654" s="102">
        <f t="shared" si="319"/>
        <v>1.5549999999999999</v>
      </c>
      <c r="T1654" s="21">
        <f>VLOOKUP($A1654,'2022-23 Salary &amp; Benefits'!$A:$I,5,FALSE)</f>
        <v>68937</v>
      </c>
      <c r="U1654" s="21">
        <f>VLOOKUP($A1654,'2022-23 Salary &amp; Benefits'!$A:$I,6,FALSE)</f>
        <v>72728</v>
      </c>
      <c r="V1654" s="22">
        <f t="shared" si="320"/>
        <v>107197.04</v>
      </c>
      <c r="W1654" s="22">
        <f t="shared" si="321"/>
        <v>5895</v>
      </c>
      <c r="X1654" s="22">
        <f>'2022-23 Salary &amp; Benefits'!$G$6</f>
        <v>12558.24</v>
      </c>
      <c r="Y1654" s="23">
        <f>'2022-23 Salary &amp; Benefits'!$H$6</f>
        <v>0.2298</v>
      </c>
      <c r="Z1654" s="23">
        <f>'2022-23 Salary &amp; Benefits'!$I$6</f>
        <v>0.22339999999999999</v>
      </c>
      <c r="AA1654" s="22">
        <f t="shared" si="322"/>
        <v>45478.89</v>
      </c>
      <c r="AB1654" s="22">
        <f t="shared" si="323"/>
        <v>1884.87</v>
      </c>
      <c r="AC1654" s="22">
        <f t="shared" si="324"/>
        <v>421.08</v>
      </c>
      <c r="AD1654" s="22">
        <f t="shared" si="314"/>
        <v>2305.9499999999998</v>
      </c>
      <c r="AE1654" s="22">
        <f t="shared" si="315"/>
        <v>160876.88</v>
      </c>
      <c r="AF1654" s="19" t="str">
        <f>VLOOKUP(C1654,'2021-22 School Level AAFTE'!C:N,12,FALSE)</f>
        <v>No</v>
      </c>
    </row>
    <row r="1655" spans="1:32" s="5" customFormat="1">
      <c r="A1655" s="97" t="s">
        <v>2322</v>
      </c>
      <c r="B1655" s="97" t="s">
        <v>431</v>
      </c>
      <c r="C1655" s="95">
        <v>3620</v>
      </c>
      <c r="D1655" s="95" t="s">
        <v>434</v>
      </c>
      <c r="E1655" s="129">
        <f>VLOOKUP($C1655,'2021-22 School Level AAFTE'!$C:$Z,11,FALSE)</f>
        <v>0.70866666666666678</v>
      </c>
      <c r="F1655" s="129" t="str">
        <f>VLOOKUP($C1655,'2021-22 School Level AAFTE'!$C:$Z,8,FALSE)</f>
        <v>Yes</v>
      </c>
      <c r="G1655" s="129" t="str">
        <f>VLOOKUP($C1655,'2021-22 School Level AAFTE'!$C:$Z,12,FALSE)</f>
        <v>No</v>
      </c>
      <c r="H1655" s="127">
        <f>VLOOKUP($C1655,'2021-22 School Level AAFTE'!$C:$I,7,FALSE)</f>
        <v>315.86</v>
      </c>
      <c r="I1655" s="112">
        <f>IFERROR(IF(OR(G1655="yes",F1655= "yes"),VLOOKUP(C1655,Summary!$B:$J,6,0),0),0)</f>
        <v>0</v>
      </c>
      <c r="J1655" s="111">
        <f t="shared" si="318"/>
        <v>315.86</v>
      </c>
      <c r="K1655" s="91">
        <f>VLOOKUP($A1655,'2022-23 Salary &amp; Benefits'!$A:$I,3,FALSE)</f>
        <v>1</v>
      </c>
      <c r="L1655" s="91">
        <f>VLOOKUP($A1655,'2022-23 Salary &amp; Benefits'!$A:$I,4,FALSE)</f>
        <v>1</v>
      </c>
      <c r="M1655" s="101">
        <f t="shared" si="313"/>
        <v>315.86</v>
      </c>
      <c r="N1655" s="24">
        <v>15</v>
      </c>
      <c r="O1655" s="26">
        <f t="shared" si="316"/>
        <v>21.057333333333336</v>
      </c>
      <c r="P1655" s="24">
        <v>1.1000000000000001</v>
      </c>
      <c r="Q1655" s="24">
        <v>36</v>
      </c>
      <c r="R1655" s="27">
        <f t="shared" si="317"/>
        <v>833.87040000000025</v>
      </c>
      <c r="S1655" s="102">
        <f t="shared" si="319"/>
        <v>0.92700000000000005</v>
      </c>
      <c r="T1655" s="21">
        <f>VLOOKUP($A1655,'2022-23 Salary &amp; Benefits'!$A:$I,5,FALSE)</f>
        <v>68937</v>
      </c>
      <c r="U1655" s="21">
        <f>VLOOKUP($A1655,'2022-23 Salary &amp; Benefits'!$A:$I,6,FALSE)</f>
        <v>72728</v>
      </c>
      <c r="V1655" s="22">
        <f t="shared" si="320"/>
        <v>63904.6</v>
      </c>
      <c r="W1655" s="22">
        <f t="shared" si="321"/>
        <v>3514.260000000002</v>
      </c>
      <c r="X1655" s="22">
        <f>'2022-23 Salary &amp; Benefits'!$G$6</f>
        <v>12558.24</v>
      </c>
      <c r="Y1655" s="23">
        <f>'2022-23 Salary &amp; Benefits'!$H$6</f>
        <v>0.2298</v>
      </c>
      <c r="Z1655" s="23">
        <f>'2022-23 Salary &amp; Benefits'!$I$6</f>
        <v>0.22339999999999999</v>
      </c>
      <c r="AA1655" s="22">
        <f t="shared" si="322"/>
        <v>27111.85</v>
      </c>
      <c r="AB1655" s="22">
        <f t="shared" si="323"/>
        <v>1123.6500000000001</v>
      </c>
      <c r="AC1655" s="22">
        <f t="shared" si="324"/>
        <v>251.02</v>
      </c>
      <c r="AD1655" s="22">
        <f t="shared" si="314"/>
        <v>1374.67</v>
      </c>
      <c r="AE1655" s="22">
        <f t="shared" si="315"/>
        <v>95905.37999999999</v>
      </c>
      <c r="AF1655" s="19" t="str">
        <f>VLOOKUP(C1655,'2021-22 School Level AAFTE'!C:N,12,FALSE)</f>
        <v>No</v>
      </c>
    </row>
    <row r="1656" spans="1:32" s="5" customFormat="1">
      <c r="A1656" s="97" t="s">
        <v>2322</v>
      </c>
      <c r="B1656" s="97" t="s">
        <v>431</v>
      </c>
      <c r="C1656" s="95">
        <v>5388</v>
      </c>
      <c r="D1656" s="95" t="s">
        <v>435</v>
      </c>
      <c r="E1656" s="129">
        <f>VLOOKUP($C1656,'2021-22 School Level AAFTE'!$C:$Z,11,FALSE)</f>
        <v>0.77533333333333332</v>
      </c>
      <c r="F1656" s="129" t="str">
        <f>VLOOKUP($C1656,'2021-22 School Level AAFTE'!$C:$Z,8,FALSE)</f>
        <v>Yes</v>
      </c>
      <c r="G1656" s="129" t="str">
        <f>VLOOKUP($C1656,'2021-22 School Level AAFTE'!$C:$Z,12,FALSE)</f>
        <v>No</v>
      </c>
      <c r="H1656" s="127">
        <f>VLOOKUP($C1656,'2021-22 School Level AAFTE'!$C:$I,7,FALSE)</f>
        <v>411.14</v>
      </c>
      <c r="I1656" s="112">
        <f>IFERROR(IF(OR(G1656="yes",F1656= "yes"),VLOOKUP(C1656,Summary!$B:$J,6,0),0),0)</f>
        <v>0</v>
      </c>
      <c r="J1656" s="111">
        <f t="shared" si="318"/>
        <v>411.14</v>
      </c>
      <c r="K1656" s="91">
        <f>VLOOKUP($A1656,'2022-23 Salary &amp; Benefits'!$A:$I,3,FALSE)</f>
        <v>1</v>
      </c>
      <c r="L1656" s="91">
        <f>VLOOKUP($A1656,'2022-23 Salary &amp; Benefits'!$A:$I,4,FALSE)</f>
        <v>1</v>
      </c>
      <c r="M1656" s="101">
        <f t="shared" si="313"/>
        <v>411.14</v>
      </c>
      <c r="N1656" s="24">
        <v>15</v>
      </c>
      <c r="O1656" s="26">
        <f t="shared" si="316"/>
        <v>27.409333333333333</v>
      </c>
      <c r="P1656" s="24">
        <v>1.1000000000000001</v>
      </c>
      <c r="Q1656" s="24">
        <v>36</v>
      </c>
      <c r="R1656" s="27">
        <f t="shared" si="317"/>
        <v>1085.4096</v>
      </c>
      <c r="S1656" s="102">
        <f t="shared" si="319"/>
        <v>1.206</v>
      </c>
      <c r="T1656" s="21">
        <f>VLOOKUP($A1656,'2022-23 Salary &amp; Benefits'!$A:$I,5,FALSE)</f>
        <v>68937</v>
      </c>
      <c r="U1656" s="21">
        <f>VLOOKUP($A1656,'2022-23 Salary &amp; Benefits'!$A:$I,6,FALSE)</f>
        <v>72728</v>
      </c>
      <c r="V1656" s="22">
        <f t="shared" si="320"/>
        <v>83138.02</v>
      </c>
      <c r="W1656" s="22">
        <f t="shared" si="321"/>
        <v>4571.9499999999971</v>
      </c>
      <c r="X1656" s="22">
        <f>'2022-23 Salary &amp; Benefits'!$G$6</f>
        <v>12558.24</v>
      </c>
      <c r="Y1656" s="23">
        <f>'2022-23 Salary &amp; Benefits'!$H$6</f>
        <v>0.2298</v>
      </c>
      <c r="Z1656" s="23">
        <f>'2022-23 Salary &amp; Benefits'!$I$6</f>
        <v>0.22339999999999999</v>
      </c>
      <c r="AA1656" s="22">
        <f t="shared" si="322"/>
        <v>35271.730000000003</v>
      </c>
      <c r="AB1656" s="22">
        <f t="shared" si="323"/>
        <v>1461.83</v>
      </c>
      <c r="AC1656" s="22">
        <f t="shared" si="324"/>
        <v>326.57</v>
      </c>
      <c r="AD1656" s="22">
        <f t="shared" si="314"/>
        <v>1788.3999999999999</v>
      </c>
      <c r="AE1656" s="22">
        <f t="shared" si="315"/>
        <v>124770.09999999999</v>
      </c>
      <c r="AF1656" s="19" t="str">
        <f>VLOOKUP(C1656,'2021-22 School Level AAFTE'!C:N,12,FALSE)</f>
        <v>No</v>
      </c>
    </row>
    <row r="1657" spans="1:32" s="5" customFormat="1">
      <c r="A1657" s="97" t="s">
        <v>2459</v>
      </c>
      <c r="B1657" s="97" t="s">
        <v>1537</v>
      </c>
      <c r="C1657" s="95">
        <v>1963</v>
      </c>
      <c r="D1657" s="95" t="s">
        <v>1538</v>
      </c>
      <c r="E1657" s="129">
        <f>VLOOKUP($C1657,'2021-22 School Level AAFTE'!$C:$Z,11,FALSE)</f>
        <v>0.35499999999999998</v>
      </c>
      <c r="F1657" s="129" t="str">
        <f>VLOOKUP($C1657,'2021-22 School Level AAFTE'!$C:$Z,8,FALSE)</f>
        <v>No</v>
      </c>
      <c r="G1657" s="129" t="str">
        <f>VLOOKUP($C1657,'2021-22 School Level AAFTE'!$C:$Z,12,FALSE)</f>
        <v>No</v>
      </c>
      <c r="H1657" s="127">
        <f>VLOOKUP($C1657,'2021-22 School Level AAFTE'!$C:$I,7,FALSE)</f>
        <v>50.25</v>
      </c>
      <c r="I1657" s="112">
        <f>IFERROR(IF(OR(G1657="yes",F1657= "yes"),VLOOKUP(C1657,Summary!$B:$J,6,0),0),0)</f>
        <v>0</v>
      </c>
      <c r="J1657" s="111">
        <f t="shared" si="318"/>
        <v>0</v>
      </c>
      <c r="K1657" s="91">
        <f>VLOOKUP($A1657,'2022-23 Salary &amp; Benefits'!$A:$I,3,FALSE)</f>
        <v>1.1200000000000001</v>
      </c>
      <c r="L1657" s="91">
        <f>VLOOKUP($A1657,'2022-23 Salary &amp; Benefits'!$A:$I,4,FALSE)</f>
        <v>1.1200000000000001</v>
      </c>
      <c r="M1657" s="101">
        <f t="shared" si="313"/>
        <v>0</v>
      </c>
      <c r="N1657" s="24">
        <v>15</v>
      </c>
      <c r="O1657" s="26">
        <f t="shared" si="316"/>
        <v>0</v>
      </c>
      <c r="P1657" s="24">
        <v>1.1000000000000001</v>
      </c>
      <c r="Q1657" s="24">
        <v>36</v>
      </c>
      <c r="R1657" s="27">
        <f t="shared" si="317"/>
        <v>0</v>
      </c>
      <c r="S1657" s="102">
        <f t="shared" si="319"/>
        <v>0</v>
      </c>
      <c r="T1657" s="21">
        <f>VLOOKUP($A1657,'2022-23 Salary &amp; Benefits'!$A:$I,5,FALSE)</f>
        <v>68937</v>
      </c>
      <c r="U1657" s="21">
        <f>VLOOKUP($A1657,'2022-23 Salary &amp; Benefits'!$A:$I,6,FALSE)</f>
        <v>72728</v>
      </c>
      <c r="V1657" s="22">
        <f t="shared" si="320"/>
        <v>0</v>
      </c>
      <c r="W1657" s="22">
        <f t="shared" si="321"/>
        <v>0</v>
      </c>
      <c r="X1657" s="22">
        <f>'2022-23 Salary &amp; Benefits'!$G$6</f>
        <v>12558.24</v>
      </c>
      <c r="Y1657" s="23">
        <f>'2022-23 Salary &amp; Benefits'!$H$6</f>
        <v>0.2298</v>
      </c>
      <c r="Z1657" s="23">
        <f>'2022-23 Salary &amp; Benefits'!$I$6</f>
        <v>0.22339999999999999</v>
      </c>
      <c r="AA1657" s="22">
        <f t="shared" si="322"/>
        <v>0</v>
      </c>
      <c r="AB1657" s="22">
        <f t="shared" si="323"/>
        <v>0</v>
      </c>
      <c r="AC1657" s="22">
        <f t="shared" si="324"/>
        <v>0</v>
      </c>
      <c r="AD1657" s="22">
        <f t="shared" si="314"/>
        <v>0</v>
      </c>
      <c r="AE1657" s="22">
        <f t="shared" si="315"/>
        <v>0</v>
      </c>
      <c r="AF1657" s="19" t="str">
        <f>VLOOKUP(C1657,'2021-22 School Level AAFTE'!C:N,12,FALSE)</f>
        <v>No</v>
      </c>
    </row>
    <row r="1658" spans="1:32" s="5" customFormat="1">
      <c r="A1658" s="97" t="s">
        <v>2459</v>
      </c>
      <c r="B1658" s="97" t="s">
        <v>1537</v>
      </c>
      <c r="C1658" s="95">
        <v>2520</v>
      </c>
      <c r="D1658" s="95" t="s">
        <v>1539</v>
      </c>
      <c r="E1658" s="129">
        <f>VLOOKUP($C1658,'2021-22 School Level AAFTE'!$C:$Z,11,FALSE)</f>
        <v>0.33790000000000003</v>
      </c>
      <c r="F1658" s="129" t="str">
        <f>VLOOKUP($C1658,'2021-22 School Level AAFTE'!$C:$Z,8,FALSE)</f>
        <v>No</v>
      </c>
      <c r="G1658" s="129" t="str">
        <f>VLOOKUP($C1658,'2021-22 School Level AAFTE'!$C:$Z,12,FALSE)</f>
        <v>No</v>
      </c>
      <c r="H1658" s="127">
        <f>VLOOKUP($C1658,'2021-22 School Level AAFTE'!$C:$I,7,FALSE)</f>
        <v>309.08999999999997</v>
      </c>
      <c r="I1658" s="112">
        <f>IFERROR(IF(OR(G1658="yes",F1658= "yes"),VLOOKUP(C1658,Summary!$B:$J,6,0),0),0)</f>
        <v>0</v>
      </c>
      <c r="J1658" s="111">
        <f t="shared" si="318"/>
        <v>0</v>
      </c>
      <c r="K1658" s="91">
        <f>VLOOKUP($A1658,'2022-23 Salary &amp; Benefits'!$A:$I,3,FALSE)</f>
        <v>1.1200000000000001</v>
      </c>
      <c r="L1658" s="91">
        <f>VLOOKUP($A1658,'2022-23 Salary &amp; Benefits'!$A:$I,4,FALSE)</f>
        <v>1.1200000000000001</v>
      </c>
      <c r="M1658" s="101">
        <f t="shared" si="313"/>
        <v>0</v>
      </c>
      <c r="N1658" s="24">
        <v>15</v>
      </c>
      <c r="O1658" s="26">
        <f t="shared" si="316"/>
        <v>0</v>
      </c>
      <c r="P1658" s="24">
        <v>1.1000000000000001</v>
      </c>
      <c r="Q1658" s="24">
        <v>36</v>
      </c>
      <c r="R1658" s="27">
        <f t="shared" si="317"/>
        <v>0</v>
      </c>
      <c r="S1658" s="102">
        <f t="shared" si="319"/>
        <v>0</v>
      </c>
      <c r="T1658" s="21">
        <f>VLOOKUP($A1658,'2022-23 Salary &amp; Benefits'!$A:$I,5,FALSE)</f>
        <v>68937</v>
      </c>
      <c r="U1658" s="21">
        <f>VLOOKUP($A1658,'2022-23 Salary &amp; Benefits'!$A:$I,6,FALSE)</f>
        <v>72728</v>
      </c>
      <c r="V1658" s="22">
        <f t="shared" si="320"/>
        <v>0</v>
      </c>
      <c r="W1658" s="22">
        <f t="shared" si="321"/>
        <v>0</v>
      </c>
      <c r="X1658" s="22">
        <f>'2022-23 Salary &amp; Benefits'!$G$6</f>
        <v>12558.24</v>
      </c>
      <c r="Y1658" s="23">
        <f>'2022-23 Salary &amp; Benefits'!$H$6</f>
        <v>0.2298</v>
      </c>
      <c r="Z1658" s="23">
        <f>'2022-23 Salary &amp; Benefits'!$I$6</f>
        <v>0.22339999999999999</v>
      </c>
      <c r="AA1658" s="22">
        <f t="shared" si="322"/>
        <v>0</v>
      </c>
      <c r="AB1658" s="22">
        <f t="shared" si="323"/>
        <v>0</v>
      </c>
      <c r="AC1658" s="22">
        <f t="shared" si="324"/>
        <v>0</v>
      </c>
      <c r="AD1658" s="22">
        <f t="shared" si="314"/>
        <v>0</v>
      </c>
      <c r="AE1658" s="22">
        <f t="shared" si="315"/>
        <v>0</v>
      </c>
      <c r="AF1658" s="19" t="str">
        <f>VLOOKUP(C1658,'2021-22 School Level AAFTE'!C:N,12,FALSE)</f>
        <v>No</v>
      </c>
    </row>
    <row r="1659" spans="1:32" s="5" customFormat="1">
      <c r="A1659" s="97" t="s">
        <v>2459</v>
      </c>
      <c r="B1659" s="97" t="s">
        <v>1537</v>
      </c>
      <c r="C1659" s="95">
        <v>2879</v>
      </c>
      <c r="D1659" s="95" t="s">
        <v>1540</v>
      </c>
      <c r="E1659" s="129">
        <f>VLOOKUP($C1659,'2021-22 School Level AAFTE'!$C:$Z,11,FALSE)</f>
        <v>0.36330000000000001</v>
      </c>
      <c r="F1659" s="129" t="str">
        <f>VLOOKUP($C1659,'2021-22 School Level AAFTE'!$C:$Z,8,FALSE)</f>
        <v>No</v>
      </c>
      <c r="G1659" s="129" t="str">
        <f>VLOOKUP($C1659,'2021-22 School Level AAFTE'!$C:$Z,12,FALSE)</f>
        <v>No</v>
      </c>
      <c r="H1659" s="127">
        <f>VLOOKUP($C1659,'2021-22 School Level AAFTE'!$C:$I,7,FALSE)</f>
        <v>243.75</v>
      </c>
      <c r="I1659" s="112">
        <f>IFERROR(IF(OR(G1659="yes",F1659= "yes"),VLOOKUP(C1659,Summary!$B:$J,6,0),0),0)</f>
        <v>0</v>
      </c>
      <c r="J1659" s="111">
        <f t="shared" si="318"/>
        <v>0</v>
      </c>
      <c r="K1659" s="91">
        <f>VLOOKUP($A1659,'2022-23 Salary &amp; Benefits'!$A:$I,3,FALSE)</f>
        <v>1.1200000000000001</v>
      </c>
      <c r="L1659" s="91">
        <f>VLOOKUP($A1659,'2022-23 Salary &amp; Benefits'!$A:$I,4,FALSE)</f>
        <v>1.1200000000000001</v>
      </c>
      <c r="M1659" s="101">
        <f t="shared" si="313"/>
        <v>0</v>
      </c>
      <c r="N1659" s="24">
        <v>15</v>
      </c>
      <c r="O1659" s="26">
        <f t="shared" si="316"/>
        <v>0</v>
      </c>
      <c r="P1659" s="24">
        <v>1.1000000000000001</v>
      </c>
      <c r="Q1659" s="24">
        <v>36</v>
      </c>
      <c r="R1659" s="27">
        <f t="shared" si="317"/>
        <v>0</v>
      </c>
      <c r="S1659" s="102">
        <f t="shared" si="319"/>
        <v>0</v>
      </c>
      <c r="T1659" s="21">
        <f>VLOOKUP($A1659,'2022-23 Salary &amp; Benefits'!$A:$I,5,FALSE)</f>
        <v>68937</v>
      </c>
      <c r="U1659" s="21">
        <f>VLOOKUP($A1659,'2022-23 Salary &amp; Benefits'!$A:$I,6,FALSE)</f>
        <v>72728</v>
      </c>
      <c r="V1659" s="22">
        <f t="shared" si="320"/>
        <v>0</v>
      </c>
      <c r="W1659" s="22">
        <f t="shared" si="321"/>
        <v>0</v>
      </c>
      <c r="X1659" s="22">
        <f>'2022-23 Salary &amp; Benefits'!$G$6</f>
        <v>12558.24</v>
      </c>
      <c r="Y1659" s="23">
        <f>'2022-23 Salary &amp; Benefits'!$H$6</f>
        <v>0.2298</v>
      </c>
      <c r="Z1659" s="23">
        <f>'2022-23 Salary &amp; Benefits'!$I$6</f>
        <v>0.22339999999999999</v>
      </c>
      <c r="AA1659" s="22">
        <f t="shared" si="322"/>
        <v>0</v>
      </c>
      <c r="AB1659" s="22">
        <f t="shared" si="323"/>
        <v>0</v>
      </c>
      <c r="AC1659" s="22">
        <f t="shared" si="324"/>
        <v>0</v>
      </c>
      <c r="AD1659" s="22">
        <f t="shared" si="314"/>
        <v>0</v>
      </c>
      <c r="AE1659" s="22">
        <f t="shared" si="315"/>
        <v>0</v>
      </c>
      <c r="AF1659" s="19" t="str">
        <f>VLOOKUP(C1659,'2021-22 School Level AAFTE'!C:N,12,FALSE)</f>
        <v>No</v>
      </c>
    </row>
    <row r="1660" spans="1:32" s="5" customFormat="1">
      <c r="A1660" s="97" t="s">
        <v>2459</v>
      </c>
      <c r="B1660" s="97" t="s">
        <v>1537</v>
      </c>
      <c r="C1660" s="95">
        <v>3011</v>
      </c>
      <c r="D1660" s="95" t="s">
        <v>1541</v>
      </c>
      <c r="E1660" s="129">
        <f>VLOOKUP($C1660,'2021-22 School Level AAFTE'!$C:$Z,11,FALSE)</f>
        <v>0.40303333333333335</v>
      </c>
      <c r="F1660" s="129" t="str">
        <f>VLOOKUP($C1660,'2021-22 School Level AAFTE'!$C:$Z,8,FALSE)</f>
        <v>No</v>
      </c>
      <c r="G1660" s="129" t="str">
        <f>VLOOKUP($C1660,'2021-22 School Level AAFTE'!$C:$Z,12,FALSE)</f>
        <v>No</v>
      </c>
      <c r="H1660" s="127">
        <f>VLOOKUP($C1660,'2021-22 School Level AAFTE'!$C:$I,7,FALSE)</f>
        <v>169.17</v>
      </c>
      <c r="I1660" s="112">
        <f>IFERROR(IF(OR(G1660="yes",F1660= "yes"),VLOOKUP(C1660,Summary!$B:$J,6,0),0),0)</f>
        <v>0</v>
      </c>
      <c r="J1660" s="111">
        <f t="shared" si="318"/>
        <v>0</v>
      </c>
      <c r="K1660" s="91">
        <f>VLOOKUP($A1660,'2022-23 Salary &amp; Benefits'!$A:$I,3,FALSE)</f>
        <v>1.1200000000000001</v>
      </c>
      <c r="L1660" s="91">
        <f>VLOOKUP($A1660,'2022-23 Salary &amp; Benefits'!$A:$I,4,FALSE)</f>
        <v>1.1200000000000001</v>
      </c>
      <c r="M1660" s="101">
        <f t="shared" si="313"/>
        <v>0</v>
      </c>
      <c r="N1660" s="24">
        <v>15</v>
      </c>
      <c r="O1660" s="26">
        <f t="shared" si="316"/>
        <v>0</v>
      </c>
      <c r="P1660" s="24">
        <v>1.1000000000000001</v>
      </c>
      <c r="Q1660" s="24">
        <v>36</v>
      </c>
      <c r="R1660" s="27">
        <f t="shared" si="317"/>
        <v>0</v>
      </c>
      <c r="S1660" s="102">
        <f t="shared" si="319"/>
        <v>0</v>
      </c>
      <c r="T1660" s="21">
        <f>VLOOKUP($A1660,'2022-23 Salary &amp; Benefits'!$A:$I,5,FALSE)</f>
        <v>68937</v>
      </c>
      <c r="U1660" s="21">
        <f>VLOOKUP($A1660,'2022-23 Salary &amp; Benefits'!$A:$I,6,FALSE)</f>
        <v>72728</v>
      </c>
      <c r="V1660" s="22">
        <f t="shared" si="320"/>
        <v>0</v>
      </c>
      <c r="W1660" s="22">
        <f t="shared" si="321"/>
        <v>0</v>
      </c>
      <c r="X1660" s="22">
        <f>'2022-23 Salary &amp; Benefits'!$G$6</f>
        <v>12558.24</v>
      </c>
      <c r="Y1660" s="23">
        <f>'2022-23 Salary &amp; Benefits'!$H$6</f>
        <v>0.2298</v>
      </c>
      <c r="Z1660" s="23">
        <f>'2022-23 Salary &amp; Benefits'!$I$6</f>
        <v>0.22339999999999999</v>
      </c>
      <c r="AA1660" s="22">
        <f t="shared" si="322"/>
        <v>0</v>
      </c>
      <c r="AB1660" s="22">
        <f t="shared" si="323"/>
        <v>0</v>
      </c>
      <c r="AC1660" s="22">
        <f t="shared" si="324"/>
        <v>0</v>
      </c>
      <c r="AD1660" s="22">
        <f t="shared" si="314"/>
        <v>0</v>
      </c>
      <c r="AE1660" s="22">
        <f t="shared" si="315"/>
        <v>0</v>
      </c>
      <c r="AF1660" s="19" t="str">
        <f>VLOOKUP(C1660,'2021-22 School Level AAFTE'!C:N,12,FALSE)</f>
        <v>No</v>
      </c>
    </row>
    <row r="1661" spans="1:32" s="5" customFormat="1">
      <c r="A1661" s="97" t="s">
        <v>2459</v>
      </c>
      <c r="B1661" s="97" t="s">
        <v>1537</v>
      </c>
      <c r="C1661" s="95">
        <v>5559</v>
      </c>
      <c r="D1661" s="95" t="s">
        <v>2918</v>
      </c>
      <c r="E1661" s="129">
        <f>VLOOKUP($C1661,'2021-22 School Level AAFTE'!$C:$Z,11,FALSE)</f>
        <v>0.2</v>
      </c>
      <c r="F1661" s="129" t="str">
        <f>VLOOKUP($C1661,'2021-22 School Level AAFTE'!$C:$Z,8,FALSE)</f>
        <v>No</v>
      </c>
      <c r="G1661" s="129" t="str">
        <f>VLOOKUP($C1661,'2021-22 School Level AAFTE'!$C:$Z,12,FALSE)</f>
        <v>No</v>
      </c>
      <c r="H1661" s="127">
        <f>VLOOKUP($C1661,'2021-22 School Level AAFTE'!$C:$I,7,FALSE)</f>
        <v>4.29</v>
      </c>
      <c r="I1661" s="112">
        <f>IFERROR(IF(OR(G1661="yes",F1661= "yes"),VLOOKUP(C1661,Summary!$B:$J,6,0),0),0)</f>
        <v>0</v>
      </c>
      <c r="J1661" s="111">
        <f t="shared" si="318"/>
        <v>0</v>
      </c>
      <c r="K1661" s="91">
        <f>VLOOKUP($A1661,'2022-23 Salary &amp; Benefits'!$A:$I,3,FALSE)</f>
        <v>1.1200000000000001</v>
      </c>
      <c r="L1661" s="91">
        <f>VLOOKUP($A1661,'2022-23 Salary &amp; Benefits'!$A:$I,4,FALSE)</f>
        <v>1.1200000000000001</v>
      </c>
      <c r="M1661" s="101">
        <f t="shared" si="313"/>
        <v>0</v>
      </c>
      <c r="N1661" s="24">
        <v>15</v>
      </c>
      <c r="O1661" s="26">
        <f t="shared" si="316"/>
        <v>0</v>
      </c>
      <c r="P1661" s="24">
        <v>1.1000000000000001</v>
      </c>
      <c r="Q1661" s="24">
        <v>36</v>
      </c>
      <c r="R1661" s="27">
        <f t="shared" si="317"/>
        <v>0</v>
      </c>
      <c r="S1661" s="102">
        <f t="shared" si="319"/>
        <v>0</v>
      </c>
      <c r="T1661" s="21">
        <f>VLOOKUP($A1661,'2022-23 Salary &amp; Benefits'!$A:$I,5,FALSE)</f>
        <v>68937</v>
      </c>
      <c r="U1661" s="21">
        <f>VLOOKUP($A1661,'2022-23 Salary &amp; Benefits'!$A:$I,6,FALSE)</f>
        <v>72728</v>
      </c>
      <c r="V1661" s="22">
        <f t="shared" si="320"/>
        <v>0</v>
      </c>
      <c r="W1661" s="22">
        <f t="shared" si="321"/>
        <v>0</v>
      </c>
      <c r="X1661" s="22">
        <f>'2022-23 Salary &amp; Benefits'!$G$6</f>
        <v>12558.24</v>
      </c>
      <c r="Y1661" s="23">
        <f>'2022-23 Salary &amp; Benefits'!$H$6</f>
        <v>0.2298</v>
      </c>
      <c r="Z1661" s="23">
        <f>'2022-23 Salary &amp; Benefits'!$I$6</f>
        <v>0.22339999999999999</v>
      </c>
      <c r="AA1661" s="22">
        <f t="shared" si="322"/>
        <v>0</v>
      </c>
      <c r="AB1661" s="22">
        <f t="shared" si="323"/>
        <v>0</v>
      </c>
      <c r="AC1661" s="22">
        <f t="shared" si="324"/>
        <v>0</v>
      </c>
      <c r="AD1661" s="22">
        <f t="shared" si="314"/>
        <v>0</v>
      </c>
      <c r="AE1661" s="22">
        <f t="shared" si="315"/>
        <v>0</v>
      </c>
      <c r="AF1661" s="19" t="str">
        <f>VLOOKUP(C1661,'2021-22 School Level AAFTE'!C:N,12,FALSE)</f>
        <v>No</v>
      </c>
    </row>
    <row r="1662" spans="1:32" s="5" customFormat="1">
      <c r="A1662" s="97" t="s">
        <v>2336</v>
      </c>
      <c r="B1662" s="97" t="s">
        <v>503</v>
      </c>
      <c r="C1662" s="95">
        <v>2010</v>
      </c>
      <c r="D1662" s="95" t="s">
        <v>504</v>
      </c>
      <c r="E1662" s="129">
        <f>VLOOKUP($C1662,'2021-22 School Level AAFTE'!$C:$Z,11,FALSE)</f>
        <v>0.54876666666666674</v>
      </c>
      <c r="F1662" s="129" t="str">
        <f>VLOOKUP($C1662,'2021-22 School Level AAFTE'!$C:$Z,8,FALSE)</f>
        <v>Yes</v>
      </c>
      <c r="G1662" s="129" t="str">
        <f>VLOOKUP($C1662,'2021-22 School Level AAFTE'!$C:$Z,12,FALSE)</f>
        <v>No</v>
      </c>
      <c r="H1662" s="127">
        <f>VLOOKUP($C1662,'2021-22 School Level AAFTE'!$C:$I,7,FALSE)</f>
        <v>54.29</v>
      </c>
      <c r="I1662" s="112">
        <f>IFERROR(IF(OR(G1662="yes",F1662= "yes"),VLOOKUP(C1662,Summary!$B:$J,6,0),0),0)</f>
        <v>0</v>
      </c>
      <c r="J1662" s="111">
        <f t="shared" si="318"/>
        <v>54.29</v>
      </c>
      <c r="K1662" s="91">
        <f>VLOOKUP($A1662,'2022-23 Salary &amp; Benefits'!$A:$I,3,FALSE)</f>
        <v>1</v>
      </c>
      <c r="L1662" s="91">
        <f>VLOOKUP($A1662,'2022-23 Salary &amp; Benefits'!$A:$I,4,FALSE)</f>
        <v>1</v>
      </c>
      <c r="M1662" s="101">
        <f t="shared" si="313"/>
        <v>54.29</v>
      </c>
      <c r="N1662" s="24">
        <v>15</v>
      </c>
      <c r="O1662" s="26">
        <f t="shared" si="316"/>
        <v>3.6193333333333331</v>
      </c>
      <c r="P1662" s="24">
        <v>1.1000000000000001</v>
      </c>
      <c r="Q1662" s="24">
        <v>36</v>
      </c>
      <c r="R1662" s="27">
        <f t="shared" si="317"/>
        <v>143.32560000000001</v>
      </c>
      <c r="S1662" s="102">
        <f t="shared" si="319"/>
        <v>0.159</v>
      </c>
      <c r="T1662" s="21">
        <f>VLOOKUP($A1662,'2022-23 Salary &amp; Benefits'!$A:$I,5,FALSE)</f>
        <v>68937</v>
      </c>
      <c r="U1662" s="21">
        <f>VLOOKUP($A1662,'2022-23 Salary &amp; Benefits'!$A:$I,6,FALSE)</f>
        <v>72728</v>
      </c>
      <c r="V1662" s="22">
        <f t="shared" si="320"/>
        <v>10960.98</v>
      </c>
      <c r="W1662" s="22">
        <f t="shared" si="321"/>
        <v>602.77000000000044</v>
      </c>
      <c r="X1662" s="22">
        <f>'2022-23 Salary &amp; Benefits'!$G$6</f>
        <v>12558.24</v>
      </c>
      <c r="Y1662" s="23">
        <f>'2022-23 Salary &amp; Benefits'!$H$6</f>
        <v>0.2298</v>
      </c>
      <c r="Z1662" s="23">
        <f>'2022-23 Salary &amp; Benefits'!$I$6</f>
        <v>0.22339999999999999</v>
      </c>
      <c r="AA1662" s="22">
        <f t="shared" si="322"/>
        <v>4650.25</v>
      </c>
      <c r="AB1662" s="22">
        <f t="shared" si="323"/>
        <v>192.73</v>
      </c>
      <c r="AC1662" s="22">
        <f t="shared" si="324"/>
        <v>43.06</v>
      </c>
      <c r="AD1662" s="22">
        <f t="shared" si="314"/>
        <v>235.79</v>
      </c>
      <c r="AE1662" s="22">
        <f t="shared" si="315"/>
        <v>16449.79</v>
      </c>
      <c r="AF1662" s="19" t="str">
        <f>VLOOKUP(C1662,'2021-22 School Level AAFTE'!C:N,12,FALSE)</f>
        <v>No</v>
      </c>
    </row>
    <row r="1663" spans="1:32" s="5" customFormat="1">
      <c r="A1663" s="97" t="s">
        <v>2348</v>
      </c>
      <c r="B1663" s="97" t="s">
        <v>547</v>
      </c>
      <c r="C1663" s="95">
        <v>1547</v>
      </c>
      <c r="D1663" s="95" t="s">
        <v>548</v>
      </c>
      <c r="E1663" s="129">
        <f>VLOOKUP($C1663,'2021-22 School Level AAFTE'!$C:$Z,11,FALSE)</f>
        <v>0.37176666666666663</v>
      </c>
      <c r="F1663" s="129" t="str">
        <f>VLOOKUP($C1663,'2021-22 School Level AAFTE'!$C:$Z,8,FALSE)</f>
        <v>No</v>
      </c>
      <c r="G1663" s="129" t="str">
        <f>VLOOKUP($C1663,'2021-22 School Level AAFTE'!$C:$Z,12,FALSE)</f>
        <v>No</v>
      </c>
      <c r="H1663" s="127">
        <f>VLOOKUP($C1663,'2021-22 School Level AAFTE'!$C:$I,7,FALSE)</f>
        <v>87.06</v>
      </c>
      <c r="I1663" s="112">
        <f>IFERROR(IF(OR(G1663="yes",F1663= "yes"),VLOOKUP(C1663,Summary!$B:$J,6,0),0),0)</f>
        <v>0</v>
      </c>
      <c r="J1663" s="111">
        <f t="shared" si="318"/>
        <v>0</v>
      </c>
      <c r="K1663" s="91">
        <f>VLOOKUP($A1663,'2022-23 Salary &amp; Benefits'!$A:$I,3,FALSE)</f>
        <v>1.18</v>
      </c>
      <c r="L1663" s="91">
        <f>VLOOKUP($A1663,'2022-23 Salary &amp; Benefits'!$A:$I,4,FALSE)</f>
        <v>1.18</v>
      </c>
      <c r="M1663" s="101">
        <f t="shared" si="313"/>
        <v>0</v>
      </c>
      <c r="N1663" s="24">
        <v>15</v>
      </c>
      <c r="O1663" s="26">
        <f t="shared" si="316"/>
        <v>0</v>
      </c>
      <c r="P1663" s="24">
        <v>1.1000000000000001</v>
      </c>
      <c r="Q1663" s="24">
        <v>36</v>
      </c>
      <c r="R1663" s="27">
        <f t="shared" si="317"/>
        <v>0</v>
      </c>
      <c r="S1663" s="102">
        <f t="shared" si="319"/>
        <v>0</v>
      </c>
      <c r="T1663" s="21">
        <f>VLOOKUP($A1663,'2022-23 Salary &amp; Benefits'!$A:$I,5,FALSE)</f>
        <v>68937</v>
      </c>
      <c r="U1663" s="21">
        <f>VLOOKUP($A1663,'2022-23 Salary &amp; Benefits'!$A:$I,6,FALSE)</f>
        <v>72728</v>
      </c>
      <c r="V1663" s="22">
        <f t="shared" si="320"/>
        <v>0</v>
      </c>
      <c r="W1663" s="22">
        <f t="shared" si="321"/>
        <v>0</v>
      </c>
      <c r="X1663" s="22">
        <f>'2022-23 Salary &amp; Benefits'!$G$6</f>
        <v>12558.24</v>
      </c>
      <c r="Y1663" s="23">
        <f>'2022-23 Salary &amp; Benefits'!$H$6</f>
        <v>0.2298</v>
      </c>
      <c r="Z1663" s="23">
        <f>'2022-23 Salary &amp; Benefits'!$I$6</f>
        <v>0.22339999999999999</v>
      </c>
      <c r="AA1663" s="22">
        <f t="shared" si="322"/>
        <v>0</v>
      </c>
      <c r="AB1663" s="22">
        <f t="shared" si="323"/>
        <v>0</v>
      </c>
      <c r="AC1663" s="22">
        <f t="shared" si="324"/>
        <v>0</v>
      </c>
      <c r="AD1663" s="22">
        <f t="shared" si="314"/>
        <v>0</v>
      </c>
      <c r="AE1663" s="22">
        <f t="shared" si="315"/>
        <v>0</v>
      </c>
      <c r="AF1663" s="19" t="str">
        <f>VLOOKUP(C1663,'2021-22 School Level AAFTE'!C:N,12,FALSE)</f>
        <v>No</v>
      </c>
    </row>
    <row r="1664" spans="1:32" s="5" customFormat="1">
      <c r="A1664" s="97" t="s">
        <v>2348</v>
      </c>
      <c r="B1664" s="97" t="s">
        <v>547</v>
      </c>
      <c r="C1664" s="95">
        <v>1579</v>
      </c>
      <c r="D1664" s="95" t="s">
        <v>549</v>
      </c>
      <c r="E1664" s="129">
        <f>VLOOKUP($C1664,'2021-22 School Level AAFTE'!$C:$Z,11,FALSE)</f>
        <v>0.24996666666666667</v>
      </c>
      <c r="F1664" s="129" t="str">
        <f>VLOOKUP($C1664,'2021-22 School Level AAFTE'!$C:$Z,8,FALSE)</f>
        <v>No</v>
      </c>
      <c r="G1664" s="129" t="str">
        <f>VLOOKUP($C1664,'2021-22 School Level AAFTE'!$C:$Z,12,FALSE)</f>
        <v>No</v>
      </c>
      <c r="H1664" s="127">
        <f>VLOOKUP($C1664,'2021-22 School Level AAFTE'!$C:$I,7,FALSE)</f>
        <v>475.85</v>
      </c>
      <c r="I1664" s="112">
        <f>IFERROR(IF(OR(G1664="yes",F1664= "yes"),VLOOKUP(C1664,Summary!$B:$J,6,0),0),0)</f>
        <v>0</v>
      </c>
      <c r="J1664" s="111">
        <f t="shared" si="318"/>
        <v>0</v>
      </c>
      <c r="K1664" s="91">
        <f>VLOOKUP($A1664,'2022-23 Salary &amp; Benefits'!$A:$I,3,FALSE)</f>
        <v>1.18</v>
      </c>
      <c r="L1664" s="91">
        <f>VLOOKUP($A1664,'2022-23 Salary &amp; Benefits'!$A:$I,4,FALSE)</f>
        <v>1.18</v>
      </c>
      <c r="M1664" s="101">
        <f t="shared" si="313"/>
        <v>0</v>
      </c>
      <c r="N1664" s="24">
        <v>15</v>
      </c>
      <c r="O1664" s="26">
        <f t="shared" si="316"/>
        <v>0</v>
      </c>
      <c r="P1664" s="24">
        <v>1.1000000000000001</v>
      </c>
      <c r="Q1664" s="24">
        <v>36</v>
      </c>
      <c r="R1664" s="27">
        <f t="shared" si="317"/>
        <v>0</v>
      </c>
      <c r="S1664" s="102">
        <f t="shared" si="319"/>
        <v>0</v>
      </c>
      <c r="T1664" s="21">
        <f>VLOOKUP($A1664,'2022-23 Salary &amp; Benefits'!$A:$I,5,FALSE)</f>
        <v>68937</v>
      </c>
      <c r="U1664" s="21">
        <f>VLOOKUP($A1664,'2022-23 Salary &amp; Benefits'!$A:$I,6,FALSE)</f>
        <v>72728</v>
      </c>
      <c r="V1664" s="22">
        <f t="shared" si="320"/>
        <v>0</v>
      </c>
      <c r="W1664" s="22">
        <f t="shared" si="321"/>
        <v>0</v>
      </c>
      <c r="X1664" s="22">
        <f>'2022-23 Salary &amp; Benefits'!$G$6</f>
        <v>12558.24</v>
      </c>
      <c r="Y1664" s="23">
        <f>'2022-23 Salary &amp; Benefits'!$H$6</f>
        <v>0.2298</v>
      </c>
      <c r="Z1664" s="23">
        <f>'2022-23 Salary &amp; Benefits'!$I$6</f>
        <v>0.22339999999999999</v>
      </c>
      <c r="AA1664" s="22">
        <f t="shared" si="322"/>
        <v>0</v>
      </c>
      <c r="AB1664" s="22">
        <f t="shared" si="323"/>
        <v>0</v>
      </c>
      <c r="AC1664" s="22">
        <f t="shared" si="324"/>
        <v>0</v>
      </c>
      <c r="AD1664" s="22">
        <f t="shared" si="314"/>
        <v>0</v>
      </c>
      <c r="AE1664" s="22">
        <f t="shared" si="315"/>
        <v>0</v>
      </c>
      <c r="AF1664" s="19" t="str">
        <f>VLOOKUP(C1664,'2021-22 School Level AAFTE'!C:N,12,FALSE)</f>
        <v>No</v>
      </c>
    </row>
    <row r="1665" spans="1:284" s="5" customFormat="1">
      <c r="A1665" s="97" t="s">
        <v>2348</v>
      </c>
      <c r="B1665" s="97" t="s">
        <v>547</v>
      </c>
      <c r="C1665" s="95">
        <v>1596</v>
      </c>
      <c r="D1665" s="95" t="s">
        <v>550</v>
      </c>
      <c r="E1665" s="129">
        <f>VLOOKUP($C1665,'2021-22 School Level AAFTE'!$C:$Z,11,FALSE)</f>
        <v>0.80506666666666671</v>
      </c>
      <c r="F1665" s="129" t="str">
        <f>VLOOKUP($C1665,'2021-22 School Level AAFTE'!$C:$Z,8,FALSE)</f>
        <v>Yes</v>
      </c>
      <c r="G1665" s="129" t="str">
        <f>VLOOKUP($C1665,'2021-22 School Level AAFTE'!$C:$Z,12,FALSE)</f>
        <v>No</v>
      </c>
      <c r="H1665" s="127">
        <f>VLOOKUP($C1665,'2021-22 School Level AAFTE'!$C:$I,7,FALSE)</f>
        <v>218.54</v>
      </c>
      <c r="I1665" s="112">
        <f>IFERROR(IF(OR(G1665="yes",F1665= "yes"),VLOOKUP(C1665,Summary!$B:$J,6,0),0),0)</f>
        <v>0</v>
      </c>
      <c r="J1665" s="111">
        <f t="shared" si="318"/>
        <v>218.54</v>
      </c>
      <c r="K1665" s="91">
        <f>VLOOKUP($A1665,'2022-23 Salary &amp; Benefits'!$A:$I,3,FALSE)</f>
        <v>1.18</v>
      </c>
      <c r="L1665" s="91">
        <f>VLOOKUP($A1665,'2022-23 Salary &amp; Benefits'!$A:$I,4,FALSE)</f>
        <v>1.18</v>
      </c>
      <c r="M1665" s="101">
        <f t="shared" si="313"/>
        <v>218.54</v>
      </c>
      <c r="N1665" s="24">
        <v>15</v>
      </c>
      <c r="O1665" s="26">
        <f t="shared" si="316"/>
        <v>14.569333333333333</v>
      </c>
      <c r="P1665" s="24">
        <v>1.1000000000000001</v>
      </c>
      <c r="Q1665" s="24">
        <v>36</v>
      </c>
      <c r="R1665" s="27">
        <f t="shared" si="317"/>
        <v>576.94560000000001</v>
      </c>
      <c r="S1665" s="102">
        <f t="shared" si="319"/>
        <v>0.64100000000000001</v>
      </c>
      <c r="T1665" s="21">
        <f>VLOOKUP($A1665,'2022-23 Salary &amp; Benefits'!$A:$I,5,FALSE)</f>
        <v>68937</v>
      </c>
      <c r="U1665" s="21">
        <f>VLOOKUP($A1665,'2022-23 Salary &amp; Benefits'!$A:$I,6,FALSE)</f>
        <v>72728</v>
      </c>
      <c r="V1665" s="22">
        <f t="shared" si="320"/>
        <v>52142.57</v>
      </c>
      <c r="W1665" s="22">
        <f t="shared" si="321"/>
        <v>2867.4300000000003</v>
      </c>
      <c r="X1665" s="22">
        <f>'2022-23 Salary &amp; Benefits'!$G$6</f>
        <v>12558.24</v>
      </c>
      <c r="Y1665" s="23">
        <f>'2022-23 Salary &amp; Benefits'!$H$6</f>
        <v>0.2298</v>
      </c>
      <c r="Z1665" s="23">
        <f>'2022-23 Salary &amp; Benefits'!$I$6</f>
        <v>0.22339999999999999</v>
      </c>
      <c r="AA1665" s="22">
        <f t="shared" si="322"/>
        <v>20672.78</v>
      </c>
      <c r="AB1665" s="22">
        <f t="shared" si="323"/>
        <v>916.83</v>
      </c>
      <c r="AC1665" s="22">
        <f t="shared" si="324"/>
        <v>204.82</v>
      </c>
      <c r="AD1665" s="22">
        <f t="shared" si="314"/>
        <v>1121.6500000000001</v>
      </c>
      <c r="AE1665" s="22">
        <f t="shared" si="315"/>
        <v>76804.429999999993</v>
      </c>
      <c r="AF1665" s="19" t="str">
        <f>VLOOKUP(C1665,'2021-22 School Level AAFTE'!C:N,12,FALSE)</f>
        <v>No</v>
      </c>
    </row>
    <row r="1666" spans="1:284" s="5" customFormat="1">
      <c r="A1666" s="97" t="s">
        <v>2348</v>
      </c>
      <c r="B1666" s="97" t="s">
        <v>547</v>
      </c>
      <c r="C1666" s="95">
        <v>1620</v>
      </c>
      <c r="D1666" s="95" t="s">
        <v>551</v>
      </c>
      <c r="E1666" s="129">
        <f>VLOOKUP($C1666,'2021-22 School Level AAFTE'!$C:$Z,11,FALSE)</f>
        <v>0.11053333333333333</v>
      </c>
      <c r="F1666" s="129" t="str">
        <f>VLOOKUP($C1666,'2021-22 School Level AAFTE'!$C:$Z,8,FALSE)</f>
        <v>No</v>
      </c>
      <c r="G1666" s="129" t="str">
        <f>VLOOKUP($C1666,'2021-22 School Level AAFTE'!$C:$Z,12,FALSE)</f>
        <v>No</v>
      </c>
      <c r="H1666" s="127">
        <f>VLOOKUP($C1666,'2021-22 School Level AAFTE'!$C:$I,7,FALSE)</f>
        <v>465.57</v>
      </c>
      <c r="I1666" s="112">
        <f>IFERROR(IF(OR(G1666="yes",F1666= "yes"),VLOOKUP(C1666,Summary!$B:$J,6,0),0),0)</f>
        <v>0</v>
      </c>
      <c r="J1666" s="111">
        <f t="shared" si="318"/>
        <v>0</v>
      </c>
      <c r="K1666" s="91">
        <f>VLOOKUP($A1666,'2022-23 Salary &amp; Benefits'!$A:$I,3,FALSE)</f>
        <v>1.18</v>
      </c>
      <c r="L1666" s="91">
        <f>VLOOKUP($A1666,'2022-23 Salary &amp; Benefits'!$A:$I,4,FALSE)</f>
        <v>1.18</v>
      </c>
      <c r="M1666" s="39">
        <f t="shared" si="313"/>
        <v>0</v>
      </c>
      <c r="N1666" s="24">
        <v>15</v>
      </c>
      <c r="O1666" s="26">
        <f t="shared" si="316"/>
        <v>0</v>
      </c>
      <c r="P1666" s="24">
        <v>1.1000000000000001</v>
      </c>
      <c r="Q1666" s="24">
        <v>36</v>
      </c>
      <c r="R1666" s="27">
        <f t="shared" si="317"/>
        <v>0</v>
      </c>
      <c r="S1666" s="102">
        <f t="shared" si="319"/>
        <v>0</v>
      </c>
      <c r="T1666" s="21">
        <f>VLOOKUP($A1666,'2022-23 Salary &amp; Benefits'!$A:$I,5,FALSE)</f>
        <v>68937</v>
      </c>
      <c r="U1666" s="21">
        <f>VLOOKUP($A1666,'2022-23 Salary &amp; Benefits'!$A:$I,6,FALSE)</f>
        <v>72728</v>
      </c>
      <c r="V1666" s="22">
        <f t="shared" si="320"/>
        <v>0</v>
      </c>
      <c r="W1666" s="22">
        <f t="shared" si="321"/>
        <v>0</v>
      </c>
      <c r="X1666" s="22">
        <f>'2022-23 Salary &amp; Benefits'!$G$6</f>
        <v>12558.24</v>
      </c>
      <c r="Y1666" s="23">
        <f>'2022-23 Salary &amp; Benefits'!$H$6</f>
        <v>0.2298</v>
      </c>
      <c r="Z1666" s="23">
        <f>'2022-23 Salary &amp; Benefits'!$I$6</f>
        <v>0.22339999999999999</v>
      </c>
      <c r="AA1666" s="22">
        <f t="shared" si="322"/>
        <v>0</v>
      </c>
      <c r="AB1666" s="22">
        <f t="shared" si="323"/>
        <v>0</v>
      </c>
      <c r="AC1666" s="22">
        <f t="shared" si="324"/>
        <v>0</v>
      </c>
      <c r="AD1666" s="22">
        <f t="shared" si="314"/>
        <v>0</v>
      </c>
      <c r="AE1666" s="22">
        <f t="shared" si="315"/>
        <v>0</v>
      </c>
      <c r="AF1666" s="19" t="str">
        <f>VLOOKUP(C1666,'2021-22 School Level AAFTE'!C:N,12,FALSE)</f>
        <v>No</v>
      </c>
    </row>
    <row r="1667" spans="1:284" s="5" customFormat="1">
      <c r="A1667" s="97" t="s">
        <v>2348</v>
      </c>
      <c r="B1667" s="97" t="s">
        <v>547</v>
      </c>
      <c r="C1667" s="95">
        <v>1635</v>
      </c>
      <c r="D1667" s="95" t="s">
        <v>552</v>
      </c>
      <c r="E1667" s="129">
        <f>VLOOKUP($C1667,'2021-22 School Level AAFTE'!$C:$Z,11,FALSE)</f>
        <v>0.69169999999999998</v>
      </c>
      <c r="F1667" s="129" t="str">
        <f>VLOOKUP($C1667,'2021-22 School Level AAFTE'!$C:$Z,8,FALSE)</f>
        <v>Yes</v>
      </c>
      <c r="G1667" s="129" t="str">
        <f>VLOOKUP($C1667,'2021-22 School Level AAFTE'!$C:$Z,12,FALSE)</f>
        <v>No</v>
      </c>
      <c r="H1667" s="127">
        <f>VLOOKUP($C1667,'2021-22 School Level AAFTE'!$C:$I,7,FALSE)</f>
        <v>247.78</v>
      </c>
      <c r="I1667" s="112">
        <f>IFERROR(IF(OR(G1667="yes",F1667= "yes"),VLOOKUP(C1667,Summary!$B:$J,6,0),0),0)</f>
        <v>0</v>
      </c>
      <c r="J1667" s="111">
        <f t="shared" si="318"/>
        <v>247.78</v>
      </c>
      <c r="K1667" s="91">
        <f>VLOOKUP($A1667,'2022-23 Salary &amp; Benefits'!$A:$I,3,FALSE)</f>
        <v>1.18</v>
      </c>
      <c r="L1667" s="91">
        <f>VLOOKUP($A1667,'2022-23 Salary &amp; Benefits'!$A:$I,4,FALSE)</f>
        <v>1.18</v>
      </c>
      <c r="M1667" s="101">
        <f t="shared" si="313"/>
        <v>247.78</v>
      </c>
      <c r="N1667" s="24">
        <v>15</v>
      </c>
      <c r="O1667" s="26">
        <f t="shared" si="316"/>
        <v>16.518666666666668</v>
      </c>
      <c r="P1667" s="24">
        <v>1.1000000000000001</v>
      </c>
      <c r="Q1667" s="24">
        <v>36</v>
      </c>
      <c r="R1667" s="27">
        <f t="shared" si="317"/>
        <v>654.13920000000007</v>
      </c>
      <c r="S1667" s="102">
        <f t="shared" si="319"/>
        <v>0.72699999999999998</v>
      </c>
      <c r="T1667" s="21">
        <f>VLOOKUP($A1667,'2022-23 Salary &amp; Benefits'!$A:$I,5,FALSE)</f>
        <v>68937</v>
      </c>
      <c r="U1667" s="21">
        <f>VLOOKUP($A1667,'2022-23 Salary &amp; Benefits'!$A:$I,6,FALSE)</f>
        <v>72728</v>
      </c>
      <c r="V1667" s="22">
        <f t="shared" si="320"/>
        <v>59138.29</v>
      </c>
      <c r="W1667" s="22">
        <f t="shared" si="321"/>
        <v>3252.1500000000015</v>
      </c>
      <c r="X1667" s="22">
        <f>'2022-23 Salary &amp; Benefits'!$G$6</f>
        <v>12558.24</v>
      </c>
      <c r="Y1667" s="23">
        <f>'2022-23 Salary &amp; Benefits'!$H$6</f>
        <v>0.2298</v>
      </c>
      <c r="Z1667" s="23">
        <f>'2022-23 Salary &amp; Benefits'!$I$6</f>
        <v>0.22339999999999999</v>
      </c>
      <c r="AA1667" s="22">
        <f t="shared" si="322"/>
        <v>23446.35</v>
      </c>
      <c r="AB1667" s="22">
        <f t="shared" si="323"/>
        <v>1039.8399999999999</v>
      </c>
      <c r="AC1667" s="22">
        <f t="shared" si="324"/>
        <v>232.3</v>
      </c>
      <c r="AD1667" s="22">
        <f t="shared" si="314"/>
        <v>1272.1399999999999</v>
      </c>
      <c r="AE1667" s="22">
        <f t="shared" si="315"/>
        <v>87108.930000000008</v>
      </c>
      <c r="AF1667" s="19" t="str">
        <f>VLOOKUP(C1667,'2021-22 School Level AAFTE'!C:N,12,FALSE)</f>
        <v>No</v>
      </c>
    </row>
    <row r="1668" spans="1:284" s="5" customFormat="1">
      <c r="A1668" s="97" t="s">
        <v>2348</v>
      </c>
      <c r="B1668" s="97" t="s">
        <v>547</v>
      </c>
      <c r="C1668" s="95">
        <v>1796</v>
      </c>
      <c r="D1668" s="95" t="s">
        <v>554</v>
      </c>
      <c r="E1668" s="129">
        <f>VLOOKUP($C1668,'2021-22 School Level AAFTE'!$C:$Z,11,FALSE)</f>
        <v>9.4466666666666657E-2</v>
      </c>
      <c r="F1668" s="129" t="str">
        <f>VLOOKUP($C1668,'2021-22 School Level AAFTE'!$C:$Z,8,FALSE)</f>
        <v>No</v>
      </c>
      <c r="G1668" s="129" t="str">
        <f>VLOOKUP($C1668,'2021-22 School Level AAFTE'!$C:$Z,12,FALSE)</f>
        <v>No</v>
      </c>
      <c r="H1668" s="127">
        <f>VLOOKUP($C1668,'2021-22 School Level AAFTE'!$C:$I,7,FALSE)</f>
        <v>661.74</v>
      </c>
      <c r="I1668" s="112">
        <f>IFERROR(IF(OR(G1668="yes",F1668= "yes"),VLOOKUP(C1668,Summary!$B:$J,6,0),0),0)</f>
        <v>0</v>
      </c>
      <c r="J1668" s="111">
        <f t="shared" si="318"/>
        <v>0</v>
      </c>
      <c r="K1668" s="91">
        <f>VLOOKUP($A1668,'2022-23 Salary &amp; Benefits'!$A:$I,3,FALSE)</f>
        <v>1.18</v>
      </c>
      <c r="L1668" s="91">
        <f>VLOOKUP($A1668,'2022-23 Salary &amp; Benefits'!$A:$I,4,FALSE)</f>
        <v>1.18</v>
      </c>
      <c r="M1668" s="39">
        <f t="shared" si="313"/>
        <v>0</v>
      </c>
      <c r="N1668" s="24">
        <v>15</v>
      </c>
      <c r="O1668" s="26">
        <f t="shared" si="316"/>
        <v>0</v>
      </c>
      <c r="P1668" s="24">
        <v>1.1000000000000001</v>
      </c>
      <c r="Q1668" s="24">
        <v>36</v>
      </c>
      <c r="R1668" s="27">
        <f t="shared" si="317"/>
        <v>0</v>
      </c>
      <c r="S1668" s="102">
        <f t="shared" si="319"/>
        <v>0</v>
      </c>
      <c r="T1668" s="21">
        <f>VLOOKUP($A1668,'2022-23 Salary &amp; Benefits'!$A:$I,5,FALSE)</f>
        <v>68937</v>
      </c>
      <c r="U1668" s="21">
        <f>VLOOKUP($A1668,'2022-23 Salary &amp; Benefits'!$A:$I,6,FALSE)</f>
        <v>72728</v>
      </c>
      <c r="V1668" s="22">
        <f t="shared" si="320"/>
        <v>0</v>
      </c>
      <c r="W1668" s="22">
        <f t="shared" si="321"/>
        <v>0</v>
      </c>
      <c r="X1668" s="22">
        <f>'2022-23 Salary &amp; Benefits'!$G$6</f>
        <v>12558.24</v>
      </c>
      <c r="Y1668" s="23">
        <f>'2022-23 Salary &amp; Benefits'!$H$6</f>
        <v>0.2298</v>
      </c>
      <c r="Z1668" s="23">
        <f>'2022-23 Salary &amp; Benefits'!$I$6</f>
        <v>0.22339999999999999</v>
      </c>
      <c r="AA1668" s="22">
        <f t="shared" si="322"/>
        <v>0</v>
      </c>
      <c r="AB1668" s="22">
        <f t="shared" si="323"/>
        <v>0</v>
      </c>
      <c r="AC1668" s="22">
        <f t="shared" si="324"/>
        <v>0</v>
      </c>
      <c r="AD1668" s="22">
        <f t="shared" si="314"/>
        <v>0</v>
      </c>
      <c r="AE1668" s="22">
        <f t="shared" si="315"/>
        <v>0</v>
      </c>
      <c r="AF1668" s="19" t="str">
        <f>VLOOKUP(C1668,'2021-22 School Level AAFTE'!C:N,12,FALSE)</f>
        <v>No</v>
      </c>
    </row>
    <row r="1669" spans="1:284" s="5" customFormat="1">
      <c r="A1669" s="97" t="s">
        <v>2348</v>
      </c>
      <c r="B1669" s="97" t="s">
        <v>547</v>
      </c>
      <c r="C1669" s="95">
        <v>1856</v>
      </c>
      <c r="D1669" s="95" t="s">
        <v>555</v>
      </c>
      <c r="E1669" s="129">
        <f>VLOOKUP($C1669,'2021-22 School Level AAFTE'!$C:$Z,11,FALSE)</f>
        <v>0.15603333333333333</v>
      </c>
      <c r="F1669" s="129" t="str">
        <f>VLOOKUP($C1669,'2021-22 School Level AAFTE'!$C:$Z,8,FALSE)</f>
        <v>No</v>
      </c>
      <c r="G1669" s="129" t="str">
        <f>VLOOKUP($C1669,'2021-22 School Level AAFTE'!$C:$Z,12,FALSE)</f>
        <v>No</v>
      </c>
      <c r="H1669" s="127">
        <f>VLOOKUP($C1669,'2021-22 School Level AAFTE'!$C:$I,7,FALSE)</f>
        <v>246.24</v>
      </c>
      <c r="I1669" s="112">
        <f>IFERROR(IF(OR(G1669="yes",F1669= "yes"),VLOOKUP(C1669,Summary!$B:$J,6,0),0),0)</f>
        <v>0</v>
      </c>
      <c r="J1669" s="111">
        <f t="shared" si="318"/>
        <v>0</v>
      </c>
      <c r="K1669" s="91">
        <f>VLOOKUP($A1669,'2022-23 Salary &amp; Benefits'!$A:$I,3,FALSE)</f>
        <v>1.18</v>
      </c>
      <c r="L1669" s="91">
        <f>VLOOKUP($A1669,'2022-23 Salary &amp; Benefits'!$A:$I,4,FALSE)</f>
        <v>1.18</v>
      </c>
      <c r="M1669" s="39">
        <f t="shared" si="313"/>
        <v>0</v>
      </c>
      <c r="N1669" s="24">
        <v>15</v>
      </c>
      <c r="O1669" s="26">
        <f t="shared" si="316"/>
        <v>0</v>
      </c>
      <c r="P1669" s="24">
        <v>1.1000000000000001</v>
      </c>
      <c r="Q1669" s="24">
        <v>36</v>
      </c>
      <c r="R1669" s="27">
        <f t="shared" si="317"/>
        <v>0</v>
      </c>
      <c r="S1669" s="102">
        <f t="shared" si="319"/>
        <v>0</v>
      </c>
      <c r="T1669" s="21">
        <f>VLOOKUP($A1669,'2022-23 Salary &amp; Benefits'!$A:$I,5,FALSE)</f>
        <v>68937</v>
      </c>
      <c r="U1669" s="21">
        <f>VLOOKUP($A1669,'2022-23 Salary &amp; Benefits'!$A:$I,6,FALSE)</f>
        <v>72728</v>
      </c>
      <c r="V1669" s="22">
        <f t="shared" si="320"/>
        <v>0</v>
      </c>
      <c r="W1669" s="22">
        <f t="shared" si="321"/>
        <v>0</v>
      </c>
      <c r="X1669" s="22">
        <f>'2022-23 Salary &amp; Benefits'!$G$6</f>
        <v>12558.24</v>
      </c>
      <c r="Y1669" s="23">
        <f>'2022-23 Salary &amp; Benefits'!$H$6</f>
        <v>0.2298</v>
      </c>
      <c r="Z1669" s="23">
        <f>'2022-23 Salary &amp; Benefits'!$I$6</f>
        <v>0.22339999999999999</v>
      </c>
      <c r="AA1669" s="22">
        <f t="shared" si="322"/>
        <v>0</v>
      </c>
      <c r="AB1669" s="22">
        <f t="shared" si="323"/>
        <v>0</v>
      </c>
      <c r="AC1669" s="22">
        <f t="shared" si="324"/>
        <v>0</v>
      </c>
      <c r="AD1669" s="22">
        <f t="shared" si="314"/>
        <v>0</v>
      </c>
      <c r="AE1669" s="22">
        <f t="shared" si="315"/>
        <v>0</v>
      </c>
      <c r="AF1669" s="19" t="str">
        <f>VLOOKUP(C1669,'2021-22 School Level AAFTE'!C:N,12,FALSE)</f>
        <v>No</v>
      </c>
    </row>
    <row r="1670" spans="1:284" s="5" customFormat="1">
      <c r="A1670" s="97" t="s">
        <v>2348</v>
      </c>
      <c r="B1670" s="97" t="s">
        <v>547</v>
      </c>
      <c r="C1670" s="95">
        <v>2061</v>
      </c>
      <c r="D1670" s="95" t="s">
        <v>556</v>
      </c>
      <c r="E1670" s="129">
        <f>VLOOKUP($C1670,'2021-22 School Level AAFTE'!$C:$Z,11,FALSE)</f>
        <v>9.976666666666667E-2</v>
      </c>
      <c r="F1670" s="129" t="str">
        <f>VLOOKUP($C1670,'2021-22 School Level AAFTE'!$C:$Z,8,FALSE)</f>
        <v>No</v>
      </c>
      <c r="G1670" s="129" t="str">
        <f>VLOOKUP($C1670,'2021-22 School Level AAFTE'!$C:$Z,12,FALSE)</f>
        <v>No</v>
      </c>
      <c r="H1670" s="127">
        <f>VLOOKUP($C1670,'2021-22 School Level AAFTE'!$C:$I,7,FALSE)</f>
        <v>305.29000000000002</v>
      </c>
      <c r="I1670" s="112">
        <f>IFERROR(IF(OR(G1670="yes",F1670= "yes"),VLOOKUP(C1670,Summary!$B:$J,6,0),0),0)</f>
        <v>0</v>
      </c>
      <c r="J1670" s="111">
        <f t="shared" si="318"/>
        <v>0</v>
      </c>
      <c r="K1670" s="91">
        <f>VLOOKUP($A1670,'2022-23 Salary &amp; Benefits'!$A:$I,3,FALSE)</f>
        <v>1.18</v>
      </c>
      <c r="L1670" s="91">
        <f>VLOOKUP($A1670,'2022-23 Salary &amp; Benefits'!$A:$I,4,FALSE)</f>
        <v>1.18</v>
      </c>
      <c r="M1670" s="39">
        <f t="shared" si="313"/>
        <v>0</v>
      </c>
      <c r="N1670" s="24">
        <v>15</v>
      </c>
      <c r="O1670" s="26">
        <f t="shared" si="316"/>
        <v>0</v>
      </c>
      <c r="P1670" s="24">
        <v>1.1000000000000001</v>
      </c>
      <c r="Q1670" s="24">
        <v>36</v>
      </c>
      <c r="R1670" s="27">
        <f t="shared" si="317"/>
        <v>0</v>
      </c>
      <c r="S1670" s="102">
        <f t="shared" si="319"/>
        <v>0</v>
      </c>
      <c r="T1670" s="21">
        <f>VLOOKUP($A1670,'2022-23 Salary &amp; Benefits'!$A:$I,5,FALSE)</f>
        <v>68937</v>
      </c>
      <c r="U1670" s="21">
        <f>VLOOKUP($A1670,'2022-23 Salary &amp; Benefits'!$A:$I,6,FALSE)</f>
        <v>72728</v>
      </c>
      <c r="V1670" s="22">
        <f t="shared" si="320"/>
        <v>0</v>
      </c>
      <c r="W1670" s="22">
        <f t="shared" si="321"/>
        <v>0</v>
      </c>
      <c r="X1670" s="22">
        <f>'2022-23 Salary &amp; Benefits'!$G$6</f>
        <v>12558.24</v>
      </c>
      <c r="Y1670" s="23">
        <f>'2022-23 Salary &amp; Benefits'!$H$6</f>
        <v>0.2298</v>
      </c>
      <c r="Z1670" s="23">
        <f>'2022-23 Salary &amp; Benefits'!$I$6</f>
        <v>0.22339999999999999</v>
      </c>
      <c r="AA1670" s="22">
        <f t="shared" si="322"/>
        <v>0</v>
      </c>
      <c r="AB1670" s="22">
        <f t="shared" si="323"/>
        <v>0</v>
      </c>
      <c r="AC1670" s="22">
        <f t="shared" si="324"/>
        <v>0</v>
      </c>
      <c r="AD1670" s="22">
        <f t="shared" si="314"/>
        <v>0</v>
      </c>
      <c r="AE1670" s="22">
        <f t="shared" si="315"/>
        <v>0</v>
      </c>
      <c r="AF1670" s="19" t="str">
        <f>VLOOKUP(C1670,'2021-22 School Level AAFTE'!C:N,12,FALSE)</f>
        <v>No</v>
      </c>
    </row>
    <row r="1671" spans="1:284" s="5" customFormat="1">
      <c r="A1671" s="97" t="s">
        <v>2348</v>
      </c>
      <c r="B1671" s="97" t="s">
        <v>547</v>
      </c>
      <c r="C1671" s="95">
        <v>2063</v>
      </c>
      <c r="D1671" s="95" t="s">
        <v>557</v>
      </c>
      <c r="E1671" s="129">
        <f>VLOOKUP($C1671,'2021-22 School Level AAFTE'!$C:$Z,11,FALSE)</f>
        <v>0.11596666666666666</v>
      </c>
      <c r="F1671" s="129" t="str">
        <f>VLOOKUP($C1671,'2021-22 School Level AAFTE'!$C:$Z,8,FALSE)</f>
        <v>No</v>
      </c>
      <c r="G1671" s="129" t="str">
        <f>VLOOKUP($C1671,'2021-22 School Level AAFTE'!$C:$Z,12,FALSE)</f>
        <v>No</v>
      </c>
      <c r="H1671" s="127">
        <f>VLOOKUP($C1671,'2021-22 School Level AAFTE'!$C:$I,7,FALSE)</f>
        <v>301.13</v>
      </c>
      <c r="I1671" s="112">
        <f>IFERROR(IF(OR(G1671="yes",F1671= "yes"),VLOOKUP(C1671,Summary!$B:$J,6,0),0),0)</f>
        <v>0</v>
      </c>
      <c r="J1671" s="111">
        <f t="shared" si="318"/>
        <v>0</v>
      </c>
      <c r="K1671" s="91">
        <f>VLOOKUP($A1671,'2022-23 Salary &amp; Benefits'!$A:$I,3,FALSE)</f>
        <v>1.18</v>
      </c>
      <c r="L1671" s="91">
        <f>VLOOKUP($A1671,'2022-23 Salary &amp; Benefits'!$A:$I,4,FALSE)</f>
        <v>1.18</v>
      </c>
      <c r="M1671" s="39">
        <f t="shared" si="313"/>
        <v>0</v>
      </c>
      <c r="N1671" s="24">
        <v>15</v>
      </c>
      <c r="O1671" s="26">
        <f t="shared" si="316"/>
        <v>0</v>
      </c>
      <c r="P1671" s="24">
        <v>1.1000000000000001</v>
      </c>
      <c r="Q1671" s="24">
        <v>36</v>
      </c>
      <c r="R1671" s="27">
        <f t="shared" si="317"/>
        <v>0</v>
      </c>
      <c r="S1671" s="102">
        <f t="shared" si="319"/>
        <v>0</v>
      </c>
      <c r="T1671" s="21">
        <f>VLOOKUP($A1671,'2022-23 Salary &amp; Benefits'!$A:$I,5,FALSE)</f>
        <v>68937</v>
      </c>
      <c r="U1671" s="21">
        <f>VLOOKUP($A1671,'2022-23 Salary &amp; Benefits'!$A:$I,6,FALSE)</f>
        <v>72728</v>
      </c>
      <c r="V1671" s="22">
        <f t="shared" si="320"/>
        <v>0</v>
      </c>
      <c r="W1671" s="22">
        <f t="shared" si="321"/>
        <v>0</v>
      </c>
      <c r="X1671" s="22">
        <f>'2022-23 Salary &amp; Benefits'!$G$6</f>
        <v>12558.24</v>
      </c>
      <c r="Y1671" s="23">
        <f>'2022-23 Salary &amp; Benefits'!$H$6</f>
        <v>0.2298</v>
      </c>
      <c r="Z1671" s="23">
        <f>'2022-23 Salary &amp; Benefits'!$I$6</f>
        <v>0.22339999999999999</v>
      </c>
      <c r="AA1671" s="22">
        <f t="shared" si="322"/>
        <v>0</v>
      </c>
      <c r="AB1671" s="22">
        <f t="shared" si="323"/>
        <v>0</v>
      </c>
      <c r="AC1671" s="22">
        <f t="shared" si="324"/>
        <v>0</v>
      </c>
      <c r="AD1671" s="22">
        <f t="shared" si="314"/>
        <v>0</v>
      </c>
      <c r="AE1671" s="22">
        <f t="shared" si="315"/>
        <v>0</v>
      </c>
      <c r="AF1671" s="19" t="str">
        <f>VLOOKUP(C1671,'2021-22 School Level AAFTE'!C:N,12,FALSE)</f>
        <v>No</v>
      </c>
    </row>
    <row r="1672" spans="1:284" s="5" customFormat="1">
      <c r="A1672" s="97" t="s">
        <v>2348</v>
      </c>
      <c r="B1672" s="97" t="s">
        <v>547</v>
      </c>
      <c r="C1672" s="95">
        <v>2069</v>
      </c>
      <c r="D1672" s="95" t="s">
        <v>558</v>
      </c>
      <c r="E1672" s="129">
        <f>VLOOKUP($C1672,'2021-22 School Level AAFTE'!$C:$Z,11,FALSE)</f>
        <v>0.40756666666666663</v>
      </c>
      <c r="F1672" s="129" t="str">
        <f>VLOOKUP($C1672,'2021-22 School Level AAFTE'!$C:$Z,8,FALSE)</f>
        <v>No</v>
      </c>
      <c r="G1672" s="129" t="str">
        <f>VLOOKUP($C1672,'2021-22 School Level AAFTE'!$C:$Z,12,FALSE)</f>
        <v>No</v>
      </c>
      <c r="H1672" s="127">
        <f>VLOOKUP($C1672,'2021-22 School Level AAFTE'!$C:$I,7,FALSE)</f>
        <v>229.57</v>
      </c>
      <c r="I1672" s="112">
        <f>IFERROR(IF(OR(G1672="yes",F1672= "yes"),VLOOKUP(C1672,Summary!$B:$J,6,0),0),0)</f>
        <v>0</v>
      </c>
      <c r="J1672" s="111">
        <f t="shared" si="318"/>
        <v>0</v>
      </c>
      <c r="K1672" s="91">
        <f>VLOOKUP($A1672,'2022-23 Salary &amp; Benefits'!$A:$I,3,FALSE)</f>
        <v>1.18</v>
      </c>
      <c r="L1672" s="91">
        <f>VLOOKUP($A1672,'2022-23 Salary &amp; Benefits'!$A:$I,4,FALSE)</f>
        <v>1.18</v>
      </c>
      <c r="M1672" s="101">
        <f t="shared" ref="M1672:M1733" si="325">IF(I1672&gt;0,I1672,J1672)</f>
        <v>0</v>
      </c>
      <c r="N1672" s="24">
        <v>15</v>
      </c>
      <c r="O1672" s="26">
        <f t="shared" si="316"/>
        <v>0</v>
      </c>
      <c r="P1672" s="24">
        <v>1.1000000000000001</v>
      </c>
      <c r="Q1672" s="24">
        <v>36</v>
      </c>
      <c r="R1672" s="27">
        <f t="shared" si="317"/>
        <v>0</v>
      </c>
      <c r="S1672" s="102">
        <f t="shared" si="319"/>
        <v>0</v>
      </c>
      <c r="T1672" s="21">
        <f>VLOOKUP($A1672,'2022-23 Salary &amp; Benefits'!$A:$I,5,FALSE)</f>
        <v>68937</v>
      </c>
      <c r="U1672" s="21">
        <f>VLOOKUP($A1672,'2022-23 Salary &amp; Benefits'!$A:$I,6,FALSE)</f>
        <v>72728</v>
      </c>
      <c r="V1672" s="22">
        <f t="shared" si="320"/>
        <v>0</v>
      </c>
      <c r="W1672" s="22">
        <f t="shared" si="321"/>
        <v>0</v>
      </c>
      <c r="X1672" s="22">
        <f>'2022-23 Salary &amp; Benefits'!$G$6</f>
        <v>12558.24</v>
      </c>
      <c r="Y1672" s="23">
        <f>'2022-23 Salary &amp; Benefits'!$H$6</f>
        <v>0.2298</v>
      </c>
      <c r="Z1672" s="23">
        <f>'2022-23 Salary &amp; Benefits'!$I$6</f>
        <v>0.22339999999999999</v>
      </c>
      <c r="AA1672" s="22">
        <f t="shared" si="322"/>
        <v>0</v>
      </c>
      <c r="AB1672" s="22">
        <f t="shared" si="323"/>
        <v>0</v>
      </c>
      <c r="AC1672" s="22">
        <f t="shared" si="324"/>
        <v>0</v>
      </c>
      <c r="AD1672" s="22">
        <f t="shared" ref="AD1672:AD1733" si="326">SUM(AB1672:AC1672)</f>
        <v>0</v>
      </c>
      <c r="AE1672" s="22">
        <f t="shared" ref="AE1672:AE1733" si="327">SUM(AA1672,V1672:W1672,AD1672)</f>
        <v>0</v>
      </c>
      <c r="AF1672" s="19" t="str">
        <f>VLOOKUP(C1672,'2021-22 School Level AAFTE'!C:N,12,FALSE)</f>
        <v>No</v>
      </c>
    </row>
    <row r="1673" spans="1:284" s="5" customFormat="1">
      <c r="A1673" s="97" t="s">
        <v>2348</v>
      </c>
      <c r="B1673" s="97" t="s">
        <v>547</v>
      </c>
      <c r="C1673" s="95">
        <v>2070</v>
      </c>
      <c r="D1673" s="95" t="s">
        <v>559</v>
      </c>
      <c r="E1673" s="129">
        <f>VLOOKUP($C1673,'2021-22 School Level AAFTE'!$C:$Z,11,FALSE)</f>
        <v>0.48776666666666668</v>
      </c>
      <c r="F1673" s="129" t="str">
        <f>VLOOKUP($C1673,'2021-22 School Level AAFTE'!$C:$Z,8,FALSE)</f>
        <v>No</v>
      </c>
      <c r="G1673" s="129" t="str">
        <f>VLOOKUP($C1673,'2021-22 School Level AAFTE'!$C:$Z,12,FALSE)</f>
        <v>Yes</v>
      </c>
      <c r="H1673" s="127">
        <f>VLOOKUP($C1673,'2021-22 School Level AAFTE'!$C:$I,7,FALSE)</f>
        <v>332.57</v>
      </c>
      <c r="I1673" s="112">
        <f>IFERROR(IF(OR(G1673="yes",F1673= "yes"),VLOOKUP(C1673,Summary!$B:$J,6,0),0),0)</f>
        <v>0</v>
      </c>
      <c r="J1673" s="111">
        <f t="shared" si="318"/>
        <v>332.57</v>
      </c>
      <c r="K1673" s="91">
        <f>VLOOKUP($A1673,'2022-23 Salary &amp; Benefits'!$A:$I,3,FALSE)</f>
        <v>1.18</v>
      </c>
      <c r="L1673" s="91">
        <f>VLOOKUP($A1673,'2022-23 Salary &amp; Benefits'!$A:$I,4,FALSE)</f>
        <v>1.18</v>
      </c>
      <c r="M1673" s="101">
        <f t="shared" si="325"/>
        <v>332.57</v>
      </c>
      <c r="N1673" s="24">
        <v>15</v>
      </c>
      <c r="O1673" s="26">
        <f t="shared" si="316"/>
        <v>22.171333333333333</v>
      </c>
      <c r="P1673" s="24">
        <v>1.1000000000000001</v>
      </c>
      <c r="Q1673" s="24">
        <v>36</v>
      </c>
      <c r="R1673" s="27">
        <f t="shared" si="317"/>
        <v>877.98480000000006</v>
      </c>
      <c r="S1673" s="102">
        <f t="shared" si="319"/>
        <v>0.97599999999999998</v>
      </c>
      <c r="T1673" s="21">
        <f>VLOOKUP($A1673,'2022-23 Salary &amp; Benefits'!$A:$I,5,FALSE)</f>
        <v>68937</v>
      </c>
      <c r="U1673" s="21">
        <f>VLOOKUP($A1673,'2022-23 Salary &amp; Benefits'!$A:$I,6,FALSE)</f>
        <v>72728</v>
      </c>
      <c r="V1673" s="22">
        <f t="shared" si="320"/>
        <v>79393.36</v>
      </c>
      <c r="W1673" s="22">
        <f t="shared" si="321"/>
        <v>4366.0200000000041</v>
      </c>
      <c r="X1673" s="22">
        <f>'2022-23 Salary &amp; Benefits'!$G$6</f>
        <v>12558.24</v>
      </c>
      <c r="Y1673" s="23">
        <f>'2022-23 Salary &amp; Benefits'!$H$6</f>
        <v>0.2298</v>
      </c>
      <c r="Z1673" s="23">
        <f>'2022-23 Salary &amp; Benefits'!$I$6</f>
        <v>0.22339999999999999</v>
      </c>
      <c r="AA1673" s="22">
        <f t="shared" si="322"/>
        <v>31476.81</v>
      </c>
      <c r="AB1673" s="22">
        <f t="shared" si="323"/>
        <v>1395.99</v>
      </c>
      <c r="AC1673" s="22">
        <f t="shared" si="324"/>
        <v>311.86</v>
      </c>
      <c r="AD1673" s="22">
        <f t="shared" si="326"/>
        <v>1707.85</v>
      </c>
      <c r="AE1673" s="22">
        <f t="shared" si="327"/>
        <v>116944.04000000001</v>
      </c>
      <c r="AF1673" s="19" t="str">
        <f>VLOOKUP(C1673,'2021-22 School Level AAFTE'!C:N,12,FALSE)</f>
        <v>Yes</v>
      </c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  <c r="IG1673" s="3"/>
      <c r="IH1673" s="3"/>
      <c r="II1673" s="3"/>
      <c r="IJ1673" s="3"/>
      <c r="IK1673" s="3"/>
      <c r="IL1673" s="3"/>
      <c r="IM1673" s="3"/>
      <c r="IN1673" s="3"/>
      <c r="IO1673" s="3"/>
      <c r="IP1673" s="3"/>
      <c r="IQ1673" s="3"/>
      <c r="IR1673" s="3"/>
      <c r="IS1673" s="3"/>
      <c r="IT1673" s="3"/>
      <c r="IU1673" s="3"/>
      <c r="IV1673" s="3"/>
      <c r="IW1673" s="3"/>
      <c r="IX1673" s="3"/>
      <c r="IY1673" s="3"/>
      <c r="IZ1673" s="3"/>
      <c r="JA1673" s="3"/>
      <c r="JB1673" s="3"/>
      <c r="JC1673" s="3"/>
      <c r="JD1673" s="3"/>
      <c r="JE1673" s="3"/>
      <c r="JF1673" s="3"/>
      <c r="JG1673" s="3"/>
      <c r="JH1673" s="3"/>
      <c r="JI1673" s="3"/>
      <c r="JJ1673" s="3"/>
      <c r="JK1673" s="3"/>
      <c r="JL1673" s="3"/>
      <c r="JM1673" s="3"/>
      <c r="JN1673" s="3"/>
      <c r="JO1673" s="3"/>
      <c r="JP1673" s="3"/>
      <c r="JQ1673" s="3"/>
      <c r="JR1673" s="3"/>
      <c r="JS1673" s="3"/>
      <c r="JT1673" s="3"/>
      <c r="JU1673" s="3"/>
      <c r="JV1673" s="3"/>
      <c r="JW1673" s="3"/>
      <c r="JX1673" s="3"/>
    </row>
    <row r="1674" spans="1:284" s="5" customFormat="1">
      <c r="A1674" s="97" t="s">
        <v>2348</v>
      </c>
      <c r="B1674" s="97" t="s">
        <v>547</v>
      </c>
      <c r="C1674" s="95">
        <v>2080</v>
      </c>
      <c r="D1674" s="95" t="s">
        <v>469</v>
      </c>
      <c r="E1674" s="129">
        <f>VLOOKUP($C1674,'2021-22 School Level AAFTE'!$C:$Z,11,FALSE)</f>
        <v>0.29076666666666667</v>
      </c>
      <c r="F1674" s="129" t="str">
        <f>VLOOKUP($C1674,'2021-22 School Level AAFTE'!$C:$Z,8,FALSE)</f>
        <v>No</v>
      </c>
      <c r="G1674" s="129" t="str">
        <f>VLOOKUP($C1674,'2021-22 School Level AAFTE'!$C:$Z,12,FALSE)</f>
        <v>No</v>
      </c>
      <c r="H1674" s="127">
        <f>VLOOKUP($C1674,'2021-22 School Level AAFTE'!$C:$I,7,FALSE)</f>
        <v>183.43</v>
      </c>
      <c r="I1674" s="112">
        <f>IFERROR(IF(OR(G1674="yes",F1674= "yes"),VLOOKUP(C1674,Summary!$B:$J,6,0),0),0)</f>
        <v>0</v>
      </c>
      <c r="J1674" s="111">
        <f t="shared" si="318"/>
        <v>0</v>
      </c>
      <c r="K1674" s="91">
        <f>VLOOKUP($A1674,'2022-23 Salary &amp; Benefits'!$A:$I,3,FALSE)</f>
        <v>1.18</v>
      </c>
      <c r="L1674" s="91">
        <f>VLOOKUP($A1674,'2022-23 Salary &amp; Benefits'!$A:$I,4,FALSE)</f>
        <v>1.18</v>
      </c>
      <c r="M1674" s="39">
        <f t="shared" si="325"/>
        <v>0</v>
      </c>
      <c r="N1674" s="24">
        <v>15</v>
      </c>
      <c r="O1674" s="26">
        <f t="shared" ref="O1674:O1737" si="328">IF(M1674="no",0,M1674/N1674)</f>
        <v>0</v>
      </c>
      <c r="P1674" s="24">
        <v>1.1000000000000001</v>
      </c>
      <c r="Q1674" s="24">
        <v>36</v>
      </c>
      <c r="R1674" s="27">
        <f t="shared" ref="R1674:R1737" si="329">IF(M1674="no",0,O1674*P1674*Q1674)</f>
        <v>0</v>
      </c>
      <c r="S1674" s="102">
        <f t="shared" si="319"/>
        <v>0</v>
      </c>
      <c r="T1674" s="21">
        <f>VLOOKUP($A1674,'2022-23 Salary &amp; Benefits'!$A:$I,5,FALSE)</f>
        <v>68937</v>
      </c>
      <c r="U1674" s="21">
        <f>VLOOKUP($A1674,'2022-23 Salary &amp; Benefits'!$A:$I,6,FALSE)</f>
        <v>72728</v>
      </c>
      <c r="V1674" s="22">
        <f t="shared" si="320"/>
        <v>0</v>
      </c>
      <c r="W1674" s="22">
        <f t="shared" si="321"/>
        <v>0</v>
      </c>
      <c r="X1674" s="22">
        <f>'2022-23 Salary &amp; Benefits'!$G$6</f>
        <v>12558.24</v>
      </c>
      <c r="Y1674" s="23">
        <f>'2022-23 Salary &amp; Benefits'!$H$6</f>
        <v>0.2298</v>
      </c>
      <c r="Z1674" s="23">
        <f>'2022-23 Salary &amp; Benefits'!$I$6</f>
        <v>0.22339999999999999</v>
      </c>
      <c r="AA1674" s="22">
        <f t="shared" si="322"/>
        <v>0</v>
      </c>
      <c r="AB1674" s="22">
        <f t="shared" si="323"/>
        <v>0</v>
      </c>
      <c r="AC1674" s="22">
        <f t="shared" si="324"/>
        <v>0</v>
      </c>
      <c r="AD1674" s="22">
        <f t="shared" si="326"/>
        <v>0</v>
      </c>
      <c r="AE1674" s="22">
        <f t="shared" si="327"/>
        <v>0</v>
      </c>
      <c r="AF1674" s="19" t="str">
        <f>VLOOKUP(C1674,'2021-22 School Level AAFTE'!C:N,12,FALSE)</f>
        <v>No</v>
      </c>
    </row>
    <row r="1675" spans="1:284" s="5" customFormat="1">
      <c r="A1675" s="97" t="s">
        <v>2348</v>
      </c>
      <c r="B1675" s="97" t="s">
        <v>547</v>
      </c>
      <c r="C1675" s="95">
        <v>2081</v>
      </c>
      <c r="D1675" s="95" t="s">
        <v>560</v>
      </c>
      <c r="E1675" s="129">
        <f>VLOOKUP($C1675,'2021-22 School Level AAFTE'!$C:$Z,11,FALSE)</f>
        <v>6.5666666666666665E-2</v>
      </c>
      <c r="F1675" s="129" t="str">
        <f>VLOOKUP($C1675,'2021-22 School Level AAFTE'!$C:$Z,8,FALSE)</f>
        <v>No</v>
      </c>
      <c r="G1675" s="129" t="str">
        <f>VLOOKUP($C1675,'2021-22 School Level AAFTE'!$C:$Z,12,FALSE)</f>
        <v>No</v>
      </c>
      <c r="H1675" s="127">
        <f>VLOOKUP($C1675,'2021-22 School Level AAFTE'!$C:$I,7,FALSE)</f>
        <v>441.29</v>
      </c>
      <c r="I1675" s="112">
        <f>IFERROR(IF(OR(G1675="yes",F1675= "yes"),VLOOKUP(C1675,Summary!$B:$J,6,0),0),0)</f>
        <v>0</v>
      </c>
      <c r="J1675" s="111">
        <f t="shared" ref="J1675:J1738" si="330">IF(OR(G1675="yes",F1675= "yes"), H1675,0)</f>
        <v>0</v>
      </c>
      <c r="K1675" s="91">
        <f>VLOOKUP($A1675,'2022-23 Salary &amp; Benefits'!$A:$I,3,FALSE)</f>
        <v>1.18</v>
      </c>
      <c r="L1675" s="91">
        <f>VLOOKUP($A1675,'2022-23 Salary &amp; Benefits'!$A:$I,4,FALSE)</f>
        <v>1.18</v>
      </c>
      <c r="M1675" s="101">
        <f t="shared" si="325"/>
        <v>0</v>
      </c>
      <c r="N1675" s="24">
        <v>15</v>
      </c>
      <c r="O1675" s="26">
        <f t="shared" si="328"/>
        <v>0</v>
      </c>
      <c r="P1675" s="24">
        <v>1.1000000000000001</v>
      </c>
      <c r="Q1675" s="24">
        <v>36</v>
      </c>
      <c r="R1675" s="27">
        <f t="shared" si="329"/>
        <v>0</v>
      </c>
      <c r="S1675" s="102">
        <f t="shared" ref="S1675:S1738" si="331">ROUND(IF(M1675="no",0,R1675/900),3)</f>
        <v>0</v>
      </c>
      <c r="T1675" s="21">
        <f>VLOOKUP($A1675,'2022-23 Salary &amp; Benefits'!$A:$I,5,FALSE)</f>
        <v>68937</v>
      </c>
      <c r="U1675" s="21">
        <f>VLOOKUP($A1675,'2022-23 Salary &amp; Benefits'!$A:$I,6,FALSE)</f>
        <v>72728</v>
      </c>
      <c r="V1675" s="22">
        <f t="shared" ref="V1675:V1738" si="332">ROUND($K1675*$T1675*$S1675,2)</f>
        <v>0</v>
      </c>
      <c r="W1675" s="22">
        <f t="shared" ref="W1675:W1738" si="333">ROUND($L1675*$U1675*$S1675,2)-V1675</f>
        <v>0</v>
      </c>
      <c r="X1675" s="22">
        <f>'2022-23 Salary &amp; Benefits'!$G$6</f>
        <v>12558.24</v>
      </c>
      <c r="Y1675" s="23">
        <f>'2022-23 Salary &amp; Benefits'!$H$6</f>
        <v>0.2298</v>
      </c>
      <c r="Z1675" s="23">
        <f>'2022-23 Salary &amp; Benefits'!$I$6</f>
        <v>0.22339999999999999</v>
      </c>
      <c r="AA1675" s="22">
        <f t="shared" ref="AA1675:AA1738" si="334">ROUND(V1675*Y1675+W1675*Z1675+S1675*X1675,2)</f>
        <v>0</v>
      </c>
      <c r="AB1675" s="22">
        <f t="shared" ref="AB1675:AB1738" si="335">ROUND(($U1675*$L1675*$S1675/180*3),2)</f>
        <v>0</v>
      </c>
      <c r="AC1675" s="22">
        <f t="shared" ref="AC1675:AC1738" si="336">ROUND(AB1675*Z1675,2)</f>
        <v>0</v>
      </c>
      <c r="AD1675" s="22">
        <f t="shared" si="326"/>
        <v>0</v>
      </c>
      <c r="AE1675" s="22">
        <f t="shared" si="327"/>
        <v>0</v>
      </c>
      <c r="AF1675" s="19" t="str">
        <f>VLOOKUP(C1675,'2021-22 School Level AAFTE'!C:N,12,FALSE)</f>
        <v>No</v>
      </c>
    </row>
    <row r="1676" spans="1:284" s="5" customFormat="1">
      <c r="A1676" s="97" t="s">
        <v>2348</v>
      </c>
      <c r="B1676" s="97" t="s">
        <v>547</v>
      </c>
      <c r="C1676" s="95">
        <v>2089</v>
      </c>
      <c r="D1676" s="95" t="s">
        <v>561</v>
      </c>
      <c r="E1676" s="129">
        <f>VLOOKUP($C1676,'2021-22 School Level AAFTE'!$C:$Z,11,FALSE)</f>
        <v>0.67663333333333331</v>
      </c>
      <c r="F1676" s="129" t="str">
        <f>VLOOKUP($C1676,'2021-22 School Level AAFTE'!$C:$Z,8,FALSE)</f>
        <v>Yes</v>
      </c>
      <c r="G1676" s="129" t="str">
        <f>VLOOKUP($C1676,'2021-22 School Level AAFTE'!$C:$Z,12,FALSE)</f>
        <v>No</v>
      </c>
      <c r="H1676" s="127">
        <f>VLOOKUP($C1676,'2021-22 School Level AAFTE'!$C:$I,7,FALSE)</f>
        <v>232.29</v>
      </c>
      <c r="I1676" s="112">
        <f>IFERROR(IF(OR(G1676="yes",F1676= "yes"),VLOOKUP(C1676,Summary!$B:$J,6,0),0),0)</f>
        <v>0</v>
      </c>
      <c r="J1676" s="111">
        <f t="shared" si="330"/>
        <v>232.29</v>
      </c>
      <c r="K1676" s="91">
        <f>VLOOKUP($A1676,'2022-23 Salary &amp; Benefits'!$A:$I,3,FALSE)</f>
        <v>1.18</v>
      </c>
      <c r="L1676" s="91">
        <f>VLOOKUP($A1676,'2022-23 Salary &amp; Benefits'!$A:$I,4,FALSE)</f>
        <v>1.18</v>
      </c>
      <c r="M1676" s="39">
        <f t="shared" si="325"/>
        <v>232.29</v>
      </c>
      <c r="N1676" s="24">
        <v>15</v>
      </c>
      <c r="O1676" s="26">
        <f t="shared" si="328"/>
        <v>15.485999999999999</v>
      </c>
      <c r="P1676" s="24">
        <v>1.1000000000000001</v>
      </c>
      <c r="Q1676" s="24">
        <v>36</v>
      </c>
      <c r="R1676" s="27">
        <f t="shared" si="329"/>
        <v>613.24560000000008</v>
      </c>
      <c r="S1676" s="102">
        <f t="shared" si="331"/>
        <v>0.68100000000000005</v>
      </c>
      <c r="T1676" s="21">
        <f>VLOOKUP($A1676,'2022-23 Salary &amp; Benefits'!$A:$I,5,FALSE)</f>
        <v>68937</v>
      </c>
      <c r="U1676" s="21">
        <f>VLOOKUP($A1676,'2022-23 Salary &amp; Benefits'!$A:$I,6,FALSE)</f>
        <v>72728</v>
      </c>
      <c r="V1676" s="22">
        <f t="shared" si="332"/>
        <v>55396.39</v>
      </c>
      <c r="W1676" s="22">
        <f t="shared" si="333"/>
        <v>3046.3799999999974</v>
      </c>
      <c r="X1676" s="22">
        <f>'2022-23 Salary &amp; Benefits'!$G$6</f>
        <v>12558.24</v>
      </c>
      <c r="Y1676" s="23">
        <f>'2022-23 Salary &amp; Benefits'!$H$6</f>
        <v>0.2298</v>
      </c>
      <c r="Z1676" s="23">
        <f>'2022-23 Salary &amp; Benefits'!$I$6</f>
        <v>0.22339999999999999</v>
      </c>
      <c r="AA1676" s="22">
        <f t="shared" si="334"/>
        <v>21962.81</v>
      </c>
      <c r="AB1676" s="22">
        <f t="shared" si="335"/>
        <v>974.05</v>
      </c>
      <c r="AC1676" s="22">
        <f t="shared" si="336"/>
        <v>217.6</v>
      </c>
      <c r="AD1676" s="22">
        <f t="shared" si="326"/>
        <v>1191.6499999999999</v>
      </c>
      <c r="AE1676" s="22">
        <f t="shared" si="327"/>
        <v>81597.229999999981</v>
      </c>
      <c r="AF1676" s="19" t="str">
        <f>VLOOKUP(C1676,'2021-22 School Level AAFTE'!C:N,12,FALSE)</f>
        <v>No</v>
      </c>
    </row>
    <row r="1677" spans="1:284" s="5" customFormat="1">
      <c r="A1677" s="97" t="s">
        <v>2348</v>
      </c>
      <c r="B1677" s="97" t="s">
        <v>547</v>
      </c>
      <c r="C1677" s="95">
        <v>2090</v>
      </c>
      <c r="D1677" s="95" t="s">
        <v>562</v>
      </c>
      <c r="E1677" s="129">
        <f>VLOOKUP($C1677,'2021-22 School Level AAFTE'!$C:$Z,11,FALSE)</f>
        <v>4.7366666666666668E-2</v>
      </c>
      <c r="F1677" s="129" t="str">
        <f>VLOOKUP($C1677,'2021-22 School Level AAFTE'!$C:$Z,8,FALSE)</f>
        <v>No</v>
      </c>
      <c r="G1677" s="129" t="str">
        <f>VLOOKUP($C1677,'2021-22 School Level AAFTE'!$C:$Z,12,FALSE)</f>
        <v>No</v>
      </c>
      <c r="H1677" s="127">
        <f>VLOOKUP($C1677,'2021-22 School Level AAFTE'!$C:$I,7,FALSE)</f>
        <v>446.43</v>
      </c>
      <c r="I1677" s="112">
        <f>IFERROR(IF(OR(G1677="yes",F1677= "yes"),VLOOKUP(C1677,Summary!$B:$J,6,0),0),0)</f>
        <v>0</v>
      </c>
      <c r="J1677" s="111">
        <f t="shared" si="330"/>
        <v>0</v>
      </c>
      <c r="K1677" s="91">
        <f>VLOOKUP($A1677,'2022-23 Salary &amp; Benefits'!$A:$I,3,FALSE)</f>
        <v>1.18</v>
      </c>
      <c r="L1677" s="91">
        <f>VLOOKUP($A1677,'2022-23 Salary &amp; Benefits'!$A:$I,4,FALSE)</f>
        <v>1.18</v>
      </c>
      <c r="M1677" s="39">
        <f t="shared" si="325"/>
        <v>0</v>
      </c>
      <c r="N1677" s="24">
        <v>15</v>
      </c>
      <c r="O1677" s="26">
        <f t="shared" si="328"/>
        <v>0</v>
      </c>
      <c r="P1677" s="24">
        <v>1.1000000000000001</v>
      </c>
      <c r="Q1677" s="24">
        <v>36</v>
      </c>
      <c r="R1677" s="27">
        <f t="shared" si="329"/>
        <v>0</v>
      </c>
      <c r="S1677" s="102">
        <f t="shared" si="331"/>
        <v>0</v>
      </c>
      <c r="T1677" s="21">
        <f>VLOOKUP($A1677,'2022-23 Salary &amp; Benefits'!$A:$I,5,FALSE)</f>
        <v>68937</v>
      </c>
      <c r="U1677" s="21">
        <f>VLOOKUP($A1677,'2022-23 Salary &amp; Benefits'!$A:$I,6,FALSE)</f>
        <v>72728</v>
      </c>
      <c r="V1677" s="22">
        <f t="shared" si="332"/>
        <v>0</v>
      </c>
      <c r="W1677" s="22">
        <f t="shared" si="333"/>
        <v>0</v>
      </c>
      <c r="X1677" s="22">
        <f>'2022-23 Salary &amp; Benefits'!$G$6</f>
        <v>12558.24</v>
      </c>
      <c r="Y1677" s="23">
        <f>'2022-23 Salary &amp; Benefits'!$H$6</f>
        <v>0.2298</v>
      </c>
      <c r="Z1677" s="23">
        <f>'2022-23 Salary &amp; Benefits'!$I$6</f>
        <v>0.22339999999999999</v>
      </c>
      <c r="AA1677" s="22">
        <f t="shared" si="334"/>
        <v>0</v>
      </c>
      <c r="AB1677" s="22">
        <f t="shared" si="335"/>
        <v>0</v>
      </c>
      <c r="AC1677" s="22">
        <f t="shared" si="336"/>
        <v>0</v>
      </c>
      <c r="AD1677" s="22">
        <f t="shared" si="326"/>
        <v>0</v>
      </c>
      <c r="AE1677" s="22">
        <f t="shared" si="327"/>
        <v>0</v>
      </c>
      <c r="AF1677" s="19" t="str">
        <f>VLOOKUP(C1677,'2021-22 School Level AAFTE'!C:N,12,FALSE)</f>
        <v>No</v>
      </c>
    </row>
    <row r="1678" spans="1:284" s="5" customFormat="1">
      <c r="A1678" s="97" t="s">
        <v>2348</v>
      </c>
      <c r="B1678" s="97" t="s">
        <v>547</v>
      </c>
      <c r="C1678" s="95">
        <v>2092</v>
      </c>
      <c r="D1678" s="95" t="s">
        <v>563</v>
      </c>
      <c r="E1678" s="129">
        <f>VLOOKUP($C1678,'2021-22 School Level AAFTE'!$C:$Z,11,FALSE)</f>
        <v>6.9466666666666677E-2</v>
      </c>
      <c r="F1678" s="129" t="str">
        <f>VLOOKUP($C1678,'2021-22 School Level AAFTE'!$C:$Z,8,FALSE)</f>
        <v>No</v>
      </c>
      <c r="G1678" s="129" t="str">
        <f>VLOOKUP($C1678,'2021-22 School Level AAFTE'!$C:$Z,12,FALSE)</f>
        <v>No</v>
      </c>
      <c r="H1678" s="127">
        <f>VLOOKUP($C1678,'2021-22 School Level AAFTE'!$C:$I,7,FALSE)</f>
        <v>394.43</v>
      </c>
      <c r="I1678" s="112">
        <f>IFERROR(IF(OR(G1678="yes",F1678= "yes"),VLOOKUP(C1678,Summary!$B:$J,6,0),0),0)</f>
        <v>0</v>
      </c>
      <c r="J1678" s="111">
        <f t="shared" si="330"/>
        <v>0</v>
      </c>
      <c r="K1678" s="91">
        <f>VLOOKUP($A1678,'2022-23 Salary &amp; Benefits'!$A:$I,3,FALSE)</f>
        <v>1.18</v>
      </c>
      <c r="L1678" s="91">
        <f>VLOOKUP($A1678,'2022-23 Salary &amp; Benefits'!$A:$I,4,FALSE)</f>
        <v>1.18</v>
      </c>
      <c r="M1678" s="39">
        <f t="shared" si="325"/>
        <v>0</v>
      </c>
      <c r="N1678" s="24">
        <v>15</v>
      </c>
      <c r="O1678" s="26">
        <f t="shared" si="328"/>
        <v>0</v>
      </c>
      <c r="P1678" s="24">
        <v>1.1000000000000001</v>
      </c>
      <c r="Q1678" s="24">
        <v>36</v>
      </c>
      <c r="R1678" s="27">
        <f t="shared" si="329"/>
        <v>0</v>
      </c>
      <c r="S1678" s="102">
        <f t="shared" si="331"/>
        <v>0</v>
      </c>
      <c r="T1678" s="21">
        <f>VLOOKUP($A1678,'2022-23 Salary &amp; Benefits'!$A:$I,5,FALSE)</f>
        <v>68937</v>
      </c>
      <c r="U1678" s="21">
        <f>VLOOKUP($A1678,'2022-23 Salary &amp; Benefits'!$A:$I,6,FALSE)</f>
        <v>72728</v>
      </c>
      <c r="V1678" s="22">
        <f t="shared" si="332"/>
        <v>0</v>
      </c>
      <c r="W1678" s="22">
        <f t="shared" si="333"/>
        <v>0</v>
      </c>
      <c r="X1678" s="22">
        <f>'2022-23 Salary &amp; Benefits'!$G$6</f>
        <v>12558.24</v>
      </c>
      <c r="Y1678" s="23">
        <f>'2022-23 Salary &amp; Benefits'!$H$6</f>
        <v>0.2298</v>
      </c>
      <c r="Z1678" s="23">
        <f>'2022-23 Salary &amp; Benefits'!$I$6</f>
        <v>0.22339999999999999</v>
      </c>
      <c r="AA1678" s="22">
        <f t="shared" si="334"/>
        <v>0</v>
      </c>
      <c r="AB1678" s="22">
        <f t="shared" si="335"/>
        <v>0</v>
      </c>
      <c r="AC1678" s="22">
        <f t="shared" si="336"/>
        <v>0</v>
      </c>
      <c r="AD1678" s="22">
        <f t="shared" si="326"/>
        <v>0</v>
      </c>
      <c r="AE1678" s="22">
        <f t="shared" si="327"/>
        <v>0</v>
      </c>
      <c r="AF1678" s="19" t="str">
        <f>VLOOKUP(C1678,'2021-22 School Level AAFTE'!C:N,12,FALSE)</f>
        <v>No</v>
      </c>
    </row>
    <row r="1679" spans="1:284" s="5" customFormat="1">
      <c r="A1679" s="97" t="s">
        <v>2348</v>
      </c>
      <c r="B1679" s="97" t="s">
        <v>547</v>
      </c>
      <c r="C1679" s="95">
        <v>2118</v>
      </c>
      <c r="D1679" s="95" t="s">
        <v>564</v>
      </c>
      <c r="E1679" s="129">
        <f>VLOOKUP($C1679,'2021-22 School Level AAFTE'!$C:$Z,11,FALSE)</f>
        <v>0.64296666666666669</v>
      </c>
      <c r="F1679" s="129" t="str">
        <f>VLOOKUP($C1679,'2021-22 School Level AAFTE'!$C:$Z,8,FALSE)</f>
        <v>Yes</v>
      </c>
      <c r="G1679" s="129" t="str">
        <f>VLOOKUP($C1679,'2021-22 School Level AAFTE'!$C:$Z,12,FALSE)</f>
        <v>No</v>
      </c>
      <c r="H1679" s="127">
        <f>VLOOKUP($C1679,'2021-22 School Level AAFTE'!$C:$I,7,FALSE)</f>
        <v>294.86</v>
      </c>
      <c r="I1679" s="112">
        <f>IFERROR(IF(OR(G1679="yes",F1679= "yes"),VLOOKUP(C1679,Summary!$B:$J,6,0),0),0)</f>
        <v>0</v>
      </c>
      <c r="J1679" s="111">
        <f t="shared" si="330"/>
        <v>294.86</v>
      </c>
      <c r="K1679" s="91">
        <f>VLOOKUP($A1679,'2022-23 Salary &amp; Benefits'!$A:$I,3,FALSE)</f>
        <v>1.18</v>
      </c>
      <c r="L1679" s="91">
        <f>VLOOKUP($A1679,'2022-23 Salary &amp; Benefits'!$A:$I,4,FALSE)</f>
        <v>1.18</v>
      </c>
      <c r="M1679" s="39">
        <f t="shared" si="325"/>
        <v>294.86</v>
      </c>
      <c r="N1679" s="24">
        <v>15</v>
      </c>
      <c r="O1679" s="26">
        <f t="shared" si="328"/>
        <v>19.657333333333334</v>
      </c>
      <c r="P1679" s="24">
        <v>1.1000000000000001</v>
      </c>
      <c r="Q1679" s="24">
        <v>36</v>
      </c>
      <c r="R1679" s="27">
        <f t="shared" si="329"/>
        <v>778.43040000000008</v>
      </c>
      <c r="S1679" s="102">
        <f t="shared" si="331"/>
        <v>0.86499999999999999</v>
      </c>
      <c r="T1679" s="21">
        <f>VLOOKUP($A1679,'2022-23 Salary &amp; Benefits'!$A:$I,5,FALSE)</f>
        <v>68937</v>
      </c>
      <c r="U1679" s="21">
        <f>VLOOKUP($A1679,'2022-23 Salary &amp; Benefits'!$A:$I,6,FALSE)</f>
        <v>72728</v>
      </c>
      <c r="V1679" s="22">
        <f t="shared" si="332"/>
        <v>70364</v>
      </c>
      <c r="W1679" s="22">
        <f t="shared" si="333"/>
        <v>3869.4700000000012</v>
      </c>
      <c r="X1679" s="22">
        <f>'2022-23 Salary &amp; Benefits'!$G$6</f>
        <v>12558.24</v>
      </c>
      <c r="Y1679" s="23">
        <f>'2022-23 Salary &amp; Benefits'!$H$6</f>
        <v>0.2298</v>
      </c>
      <c r="Z1679" s="23">
        <f>'2022-23 Salary &amp; Benefits'!$I$6</f>
        <v>0.22339999999999999</v>
      </c>
      <c r="AA1679" s="22">
        <f t="shared" si="334"/>
        <v>27896.959999999999</v>
      </c>
      <c r="AB1679" s="22">
        <f t="shared" si="335"/>
        <v>1237.22</v>
      </c>
      <c r="AC1679" s="22">
        <f t="shared" si="336"/>
        <v>276.39</v>
      </c>
      <c r="AD1679" s="22">
        <f t="shared" si="326"/>
        <v>1513.6100000000001</v>
      </c>
      <c r="AE1679" s="22">
        <f t="shared" si="327"/>
        <v>103644.04</v>
      </c>
      <c r="AF1679" s="19" t="str">
        <f>VLOOKUP(C1679,'2021-22 School Level AAFTE'!C:N,12,FALSE)</f>
        <v>No</v>
      </c>
    </row>
    <row r="1680" spans="1:284" s="5" customFormat="1">
      <c r="A1680" s="97" t="s">
        <v>2348</v>
      </c>
      <c r="B1680" s="97" t="s">
        <v>547</v>
      </c>
      <c r="C1680" s="95">
        <v>2120</v>
      </c>
      <c r="D1680" s="95" t="s">
        <v>2920</v>
      </c>
      <c r="E1680" s="129">
        <f>VLOOKUP($C1680,'2021-22 School Level AAFTE'!$C:$Z,11,FALSE)</f>
        <v>0.73226666666666673</v>
      </c>
      <c r="F1680" s="129" t="str">
        <f>VLOOKUP($C1680,'2021-22 School Level AAFTE'!$C:$Z,8,FALSE)</f>
        <v>Yes</v>
      </c>
      <c r="G1680" s="129" t="str">
        <f>VLOOKUP($C1680,'2021-22 School Level AAFTE'!$C:$Z,12,FALSE)</f>
        <v>No</v>
      </c>
      <c r="H1680" s="127">
        <f>VLOOKUP($C1680,'2021-22 School Level AAFTE'!$C:$I,7,FALSE)</f>
        <v>291.70999999999998</v>
      </c>
      <c r="I1680" s="112">
        <f>IFERROR(IF(OR(G1680="yes",F1680= "yes"),VLOOKUP(C1680,Summary!$B:$J,6,0),0),0)</f>
        <v>0</v>
      </c>
      <c r="J1680" s="111">
        <f t="shared" si="330"/>
        <v>291.70999999999998</v>
      </c>
      <c r="K1680" s="91">
        <f>VLOOKUP($A1680,'2022-23 Salary &amp; Benefits'!$A:$I,3,FALSE)</f>
        <v>1.18</v>
      </c>
      <c r="L1680" s="91">
        <f>VLOOKUP($A1680,'2022-23 Salary &amp; Benefits'!$A:$I,4,FALSE)</f>
        <v>1.18</v>
      </c>
      <c r="M1680" s="39">
        <f t="shared" si="325"/>
        <v>291.70999999999998</v>
      </c>
      <c r="N1680" s="24">
        <v>15</v>
      </c>
      <c r="O1680" s="26">
        <f t="shared" si="328"/>
        <v>19.447333333333333</v>
      </c>
      <c r="P1680" s="24">
        <v>1.1000000000000001</v>
      </c>
      <c r="Q1680" s="24">
        <v>36</v>
      </c>
      <c r="R1680" s="27">
        <f t="shared" si="329"/>
        <v>770.11440000000005</v>
      </c>
      <c r="S1680" s="102">
        <f t="shared" si="331"/>
        <v>0.85599999999999998</v>
      </c>
      <c r="T1680" s="21">
        <f>VLOOKUP($A1680,'2022-23 Salary &amp; Benefits'!$A:$I,5,FALSE)</f>
        <v>68937</v>
      </c>
      <c r="U1680" s="21">
        <f>VLOOKUP($A1680,'2022-23 Salary &amp; Benefits'!$A:$I,6,FALSE)</f>
        <v>72728</v>
      </c>
      <c r="V1680" s="22">
        <f t="shared" si="332"/>
        <v>69631.88</v>
      </c>
      <c r="W1680" s="22">
        <f t="shared" si="333"/>
        <v>3829.2200000000012</v>
      </c>
      <c r="X1680" s="22">
        <f>'2022-23 Salary &amp; Benefits'!$G$6</f>
        <v>12558.24</v>
      </c>
      <c r="Y1680" s="23">
        <f>'2022-23 Salary &amp; Benefits'!$H$6</f>
        <v>0.2298</v>
      </c>
      <c r="Z1680" s="23">
        <f>'2022-23 Salary &amp; Benefits'!$I$6</f>
        <v>0.22339999999999999</v>
      </c>
      <c r="AA1680" s="22">
        <f t="shared" si="334"/>
        <v>27606.71</v>
      </c>
      <c r="AB1680" s="22">
        <f t="shared" si="335"/>
        <v>1224.3499999999999</v>
      </c>
      <c r="AC1680" s="22">
        <f t="shared" si="336"/>
        <v>273.52</v>
      </c>
      <c r="AD1680" s="22">
        <f t="shared" si="326"/>
        <v>1497.87</v>
      </c>
      <c r="AE1680" s="22">
        <f t="shared" si="327"/>
        <v>102565.68</v>
      </c>
      <c r="AF1680" s="19" t="str">
        <f>VLOOKUP(C1680,'2021-22 School Level AAFTE'!C:N,12,FALSE)</f>
        <v>No</v>
      </c>
    </row>
    <row r="1681" spans="1:32" s="5" customFormat="1">
      <c r="A1681" s="97" t="s">
        <v>2348</v>
      </c>
      <c r="B1681" s="97" t="s">
        <v>547</v>
      </c>
      <c r="C1681" s="95">
        <v>2121</v>
      </c>
      <c r="D1681" s="95" t="s">
        <v>565</v>
      </c>
      <c r="E1681" s="129">
        <f>VLOOKUP($C1681,'2021-22 School Level AAFTE'!$C:$Z,11,FALSE)</f>
        <v>0.43283333333333335</v>
      </c>
      <c r="F1681" s="129" t="str">
        <f>VLOOKUP($C1681,'2021-22 School Level AAFTE'!$C:$Z,8,FALSE)</f>
        <v>No</v>
      </c>
      <c r="G1681" s="129" t="str">
        <f>VLOOKUP($C1681,'2021-22 School Level AAFTE'!$C:$Z,12,FALSE)</f>
        <v>No</v>
      </c>
      <c r="H1681" s="127">
        <f>VLOOKUP($C1681,'2021-22 School Level AAFTE'!$C:$I,7,FALSE)</f>
        <v>305.29000000000002</v>
      </c>
      <c r="I1681" s="112">
        <f>IFERROR(IF(OR(G1681="yes",F1681= "yes"),VLOOKUP(C1681,Summary!$B:$J,6,0),0),0)</f>
        <v>0</v>
      </c>
      <c r="J1681" s="111">
        <f t="shared" si="330"/>
        <v>0</v>
      </c>
      <c r="K1681" s="91">
        <f>VLOOKUP($A1681,'2022-23 Salary &amp; Benefits'!$A:$I,3,FALSE)</f>
        <v>1.18</v>
      </c>
      <c r="L1681" s="91">
        <f>VLOOKUP($A1681,'2022-23 Salary &amp; Benefits'!$A:$I,4,FALSE)</f>
        <v>1.18</v>
      </c>
      <c r="M1681" s="39">
        <f t="shared" si="325"/>
        <v>0</v>
      </c>
      <c r="N1681" s="24">
        <v>15</v>
      </c>
      <c r="O1681" s="26">
        <f t="shared" si="328"/>
        <v>0</v>
      </c>
      <c r="P1681" s="24">
        <v>1.1000000000000001</v>
      </c>
      <c r="Q1681" s="24">
        <v>36</v>
      </c>
      <c r="R1681" s="27">
        <f t="shared" si="329"/>
        <v>0</v>
      </c>
      <c r="S1681" s="102">
        <f t="shared" si="331"/>
        <v>0</v>
      </c>
      <c r="T1681" s="21">
        <f>VLOOKUP($A1681,'2022-23 Salary &amp; Benefits'!$A:$I,5,FALSE)</f>
        <v>68937</v>
      </c>
      <c r="U1681" s="21">
        <f>VLOOKUP($A1681,'2022-23 Salary &amp; Benefits'!$A:$I,6,FALSE)</f>
        <v>72728</v>
      </c>
      <c r="V1681" s="22">
        <f t="shared" si="332"/>
        <v>0</v>
      </c>
      <c r="W1681" s="22">
        <f t="shared" si="333"/>
        <v>0</v>
      </c>
      <c r="X1681" s="22">
        <f>'2022-23 Salary &amp; Benefits'!$G$6</f>
        <v>12558.24</v>
      </c>
      <c r="Y1681" s="23">
        <f>'2022-23 Salary &amp; Benefits'!$H$6</f>
        <v>0.2298</v>
      </c>
      <c r="Z1681" s="23">
        <f>'2022-23 Salary &amp; Benefits'!$I$6</f>
        <v>0.22339999999999999</v>
      </c>
      <c r="AA1681" s="22">
        <f t="shared" si="334"/>
        <v>0</v>
      </c>
      <c r="AB1681" s="22">
        <f t="shared" si="335"/>
        <v>0</v>
      </c>
      <c r="AC1681" s="22">
        <f t="shared" si="336"/>
        <v>0</v>
      </c>
      <c r="AD1681" s="22">
        <f t="shared" si="326"/>
        <v>0</v>
      </c>
      <c r="AE1681" s="22">
        <f t="shared" si="327"/>
        <v>0</v>
      </c>
      <c r="AF1681" s="19" t="str">
        <f>VLOOKUP(C1681,'2021-22 School Level AAFTE'!C:N,12,FALSE)</f>
        <v>No</v>
      </c>
    </row>
    <row r="1682" spans="1:32" s="5" customFormat="1">
      <c r="A1682" s="97" t="s">
        <v>2348</v>
      </c>
      <c r="B1682" s="97" t="s">
        <v>547</v>
      </c>
      <c r="C1682" s="95">
        <v>2123</v>
      </c>
      <c r="D1682" s="95" t="s">
        <v>566</v>
      </c>
      <c r="E1682" s="129">
        <f>VLOOKUP($C1682,'2021-22 School Level AAFTE'!$C:$Z,11,FALSE)</f>
        <v>9.9966666666666662E-2</v>
      </c>
      <c r="F1682" s="129" t="str">
        <f>VLOOKUP($C1682,'2021-22 School Level AAFTE'!$C:$Z,8,FALSE)</f>
        <v>No</v>
      </c>
      <c r="G1682" s="129" t="str">
        <f>VLOOKUP($C1682,'2021-22 School Level AAFTE'!$C:$Z,12,FALSE)</f>
        <v>No</v>
      </c>
      <c r="H1682" s="127">
        <f>VLOOKUP($C1682,'2021-22 School Level AAFTE'!$C:$I,7,FALSE)</f>
        <v>306.86</v>
      </c>
      <c r="I1682" s="112">
        <f>IFERROR(IF(OR(G1682="yes",F1682= "yes"),VLOOKUP(C1682,Summary!$B:$J,6,0),0),0)</f>
        <v>0</v>
      </c>
      <c r="J1682" s="111">
        <f t="shared" si="330"/>
        <v>0</v>
      </c>
      <c r="K1682" s="91">
        <f>VLOOKUP($A1682,'2022-23 Salary &amp; Benefits'!$A:$I,3,FALSE)</f>
        <v>1.18</v>
      </c>
      <c r="L1682" s="91">
        <f>VLOOKUP($A1682,'2022-23 Salary &amp; Benefits'!$A:$I,4,FALSE)</f>
        <v>1.18</v>
      </c>
      <c r="M1682" s="39">
        <f t="shared" si="325"/>
        <v>0</v>
      </c>
      <c r="N1682" s="24">
        <v>15</v>
      </c>
      <c r="O1682" s="26">
        <f t="shared" si="328"/>
        <v>0</v>
      </c>
      <c r="P1682" s="24">
        <v>1.1000000000000001</v>
      </c>
      <c r="Q1682" s="24">
        <v>36</v>
      </c>
      <c r="R1682" s="27">
        <f t="shared" si="329"/>
        <v>0</v>
      </c>
      <c r="S1682" s="102">
        <f t="shared" si="331"/>
        <v>0</v>
      </c>
      <c r="T1682" s="21">
        <f>VLOOKUP($A1682,'2022-23 Salary &amp; Benefits'!$A:$I,5,FALSE)</f>
        <v>68937</v>
      </c>
      <c r="U1682" s="21">
        <f>VLOOKUP($A1682,'2022-23 Salary &amp; Benefits'!$A:$I,6,FALSE)</f>
        <v>72728</v>
      </c>
      <c r="V1682" s="22">
        <f t="shared" si="332"/>
        <v>0</v>
      </c>
      <c r="W1682" s="22">
        <f t="shared" si="333"/>
        <v>0</v>
      </c>
      <c r="X1682" s="22">
        <f>'2022-23 Salary &amp; Benefits'!$G$6</f>
        <v>12558.24</v>
      </c>
      <c r="Y1682" s="23">
        <f>'2022-23 Salary &amp; Benefits'!$H$6</f>
        <v>0.2298</v>
      </c>
      <c r="Z1682" s="23">
        <f>'2022-23 Salary &amp; Benefits'!$I$6</f>
        <v>0.22339999999999999</v>
      </c>
      <c r="AA1682" s="22">
        <f t="shared" si="334"/>
        <v>0</v>
      </c>
      <c r="AB1682" s="22">
        <f t="shared" si="335"/>
        <v>0</v>
      </c>
      <c r="AC1682" s="22">
        <f t="shared" si="336"/>
        <v>0</v>
      </c>
      <c r="AD1682" s="22">
        <f t="shared" si="326"/>
        <v>0</v>
      </c>
      <c r="AE1682" s="22">
        <f t="shared" si="327"/>
        <v>0</v>
      </c>
      <c r="AF1682" s="19" t="str">
        <f>VLOOKUP(C1682,'2021-22 School Level AAFTE'!C:N,12,FALSE)</f>
        <v>No</v>
      </c>
    </row>
    <row r="1683" spans="1:32" s="5" customFormat="1">
      <c r="A1683" s="97" t="s">
        <v>2348</v>
      </c>
      <c r="B1683" s="97" t="s">
        <v>547</v>
      </c>
      <c r="C1683" s="95">
        <v>2138</v>
      </c>
      <c r="D1683" s="95" t="s">
        <v>567</v>
      </c>
      <c r="E1683" s="129">
        <f>VLOOKUP($C1683,'2021-22 School Level AAFTE'!$C:$Z,11,FALSE)</f>
        <v>9.6066666666666675E-2</v>
      </c>
      <c r="F1683" s="129" t="str">
        <f>VLOOKUP($C1683,'2021-22 School Level AAFTE'!$C:$Z,8,FALSE)</f>
        <v>No</v>
      </c>
      <c r="G1683" s="129" t="str">
        <f>VLOOKUP($C1683,'2021-22 School Level AAFTE'!$C:$Z,12,FALSE)</f>
        <v>No</v>
      </c>
      <c r="H1683" s="127">
        <f>VLOOKUP($C1683,'2021-22 School Level AAFTE'!$C:$I,7,FALSE)</f>
        <v>362.43</v>
      </c>
      <c r="I1683" s="112">
        <f>IFERROR(IF(OR(G1683="yes",F1683= "yes"),VLOOKUP(C1683,Summary!$B:$J,6,0),0),0)</f>
        <v>0</v>
      </c>
      <c r="J1683" s="111">
        <f t="shared" si="330"/>
        <v>0</v>
      </c>
      <c r="K1683" s="91">
        <f>VLOOKUP($A1683,'2022-23 Salary &amp; Benefits'!$A:$I,3,FALSE)</f>
        <v>1.18</v>
      </c>
      <c r="L1683" s="91">
        <f>VLOOKUP($A1683,'2022-23 Salary &amp; Benefits'!$A:$I,4,FALSE)</f>
        <v>1.18</v>
      </c>
      <c r="M1683" s="39">
        <f t="shared" si="325"/>
        <v>0</v>
      </c>
      <c r="N1683" s="24">
        <v>15</v>
      </c>
      <c r="O1683" s="26">
        <f t="shared" si="328"/>
        <v>0</v>
      </c>
      <c r="P1683" s="24">
        <v>1.1000000000000001</v>
      </c>
      <c r="Q1683" s="24">
        <v>36</v>
      </c>
      <c r="R1683" s="27">
        <f t="shared" si="329"/>
        <v>0</v>
      </c>
      <c r="S1683" s="102">
        <f t="shared" si="331"/>
        <v>0</v>
      </c>
      <c r="T1683" s="21">
        <f>VLOOKUP($A1683,'2022-23 Salary &amp; Benefits'!$A:$I,5,FALSE)</f>
        <v>68937</v>
      </c>
      <c r="U1683" s="21">
        <f>VLOOKUP($A1683,'2022-23 Salary &amp; Benefits'!$A:$I,6,FALSE)</f>
        <v>72728</v>
      </c>
      <c r="V1683" s="22">
        <f t="shared" si="332"/>
        <v>0</v>
      </c>
      <c r="W1683" s="22">
        <f t="shared" si="333"/>
        <v>0</v>
      </c>
      <c r="X1683" s="22">
        <f>'2022-23 Salary &amp; Benefits'!$G$6</f>
        <v>12558.24</v>
      </c>
      <c r="Y1683" s="23">
        <f>'2022-23 Salary &amp; Benefits'!$H$6</f>
        <v>0.2298</v>
      </c>
      <c r="Z1683" s="23">
        <f>'2022-23 Salary &amp; Benefits'!$I$6</f>
        <v>0.22339999999999999</v>
      </c>
      <c r="AA1683" s="22">
        <f t="shared" si="334"/>
        <v>0</v>
      </c>
      <c r="AB1683" s="22">
        <f t="shared" si="335"/>
        <v>0</v>
      </c>
      <c r="AC1683" s="22">
        <f t="shared" si="336"/>
        <v>0</v>
      </c>
      <c r="AD1683" s="22">
        <f t="shared" si="326"/>
        <v>0</v>
      </c>
      <c r="AE1683" s="22">
        <f t="shared" si="327"/>
        <v>0</v>
      </c>
      <c r="AF1683" s="19" t="str">
        <f>VLOOKUP(C1683,'2021-22 School Level AAFTE'!C:N,12,FALSE)</f>
        <v>No</v>
      </c>
    </row>
    <row r="1684" spans="1:32" s="5" customFormat="1">
      <c r="A1684" s="97" t="s">
        <v>2348</v>
      </c>
      <c r="B1684" s="97" t="s">
        <v>547</v>
      </c>
      <c r="C1684" s="95">
        <v>2139</v>
      </c>
      <c r="D1684" s="95" t="s">
        <v>568</v>
      </c>
      <c r="E1684" s="129">
        <f>VLOOKUP($C1684,'2021-22 School Level AAFTE'!$C:$Z,11,FALSE)</f>
        <v>0.12873333333333334</v>
      </c>
      <c r="F1684" s="129" t="str">
        <f>VLOOKUP($C1684,'2021-22 School Level AAFTE'!$C:$Z,8,FALSE)</f>
        <v>No</v>
      </c>
      <c r="G1684" s="129" t="str">
        <f>VLOOKUP($C1684,'2021-22 School Level AAFTE'!$C:$Z,12,FALSE)</f>
        <v>No</v>
      </c>
      <c r="H1684" s="127">
        <f>VLOOKUP($C1684,'2021-22 School Level AAFTE'!$C:$I,7,FALSE)</f>
        <v>353</v>
      </c>
      <c r="I1684" s="112">
        <f>IFERROR(IF(OR(G1684="yes",F1684= "yes"),VLOOKUP(C1684,Summary!$B:$J,6,0),0),0)</f>
        <v>0</v>
      </c>
      <c r="J1684" s="111">
        <f t="shared" si="330"/>
        <v>0</v>
      </c>
      <c r="K1684" s="91">
        <f>VLOOKUP($A1684,'2022-23 Salary &amp; Benefits'!$A:$I,3,FALSE)</f>
        <v>1.18</v>
      </c>
      <c r="L1684" s="91">
        <f>VLOOKUP($A1684,'2022-23 Salary &amp; Benefits'!$A:$I,4,FALSE)</f>
        <v>1.18</v>
      </c>
      <c r="M1684" s="39">
        <f t="shared" si="325"/>
        <v>0</v>
      </c>
      <c r="N1684" s="24">
        <v>15</v>
      </c>
      <c r="O1684" s="26">
        <f t="shared" si="328"/>
        <v>0</v>
      </c>
      <c r="P1684" s="24">
        <v>1.1000000000000001</v>
      </c>
      <c r="Q1684" s="24">
        <v>36</v>
      </c>
      <c r="R1684" s="27">
        <f t="shared" si="329"/>
        <v>0</v>
      </c>
      <c r="S1684" s="102">
        <f t="shared" si="331"/>
        <v>0</v>
      </c>
      <c r="T1684" s="21">
        <f>VLOOKUP($A1684,'2022-23 Salary &amp; Benefits'!$A:$I,5,FALSE)</f>
        <v>68937</v>
      </c>
      <c r="U1684" s="21">
        <f>VLOOKUP($A1684,'2022-23 Salary &amp; Benefits'!$A:$I,6,FALSE)</f>
        <v>72728</v>
      </c>
      <c r="V1684" s="22">
        <f t="shared" si="332"/>
        <v>0</v>
      </c>
      <c r="W1684" s="22">
        <f t="shared" si="333"/>
        <v>0</v>
      </c>
      <c r="X1684" s="22">
        <f>'2022-23 Salary &amp; Benefits'!$G$6</f>
        <v>12558.24</v>
      </c>
      <c r="Y1684" s="23">
        <f>'2022-23 Salary &amp; Benefits'!$H$6</f>
        <v>0.2298</v>
      </c>
      <c r="Z1684" s="23">
        <f>'2022-23 Salary &amp; Benefits'!$I$6</f>
        <v>0.22339999999999999</v>
      </c>
      <c r="AA1684" s="22">
        <f t="shared" si="334"/>
        <v>0</v>
      </c>
      <c r="AB1684" s="22">
        <f t="shared" si="335"/>
        <v>0</v>
      </c>
      <c r="AC1684" s="22">
        <f t="shared" si="336"/>
        <v>0</v>
      </c>
      <c r="AD1684" s="22">
        <f t="shared" si="326"/>
        <v>0</v>
      </c>
      <c r="AE1684" s="22">
        <f t="shared" si="327"/>
        <v>0</v>
      </c>
      <c r="AF1684" s="19" t="str">
        <f>VLOOKUP(C1684,'2021-22 School Level AAFTE'!C:N,12,FALSE)</f>
        <v>No</v>
      </c>
    </row>
    <row r="1685" spans="1:32" s="5" customFormat="1">
      <c r="A1685" s="97" t="s">
        <v>2348</v>
      </c>
      <c r="B1685" s="97" t="s">
        <v>547</v>
      </c>
      <c r="C1685" s="95">
        <v>2141</v>
      </c>
      <c r="D1685" s="95" t="s">
        <v>569</v>
      </c>
      <c r="E1685" s="129">
        <f>VLOOKUP($C1685,'2021-22 School Level AAFTE'!$C:$Z,11,FALSE)</f>
        <v>0.34913333333333335</v>
      </c>
      <c r="F1685" s="129" t="str">
        <f>VLOOKUP($C1685,'2021-22 School Level AAFTE'!$C:$Z,8,FALSE)</f>
        <v>No</v>
      </c>
      <c r="G1685" s="129" t="str">
        <f>VLOOKUP($C1685,'2021-22 School Level AAFTE'!$C:$Z,12,FALSE)</f>
        <v>No</v>
      </c>
      <c r="H1685" s="127">
        <f>VLOOKUP($C1685,'2021-22 School Level AAFTE'!$C:$I,7,FALSE)</f>
        <v>429</v>
      </c>
      <c r="I1685" s="112">
        <f>IFERROR(IF(OR(G1685="yes",F1685= "yes"),VLOOKUP(C1685,Summary!$B:$J,6,0),0),0)</f>
        <v>0</v>
      </c>
      <c r="J1685" s="111">
        <f t="shared" si="330"/>
        <v>0</v>
      </c>
      <c r="K1685" s="91">
        <f>VLOOKUP($A1685,'2022-23 Salary &amp; Benefits'!$A:$I,3,FALSE)</f>
        <v>1.18</v>
      </c>
      <c r="L1685" s="91">
        <f>VLOOKUP($A1685,'2022-23 Salary &amp; Benefits'!$A:$I,4,FALSE)</f>
        <v>1.18</v>
      </c>
      <c r="M1685" s="39">
        <f t="shared" si="325"/>
        <v>0</v>
      </c>
      <c r="N1685" s="24">
        <v>15</v>
      </c>
      <c r="O1685" s="26">
        <f t="shared" si="328"/>
        <v>0</v>
      </c>
      <c r="P1685" s="24">
        <v>1.1000000000000001</v>
      </c>
      <c r="Q1685" s="24">
        <v>36</v>
      </c>
      <c r="R1685" s="27">
        <f t="shared" si="329"/>
        <v>0</v>
      </c>
      <c r="S1685" s="102">
        <f t="shared" si="331"/>
        <v>0</v>
      </c>
      <c r="T1685" s="21">
        <f>VLOOKUP($A1685,'2022-23 Salary &amp; Benefits'!$A:$I,5,FALSE)</f>
        <v>68937</v>
      </c>
      <c r="U1685" s="21">
        <f>VLOOKUP($A1685,'2022-23 Salary &amp; Benefits'!$A:$I,6,FALSE)</f>
        <v>72728</v>
      </c>
      <c r="V1685" s="22">
        <f t="shared" si="332"/>
        <v>0</v>
      </c>
      <c r="W1685" s="22">
        <f t="shared" si="333"/>
        <v>0</v>
      </c>
      <c r="X1685" s="22">
        <f>'2022-23 Salary &amp; Benefits'!$G$6</f>
        <v>12558.24</v>
      </c>
      <c r="Y1685" s="23">
        <f>'2022-23 Salary &amp; Benefits'!$H$6</f>
        <v>0.2298</v>
      </c>
      <c r="Z1685" s="23">
        <f>'2022-23 Salary &amp; Benefits'!$I$6</f>
        <v>0.22339999999999999</v>
      </c>
      <c r="AA1685" s="22">
        <f t="shared" si="334"/>
        <v>0</v>
      </c>
      <c r="AB1685" s="22">
        <f t="shared" si="335"/>
        <v>0</v>
      </c>
      <c r="AC1685" s="22">
        <f t="shared" si="336"/>
        <v>0</v>
      </c>
      <c r="AD1685" s="22">
        <f t="shared" si="326"/>
        <v>0</v>
      </c>
      <c r="AE1685" s="22">
        <f t="shared" si="327"/>
        <v>0</v>
      </c>
      <c r="AF1685" s="19" t="str">
        <f>VLOOKUP(C1685,'2021-22 School Level AAFTE'!C:N,12,FALSE)</f>
        <v>No</v>
      </c>
    </row>
    <row r="1686" spans="1:32" s="5" customFormat="1">
      <c r="A1686" s="97" t="s">
        <v>2348</v>
      </c>
      <c r="B1686" s="97" t="s">
        <v>547</v>
      </c>
      <c r="C1686" s="95">
        <v>2142</v>
      </c>
      <c r="D1686" s="95" t="s">
        <v>570</v>
      </c>
      <c r="E1686" s="129">
        <f>VLOOKUP($C1686,'2021-22 School Level AAFTE'!$C:$Z,11,FALSE)</f>
        <v>5.8299999999999998E-2</v>
      </c>
      <c r="F1686" s="129" t="str">
        <f>VLOOKUP($C1686,'2021-22 School Level AAFTE'!$C:$Z,8,FALSE)</f>
        <v>No</v>
      </c>
      <c r="G1686" s="129" t="str">
        <f>VLOOKUP($C1686,'2021-22 School Level AAFTE'!$C:$Z,12,FALSE)</f>
        <v>No</v>
      </c>
      <c r="H1686" s="127">
        <f>VLOOKUP($C1686,'2021-22 School Level AAFTE'!$C:$I,7,FALSE)</f>
        <v>406.57</v>
      </c>
      <c r="I1686" s="112">
        <f>IFERROR(IF(OR(G1686="yes",F1686= "yes"),VLOOKUP(C1686,Summary!$B:$J,6,0),0),0)</f>
        <v>0</v>
      </c>
      <c r="J1686" s="111">
        <f t="shared" si="330"/>
        <v>0</v>
      </c>
      <c r="K1686" s="91">
        <f>VLOOKUP($A1686,'2022-23 Salary &amp; Benefits'!$A:$I,3,FALSE)</f>
        <v>1.18</v>
      </c>
      <c r="L1686" s="91">
        <f>VLOOKUP($A1686,'2022-23 Salary &amp; Benefits'!$A:$I,4,FALSE)</f>
        <v>1.18</v>
      </c>
      <c r="M1686" s="101">
        <f t="shared" si="325"/>
        <v>0</v>
      </c>
      <c r="N1686" s="24">
        <v>15</v>
      </c>
      <c r="O1686" s="26">
        <f t="shared" si="328"/>
        <v>0</v>
      </c>
      <c r="P1686" s="24">
        <v>1.1000000000000001</v>
      </c>
      <c r="Q1686" s="24">
        <v>36</v>
      </c>
      <c r="R1686" s="27">
        <f t="shared" si="329"/>
        <v>0</v>
      </c>
      <c r="S1686" s="102">
        <f t="shared" si="331"/>
        <v>0</v>
      </c>
      <c r="T1686" s="21">
        <f>VLOOKUP($A1686,'2022-23 Salary &amp; Benefits'!$A:$I,5,FALSE)</f>
        <v>68937</v>
      </c>
      <c r="U1686" s="21">
        <f>VLOOKUP($A1686,'2022-23 Salary &amp; Benefits'!$A:$I,6,FALSE)</f>
        <v>72728</v>
      </c>
      <c r="V1686" s="22">
        <f t="shared" si="332"/>
        <v>0</v>
      </c>
      <c r="W1686" s="22">
        <f t="shared" si="333"/>
        <v>0</v>
      </c>
      <c r="X1686" s="22">
        <f>'2022-23 Salary &amp; Benefits'!$G$6</f>
        <v>12558.24</v>
      </c>
      <c r="Y1686" s="23">
        <f>'2022-23 Salary &amp; Benefits'!$H$6</f>
        <v>0.2298</v>
      </c>
      <c r="Z1686" s="23">
        <f>'2022-23 Salary &amp; Benefits'!$I$6</f>
        <v>0.22339999999999999</v>
      </c>
      <c r="AA1686" s="22">
        <f t="shared" si="334"/>
        <v>0</v>
      </c>
      <c r="AB1686" s="22">
        <f t="shared" si="335"/>
        <v>0</v>
      </c>
      <c r="AC1686" s="22">
        <f t="shared" si="336"/>
        <v>0</v>
      </c>
      <c r="AD1686" s="22">
        <f t="shared" si="326"/>
        <v>0</v>
      </c>
      <c r="AE1686" s="22">
        <f t="shared" si="327"/>
        <v>0</v>
      </c>
      <c r="AF1686" s="19" t="str">
        <f>VLOOKUP(C1686,'2021-22 School Level AAFTE'!C:N,12,FALSE)</f>
        <v>No</v>
      </c>
    </row>
    <row r="1687" spans="1:32" s="5" customFormat="1">
      <c r="A1687" s="97" t="s">
        <v>2348</v>
      </c>
      <c r="B1687" s="97" t="s">
        <v>547</v>
      </c>
      <c r="C1687" s="95">
        <v>2143</v>
      </c>
      <c r="D1687" s="95" t="s">
        <v>571</v>
      </c>
      <c r="E1687" s="129">
        <f>VLOOKUP($C1687,'2021-22 School Level AAFTE'!$C:$Z,11,FALSE)</f>
        <v>0.5623999999999999</v>
      </c>
      <c r="F1687" s="129" t="str">
        <f>VLOOKUP($C1687,'2021-22 School Level AAFTE'!$C:$Z,8,FALSE)</f>
        <v>Yes</v>
      </c>
      <c r="G1687" s="129" t="str">
        <f>VLOOKUP($C1687,'2021-22 School Level AAFTE'!$C:$Z,12,FALSE)</f>
        <v>No</v>
      </c>
      <c r="H1687" s="127">
        <f>VLOOKUP($C1687,'2021-22 School Level AAFTE'!$C:$I,7,FALSE)</f>
        <v>323.43</v>
      </c>
      <c r="I1687" s="112">
        <f>IFERROR(IF(OR(G1687="yes",F1687= "yes"),VLOOKUP(C1687,Summary!$B:$J,6,0),0),0)</f>
        <v>0</v>
      </c>
      <c r="J1687" s="111">
        <f t="shared" si="330"/>
        <v>323.43</v>
      </c>
      <c r="K1687" s="91">
        <f>VLOOKUP($A1687,'2022-23 Salary &amp; Benefits'!$A:$I,3,FALSE)</f>
        <v>1.18</v>
      </c>
      <c r="L1687" s="91">
        <f>VLOOKUP($A1687,'2022-23 Salary &amp; Benefits'!$A:$I,4,FALSE)</f>
        <v>1.18</v>
      </c>
      <c r="M1687" s="101">
        <f t="shared" si="325"/>
        <v>323.43</v>
      </c>
      <c r="N1687" s="24">
        <v>15</v>
      </c>
      <c r="O1687" s="26">
        <f t="shared" si="328"/>
        <v>21.562000000000001</v>
      </c>
      <c r="P1687" s="24">
        <v>1.1000000000000001</v>
      </c>
      <c r="Q1687" s="24">
        <v>36</v>
      </c>
      <c r="R1687" s="27">
        <f t="shared" si="329"/>
        <v>853.85520000000008</v>
      </c>
      <c r="S1687" s="102">
        <f t="shared" si="331"/>
        <v>0.94899999999999995</v>
      </c>
      <c r="T1687" s="21">
        <f>VLOOKUP($A1687,'2022-23 Salary &amp; Benefits'!$A:$I,5,FALSE)</f>
        <v>68937</v>
      </c>
      <c r="U1687" s="21">
        <f>VLOOKUP($A1687,'2022-23 Salary &amp; Benefits'!$A:$I,6,FALSE)</f>
        <v>72728</v>
      </c>
      <c r="V1687" s="22">
        <f t="shared" si="332"/>
        <v>77197.03</v>
      </c>
      <c r="W1687" s="22">
        <f t="shared" si="333"/>
        <v>4245.2400000000052</v>
      </c>
      <c r="X1687" s="22">
        <f>'2022-23 Salary &amp; Benefits'!$G$6</f>
        <v>12558.24</v>
      </c>
      <c r="Y1687" s="23">
        <f>'2022-23 Salary &amp; Benefits'!$H$6</f>
        <v>0.2298</v>
      </c>
      <c r="Z1687" s="23">
        <f>'2022-23 Salary &amp; Benefits'!$I$6</f>
        <v>0.22339999999999999</v>
      </c>
      <c r="AA1687" s="22">
        <f t="shared" si="334"/>
        <v>30606.03</v>
      </c>
      <c r="AB1687" s="22">
        <f t="shared" si="335"/>
        <v>1357.37</v>
      </c>
      <c r="AC1687" s="22">
        <f t="shared" si="336"/>
        <v>303.24</v>
      </c>
      <c r="AD1687" s="22">
        <f t="shared" si="326"/>
        <v>1660.61</v>
      </c>
      <c r="AE1687" s="22">
        <f t="shared" si="327"/>
        <v>113708.91</v>
      </c>
      <c r="AF1687" s="19" t="str">
        <f>VLOOKUP(C1687,'2021-22 School Level AAFTE'!C:N,12,FALSE)</f>
        <v>No</v>
      </c>
    </row>
    <row r="1688" spans="1:32" s="5" customFormat="1">
      <c r="A1688" s="97" t="s">
        <v>2348</v>
      </c>
      <c r="B1688" s="97" t="s">
        <v>547</v>
      </c>
      <c r="C1688" s="95">
        <v>2181</v>
      </c>
      <c r="D1688" s="95" t="s">
        <v>572</v>
      </c>
      <c r="E1688" s="129">
        <f>VLOOKUP($C1688,'2021-22 School Level AAFTE'!$C:$Z,11,FALSE)</f>
        <v>9.6133333333333335E-2</v>
      </c>
      <c r="F1688" s="129" t="str">
        <f>VLOOKUP($C1688,'2021-22 School Level AAFTE'!$C:$Z,8,FALSE)</f>
        <v>No</v>
      </c>
      <c r="G1688" s="129" t="str">
        <f>VLOOKUP($C1688,'2021-22 School Level AAFTE'!$C:$Z,12,FALSE)</f>
        <v>No</v>
      </c>
      <c r="H1688" s="127">
        <f>VLOOKUP($C1688,'2021-22 School Level AAFTE'!$C:$I,7,FALSE)</f>
        <v>308.29000000000002</v>
      </c>
      <c r="I1688" s="112">
        <f>IFERROR(IF(OR(G1688="yes",F1688= "yes"),VLOOKUP(C1688,Summary!$B:$J,6,0),0),0)</f>
        <v>0</v>
      </c>
      <c r="J1688" s="111">
        <f t="shared" si="330"/>
        <v>0</v>
      </c>
      <c r="K1688" s="91">
        <f>VLOOKUP($A1688,'2022-23 Salary &amp; Benefits'!$A:$I,3,FALSE)</f>
        <v>1.18</v>
      </c>
      <c r="L1688" s="91">
        <f>VLOOKUP($A1688,'2022-23 Salary &amp; Benefits'!$A:$I,4,FALSE)</f>
        <v>1.18</v>
      </c>
      <c r="M1688" s="101">
        <f t="shared" si="325"/>
        <v>0</v>
      </c>
      <c r="N1688" s="24">
        <v>15</v>
      </c>
      <c r="O1688" s="26">
        <f t="shared" si="328"/>
        <v>0</v>
      </c>
      <c r="P1688" s="24">
        <v>1.1000000000000001</v>
      </c>
      <c r="Q1688" s="24">
        <v>36</v>
      </c>
      <c r="R1688" s="27">
        <f t="shared" si="329"/>
        <v>0</v>
      </c>
      <c r="S1688" s="102">
        <f t="shared" si="331"/>
        <v>0</v>
      </c>
      <c r="T1688" s="21">
        <f>VLOOKUP($A1688,'2022-23 Salary &amp; Benefits'!$A:$I,5,FALSE)</f>
        <v>68937</v>
      </c>
      <c r="U1688" s="21">
        <f>VLOOKUP($A1688,'2022-23 Salary &amp; Benefits'!$A:$I,6,FALSE)</f>
        <v>72728</v>
      </c>
      <c r="V1688" s="22">
        <f t="shared" si="332"/>
        <v>0</v>
      </c>
      <c r="W1688" s="22">
        <f t="shared" si="333"/>
        <v>0</v>
      </c>
      <c r="X1688" s="22">
        <f>'2022-23 Salary &amp; Benefits'!$G$6</f>
        <v>12558.24</v>
      </c>
      <c r="Y1688" s="23">
        <f>'2022-23 Salary &amp; Benefits'!$H$6</f>
        <v>0.2298</v>
      </c>
      <c r="Z1688" s="23">
        <f>'2022-23 Salary &amp; Benefits'!$I$6</f>
        <v>0.22339999999999999</v>
      </c>
      <c r="AA1688" s="22">
        <f t="shared" si="334"/>
        <v>0</v>
      </c>
      <c r="AB1688" s="22">
        <f t="shared" si="335"/>
        <v>0</v>
      </c>
      <c r="AC1688" s="22">
        <f t="shared" si="336"/>
        <v>0</v>
      </c>
      <c r="AD1688" s="22">
        <f t="shared" si="326"/>
        <v>0</v>
      </c>
      <c r="AE1688" s="22">
        <f t="shared" si="327"/>
        <v>0</v>
      </c>
      <c r="AF1688" s="19" t="str">
        <f>VLOOKUP(C1688,'2021-22 School Level AAFTE'!C:N,12,FALSE)</f>
        <v>No</v>
      </c>
    </row>
    <row r="1689" spans="1:32" s="5" customFormat="1">
      <c r="A1689" s="97" t="s">
        <v>2348</v>
      </c>
      <c r="B1689" s="97" t="s">
        <v>547</v>
      </c>
      <c r="C1689" s="95">
        <v>2182</v>
      </c>
      <c r="D1689" s="95" t="s">
        <v>573</v>
      </c>
      <c r="E1689" s="129">
        <f>VLOOKUP($C1689,'2021-22 School Level AAFTE'!$C:$Z,11,FALSE)</f>
        <v>0.62556666666666672</v>
      </c>
      <c r="F1689" s="129" t="str">
        <f>VLOOKUP($C1689,'2021-22 School Level AAFTE'!$C:$Z,8,FALSE)</f>
        <v>Yes</v>
      </c>
      <c r="G1689" s="129" t="str">
        <f>VLOOKUP($C1689,'2021-22 School Level AAFTE'!$C:$Z,12,FALSE)</f>
        <v>No</v>
      </c>
      <c r="H1689" s="127">
        <f>VLOOKUP($C1689,'2021-22 School Level AAFTE'!$C:$I,7,FALSE)</f>
        <v>1243.81</v>
      </c>
      <c r="I1689" s="112">
        <f>IFERROR(IF(OR(G1689="yes",F1689= "yes"),VLOOKUP(C1689,Summary!$B:$J,6,0),0),0)</f>
        <v>0</v>
      </c>
      <c r="J1689" s="111">
        <f t="shared" si="330"/>
        <v>1243.81</v>
      </c>
      <c r="K1689" s="91">
        <f>VLOOKUP($A1689,'2022-23 Salary &amp; Benefits'!$A:$I,3,FALSE)</f>
        <v>1.18</v>
      </c>
      <c r="L1689" s="91">
        <f>VLOOKUP($A1689,'2022-23 Salary &amp; Benefits'!$A:$I,4,FALSE)</f>
        <v>1.18</v>
      </c>
      <c r="M1689" s="101">
        <f t="shared" si="325"/>
        <v>1243.81</v>
      </c>
      <c r="N1689" s="24">
        <v>15</v>
      </c>
      <c r="O1689" s="26">
        <f t="shared" si="328"/>
        <v>82.920666666666662</v>
      </c>
      <c r="P1689" s="24">
        <v>1.1000000000000001</v>
      </c>
      <c r="Q1689" s="24">
        <v>36</v>
      </c>
      <c r="R1689" s="27">
        <f t="shared" si="329"/>
        <v>3283.6583999999998</v>
      </c>
      <c r="S1689" s="102">
        <f t="shared" si="331"/>
        <v>3.649</v>
      </c>
      <c r="T1689" s="21">
        <f>VLOOKUP($A1689,'2022-23 Salary &amp; Benefits'!$A:$I,5,FALSE)</f>
        <v>68937</v>
      </c>
      <c r="U1689" s="21">
        <f>VLOOKUP($A1689,'2022-23 Salary &amp; Benefits'!$A:$I,6,FALSE)</f>
        <v>72728</v>
      </c>
      <c r="V1689" s="22">
        <f t="shared" si="332"/>
        <v>296830.31</v>
      </c>
      <c r="W1689" s="22">
        <f t="shared" si="333"/>
        <v>16323.369999999995</v>
      </c>
      <c r="X1689" s="22">
        <f>'2022-23 Salary &amp; Benefits'!$G$6</f>
        <v>12558.24</v>
      </c>
      <c r="Y1689" s="23">
        <f>'2022-23 Salary &amp; Benefits'!$H$6</f>
        <v>0.2298</v>
      </c>
      <c r="Z1689" s="23">
        <f>'2022-23 Salary &amp; Benefits'!$I$6</f>
        <v>0.22339999999999999</v>
      </c>
      <c r="AA1689" s="22">
        <f t="shared" si="334"/>
        <v>117683.26</v>
      </c>
      <c r="AB1689" s="22">
        <f t="shared" si="335"/>
        <v>5219.2299999999996</v>
      </c>
      <c r="AC1689" s="22">
        <f t="shared" si="336"/>
        <v>1165.98</v>
      </c>
      <c r="AD1689" s="22">
        <f t="shared" si="326"/>
        <v>6385.2099999999991</v>
      </c>
      <c r="AE1689" s="22">
        <f t="shared" si="327"/>
        <v>437222.15</v>
      </c>
      <c r="AF1689" s="19" t="str">
        <f>VLOOKUP(C1689,'2021-22 School Level AAFTE'!C:N,12,FALSE)</f>
        <v>No</v>
      </c>
    </row>
    <row r="1690" spans="1:32" s="5" customFormat="1">
      <c r="A1690" s="97" t="s">
        <v>2348</v>
      </c>
      <c r="B1690" s="97" t="s">
        <v>547</v>
      </c>
      <c r="C1690" s="95">
        <v>2183</v>
      </c>
      <c r="D1690" s="95" t="s">
        <v>574</v>
      </c>
      <c r="E1690" s="129">
        <f>VLOOKUP($C1690,'2021-22 School Level AAFTE'!$C:$Z,11,FALSE)</f>
        <v>5.8766666666666668E-2</v>
      </c>
      <c r="F1690" s="129" t="str">
        <f>VLOOKUP($C1690,'2021-22 School Level AAFTE'!$C:$Z,8,FALSE)</f>
        <v>No</v>
      </c>
      <c r="G1690" s="129" t="str">
        <f>VLOOKUP($C1690,'2021-22 School Level AAFTE'!$C:$Z,12,FALSE)</f>
        <v>No</v>
      </c>
      <c r="H1690" s="127">
        <f>VLOOKUP($C1690,'2021-22 School Level AAFTE'!$C:$I,7,FALSE)</f>
        <v>334.71</v>
      </c>
      <c r="I1690" s="112">
        <f>IFERROR(IF(OR(G1690="yes",F1690= "yes"),VLOOKUP(C1690,Summary!$B:$J,6,0),0),0)</f>
        <v>0</v>
      </c>
      <c r="J1690" s="111">
        <f t="shared" si="330"/>
        <v>0</v>
      </c>
      <c r="K1690" s="91">
        <f>VLOOKUP($A1690,'2022-23 Salary &amp; Benefits'!$A:$I,3,FALSE)</f>
        <v>1.18</v>
      </c>
      <c r="L1690" s="91">
        <f>VLOOKUP($A1690,'2022-23 Salary &amp; Benefits'!$A:$I,4,FALSE)</f>
        <v>1.18</v>
      </c>
      <c r="M1690" s="101">
        <f t="shared" si="325"/>
        <v>0</v>
      </c>
      <c r="N1690" s="24">
        <v>15</v>
      </c>
      <c r="O1690" s="26">
        <f t="shared" si="328"/>
        <v>0</v>
      </c>
      <c r="P1690" s="24">
        <v>1.1000000000000001</v>
      </c>
      <c r="Q1690" s="24">
        <v>36</v>
      </c>
      <c r="R1690" s="27">
        <f t="shared" si="329"/>
        <v>0</v>
      </c>
      <c r="S1690" s="102">
        <f t="shared" si="331"/>
        <v>0</v>
      </c>
      <c r="T1690" s="21">
        <f>VLOOKUP($A1690,'2022-23 Salary &amp; Benefits'!$A:$I,5,FALSE)</f>
        <v>68937</v>
      </c>
      <c r="U1690" s="21">
        <f>VLOOKUP($A1690,'2022-23 Salary &amp; Benefits'!$A:$I,6,FALSE)</f>
        <v>72728</v>
      </c>
      <c r="V1690" s="22">
        <f t="shared" si="332"/>
        <v>0</v>
      </c>
      <c r="W1690" s="22">
        <f t="shared" si="333"/>
        <v>0</v>
      </c>
      <c r="X1690" s="22">
        <f>'2022-23 Salary &amp; Benefits'!$G$6</f>
        <v>12558.24</v>
      </c>
      <c r="Y1690" s="23">
        <f>'2022-23 Salary &amp; Benefits'!$H$6</f>
        <v>0.2298</v>
      </c>
      <c r="Z1690" s="23">
        <f>'2022-23 Salary &amp; Benefits'!$I$6</f>
        <v>0.22339999999999999</v>
      </c>
      <c r="AA1690" s="22">
        <f t="shared" si="334"/>
        <v>0</v>
      </c>
      <c r="AB1690" s="22">
        <f t="shared" si="335"/>
        <v>0</v>
      </c>
      <c r="AC1690" s="22">
        <f t="shared" si="336"/>
        <v>0</v>
      </c>
      <c r="AD1690" s="22">
        <f t="shared" si="326"/>
        <v>0</v>
      </c>
      <c r="AE1690" s="22">
        <f t="shared" si="327"/>
        <v>0</v>
      </c>
      <c r="AF1690" s="19" t="str">
        <f>VLOOKUP(C1690,'2021-22 School Level AAFTE'!C:N,12,FALSE)</f>
        <v>No</v>
      </c>
    </row>
    <row r="1691" spans="1:32" s="5" customFormat="1">
      <c r="A1691" s="97" t="s">
        <v>2348</v>
      </c>
      <c r="B1691" s="97" t="s">
        <v>547</v>
      </c>
      <c r="C1691" s="95">
        <v>2199</v>
      </c>
      <c r="D1691" s="95" t="s">
        <v>575</v>
      </c>
      <c r="E1691" s="129">
        <f>VLOOKUP($C1691,'2021-22 School Level AAFTE'!$C:$Z,11,FALSE)</f>
        <v>0.64026666666666665</v>
      </c>
      <c r="F1691" s="129" t="str">
        <f>VLOOKUP($C1691,'2021-22 School Level AAFTE'!$C:$Z,8,FALSE)</f>
        <v>Yes</v>
      </c>
      <c r="G1691" s="129" t="str">
        <f>VLOOKUP($C1691,'2021-22 School Level AAFTE'!$C:$Z,12,FALSE)</f>
        <v>No</v>
      </c>
      <c r="H1691" s="127">
        <f>VLOOKUP($C1691,'2021-22 School Level AAFTE'!$C:$I,7,FALSE)</f>
        <v>298.79000000000002</v>
      </c>
      <c r="I1691" s="112">
        <f>IFERROR(IF(OR(G1691="yes",F1691= "yes"),VLOOKUP(C1691,Summary!$B:$J,6,0),0),0)</f>
        <v>0</v>
      </c>
      <c r="J1691" s="111">
        <f t="shared" si="330"/>
        <v>298.79000000000002</v>
      </c>
      <c r="K1691" s="91">
        <f>VLOOKUP($A1691,'2022-23 Salary &amp; Benefits'!$A:$I,3,FALSE)</f>
        <v>1.18</v>
      </c>
      <c r="L1691" s="91">
        <f>VLOOKUP($A1691,'2022-23 Salary &amp; Benefits'!$A:$I,4,FALSE)</f>
        <v>1.18</v>
      </c>
      <c r="M1691" s="101">
        <f t="shared" si="325"/>
        <v>298.79000000000002</v>
      </c>
      <c r="N1691" s="24">
        <v>15</v>
      </c>
      <c r="O1691" s="26">
        <f t="shared" si="328"/>
        <v>19.919333333333334</v>
      </c>
      <c r="P1691" s="24">
        <v>1.1000000000000001</v>
      </c>
      <c r="Q1691" s="24">
        <v>36</v>
      </c>
      <c r="R1691" s="27">
        <f t="shared" si="329"/>
        <v>788.80560000000014</v>
      </c>
      <c r="S1691" s="102">
        <f t="shared" si="331"/>
        <v>0.876</v>
      </c>
      <c r="T1691" s="21">
        <f>VLOOKUP($A1691,'2022-23 Salary &amp; Benefits'!$A:$I,5,FALSE)</f>
        <v>68937</v>
      </c>
      <c r="U1691" s="21">
        <f>VLOOKUP($A1691,'2022-23 Salary &amp; Benefits'!$A:$I,6,FALSE)</f>
        <v>72728</v>
      </c>
      <c r="V1691" s="22">
        <f t="shared" si="332"/>
        <v>71258.8</v>
      </c>
      <c r="W1691" s="22">
        <f t="shared" si="333"/>
        <v>3918.679999999993</v>
      </c>
      <c r="X1691" s="22">
        <f>'2022-23 Salary &amp; Benefits'!$G$6</f>
        <v>12558.24</v>
      </c>
      <c r="Y1691" s="23">
        <f>'2022-23 Salary &amp; Benefits'!$H$6</f>
        <v>0.2298</v>
      </c>
      <c r="Z1691" s="23">
        <f>'2022-23 Salary &amp; Benefits'!$I$6</f>
        <v>0.22339999999999999</v>
      </c>
      <c r="AA1691" s="22">
        <f t="shared" si="334"/>
        <v>28251.72</v>
      </c>
      <c r="AB1691" s="22">
        <f t="shared" si="335"/>
        <v>1252.96</v>
      </c>
      <c r="AC1691" s="22">
        <f t="shared" si="336"/>
        <v>279.91000000000003</v>
      </c>
      <c r="AD1691" s="22">
        <f t="shared" si="326"/>
        <v>1532.8700000000001</v>
      </c>
      <c r="AE1691" s="22">
        <f t="shared" si="327"/>
        <v>104962.06999999999</v>
      </c>
      <c r="AF1691" s="19" t="str">
        <f>VLOOKUP(C1691,'2021-22 School Level AAFTE'!C:N,12,FALSE)</f>
        <v>No</v>
      </c>
    </row>
    <row r="1692" spans="1:32" s="5" customFormat="1">
      <c r="A1692" s="97" t="s">
        <v>2348</v>
      </c>
      <c r="B1692" s="97" t="s">
        <v>547</v>
      </c>
      <c r="C1692" s="95">
        <v>2201</v>
      </c>
      <c r="D1692" s="95" t="s">
        <v>576</v>
      </c>
      <c r="E1692" s="129">
        <f>VLOOKUP($C1692,'2021-22 School Level AAFTE'!$C:$Z,11,FALSE)</f>
        <v>6.9766666666666657E-2</v>
      </c>
      <c r="F1692" s="129" t="str">
        <f>VLOOKUP($C1692,'2021-22 School Level AAFTE'!$C:$Z,8,FALSE)</f>
        <v>No</v>
      </c>
      <c r="G1692" s="129" t="str">
        <f>VLOOKUP($C1692,'2021-22 School Level AAFTE'!$C:$Z,12,FALSE)</f>
        <v>No</v>
      </c>
      <c r="H1692" s="127">
        <f>VLOOKUP($C1692,'2021-22 School Level AAFTE'!$C:$I,7,FALSE)</f>
        <v>221.47</v>
      </c>
      <c r="I1692" s="112">
        <f>IFERROR(IF(OR(G1692="yes",F1692= "yes"),VLOOKUP(C1692,Summary!$B:$J,6,0),0),0)</f>
        <v>0</v>
      </c>
      <c r="J1692" s="111">
        <f t="shared" si="330"/>
        <v>0</v>
      </c>
      <c r="K1692" s="91">
        <f>VLOOKUP($A1692,'2022-23 Salary &amp; Benefits'!$A:$I,3,FALSE)</f>
        <v>1.18</v>
      </c>
      <c r="L1692" s="91">
        <f>VLOOKUP($A1692,'2022-23 Salary &amp; Benefits'!$A:$I,4,FALSE)</f>
        <v>1.18</v>
      </c>
      <c r="M1692" s="39">
        <f t="shared" si="325"/>
        <v>0</v>
      </c>
      <c r="N1692" s="24">
        <v>15</v>
      </c>
      <c r="O1692" s="26">
        <f t="shared" si="328"/>
        <v>0</v>
      </c>
      <c r="P1692" s="24">
        <v>1.1000000000000001</v>
      </c>
      <c r="Q1692" s="24">
        <v>36</v>
      </c>
      <c r="R1692" s="27">
        <f t="shared" si="329"/>
        <v>0</v>
      </c>
      <c r="S1692" s="102">
        <f t="shared" si="331"/>
        <v>0</v>
      </c>
      <c r="T1692" s="21">
        <f>VLOOKUP($A1692,'2022-23 Salary &amp; Benefits'!$A:$I,5,FALSE)</f>
        <v>68937</v>
      </c>
      <c r="U1692" s="21">
        <f>VLOOKUP($A1692,'2022-23 Salary &amp; Benefits'!$A:$I,6,FALSE)</f>
        <v>72728</v>
      </c>
      <c r="V1692" s="22">
        <f t="shared" si="332"/>
        <v>0</v>
      </c>
      <c r="W1692" s="22">
        <f t="shared" si="333"/>
        <v>0</v>
      </c>
      <c r="X1692" s="22">
        <f>'2022-23 Salary &amp; Benefits'!$G$6</f>
        <v>12558.24</v>
      </c>
      <c r="Y1692" s="23">
        <f>'2022-23 Salary &amp; Benefits'!$H$6</f>
        <v>0.2298</v>
      </c>
      <c r="Z1692" s="23">
        <f>'2022-23 Salary &amp; Benefits'!$I$6</f>
        <v>0.22339999999999999</v>
      </c>
      <c r="AA1692" s="22">
        <f t="shared" si="334"/>
        <v>0</v>
      </c>
      <c r="AB1692" s="22">
        <f t="shared" si="335"/>
        <v>0</v>
      </c>
      <c r="AC1692" s="22">
        <f t="shared" si="336"/>
        <v>0</v>
      </c>
      <c r="AD1692" s="22">
        <f t="shared" si="326"/>
        <v>0</v>
      </c>
      <c r="AE1692" s="22">
        <f t="shared" si="327"/>
        <v>0</v>
      </c>
      <c r="AF1692" s="19" t="str">
        <f>VLOOKUP(C1692,'2021-22 School Level AAFTE'!C:N,12,FALSE)</f>
        <v>No</v>
      </c>
    </row>
    <row r="1693" spans="1:32" s="5" customFormat="1">
      <c r="A1693" s="97" t="s">
        <v>2348</v>
      </c>
      <c r="B1693" s="97" t="s">
        <v>547</v>
      </c>
      <c r="C1693" s="95">
        <v>2209</v>
      </c>
      <c r="D1693" s="95" t="s">
        <v>577</v>
      </c>
      <c r="E1693" s="129">
        <f>VLOOKUP($C1693,'2021-22 School Level AAFTE'!$C:$Z,11,FALSE)</f>
        <v>0.5554</v>
      </c>
      <c r="F1693" s="129" t="str">
        <f>VLOOKUP($C1693,'2021-22 School Level AAFTE'!$C:$Z,8,FALSE)</f>
        <v>Yes</v>
      </c>
      <c r="G1693" s="129" t="str">
        <f>VLOOKUP($C1693,'2021-22 School Level AAFTE'!$C:$Z,12,FALSE)</f>
        <v>No</v>
      </c>
      <c r="H1693" s="127">
        <f>VLOOKUP($C1693,'2021-22 School Level AAFTE'!$C:$I,7,FALSE)</f>
        <v>524.47</v>
      </c>
      <c r="I1693" s="112">
        <f>IFERROR(IF(OR(G1693="yes",F1693= "yes"),VLOOKUP(C1693,Summary!$B:$J,6,0),0),0)</f>
        <v>0</v>
      </c>
      <c r="J1693" s="111">
        <f t="shared" si="330"/>
        <v>524.47</v>
      </c>
      <c r="K1693" s="91">
        <f>VLOOKUP($A1693,'2022-23 Salary &amp; Benefits'!$A:$I,3,FALSE)</f>
        <v>1.18</v>
      </c>
      <c r="L1693" s="91">
        <f>VLOOKUP($A1693,'2022-23 Salary &amp; Benefits'!$A:$I,4,FALSE)</f>
        <v>1.18</v>
      </c>
      <c r="M1693" s="39">
        <f t="shared" si="325"/>
        <v>524.47</v>
      </c>
      <c r="N1693" s="24">
        <v>15</v>
      </c>
      <c r="O1693" s="26">
        <f t="shared" si="328"/>
        <v>34.964666666666666</v>
      </c>
      <c r="P1693" s="24">
        <v>1.1000000000000001</v>
      </c>
      <c r="Q1693" s="24">
        <v>36</v>
      </c>
      <c r="R1693" s="27">
        <f t="shared" si="329"/>
        <v>1384.6008000000002</v>
      </c>
      <c r="S1693" s="102">
        <f t="shared" si="331"/>
        <v>1.538</v>
      </c>
      <c r="T1693" s="21">
        <f>VLOOKUP($A1693,'2022-23 Salary &amp; Benefits'!$A:$I,5,FALSE)</f>
        <v>68937</v>
      </c>
      <c r="U1693" s="21">
        <f>VLOOKUP($A1693,'2022-23 Salary &amp; Benefits'!$A:$I,6,FALSE)</f>
        <v>72728</v>
      </c>
      <c r="V1693" s="22">
        <f t="shared" si="332"/>
        <v>125109.63</v>
      </c>
      <c r="W1693" s="22">
        <f t="shared" si="333"/>
        <v>6880.0499999999884</v>
      </c>
      <c r="X1693" s="22">
        <f>'2022-23 Salary &amp; Benefits'!$G$6</f>
        <v>12558.24</v>
      </c>
      <c r="Y1693" s="23">
        <f>'2022-23 Salary &amp; Benefits'!$H$6</f>
        <v>0.2298</v>
      </c>
      <c r="Z1693" s="23">
        <f>'2022-23 Salary &amp; Benefits'!$I$6</f>
        <v>0.22339999999999999</v>
      </c>
      <c r="AA1693" s="22">
        <f t="shared" si="334"/>
        <v>49601.77</v>
      </c>
      <c r="AB1693" s="22">
        <f t="shared" si="335"/>
        <v>2199.83</v>
      </c>
      <c r="AC1693" s="22">
        <f t="shared" si="336"/>
        <v>491.44</v>
      </c>
      <c r="AD1693" s="22">
        <f t="shared" si="326"/>
        <v>2691.27</v>
      </c>
      <c r="AE1693" s="22">
        <f t="shared" si="327"/>
        <v>184282.71999999997</v>
      </c>
      <c r="AF1693" s="19" t="str">
        <f>VLOOKUP(C1693,'2021-22 School Level AAFTE'!C:N,12,FALSE)</f>
        <v>No</v>
      </c>
    </row>
    <row r="1694" spans="1:32" s="5" customFormat="1">
      <c r="A1694" s="97" t="s">
        <v>2348</v>
      </c>
      <c r="B1694" s="97" t="s">
        <v>547</v>
      </c>
      <c r="C1694" s="95">
        <v>2220</v>
      </c>
      <c r="D1694" s="95" t="s">
        <v>578</v>
      </c>
      <c r="E1694" s="129">
        <f>VLOOKUP($C1694,'2021-22 School Level AAFTE'!$C:$Z,11,FALSE)</f>
        <v>8.5033333333333336E-2</v>
      </c>
      <c r="F1694" s="129" t="str">
        <f>VLOOKUP($C1694,'2021-22 School Level AAFTE'!$C:$Z,8,FALSE)</f>
        <v>No</v>
      </c>
      <c r="G1694" s="129" t="str">
        <f>VLOOKUP($C1694,'2021-22 School Level AAFTE'!$C:$Z,12,FALSE)</f>
        <v>No</v>
      </c>
      <c r="H1694" s="127">
        <f>VLOOKUP($C1694,'2021-22 School Level AAFTE'!$C:$I,7,FALSE)</f>
        <v>1651.4</v>
      </c>
      <c r="I1694" s="112">
        <f>IFERROR(IF(OR(G1694="yes",F1694= "yes"),VLOOKUP(C1694,Summary!$B:$J,6,0),0),0)</f>
        <v>0</v>
      </c>
      <c r="J1694" s="111">
        <f t="shared" si="330"/>
        <v>0</v>
      </c>
      <c r="K1694" s="91">
        <f>VLOOKUP($A1694,'2022-23 Salary &amp; Benefits'!$A:$I,3,FALSE)</f>
        <v>1.18</v>
      </c>
      <c r="L1694" s="91">
        <f>VLOOKUP($A1694,'2022-23 Salary &amp; Benefits'!$A:$I,4,FALSE)</f>
        <v>1.18</v>
      </c>
      <c r="M1694" s="39">
        <f t="shared" si="325"/>
        <v>0</v>
      </c>
      <c r="N1694" s="24">
        <v>15</v>
      </c>
      <c r="O1694" s="26">
        <f t="shared" si="328"/>
        <v>0</v>
      </c>
      <c r="P1694" s="24">
        <v>1.1000000000000001</v>
      </c>
      <c r="Q1694" s="24">
        <v>36</v>
      </c>
      <c r="R1694" s="27">
        <f t="shared" si="329"/>
        <v>0</v>
      </c>
      <c r="S1694" s="102">
        <f t="shared" si="331"/>
        <v>0</v>
      </c>
      <c r="T1694" s="21">
        <f>VLOOKUP($A1694,'2022-23 Salary &amp; Benefits'!$A:$I,5,FALSE)</f>
        <v>68937</v>
      </c>
      <c r="U1694" s="21">
        <f>VLOOKUP($A1694,'2022-23 Salary &amp; Benefits'!$A:$I,6,FALSE)</f>
        <v>72728</v>
      </c>
      <c r="V1694" s="22">
        <f t="shared" si="332"/>
        <v>0</v>
      </c>
      <c r="W1694" s="22">
        <f t="shared" si="333"/>
        <v>0</v>
      </c>
      <c r="X1694" s="22">
        <f>'2022-23 Salary &amp; Benefits'!$G$6</f>
        <v>12558.24</v>
      </c>
      <c r="Y1694" s="23">
        <f>'2022-23 Salary &amp; Benefits'!$H$6</f>
        <v>0.2298</v>
      </c>
      <c r="Z1694" s="23">
        <f>'2022-23 Salary &amp; Benefits'!$I$6</f>
        <v>0.22339999999999999</v>
      </c>
      <c r="AA1694" s="22">
        <f t="shared" si="334"/>
        <v>0</v>
      </c>
      <c r="AB1694" s="22">
        <f t="shared" si="335"/>
        <v>0</v>
      </c>
      <c r="AC1694" s="22">
        <f t="shared" si="336"/>
        <v>0</v>
      </c>
      <c r="AD1694" s="22">
        <f t="shared" si="326"/>
        <v>0</v>
      </c>
      <c r="AE1694" s="22">
        <f t="shared" si="327"/>
        <v>0</v>
      </c>
      <c r="AF1694" s="19" t="str">
        <f>VLOOKUP(C1694,'2021-22 School Level AAFTE'!C:N,12,FALSE)</f>
        <v>No</v>
      </c>
    </row>
    <row r="1695" spans="1:32" s="5" customFormat="1">
      <c r="A1695" s="97" t="s">
        <v>2348</v>
      </c>
      <c r="B1695" s="97" t="s">
        <v>547</v>
      </c>
      <c r="C1695" s="95">
        <v>2234</v>
      </c>
      <c r="D1695" s="95" t="s">
        <v>579</v>
      </c>
      <c r="E1695" s="129">
        <f>VLOOKUP($C1695,'2021-22 School Level AAFTE'!$C:$Z,11,FALSE)</f>
        <v>0.16996666666666668</v>
      </c>
      <c r="F1695" s="129" t="str">
        <f>VLOOKUP($C1695,'2021-22 School Level AAFTE'!$C:$Z,8,FALSE)</f>
        <v>No</v>
      </c>
      <c r="G1695" s="129" t="str">
        <f>VLOOKUP($C1695,'2021-22 School Level AAFTE'!$C:$Z,12,FALSE)</f>
        <v>No</v>
      </c>
      <c r="H1695" s="127">
        <f>VLOOKUP($C1695,'2021-22 School Level AAFTE'!$C:$I,7,FALSE)</f>
        <v>1209.8700000000001</v>
      </c>
      <c r="I1695" s="112">
        <f>IFERROR(IF(OR(G1695="yes",F1695= "yes"),VLOOKUP(C1695,Summary!$B:$J,6,0),0),0)</f>
        <v>0</v>
      </c>
      <c r="J1695" s="111">
        <f t="shared" si="330"/>
        <v>0</v>
      </c>
      <c r="K1695" s="91">
        <f>VLOOKUP($A1695,'2022-23 Salary &amp; Benefits'!$A:$I,3,FALSE)</f>
        <v>1.18</v>
      </c>
      <c r="L1695" s="91">
        <f>VLOOKUP($A1695,'2022-23 Salary &amp; Benefits'!$A:$I,4,FALSE)</f>
        <v>1.18</v>
      </c>
      <c r="M1695" s="39">
        <f t="shared" si="325"/>
        <v>0</v>
      </c>
      <c r="N1695" s="24">
        <v>15</v>
      </c>
      <c r="O1695" s="26">
        <f t="shared" si="328"/>
        <v>0</v>
      </c>
      <c r="P1695" s="24">
        <v>1.1000000000000001</v>
      </c>
      <c r="Q1695" s="24">
        <v>36</v>
      </c>
      <c r="R1695" s="27">
        <f t="shared" si="329"/>
        <v>0</v>
      </c>
      <c r="S1695" s="102">
        <f t="shared" si="331"/>
        <v>0</v>
      </c>
      <c r="T1695" s="21">
        <f>VLOOKUP($A1695,'2022-23 Salary &amp; Benefits'!$A:$I,5,FALSE)</f>
        <v>68937</v>
      </c>
      <c r="U1695" s="21">
        <f>VLOOKUP($A1695,'2022-23 Salary &amp; Benefits'!$A:$I,6,FALSE)</f>
        <v>72728</v>
      </c>
      <c r="V1695" s="22">
        <f t="shared" si="332"/>
        <v>0</v>
      </c>
      <c r="W1695" s="22">
        <f t="shared" si="333"/>
        <v>0</v>
      </c>
      <c r="X1695" s="22">
        <f>'2022-23 Salary &amp; Benefits'!$G$6</f>
        <v>12558.24</v>
      </c>
      <c r="Y1695" s="23">
        <f>'2022-23 Salary &amp; Benefits'!$H$6</f>
        <v>0.2298</v>
      </c>
      <c r="Z1695" s="23">
        <f>'2022-23 Salary &amp; Benefits'!$I$6</f>
        <v>0.22339999999999999</v>
      </c>
      <c r="AA1695" s="22">
        <f t="shared" si="334"/>
        <v>0</v>
      </c>
      <c r="AB1695" s="22">
        <f t="shared" si="335"/>
        <v>0</v>
      </c>
      <c r="AC1695" s="22">
        <f t="shared" si="336"/>
        <v>0</v>
      </c>
      <c r="AD1695" s="22">
        <f t="shared" si="326"/>
        <v>0</v>
      </c>
      <c r="AE1695" s="22">
        <f t="shared" si="327"/>
        <v>0</v>
      </c>
      <c r="AF1695" s="19" t="str">
        <f>VLOOKUP(C1695,'2021-22 School Level AAFTE'!C:N,12,FALSE)</f>
        <v>No</v>
      </c>
    </row>
    <row r="1696" spans="1:32" s="5" customFormat="1">
      <c r="A1696" s="97" t="s">
        <v>2348</v>
      </c>
      <c r="B1696" s="97" t="s">
        <v>547</v>
      </c>
      <c r="C1696" s="95">
        <v>2256</v>
      </c>
      <c r="D1696" s="95" t="s">
        <v>580</v>
      </c>
      <c r="E1696" s="129">
        <f>VLOOKUP($C1696,'2021-22 School Level AAFTE'!$C:$Z,11,FALSE)</f>
        <v>0.34569999999999995</v>
      </c>
      <c r="F1696" s="129" t="str">
        <f>VLOOKUP($C1696,'2021-22 School Level AAFTE'!$C:$Z,8,FALSE)</f>
        <v>No</v>
      </c>
      <c r="G1696" s="129" t="str">
        <f>VLOOKUP($C1696,'2021-22 School Level AAFTE'!$C:$Z,12,FALSE)</f>
        <v>No</v>
      </c>
      <c r="H1696" s="127">
        <f>VLOOKUP($C1696,'2021-22 School Level AAFTE'!$C:$I,7,FALSE)</f>
        <v>365.14</v>
      </c>
      <c r="I1696" s="112">
        <f>IFERROR(IF(OR(G1696="yes",F1696= "yes"),VLOOKUP(C1696,Summary!$B:$J,6,0),0),0)</f>
        <v>0</v>
      </c>
      <c r="J1696" s="111">
        <f t="shared" si="330"/>
        <v>0</v>
      </c>
      <c r="K1696" s="91">
        <f>VLOOKUP($A1696,'2022-23 Salary &amp; Benefits'!$A:$I,3,FALSE)</f>
        <v>1.18</v>
      </c>
      <c r="L1696" s="91">
        <f>VLOOKUP($A1696,'2022-23 Salary &amp; Benefits'!$A:$I,4,FALSE)</f>
        <v>1.18</v>
      </c>
      <c r="M1696" s="39">
        <f t="shared" si="325"/>
        <v>0</v>
      </c>
      <c r="N1696" s="24">
        <v>15</v>
      </c>
      <c r="O1696" s="26">
        <f t="shared" si="328"/>
        <v>0</v>
      </c>
      <c r="P1696" s="24">
        <v>1.1000000000000001</v>
      </c>
      <c r="Q1696" s="24">
        <v>36</v>
      </c>
      <c r="R1696" s="27">
        <f t="shared" si="329"/>
        <v>0</v>
      </c>
      <c r="S1696" s="102">
        <f t="shared" si="331"/>
        <v>0</v>
      </c>
      <c r="T1696" s="21">
        <f>VLOOKUP($A1696,'2022-23 Salary &amp; Benefits'!$A:$I,5,FALSE)</f>
        <v>68937</v>
      </c>
      <c r="U1696" s="21">
        <f>VLOOKUP($A1696,'2022-23 Salary &amp; Benefits'!$A:$I,6,FALSE)</f>
        <v>72728</v>
      </c>
      <c r="V1696" s="22">
        <f t="shared" si="332"/>
        <v>0</v>
      </c>
      <c r="W1696" s="22">
        <f t="shared" si="333"/>
        <v>0</v>
      </c>
      <c r="X1696" s="22">
        <f>'2022-23 Salary &amp; Benefits'!$G$6</f>
        <v>12558.24</v>
      </c>
      <c r="Y1696" s="23">
        <f>'2022-23 Salary &amp; Benefits'!$H$6</f>
        <v>0.2298</v>
      </c>
      <c r="Z1696" s="23">
        <f>'2022-23 Salary &amp; Benefits'!$I$6</f>
        <v>0.22339999999999999</v>
      </c>
      <c r="AA1696" s="22">
        <f t="shared" si="334"/>
        <v>0</v>
      </c>
      <c r="AB1696" s="22">
        <f t="shared" si="335"/>
        <v>0</v>
      </c>
      <c r="AC1696" s="22">
        <f t="shared" si="336"/>
        <v>0</v>
      </c>
      <c r="AD1696" s="22">
        <f t="shared" si="326"/>
        <v>0</v>
      </c>
      <c r="AE1696" s="22">
        <f t="shared" si="327"/>
        <v>0</v>
      </c>
      <c r="AF1696" s="19" t="str">
        <f>VLOOKUP(C1696,'2021-22 School Level AAFTE'!C:N,12,FALSE)</f>
        <v>No</v>
      </c>
    </row>
    <row r="1697" spans="1:284" s="5" customFormat="1">
      <c r="A1697" s="97" t="s">
        <v>2348</v>
      </c>
      <c r="B1697" s="97" t="s">
        <v>547</v>
      </c>
      <c r="C1697" s="95">
        <v>2269</v>
      </c>
      <c r="D1697" s="95" t="s">
        <v>581</v>
      </c>
      <c r="E1697" s="129">
        <f>VLOOKUP($C1697,'2021-22 School Level AAFTE'!$C:$Z,11,FALSE)</f>
        <v>0.59186666666666665</v>
      </c>
      <c r="F1697" s="129" t="str">
        <f>VLOOKUP($C1697,'2021-22 School Level AAFTE'!$C:$Z,8,FALSE)</f>
        <v>Yes</v>
      </c>
      <c r="G1697" s="129" t="str">
        <f>VLOOKUP($C1697,'2021-22 School Level AAFTE'!$C:$Z,12,FALSE)</f>
        <v>No</v>
      </c>
      <c r="H1697" s="127">
        <f>VLOOKUP($C1697,'2021-22 School Level AAFTE'!$C:$I,7,FALSE)</f>
        <v>277.29000000000002</v>
      </c>
      <c r="I1697" s="112">
        <f>IFERROR(IF(OR(G1697="yes",F1697= "yes"),VLOOKUP(C1697,Summary!$B:$J,6,0),0),0)</f>
        <v>0</v>
      </c>
      <c r="J1697" s="111">
        <f t="shared" si="330"/>
        <v>277.29000000000002</v>
      </c>
      <c r="K1697" s="91">
        <f>VLOOKUP($A1697,'2022-23 Salary &amp; Benefits'!$A:$I,3,FALSE)</f>
        <v>1.18</v>
      </c>
      <c r="L1697" s="91">
        <f>VLOOKUP($A1697,'2022-23 Salary &amp; Benefits'!$A:$I,4,FALSE)</f>
        <v>1.18</v>
      </c>
      <c r="M1697" s="39">
        <f t="shared" si="325"/>
        <v>277.29000000000002</v>
      </c>
      <c r="N1697" s="24">
        <v>15</v>
      </c>
      <c r="O1697" s="26">
        <f t="shared" si="328"/>
        <v>18.486000000000001</v>
      </c>
      <c r="P1697" s="24">
        <v>1.1000000000000001</v>
      </c>
      <c r="Q1697" s="24">
        <v>36</v>
      </c>
      <c r="R1697" s="27">
        <f t="shared" si="329"/>
        <v>732.04560000000004</v>
      </c>
      <c r="S1697" s="102">
        <f t="shared" si="331"/>
        <v>0.81299999999999994</v>
      </c>
      <c r="T1697" s="21">
        <f>VLOOKUP($A1697,'2022-23 Salary &amp; Benefits'!$A:$I,5,FALSE)</f>
        <v>68937</v>
      </c>
      <c r="U1697" s="21">
        <f>VLOOKUP($A1697,'2022-23 Salary &amp; Benefits'!$A:$I,6,FALSE)</f>
        <v>72728</v>
      </c>
      <c r="V1697" s="22">
        <f t="shared" si="332"/>
        <v>66134.02</v>
      </c>
      <c r="W1697" s="22">
        <f t="shared" si="333"/>
        <v>3636.8600000000006</v>
      </c>
      <c r="X1697" s="22">
        <f>'2022-23 Salary &amp; Benefits'!$G$6</f>
        <v>12558.24</v>
      </c>
      <c r="Y1697" s="23">
        <f>'2022-23 Salary &amp; Benefits'!$H$6</f>
        <v>0.2298</v>
      </c>
      <c r="Z1697" s="23">
        <f>'2022-23 Salary &amp; Benefits'!$I$6</f>
        <v>0.22339999999999999</v>
      </c>
      <c r="AA1697" s="22">
        <f t="shared" si="334"/>
        <v>26219.919999999998</v>
      </c>
      <c r="AB1697" s="22">
        <f t="shared" si="335"/>
        <v>1162.8499999999999</v>
      </c>
      <c r="AC1697" s="22">
        <f t="shared" si="336"/>
        <v>259.77999999999997</v>
      </c>
      <c r="AD1697" s="22">
        <f t="shared" si="326"/>
        <v>1422.6299999999999</v>
      </c>
      <c r="AE1697" s="22">
        <f t="shared" si="327"/>
        <v>97413.430000000008</v>
      </c>
      <c r="AF1697" s="19" t="str">
        <f>VLOOKUP(C1697,'2021-22 School Level AAFTE'!C:N,12,FALSE)</f>
        <v>No</v>
      </c>
    </row>
    <row r="1698" spans="1:284" s="5" customFormat="1">
      <c r="A1698" s="97" t="s">
        <v>2348</v>
      </c>
      <c r="B1698" s="97" t="s">
        <v>547</v>
      </c>
      <c r="C1698" s="95">
        <v>2285</v>
      </c>
      <c r="D1698" s="95" t="s">
        <v>582</v>
      </c>
      <c r="E1698" s="129">
        <f>VLOOKUP($C1698,'2021-22 School Level AAFTE'!$C:$Z,11,FALSE)</f>
        <v>9.7533333333333319E-2</v>
      </c>
      <c r="F1698" s="129" t="str">
        <f>VLOOKUP($C1698,'2021-22 School Level AAFTE'!$C:$Z,8,FALSE)</f>
        <v>No</v>
      </c>
      <c r="G1698" s="129" t="str">
        <f>VLOOKUP($C1698,'2021-22 School Level AAFTE'!$C:$Z,12,FALSE)</f>
        <v>No</v>
      </c>
      <c r="H1698" s="127">
        <f>VLOOKUP($C1698,'2021-22 School Level AAFTE'!$C:$I,7,FALSE)</f>
        <v>1555.67</v>
      </c>
      <c r="I1698" s="112">
        <f>IFERROR(IF(OR(G1698="yes",F1698= "yes"),VLOOKUP(C1698,Summary!$B:$J,6,0),0),0)</f>
        <v>0</v>
      </c>
      <c r="J1698" s="111">
        <f t="shared" si="330"/>
        <v>0</v>
      </c>
      <c r="K1698" s="91">
        <f>VLOOKUP($A1698,'2022-23 Salary &amp; Benefits'!$A:$I,3,FALSE)</f>
        <v>1.18</v>
      </c>
      <c r="L1698" s="91">
        <f>VLOOKUP($A1698,'2022-23 Salary &amp; Benefits'!$A:$I,4,FALSE)</f>
        <v>1.18</v>
      </c>
      <c r="M1698" s="39">
        <f t="shared" si="325"/>
        <v>0</v>
      </c>
      <c r="N1698" s="24">
        <v>15</v>
      </c>
      <c r="O1698" s="26">
        <f t="shared" si="328"/>
        <v>0</v>
      </c>
      <c r="P1698" s="24">
        <v>1.1000000000000001</v>
      </c>
      <c r="Q1698" s="24">
        <v>36</v>
      </c>
      <c r="R1698" s="27">
        <f t="shared" si="329"/>
        <v>0</v>
      </c>
      <c r="S1698" s="102">
        <f t="shared" si="331"/>
        <v>0</v>
      </c>
      <c r="T1698" s="21">
        <f>VLOOKUP($A1698,'2022-23 Salary &amp; Benefits'!$A:$I,5,FALSE)</f>
        <v>68937</v>
      </c>
      <c r="U1698" s="21">
        <f>VLOOKUP($A1698,'2022-23 Salary &amp; Benefits'!$A:$I,6,FALSE)</f>
        <v>72728</v>
      </c>
      <c r="V1698" s="22">
        <f t="shared" si="332"/>
        <v>0</v>
      </c>
      <c r="W1698" s="22">
        <f t="shared" si="333"/>
        <v>0</v>
      </c>
      <c r="X1698" s="22">
        <f>'2022-23 Salary &amp; Benefits'!$G$6</f>
        <v>12558.24</v>
      </c>
      <c r="Y1698" s="23">
        <f>'2022-23 Salary &amp; Benefits'!$H$6</f>
        <v>0.2298</v>
      </c>
      <c r="Z1698" s="23">
        <f>'2022-23 Salary &amp; Benefits'!$I$6</f>
        <v>0.22339999999999999</v>
      </c>
      <c r="AA1698" s="22">
        <f t="shared" si="334"/>
        <v>0</v>
      </c>
      <c r="AB1698" s="22">
        <f t="shared" si="335"/>
        <v>0</v>
      </c>
      <c r="AC1698" s="22">
        <f t="shared" si="336"/>
        <v>0</v>
      </c>
      <c r="AD1698" s="22">
        <f t="shared" si="326"/>
        <v>0</v>
      </c>
      <c r="AE1698" s="22">
        <f t="shared" si="327"/>
        <v>0</v>
      </c>
      <c r="AF1698" s="19" t="str">
        <f>VLOOKUP(C1698,'2021-22 School Level AAFTE'!C:N,12,FALSE)</f>
        <v>No</v>
      </c>
    </row>
    <row r="1699" spans="1:284" s="5" customFormat="1">
      <c r="A1699" s="97" t="s">
        <v>2348</v>
      </c>
      <c r="B1699" s="97" t="s">
        <v>547</v>
      </c>
      <c r="C1699" s="95">
        <v>2306</v>
      </c>
      <c r="D1699" s="95" t="s">
        <v>583</v>
      </c>
      <c r="E1699" s="129">
        <f>VLOOKUP($C1699,'2021-22 School Level AAFTE'!$C:$Z,11,FALSE)</f>
        <v>0.31279999999999997</v>
      </c>
      <c r="F1699" s="129" t="str">
        <f>VLOOKUP($C1699,'2021-22 School Level AAFTE'!$C:$Z,8,FALSE)</f>
        <v>No</v>
      </c>
      <c r="G1699" s="129" t="str">
        <f>VLOOKUP($C1699,'2021-22 School Level AAFTE'!$C:$Z,12,FALSE)</f>
        <v>No</v>
      </c>
      <c r="H1699" s="127">
        <f>VLOOKUP($C1699,'2021-22 School Level AAFTE'!$C:$I,7,FALSE)</f>
        <v>1616.11</v>
      </c>
      <c r="I1699" s="112">
        <f>IFERROR(IF(OR(G1699="yes",F1699= "yes"),VLOOKUP(C1699,Summary!$B:$J,6,0),0),0)</f>
        <v>0</v>
      </c>
      <c r="J1699" s="111">
        <f t="shared" si="330"/>
        <v>0</v>
      </c>
      <c r="K1699" s="91">
        <f>VLOOKUP($A1699,'2022-23 Salary &amp; Benefits'!$A:$I,3,FALSE)</f>
        <v>1.18</v>
      </c>
      <c r="L1699" s="91">
        <f>VLOOKUP($A1699,'2022-23 Salary &amp; Benefits'!$A:$I,4,FALSE)</f>
        <v>1.18</v>
      </c>
      <c r="M1699" s="39">
        <f t="shared" si="325"/>
        <v>0</v>
      </c>
      <c r="N1699" s="24">
        <v>15</v>
      </c>
      <c r="O1699" s="26">
        <f t="shared" si="328"/>
        <v>0</v>
      </c>
      <c r="P1699" s="24">
        <v>1.1000000000000001</v>
      </c>
      <c r="Q1699" s="24">
        <v>36</v>
      </c>
      <c r="R1699" s="27">
        <f t="shared" si="329"/>
        <v>0</v>
      </c>
      <c r="S1699" s="102">
        <f t="shared" si="331"/>
        <v>0</v>
      </c>
      <c r="T1699" s="21">
        <f>VLOOKUP($A1699,'2022-23 Salary &amp; Benefits'!$A:$I,5,FALSE)</f>
        <v>68937</v>
      </c>
      <c r="U1699" s="21">
        <f>VLOOKUP($A1699,'2022-23 Salary &amp; Benefits'!$A:$I,6,FALSE)</f>
        <v>72728</v>
      </c>
      <c r="V1699" s="22">
        <f t="shared" si="332"/>
        <v>0</v>
      </c>
      <c r="W1699" s="22">
        <f t="shared" si="333"/>
        <v>0</v>
      </c>
      <c r="X1699" s="22">
        <f>'2022-23 Salary &amp; Benefits'!$G$6</f>
        <v>12558.24</v>
      </c>
      <c r="Y1699" s="23">
        <f>'2022-23 Salary &amp; Benefits'!$H$6</f>
        <v>0.2298</v>
      </c>
      <c r="Z1699" s="23">
        <f>'2022-23 Salary &amp; Benefits'!$I$6</f>
        <v>0.22339999999999999</v>
      </c>
      <c r="AA1699" s="22">
        <f t="shared" si="334"/>
        <v>0</v>
      </c>
      <c r="AB1699" s="22">
        <f t="shared" si="335"/>
        <v>0</v>
      </c>
      <c r="AC1699" s="22">
        <f t="shared" si="336"/>
        <v>0</v>
      </c>
      <c r="AD1699" s="22">
        <f t="shared" si="326"/>
        <v>0</v>
      </c>
      <c r="AE1699" s="22">
        <f t="shared" si="327"/>
        <v>0</v>
      </c>
      <c r="AF1699" s="19" t="str">
        <f>VLOOKUP(C1699,'2021-22 School Level AAFTE'!C:N,12,FALSE)</f>
        <v>No</v>
      </c>
    </row>
    <row r="1700" spans="1:284" s="5" customFormat="1">
      <c r="A1700" s="97" t="s">
        <v>2348</v>
      </c>
      <c r="B1700" s="97" t="s">
        <v>547</v>
      </c>
      <c r="C1700" s="95">
        <v>2307</v>
      </c>
      <c r="D1700" s="95" t="s">
        <v>584</v>
      </c>
      <c r="E1700" s="129">
        <f>VLOOKUP($C1700,'2021-22 School Level AAFTE'!$C:$Z,11,FALSE)</f>
        <v>0.71326666666666672</v>
      </c>
      <c r="F1700" s="129" t="str">
        <f>VLOOKUP($C1700,'2021-22 School Level AAFTE'!$C:$Z,8,FALSE)</f>
        <v>Yes</v>
      </c>
      <c r="G1700" s="129" t="str">
        <f>VLOOKUP($C1700,'2021-22 School Level AAFTE'!$C:$Z,12,FALSE)</f>
        <v>No</v>
      </c>
      <c r="H1700" s="127">
        <f>VLOOKUP($C1700,'2021-22 School Level AAFTE'!$C:$I,7,FALSE)</f>
        <v>293.29000000000002</v>
      </c>
      <c r="I1700" s="112">
        <f>IFERROR(IF(OR(G1700="yes",F1700= "yes"),VLOOKUP(C1700,Summary!$B:$J,6,0),0),0)</f>
        <v>0</v>
      </c>
      <c r="J1700" s="111">
        <f t="shared" si="330"/>
        <v>293.29000000000002</v>
      </c>
      <c r="K1700" s="91">
        <f>VLOOKUP($A1700,'2022-23 Salary &amp; Benefits'!$A:$I,3,FALSE)</f>
        <v>1.18</v>
      </c>
      <c r="L1700" s="91">
        <f>VLOOKUP($A1700,'2022-23 Salary &amp; Benefits'!$A:$I,4,FALSE)</f>
        <v>1.18</v>
      </c>
      <c r="M1700" s="101">
        <f t="shared" si="325"/>
        <v>293.29000000000002</v>
      </c>
      <c r="N1700" s="24">
        <v>15</v>
      </c>
      <c r="O1700" s="26">
        <f t="shared" si="328"/>
        <v>19.552666666666667</v>
      </c>
      <c r="P1700" s="24">
        <v>1.1000000000000001</v>
      </c>
      <c r="Q1700" s="24">
        <v>36</v>
      </c>
      <c r="R1700" s="27">
        <f t="shared" si="329"/>
        <v>774.28560000000004</v>
      </c>
      <c r="S1700" s="102">
        <f t="shared" si="331"/>
        <v>0.86</v>
      </c>
      <c r="T1700" s="21">
        <f>VLOOKUP($A1700,'2022-23 Salary &amp; Benefits'!$A:$I,5,FALSE)</f>
        <v>68937</v>
      </c>
      <c r="U1700" s="21">
        <f>VLOOKUP($A1700,'2022-23 Salary &amp; Benefits'!$A:$I,6,FALSE)</f>
        <v>72728</v>
      </c>
      <c r="V1700" s="22">
        <f t="shared" si="332"/>
        <v>69957.27</v>
      </c>
      <c r="W1700" s="22">
        <f t="shared" si="333"/>
        <v>3847.0999999999913</v>
      </c>
      <c r="X1700" s="22">
        <f>'2022-23 Salary &amp; Benefits'!$G$6</f>
        <v>12558.24</v>
      </c>
      <c r="Y1700" s="23">
        <f>'2022-23 Salary &amp; Benefits'!$H$6</f>
        <v>0.2298</v>
      </c>
      <c r="Z1700" s="23">
        <f>'2022-23 Salary &amp; Benefits'!$I$6</f>
        <v>0.22339999999999999</v>
      </c>
      <c r="AA1700" s="22">
        <f t="shared" si="334"/>
        <v>27735.71</v>
      </c>
      <c r="AB1700" s="22">
        <f t="shared" si="335"/>
        <v>1230.07</v>
      </c>
      <c r="AC1700" s="22">
        <f t="shared" si="336"/>
        <v>274.8</v>
      </c>
      <c r="AD1700" s="22">
        <f t="shared" si="326"/>
        <v>1504.87</v>
      </c>
      <c r="AE1700" s="22">
        <f t="shared" si="327"/>
        <v>103044.95</v>
      </c>
      <c r="AF1700" s="19" t="str">
        <f>VLOOKUP(C1700,'2021-22 School Level AAFTE'!C:N,12,FALSE)</f>
        <v>No</v>
      </c>
    </row>
    <row r="1701" spans="1:284" s="5" customFormat="1">
      <c r="A1701" s="97" t="s">
        <v>2348</v>
      </c>
      <c r="B1701" s="97" t="s">
        <v>547</v>
      </c>
      <c r="C1701" s="95">
        <v>2321</v>
      </c>
      <c r="D1701" s="95" t="s">
        <v>585</v>
      </c>
      <c r="E1701" s="129">
        <f>VLOOKUP($C1701,'2021-22 School Level AAFTE'!$C:$Z,11,FALSE)</f>
        <v>0.59829999999999994</v>
      </c>
      <c r="F1701" s="129" t="str">
        <f>VLOOKUP($C1701,'2021-22 School Level AAFTE'!$C:$Z,8,FALSE)</f>
        <v>Yes</v>
      </c>
      <c r="G1701" s="129" t="str">
        <f>VLOOKUP($C1701,'2021-22 School Level AAFTE'!$C:$Z,12,FALSE)</f>
        <v>No</v>
      </c>
      <c r="H1701" s="127">
        <f>VLOOKUP($C1701,'2021-22 School Level AAFTE'!$C:$I,7,FALSE)</f>
        <v>223.29</v>
      </c>
      <c r="I1701" s="112">
        <f>IFERROR(IF(OR(G1701="yes",F1701= "yes"),VLOOKUP(C1701,Summary!$B:$J,6,0),0),0)</f>
        <v>0</v>
      </c>
      <c r="J1701" s="111">
        <f t="shared" si="330"/>
        <v>223.29</v>
      </c>
      <c r="K1701" s="91">
        <f>VLOOKUP($A1701,'2022-23 Salary &amp; Benefits'!$A:$I,3,FALSE)</f>
        <v>1.18</v>
      </c>
      <c r="L1701" s="91">
        <f>VLOOKUP($A1701,'2022-23 Salary &amp; Benefits'!$A:$I,4,FALSE)</f>
        <v>1.18</v>
      </c>
      <c r="M1701" s="101">
        <f t="shared" si="325"/>
        <v>223.29</v>
      </c>
      <c r="N1701" s="24">
        <v>15</v>
      </c>
      <c r="O1701" s="26">
        <f t="shared" si="328"/>
        <v>14.885999999999999</v>
      </c>
      <c r="P1701" s="24">
        <v>1.1000000000000001</v>
      </c>
      <c r="Q1701" s="24">
        <v>36</v>
      </c>
      <c r="R1701" s="27">
        <f t="shared" si="329"/>
        <v>589.48559999999998</v>
      </c>
      <c r="S1701" s="102">
        <f t="shared" si="331"/>
        <v>0.65500000000000003</v>
      </c>
      <c r="T1701" s="21">
        <f>VLOOKUP($A1701,'2022-23 Salary &amp; Benefits'!$A:$I,5,FALSE)</f>
        <v>68937</v>
      </c>
      <c r="U1701" s="21">
        <f>VLOOKUP($A1701,'2022-23 Salary &amp; Benefits'!$A:$I,6,FALSE)</f>
        <v>72728</v>
      </c>
      <c r="V1701" s="22">
        <f t="shared" si="332"/>
        <v>53281.41</v>
      </c>
      <c r="W1701" s="22">
        <f t="shared" si="333"/>
        <v>2930.0599999999977</v>
      </c>
      <c r="X1701" s="22">
        <f>'2022-23 Salary &amp; Benefits'!$G$6</f>
        <v>12558.24</v>
      </c>
      <c r="Y1701" s="23">
        <f>'2022-23 Salary &amp; Benefits'!$H$6</f>
        <v>0.2298</v>
      </c>
      <c r="Z1701" s="23">
        <f>'2022-23 Salary &amp; Benefits'!$I$6</f>
        <v>0.22339999999999999</v>
      </c>
      <c r="AA1701" s="22">
        <f t="shared" si="334"/>
        <v>21124.29</v>
      </c>
      <c r="AB1701" s="22">
        <f t="shared" si="335"/>
        <v>936.86</v>
      </c>
      <c r="AC1701" s="22">
        <f t="shared" si="336"/>
        <v>209.29</v>
      </c>
      <c r="AD1701" s="22">
        <f t="shared" si="326"/>
        <v>1146.1500000000001</v>
      </c>
      <c r="AE1701" s="22">
        <f t="shared" si="327"/>
        <v>78481.91</v>
      </c>
      <c r="AF1701" s="19" t="str">
        <f>VLOOKUP(C1701,'2021-22 School Level AAFTE'!C:N,12,FALSE)</f>
        <v>No</v>
      </c>
    </row>
    <row r="1702" spans="1:284" s="5" customFormat="1">
      <c r="A1702" s="97" t="s">
        <v>2348</v>
      </c>
      <c r="B1702" s="97" t="s">
        <v>547</v>
      </c>
      <c r="C1702" s="95">
        <v>2322</v>
      </c>
      <c r="D1702" s="95" t="s">
        <v>586</v>
      </c>
      <c r="E1702" s="129">
        <f>VLOOKUP($C1702,'2021-22 School Level AAFTE'!$C:$Z,11,FALSE)</f>
        <v>4.6766666666666658E-2</v>
      </c>
      <c r="F1702" s="129" t="str">
        <f>VLOOKUP($C1702,'2021-22 School Level AAFTE'!$C:$Z,8,FALSE)</f>
        <v>No</v>
      </c>
      <c r="G1702" s="129" t="str">
        <f>VLOOKUP($C1702,'2021-22 School Level AAFTE'!$C:$Z,12,FALSE)</f>
        <v>No</v>
      </c>
      <c r="H1702" s="127">
        <f>VLOOKUP($C1702,'2021-22 School Level AAFTE'!$C:$I,7,FALSE)</f>
        <v>185.44</v>
      </c>
      <c r="I1702" s="112">
        <f>IFERROR(IF(OR(G1702="yes",F1702= "yes"),VLOOKUP(C1702,Summary!$B:$J,6,0),0),0)</f>
        <v>0</v>
      </c>
      <c r="J1702" s="111">
        <f t="shared" si="330"/>
        <v>0</v>
      </c>
      <c r="K1702" s="91">
        <f>VLOOKUP($A1702,'2022-23 Salary &amp; Benefits'!$A:$I,3,FALSE)</f>
        <v>1.18</v>
      </c>
      <c r="L1702" s="91">
        <f>VLOOKUP($A1702,'2022-23 Salary &amp; Benefits'!$A:$I,4,FALSE)</f>
        <v>1.18</v>
      </c>
      <c r="M1702" s="39">
        <f t="shared" si="325"/>
        <v>0</v>
      </c>
      <c r="N1702" s="24">
        <v>15</v>
      </c>
      <c r="O1702" s="26">
        <f t="shared" si="328"/>
        <v>0</v>
      </c>
      <c r="P1702" s="24">
        <v>1.1000000000000001</v>
      </c>
      <c r="Q1702" s="24">
        <v>36</v>
      </c>
      <c r="R1702" s="27">
        <f t="shared" si="329"/>
        <v>0</v>
      </c>
      <c r="S1702" s="102">
        <f t="shared" si="331"/>
        <v>0</v>
      </c>
      <c r="T1702" s="21">
        <f>VLOOKUP($A1702,'2022-23 Salary &amp; Benefits'!$A:$I,5,FALSE)</f>
        <v>68937</v>
      </c>
      <c r="U1702" s="21">
        <f>VLOOKUP($A1702,'2022-23 Salary &amp; Benefits'!$A:$I,6,FALSE)</f>
        <v>72728</v>
      </c>
      <c r="V1702" s="22">
        <f t="shared" si="332"/>
        <v>0</v>
      </c>
      <c r="W1702" s="22">
        <f t="shared" si="333"/>
        <v>0</v>
      </c>
      <c r="X1702" s="22">
        <f>'2022-23 Salary &amp; Benefits'!$G$6</f>
        <v>12558.24</v>
      </c>
      <c r="Y1702" s="23">
        <f>'2022-23 Salary &amp; Benefits'!$H$6</f>
        <v>0.2298</v>
      </c>
      <c r="Z1702" s="23">
        <f>'2022-23 Salary &amp; Benefits'!$I$6</f>
        <v>0.22339999999999999</v>
      </c>
      <c r="AA1702" s="22">
        <f t="shared" si="334"/>
        <v>0</v>
      </c>
      <c r="AB1702" s="22">
        <f t="shared" si="335"/>
        <v>0</v>
      </c>
      <c r="AC1702" s="22">
        <f t="shared" si="336"/>
        <v>0</v>
      </c>
      <c r="AD1702" s="22">
        <f t="shared" si="326"/>
        <v>0</v>
      </c>
      <c r="AE1702" s="22">
        <f t="shared" si="327"/>
        <v>0</v>
      </c>
      <c r="AF1702" s="19" t="str">
        <f>VLOOKUP(C1702,'2021-22 School Level AAFTE'!C:N,12,FALSE)</f>
        <v>No</v>
      </c>
    </row>
    <row r="1703" spans="1:284" s="5" customFormat="1">
      <c r="A1703" s="97" t="s">
        <v>2348</v>
      </c>
      <c r="B1703" s="97" t="s">
        <v>547</v>
      </c>
      <c r="C1703" s="95">
        <v>2353</v>
      </c>
      <c r="D1703" s="95" t="s">
        <v>587</v>
      </c>
      <c r="E1703" s="129">
        <f>VLOOKUP($C1703,'2021-22 School Level AAFTE'!$C:$Z,11,FALSE)</f>
        <v>0.49709999999999993</v>
      </c>
      <c r="F1703" s="129" t="str">
        <f>VLOOKUP($C1703,'2021-22 School Level AAFTE'!$C:$Z,8,FALSE)</f>
        <v>No</v>
      </c>
      <c r="G1703" s="129" t="str">
        <f>VLOOKUP($C1703,'2021-22 School Level AAFTE'!$C:$Z,12,FALSE)</f>
        <v>Yes</v>
      </c>
      <c r="H1703" s="127">
        <f>VLOOKUP($C1703,'2021-22 School Level AAFTE'!$C:$I,7,FALSE)</f>
        <v>442.43</v>
      </c>
      <c r="I1703" s="112">
        <f>IFERROR(IF(OR(G1703="yes",F1703= "yes"),VLOOKUP(C1703,Summary!$B:$J,6,0),0),0)</f>
        <v>0</v>
      </c>
      <c r="J1703" s="111">
        <f t="shared" si="330"/>
        <v>442.43</v>
      </c>
      <c r="K1703" s="91">
        <f>VLOOKUP($A1703,'2022-23 Salary &amp; Benefits'!$A:$I,3,FALSE)</f>
        <v>1.18</v>
      </c>
      <c r="L1703" s="91">
        <f>VLOOKUP($A1703,'2022-23 Salary &amp; Benefits'!$A:$I,4,FALSE)</f>
        <v>1.18</v>
      </c>
      <c r="M1703" s="101">
        <f t="shared" si="325"/>
        <v>442.43</v>
      </c>
      <c r="N1703" s="24">
        <v>15</v>
      </c>
      <c r="O1703" s="26">
        <f t="shared" si="328"/>
        <v>29.495333333333335</v>
      </c>
      <c r="P1703" s="24">
        <v>1.1000000000000001</v>
      </c>
      <c r="Q1703" s="24">
        <v>36</v>
      </c>
      <c r="R1703" s="27">
        <f t="shared" si="329"/>
        <v>1168.0152</v>
      </c>
      <c r="S1703" s="102">
        <f t="shared" si="331"/>
        <v>1.298</v>
      </c>
      <c r="T1703" s="21">
        <f>VLOOKUP($A1703,'2022-23 Salary &amp; Benefits'!$A:$I,5,FALSE)</f>
        <v>68937</v>
      </c>
      <c r="U1703" s="21">
        <f>VLOOKUP($A1703,'2022-23 Salary &amp; Benefits'!$A:$I,6,FALSE)</f>
        <v>72728</v>
      </c>
      <c r="V1703" s="22">
        <f t="shared" si="332"/>
        <v>105586.67</v>
      </c>
      <c r="W1703" s="22">
        <f t="shared" si="333"/>
        <v>5806.4400000000023</v>
      </c>
      <c r="X1703" s="22">
        <f>'2022-23 Salary &amp; Benefits'!$G$6</f>
        <v>12558.24</v>
      </c>
      <c r="Y1703" s="23">
        <f>'2022-23 Salary &amp; Benefits'!$H$6</f>
        <v>0.2298</v>
      </c>
      <c r="Z1703" s="23">
        <f>'2022-23 Salary &amp; Benefits'!$I$6</f>
        <v>0.22339999999999999</v>
      </c>
      <c r="AA1703" s="22">
        <f t="shared" si="334"/>
        <v>41861.57</v>
      </c>
      <c r="AB1703" s="22">
        <f t="shared" si="335"/>
        <v>1856.55</v>
      </c>
      <c r="AC1703" s="22">
        <f t="shared" si="336"/>
        <v>414.75</v>
      </c>
      <c r="AD1703" s="22">
        <f t="shared" si="326"/>
        <v>2271.3000000000002</v>
      </c>
      <c r="AE1703" s="22">
        <f t="shared" si="327"/>
        <v>155525.97999999998</v>
      </c>
      <c r="AF1703" s="19" t="str">
        <f>VLOOKUP(C1703,'2021-22 School Level AAFTE'!C:N,12,FALSE)</f>
        <v>Yes</v>
      </c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  <c r="IG1703" s="3"/>
      <c r="IH1703" s="3"/>
      <c r="II1703" s="3"/>
      <c r="IJ1703" s="3"/>
      <c r="IK1703" s="3"/>
      <c r="IL1703" s="3"/>
      <c r="IM1703" s="3"/>
      <c r="IN1703" s="3"/>
      <c r="IO1703" s="3"/>
      <c r="IP1703" s="3"/>
      <c r="IQ1703" s="3"/>
      <c r="IR1703" s="3"/>
      <c r="IS1703" s="3"/>
      <c r="IT1703" s="3"/>
      <c r="IU1703" s="3"/>
      <c r="IV1703" s="3"/>
      <c r="IW1703" s="3"/>
      <c r="IX1703" s="3"/>
      <c r="IY1703" s="3"/>
      <c r="IZ1703" s="3"/>
      <c r="JA1703" s="3"/>
      <c r="JB1703" s="3"/>
      <c r="JC1703" s="3"/>
      <c r="JD1703" s="3"/>
      <c r="JE1703" s="3"/>
      <c r="JF1703" s="3"/>
      <c r="JG1703" s="3"/>
      <c r="JH1703" s="3"/>
      <c r="JI1703" s="3"/>
      <c r="JJ1703" s="3"/>
      <c r="JK1703" s="3"/>
      <c r="JL1703" s="3"/>
      <c r="JM1703" s="3"/>
      <c r="JN1703" s="3"/>
      <c r="JO1703" s="3"/>
      <c r="JP1703" s="3"/>
      <c r="JQ1703" s="3"/>
      <c r="JR1703" s="3"/>
      <c r="JS1703" s="3"/>
      <c r="JT1703" s="3"/>
      <c r="JU1703" s="3"/>
      <c r="JV1703" s="3"/>
      <c r="JW1703" s="3"/>
      <c r="JX1703" s="3"/>
    </row>
    <row r="1704" spans="1:284" s="5" customFormat="1">
      <c r="A1704" s="97" t="s">
        <v>2348</v>
      </c>
      <c r="B1704" s="97" t="s">
        <v>547</v>
      </c>
      <c r="C1704" s="95">
        <v>2371</v>
      </c>
      <c r="D1704" s="95" t="s">
        <v>588</v>
      </c>
      <c r="E1704" s="129">
        <f>VLOOKUP($C1704,'2021-22 School Level AAFTE'!$C:$Z,11,FALSE)</f>
        <v>8.4600000000000009E-2</v>
      </c>
      <c r="F1704" s="129" t="str">
        <f>VLOOKUP($C1704,'2021-22 School Level AAFTE'!$C:$Z,8,FALSE)</f>
        <v>No</v>
      </c>
      <c r="G1704" s="129" t="str">
        <f>VLOOKUP($C1704,'2021-22 School Level AAFTE'!$C:$Z,12,FALSE)</f>
        <v>No</v>
      </c>
      <c r="H1704" s="127">
        <f>VLOOKUP($C1704,'2021-22 School Level AAFTE'!$C:$I,7,FALSE)</f>
        <v>923.99</v>
      </c>
      <c r="I1704" s="112">
        <f>IFERROR(IF(OR(G1704="yes",F1704= "yes"),VLOOKUP(C1704,Summary!$B:$J,6,0),0),0)</f>
        <v>0</v>
      </c>
      <c r="J1704" s="111">
        <f t="shared" si="330"/>
        <v>0</v>
      </c>
      <c r="K1704" s="91">
        <f>VLOOKUP($A1704,'2022-23 Salary &amp; Benefits'!$A:$I,3,FALSE)</f>
        <v>1.18</v>
      </c>
      <c r="L1704" s="91">
        <f>VLOOKUP($A1704,'2022-23 Salary &amp; Benefits'!$A:$I,4,FALSE)</f>
        <v>1.18</v>
      </c>
      <c r="M1704" s="101">
        <f t="shared" si="325"/>
        <v>0</v>
      </c>
      <c r="N1704" s="24">
        <v>15</v>
      </c>
      <c r="O1704" s="26">
        <f t="shared" si="328"/>
        <v>0</v>
      </c>
      <c r="P1704" s="24">
        <v>1.1000000000000001</v>
      </c>
      <c r="Q1704" s="24">
        <v>36</v>
      </c>
      <c r="R1704" s="27">
        <f t="shared" si="329"/>
        <v>0</v>
      </c>
      <c r="S1704" s="102">
        <f t="shared" si="331"/>
        <v>0</v>
      </c>
      <c r="T1704" s="21">
        <f>VLOOKUP($A1704,'2022-23 Salary &amp; Benefits'!$A:$I,5,FALSE)</f>
        <v>68937</v>
      </c>
      <c r="U1704" s="21">
        <f>VLOOKUP($A1704,'2022-23 Salary &amp; Benefits'!$A:$I,6,FALSE)</f>
        <v>72728</v>
      </c>
      <c r="V1704" s="22">
        <f t="shared" si="332"/>
        <v>0</v>
      </c>
      <c r="W1704" s="22">
        <f t="shared" si="333"/>
        <v>0</v>
      </c>
      <c r="X1704" s="22">
        <f>'2022-23 Salary &amp; Benefits'!$G$6</f>
        <v>12558.24</v>
      </c>
      <c r="Y1704" s="23">
        <f>'2022-23 Salary &amp; Benefits'!$H$6</f>
        <v>0.2298</v>
      </c>
      <c r="Z1704" s="23">
        <f>'2022-23 Salary &amp; Benefits'!$I$6</f>
        <v>0.22339999999999999</v>
      </c>
      <c r="AA1704" s="22">
        <f t="shared" si="334"/>
        <v>0</v>
      </c>
      <c r="AB1704" s="22">
        <f t="shared" si="335"/>
        <v>0</v>
      </c>
      <c r="AC1704" s="22">
        <f t="shared" si="336"/>
        <v>0</v>
      </c>
      <c r="AD1704" s="22">
        <f t="shared" si="326"/>
        <v>0</v>
      </c>
      <c r="AE1704" s="22">
        <f t="shared" si="327"/>
        <v>0</v>
      </c>
      <c r="AF1704" s="19" t="str">
        <f>VLOOKUP(C1704,'2021-22 School Level AAFTE'!C:N,12,FALSE)</f>
        <v>No</v>
      </c>
    </row>
    <row r="1705" spans="1:284" s="5" customFormat="1">
      <c r="A1705" s="97" t="s">
        <v>2348</v>
      </c>
      <c r="B1705" s="97" t="s">
        <v>547</v>
      </c>
      <c r="C1705" s="95">
        <v>2372</v>
      </c>
      <c r="D1705" s="95" t="s">
        <v>589</v>
      </c>
      <c r="E1705" s="129">
        <f>VLOOKUP($C1705,'2021-22 School Level AAFTE'!$C:$Z,11,FALSE)</f>
        <v>3.9599999999999996E-2</v>
      </c>
      <c r="F1705" s="129" t="str">
        <f>VLOOKUP($C1705,'2021-22 School Level AAFTE'!$C:$Z,8,FALSE)</f>
        <v>No</v>
      </c>
      <c r="G1705" s="129" t="str">
        <f>VLOOKUP($C1705,'2021-22 School Level AAFTE'!$C:$Z,12,FALSE)</f>
        <v>No</v>
      </c>
      <c r="H1705" s="127">
        <f>VLOOKUP($C1705,'2021-22 School Level AAFTE'!$C:$I,7,FALSE)</f>
        <v>451.91</v>
      </c>
      <c r="I1705" s="112">
        <f>IFERROR(IF(OR(G1705="yes",F1705= "yes"),VLOOKUP(C1705,Summary!$B:$J,6,0),0),0)</f>
        <v>0</v>
      </c>
      <c r="J1705" s="111">
        <f t="shared" si="330"/>
        <v>0</v>
      </c>
      <c r="K1705" s="91">
        <f>VLOOKUP($A1705,'2022-23 Salary &amp; Benefits'!$A:$I,3,FALSE)</f>
        <v>1.18</v>
      </c>
      <c r="L1705" s="91">
        <f>VLOOKUP($A1705,'2022-23 Salary &amp; Benefits'!$A:$I,4,FALSE)</f>
        <v>1.18</v>
      </c>
      <c r="M1705" s="101">
        <f t="shared" si="325"/>
        <v>0</v>
      </c>
      <c r="N1705" s="24">
        <v>15</v>
      </c>
      <c r="O1705" s="26">
        <f t="shared" si="328"/>
        <v>0</v>
      </c>
      <c r="P1705" s="24">
        <v>1.1000000000000001</v>
      </c>
      <c r="Q1705" s="24">
        <v>36</v>
      </c>
      <c r="R1705" s="27">
        <f t="shared" si="329"/>
        <v>0</v>
      </c>
      <c r="S1705" s="102">
        <f t="shared" si="331"/>
        <v>0</v>
      </c>
      <c r="T1705" s="21">
        <f>VLOOKUP($A1705,'2022-23 Salary &amp; Benefits'!$A:$I,5,FALSE)</f>
        <v>68937</v>
      </c>
      <c r="U1705" s="21">
        <f>VLOOKUP($A1705,'2022-23 Salary &amp; Benefits'!$A:$I,6,FALSE)</f>
        <v>72728</v>
      </c>
      <c r="V1705" s="22">
        <f t="shared" si="332"/>
        <v>0</v>
      </c>
      <c r="W1705" s="22">
        <f t="shared" si="333"/>
        <v>0</v>
      </c>
      <c r="X1705" s="22">
        <f>'2022-23 Salary &amp; Benefits'!$G$6</f>
        <v>12558.24</v>
      </c>
      <c r="Y1705" s="23">
        <f>'2022-23 Salary &amp; Benefits'!$H$6</f>
        <v>0.2298</v>
      </c>
      <c r="Z1705" s="23">
        <f>'2022-23 Salary &amp; Benefits'!$I$6</f>
        <v>0.22339999999999999</v>
      </c>
      <c r="AA1705" s="22">
        <f t="shared" si="334"/>
        <v>0</v>
      </c>
      <c r="AB1705" s="22">
        <f t="shared" si="335"/>
        <v>0</v>
      </c>
      <c r="AC1705" s="22">
        <f t="shared" si="336"/>
        <v>0</v>
      </c>
      <c r="AD1705" s="22">
        <f t="shared" si="326"/>
        <v>0</v>
      </c>
      <c r="AE1705" s="22">
        <f t="shared" si="327"/>
        <v>0</v>
      </c>
      <c r="AF1705" s="19" t="str">
        <f>VLOOKUP(C1705,'2021-22 School Level AAFTE'!C:N,12,FALSE)</f>
        <v>No</v>
      </c>
    </row>
    <row r="1706" spans="1:284" s="5" customFormat="1">
      <c r="A1706" s="97" t="s">
        <v>2348</v>
      </c>
      <c r="B1706" s="97" t="s">
        <v>547</v>
      </c>
      <c r="C1706" s="95">
        <v>2392</v>
      </c>
      <c r="D1706" s="95" t="s">
        <v>590</v>
      </c>
      <c r="E1706" s="129">
        <f>VLOOKUP($C1706,'2021-22 School Level AAFTE'!$C:$Z,11,FALSE)</f>
        <v>0.53336666666666666</v>
      </c>
      <c r="F1706" s="129" t="str">
        <f>VLOOKUP($C1706,'2021-22 School Level AAFTE'!$C:$Z,8,FALSE)</f>
        <v>Yes</v>
      </c>
      <c r="G1706" s="129" t="str">
        <f>VLOOKUP($C1706,'2021-22 School Level AAFTE'!$C:$Z,12,FALSE)</f>
        <v>No</v>
      </c>
      <c r="H1706" s="127">
        <f>VLOOKUP($C1706,'2021-22 School Level AAFTE'!$C:$I,7,FALSE)</f>
        <v>893.90000000000009</v>
      </c>
      <c r="I1706" s="112">
        <f>IFERROR(IF(OR(G1706="yes",F1706= "yes"),VLOOKUP(C1706,Summary!$B:$J,6,0),0),0)</f>
        <v>0</v>
      </c>
      <c r="J1706" s="111">
        <f t="shared" si="330"/>
        <v>893.90000000000009</v>
      </c>
      <c r="K1706" s="91">
        <f>VLOOKUP($A1706,'2022-23 Salary &amp; Benefits'!$A:$I,3,FALSE)</f>
        <v>1.18</v>
      </c>
      <c r="L1706" s="91">
        <f>VLOOKUP($A1706,'2022-23 Salary &amp; Benefits'!$A:$I,4,FALSE)</f>
        <v>1.18</v>
      </c>
      <c r="M1706" s="39">
        <f t="shared" si="325"/>
        <v>893.90000000000009</v>
      </c>
      <c r="N1706" s="24">
        <v>15</v>
      </c>
      <c r="O1706" s="26">
        <f t="shared" si="328"/>
        <v>59.593333333333341</v>
      </c>
      <c r="P1706" s="24">
        <v>1.1000000000000001</v>
      </c>
      <c r="Q1706" s="24">
        <v>36</v>
      </c>
      <c r="R1706" s="27">
        <f t="shared" si="329"/>
        <v>2359.8960000000006</v>
      </c>
      <c r="S1706" s="102">
        <f t="shared" si="331"/>
        <v>2.6219999999999999</v>
      </c>
      <c r="T1706" s="21">
        <f>VLOOKUP($A1706,'2022-23 Salary &amp; Benefits'!$A:$I,5,FALSE)</f>
        <v>68937</v>
      </c>
      <c r="U1706" s="21">
        <f>VLOOKUP($A1706,'2022-23 Salary &amp; Benefits'!$A:$I,6,FALSE)</f>
        <v>72728</v>
      </c>
      <c r="V1706" s="22">
        <f t="shared" si="332"/>
        <v>213288.32000000001</v>
      </c>
      <c r="W1706" s="22">
        <f t="shared" si="333"/>
        <v>11729.199999999983</v>
      </c>
      <c r="X1706" s="22">
        <f>'2022-23 Salary &amp; Benefits'!$G$6</f>
        <v>12558.24</v>
      </c>
      <c r="Y1706" s="23">
        <f>'2022-23 Salary &amp; Benefits'!$H$6</f>
        <v>0.2298</v>
      </c>
      <c r="Z1706" s="23">
        <f>'2022-23 Salary &amp; Benefits'!$I$6</f>
        <v>0.22339999999999999</v>
      </c>
      <c r="AA1706" s="22">
        <f t="shared" si="334"/>
        <v>84561.66</v>
      </c>
      <c r="AB1706" s="22">
        <f t="shared" si="335"/>
        <v>3750.29</v>
      </c>
      <c r="AC1706" s="22">
        <f t="shared" si="336"/>
        <v>837.81</v>
      </c>
      <c r="AD1706" s="22">
        <f t="shared" si="326"/>
        <v>4588.1000000000004</v>
      </c>
      <c r="AE1706" s="22">
        <f t="shared" si="327"/>
        <v>314167.27999999991</v>
      </c>
      <c r="AF1706" s="19" t="str">
        <f>VLOOKUP(C1706,'2021-22 School Level AAFTE'!C:N,12,FALSE)</f>
        <v>No</v>
      </c>
    </row>
    <row r="1707" spans="1:284" s="5" customFormat="1">
      <c r="A1707" s="97" t="s">
        <v>2348</v>
      </c>
      <c r="B1707" s="97" t="s">
        <v>547</v>
      </c>
      <c r="C1707" s="95">
        <v>2435</v>
      </c>
      <c r="D1707" s="95" t="s">
        <v>591</v>
      </c>
      <c r="E1707" s="129">
        <f>VLOOKUP($C1707,'2021-22 School Level AAFTE'!$C:$Z,11,FALSE)</f>
        <v>0.15609999999999999</v>
      </c>
      <c r="F1707" s="129" t="str">
        <f>VLOOKUP($C1707,'2021-22 School Level AAFTE'!$C:$Z,8,FALSE)</f>
        <v>No</v>
      </c>
      <c r="G1707" s="129" t="str">
        <f>VLOOKUP($C1707,'2021-22 School Level AAFTE'!$C:$Z,12,FALSE)</f>
        <v>No</v>
      </c>
      <c r="H1707" s="127">
        <f>VLOOKUP($C1707,'2021-22 School Level AAFTE'!$C:$I,7,FALSE)</f>
        <v>969.34</v>
      </c>
      <c r="I1707" s="112">
        <f>IFERROR(IF(OR(G1707="yes",F1707= "yes"),VLOOKUP(C1707,Summary!$B:$J,6,0),0),0)</f>
        <v>0</v>
      </c>
      <c r="J1707" s="111">
        <f t="shared" si="330"/>
        <v>0</v>
      </c>
      <c r="K1707" s="91">
        <f>VLOOKUP($A1707,'2022-23 Salary &amp; Benefits'!$A:$I,3,FALSE)</f>
        <v>1.18</v>
      </c>
      <c r="L1707" s="91">
        <f>VLOOKUP($A1707,'2022-23 Salary &amp; Benefits'!$A:$I,4,FALSE)</f>
        <v>1.18</v>
      </c>
      <c r="M1707" s="39">
        <f t="shared" si="325"/>
        <v>0</v>
      </c>
      <c r="N1707" s="24">
        <v>15</v>
      </c>
      <c r="O1707" s="26">
        <f t="shared" si="328"/>
        <v>0</v>
      </c>
      <c r="P1707" s="24">
        <v>1.1000000000000001</v>
      </c>
      <c r="Q1707" s="24">
        <v>36</v>
      </c>
      <c r="R1707" s="27">
        <f t="shared" si="329"/>
        <v>0</v>
      </c>
      <c r="S1707" s="102">
        <f t="shared" si="331"/>
        <v>0</v>
      </c>
      <c r="T1707" s="21">
        <f>VLOOKUP($A1707,'2022-23 Salary &amp; Benefits'!$A:$I,5,FALSE)</f>
        <v>68937</v>
      </c>
      <c r="U1707" s="21">
        <f>VLOOKUP($A1707,'2022-23 Salary &amp; Benefits'!$A:$I,6,FALSE)</f>
        <v>72728</v>
      </c>
      <c r="V1707" s="22">
        <f t="shared" si="332"/>
        <v>0</v>
      </c>
      <c r="W1707" s="22">
        <f t="shared" si="333"/>
        <v>0</v>
      </c>
      <c r="X1707" s="22">
        <f>'2022-23 Salary &amp; Benefits'!$G$6</f>
        <v>12558.24</v>
      </c>
      <c r="Y1707" s="23">
        <f>'2022-23 Salary &amp; Benefits'!$H$6</f>
        <v>0.2298</v>
      </c>
      <c r="Z1707" s="23">
        <f>'2022-23 Salary &amp; Benefits'!$I$6</f>
        <v>0.22339999999999999</v>
      </c>
      <c r="AA1707" s="22">
        <f t="shared" si="334"/>
        <v>0</v>
      </c>
      <c r="AB1707" s="22">
        <f t="shared" si="335"/>
        <v>0</v>
      </c>
      <c r="AC1707" s="22">
        <f t="shared" si="336"/>
        <v>0</v>
      </c>
      <c r="AD1707" s="22">
        <f t="shared" si="326"/>
        <v>0</v>
      </c>
      <c r="AE1707" s="22">
        <f t="shared" si="327"/>
        <v>0</v>
      </c>
      <c r="AF1707" s="19" t="str">
        <f>VLOOKUP(C1707,'2021-22 School Level AAFTE'!C:N,12,FALSE)</f>
        <v>No</v>
      </c>
    </row>
    <row r="1708" spans="1:284" s="5" customFormat="1">
      <c r="A1708" s="97" t="s">
        <v>2348</v>
      </c>
      <c r="B1708" s="97" t="s">
        <v>547</v>
      </c>
      <c r="C1708" s="95">
        <v>2437</v>
      </c>
      <c r="D1708" s="95" t="s">
        <v>592</v>
      </c>
      <c r="E1708" s="129">
        <f>VLOOKUP($C1708,'2021-22 School Level AAFTE'!$C:$Z,11,FALSE)</f>
        <v>0.25940000000000002</v>
      </c>
      <c r="F1708" s="129" t="str">
        <f>VLOOKUP($C1708,'2021-22 School Level AAFTE'!$C:$Z,8,FALSE)</f>
        <v>No</v>
      </c>
      <c r="G1708" s="129" t="str">
        <f>VLOOKUP($C1708,'2021-22 School Level AAFTE'!$C:$Z,12,FALSE)</f>
        <v>No</v>
      </c>
      <c r="H1708" s="127">
        <f>VLOOKUP($C1708,'2021-22 School Level AAFTE'!$C:$I,7,FALSE)</f>
        <v>240.43</v>
      </c>
      <c r="I1708" s="112">
        <f>IFERROR(IF(OR(G1708="yes",F1708= "yes"),VLOOKUP(C1708,Summary!$B:$J,6,0),0),0)</f>
        <v>0</v>
      </c>
      <c r="J1708" s="111">
        <f t="shared" si="330"/>
        <v>0</v>
      </c>
      <c r="K1708" s="91">
        <f>VLOOKUP($A1708,'2022-23 Salary &amp; Benefits'!$A:$I,3,FALSE)</f>
        <v>1.18</v>
      </c>
      <c r="L1708" s="91">
        <f>VLOOKUP($A1708,'2022-23 Salary &amp; Benefits'!$A:$I,4,FALSE)</f>
        <v>1.18</v>
      </c>
      <c r="M1708" s="39">
        <f t="shared" si="325"/>
        <v>0</v>
      </c>
      <c r="N1708" s="24">
        <v>15</v>
      </c>
      <c r="O1708" s="26">
        <f t="shared" si="328"/>
        <v>0</v>
      </c>
      <c r="P1708" s="24">
        <v>1.1000000000000001</v>
      </c>
      <c r="Q1708" s="24">
        <v>36</v>
      </c>
      <c r="R1708" s="27">
        <f t="shared" si="329"/>
        <v>0</v>
      </c>
      <c r="S1708" s="102">
        <f t="shared" si="331"/>
        <v>0</v>
      </c>
      <c r="T1708" s="21">
        <f>VLOOKUP($A1708,'2022-23 Salary &amp; Benefits'!$A:$I,5,FALSE)</f>
        <v>68937</v>
      </c>
      <c r="U1708" s="21">
        <f>VLOOKUP($A1708,'2022-23 Salary &amp; Benefits'!$A:$I,6,FALSE)</f>
        <v>72728</v>
      </c>
      <c r="V1708" s="22">
        <f t="shared" si="332"/>
        <v>0</v>
      </c>
      <c r="W1708" s="22">
        <f t="shared" si="333"/>
        <v>0</v>
      </c>
      <c r="X1708" s="22">
        <f>'2022-23 Salary &amp; Benefits'!$G$6</f>
        <v>12558.24</v>
      </c>
      <c r="Y1708" s="23">
        <f>'2022-23 Salary &amp; Benefits'!$H$6</f>
        <v>0.2298</v>
      </c>
      <c r="Z1708" s="23">
        <f>'2022-23 Salary &amp; Benefits'!$I$6</f>
        <v>0.22339999999999999</v>
      </c>
      <c r="AA1708" s="22">
        <f t="shared" si="334"/>
        <v>0</v>
      </c>
      <c r="AB1708" s="22">
        <f t="shared" si="335"/>
        <v>0</v>
      </c>
      <c r="AC1708" s="22">
        <f t="shared" si="336"/>
        <v>0</v>
      </c>
      <c r="AD1708" s="22">
        <f t="shared" si="326"/>
        <v>0</v>
      </c>
      <c r="AE1708" s="22">
        <f t="shared" si="327"/>
        <v>0</v>
      </c>
      <c r="AF1708" s="19" t="str">
        <f>VLOOKUP(C1708,'2021-22 School Level AAFTE'!C:N,12,FALSE)</f>
        <v>No</v>
      </c>
    </row>
    <row r="1709" spans="1:284" s="5" customFormat="1">
      <c r="A1709" s="97" t="s">
        <v>2348</v>
      </c>
      <c r="B1709" s="97" t="s">
        <v>547</v>
      </c>
      <c r="C1709" s="95">
        <v>2450</v>
      </c>
      <c r="D1709" s="95" t="s">
        <v>593</v>
      </c>
      <c r="E1709" s="129">
        <f>VLOOKUP($C1709,'2021-22 School Level AAFTE'!$C:$Z,11,FALSE)</f>
        <v>0.12113333333333333</v>
      </c>
      <c r="F1709" s="129" t="str">
        <f>VLOOKUP($C1709,'2021-22 School Level AAFTE'!$C:$Z,8,FALSE)</f>
        <v>No</v>
      </c>
      <c r="G1709" s="129" t="str">
        <f>VLOOKUP($C1709,'2021-22 School Level AAFTE'!$C:$Z,12,FALSE)</f>
        <v>No</v>
      </c>
      <c r="H1709" s="127">
        <f>VLOOKUP($C1709,'2021-22 School Level AAFTE'!$C:$I,7,FALSE)</f>
        <v>325.57</v>
      </c>
      <c r="I1709" s="112">
        <f>IFERROR(IF(OR(G1709="yes",F1709= "yes"),VLOOKUP(C1709,Summary!$B:$J,6,0),0),0)</f>
        <v>0</v>
      </c>
      <c r="J1709" s="111">
        <f t="shared" si="330"/>
        <v>0</v>
      </c>
      <c r="K1709" s="91">
        <f>VLOOKUP($A1709,'2022-23 Salary &amp; Benefits'!$A:$I,3,FALSE)</f>
        <v>1.18</v>
      </c>
      <c r="L1709" s="91">
        <f>VLOOKUP($A1709,'2022-23 Salary &amp; Benefits'!$A:$I,4,FALSE)</f>
        <v>1.18</v>
      </c>
      <c r="M1709" s="39">
        <f t="shared" si="325"/>
        <v>0</v>
      </c>
      <c r="N1709" s="24">
        <v>15</v>
      </c>
      <c r="O1709" s="26">
        <f t="shared" si="328"/>
        <v>0</v>
      </c>
      <c r="P1709" s="24">
        <v>1.1000000000000001</v>
      </c>
      <c r="Q1709" s="24">
        <v>36</v>
      </c>
      <c r="R1709" s="27">
        <f t="shared" si="329"/>
        <v>0</v>
      </c>
      <c r="S1709" s="102">
        <f t="shared" si="331"/>
        <v>0</v>
      </c>
      <c r="T1709" s="21">
        <f>VLOOKUP($A1709,'2022-23 Salary &amp; Benefits'!$A:$I,5,FALSE)</f>
        <v>68937</v>
      </c>
      <c r="U1709" s="21">
        <f>VLOOKUP($A1709,'2022-23 Salary &amp; Benefits'!$A:$I,6,FALSE)</f>
        <v>72728</v>
      </c>
      <c r="V1709" s="22">
        <f t="shared" si="332"/>
        <v>0</v>
      </c>
      <c r="W1709" s="22">
        <f t="shared" si="333"/>
        <v>0</v>
      </c>
      <c r="X1709" s="22">
        <f>'2022-23 Salary &amp; Benefits'!$G$6</f>
        <v>12558.24</v>
      </c>
      <c r="Y1709" s="23">
        <f>'2022-23 Salary &amp; Benefits'!$H$6</f>
        <v>0.2298</v>
      </c>
      <c r="Z1709" s="23">
        <f>'2022-23 Salary &amp; Benefits'!$I$6</f>
        <v>0.22339999999999999</v>
      </c>
      <c r="AA1709" s="22">
        <f t="shared" si="334"/>
        <v>0</v>
      </c>
      <c r="AB1709" s="22">
        <f t="shared" si="335"/>
        <v>0</v>
      </c>
      <c r="AC1709" s="22">
        <f t="shared" si="336"/>
        <v>0</v>
      </c>
      <c r="AD1709" s="22">
        <f t="shared" si="326"/>
        <v>0</v>
      </c>
      <c r="AE1709" s="22">
        <f t="shared" si="327"/>
        <v>0</v>
      </c>
      <c r="AF1709" s="19" t="str">
        <f>VLOOKUP(C1709,'2021-22 School Level AAFTE'!C:N,12,FALSE)</f>
        <v>No</v>
      </c>
    </row>
    <row r="1710" spans="1:284" s="5" customFormat="1">
      <c r="A1710" s="97" t="s">
        <v>2348</v>
      </c>
      <c r="B1710" s="97" t="s">
        <v>547</v>
      </c>
      <c r="C1710" s="95">
        <v>2462</v>
      </c>
      <c r="D1710" s="95" t="s">
        <v>594</v>
      </c>
      <c r="E1710" s="129">
        <f>VLOOKUP($C1710,'2021-22 School Level AAFTE'!$C:$Z,11,FALSE)</f>
        <v>7.0899999999999991E-2</v>
      </c>
      <c r="F1710" s="129" t="str">
        <f>VLOOKUP($C1710,'2021-22 School Level AAFTE'!$C:$Z,8,FALSE)</f>
        <v>No</v>
      </c>
      <c r="G1710" s="129" t="str">
        <f>VLOOKUP($C1710,'2021-22 School Level AAFTE'!$C:$Z,12,FALSE)</f>
        <v>No</v>
      </c>
      <c r="H1710" s="127">
        <f>VLOOKUP($C1710,'2021-22 School Level AAFTE'!$C:$I,7,FALSE)</f>
        <v>478.57</v>
      </c>
      <c r="I1710" s="112">
        <f>IFERROR(IF(OR(G1710="yes",F1710= "yes"),VLOOKUP(C1710,Summary!$B:$J,6,0),0),0)</f>
        <v>0</v>
      </c>
      <c r="J1710" s="111">
        <f t="shared" si="330"/>
        <v>0</v>
      </c>
      <c r="K1710" s="91">
        <f>VLOOKUP($A1710,'2022-23 Salary &amp; Benefits'!$A:$I,3,FALSE)</f>
        <v>1.18</v>
      </c>
      <c r="L1710" s="91">
        <f>VLOOKUP($A1710,'2022-23 Salary &amp; Benefits'!$A:$I,4,FALSE)</f>
        <v>1.18</v>
      </c>
      <c r="M1710" s="39">
        <f t="shared" si="325"/>
        <v>0</v>
      </c>
      <c r="N1710" s="24">
        <v>15</v>
      </c>
      <c r="O1710" s="26">
        <f t="shared" si="328"/>
        <v>0</v>
      </c>
      <c r="P1710" s="24">
        <v>1.1000000000000001</v>
      </c>
      <c r="Q1710" s="24">
        <v>36</v>
      </c>
      <c r="R1710" s="27">
        <f t="shared" si="329"/>
        <v>0</v>
      </c>
      <c r="S1710" s="102">
        <f t="shared" si="331"/>
        <v>0</v>
      </c>
      <c r="T1710" s="21">
        <f>VLOOKUP($A1710,'2022-23 Salary &amp; Benefits'!$A:$I,5,FALSE)</f>
        <v>68937</v>
      </c>
      <c r="U1710" s="21">
        <f>VLOOKUP($A1710,'2022-23 Salary &amp; Benefits'!$A:$I,6,FALSE)</f>
        <v>72728</v>
      </c>
      <c r="V1710" s="22">
        <f t="shared" si="332"/>
        <v>0</v>
      </c>
      <c r="W1710" s="22">
        <f t="shared" si="333"/>
        <v>0</v>
      </c>
      <c r="X1710" s="22">
        <f>'2022-23 Salary &amp; Benefits'!$G$6</f>
        <v>12558.24</v>
      </c>
      <c r="Y1710" s="23">
        <f>'2022-23 Salary &amp; Benefits'!$H$6</f>
        <v>0.2298</v>
      </c>
      <c r="Z1710" s="23">
        <f>'2022-23 Salary &amp; Benefits'!$I$6</f>
        <v>0.22339999999999999</v>
      </c>
      <c r="AA1710" s="22">
        <f t="shared" si="334"/>
        <v>0</v>
      </c>
      <c r="AB1710" s="22">
        <f t="shared" si="335"/>
        <v>0</v>
      </c>
      <c r="AC1710" s="22">
        <f t="shared" si="336"/>
        <v>0</v>
      </c>
      <c r="AD1710" s="22">
        <f t="shared" si="326"/>
        <v>0</v>
      </c>
      <c r="AE1710" s="22">
        <f t="shared" si="327"/>
        <v>0</v>
      </c>
      <c r="AF1710" s="19" t="str">
        <f>VLOOKUP(C1710,'2021-22 School Level AAFTE'!C:N,12,FALSE)</f>
        <v>No</v>
      </c>
    </row>
    <row r="1711" spans="1:284" s="5" customFormat="1">
      <c r="A1711" s="97" t="s">
        <v>2348</v>
      </c>
      <c r="B1711" s="97" t="s">
        <v>547</v>
      </c>
      <c r="C1711" s="95">
        <v>2645</v>
      </c>
      <c r="D1711" s="95" t="s">
        <v>595</v>
      </c>
      <c r="E1711" s="129">
        <f>VLOOKUP($C1711,'2021-22 School Level AAFTE'!$C:$Z,11,FALSE)</f>
        <v>0.78436666666666666</v>
      </c>
      <c r="F1711" s="129" t="str">
        <f>VLOOKUP($C1711,'2021-22 School Level AAFTE'!$C:$Z,8,FALSE)</f>
        <v>Yes</v>
      </c>
      <c r="G1711" s="129" t="str">
        <f>VLOOKUP($C1711,'2021-22 School Level AAFTE'!$C:$Z,12,FALSE)</f>
        <v>No</v>
      </c>
      <c r="H1711" s="127">
        <f>VLOOKUP($C1711,'2021-22 School Level AAFTE'!$C:$I,7,FALSE)</f>
        <v>327.14999999999998</v>
      </c>
      <c r="I1711" s="112">
        <f>IFERROR(IF(OR(G1711="yes",F1711= "yes"),VLOOKUP(C1711,Summary!$B:$J,6,0),0),0)</f>
        <v>0</v>
      </c>
      <c r="J1711" s="111">
        <f t="shared" si="330"/>
        <v>327.14999999999998</v>
      </c>
      <c r="K1711" s="91">
        <f>VLOOKUP($A1711,'2022-23 Salary &amp; Benefits'!$A:$I,3,FALSE)</f>
        <v>1.18</v>
      </c>
      <c r="L1711" s="91">
        <f>VLOOKUP($A1711,'2022-23 Salary &amp; Benefits'!$A:$I,4,FALSE)</f>
        <v>1.18</v>
      </c>
      <c r="M1711" s="39">
        <f t="shared" si="325"/>
        <v>327.14999999999998</v>
      </c>
      <c r="N1711" s="24">
        <v>15</v>
      </c>
      <c r="O1711" s="26">
        <f t="shared" si="328"/>
        <v>21.81</v>
      </c>
      <c r="P1711" s="24">
        <v>1.1000000000000001</v>
      </c>
      <c r="Q1711" s="24">
        <v>36</v>
      </c>
      <c r="R1711" s="27">
        <f t="shared" si="329"/>
        <v>863.67599999999993</v>
      </c>
      <c r="S1711" s="102">
        <f t="shared" si="331"/>
        <v>0.96</v>
      </c>
      <c r="T1711" s="21">
        <f>VLOOKUP($A1711,'2022-23 Salary &amp; Benefits'!$A:$I,5,FALSE)</f>
        <v>68937</v>
      </c>
      <c r="U1711" s="21">
        <f>VLOOKUP($A1711,'2022-23 Salary &amp; Benefits'!$A:$I,6,FALSE)</f>
        <v>72728</v>
      </c>
      <c r="V1711" s="22">
        <f t="shared" si="332"/>
        <v>78091.83</v>
      </c>
      <c r="W1711" s="22">
        <f t="shared" si="333"/>
        <v>4294.4499999999971</v>
      </c>
      <c r="X1711" s="22">
        <f>'2022-23 Salary &amp; Benefits'!$G$6</f>
        <v>12558.24</v>
      </c>
      <c r="Y1711" s="23">
        <f>'2022-23 Salary &amp; Benefits'!$H$6</f>
        <v>0.2298</v>
      </c>
      <c r="Z1711" s="23">
        <f>'2022-23 Salary &amp; Benefits'!$I$6</f>
        <v>0.22339999999999999</v>
      </c>
      <c r="AA1711" s="22">
        <f t="shared" si="334"/>
        <v>30960.79</v>
      </c>
      <c r="AB1711" s="22">
        <f t="shared" si="335"/>
        <v>1373.1</v>
      </c>
      <c r="AC1711" s="22">
        <f t="shared" si="336"/>
        <v>306.75</v>
      </c>
      <c r="AD1711" s="22">
        <f t="shared" si="326"/>
        <v>1679.85</v>
      </c>
      <c r="AE1711" s="22">
        <f t="shared" si="327"/>
        <v>115026.92</v>
      </c>
      <c r="AF1711" s="19" t="str">
        <f>VLOOKUP(C1711,'2021-22 School Level AAFTE'!C:N,12,FALSE)</f>
        <v>No</v>
      </c>
    </row>
    <row r="1712" spans="1:284" s="5" customFormat="1">
      <c r="A1712" s="97" t="s">
        <v>2348</v>
      </c>
      <c r="B1712" s="97" t="s">
        <v>547</v>
      </c>
      <c r="C1712" s="95">
        <v>2667</v>
      </c>
      <c r="D1712" s="95" t="s">
        <v>596</v>
      </c>
      <c r="E1712" s="129">
        <f>VLOOKUP($C1712,'2021-22 School Level AAFTE'!$C:$Z,11,FALSE)</f>
        <v>8.72E-2</v>
      </c>
      <c r="F1712" s="129" t="str">
        <f>VLOOKUP($C1712,'2021-22 School Level AAFTE'!$C:$Z,8,FALSE)</f>
        <v>No</v>
      </c>
      <c r="G1712" s="129" t="str">
        <f>VLOOKUP($C1712,'2021-22 School Level AAFTE'!$C:$Z,12,FALSE)</f>
        <v>No</v>
      </c>
      <c r="H1712" s="127">
        <f>VLOOKUP($C1712,'2021-22 School Level AAFTE'!$C:$I,7,FALSE)</f>
        <v>352.86</v>
      </c>
      <c r="I1712" s="112">
        <f>IFERROR(IF(OR(G1712="yes",F1712= "yes"),VLOOKUP(C1712,Summary!$B:$J,6,0),0),0)</f>
        <v>0</v>
      </c>
      <c r="J1712" s="111">
        <f t="shared" si="330"/>
        <v>0</v>
      </c>
      <c r="K1712" s="91">
        <f>VLOOKUP($A1712,'2022-23 Salary &amp; Benefits'!$A:$I,3,FALSE)</f>
        <v>1.18</v>
      </c>
      <c r="L1712" s="91">
        <f>VLOOKUP($A1712,'2022-23 Salary &amp; Benefits'!$A:$I,4,FALSE)</f>
        <v>1.18</v>
      </c>
      <c r="M1712" s="39">
        <f t="shared" si="325"/>
        <v>0</v>
      </c>
      <c r="N1712" s="24">
        <v>15</v>
      </c>
      <c r="O1712" s="26">
        <f t="shared" si="328"/>
        <v>0</v>
      </c>
      <c r="P1712" s="24">
        <v>1.1000000000000001</v>
      </c>
      <c r="Q1712" s="24">
        <v>36</v>
      </c>
      <c r="R1712" s="27">
        <f t="shared" si="329"/>
        <v>0</v>
      </c>
      <c r="S1712" s="102">
        <f t="shared" si="331"/>
        <v>0</v>
      </c>
      <c r="T1712" s="21">
        <f>VLOOKUP($A1712,'2022-23 Salary &amp; Benefits'!$A:$I,5,FALSE)</f>
        <v>68937</v>
      </c>
      <c r="U1712" s="21">
        <f>VLOOKUP($A1712,'2022-23 Salary &amp; Benefits'!$A:$I,6,FALSE)</f>
        <v>72728</v>
      </c>
      <c r="V1712" s="22">
        <f t="shared" si="332"/>
        <v>0</v>
      </c>
      <c r="W1712" s="22">
        <f t="shared" si="333"/>
        <v>0</v>
      </c>
      <c r="X1712" s="22">
        <f>'2022-23 Salary &amp; Benefits'!$G$6</f>
        <v>12558.24</v>
      </c>
      <c r="Y1712" s="23">
        <f>'2022-23 Salary &amp; Benefits'!$H$6</f>
        <v>0.2298</v>
      </c>
      <c r="Z1712" s="23">
        <f>'2022-23 Salary &amp; Benefits'!$I$6</f>
        <v>0.22339999999999999</v>
      </c>
      <c r="AA1712" s="22">
        <f t="shared" si="334"/>
        <v>0</v>
      </c>
      <c r="AB1712" s="22">
        <f t="shared" si="335"/>
        <v>0</v>
      </c>
      <c r="AC1712" s="22">
        <f t="shared" si="336"/>
        <v>0</v>
      </c>
      <c r="AD1712" s="22">
        <f t="shared" si="326"/>
        <v>0</v>
      </c>
      <c r="AE1712" s="22">
        <f t="shared" si="327"/>
        <v>0</v>
      </c>
      <c r="AF1712" s="19" t="str">
        <f>VLOOKUP(C1712,'2021-22 School Level AAFTE'!C:N,12,FALSE)</f>
        <v>No</v>
      </c>
    </row>
    <row r="1713" spans="1:32" s="5" customFormat="1">
      <c r="A1713" s="97" t="s">
        <v>2348</v>
      </c>
      <c r="B1713" s="97" t="s">
        <v>547</v>
      </c>
      <c r="C1713" s="95">
        <v>2729</v>
      </c>
      <c r="D1713" s="95" t="s">
        <v>597</v>
      </c>
      <c r="E1713" s="129">
        <f>VLOOKUP($C1713,'2021-22 School Level AAFTE'!$C:$Z,11,FALSE)</f>
        <v>0.14319999999999999</v>
      </c>
      <c r="F1713" s="129" t="str">
        <f>VLOOKUP($C1713,'2021-22 School Level AAFTE'!$C:$Z,8,FALSE)</f>
        <v>No</v>
      </c>
      <c r="G1713" s="129" t="str">
        <f>VLOOKUP($C1713,'2021-22 School Level AAFTE'!$C:$Z,12,FALSE)</f>
        <v>No</v>
      </c>
      <c r="H1713" s="127">
        <f>VLOOKUP($C1713,'2021-22 School Level AAFTE'!$C:$I,7,FALSE)</f>
        <v>1057.6400000000001</v>
      </c>
      <c r="I1713" s="112">
        <f>IFERROR(IF(OR(G1713="yes",F1713= "yes"),VLOOKUP(C1713,Summary!$B:$J,6,0),0),0)</f>
        <v>0</v>
      </c>
      <c r="J1713" s="111">
        <f t="shared" si="330"/>
        <v>0</v>
      </c>
      <c r="K1713" s="91">
        <f>VLOOKUP($A1713,'2022-23 Salary &amp; Benefits'!$A:$I,3,FALSE)</f>
        <v>1.18</v>
      </c>
      <c r="L1713" s="91">
        <f>VLOOKUP($A1713,'2022-23 Salary &amp; Benefits'!$A:$I,4,FALSE)</f>
        <v>1.18</v>
      </c>
      <c r="M1713" s="39">
        <f t="shared" si="325"/>
        <v>0</v>
      </c>
      <c r="N1713" s="24">
        <v>15</v>
      </c>
      <c r="O1713" s="26">
        <f t="shared" si="328"/>
        <v>0</v>
      </c>
      <c r="P1713" s="24">
        <v>1.1000000000000001</v>
      </c>
      <c r="Q1713" s="24">
        <v>36</v>
      </c>
      <c r="R1713" s="27">
        <f t="shared" si="329"/>
        <v>0</v>
      </c>
      <c r="S1713" s="102">
        <f t="shared" si="331"/>
        <v>0</v>
      </c>
      <c r="T1713" s="21">
        <f>VLOOKUP($A1713,'2022-23 Salary &amp; Benefits'!$A:$I,5,FALSE)</f>
        <v>68937</v>
      </c>
      <c r="U1713" s="21">
        <f>VLOOKUP($A1713,'2022-23 Salary &amp; Benefits'!$A:$I,6,FALSE)</f>
        <v>72728</v>
      </c>
      <c r="V1713" s="22">
        <f t="shared" si="332"/>
        <v>0</v>
      </c>
      <c r="W1713" s="22">
        <f t="shared" si="333"/>
        <v>0</v>
      </c>
      <c r="X1713" s="22">
        <f>'2022-23 Salary &amp; Benefits'!$G$6</f>
        <v>12558.24</v>
      </c>
      <c r="Y1713" s="23">
        <f>'2022-23 Salary &amp; Benefits'!$H$6</f>
        <v>0.2298</v>
      </c>
      <c r="Z1713" s="23">
        <f>'2022-23 Salary &amp; Benefits'!$I$6</f>
        <v>0.22339999999999999</v>
      </c>
      <c r="AA1713" s="22">
        <f t="shared" si="334"/>
        <v>0</v>
      </c>
      <c r="AB1713" s="22">
        <f t="shared" si="335"/>
        <v>0</v>
      </c>
      <c r="AC1713" s="22">
        <f t="shared" si="336"/>
        <v>0</v>
      </c>
      <c r="AD1713" s="22">
        <f t="shared" si="326"/>
        <v>0</v>
      </c>
      <c r="AE1713" s="22">
        <f t="shared" si="327"/>
        <v>0</v>
      </c>
      <c r="AF1713" s="19" t="str">
        <f>VLOOKUP(C1713,'2021-22 School Level AAFTE'!C:N,12,FALSE)</f>
        <v>No</v>
      </c>
    </row>
    <row r="1714" spans="1:32" s="5" customFormat="1">
      <c r="A1714" s="97" t="s">
        <v>2348</v>
      </c>
      <c r="B1714" s="97" t="s">
        <v>547</v>
      </c>
      <c r="C1714" s="95">
        <v>2730</v>
      </c>
      <c r="D1714" s="95" t="s">
        <v>598</v>
      </c>
      <c r="E1714" s="129">
        <f>VLOOKUP($C1714,'2021-22 School Level AAFTE'!$C:$Z,11,FALSE)</f>
        <v>0.16713333333333336</v>
      </c>
      <c r="F1714" s="129" t="str">
        <f>VLOOKUP($C1714,'2021-22 School Level AAFTE'!$C:$Z,8,FALSE)</f>
        <v>No</v>
      </c>
      <c r="G1714" s="129" t="str">
        <f>VLOOKUP($C1714,'2021-22 School Level AAFTE'!$C:$Z,12,FALSE)</f>
        <v>No</v>
      </c>
      <c r="H1714" s="127">
        <f>VLOOKUP($C1714,'2021-22 School Level AAFTE'!$C:$I,7,FALSE)</f>
        <v>501.71</v>
      </c>
      <c r="I1714" s="112">
        <f>IFERROR(IF(OR(G1714="yes",F1714= "yes"),VLOOKUP(C1714,Summary!$B:$J,6,0),0),0)</f>
        <v>0</v>
      </c>
      <c r="J1714" s="111">
        <f t="shared" si="330"/>
        <v>0</v>
      </c>
      <c r="K1714" s="91">
        <f>VLOOKUP($A1714,'2022-23 Salary &amp; Benefits'!$A:$I,3,FALSE)</f>
        <v>1.18</v>
      </c>
      <c r="L1714" s="91">
        <f>VLOOKUP($A1714,'2022-23 Salary &amp; Benefits'!$A:$I,4,FALSE)</f>
        <v>1.18</v>
      </c>
      <c r="M1714" s="39">
        <f t="shared" si="325"/>
        <v>0</v>
      </c>
      <c r="N1714" s="24">
        <v>15</v>
      </c>
      <c r="O1714" s="26">
        <f t="shared" si="328"/>
        <v>0</v>
      </c>
      <c r="P1714" s="24">
        <v>1.1000000000000001</v>
      </c>
      <c r="Q1714" s="24">
        <v>36</v>
      </c>
      <c r="R1714" s="27">
        <f t="shared" si="329"/>
        <v>0</v>
      </c>
      <c r="S1714" s="102">
        <f t="shared" si="331"/>
        <v>0</v>
      </c>
      <c r="T1714" s="21">
        <f>VLOOKUP($A1714,'2022-23 Salary &amp; Benefits'!$A:$I,5,FALSE)</f>
        <v>68937</v>
      </c>
      <c r="U1714" s="21">
        <f>VLOOKUP($A1714,'2022-23 Salary &amp; Benefits'!$A:$I,6,FALSE)</f>
        <v>72728</v>
      </c>
      <c r="V1714" s="22">
        <f t="shared" si="332"/>
        <v>0</v>
      </c>
      <c r="W1714" s="22">
        <f t="shared" si="333"/>
        <v>0</v>
      </c>
      <c r="X1714" s="22">
        <f>'2022-23 Salary &amp; Benefits'!$G$6</f>
        <v>12558.24</v>
      </c>
      <c r="Y1714" s="23">
        <f>'2022-23 Salary &amp; Benefits'!$H$6</f>
        <v>0.2298</v>
      </c>
      <c r="Z1714" s="23">
        <f>'2022-23 Salary &amp; Benefits'!$I$6</f>
        <v>0.22339999999999999</v>
      </c>
      <c r="AA1714" s="22">
        <f t="shared" si="334"/>
        <v>0</v>
      </c>
      <c r="AB1714" s="22">
        <f t="shared" si="335"/>
        <v>0</v>
      </c>
      <c r="AC1714" s="22">
        <f t="shared" si="336"/>
        <v>0</v>
      </c>
      <c r="AD1714" s="22">
        <f t="shared" si="326"/>
        <v>0</v>
      </c>
      <c r="AE1714" s="22">
        <f t="shared" si="327"/>
        <v>0</v>
      </c>
      <c r="AF1714" s="19" t="str">
        <f>VLOOKUP(C1714,'2021-22 School Level AAFTE'!C:N,12,FALSE)</f>
        <v>No</v>
      </c>
    </row>
    <row r="1715" spans="1:32" s="5" customFormat="1">
      <c r="A1715" s="97" t="s">
        <v>2348</v>
      </c>
      <c r="B1715" s="97" t="s">
        <v>547</v>
      </c>
      <c r="C1715" s="95">
        <v>2733</v>
      </c>
      <c r="D1715" s="95" t="s">
        <v>599</v>
      </c>
      <c r="E1715" s="129">
        <f>VLOOKUP($C1715,'2021-22 School Level AAFTE'!$C:$Z,11,FALSE)</f>
        <v>0.13546666666666665</v>
      </c>
      <c r="F1715" s="129" t="str">
        <f>VLOOKUP($C1715,'2021-22 School Level AAFTE'!$C:$Z,8,FALSE)</f>
        <v>No</v>
      </c>
      <c r="G1715" s="129" t="str">
        <f>VLOOKUP($C1715,'2021-22 School Level AAFTE'!$C:$Z,12,FALSE)</f>
        <v>No</v>
      </c>
      <c r="H1715" s="127">
        <f>VLOOKUP($C1715,'2021-22 School Level AAFTE'!$C:$I,7,FALSE)</f>
        <v>449.57</v>
      </c>
      <c r="I1715" s="112">
        <f>IFERROR(IF(OR(G1715="yes",F1715= "yes"),VLOOKUP(C1715,Summary!$B:$J,6,0),0),0)</f>
        <v>0</v>
      </c>
      <c r="J1715" s="111">
        <f t="shared" si="330"/>
        <v>0</v>
      </c>
      <c r="K1715" s="91">
        <f>VLOOKUP($A1715,'2022-23 Salary &amp; Benefits'!$A:$I,3,FALSE)</f>
        <v>1.18</v>
      </c>
      <c r="L1715" s="91">
        <f>VLOOKUP($A1715,'2022-23 Salary &amp; Benefits'!$A:$I,4,FALSE)</f>
        <v>1.18</v>
      </c>
      <c r="M1715" s="39">
        <f t="shared" si="325"/>
        <v>0</v>
      </c>
      <c r="N1715" s="24">
        <v>15</v>
      </c>
      <c r="O1715" s="26">
        <f t="shared" si="328"/>
        <v>0</v>
      </c>
      <c r="P1715" s="24">
        <v>1.1000000000000001</v>
      </c>
      <c r="Q1715" s="24">
        <v>36</v>
      </c>
      <c r="R1715" s="27">
        <f t="shared" si="329"/>
        <v>0</v>
      </c>
      <c r="S1715" s="102">
        <f t="shared" si="331"/>
        <v>0</v>
      </c>
      <c r="T1715" s="21">
        <f>VLOOKUP($A1715,'2022-23 Salary &amp; Benefits'!$A:$I,5,FALSE)</f>
        <v>68937</v>
      </c>
      <c r="U1715" s="21">
        <f>VLOOKUP($A1715,'2022-23 Salary &amp; Benefits'!$A:$I,6,FALSE)</f>
        <v>72728</v>
      </c>
      <c r="V1715" s="22">
        <f t="shared" si="332"/>
        <v>0</v>
      </c>
      <c r="W1715" s="22">
        <f t="shared" si="333"/>
        <v>0</v>
      </c>
      <c r="X1715" s="22">
        <f>'2022-23 Salary &amp; Benefits'!$G$6</f>
        <v>12558.24</v>
      </c>
      <c r="Y1715" s="23">
        <f>'2022-23 Salary &amp; Benefits'!$H$6</f>
        <v>0.2298</v>
      </c>
      <c r="Z1715" s="23">
        <f>'2022-23 Salary &amp; Benefits'!$I$6</f>
        <v>0.22339999999999999</v>
      </c>
      <c r="AA1715" s="22">
        <f t="shared" si="334"/>
        <v>0</v>
      </c>
      <c r="AB1715" s="22">
        <f t="shared" si="335"/>
        <v>0</v>
      </c>
      <c r="AC1715" s="22">
        <f t="shared" si="336"/>
        <v>0</v>
      </c>
      <c r="AD1715" s="22">
        <f t="shared" si="326"/>
        <v>0</v>
      </c>
      <c r="AE1715" s="22">
        <f t="shared" si="327"/>
        <v>0</v>
      </c>
      <c r="AF1715" s="19" t="str">
        <f>VLOOKUP(C1715,'2021-22 School Level AAFTE'!C:N,12,FALSE)</f>
        <v>No</v>
      </c>
    </row>
    <row r="1716" spans="1:32" s="5" customFormat="1">
      <c r="A1716" s="97" t="s">
        <v>2348</v>
      </c>
      <c r="B1716" s="97" t="s">
        <v>547</v>
      </c>
      <c r="C1716" s="95">
        <v>2838</v>
      </c>
      <c r="D1716" s="95" t="s">
        <v>600</v>
      </c>
      <c r="E1716" s="129">
        <f>VLOOKUP($C1716,'2021-22 School Level AAFTE'!$C:$Z,11,FALSE)</f>
        <v>3.7666666666666661E-2</v>
      </c>
      <c r="F1716" s="129" t="str">
        <f>VLOOKUP($C1716,'2021-22 School Level AAFTE'!$C:$Z,8,FALSE)</f>
        <v>No</v>
      </c>
      <c r="G1716" s="129" t="str">
        <f>VLOOKUP($C1716,'2021-22 School Level AAFTE'!$C:$Z,12,FALSE)</f>
        <v>No</v>
      </c>
      <c r="H1716" s="127">
        <f>VLOOKUP($C1716,'2021-22 School Level AAFTE'!$C:$I,7,FALSE)</f>
        <v>463.15</v>
      </c>
      <c r="I1716" s="112">
        <f>IFERROR(IF(OR(G1716="yes",F1716= "yes"),VLOOKUP(C1716,Summary!$B:$J,6,0),0),0)</f>
        <v>0</v>
      </c>
      <c r="J1716" s="111">
        <f t="shared" si="330"/>
        <v>0</v>
      </c>
      <c r="K1716" s="91">
        <f>VLOOKUP($A1716,'2022-23 Salary &amp; Benefits'!$A:$I,3,FALSE)</f>
        <v>1.18</v>
      </c>
      <c r="L1716" s="91">
        <f>VLOOKUP($A1716,'2022-23 Salary &amp; Benefits'!$A:$I,4,FALSE)</f>
        <v>1.18</v>
      </c>
      <c r="M1716" s="39">
        <f t="shared" si="325"/>
        <v>0</v>
      </c>
      <c r="N1716" s="24">
        <v>15</v>
      </c>
      <c r="O1716" s="26">
        <f t="shared" si="328"/>
        <v>0</v>
      </c>
      <c r="P1716" s="24">
        <v>1.1000000000000001</v>
      </c>
      <c r="Q1716" s="24">
        <v>36</v>
      </c>
      <c r="R1716" s="27">
        <f t="shared" si="329"/>
        <v>0</v>
      </c>
      <c r="S1716" s="102">
        <f t="shared" si="331"/>
        <v>0</v>
      </c>
      <c r="T1716" s="21">
        <f>VLOOKUP($A1716,'2022-23 Salary &amp; Benefits'!$A:$I,5,FALSE)</f>
        <v>68937</v>
      </c>
      <c r="U1716" s="21">
        <f>VLOOKUP($A1716,'2022-23 Salary &amp; Benefits'!$A:$I,6,FALSE)</f>
        <v>72728</v>
      </c>
      <c r="V1716" s="22">
        <f t="shared" si="332"/>
        <v>0</v>
      </c>
      <c r="W1716" s="22">
        <f t="shared" si="333"/>
        <v>0</v>
      </c>
      <c r="X1716" s="22">
        <f>'2022-23 Salary &amp; Benefits'!$G$6</f>
        <v>12558.24</v>
      </c>
      <c r="Y1716" s="23">
        <f>'2022-23 Salary &amp; Benefits'!$H$6</f>
        <v>0.2298</v>
      </c>
      <c r="Z1716" s="23">
        <f>'2022-23 Salary &amp; Benefits'!$I$6</f>
        <v>0.22339999999999999</v>
      </c>
      <c r="AA1716" s="22">
        <f t="shared" si="334"/>
        <v>0</v>
      </c>
      <c r="AB1716" s="22">
        <f t="shared" si="335"/>
        <v>0</v>
      </c>
      <c r="AC1716" s="22">
        <f t="shared" si="336"/>
        <v>0</v>
      </c>
      <c r="AD1716" s="22">
        <f t="shared" si="326"/>
        <v>0</v>
      </c>
      <c r="AE1716" s="22">
        <f t="shared" si="327"/>
        <v>0</v>
      </c>
      <c r="AF1716" s="19" t="str">
        <f>VLOOKUP(C1716,'2021-22 School Level AAFTE'!C:N,12,FALSE)</f>
        <v>No</v>
      </c>
    </row>
    <row r="1717" spans="1:32" s="5" customFormat="1">
      <c r="A1717" s="97" t="s">
        <v>2348</v>
      </c>
      <c r="B1717" s="97" t="s">
        <v>547</v>
      </c>
      <c r="C1717" s="95">
        <v>2839</v>
      </c>
      <c r="D1717" s="95" t="s">
        <v>601</v>
      </c>
      <c r="E1717" s="129">
        <f>VLOOKUP($C1717,'2021-22 School Level AAFTE'!$C:$Z,11,FALSE)</f>
        <v>0.61699999999999999</v>
      </c>
      <c r="F1717" s="129" t="str">
        <f>VLOOKUP($C1717,'2021-22 School Level AAFTE'!$C:$Z,8,FALSE)</f>
        <v>Yes</v>
      </c>
      <c r="G1717" s="129" t="str">
        <f>VLOOKUP($C1717,'2021-22 School Level AAFTE'!$C:$Z,12,FALSE)</f>
        <v>No</v>
      </c>
      <c r="H1717" s="127">
        <f>VLOOKUP($C1717,'2021-22 School Level AAFTE'!$C:$I,7,FALSE)</f>
        <v>862.86</v>
      </c>
      <c r="I1717" s="112">
        <f>IFERROR(IF(OR(G1717="yes",F1717= "yes"),VLOOKUP(C1717,Summary!$B:$J,6,0),0),0)</f>
        <v>0</v>
      </c>
      <c r="J1717" s="111">
        <f t="shared" si="330"/>
        <v>862.86</v>
      </c>
      <c r="K1717" s="91">
        <f>VLOOKUP($A1717,'2022-23 Salary &amp; Benefits'!$A:$I,3,FALSE)</f>
        <v>1.18</v>
      </c>
      <c r="L1717" s="91">
        <f>VLOOKUP($A1717,'2022-23 Salary &amp; Benefits'!$A:$I,4,FALSE)</f>
        <v>1.18</v>
      </c>
      <c r="M1717" s="39">
        <f t="shared" si="325"/>
        <v>862.86</v>
      </c>
      <c r="N1717" s="24">
        <v>15</v>
      </c>
      <c r="O1717" s="26">
        <f t="shared" si="328"/>
        <v>57.524000000000001</v>
      </c>
      <c r="P1717" s="24">
        <v>1.1000000000000001</v>
      </c>
      <c r="Q1717" s="24">
        <v>36</v>
      </c>
      <c r="R1717" s="27">
        <f t="shared" si="329"/>
        <v>2277.9504000000002</v>
      </c>
      <c r="S1717" s="102">
        <f t="shared" si="331"/>
        <v>2.5310000000000001</v>
      </c>
      <c r="T1717" s="21">
        <f>VLOOKUP($A1717,'2022-23 Salary &amp; Benefits'!$A:$I,5,FALSE)</f>
        <v>68937</v>
      </c>
      <c r="U1717" s="21">
        <f>VLOOKUP($A1717,'2022-23 Salary &amp; Benefits'!$A:$I,6,FALSE)</f>
        <v>72728</v>
      </c>
      <c r="V1717" s="22">
        <f t="shared" si="332"/>
        <v>205885.87</v>
      </c>
      <c r="W1717" s="22">
        <f t="shared" si="333"/>
        <v>11322.119999999995</v>
      </c>
      <c r="X1717" s="22">
        <f>'2022-23 Salary &amp; Benefits'!$G$6</f>
        <v>12558.24</v>
      </c>
      <c r="Y1717" s="23">
        <f>'2022-23 Salary &amp; Benefits'!$H$6</f>
        <v>0.2298</v>
      </c>
      <c r="Z1717" s="23">
        <f>'2022-23 Salary &amp; Benefits'!$I$6</f>
        <v>0.22339999999999999</v>
      </c>
      <c r="AA1717" s="22">
        <f t="shared" si="334"/>
        <v>81626.84</v>
      </c>
      <c r="AB1717" s="22">
        <f t="shared" si="335"/>
        <v>3620.13</v>
      </c>
      <c r="AC1717" s="22">
        <f t="shared" si="336"/>
        <v>808.74</v>
      </c>
      <c r="AD1717" s="22">
        <f t="shared" si="326"/>
        <v>4428.87</v>
      </c>
      <c r="AE1717" s="22">
        <f t="shared" si="327"/>
        <v>303263.69999999995</v>
      </c>
      <c r="AF1717" s="19" t="str">
        <f>VLOOKUP(C1717,'2021-22 School Level AAFTE'!C:N,12,FALSE)</f>
        <v>No</v>
      </c>
    </row>
    <row r="1718" spans="1:32" s="5" customFormat="1">
      <c r="A1718" s="97" t="s">
        <v>2348</v>
      </c>
      <c r="B1718" s="97" t="s">
        <v>547</v>
      </c>
      <c r="C1718" s="95">
        <v>2975</v>
      </c>
      <c r="D1718" s="95" t="s">
        <v>602</v>
      </c>
      <c r="E1718" s="129">
        <f>VLOOKUP($C1718,'2021-22 School Level AAFTE'!$C:$Z,11,FALSE)</f>
        <v>0.37253333333333333</v>
      </c>
      <c r="F1718" s="129" t="str">
        <f>VLOOKUP($C1718,'2021-22 School Level AAFTE'!$C:$Z,8,FALSE)</f>
        <v>No</v>
      </c>
      <c r="G1718" s="129" t="str">
        <f>VLOOKUP($C1718,'2021-22 School Level AAFTE'!$C:$Z,12,FALSE)</f>
        <v>No</v>
      </c>
      <c r="H1718" s="127">
        <f>VLOOKUP($C1718,'2021-22 School Level AAFTE'!$C:$I,7,FALSE)</f>
        <v>263.86</v>
      </c>
      <c r="I1718" s="112">
        <f>IFERROR(IF(OR(G1718="yes",F1718= "yes"),VLOOKUP(C1718,Summary!$B:$J,6,0),0),0)</f>
        <v>0</v>
      </c>
      <c r="J1718" s="111">
        <f t="shared" si="330"/>
        <v>0</v>
      </c>
      <c r="K1718" s="91">
        <f>VLOOKUP($A1718,'2022-23 Salary &amp; Benefits'!$A:$I,3,FALSE)</f>
        <v>1.18</v>
      </c>
      <c r="L1718" s="91">
        <f>VLOOKUP($A1718,'2022-23 Salary &amp; Benefits'!$A:$I,4,FALSE)</f>
        <v>1.18</v>
      </c>
      <c r="M1718" s="39">
        <f t="shared" si="325"/>
        <v>0</v>
      </c>
      <c r="N1718" s="24">
        <v>15</v>
      </c>
      <c r="O1718" s="26">
        <f t="shared" si="328"/>
        <v>0</v>
      </c>
      <c r="P1718" s="24">
        <v>1.1000000000000001</v>
      </c>
      <c r="Q1718" s="24">
        <v>36</v>
      </c>
      <c r="R1718" s="27">
        <f t="shared" si="329"/>
        <v>0</v>
      </c>
      <c r="S1718" s="102">
        <f t="shared" si="331"/>
        <v>0</v>
      </c>
      <c r="T1718" s="21">
        <f>VLOOKUP($A1718,'2022-23 Salary &amp; Benefits'!$A:$I,5,FALSE)</f>
        <v>68937</v>
      </c>
      <c r="U1718" s="21">
        <f>VLOOKUP($A1718,'2022-23 Salary &amp; Benefits'!$A:$I,6,FALSE)</f>
        <v>72728</v>
      </c>
      <c r="V1718" s="22">
        <f t="shared" si="332"/>
        <v>0</v>
      </c>
      <c r="W1718" s="22">
        <f t="shared" si="333"/>
        <v>0</v>
      </c>
      <c r="X1718" s="22">
        <f>'2022-23 Salary &amp; Benefits'!$G$6</f>
        <v>12558.24</v>
      </c>
      <c r="Y1718" s="23">
        <f>'2022-23 Salary &amp; Benefits'!$H$6</f>
        <v>0.2298</v>
      </c>
      <c r="Z1718" s="23">
        <f>'2022-23 Salary &amp; Benefits'!$I$6</f>
        <v>0.22339999999999999</v>
      </c>
      <c r="AA1718" s="22">
        <f t="shared" si="334"/>
        <v>0</v>
      </c>
      <c r="AB1718" s="22">
        <f t="shared" si="335"/>
        <v>0</v>
      </c>
      <c r="AC1718" s="22">
        <f t="shared" si="336"/>
        <v>0</v>
      </c>
      <c r="AD1718" s="22">
        <f t="shared" si="326"/>
        <v>0</v>
      </c>
      <c r="AE1718" s="22">
        <f t="shared" si="327"/>
        <v>0</v>
      </c>
      <c r="AF1718" s="19" t="str">
        <f>VLOOKUP(C1718,'2021-22 School Level AAFTE'!C:N,12,FALSE)</f>
        <v>No</v>
      </c>
    </row>
    <row r="1719" spans="1:32" s="5" customFormat="1">
      <c r="A1719" s="97" t="s">
        <v>2348</v>
      </c>
      <c r="B1719" s="97" t="s">
        <v>547</v>
      </c>
      <c r="C1719" s="95">
        <v>2976</v>
      </c>
      <c r="D1719" s="95" t="s">
        <v>603</v>
      </c>
      <c r="E1719" s="129">
        <f>VLOOKUP($C1719,'2021-22 School Level AAFTE'!$C:$Z,11,FALSE)</f>
        <v>0.53639999999999999</v>
      </c>
      <c r="F1719" s="129" t="str">
        <f>VLOOKUP($C1719,'2021-22 School Level AAFTE'!$C:$Z,8,FALSE)</f>
        <v>Yes</v>
      </c>
      <c r="G1719" s="129" t="str">
        <f>VLOOKUP($C1719,'2021-22 School Level AAFTE'!$C:$Z,12,FALSE)</f>
        <v>No</v>
      </c>
      <c r="H1719" s="127">
        <f>VLOOKUP($C1719,'2021-22 School Level AAFTE'!$C:$I,7,FALSE)</f>
        <v>453.29</v>
      </c>
      <c r="I1719" s="112">
        <f>IFERROR(IF(OR(G1719="yes",F1719= "yes"),VLOOKUP(C1719,Summary!$B:$J,6,0),0),0)</f>
        <v>0</v>
      </c>
      <c r="J1719" s="111">
        <f t="shared" si="330"/>
        <v>453.29</v>
      </c>
      <c r="K1719" s="91">
        <f>VLOOKUP($A1719,'2022-23 Salary &amp; Benefits'!$A:$I,3,FALSE)</f>
        <v>1.18</v>
      </c>
      <c r="L1719" s="91">
        <f>VLOOKUP($A1719,'2022-23 Salary &amp; Benefits'!$A:$I,4,FALSE)</f>
        <v>1.18</v>
      </c>
      <c r="M1719" s="39">
        <f t="shared" si="325"/>
        <v>453.29</v>
      </c>
      <c r="N1719" s="24">
        <v>15</v>
      </c>
      <c r="O1719" s="26">
        <f t="shared" si="328"/>
        <v>30.219333333333335</v>
      </c>
      <c r="P1719" s="24">
        <v>1.1000000000000001</v>
      </c>
      <c r="Q1719" s="24">
        <v>36</v>
      </c>
      <c r="R1719" s="27">
        <f t="shared" si="329"/>
        <v>1196.6856</v>
      </c>
      <c r="S1719" s="102">
        <f t="shared" si="331"/>
        <v>1.33</v>
      </c>
      <c r="T1719" s="21">
        <f>VLOOKUP($A1719,'2022-23 Salary &amp; Benefits'!$A:$I,5,FALSE)</f>
        <v>68937</v>
      </c>
      <c r="U1719" s="21">
        <f>VLOOKUP($A1719,'2022-23 Salary &amp; Benefits'!$A:$I,6,FALSE)</f>
        <v>72728</v>
      </c>
      <c r="V1719" s="22">
        <f t="shared" si="332"/>
        <v>108189.73</v>
      </c>
      <c r="W1719" s="22">
        <f t="shared" si="333"/>
        <v>5949.5900000000111</v>
      </c>
      <c r="X1719" s="22">
        <f>'2022-23 Salary &amp; Benefits'!$G$6</f>
        <v>12558.24</v>
      </c>
      <c r="Y1719" s="23">
        <f>'2022-23 Salary &amp; Benefits'!$H$6</f>
        <v>0.2298</v>
      </c>
      <c r="Z1719" s="23">
        <f>'2022-23 Salary &amp; Benefits'!$I$6</f>
        <v>0.22339999999999999</v>
      </c>
      <c r="AA1719" s="22">
        <f t="shared" si="334"/>
        <v>42893.599999999999</v>
      </c>
      <c r="AB1719" s="22">
        <f t="shared" si="335"/>
        <v>1902.32</v>
      </c>
      <c r="AC1719" s="22">
        <f t="shared" si="336"/>
        <v>424.98</v>
      </c>
      <c r="AD1719" s="22">
        <f t="shared" si="326"/>
        <v>2327.3000000000002</v>
      </c>
      <c r="AE1719" s="22">
        <f t="shared" si="327"/>
        <v>159360.21999999997</v>
      </c>
      <c r="AF1719" s="19" t="str">
        <f>VLOOKUP(C1719,'2021-22 School Level AAFTE'!C:N,12,FALSE)</f>
        <v>No</v>
      </c>
    </row>
    <row r="1720" spans="1:32" s="5" customFormat="1">
      <c r="A1720" s="97" t="s">
        <v>2348</v>
      </c>
      <c r="B1720" s="97" t="s">
        <v>547</v>
      </c>
      <c r="C1720" s="95">
        <v>2977</v>
      </c>
      <c r="D1720" s="95" t="s">
        <v>604</v>
      </c>
      <c r="E1720" s="129">
        <f>VLOOKUP($C1720,'2021-22 School Level AAFTE'!$C:$Z,11,FALSE)</f>
        <v>0.31560000000000005</v>
      </c>
      <c r="F1720" s="129" t="str">
        <f>VLOOKUP($C1720,'2021-22 School Level AAFTE'!$C:$Z,8,FALSE)</f>
        <v>No</v>
      </c>
      <c r="G1720" s="129" t="str">
        <f>VLOOKUP($C1720,'2021-22 School Level AAFTE'!$C:$Z,12,FALSE)</f>
        <v>No</v>
      </c>
      <c r="H1720" s="127">
        <f>VLOOKUP($C1720,'2021-22 School Level AAFTE'!$C:$I,7,FALSE)</f>
        <v>284.70999999999998</v>
      </c>
      <c r="I1720" s="112">
        <f>IFERROR(IF(OR(G1720="yes",F1720= "yes"),VLOOKUP(C1720,Summary!$B:$J,6,0),0),0)</f>
        <v>0</v>
      </c>
      <c r="J1720" s="111">
        <f t="shared" si="330"/>
        <v>0</v>
      </c>
      <c r="K1720" s="91">
        <f>VLOOKUP($A1720,'2022-23 Salary &amp; Benefits'!$A:$I,3,FALSE)</f>
        <v>1.18</v>
      </c>
      <c r="L1720" s="91">
        <f>VLOOKUP($A1720,'2022-23 Salary &amp; Benefits'!$A:$I,4,FALSE)</f>
        <v>1.18</v>
      </c>
      <c r="M1720" s="39">
        <f t="shared" si="325"/>
        <v>0</v>
      </c>
      <c r="N1720" s="24">
        <v>15</v>
      </c>
      <c r="O1720" s="26">
        <f t="shared" si="328"/>
        <v>0</v>
      </c>
      <c r="P1720" s="24">
        <v>1.1000000000000001</v>
      </c>
      <c r="Q1720" s="24">
        <v>36</v>
      </c>
      <c r="R1720" s="27">
        <f t="shared" si="329"/>
        <v>0</v>
      </c>
      <c r="S1720" s="102">
        <f t="shared" si="331"/>
        <v>0</v>
      </c>
      <c r="T1720" s="21">
        <f>VLOOKUP($A1720,'2022-23 Salary &amp; Benefits'!$A:$I,5,FALSE)</f>
        <v>68937</v>
      </c>
      <c r="U1720" s="21">
        <f>VLOOKUP($A1720,'2022-23 Salary &amp; Benefits'!$A:$I,6,FALSE)</f>
        <v>72728</v>
      </c>
      <c r="V1720" s="22">
        <f t="shared" si="332"/>
        <v>0</v>
      </c>
      <c r="W1720" s="22">
        <f t="shared" si="333"/>
        <v>0</v>
      </c>
      <c r="X1720" s="22">
        <f>'2022-23 Salary &amp; Benefits'!$G$6</f>
        <v>12558.24</v>
      </c>
      <c r="Y1720" s="23">
        <f>'2022-23 Salary &amp; Benefits'!$H$6</f>
        <v>0.2298</v>
      </c>
      <c r="Z1720" s="23">
        <f>'2022-23 Salary &amp; Benefits'!$I$6</f>
        <v>0.22339999999999999</v>
      </c>
      <c r="AA1720" s="22">
        <f t="shared" si="334"/>
        <v>0</v>
      </c>
      <c r="AB1720" s="22">
        <f t="shared" si="335"/>
        <v>0</v>
      </c>
      <c r="AC1720" s="22">
        <f t="shared" si="336"/>
        <v>0</v>
      </c>
      <c r="AD1720" s="22">
        <f t="shared" si="326"/>
        <v>0</v>
      </c>
      <c r="AE1720" s="22">
        <f t="shared" si="327"/>
        <v>0</v>
      </c>
      <c r="AF1720" s="19" t="str">
        <f>VLOOKUP(C1720,'2021-22 School Level AAFTE'!C:N,12,FALSE)</f>
        <v>No</v>
      </c>
    </row>
    <row r="1721" spans="1:32" s="5" customFormat="1">
      <c r="A1721" s="97" t="s">
        <v>2348</v>
      </c>
      <c r="B1721" s="97" t="s">
        <v>547</v>
      </c>
      <c r="C1721" s="95">
        <v>3026</v>
      </c>
      <c r="D1721" s="95" t="s">
        <v>605</v>
      </c>
      <c r="E1721" s="129">
        <f>VLOOKUP($C1721,'2021-22 School Level AAFTE'!$C:$Z,11,FALSE)</f>
        <v>5.843333333333333E-2</v>
      </c>
      <c r="F1721" s="129" t="str">
        <f>VLOOKUP($C1721,'2021-22 School Level AAFTE'!$C:$Z,8,FALSE)</f>
        <v>No</v>
      </c>
      <c r="G1721" s="129" t="str">
        <f>VLOOKUP($C1721,'2021-22 School Level AAFTE'!$C:$Z,12,FALSE)</f>
        <v>No</v>
      </c>
      <c r="H1721" s="127">
        <f>VLOOKUP($C1721,'2021-22 School Level AAFTE'!$C:$I,7,FALSE)</f>
        <v>391.43</v>
      </c>
      <c r="I1721" s="112">
        <f>IFERROR(IF(OR(G1721="yes",F1721= "yes"),VLOOKUP(C1721,Summary!$B:$J,6,0),0),0)</f>
        <v>0</v>
      </c>
      <c r="J1721" s="111">
        <f t="shared" si="330"/>
        <v>0</v>
      </c>
      <c r="K1721" s="91">
        <f>VLOOKUP($A1721,'2022-23 Salary &amp; Benefits'!$A:$I,3,FALSE)</f>
        <v>1.18</v>
      </c>
      <c r="L1721" s="91">
        <f>VLOOKUP($A1721,'2022-23 Salary &amp; Benefits'!$A:$I,4,FALSE)</f>
        <v>1.18</v>
      </c>
      <c r="M1721" s="39">
        <f t="shared" si="325"/>
        <v>0</v>
      </c>
      <c r="N1721" s="24">
        <v>15</v>
      </c>
      <c r="O1721" s="26">
        <f t="shared" si="328"/>
        <v>0</v>
      </c>
      <c r="P1721" s="24">
        <v>1.1000000000000001</v>
      </c>
      <c r="Q1721" s="24">
        <v>36</v>
      </c>
      <c r="R1721" s="27">
        <f t="shared" si="329"/>
        <v>0</v>
      </c>
      <c r="S1721" s="102">
        <f t="shared" si="331"/>
        <v>0</v>
      </c>
      <c r="T1721" s="21">
        <f>VLOOKUP($A1721,'2022-23 Salary &amp; Benefits'!$A:$I,5,FALSE)</f>
        <v>68937</v>
      </c>
      <c r="U1721" s="21">
        <f>VLOOKUP($A1721,'2022-23 Salary &amp; Benefits'!$A:$I,6,FALSE)</f>
        <v>72728</v>
      </c>
      <c r="V1721" s="22">
        <f t="shared" si="332"/>
        <v>0</v>
      </c>
      <c r="W1721" s="22">
        <f t="shared" si="333"/>
        <v>0</v>
      </c>
      <c r="X1721" s="22">
        <f>'2022-23 Salary &amp; Benefits'!$G$6</f>
        <v>12558.24</v>
      </c>
      <c r="Y1721" s="23">
        <f>'2022-23 Salary &amp; Benefits'!$H$6</f>
        <v>0.2298</v>
      </c>
      <c r="Z1721" s="23">
        <f>'2022-23 Salary &amp; Benefits'!$I$6</f>
        <v>0.22339999999999999</v>
      </c>
      <c r="AA1721" s="22">
        <f t="shared" si="334"/>
        <v>0</v>
      </c>
      <c r="AB1721" s="22">
        <f t="shared" si="335"/>
        <v>0</v>
      </c>
      <c r="AC1721" s="22">
        <f t="shared" si="336"/>
        <v>0</v>
      </c>
      <c r="AD1721" s="22">
        <f t="shared" si="326"/>
        <v>0</v>
      </c>
      <c r="AE1721" s="22">
        <f t="shared" si="327"/>
        <v>0</v>
      </c>
      <c r="AF1721" s="19" t="str">
        <f>VLOOKUP(C1721,'2021-22 School Level AAFTE'!C:N,12,FALSE)</f>
        <v>No</v>
      </c>
    </row>
    <row r="1722" spans="1:32" s="5" customFormat="1">
      <c r="A1722" s="97" t="s">
        <v>2348</v>
      </c>
      <c r="B1722" s="97" t="s">
        <v>547</v>
      </c>
      <c r="C1722" s="95">
        <v>3027</v>
      </c>
      <c r="D1722" s="95" t="s">
        <v>606</v>
      </c>
      <c r="E1722" s="129">
        <f>VLOOKUP($C1722,'2021-22 School Level AAFTE'!$C:$Z,11,FALSE)</f>
        <v>0.64196666666666669</v>
      </c>
      <c r="F1722" s="129" t="str">
        <f>VLOOKUP($C1722,'2021-22 School Level AAFTE'!$C:$Z,8,FALSE)</f>
        <v>Yes</v>
      </c>
      <c r="G1722" s="129" t="str">
        <f>VLOOKUP($C1722,'2021-22 School Level AAFTE'!$C:$Z,12,FALSE)</f>
        <v>No</v>
      </c>
      <c r="H1722" s="127">
        <f>VLOOKUP($C1722,'2021-22 School Level AAFTE'!$C:$I,7,FALSE)</f>
        <v>186.14</v>
      </c>
      <c r="I1722" s="112">
        <f>IFERROR(IF(OR(G1722="yes",F1722= "yes"),VLOOKUP(C1722,Summary!$B:$J,6,0),0),0)</f>
        <v>0</v>
      </c>
      <c r="J1722" s="111">
        <f t="shared" si="330"/>
        <v>186.14</v>
      </c>
      <c r="K1722" s="91">
        <f>VLOOKUP($A1722,'2022-23 Salary &amp; Benefits'!$A:$I,3,FALSE)</f>
        <v>1.18</v>
      </c>
      <c r="L1722" s="91">
        <f>VLOOKUP($A1722,'2022-23 Salary &amp; Benefits'!$A:$I,4,FALSE)</f>
        <v>1.18</v>
      </c>
      <c r="M1722" s="39">
        <f t="shared" si="325"/>
        <v>186.14</v>
      </c>
      <c r="N1722" s="24">
        <v>15</v>
      </c>
      <c r="O1722" s="26">
        <f t="shared" si="328"/>
        <v>12.409333333333333</v>
      </c>
      <c r="P1722" s="24">
        <v>1.1000000000000001</v>
      </c>
      <c r="Q1722" s="24">
        <v>36</v>
      </c>
      <c r="R1722" s="27">
        <f t="shared" si="329"/>
        <v>491.40960000000001</v>
      </c>
      <c r="S1722" s="102">
        <f t="shared" si="331"/>
        <v>0.54600000000000004</v>
      </c>
      <c r="T1722" s="21">
        <f>VLOOKUP($A1722,'2022-23 Salary &amp; Benefits'!$A:$I,5,FALSE)</f>
        <v>68937</v>
      </c>
      <c r="U1722" s="21">
        <f>VLOOKUP($A1722,'2022-23 Salary &amp; Benefits'!$A:$I,6,FALSE)</f>
        <v>72728</v>
      </c>
      <c r="V1722" s="22">
        <f t="shared" si="332"/>
        <v>44414.73</v>
      </c>
      <c r="W1722" s="22">
        <f t="shared" si="333"/>
        <v>2442.4699999999939</v>
      </c>
      <c r="X1722" s="22">
        <f>'2022-23 Salary &amp; Benefits'!$G$6</f>
        <v>12558.24</v>
      </c>
      <c r="Y1722" s="23">
        <f>'2022-23 Salary &amp; Benefits'!$H$6</f>
        <v>0.2298</v>
      </c>
      <c r="Z1722" s="23">
        <f>'2022-23 Salary &amp; Benefits'!$I$6</f>
        <v>0.22339999999999999</v>
      </c>
      <c r="AA1722" s="22">
        <f t="shared" si="334"/>
        <v>17608.95</v>
      </c>
      <c r="AB1722" s="22">
        <f t="shared" si="335"/>
        <v>780.95</v>
      </c>
      <c r="AC1722" s="22">
        <f t="shared" si="336"/>
        <v>174.46</v>
      </c>
      <c r="AD1722" s="22">
        <f t="shared" si="326"/>
        <v>955.41000000000008</v>
      </c>
      <c r="AE1722" s="22">
        <f t="shared" si="327"/>
        <v>65421.560000000005</v>
      </c>
      <c r="AF1722" s="19" t="str">
        <f>VLOOKUP(C1722,'2021-22 School Level AAFTE'!C:N,12,FALSE)</f>
        <v>No</v>
      </c>
    </row>
    <row r="1723" spans="1:32" s="5" customFormat="1">
      <c r="A1723" s="97" t="s">
        <v>2348</v>
      </c>
      <c r="B1723" s="97" t="s">
        <v>547</v>
      </c>
      <c r="C1723" s="95">
        <v>3028</v>
      </c>
      <c r="D1723" s="95" t="s">
        <v>192</v>
      </c>
      <c r="E1723" s="129">
        <f>VLOOKUP($C1723,'2021-22 School Level AAFTE'!$C:$Z,11,FALSE)</f>
        <v>0.23336666666666664</v>
      </c>
      <c r="F1723" s="129" t="str">
        <f>VLOOKUP($C1723,'2021-22 School Level AAFTE'!$C:$Z,8,FALSE)</f>
        <v>No</v>
      </c>
      <c r="G1723" s="129" t="str">
        <f>VLOOKUP($C1723,'2021-22 School Level AAFTE'!$C:$Z,12,FALSE)</f>
        <v>No</v>
      </c>
      <c r="H1723" s="127">
        <f>VLOOKUP($C1723,'2021-22 School Level AAFTE'!$C:$I,7,FALSE)</f>
        <v>169.57</v>
      </c>
      <c r="I1723" s="112">
        <f>IFERROR(IF(OR(G1723="yes",F1723= "yes"),VLOOKUP(C1723,Summary!$B:$J,6,0),0),0)</f>
        <v>0</v>
      </c>
      <c r="J1723" s="111">
        <f t="shared" si="330"/>
        <v>0</v>
      </c>
      <c r="K1723" s="91">
        <f>VLOOKUP($A1723,'2022-23 Salary &amp; Benefits'!$A:$I,3,FALSE)</f>
        <v>1.18</v>
      </c>
      <c r="L1723" s="91">
        <f>VLOOKUP($A1723,'2022-23 Salary &amp; Benefits'!$A:$I,4,FALSE)</f>
        <v>1.18</v>
      </c>
      <c r="M1723" s="39">
        <f t="shared" si="325"/>
        <v>0</v>
      </c>
      <c r="N1723" s="24">
        <v>15</v>
      </c>
      <c r="O1723" s="26">
        <f t="shared" si="328"/>
        <v>0</v>
      </c>
      <c r="P1723" s="24">
        <v>1.1000000000000001</v>
      </c>
      <c r="Q1723" s="24">
        <v>36</v>
      </c>
      <c r="R1723" s="27">
        <f t="shared" si="329"/>
        <v>0</v>
      </c>
      <c r="S1723" s="102">
        <f t="shared" si="331"/>
        <v>0</v>
      </c>
      <c r="T1723" s="21">
        <f>VLOOKUP($A1723,'2022-23 Salary &amp; Benefits'!$A:$I,5,FALSE)</f>
        <v>68937</v>
      </c>
      <c r="U1723" s="21">
        <f>VLOOKUP($A1723,'2022-23 Salary &amp; Benefits'!$A:$I,6,FALSE)</f>
        <v>72728</v>
      </c>
      <c r="V1723" s="22">
        <f t="shared" si="332"/>
        <v>0</v>
      </c>
      <c r="W1723" s="22">
        <f t="shared" si="333"/>
        <v>0</v>
      </c>
      <c r="X1723" s="22">
        <f>'2022-23 Salary &amp; Benefits'!$G$6</f>
        <v>12558.24</v>
      </c>
      <c r="Y1723" s="23">
        <f>'2022-23 Salary &amp; Benefits'!$H$6</f>
        <v>0.2298</v>
      </c>
      <c r="Z1723" s="23">
        <f>'2022-23 Salary &amp; Benefits'!$I$6</f>
        <v>0.22339999999999999</v>
      </c>
      <c r="AA1723" s="22">
        <f t="shared" si="334"/>
        <v>0</v>
      </c>
      <c r="AB1723" s="22">
        <f t="shared" si="335"/>
        <v>0</v>
      </c>
      <c r="AC1723" s="22">
        <f t="shared" si="336"/>
        <v>0</v>
      </c>
      <c r="AD1723" s="22">
        <f t="shared" si="326"/>
        <v>0</v>
      </c>
      <c r="AE1723" s="22">
        <f t="shared" si="327"/>
        <v>0</v>
      </c>
      <c r="AF1723" s="19" t="str">
        <f>VLOOKUP(C1723,'2021-22 School Level AAFTE'!C:N,12,FALSE)</f>
        <v>No</v>
      </c>
    </row>
    <row r="1724" spans="1:32" s="5" customFormat="1">
      <c r="A1724" s="97" t="s">
        <v>2348</v>
      </c>
      <c r="B1724" s="97" t="s">
        <v>547</v>
      </c>
      <c r="C1724" s="95">
        <v>3095</v>
      </c>
      <c r="D1724" s="95" t="s">
        <v>607</v>
      </c>
      <c r="E1724" s="129">
        <f>VLOOKUP($C1724,'2021-22 School Level AAFTE'!$C:$Z,11,FALSE)</f>
        <v>0.58633333333333326</v>
      </c>
      <c r="F1724" s="129" t="str">
        <f>VLOOKUP($C1724,'2021-22 School Level AAFTE'!$C:$Z,8,FALSE)</f>
        <v>Yes</v>
      </c>
      <c r="G1724" s="129" t="str">
        <f>VLOOKUP($C1724,'2021-22 School Level AAFTE'!$C:$Z,12,FALSE)</f>
        <v>No</v>
      </c>
      <c r="H1724" s="127">
        <f>VLOOKUP($C1724,'2021-22 School Level AAFTE'!$C:$I,7,FALSE)</f>
        <v>980.79</v>
      </c>
      <c r="I1724" s="112">
        <f>IFERROR(IF(OR(G1724="yes",F1724= "yes"),VLOOKUP(C1724,Summary!$B:$J,6,0),0),0)</f>
        <v>0</v>
      </c>
      <c r="J1724" s="111">
        <f t="shared" si="330"/>
        <v>980.79</v>
      </c>
      <c r="K1724" s="91">
        <f>VLOOKUP($A1724,'2022-23 Salary &amp; Benefits'!$A:$I,3,FALSE)</f>
        <v>1.18</v>
      </c>
      <c r="L1724" s="91">
        <f>VLOOKUP($A1724,'2022-23 Salary &amp; Benefits'!$A:$I,4,FALSE)</f>
        <v>1.18</v>
      </c>
      <c r="M1724" s="39">
        <f t="shared" si="325"/>
        <v>980.79</v>
      </c>
      <c r="N1724" s="24">
        <v>15</v>
      </c>
      <c r="O1724" s="26">
        <f t="shared" si="328"/>
        <v>65.385999999999996</v>
      </c>
      <c r="P1724" s="24">
        <v>1.1000000000000001</v>
      </c>
      <c r="Q1724" s="24">
        <v>36</v>
      </c>
      <c r="R1724" s="27">
        <f t="shared" si="329"/>
        <v>2589.2856000000002</v>
      </c>
      <c r="S1724" s="102">
        <f t="shared" si="331"/>
        <v>2.8769999999999998</v>
      </c>
      <c r="T1724" s="21">
        <f>VLOOKUP($A1724,'2022-23 Salary &amp; Benefits'!$A:$I,5,FALSE)</f>
        <v>68937</v>
      </c>
      <c r="U1724" s="21">
        <f>VLOOKUP($A1724,'2022-23 Salary &amp; Benefits'!$A:$I,6,FALSE)</f>
        <v>72728</v>
      </c>
      <c r="V1724" s="22">
        <f t="shared" si="332"/>
        <v>234031.46</v>
      </c>
      <c r="W1724" s="22">
        <f t="shared" si="333"/>
        <v>12869.920000000013</v>
      </c>
      <c r="X1724" s="22">
        <f>'2022-23 Salary &amp; Benefits'!$G$6</f>
        <v>12558.24</v>
      </c>
      <c r="Y1724" s="23">
        <f>'2022-23 Salary &amp; Benefits'!$H$6</f>
        <v>0.2298</v>
      </c>
      <c r="Z1724" s="23">
        <f>'2022-23 Salary &amp; Benefits'!$I$6</f>
        <v>0.22339999999999999</v>
      </c>
      <c r="AA1724" s="22">
        <f t="shared" si="334"/>
        <v>92785.63</v>
      </c>
      <c r="AB1724" s="22">
        <f t="shared" si="335"/>
        <v>4115.0200000000004</v>
      </c>
      <c r="AC1724" s="22">
        <f t="shared" si="336"/>
        <v>919.3</v>
      </c>
      <c r="AD1724" s="22">
        <f t="shared" si="326"/>
        <v>5034.3200000000006</v>
      </c>
      <c r="AE1724" s="22">
        <f t="shared" si="327"/>
        <v>344721.33</v>
      </c>
      <c r="AF1724" s="19" t="str">
        <f>VLOOKUP(C1724,'2021-22 School Level AAFTE'!C:N,12,FALSE)</f>
        <v>No</v>
      </c>
    </row>
    <row r="1725" spans="1:32" s="5" customFormat="1">
      <c r="A1725" s="97" t="s">
        <v>2348</v>
      </c>
      <c r="B1725" s="97" t="s">
        <v>547</v>
      </c>
      <c r="C1725" s="95">
        <v>3096</v>
      </c>
      <c r="D1725" s="95" t="s">
        <v>608</v>
      </c>
      <c r="E1725" s="129">
        <f>VLOOKUP($C1725,'2021-22 School Level AAFTE'!$C:$Z,11,FALSE)</f>
        <v>0.61280000000000001</v>
      </c>
      <c r="F1725" s="129" t="str">
        <f>VLOOKUP($C1725,'2021-22 School Level AAFTE'!$C:$Z,8,FALSE)</f>
        <v>Yes</v>
      </c>
      <c r="G1725" s="129" t="str">
        <f>VLOOKUP($C1725,'2021-22 School Level AAFTE'!$C:$Z,12,FALSE)</f>
        <v>No</v>
      </c>
      <c r="H1725" s="127">
        <f>VLOOKUP($C1725,'2021-22 School Level AAFTE'!$C:$I,7,FALSE)</f>
        <v>1190.1999999999998</v>
      </c>
      <c r="I1725" s="112">
        <f>IFERROR(IF(OR(G1725="yes",F1725= "yes"),VLOOKUP(C1725,Summary!$B:$J,6,0),0),0)</f>
        <v>0</v>
      </c>
      <c r="J1725" s="111">
        <f t="shared" si="330"/>
        <v>1190.1999999999998</v>
      </c>
      <c r="K1725" s="91">
        <f>VLOOKUP($A1725,'2022-23 Salary &amp; Benefits'!$A:$I,3,FALSE)</f>
        <v>1.18</v>
      </c>
      <c r="L1725" s="91">
        <f>VLOOKUP($A1725,'2022-23 Salary &amp; Benefits'!$A:$I,4,FALSE)</f>
        <v>1.18</v>
      </c>
      <c r="M1725" s="39">
        <f t="shared" si="325"/>
        <v>1190.1999999999998</v>
      </c>
      <c r="N1725" s="24">
        <v>15</v>
      </c>
      <c r="O1725" s="26">
        <f t="shared" si="328"/>
        <v>79.34666666666665</v>
      </c>
      <c r="P1725" s="24">
        <v>1.1000000000000001</v>
      </c>
      <c r="Q1725" s="24">
        <v>36</v>
      </c>
      <c r="R1725" s="27">
        <f t="shared" si="329"/>
        <v>3142.1279999999997</v>
      </c>
      <c r="S1725" s="102">
        <f t="shared" si="331"/>
        <v>3.4910000000000001</v>
      </c>
      <c r="T1725" s="21">
        <f>VLOOKUP($A1725,'2022-23 Salary &amp; Benefits'!$A:$I,5,FALSE)</f>
        <v>68937</v>
      </c>
      <c r="U1725" s="21">
        <f>VLOOKUP($A1725,'2022-23 Salary &amp; Benefits'!$A:$I,6,FALSE)</f>
        <v>72728</v>
      </c>
      <c r="V1725" s="22">
        <f t="shared" si="332"/>
        <v>283977.7</v>
      </c>
      <c r="W1725" s="22">
        <f t="shared" si="333"/>
        <v>15616.570000000007</v>
      </c>
      <c r="X1725" s="22">
        <f>'2022-23 Salary &amp; Benefits'!$G$6</f>
        <v>12558.24</v>
      </c>
      <c r="Y1725" s="23">
        <f>'2022-23 Salary &amp; Benefits'!$H$6</f>
        <v>0.2298</v>
      </c>
      <c r="Z1725" s="23">
        <f>'2022-23 Salary &amp; Benefits'!$I$6</f>
        <v>0.22339999999999999</v>
      </c>
      <c r="AA1725" s="22">
        <f t="shared" si="334"/>
        <v>112587.63</v>
      </c>
      <c r="AB1725" s="22">
        <f t="shared" si="335"/>
        <v>4993.24</v>
      </c>
      <c r="AC1725" s="22">
        <f t="shared" si="336"/>
        <v>1115.49</v>
      </c>
      <c r="AD1725" s="22">
        <f t="shared" si="326"/>
        <v>6108.73</v>
      </c>
      <c r="AE1725" s="22">
        <f t="shared" si="327"/>
        <v>418290.63</v>
      </c>
      <c r="AF1725" s="19" t="str">
        <f>VLOOKUP(C1725,'2021-22 School Level AAFTE'!C:N,12,FALSE)</f>
        <v>No</v>
      </c>
    </row>
    <row r="1726" spans="1:32" s="5" customFormat="1">
      <c r="A1726" s="97" t="s">
        <v>2348</v>
      </c>
      <c r="B1726" s="97" t="s">
        <v>547</v>
      </c>
      <c r="C1726" s="95">
        <v>3157</v>
      </c>
      <c r="D1726" s="95" t="s">
        <v>609</v>
      </c>
      <c r="E1726" s="129">
        <f>VLOOKUP($C1726,'2021-22 School Level AAFTE'!$C:$Z,11,FALSE)</f>
        <v>0.56396666666666673</v>
      </c>
      <c r="F1726" s="129" t="str">
        <f>VLOOKUP($C1726,'2021-22 School Level AAFTE'!$C:$Z,8,FALSE)</f>
        <v>Yes</v>
      </c>
      <c r="G1726" s="129" t="str">
        <f>VLOOKUP($C1726,'2021-22 School Level AAFTE'!$C:$Z,12,FALSE)</f>
        <v>No</v>
      </c>
      <c r="H1726" s="127">
        <f>VLOOKUP($C1726,'2021-22 School Level AAFTE'!$C:$I,7,FALSE)</f>
        <v>232.71</v>
      </c>
      <c r="I1726" s="112">
        <f>IFERROR(IF(OR(G1726="yes",F1726= "yes"),VLOOKUP(C1726,Summary!$B:$J,6,0),0),0)</f>
        <v>0</v>
      </c>
      <c r="J1726" s="111">
        <f t="shared" si="330"/>
        <v>232.71</v>
      </c>
      <c r="K1726" s="91">
        <f>VLOOKUP($A1726,'2022-23 Salary &amp; Benefits'!$A:$I,3,FALSE)</f>
        <v>1.18</v>
      </c>
      <c r="L1726" s="91">
        <f>VLOOKUP($A1726,'2022-23 Salary &amp; Benefits'!$A:$I,4,FALSE)</f>
        <v>1.18</v>
      </c>
      <c r="M1726" s="39">
        <f t="shared" si="325"/>
        <v>232.71</v>
      </c>
      <c r="N1726" s="24">
        <v>15</v>
      </c>
      <c r="O1726" s="26">
        <f t="shared" si="328"/>
        <v>15.514000000000001</v>
      </c>
      <c r="P1726" s="24">
        <v>1.1000000000000001</v>
      </c>
      <c r="Q1726" s="24">
        <v>36</v>
      </c>
      <c r="R1726" s="27">
        <f t="shared" si="329"/>
        <v>614.35440000000017</v>
      </c>
      <c r="S1726" s="102">
        <f t="shared" si="331"/>
        <v>0.68300000000000005</v>
      </c>
      <c r="T1726" s="21">
        <f>VLOOKUP($A1726,'2022-23 Salary &amp; Benefits'!$A:$I,5,FALSE)</f>
        <v>68937</v>
      </c>
      <c r="U1726" s="21">
        <f>VLOOKUP($A1726,'2022-23 Salary &amp; Benefits'!$A:$I,6,FALSE)</f>
        <v>72728</v>
      </c>
      <c r="V1726" s="22">
        <f t="shared" si="332"/>
        <v>55559.09</v>
      </c>
      <c r="W1726" s="22">
        <f t="shared" si="333"/>
        <v>3055.3100000000049</v>
      </c>
      <c r="X1726" s="22">
        <f>'2022-23 Salary &amp; Benefits'!$G$6</f>
        <v>12558.24</v>
      </c>
      <c r="Y1726" s="23">
        <f>'2022-23 Salary &amp; Benefits'!$H$6</f>
        <v>0.2298</v>
      </c>
      <c r="Z1726" s="23">
        <f>'2022-23 Salary &amp; Benefits'!$I$6</f>
        <v>0.22339999999999999</v>
      </c>
      <c r="AA1726" s="22">
        <f t="shared" si="334"/>
        <v>22027.31</v>
      </c>
      <c r="AB1726" s="22">
        <f t="shared" si="335"/>
        <v>976.91</v>
      </c>
      <c r="AC1726" s="22">
        <f t="shared" si="336"/>
        <v>218.24</v>
      </c>
      <c r="AD1726" s="22">
        <f t="shared" si="326"/>
        <v>1195.1500000000001</v>
      </c>
      <c r="AE1726" s="22">
        <f t="shared" si="327"/>
        <v>81836.859999999986</v>
      </c>
      <c r="AF1726" s="19" t="str">
        <f>VLOOKUP(C1726,'2021-22 School Level AAFTE'!C:N,12,FALSE)</f>
        <v>No</v>
      </c>
    </row>
    <row r="1727" spans="1:32" s="5" customFormat="1">
      <c r="A1727" s="97" t="s">
        <v>2348</v>
      </c>
      <c r="B1727" s="97" t="s">
        <v>547</v>
      </c>
      <c r="C1727" s="95">
        <v>3218</v>
      </c>
      <c r="D1727" s="95" t="s">
        <v>610</v>
      </c>
      <c r="E1727" s="129">
        <f>VLOOKUP($C1727,'2021-22 School Level AAFTE'!$C:$Z,11,FALSE)</f>
        <v>7.9866666666666669E-2</v>
      </c>
      <c r="F1727" s="129" t="str">
        <f>VLOOKUP($C1727,'2021-22 School Level AAFTE'!$C:$Z,8,FALSE)</f>
        <v>No</v>
      </c>
      <c r="G1727" s="129" t="str">
        <f>VLOOKUP($C1727,'2021-22 School Level AAFTE'!$C:$Z,12,FALSE)</f>
        <v>No</v>
      </c>
      <c r="H1727" s="127">
        <f>VLOOKUP($C1727,'2021-22 School Level AAFTE'!$C:$I,7,FALSE)</f>
        <v>347.87</v>
      </c>
      <c r="I1727" s="112">
        <f>IFERROR(IF(OR(G1727="yes",F1727= "yes"),VLOOKUP(C1727,Summary!$B:$J,6,0),0),0)</f>
        <v>0</v>
      </c>
      <c r="J1727" s="111">
        <f t="shared" si="330"/>
        <v>0</v>
      </c>
      <c r="K1727" s="91">
        <f>VLOOKUP($A1727,'2022-23 Salary &amp; Benefits'!$A:$I,3,FALSE)</f>
        <v>1.18</v>
      </c>
      <c r="L1727" s="91">
        <f>VLOOKUP($A1727,'2022-23 Salary &amp; Benefits'!$A:$I,4,FALSE)</f>
        <v>1.18</v>
      </c>
      <c r="M1727" s="39">
        <f t="shared" si="325"/>
        <v>0</v>
      </c>
      <c r="N1727" s="24">
        <v>15</v>
      </c>
      <c r="O1727" s="26">
        <f t="shared" si="328"/>
        <v>0</v>
      </c>
      <c r="P1727" s="24">
        <v>1.1000000000000001</v>
      </c>
      <c r="Q1727" s="24">
        <v>36</v>
      </c>
      <c r="R1727" s="27">
        <f t="shared" si="329"/>
        <v>0</v>
      </c>
      <c r="S1727" s="102">
        <f t="shared" si="331"/>
        <v>0</v>
      </c>
      <c r="T1727" s="21">
        <f>VLOOKUP($A1727,'2022-23 Salary &amp; Benefits'!$A:$I,5,FALSE)</f>
        <v>68937</v>
      </c>
      <c r="U1727" s="21">
        <f>VLOOKUP($A1727,'2022-23 Salary &amp; Benefits'!$A:$I,6,FALSE)</f>
        <v>72728</v>
      </c>
      <c r="V1727" s="22">
        <f t="shared" si="332"/>
        <v>0</v>
      </c>
      <c r="W1727" s="22">
        <f t="shared" si="333"/>
        <v>0</v>
      </c>
      <c r="X1727" s="22">
        <f>'2022-23 Salary &amp; Benefits'!$G$6</f>
        <v>12558.24</v>
      </c>
      <c r="Y1727" s="23">
        <f>'2022-23 Salary &amp; Benefits'!$H$6</f>
        <v>0.2298</v>
      </c>
      <c r="Z1727" s="23">
        <f>'2022-23 Salary &amp; Benefits'!$I$6</f>
        <v>0.22339999999999999</v>
      </c>
      <c r="AA1727" s="22">
        <f t="shared" si="334"/>
        <v>0</v>
      </c>
      <c r="AB1727" s="22">
        <f t="shared" si="335"/>
        <v>0</v>
      </c>
      <c r="AC1727" s="22">
        <f t="shared" si="336"/>
        <v>0</v>
      </c>
      <c r="AD1727" s="22">
        <f t="shared" si="326"/>
        <v>0</v>
      </c>
      <c r="AE1727" s="22">
        <f t="shared" si="327"/>
        <v>0</v>
      </c>
      <c r="AF1727" s="19" t="str">
        <f>VLOOKUP(C1727,'2021-22 School Level AAFTE'!C:N,12,FALSE)</f>
        <v>No</v>
      </c>
    </row>
    <row r="1728" spans="1:32" s="5" customFormat="1">
      <c r="A1728" s="97" t="s">
        <v>2348</v>
      </c>
      <c r="B1728" s="97" t="s">
        <v>547</v>
      </c>
      <c r="C1728" s="95">
        <v>3276</v>
      </c>
      <c r="D1728" s="95" t="s">
        <v>611</v>
      </c>
      <c r="E1728" s="129">
        <f>VLOOKUP($C1728,'2021-22 School Level AAFTE'!$C:$Z,11,FALSE)</f>
        <v>0.27136666666666664</v>
      </c>
      <c r="F1728" s="129" t="str">
        <f>VLOOKUP($C1728,'2021-22 School Level AAFTE'!$C:$Z,8,FALSE)</f>
        <v>No</v>
      </c>
      <c r="G1728" s="129" t="str">
        <f>VLOOKUP($C1728,'2021-22 School Level AAFTE'!$C:$Z,12,FALSE)</f>
        <v>No</v>
      </c>
      <c r="H1728" s="127">
        <f>VLOOKUP($C1728,'2021-22 School Level AAFTE'!$C:$I,7,FALSE)</f>
        <v>1412.48</v>
      </c>
      <c r="I1728" s="112">
        <f>IFERROR(IF(OR(G1728="yes",F1728= "yes"),VLOOKUP(C1728,Summary!$B:$J,6,0),0),0)</f>
        <v>0</v>
      </c>
      <c r="J1728" s="111">
        <f t="shared" si="330"/>
        <v>0</v>
      </c>
      <c r="K1728" s="91">
        <f>VLOOKUP($A1728,'2022-23 Salary &amp; Benefits'!$A:$I,3,FALSE)</f>
        <v>1.18</v>
      </c>
      <c r="L1728" s="91">
        <f>VLOOKUP($A1728,'2022-23 Salary &amp; Benefits'!$A:$I,4,FALSE)</f>
        <v>1.18</v>
      </c>
      <c r="M1728" s="101">
        <f t="shared" si="325"/>
        <v>0</v>
      </c>
      <c r="N1728" s="24">
        <v>15</v>
      </c>
      <c r="O1728" s="26">
        <f t="shared" si="328"/>
        <v>0</v>
      </c>
      <c r="P1728" s="24">
        <v>1.1000000000000001</v>
      </c>
      <c r="Q1728" s="24">
        <v>36</v>
      </c>
      <c r="R1728" s="27">
        <f t="shared" si="329"/>
        <v>0</v>
      </c>
      <c r="S1728" s="102">
        <f t="shared" si="331"/>
        <v>0</v>
      </c>
      <c r="T1728" s="21">
        <f>VLOOKUP($A1728,'2022-23 Salary &amp; Benefits'!$A:$I,5,FALSE)</f>
        <v>68937</v>
      </c>
      <c r="U1728" s="21">
        <f>VLOOKUP($A1728,'2022-23 Salary &amp; Benefits'!$A:$I,6,FALSE)</f>
        <v>72728</v>
      </c>
      <c r="V1728" s="22">
        <f t="shared" si="332"/>
        <v>0</v>
      </c>
      <c r="W1728" s="22">
        <f t="shared" si="333"/>
        <v>0</v>
      </c>
      <c r="X1728" s="22">
        <f>'2022-23 Salary &amp; Benefits'!$G$6</f>
        <v>12558.24</v>
      </c>
      <c r="Y1728" s="23">
        <f>'2022-23 Salary &amp; Benefits'!$H$6</f>
        <v>0.2298</v>
      </c>
      <c r="Z1728" s="23">
        <f>'2022-23 Salary &amp; Benefits'!$I$6</f>
        <v>0.22339999999999999</v>
      </c>
      <c r="AA1728" s="22">
        <f t="shared" si="334"/>
        <v>0</v>
      </c>
      <c r="AB1728" s="22">
        <f t="shared" si="335"/>
        <v>0</v>
      </c>
      <c r="AC1728" s="22">
        <f t="shared" si="336"/>
        <v>0</v>
      </c>
      <c r="AD1728" s="22">
        <f t="shared" si="326"/>
        <v>0</v>
      </c>
      <c r="AE1728" s="22">
        <f t="shared" si="327"/>
        <v>0</v>
      </c>
      <c r="AF1728" s="19" t="str">
        <f>VLOOKUP(C1728,'2021-22 School Level AAFTE'!C:N,12,FALSE)</f>
        <v>No</v>
      </c>
    </row>
    <row r="1729" spans="1:32" s="5" customFormat="1">
      <c r="A1729" s="97" t="s">
        <v>2348</v>
      </c>
      <c r="B1729" s="97" t="s">
        <v>547</v>
      </c>
      <c r="C1729" s="95">
        <v>3277</v>
      </c>
      <c r="D1729" s="95" t="s">
        <v>612</v>
      </c>
      <c r="E1729" s="129">
        <f>VLOOKUP($C1729,'2021-22 School Level AAFTE'!$C:$Z,11,FALSE)</f>
        <v>0.14130000000000001</v>
      </c>
      <c r="F1729" s="129" t="str">
        <f>VLOOKUP($C1729,'2021-22 School Level AAFTE'!$C:$Z,8,FALSE)</f>
        <v>No</v>
      </c>
      <c r="G1729" s="129" t="str">
        <f>VLOOKUP($C1729,'2021-22 School Level AAFTE'!$C:$Z,12,FALSE)</f>
        <v>No</v>
      </c>
      <c r="H1729" s="127">
        <f>VLOOKUP($C1729,'2021-22 School Level AAFTE'!$C:$I,7,FALSE)</f>
        <v>671.02</v>
      </c>
      <c r="I1729" s="112">
        <f>IFERROR(IF(OR(G1729="yes",F1729= "yes"),VLOOKUP(C1729,Summary!$B:$J,6,0),0),0)</f>
        <v>0</v>
      </c>
      <c r="J1729" s="111">
        <f t="shared" si="330"/>
        <v>0</v>
      </c>
      <c r="K1729" s="91">
        <f>VLOOKUP($A1729,'2022-23 Salary &amp; Benefits'!$A:$I,3,FALSE)</f>
        <v>1.18</v>
      </c>
      <c r="L1729" s="91">
        <f>VLOOKUP($A1729,'2022-23 Salary &amp; Benefits'!$A:$I,4,FALSE)</f>
        <v>1.18</v>
      </c>
      <c r="M1729" s="101">
        <f t="shared" si="325"/>
        <v>0</v>
      </c>
      <c r="N1729" s="24">
        <v>15</v>
      </c>
      <c r="O1729" s="26">
        <f t="shared" si="328"/>
        <v>0</v>
      </c>
      <c r="P1729" s="24">
        <v>1.1000000000000001</v>
      </c>
      <c r="Q1729" s="24">
        <v>36</v>
      </c>
      <c r="R1729" s="27">
        <f t="shared" si="329"/>
        <v>0</v>
      </c>
      <c r="S1729" s="102">
        <f t="shared" si="331"/>
        <v>0</v>
      </c>
      <c r="T1729" s="21">
        <f>VLOOKUP($A1729,'2022-23 Salary &amp; Benefits'!$A:$I,5,FALSE)</f>
        <v>68937</v>
      </c>
      <c r="U1729" s="21">
        <f>VLOOKUP($A1729,'2022-23 Salary &amp; Benefits'!$A:$I,6,FALSE)</f>
        <v>72728</v>
      </c>
      <c r="V1729" s="22">
        <f t="shared" si="332"/>
        <v>0</v>
      </c>
      <c r="W1729" s="22">
        <f t="shared" si="333"/>
        <v>0</v>
      </c>
      <c r="X1729" s="22">
        <f>'2022-23 Salary &amp; Benefits'!$G$6</f>
        <v>12558.24</v>
      </c>
      <c r="Y1729" s="23">
        <f>'2022-23 Salary &amp; Benefits'!$H$6</f>
        <v>0.2298</v>
      </c>
      <c r="Z1729" s="23">
        <f>'2022-23 Salary &amp; Benefits'!$I$6</f>
        <v>0.22339999999999999</v>
      </c>
      <c r="AA1729" s="22">
        <f t="shared" si="334"/>
        <v>0</v>
      </c>
      <c r="AB1729" s="22">
        <f t="shared" si="335"/>
        <v>0</v>
      </c>
      <c r="AC1729" s="22">
        <f t="shared" si="336"/>
        <v>0</v>
      </c>
      <c r="AD1729" s="22">
        <f t="shared" si="326"/>
        <v>0</v>
      </c>
      <c r="AE1729" s="22">
        <f t="shared" si="327"/>
        <v>0</v>
      </c>
      <c r="AF1729" s="19" t="str">
        <f>VLOOKUP(C1729,'2021-22 School Level AAFTE'!C:N,12,FALSE)</f>
        <v>No</v>
      </c>
    </row>
    <row r="1730" spans="1:32" s="5" customFormat="1">
      <c r="A1730" s="97" t="s">
        <v>2348</v>
      </c>
      <c r="B1730" s="97" t="s">
        <v>547</v>
      </c>
      <c r="C1730" s="95">
        <v>3327</v>
      </c>
      <c r="D1730" s="95" t="s">
        <v>613</v>
      </c>
      <c r="E1730" s="129">
        <f>VLOOKUP($C1730,'2021-22 School Level AAFTE'!$C:$Z,11,FALSE)</f>
        <v>0.71919999999999995</v>
      </c>
      <c r="F1730" s="129" t="str">
        <f>VLOOKUP($C1730,'2021-22 School Level AAFTE'!$C:$Z,8,FALSE)</f>
        <v>Yes</v>
      </c>
      <c r="G1730" s="129" t="str">
        <f>VLOOKUP($C1730,'2021-22 School Level AAFTE'!$C:$Z,12,FALSE)</f>
        <v>No</v>
      </c>
      <c r="H1730" s="127">
        <f>VLOOKUP($C1730,'2021-22 School Level AAFTE'!$C:$I,7,FALSE)</f>
        <v>772.56000000000006</v>
      </c>
      <c r="I1730" s="112">
        <f>IFERROR(IF(OR(G1730="yes",F1730= "yes"),VLOOKUP(C1730,Summary!$B:$J,6,0),0),0)</f>
        <v>0</v>
      </c>
      <c r="J1730" s="111">
        <f t="shared" si="330"/>
        <v>772.56000000000006</v>
      </c>
      <c r="K1730" s="91">
        <f>VLOOKUP($A1730,'2022-23 Salary &amp; Benefits'!$A:$I,3,FALSE)</f>
        <v>1.18</v>
      </c>
      <c r="L1730" s="91">
        <f>VLOOKUP($A1730,'2022-23 Salary &amp; Benefits'!$A:$I,4,FALSE)</f>
        <v>1.18</v>
      </c>
      <c r="M1730" s="39">
        <f t="shared" si="325"/>
        <v>772.56000000000006</v>
      </c>
      <c r="N1730" s="24">
        <v>15</v>
      </c>
      <c r="O1730" s="26">
        <f t="shared" si="328"/>
        <v>51.504000000000005</v>
      </c>
      <c r="P1730" s="24">
        <v>1.1000000000000001</v>
      </c>
      <c r="Q1730" s="24">
        <v>36</v>
      </c>
      <c r="R1730" s="27">
        <f t="shared" si="329"/>
        <v>2039.5584000000003</v>
      </c>
      <c r="S1730" s="102">
        <f t="shared" si="331"/>
        <v>2.266</v>
      </c>
      <c r="T1730" s="21">
        <f>VLOOKUP($A1730,'2022-23 Salary &amp; Benefits'!$A:$I,5,FALSE)</f>
        <v>68937</v>
      </c>
      <c r="U1730" s="21">
        <f>VLOOKUP($A1730,'2022-23 Salary &amp; Benefits'!$A:$I,6,FALSE)</f>
        <v>72728</v>
      </c>
      <c r="V1730" s="22">
        <f t="shared" si="332"/>
        <v>184329.27</v>
      </c>
      <c r="W1730" s="22">
        <f t="shared" si="333"/>
        <v>10136.670000000013</v>
      </c>
      <c r="X1730" s="22">
        <f>'2022-23 Salary &amp; Benefits'!$G$6</f>
        <v>12558.24</v>
      </c>
      <c r="Y1730" s="23">
        <f>'2022-23 Salary &amp; Benefits'!$H$6</f>
        <v>0.2298</v>
      </c>
      <c r="Z1730" s="23">
        <f>'2022-23 Salary &amp; Benefits'!$I$6</f>
        <v>0.22339999999999999</v>
      </c>
      <c r="AA1730" s="22">
        <f t="shared" si="334"/>
        <v>73080.37</v>
      </c>
      <c r="AB1730" s="22">
        <f t="shared" si="335"/>
        <v>3241.1</v>
      </c>
      <c r="AC1730" s="22">
        <f t="shared" si="336"/>
        <v>724.06</v>
      </c>
      <c r="AD1730" s="22">
        <f t="shared" si="326"/>
        <v>3965.16</v>
      </c>
      <c r="AE1730" s="22">
        <f t="shared" si="327"/>
        <v>271511.46999999997</v>
      </c>
      <c r="AF1730" s="19" t="str">
        <f>VLOOKUP(C1730,'2021-22 School Level AAFTE'!C:N,12,FALSE)</f>
        <v>No</v>
      </c>
    </row>
    <row r="1731" spans="1:32" s="5" customFormat="1">
      <c r="A1731" s="97" t="s">
        <v>2348</v>
      </c>
      <c r="B1731" s="97" t="s">
        <v>547</v>
      </c>
      <c r="C1731" s="95">
        <v>3378</v>
      </c>
      <c r="D1731" s="95" t="s">
        <v>614</v>
      </c>
      <c r="E1731" s="129">
        <f>VLOOKUP($C1731,'2021-22 School Level AAFTE'!$C:$Z,11,FALSE)</f>
        <v>0.51456666666666673</v>
      </c>
      <c r="F1731" s="129" t="str">
        <f>VLOOKUP($C1731,'2021-22 School Level AAFTE'!$C:$Z,8,FALSE)</f>
        <v>Yes</v>
      </c>
      <c r="G1731" s="129" t="str">
        <f>VLOOKUP($C1731,'2021-22 School Level AAFTE'!$C:$Z,12,FALSE)</f>
        <v>No</v>
      </c>
      <c r="H1731" s="127">
        <f>VLOOKUP($C1731,'2021-22 School Level AAFTE'!$C:$I,7,FALSE)</f>
        <v>265</v>
      </c>
      <c r="I1731" s="112">
        <f>IFERROR(IF(OR(G1731="yes",F1731= "yes"),VLOOKUP(C1731,Summary!$B:$J,6,0),0),0)</f>
        <v>0</v>
      </c>
      <c r="J1731" s="111">
        <f t="shared" si="330"/>
        <v>265</v>
      </c>
      <c r="K1731" s="91">
        <f>VLOOKUP($A1731,'2022-23 Salary &amp; Benefits'!$A:$I,3,FALSE)</f>
        <v>1.18</v>
      </c>
      <c r="L1731" s="91">
        <f>VLOOKUP($A1731,'2022-23 Salary &amp; Benefits'!$A:$I,4,FALSE)</f>
        <v>1.18</v>
      </c>
      <c r="M1731" s="39">
        <f t="shared" si="325"/>
        <v>265</v>
      </c>
      <c r="N1731" s="24">
        <v>15</v>
      </c>
      <c r="O1731" s="26">
        <f t="shared" si="328"/>
        <v>17.666666666666668</v>
      </c>
      <c r="P1731" s="24">
        <v>1.1000000000000001</v>
      </c>
      <c r="Q1731" s="24">
        <v>36</v>
      </c>
      <c r="R1731" s="27">
        <f t="shared" si="329"/>
        <v>699.60000000000014</v>
      </c>
      <c r="S1731" s="102">
        <f t="shared" si="331"/>
        <v>0.77700000000000002</v>
      </c>
      <c r="T1731" s="21">
        <f>VLOOKUP($A1731,'2022-23 Salary &amp; Benefits'!$A:$I,5,FALSE)</f>
        <v>68937</v>
      </c>
      <c r="U1731" s="21">
        <f>VLOOKUP($A1731,'2022-23 Salary &amp; Benefits'!$A:$I,6,FALSE)</f>
        <v>72728</v>
      </c>
      <c r="V1731" s="22">
        <f t="shared" si="332"/>
        <v>63205.58</v>
      </c>
      <c r="W1731" s="22">
        <f t="shared" si="333"/>
        <v>3475.8099999999977</v>
      </c>
      <c r="X1731" s="22">
        <f>'2022-23 Salary &amp; Benefits'!$G$6</f>
        <v>12558.24</v>
      </c>
      <c r="Y1731" s="23">
        <f>'2022-23 Salary &amp; Benefits'!$H$6</f>
        <v>0.2298</v>
      </c>
      <c r="Z1731" s="23">
        <f>'2022-23 Salary &amp; Benefits'!$I$6</f>
        <v>0.22339999999999999</v>
      </c>
      <c r="AA1731" s="22">
        <f t="shared" si="334"/>
        <v>25058.89</v>
      </c>
      <c r="AB1731" s="22">
        <f t="shared" si="335"/>
        <v>1111.3599999999999</v>
      </c>
      <c r="AC1731" s="22">
        <f t="shared" si="336"/>
        <v>248.28</v>
      </c>
      <c r="AD1731" s="22">
        <f t="shared" si="326"/>
        <v>1359.6399999999999</v>
      </c>
      <c r="AE1731" s="22">
        <f t="shared" si="327"/>
        <v>93099.92</v>
      </c>
      <c r="AF1731" s="19" t="str">
        <f>VLOOKUP(C1731,'2021-22 School Level AAFTE'!C:N,12,FALSE)</f>
        <v>No</v>
      </c>
    </row>
    <row r="1732" spans="1:32" s="5" customFormat="1">
      <c r="A1732" s="97" t="s">
        <v>2348</v>
      </c>
      <c r="B1732" s="97" t="s">
        <v>547</v>
      </c>
      <c r="C1732" s="95">
        <v>3380</v>
      </c>
      <c r="D1732" s="95" t="s">
        <v>615</v>
      </c>
      <c r="E1732" s="129">
        <f>VLOOKUP($C1732,'2021-22 School Level AAFTE'!$C:$Z,11,FALSE)</f>
        <v>0.6212333333333333</v>
      </c>
      <c r="F1732" s="129" t="str">
        <f>VLOOKUP($C1732,'2021-22 School Level AAFTE'!$C:$Z,8,FALSE)</f>
        <v>Yes</v>
      </c>
      <c r="G1732" s="129" t="str">
        <f>VLOOKUP($C1732,'2021-22 School Level AAFTE'!$C:$Z,12,FALSE)</f>
        <v>No</v>
      </c>
      <c r="H1732" s="127">
        <f>VLOOKUP($C1732,'2021-22 School Level AAFTE'!$C:$I,7,FALSE)</f>
        <v>222.57</v>
      </c>
      <c r="I1732" s="112">
        <f>IFERROR(IF(OR(G1732="yes",F1732= "yes"),VLOOKUP(C1732,Summary!$B:$J,6,0),0),0)</f>
        <v>0</v>
      </c>
      <c r="J1732" s="111">
        <f t="shared" si="330"/>
        <v>222.57</v>
      </c>
      <c r="K1732" s="91">
        <f>VLOOKUP($A1732,'2022-23 Salary &amp; Benefits'!$A:$I,3,FALSE)</f>
        <v>1.18</v>
      </c>
      <c r="L1732" s="91">
        <f>VLOOKUP($A1732,'2022-23 Salary &amp; Benefits'!$A:$I,4,FALSE)</f>
        <v>1.18</v>
      </c>
      <c r="M1732" s="39">
        <f t="shared" si="325"/>
        <v>222.57</v>
      </c>
      <c r="N1732" s="24">
        <v>15</v>
      </c>
      <c r="O1732" s="26">
        <f t="shared" si="328"/>
        <v>14.837999999999999</v>
      </c>
      <c r="P1732" s="24">
        <v>1.1000000000000001</v>
      </c>
      <c r="Q1732" s="24">
        <v>36</v>
      </c>
      <c r="R1732" s="27">
        <f t="shared" si="329"/>
        <v>587.58479999999997</v>
      </c>
      <c r="S1732" s="102">
        <f t="shared" si="331"/>
        <v>0.65300000000000002</v>
      </c>
      <c r="T1732" s="21">
        <f>VLOOKUP($A1732,'2022-23 Salary &amp; Benefits'!$A:$I,5,FALSE)</f>
        <v>68937</v>
      </c>
      <c r="U1732" s="21">
        <f>VLOOKUP($A1732,'2022-23 Salary &amp; Benefits'!$A:$I,6,FALSE)</f>
        <v>72728</v>
      </c>
      <c r="V1732" s="22">
        <f t="shared" si="332"/>
        <v>53118.720000000001</v>
      </c>
      <c r="W1732" s="22">
        <f t="shared" si="333"/>
        <v>2921.1100000000006</v>
      </c>
      <c r="X1732" s="22">
        <f>'2022-23 Salary &amp; Benefits'!$G$6</f>
        <v>12558.24</v>
      </c>
      <c r="Y1732" s="23">
        <f>'2022-23 Salary &amp; Benefits'!$H$6</f>
        <v>0.2298</v>
      </c>
      <c r="Z1732" s="23">
        <f>'2022-23 Salary &amp; Benefits'!$I$6</f>
        <v>0.22339999999999999</v>
      </c>
      <c r="AA1732" s="22">
        <f t="shared" si="334"/>
        <v>21059.79</v>
      </c>
      <c r="AB1732" s="22">
        <f t="shared" si="335"/>
        <v>934</v>
      </c>
      <c r="AC1732" s="22">
        <f t="shared" si="336"/>
        <v>208.66</v>
      </c>
      <c r="AD1732" s="22">
        <f t="shared" si="326"/>
        <v>1142.6600000000001</v>
      </c>
      <c r="AE1732" s="22">
        <f t="shared" si="327"/>
        <v>78242.280000000013</v>
      </c>
      <c r="AF1732" s="19" t="str">
        <f>VLOOKUP(C1732,'2021-22 School Level AAFTE'!C:N,12,FALSE)</f>
        <v>No</v>
      </c>
    </row>
    <row r="1733" spans="1:32" s="5" customFormat="1">
      <c r="A1733" s="97" t="s">
        <v>2348</v>
      </c>
      <c r="B1733" s="97" t="s">
        <v>547</v>
      </c>
      <c r="C1733" s="95">
        <v>3429</v>
      </c>
      <c r="D1733" s="95" t="s">
        <v>616</v>
      </c>
      <c r="E1733" s="129">
        <f>VLOOKUP($C1733,'2021-22 School Level AAFTE'!$C:$Z,11,FALSE)</f>
        <v>7.5466666666666668E-2</v>
      </c>
      <c r="F1733" s="129" t="str">
        <f>VLOOKUP($C1733,'2021-22 School Level AAFTE'!$C:$Z,8,FALSE)</f>
        <v>No</v>
      </c>
      <c r="G1733" s="129" t="str">
        <f>VLOOKUP($C1733,'2021-22 School Level AAFTE'!$C:$Z,12,FALSE)</f>
        <v>No</v>
      </c>
      <c r="H1733" s="127">
        <f>VLOOKUP($C1733,'2021-22 School Level AAFTE'!$C:$I,7,FALSE)</f>
        <v>547.42999999999995</v>
      </c>
      <c r="I1733" s="112">
        <f>IFERROR(IF(OR(G1733="yes",F1733= "yes"),VLOOKUP(C1733,Summary!$B:$J,6,0),0),0)</f>
        <v>0</v>
      </c>
      <c r="J1733" s="111">
        <f t="shared" si="330"/>
        <v>0</v>
      </c>
      <c r="K1733" s="91">
        <f>VLOOKUP($A1733,'2022-23 Salary &amp; Benefits'!$A:$I,3,FALSE)</f>
        <v>1.18</v>
      </c>
      <c r="L1733" s="91">
        <f>VLOOKUP($A1733,'2022-23 Salary &amp; Benefits'!$A:$I,4,FALSE)</f>
        <v>1.18</v>
      </c>
      <c r="M1733" s="39">
        <f t="shared" si="325"/>
        <v>0</v>
      </c>
      <c r="N1733" s="24">
        <v>15</v>
      </c>
      <c r="O1733" s="26">
        <f t="shared" si="328"/>
        <v>0</v>
      </c>
      <c r="P1733" s="24">
        <v>1.1000000000000001</v>
      </c>
      <c r="Q1733" s="24">
        <v>36</v>
      </c>
      <c r="R1733" s="27">
        <f t="shared" si="329"/>
        <v>0</v>
      </c>
      <c r="S1733" s="102">
        <f t="shared" si="331"/>
        <v>0</v>
      </c>
      <c r="T1733" s="21">
        <f>VLOOKUP($A1733,'2022-23 Salary &amp; Benefits'!$A:$I,5,FALSE)</f>
        <v>68937</v>
      </c>
      <c r="U1733" s="21">
        <f>VLOOKUP($A1733,'2022-23 Salary &amp; Benefits'!$A:$I,6,FALSE)</f>
        <v>72728</v>
      </c>
      <c r="V1733" s="22">
        <f t="shared" si="332"/>
        <v>0</v>
      </c>
      <c r="W1733" s="22">
        <f t="shared" si="333"/>
        <v>0</v>
      </c>
      <c r="X1733" s="22">
        <f>'2022-23 Salary &amp; Benefits'!$G$6</f>
        <v>12558.24</v>
      </c>
      <c r="Y1733" s="23">
        <f>'2022-23 Salary &amp; Benefits'!$H$6</f>
        <v>0.2298</v>
      </c>
      <c r="Z1733" s="23">
        <f>'2022-23 Salary &amp; Benefits'!$I$6</f>
        <v>0.22339999999999999</v>
      </c>
      <c r="AA1733" s="22">
        <f t="shared" si="334"/>
        <v>0</v>
      </c>
      <c r="AB1733" s="22">
        <f t="shared" si="335"/>
        <v>0</v>
      </c>
      <c r="AC1733" s="22">
        <f t="shared" si="336"/>
        <v>0</v>
      </c>
      <c r="AD1733" s="22">
        <f t="shared" si="326"/>
        <v>0</v>
      </c>
      <c r="AE1733" s="22">
        <f t="shared" si="327"/>
        <v>0</v>
      </c>
      <c r="AF1733" s="19" t="str">
        <f>VLOOKUP(C1733,'2021-22 School Level AAFTE'!C:N,12,FALSE)</f>
        <v>No</v>
      </c>
    </row>
    <row r="1734" spans="1:32" s="5" customFormat="1">
      <c r="A1734" s="97" t="s">
        <v>2348</v>
      </c>
      <c r="B1734" s="97" t="s">
        <v>547</v>
      </c>
      <c r="C1734" s="95">
        <v>3478</v>
      </c>
      <c r="D1734" s="95" t="s">
        <v>617</v>
      </c>
      <c r="E1734" s="129">
        <f>VLOOKUP($C1734,'2021-22 School Level AAFTE'!$C:$Z,11,FALSE)</f>
        <v>0.40873333333333334</v>
      </c>
      <c r="F1734" s="129" t="str">
        <f>VLOOKUP($C1734,'2021-22 School Level AAFTE'!$C:$Z,8,FALSE)</f>
        <v>No</v>
      </c>
      <c r="G1734" s="129" t="str">
        <f>VLOOKUP($C1734,'2021-22 School Level AAFTE'!$C:$Z,12,FALSE)</f>
        <v>No</v>
      </c>
      <c r="H1734" s="127">
        <f>VLOOKUP($C1734,'2021-22 School Level AAFTE'!$C:$I,7,FALSE)</f>
        <v>366.14</v>
      </c>
      <c r="I1734" s="112">
        <f>IFERROR(IF(OR(G1734="yes",F1734= "yes"),VLOOKUP(C1734,Summary!$B:$J,6,0),0),0)</f>
        <v>0</v>
      </c>
      <c r="J1734" s="111">
        <f t="shared" si="330"/>
        <v>0</v>
      </c>
      <c r="K1734" s="91">
        <f>VLOOKUP($A1734,'2022-23 Salary &amp; Benefits'!$A:$I,3,FALSE)</f>
        <v>1.18</v>
      </c>
      <c r="L1734" s="91">
        <f>VLOOKUP($A1734,'2022-23 Salary &amp; Benefits'!$A:$I,4,FALSE)</f>
        <v>1.18</v>
      </c>
      <c r="M1734" s="39">
        <f t="shared" ref="M1734:M1794" si="337">IF(I1734&gt;0,I1734,J1734)</f>
        <v>0</v>
      </c>
      <c r="N1734" s="24">
        <v>15</v>
      </c>
      <c r="O1734" s="26">
        <f t="shared" si="328"/>
        <v>0</v>
      </c>
      <c r="P1734" s="24">
        <v>1.1000000000000001</v>
      </c>
      <c r="Q1734" s="24">
        <v>36</v>
      </c>
      <c r="R1734" s="27">
        <f t="shared" si="329"/>
        <v>0</v>
      </c>
      <c r="S1734" s="102">
        <f t="shared" si="331"/>
        <v>0</v>
      </c>
      <c r="T1734" s="21">
        <f>VLOOKUP($A1734,'2022-23 Salary &amp; Benefits'!$A:$I,5,FALSE)</f>
        <v>68937</v>
      </c>
      <c r="U1734" s="21">
        <f>VLOOKUP($A1734,'2022-23 Salary &amp; Benefits'!$A:$I,6,FALSE)</f>
        <v>72728</v>
      </c>
      <c r="V1734" s="22">
        <f t="shared" si="332"/>
        <v>0</v>
      </c>
      <c r="W1734" s="22">
        <f t="shared" si="333"/>
        <v>0</v>
      </c>
      <c r="X1734" s="22">
        <f>'2022-23 Salary &amp; Benefits'!$G$6</f>
        <v>12558.24</v>
      </c>
      <c r="Y1734" s="23">
        <f>'2022-23 Salary &amp; Benefits'!$H$6</f>
        <v>0.2298</v>
      </c>
      <c r="Z1734" s="23">
        <f>'2022-23 Salary &amp; Benefits'!$I$6</f>
        <v>0.22339999999999999</v>
      </c>
      <c r="AA1734" s="22">
        <f t="shared" si="334"/>
        <v>0</v>
      </c>
      <c r="AB1734" s="22">
        <f t="shared" si="335"/>
        <v>0</v>
      </c>
      <c r="AC1734" s="22">
        <f t="shared" si="336"/>
        <v>0</v>
      </c>
      <c r="AD1734" s="22">
        <f t="shared" ref="AD1734:AD1794" si="338">SUM(AB1734:AC1734)</f>
        <v>0</v>
      </c>
      <c r="AE1734" s="22">
        <f t="shared" ref="AE1734:AE1794" si="339">SUM(AA1734,V1734:W1734,AD1734)</f>
        <v>0</v>
      </c>
      <c r="AF1734" s="19" t="str">
        <f>VLOOKUP(C1734,'2021-22 School Level AAFTE'!C:N,12,FALSE)</f>
        <v>No</v>
      </c>
    </row>
    <row r="1735" spans="1:32" s="5" customFormat="1">
      <c r="A1735" s="97" t="s">
        <v>2348</v>
      </c>
      <c r="B1735" s="97" t="s">
        <v>547</v>
      </c>
      <c r="C1735" s="95">
        <v>3479</v>
      </c>
      <c r="D1735" s="95" t="s">
        <v>618</v>
      </c>
      <c r="E1735" s="129">
        <f>VLOOKUP($C1735,'2021-22 School Level AAFTE'!$C:$Z,11,FALSE)</f>
        <v>0.3029</v>
      </c>
      <c r="F1735" s="129" t="str">
        <f>VLOOKUP($C1735,'2021-22 School Level AAFTE'!$C:$Z,8,FALSE)</f>
        <v>No</v>
      </c>
      <c r="G1735" s="129" t="str">
        <f>VLOOKUP($C1735,'2021-22 School Level AAFTE'!$C:$Z,12,FALSE)</f>
        <v>No</v>
      </c>
      <c r="H1735" s="127">
        <f>VLOOKUP($C1735,'2021-22 School Level AAFTE'!$C:$I,7,FALSE)</f>
        <v>1100.9099999999999</v>
      </c>
      <c r="I1735" s="112">
        <f>IFERROR(IF(OR(G1735="yes",F1735= "yes"),VLOOKUP(C1735,Summary!$B:$J,6,0),0),0)</f>
        <v>0</v>
      </c>
      <c r="J1735" s="111">
        <f t="shared" si="330"/>
        <v>0</v>
      </c>
      <c r="K1735" s="91">
        <f>VLOOKUP($A1735,'2022-23 Salary &amp; Benefits'!$A:$I,3,FALSE)</f>
        <v>1.18</v>
      </c>
      <c r="L1735" s="91">
        <f>VLOOKUP($A1735,'2022-23 Salary &amp; Benefits'!$A:$I,4,FALSE)</f>
        <v>1.18</v>
      </c>
      <c r="M1735" s="39">
        <f t="shared" si="337"/>
        <v>0</v>
      </c>
      <c r="N1735" s="24">
        <v>15</v>
      </c>
      <c r="O1735" s="26">
        <f t="shared" si="328"/>
        <v>0</v>
      </c>
      <c r="P1735" s="24">
        <v>1.1000000000000001</v>
      </c>
      <c r="Q1735" s="24">
        <v>36</v>
      </c>
      <c r="R1735" s="27">
        <f t="shared" si="329"/>
        <v>0</v>
      </c>
      <c r="S1735" s="102">
        <f t="shared" si="331"/>
        <v>0</v>
      </c>
      <c r="T1735" s="21">
        <f>VLOOKUP($A1735,'2022-23 Salary &amp; Benefits'!$A:$I,5,FALSE)</f>
        <v>68937</v>
      </c>
      <c r="U1735" s="21">
        <f>VLOOKUP($A1735,'2022-23 Salary &amp; Benefits'!$A:$I,6,FALSE)</f>
        <v>72728</v>
      </c>
      <c r="V1735" s="22">
        <f t="shared" si="332"/>
        <v>0</v>
      </c>
      <c r="W1735" s="22">
        <f t="shared" si="333"/>
        <v>0</v>
      </c>
      <c r="X1735" s="22">
        <f>'2022-23 Salary &amp; Benefits'!$G$6</f>
        <v>12558.24</v>
      </c>
      <c r="Y1735" s="23">
        <f>'2022-23 Salary &amp; Benefits'!$H$6</f>
        <v>0.2298</v>
      </c>
      <c r="Z1735" s="23">
        <f>'2022-23 Salary &amp; Benefits'!$I$6</f>
        <v>0.22339999999999999</v>
      </c>
      <c r="AA1735" s="22">
        <f t="shared" si="334"/>
        <v>0</v>
      </c>
      <c r="AB1735" s="22">
        <f t="shared" si="335"/>
        <v>0</v>
      </c>
      <c r="AC1735" s="22">
        <f t="shared" si="336"/>
        <v>0</v>
      </c>
      <c r="AD1735" s="22">
        <f t="shared" si="338"/>
        <v>0</v>
      </c>
      <c r="AE1735" s="22">
        <f t="shared" si="339"/>
        <v>0</v>
      </c>
      <c r="AF1735" s="19" t="str">
        <f>VLOOKUP(C1735,'2021-22 School Level AAFTE'!C:N,12,FALSE)</f>
        <v>No</v>
      </c>
    </row>
    <row r="1736" spans="1:32" s="5" customFormat="1">
      <c r="A1736" s="97" t="s">
        <v>2348</v>
      </c>
      <c r="B1736" s="97" t="s">
        <v>547</v>
      </c>
      <c r="C1736" s="95">
        <v>3517</v>
      </c>
      <c r="D1736" s="95" t="s">
        <v>619</v>
      </c>
      <c r="E1736" s="129">
        <f>VLOOKUP($C1736,'2021-22 School Level AAFTE'!$C:$Z,11,FALSE)</f>
        <v>0.15680000000000002</v>
      </c>
      <c r="F1736" s="129" t="str">
        <f>VLOOKUP($C1736,'2021-22 School Level AAFTE'!$C:$Z,8,FALSE)</f>
        <v>No</v>
      </c>
      <c r="G1736" s="129" t="str">
        <f>VLOOKUP($C1736,'2021-22 School Level AAFTE'!$C:$Z,12,FALSE)</f>
        <v>No</v>
      </c>
      <c r="H1736" s="127">
        <f>VLOOKUP($C1736,'2021-22 School Level AAFTE'!$C:$I,7,FALSE)</f>
        <v>432.46</v>
      </c>
      <c r="I1736" s="112">
        <f>IFERROR(IF(OR(G1736="yes",F1736= "yes"),VLOOKUP(C1736,Summary!$B:$J,6,0),0),0)</f>
        <v>0</v>
      </c>
      <c r="J1736" s="111">
        <f t="shared" si="330"/>
        <v>0</v>
      </c>
      <c r="K1736" s="91">
        <f>VLOOKUP($A1736,'2022-23 Salary &amp; Benefits'!$A:$I,3,FALSE)</f>
        <v>1.18</v>
      </c>
      <c r="L1736" s="91">
        <f>VLOOKUP($A1736,'2022-23 Salary &amp; Benefits'!$A:$I,4,FALSE)</f>
        <v>1.18</v>
      </c>
      <c r="M1736" s="39">
        <f t="shared" si="337"/>
        <v>0</v>
      </c>
      <c r="N1736" s="24">
        <v>15</v>
      </c>
      <c r="O1736" s="26">
        <f t="shared" si="328"/>
        <v>0</v>
      </c>
      <c r="P1736" s="24">
        <v>1.1000000000000001</v>
      </c>
      <c r="Q1736" s="24">
        <v>36</v>
      </c>
      <c r="R1736" s="27">
        <f t="shared" si="329"/>
        <v>0</v>
      </c>
      <c r="S1736" s="102">
        <f t="shared" si="331"/>
        <v>0</v>
      </c>
      <c r="T1736" s="21">
        <f>VLOOKUP($A1736,'2022-23 Salary &amp; Benefits'!$A:$I,5,FALSE)</f>
        <v>68937</v>
      </c>
      <c r="U1736" s="21">
        <f>VLOOKUP($A1736,'2022-23 Salary &amp; Benefits'!$A:$I,6,FALSE)</f>
        <v>72728</v>
      </c>
      <c r="V1736" s="22">
        <f t="shared" si="332"/>
        <v>0</v>
      </c>
      <c r="W1736" s="22">
        <f t="shared" si="333"/>
        <v>0</v>
      </c>
      <c r="X1736" s="22">
        <f>'2022-23 Salary &amp; Benefits'!$G$6</f>
        <v>12558.24</v>
      </c>
      <c r="Y1736" s="23">
        <f>'2022-23 Salary &amp; Benefits'!$H$6</f>
        <v>0.2298</v>
      </c>
      <c r="Z1736" s="23">
        <f>'2022-23 Salary &amp; Benefits'!$I$6</f>
        <v>0.22339999999999999</v>
      </c>
      <c r="AA1736" s="22">
        <f t="shared" si="334"/>
        <v>0</v>
      </c>
      <c r="AB1736" s="22">
        <f t="shared" si="335"/>
        <v>0</v>
      </c>
      <c r="AC1736" s="22">
        <f t="shared" si="336"/>
        <v>0</v>
      </c>
      <c r="AD1736" s="22">
        <f t="shared" si="338"/>
        <v>0</v>
      </c>
      <c r="AE1736" s="22">
        <f t="shared" si="339"/>
        <v>0</v>
      </c>
      <c r="AF1736" s="19" t="str">
        <f>VLOOKUP(C1736,'2021-22 School Level AAFTE'!C:N,12,FALSE)</f>
        <v>No</v>
      </c>
    </row>
    <row r="1737" spans="1:32" s="5" customFormat="1">
      <c r="A1737" s="97" t="s">
        <v>2348</v>
      </c>
      <c r="B1737" s="97" t="s">
        <v>547</v>
      </c>
      <c r="C1737" s="95">
        <v>3518</v>
      </c>
      <c r="D1737" s="95" t="s">
        <v>620</v>
      </c>
      <c r="E1737" s="129">
        <f>VLOOKUP($C1737,'2021-22 School Level AAFTE'!$C:$Z,11,FALSE)</f>
        <v>0.14566666666666664</v>
      </c>
      <c r="F1737" s="129" t="str">
        <f>VLOOKUP($C1737,'2021-22 School Level AAFTE'!$C:$Z,8,FALSE)</f>
        <v>No</v>
      </c>
      <c r="G1737" s="129" t="str">
        <f>VLOOKUP($C1737,'2021-22 School Level AAFTE'!$C:$Z,12,FALSE)</f>
        <v>No</v>
      </c>
      <c r="H1737" s="127">
        <f>VLOOKUP($C1737,'2021-22 School Level AAFTE'!$C:$I,7,FALSE)</f>
        <v>423.71</v>
      </c>
      <c r="I1737" s="112">
        <f>IFERROR(IF(OR(G1737="yes",F1737= "yes"),VLOOKUP(C1737,Summary!$B:$J,6,0),0),0)</f>
        <v>0</v>
      </c>
      <c r="J1737" s="111">
        <f t="shared" si="330"/>
        <v>0</v>
      </c>
      <c r="K1737" s="91">
        <f>VLOOKUP($A1737,'2022-23 Salary &amp; Benefits'!$A:$I,3,FALSE)</f>
        <v>1.18</v>
      </c>
      <c r="L1737" s="91">
        <f>VLOOKUP($A1737,'2022-23 Salary &amp; Benefits'!$A:$I,4,FALSE)</f>
        <v>1.18</v>
      </c>
      <c r="M1737" s="39">
        <f t="shared" si="337"/>
        <v>0</v>
      </c>
      <c r="N1737" s="24">
        <v>15</v>
      </c>
      <c r="O1737" s="26">
        <f t="shared" si="328"/>
        <v>0</v>
      </c>
      <c r="P1737" s="24">
        <v>1.1000000000000001</v>
      </c>
      <c r="Q1737" s="24">
        <v>36</v>
      </c>
      <c r="R1737" s="27">
        <f t="shared" si="329"/>
        <v>0</v>
      </c>
      <c r="S1737" s="102">
        <f t="shared" si="331"/>
        <v>0</v>
      </c>
      <c r="T1737" s="21">
        <f>VLOOKUP($A1737,'2022-23 Salary &amp; Benefits'!$A:$I,5,FALSE)</f>
        <v>68937</v>
      </c>
      <c r="U1737" s="21">
        <f>VLOOKUP($A1737,'2022-23 Salary &amp; Benefits'!$A:$I,6,FALSE)</f>
        <v>72728</v>
      </c>
      <c r="V1737" s="22">
        <f t="shared" si="332"/>
        <v>0</v>
      </c>
      <c r="W1737" s="22">
        <f t="shared" si="333"/>
        <v>0</v>
      </c>
      <c r="X1737" s="22">
        <f>'2022-23 Salary &amp; Benefits'!$G$6</f>
        <v>12558.24</v>
      </c>
      <c r="Y1737" s="23">
        <f>'2022-23 Salary &amp; Benefits'!$H$6</f>
        <v>0.2298</v>
      </c>
      <c r="Z1737" s="23">
        <f>'2022-23 Salary &amp; Benefits'!$I$6</f>
        <v>0.22339999999999999</v>
      </c>
      <c r="AA1737" s="22">
        <f t="shared" si="334"/>
        <v>0</v>
      </c>
      <c r="AB1737" s="22">
        <f t="shared" si="335"/>
        <v>0</v>
      </c>
      <c r="AC1737" s="22">
        <f t="shared" si="336"/>
        <v>0</v>
      </c>
      <c r="AD1737" s="22">
        <f t="shared" si="338"/>
        <v>0</v>
      </c>
      <c r="AE1737" s="22">
        <f t="shared" si="339"/>
        <v>0</v>
      </c>
      <c r="AF1737" s="19" t="str">
        <f>VLOOKUP(C1737,'2021-22 School Level AAFTE'!C:N,12,FALSE)</f>
        <v>No</v>
      </c>
    </row>
    <row r="1738" spans="1:32" s="5" customFormat="1">
      <c r="A1738" s="97" t="s">
        <v>2348</v>
      </c>
      <c r="B1738" s="97" t="s">
        <v>547</v>
      </c>
      <c r="C1738" s="95">
        <v>3581</v>
      </c>
      <c r="D1738" s="95" t="s">
        <v>621</v>
      </c>
      <c r="E1738" s="129">
        <f>VLOOKUP($C1738,'2021-22 School Level AAFTE'!$C:$Z,11,FALSE)</f>
        <v>0.68070000000000019</v>
      </c>
      <c r="F1738" s="129" t="str">
        <f>VLOOKUP($C1738,'2021-22 School Level AAFTE'!$C:$Z,8,FALSE)</f>
        <v>Yes</v>
      </c>
      <c r="G1738" s="129" t="str">
        <f>VLOOKUP($C1738,'2021-22 School Level AAFTE'!$C:$Z,12,FALSE)</f>
        <v>No</v>
      </c>
      <c r="H1738" s="127">
        <f>VLOOKUP($C1738,'2021-22 School Level AAFTE'!$C:$I,7,FALSE)</f>
        <v>268.70999999999998</v>
      </c>
      <c r="I1738" s="112">
        <f>IFERROR(IF(OR(G1738="yes",F1738= "yes"),VLOOKUP(C1738,Summary!$B:$J,6,0),0),0)</f>
        <v>0</v>
      </c>
      <c r="J1738" s="111">
        <f t="shared" si="330"/>
        <v>268.70999999999998</v>
      </c>
      <c r="K1738" s="91">
        <f>VLOOKUP($A1738,'2022-23 Salary &amp; Benefits'!$A:$I,3,FALSE)</f>
        <v>1.18</v>
      </c>
      <c r="L1738" s="91">
        <f>VLOOKUP($A1738,'2022-23 Salary &amp; Benefits'!$A:$I,4,FALSE)</f>
        <v>1.18</v>
      </c>
      <c r="M1738" s="39">
        <f t="shared" si="337"/>
        <v>268.70999999999998</v>
      </c>
      <c r="N1738" s="24">
        <v>15</v>
      </c>
      <c r="O1738" s="26">
        <f t="shared" ref="O1738:O1801" si="340">IF(M1738="no",0,M1738/N1738)</f>
        <v>17.913999999999998</v>
      </c>
      <c r="P1738" s="24">
        <v>1.1000000000000001</v>
      </c>
      <c r="Q1738" s="24">
        <v>36</v>
      </c>
      <c r="R1738" s="27">
        <f t="shared" ref="R1738:R1801" si="341">IF(M1738="no",0,O1738*P1738*Q1738)</f>
        <v>709.39440000000002</v>
      </c>
      <c r="S1738" s="102">
        <f t="shared" si="331"/>
        <v>0.78800000000000003</v>
      </c>
      <c r="T1738" s="21">
        <f>VLOOKUP($A1738,'2022-23 Salary &amp; Benefits'!$A:$I,5,FALSE)</f>
        <v>68937</v>
      </c>
      <c r="U1738" s="21">
        <f>VLOOKUP($A1738,'2022-23 Salary &amp; Benefits'!$A:$I,6,FALSE)</f>
        <v>72728</v>
      </c>
      <c r="V1738" s="22">
        <f t="shared" si="332"/>
        <v>64100.38</v>
      </c>
      <c r="W1738" s="22">
        <f t="shared" si="333"/>
        <v>3525.0199999999968</v>
      </c>
      <c r="X1738" s="22">
        <f>'2022-23 Salary &amp; Benefits'!$G$6</f>
        <v>12558.24</v>
      </c>
      <c r="Y1738" s="23">
        <f>'2022-23 Salary &amp; Benefits'!$H$6</f>
        <v>0.2298</v>
      </c>
      <c r="Z1738" s="23">
        <f>'2022-23 Salary &amp; Benefits'!$I$6</f>
        <v>0.22339999999999999</v>
      </c>
      <c r="AA1738" s="22">
        <f t="shared" si="334"/>
        <v>25413.65</v>
      </c>
      <c r="AB1738" s="22">
        <f t="shared" si="335"/>
        <v>1127.0899999999999</v>
      </c>
      <c r="AC1738" s="22">
        <f t="shared" si="336"/>
        <v>251.79</v>
      </c>
      <c r="AD1738" s="22">
        <f t="shared" si="338"/>
        <v>1378.8799999999999</v>
      </c>
      <c r="AE1738" s="22">
        <f t="shared" si="339"/>
        <v>94417.93</v>
      </c>
      <c r="AF1738" s="19" t="str">
        <f>VLOOKUP(C1738,'2021-22 School Level AAFTE'!C:N,12,FALSE)</f>
        <v>No</v>
      </c>
    </row>
    <row r="1739" spans="1:32" s="5" customFormat="1">
      <c r="A1739" s="97" t="s">
        <v>2348</v>
      </c>
      <c r="B1739" s="97" t="s">
        <v>547</v>
      </c>
      <c r="C1739" s="95">
        <v>3665</v>
      </c>
      <c r="D1739" s="95" t="s">
        <v>622</v>
      </c>
      <c r="E1739" s="129">
        <f>VLOOKUP($C1739,'2021-22 School Level AAFTE'!$C:$Z,11,FALSE)</f>
        <v>0.53183333333333327</v>
      </c>
      <c r="F1739" s="129" t="str">
        <f>VLOOKUP($C1739,'2021-22 School Level AAFTE'!$C:$Z,8,FALSE)</f>
        <v>Yes</v>
      </c>
      <c r="G1739" s="129" t="str">
        <f>VLOOKUP($C1739,'2021-22 School Level AAFTE'!$C:$Z,12,FALSE)</f>
        <v>No</v>
      </c>
      <c r="H1739" s="127">
        <f>VLOOKUP($C1739,'2021-22 School Level AAFTE'!$C:$I,7,FALSE)</f>
        <v>170.09</v>
      </c>
      <c r="I1739" s="112">
        <f>IFERROR(IF(OR(G1739="yes",F1739= "yes"),VLOOKUP(C1739,Summary!$B:$J,6,0),0),0)</f>
        <v>0</v>
      </c>
      <c r="J1739" s="111">
        <f t="shared" ref="J1739:J1802" si="342">IF(OR(G1739="yes",F1739= "yes"), H1739,0)</f>
        <v>170.09</v>
      </c>
      <c r="K1739" s="91">
        <f>VLOOKUP($A1739,'2022-23 Salary &amp; Benefits'!$A:$I,3,FALSE)</f>
        <v>1.18</v>
      </c>
      <c r="L1739" s="91">
        <f>VLOOKUP($A1739,'2022-23 Salary &amp; Benefits'!$A:$I,4,FALSE)</f>
        <v>1.18</v>
      </c>
      <c r="M1739" s="39">
        <f t="shared" si="337"/>
        <v>170.09</v>
      </c>
      <c r="N1739" s="24">
        <v>15</v>
      </c>
      <c r="O1739" s="26">
        <f t="shared" si="340"/>
        <v>11.339333333333334</v>
      </c>
      <c r="P1739" s="24">
        <v>1.1000000000000001</v>
      </c>
      <c r="Q1739" s="24">
        <v>36</v>
      </c>
      <c r="R1739" s="27">
        <f t="shared" si="341"/>
        <v>449.03760000000011</v>
      </c>
      <c r="S1739" s="102">
        <f t="shared" ref="S1739:S1802" si="343">ROUND(IF(M1739="no",0,R1739/900),3)</f>
        <v>0.499</v>
      </c>
      <c r="T1739" s="21">
        <f>VLOOKUP($A1739,'2022-23 Salary &amp; Benefits'!$A:$I,5,FALSE)</f>
        <v>68937</v>
      </c>
      <c r="U1739" s="21">
        <f>VLOOKUP($A1739,'2022-23 Salary &amp; Benefits'!$A:$I,6,FALSE)</f>
        <v>72728</v>
      </c>
      <c r="V1739" s="22">
        <f t="shared" ref="V1739:V1802" si="344">ROUND($K1739*$T1739*$S1739,2)</f>
        <v>40591.480000000003</v>
      </c>
      <c r="W1739" s="22">
        <f t="shared" ref="W1739:W1802" si="345">ROUND($L1739*$U1739*$S1739,2)-V1739</f>
        <v>2232.2199999999939</v>
      </c>
      <c r="X1739" s="22">
        <f>'2022-23 Salary &amp; Benefits'!$G$6</f>
        <v>12558.24</v>
      </c>
      <c r="Y1739" s="23">
        <f>'2022-23 Salary &amp; Benefits'!$H$6</f>
        <v>0.2298</v>
      </c>
      <c r="Z1739" s="23">
        <f>'2022-23 Salary &amp; Benefits'!$I$6</f>
        <v>0.22339999999999999</v>
      </c>
      <c r="AA1739" s="22">
        <f t="shared" ref="AA1739:AA1802" si="346">ROUND(V1739*Y1739+W1739*Z1739+S1739*X1739,2)</f>
        <v>16093.16</v>
      </c>
      <c r="AB1739" s="22">
        <f t="shared" ref="AB1739:AB1802" si="347">ROUND(($U1739*$L1739*$S1739/180*3),2)</f>
        <v>713.73</v>
      </c>
      <c r="AC1739" s="22">
        <f t="shared" ref="AC1739:AC1802" si="348">ROUND(AB1739*Z1739,2)</f>
        <v>159.44999999999999</v>
      </c>
      <c r="AD1739" s="22">
        <f t="shared" si="338"/>
        <v>873.18000000000006</v>
      </c>
      <c r="AE1739" s="22">
        <f t="shared" si="339"/>
        <v>59790.039999999994</v>
      </c>
      <c r="AF1739" s="19" t="str">
        <f>VLOOKUP(C1739,'2021-22 School Level AAFTE'!C:N,12,FALSE)</f>
        <v>No</v>
      </c>
    </row>
    <row r="1740" spans="1:32" s="5" customFormat="1">
      <c r="A1740" s="97" t="s">
        <v>2348</v>
      </c>
      <c r="B1740" s="97" t="s">
        <v>547</v>
      </c>
      <c r="C1740" s="95">
        <v>3714</v>
      </c>
      <c r="D1740" s="95" t="s">
        <v>623</v>
      </c>
      <c r="E1740" s="129">
        <f>VLOOKUP($C1740,'2021-22 School Level AAFTE'!$C:$Z,11,FALSE)</f>
        <v>0.57950000000000002</v>
      </c>
      <c r="F1740" s="129" t="str">
        <f>VLOOKUP($C1740,'2021-22 School Level AAFTE'!$C:$Z,8,FALSE)</f>
        <v>Yes</v>
      </c>
      <c r="G1740" s="129" t="str">
        <f>VLOOKUP($C1740,'2021-22 School Level AAFTE'!$C:$Z,12,FALSE)</f>
        <v>No</v>
      </c>
      <c r="H1740" s="127">
        <f>VLOOKUP($C1740,'2021-22 School Level AAFTE'!$C:$I,7,FALSE)</f>
        <v>286</v>
      </c>
      <c r="I1740" s="112">
        <f>IFERROR(IF(OR(G1740="yes",F1740= "yes"),VLOOKUP(C1740,Summary!$B:$J,6,0),0),0)</f>
        <v>0</v>
      </c>
      <c r="J1740" s="111">
        <f t="shared" si="342"/>
        <v>286</v>
      </c>
      <c r="K1740" s="91">
        <f>VLOOKUP($A1740,'2022-23 Salary &amp; Benefits'!$A:$I,3,FALSE)</f>
        <v>1.18</v>
      </c>
      <c r="L1740" s="91">
        <f>VLOOKUP($A1740,'2022-23 Salary &amp; Benefits'!$A:$I,4,FALSE)</f>
        <v>1.18</v>
      </c>
      <c r="M1740" s="39">
        <f t="shared" si="337"/>
        <v>286</v>
      </c>
      <c r="N1740" s="24">
        <v>15</v>
      </c>
      <c r="O1740" s="26">
        <f t="shared" si="340"/>
        <v>19.066666666666666</v>
      </c>
      <c r="P1740" s="24">
        <v>1.1000000000000001</v>
      </c>
      <c r="Q1740" s="24">
        <v>36</v>
      </c>
      <c r="R1740" s="27">
        <f t="shared" si="341"/>
        <v>755.04000000000008</v>
      </c>
      <c r="S1740" s="102">
        <f t="shared" si="343"/>
        <v>0.83899999999999997</v>
      </c>
      <c r="T1740" s="21">
        <f>VLOOKUP($A1740,'2022-23 Salary &amp; Benefits'!$A:$I,5,FALSE)</f>
        <v>68937</v>
      </c>
      <c r="U1740" s="21">
        <f>VLOOKUP($A1740,'2022-23 Salary &amp; Benefits'!$A:$I,6,FALSE)</f>
        <v>72728</v>
      </c>
      <c r="V1740" s="22">
        <f t="shared" si="344"/>
        <v>68249.009999999995</v>
      </c>
      <c r="W1740" s="22">
        <f t="shared" si="345"/>
        <v>3753.1600000000035</v>
      </c>
      <c r="X1740" s="22">
        <f>'2022-23 Salary &amp; Benefits'!$G$6</f>
        <v>12558.24</v>
      </c>
      <c r="Y1740" s="23">
        <f>'2022-23 Salary &amp; Benefits'!$H$6</f>
        <v>0.2298</v>
      </c>
      <c r="Z1740" s="23">
        <f>'2022-23 Salary &amp; Benefits'!$I$6</f>
        <v>0.22339999999999999</v>
      </c>
      <c r="AA1740" s="22">
        <f t="shared" si="346"/>
        <v>27058.44</v>
      </c>
      <c r="AB1740" s="22">
        <f t="shared" si="347"/>
        <v>1200.04</v>
      </c>
      <c r="AC1740" s="22">
        <f t="shared" si="348"/>
        <v>268.08999999999997</v>
      </c>
      <c r="AD1740" s="22">
        <f t="shared" si="338"/>
        <v>1468.1299999999999</v>
      </c>
      <c r="AE1740" s="22">
        <f t="shared" si="339"/>
        <v>100528.74</v>
      </c>
      <c r="AF1740" s="19" t="str">
        <f>VLOOKUP(C1740,'2021-22 School Level AAFTE'!C:N,12,FALSE)</f>
        <v>No</v>
      </c>
    </row>
    <row r="1741" spans="1:32" s="5" customFormat="1">
      <c r="A1741" s="97" t="s">
        <v>2348</v>
      </c>
      <c r="B1741" s="97" t="s">
        <v>547</v>
      </c>
      <c r="C1741" s="95">
        <v>3717</v>
      </c>
      <c r="D1741" s="95" t="s">
        <v>624</v>
      </c>
      <c r="E1741" s="129">
        <f>VLOOKUP($C1741,'2021-22 School Level AAFTE'!$C:$Z,11,FALSE)</f>
        <v>0.14249999999999999</v>
      </c>
      <c r="F1741" s="129" t="str">
        <f>VLOOKUP($C1741,'2021-22 School Level AAFTE'!$C:$Z,8,FALSE)</f>
        <v>No</v>
      </c>
      <c r="G1741" s="129" t="str">
        <f>VLOOKUP($C1741,'2021-22 School Level AAFTE'!$C:$Z,12,FALSE)</f>
        <v>No</v>
      </c>
      <c r="H1741" s="127">
        <f>VLOOKUP($C1741,'2021-22 School Level AAFTE'!$C:$I,7,FALSE)</f>
        <v>375</v>
      </c>
      <c r="I1741" s="112">
        <f>IFERROR(IF(OR(G1741="yes",F1741= "yes"),VLOOKUP(C1741,Summary!$B:$J,6,0),0),0)</f>
        <v>0</v>
      </c>
      <c r="J1741" s="111">
        <f t="shared" si="342"/>
        <v>0</v>
      </c>
      <c r="K1741" s="91">
        <f>VLOOKUP($A1741,'2022-23 Salary &amp; Benefits'!$A:$I,3,FALSE)</f>
        <v>1.18</v>
      </c>
      <c r="L1741" s="91">
        <f>VLOOKUP($A1741,'2022-23 Salary &amp; Benefits'!$A:$I,4,FALSE)</f>
        <v>1.18</v>
      </c>
      <c r="M1741" s="39">
        <f t="shared" si="337"/>
        <v>0</v>
      </c>
      <c r="N1741" s="24">
        <v>15</v>
      </c>
      <c r="O1741" s="26">
        <f t="shared" si="340"/>
        <v>0</v>
      </c>
      <c r="P1741" s="24">
        <v>1.1000000000000001</v>
      </c>
      <c r="Q1741" s="24">
        <v>36</v>
      </c>
      <c r="R1741" s="27">
        <f t="shared" si="341"/>
        <v>0</v>
      </c>
      <c r="S1741" s="102">
        <f t="shared" si="343"/>
        <v>0</v>
      </c>
      <c r="T1741" s="21">
        <f>VLOOKUP($A1741,'2022-23 Salary &amp; Benefits'!$A:$I,5,FALSE)</f>
        <v>68937</v>
      </c>
      <c r="U1741" s="21">
        <f>VLOOKUP($A1741,'2022-23 Salary &amp; Benefits'!$A:$I,6,FALSE)</f>
        <v>72728</v>
      </c>
      <c r="V1741" s="22">
        <f t="shared" si="344"/>
        <v>0</v>
      </c>
      <c r="W1741" s="22">
        <f t="shared" si="345"/>
        <v>0</v>
      </c>
      <c r="X1741" s="22">
        <f>'2022-23 Salary &amp; Benefits'!$G$6</f>
        <v>12558.24</v>
      </c>
      <c r="Y1741" s="23">
        <f>'2022-23 Salary &amp; Benefits'!$H$6</f>
        <v>0.2298</v>
      </c>
      <c r="Z1741" s="23">
        <f>'2022-23 Salary &amp; Benefits'!$I$6</f>
        <v>0.22339999999999999</v>
      </c>
      <c r="AA1741" s="22">
        <f t="shared" si="346"/>
        <v>0</v>
      </c>
      <c r="AB1741" s="22">
        <f t="shared" si="347"/>
        <v>0</v>
      </c>
      <c r="AC1741" s="22">
        <f t="shared" si="348"/>
        <v>0</v>
      </c>
      <c r="AD1741" s="22">
        <f t="shared" si="338"/>
        <v>0</v>
      </c>
      <c r="AE1741" s="22">
        <f t="shared" si="339"/>
        <v>0</v>
      </c>
      <c r="AF1741" s="19" t="str">
        <f>VLOOKUP(C1741,'2021-22 School Level AAFTE'!C:N,12,FALSE)</f>
        <v>No</v>
      </c>
    </row>
    <row r="1742" spans="1:32" s="5" customFormat="1">
      <c r="A1742" s="97" t="s">
        <v>2348</v>
      </c>
      <c r="B1742" s="97" t="s">
        <v>547</v>
      </c>
      <c r="C1742" s="95">
        <v>3774</v>
      </c>
      <c r="D1742" s="95" t="s">
        <v>625</v>
      </c>
      <c r="E1742" s="129">
        <f>VLOOKUP($C1742,'2021-22 School Level AAFTE'!$C:$Z,11,FALSE)</f>
        <v>0.69609999999999994</v>
      </c>
      <c r="F1742" s="129" t="str">
        <f>VLOOKUP($C1742,'2021-22 School Level AAFTE'!$C:$Z,8,FALSE)</f>
        <v>Yes</v>
      </c>
      <c r="G1742" s="129" t="str">
        <f>VLOOKUP($C1742,'2021-22 School Level AAFTE'!$C:$Z,12,FALSE)</f>
        <v>No</v>
      </c>
      <c r="H1742" s="127">
        <f>VLOOKUP($C1742,'2021-22 School Level AAFTE'!$C:$I,7,FALSE)</f>
        <v>716.46</v>
      </c>
      <c r="I1742" s="112">
        <f>IFERROR(IF(OR(G1742="yes",F1742= "yes"),VLOOKUP(C1742,Summary!$B:$J,6,0),0),0)</f>
        <v>0</v>
      </c>
      <c r="J1742" s="111">
        <f t="shared" si="342"/>
        <v>716.46</v>
      </c>
      <c r="K1742" s="91">
        <f>VLOOKUP($A1742,'2022-23 Salary &amp; Benefits'!$A:$I,3,FALSE)</f>
        <v>1.18</v>
      </c>
      <c r="L1742" s="91">
        <f>VLOOKUP($A1742,'2022-23 Salary &amp; Benefits'!$A:$I,4,FALSE)</f>
        <v>1.18</v>
      </c>
      <c r="M1742" s="39">
        <f t="shared" si="337"/>
        <v>716.46</v>
      </c>
      <c r="N1742" s="24">
        <v>15</v>
      </c>
      <c r="O1742" s="26">
        <f t="shared" si="340"/>
        <v>47.764000000000003</v>
      </c>
      <c r="P1742" s="24">
        <v>1.1000000000000001</v>
      </c>
      <c r="Q1742" s="24">
        <v>36</v>
      </c>
      <c r="R1742" s="27">
        <f t="shared" si="341"/>
        <v>1891.4544000000001</v>
      </c>
      <c r="S1742" s="102">
        <f t="shared" si="343"/>
        <v>2.1019999999999999</v>
      </c>
      <c r="T1742" s="21">
        <f>VLOOKUP($A1742,'2022-23 Salary &amp; Benefits'!$A:$I,5,FALSE)</f>
        <v>68937</v>
      </c>
      <c r="U1742" s="21">
        <f>VLOOKUP($A1742,'2022-23 Salary &amp; Benefits'!$A:$I,6,FALSE)</f>
        <v>72728</v>
      </c>
      <c r="V1742" s="22">
        <f t="shared" si="344"/>
        <v>170988.58</v>
      </c>
      <c r="W1742" s="22">
        <f t="shared" si="345"/>
        <v>9403.0400000000081</v>
      </c>
      <c r="X1742" s="22">
        <f>'2022-23 Salary &amp; Benefits'!$G$6</f>
        <v>12558.24</v>
      </c>
      <c r="Y1742" s="23">
        <f>'2022-23 Salary &amp; Benefits'!$H$6</f>
        <v>0.2298</v>
      </c>
      <c r="Z1742" s="23">
        <f>'2022-23 Salary &amp; Benefits'!$I$6</f>
        <v>0.22339999999999999</v>
      </c>
      <c r="AA1742" s="22">
        <f t="shared" si="346"/>
        <v>67791.240000000005</v>
      </c>
      <c r="AB1742" s="22">
        <f t="shared" si="347"/>
        <v>3006.53</v>
      </c>
      <c r="AC1742" s="22">
        <f t="shared" si="348"/>
        <v>671.66</v>
      </c>
      <c r="AD1742" s="22">
        <f t="shared" si="338"/>
        <v>3678.19</v>
      </c>
      <c r="AE1742" s="22">
        <f t="shared" si="339"/>
        <v>251861.05000000002</v>
      </c>
      <c r="AF1742" s="19" t="str">
        <f>VLOOKUP(C1742,'2021-22 School Level AAFTE'!C:N,12,FALSE)</f>
        <v>No</v>
      </c>
    </row>
    <row r="1743" spans="1:32" s="5" customFormat="1">
      <c r="A1743" s="97" t="s">
        <v>2348</v>
      </c>
      <c r="B1743" s="97" t="s">
        <v>547</v>
      </c>
      <c r="C1743" s="95">
        <v>3778</v>
      </c>
      <c r="D1743" s="95" t="s">
        <v>626</v>
      </c>
      <c r="E1743" s="129">
        <f>VLOOKUP($C1743,'2021-22 School Level AAFTE'!$C:$Z,11,FALSE)</f>
        <v>0.74196666666666677</v>
      </c>
      <c r="F1743" s="129" t="str">
        <f>VLOOKUP($C1743,'2021-22 School Level AAFTE'!$C:$Z,8,FALSE)</f>
        <v>Yes</v>
      </c>
      <c r="G1743" s="129" t="str">
        <f>VLOOKUP($C1743,'2021-22 School Level AAFTE'!$C:$Z,12,FALSE)</f>
        <v>No</v>
      </c>
      <c r="H1743" s="127">
        <f>VLOOKUP($C1743,'2021-22 School Level AAFTE'!$C:$I,7,FALSE)</f>
        <v>24.36</v>
      </c>
      <c r="I1743" s="112">
        <f>IFERROR(IF(OR(G1743="yes",F1743= "yes"),VLOOKUP(C1743,Summary!$B:$J,6,0),0),0)</f>
        <v>0</v>
      </c>
      <c r="J1743" s="111">
        <f t="shared" si="342"/>
        <v>24.36</v>
      </c>
      <c r="K1743" s="91">
        <f>VLOOKUP($A1743,'2022-23 Salary &amp; Benefits'!$A:$I,3,FALSE)</f>
        <v>1.18</v>
      </c>
      <c r="L1743" s="91">
        <f>VLOOKUP($A1743,'2022-23 Salary &amp; Benefits'!$A:$I,4,FALSE)</f>
        <v>1.18</v>
      </c>
      <c r="M1743" s="101">
        <f t="shared" si="337"/>
        <v>24.36</v>
      </c>
      <c r="N1743" s="24">
        <v>15</v>
      </c>
      <c r="O1743" s="26">
        <f t="shared" si="340"/>
        <v>1.6239999999999999</v>
      </c>
      <c r="P1743" s="24">
        <v>1.1000000000000001</v>
      </c>
      <c r="Q1743" s="24">
        <v>36</v>
      </c>
      <c r="R1743" s="27">
        <f t="shared" si="341"/>
        <v>64.310400000000001</v>
      </c>
      <c r="S1743" s="102">
        <f t="shared" si="343"/>
        <v>7.0999999999999994E-2</v>
      </c>
      <c r="T1743" s="21">
        <f>VLOOKUP($A1743,'2022-23 Salary &amp; Benefits'!$A:$I,5,FALSE)</f>
        <v>68937</v>
      </c>
      <c r="U1743" s="21">
        <f>VLOOKUP($A1743,'2022-23 Salary &amp; Benefits'!$A:$I,6,FALSE)</f>
        <v>72728</v>
      </c>
      <c r="V1743" s="22">
        <f t="shared" si="344"/>
        <v>5775.54</v>
      </c>
      <c r="W1743" s="22">
        <f t="shared" si="345"/>
        <v>317.60999999999967</v>
      </c>
      <c r="X1743" s="22">
        <f>'2022-23 Salary &amp; Benefits'!$G$6</f>
        <v>12558.24</v>
      </c>
      <c r="Y1743" s="23">
        <f>'2022-23 Salary &amp; Benefits'!$H$6</f>
        <v>0.2298</v>
      </c>
      <c r="Z1743" s="23">
        <f>'2022-23 Salary &amp; Benefits'!$I$6</f>
        <v>0.22339999999999999</v>
      </c>
      <c r="AA1743" s="22">
        <f t="shared" si="346"/>
        <v>2289.81</v>
      </c>
      <c r="AB1743" s="22">
        <f t="shared" si="347"/>
        <v>101.55</v>
      </c>
      <c r="AC1743" s="22">
        <f t="shared" si="348"/>
        <v>22.69</v>
      </c>
      <c r="AD1743" s="22">
        <f t="shared" si="338"/>
        <v>124.24</v>
      </c>
      <c r="AE1743" s="22">
        <f t="shared" si="339"/>
        <v>8507.1999999999989</v>
      </c>
      <c r="AF1743" s="19" t="str">
        <f>VLOOKUP(C1743,'2021-22 School Level AAFTE'!C:N,12,FALSE)</f>
        <v>No</v>
      </c>
    </row>
    <row r="1744" spans="1:32" s="5" customFormat="1">
      <c r="A1744" s="97" t="s">
        <v>2348</v>
      </c>
      <c r="B1744" s="97" t="s">
        <v>547</v>
      </c>
      <c r="C1744" s="95">
        <v>3803</v>
      </c>
      <c r="D1744" s="95" t="s">
        <v>627</v>
      </c>
      <c r="E1744" s="129">
        <f>VLOOKUP($C1744,'2021-22 School Level AAFTE'!$C:$Z,11,FALSE)</f>
        <v>0.53083333333333338</v>
      </c>
      <c r="F1744" s="129" t="str">
        <f>VLOOKUP($C1744,'2021-22 School Level AAFTE'!$C:$Z,8,FALSE)</f>
        <v>Yes</v>
      </c>
      <c r="G1744" s="129" t="str">
        <f>VLOOKUP($C1744,'2021-22 School Level AAFTE'!$C:$Z,12,FALSE)</f>
        <v>No</v>
      </c>
      <c r="H1744" s="127">
        <f>VLOOKUP($C1744,'2021-22 School Level AAFTE'!$C:$I,7,FALSE)</f>
        <v>287</v>
      </c>
      <c r="I1744" s="112">
        <f>IFERROR(IF(OR(G1744="yes",F1744= "yes"),VLOOKUP(C1744,Summary!$B:$J,6,0),0),0)</f>
        <v>0</v>
      </c>
      <c r="J1744" s="111">
        <f t="shared" si="342"/>
        <v>287</v>
      </c>
      <c r="K1744" s="91">
        <f>VLOOKUP($A1744,'2022-23 Salary &amp; Benefits'!$A:$I,3,FALSE)</f>
        <v>1.18</v>
      </c>
      <c r="L1744" s="91">
        <f>VLOOKUP($A1744,'2022-23 Salary &amp; Benefits'!$A:$I,4,FALSE)</f>
        <v>1.18</v>
      </c>
      <c r="M1744" s="39">
        <f t="shared" si="337"/>
        <v>287</v>
      </c>
      <c r="N1744" s="24">
        <v>15</v>
      </c>
      <c r="O1744" s="26">
        <f t="shared" si="340"/>
        <v>19.133333333333333</v>
      </c>
      <c r="P1744" s="24">
        <v>1.1000000000000001</v>
      </c>
      <c r="Q1744" s="24">
        <v>36</v>
      </c>
      <c r="R1744" s="27">
        <f t="shared" si="341"/>
        <v>757.68000000000006</v>
      </c>
      <c r="S1744" s="102">
        <f t="shared" si="343"/>
        <v>0.84199999999999997</v>
      </c>
      <c r="T1744" s="21">
        <f>VLOOKUP($A1744,'2022-23 Salary &amp; Benefits'!$A:$I,5,FALSE)</f>
        <v>68937</v>
      </c>
      <c r="U1744" s="21">
        <f>VLOOKUP($A1744,'2022-23 Salary &amp; Benefits'!$A:$I,6,FALSE)</f>
        <v>72728</v>
      </c>
      <c r="V1744" s="22">
        <f t="shared" si="344"/>
        <v>68493.05</v>
      </c>
      <c r="W1744" s="22">
        <f t="shared" si="345"/>
        <v>3766.5800000000017</v>
      </c>
      <c r="X1744" s="22">
        <f>'2022-23 Salary &amp; Benefits'!$G$6</f>
        <v>12558.24</v>
      </c>
      <c r="Y1744" s="23">
        <f>'2022-23 Salary &amp; Benefits'!$H$6</f>
        <v>0.2298</v>
      </c>
      <c r="Z1744" s="23">
        <f>'2022-23 Salary &amp; Benefits'!$I$6</f>
        <v>0.22339999999999999</v>
      </c>
      <c r="AA1744" s="22">
        <f t="shared" si="346"/>
        <v>27155.19</v>
      </c>
      <c r="AB1744" s="22">
        <f t="shared" si="347"/>
        <v>1204.33</v>
      </c>
      <c r="AC1744" s="22">
        <f t="shared" si="348"/>
        <v>269.05</v>
      </c>
      <c r="AD1744" s="22">
        <f t="shared" si="338"/>
        <v>1473.3799999999999</v>
      </c>
      <c r="AE1744" s="22">
        <f t="shared" si="339"/>
        <v>100888.20000000001</v>
      </c>
      <c r="AF1744" s="19" t="str">
        <f>VLOOKUP(C1744,'2021-22 School Level AAFTE'!C:N,12,FALSE)</f>
        <v>No</v>
      </c>
    </row>
    <row r="1745" spans="1:32" s="5" customFormat="1">
      <c r="A1745" s="97" t="s">
        <v>2348</v>
      </c>
      <c r="B1745" s="97" t="s">
        <v>547</v>
      </c>
      <c r="C1745" s="95">
        <v>3868</v>
      </c>
      <c r="D1745" s="95" t="s">
        <v>628</v>
      </c>
      <c r="E1745" s="129">
        <f>VLOOKUP($C1745,'2021-22 School Level AAFTE'!$C:$Z,11,FALSE)</f>
        <v>0.28483333333333333</v>
      </c>
      <c r="F1745" s="129" t="str">
        <f>VLOOKUP($C1745,'2021-22 School Level AAFTE'!$C:$Z,8,FALSE)</f>
        <v>No</v>
      </c>
      <c r="G1745" s="129" t="str">
        <f>VLOOKUP($C1745,'2021-22 School Level AAFTE'!$C:$Z,12,FALSE)</f>
        <v>No</v>
      </c>
      <c r="H1745" s="127">
        <f>VLOOKUP($C1745,'2021-22 School Level AAFTE'!$C:$I,7,FALSE)</f>
        <v>239.25</v>
      </c>
      <c r="I1745" s="112">
        <f>IFERROR(IF(OR(G1745="yes",F1745= "yes"),VLOOKUP(C1745,Summary!$B:$J,6,0),0),0)</f>
        <v>0</v>
      </c>
      <c r="J1745" s="111">
        <f t="shared" si="342"/>
        <v>0</v>
      </c>
      <c r="K1745" s="91">
        <f>VLOOKUP($A1745,'2022-23 Salary &amp; Benefits'!$A:$I,3,FALSE)</f>
        <v>1.18</v>
      </c>
      <c r="L1745" s="91">
        <f>VLOOKUP($A1745,'2022-23 Salary &amp; Benefits'!$A:$I,4,FALSE)</f>
        <v>1.18</v>
      </c>
      <c r="M1745" s="39">
        <f t="shared" si="337"/>
        <v>0</v>
      </c>
      <c r="N1745" s="24">
        <v>15</v>
      </c>
      <c r="O1745" s="26">
        <f t="shared" si="340"/>
        <v>0</v>
      </c>
      <c r="P1745" s="24">
        <v>1.1000000000000001</v>
      </c>
      <c r="Q1745" s="24">
        <v>36</v>
      </c>
      <c r="R1745" s="27">
        <f t="shared" si="341"/>
        <v>0</v>
      </c>
      <c r="S1745" s="102">
        <f t="shared" si="343"/>
        <v>0</v>
      </c>
      <c r="T1745" s="21">
        <f>VLOOKUP($A1745,'2022-23 Salary &amp; Benefits'!$A:$I,5,FALSE)</f>
        <v>68937</v>
      </c>
      <c r="U1745" s="21">
        <f>VLOOKUP($A1745,'2022-23 Salary &amp; Benefits'!$A:$I,6,FALSE)</f>
        <v>72728</v>
      </c>
      <c r="V1745" s="22">
        <f t="shared" si="344"/>
        <v>0</v>
      </c>
      <c r="W1745" s="22">
        <f t="shared" si="345"/>
        <v>0</v>
      </c>
      <c r="X1745" s="22">
        <f>'2022-23 Salary &amp; Benefits'!$G$6</f>
        <v>12558.24</v>
      </c>
      <c r="Y1745" s="23">
        <f>'2022-23 Salary &amp; Benefits'!$H$6</f>
        <v>0.2298</v>
      </c>
      <c r="Z1745" s="23">
        <f>'2022-23 Salary &amp; Benefits'!$I$6</f>
        <v>0.22339999999999999</v>
      </c>
      <c r="AA1745" s="22">
        <f t="shared" si="346"/>
        <v>0</v>
      </c>
      <c r="AB1745" s="22">
        <f t="shared" si="347"/>
        <v>0</v>
      </c>
      <c r="AC1745" s="22">
        <f t="shared" si="348"/>
        <v>0</v>
      </c>
      <c r="AD1745" s="22">
        <f t="shared" si="338"/>
        <v>0</v>
      </c>
      <c r="AE1745" s="22">
        <f t="shared" si="339"/>
        <v>0</v>
      </c>
      <c r="AF1745" s="19" t="str">
        <f>VLOOKUP(C1745,'2021-22 School Level AAFTE'!C:N,12,FALSE)</f>
        <v>No</v>
      </c>
    </row>
    <row r="1746" spans="1:32" s="5" customFormat="1">
      <c r="A1746" s="97" t="s">
        <v>2348</v>
      </c>
      <c r="B1746" s="97" t="s">
        <v>547</v>
      </c>
      <c r="C1746" s="95">
        <v>3874</v>
      </c>
      <c r="D1746" s="95" t="s">
        <v>629</v>
      </c>
      <c r="E1746" s="129">
        <f>VLOOKUP($C1746,'2021-22 School Level AAFTE'!$C:$Z,11,FALSE)</f>
        <v>0.54526666666666668</v>
      </c>
      <c r="F1746" s="129" t="str">
        <f>VLOOKUP($C1746,'2021-22 School Level AAFTE'!$C:$Z,8,FALSE)</f>
        <v>Yes</v>
      </c>
      <c r="G1746" s="129" t="str">
        <f>VLOOKUP($C1746,'2021-22 School Level AAFTE'!$C:$Z,12,FALSE)</f>
        <v>No</v>
      </c>
      <c r="H1746" s="127">
        <f>VLOOKUP($C1746,'2021-22 School Level AAFTE'!$C:$I,7,FALSE)</f>
        <v>93.26</v>
      </c>
      <c r="I1746" s="112">
        <f>IFERROR(IF(OR(G1746="yes",F1746= "yes"),VLOOKUP(C1746,Summary!$B:$J,6,0),0),0)</f>
        <v>0</v>
      </c>
      <c r="J1746" s="111">
        <f t="shared" si="342"/>
        <v>93.26</v>
      </c>
      <c r="K1746" s="91">
        <f>VLOOKUP($A1746,'2022-23 Salary &amp; Benefits'!$A:$I,3,FALSE)</f>
        <v>1.18</v>
      </c>
      <c r="L1746" s="91">
        <f>VLOOKUP($A1746,'2022-23 Salary &amp; Benefits'!$A:$I,4,FALSE)</f>
        <v>1.18</v>
      </c>
      <c r="M1746" s="101">
        <f t="shared" si="337"/>
        <v>93.26</v>
      </c>
      <c r="N1746" s="24">
        <v>15</v>
      </c>
      <c r="O1746" s="26">
        <f t="shared" si="340"/>
        <v>6.2173333333333334</v>
      </c>
      <c r="P1746" s="24">
        <v>1.1000000000000001</v>
      </c>
      <c r="Q1746" s="24">
        <v>36</v>
      </c>
      <c r="R1746" s="27">
        <f t="shared" si="341"/>
        <v>246.20640000000003</v>
      </c>
      <c r="S1746" s="102">
        <f t="shared" si="343"/>
        <v>0.27400000000000002</v>
      </c>
      <c r="T1746" s="21">
        <f>VLOOKUP($A1746,'2022-23 Salary &amp; Benefits'!$A:$I,5,FALSE)</f>
        <v>68937</v>
      </c>
      <c r="U1746" s="21">
        <f>VLOOKUP($A1746,'2022-23 Salary &amp; Benefits'!$A:$I,6,FALSE)</f>
        <v>72728</v>
      </c>
      <c r="V1746" s="22">
        <f t="shared" si="344"/>
        <v>22288.71</v>
      </c>
      <c r="W1746" s="22">
        <f t="shared" si="345"/>
        <v>1225.7099999999991</v>
      </c>
      <c r="X1746" s="22">
        <f>'2022-23 Salary &amp; Benefits'!$G$6</f>
        <v>12558.24</v>
      </c>
      <c r="Y1746" s="23">
        <f>'2022-23 Salary &amp; Benefits'!$H$6</f>
        <v>0.2298</v>
      </c>
      <c r="Z1746" s="23">
        <f>'2022-23 Salary &amp; Benefits'!$I$6</f>
        <v>0.22339999999999999</v>
      </c>
      <c r="AA1746" s="22">
        <f t="shared" si="346"/>
        <v>8836.73</v>
      </c>
      <c r="AB1746" s="22">
        <f t="shared" si="347"/>
        <v>391.91</v>
      </c>
      <c r="AC1746" s="22">
        <f t="shared" si="348"/>
        <v>87.55</v>
      </c>
      <c r="AD1746" s="22">
        <f t="shared" si="338"/>
        <v>479.46000000000004</v>
      </c>
      <c r="AE1746" s="22">
        <f t="shared" si="339"/>
        <v>32830.61</v>
      </c>
      <c r="AF1746" s="19" t="str">
        <f>VLOOKUP(C1746,'2021-22 School Level AAFTE'!C:N,12,FALSE)</f>
        <v>No</v>
      </c>
    </row>
    <row r="1747" spans="1:32" s="5" customFormat="1">
      <c r="A1747" s="97" t="s">
        <v>2348</v>
      </c>
      <c r="B1747" s="97" t="s">
        <v>547</v>
      </c>
      <c r="C1747" s="95">
        <v>3974</v>
      </c>
      <c r="D1747" s="95" t="s">
        <v>630</v>
      </c>
      <c r="E1747" s="129">
        <f>VLOOKUP($C1747,'2021-22 School Level AAFTE'!$C:$Z,11,FALSE)</f>
        <v>6.6566666666666663E-2</v>
      </c>
      <c r="F1747" s="129" t="str">
        <f>VLOOKUP($C1747,'2021-22 School Level AAFTE'!$C:$Z,8,FALSE)</f>
        <v>No</v>
      </c>
      <c r="G1747" s="129" t="str">
        <f>VLOOKUP($C1747,'2021-22 School Level AAFTE'!$C:$Z,12,FALSE)</f>
        <v>No</v>
      </c>
      <c r="H1747" s="127">
        <f>VLOOKUP($C1747,'2021-22 School Level AAFTE'!$C:$I,7,FALSE)</f>
        <v>455.29</v>
      </c>
      <c r="I1747" s="112">
        <f>IFERROR(IF(OR(G1747="yes",F1747= "yes"),VLOOKUP(C1747,Summary!$B:$J,6,0),0),0)</f>
        <v>0</v>
      </c>
      <c r="J1747" s="111">
        <f t="shared" si="342"/>
        <v>0</v>
      </c>
      <c r="K1747" s="91">
        <f>VLOOKUP($A1747,'2022-23 Salary &amp; Benefits'!$A:$I,3,FALSE)</f>
        <v>1.18</v>
      </c>
      <c r="L1747" s="91">
        <f>VLOOKUP($A1747,'2022-23 Salary &amp; Benefits'!$A:$I,4,FALSE)</f>
        <v>1.18</v>
      </c>
      <c r="M1747" s="101">
        <f t="shared" si="337"/>
        <v>0</v>
      </c>
      <c r="N1747" s="24">
        <v>15</v>
      </c>
      <c r="O1747" s="26">
        <f t="shared" si="340"/>
        <v>0</v>
      </c>
      <c r="P1747" s="24">
        <v>1.1000000000000001</v>
      </c>
      <c r="Q1747" s="24">
        <v>36</v>
      </c>
      <c r="R1747" s="27">
        <f t="shared" si="341"/>
        <v>0</v>
      </c>
      <c r="S1747" s="102">
        <f t="shared" si="343"/>
        <v>0</v>
      </c>
      <c r="T1747" s="21">
        <f>VLOOKUP($A1747,'2022-23 Salary &amp; Benefits'!$A:$I,5,FALSE)</f>
        <v>68937</v>
      </c>
      <c r="U1747" s="21">
        <f>VLOOKUP($A1747,'2022-23 Salary &amp; Benefits'!$A:$I,6,FALSE)</f>
        <v>72728</v>
      </c>
      <c r="V1747" s="22">
        <f t="shared" si="344"/>
        <v>0</v>
      </c>
      <c r="W1747" s="22">
        <f t="shared" si="345"/>
        <v>0</v>
      </c>
      <c r="X1747" s="22">
        <f>'2022-23 Salary &amp; Benefits'!$G$6</f>
        <v>12558.24</v>
      </c>
      <c r="Y1747" s="23">
        <f>'2022-23 Salary &amp; Benefits'!$H$6</f>
        <v>0.2298</v>
      </c>
      <c r="Z1747" s="23">
        <f>'2022-23 Salary &amp; Benefits'!$I$6</f>
        <v>0.22339999999999999</v>
      </c>
      <c r="AA1747" s="22">
        <f t="shared" si="346"/>
        <v>0</v>
      </c>
      <c r="AB1747" s="22">
        <f t="shared" si="347"/>
        <v>0</v>
      </c>
      <c r="AC1747" s="22">
        <f t="shared" si="348"/>
        <v>0</v>
      </c>
      <c r="AD1747" s="22">
        <f t="shared" si="338"/>
        <v>0</v>
      </c>
      <c r="AE1747" s="22">
        <f t="shared" si="339"/>
        <v>0</v>
      </c>
      <c r="AF1747" s="19" t="str">
        <f>VLOOKUP(C1747,'2021-22 School Level AAFTE'!C:N,12,FALSE)</f>
        <v>No</v>
      </c>
    </row>
    <row r="1748" spans="1:32" s="5" customFormat="1">
      <c r="A1748" s="97" t="s">
        <v>2348</v>
      </c>
      <c r="B1748" s="97" t="s">
        <v>547</v>
      </c>
      <c r="C1748" s="95">
        <v>4064</v>
      </c>
      <c r="D1748" s="95" t="s">
        <v>631</v>
      </c>
      <c r="E1748" s="129">
        <f>VLOOKUP($C1748,'2021-22 School Level AAFTE'!$C:$Z,11,FALSE)</f>
        <v>0.46480000000000005</v>
      </c>
      <c r="F1748" s="129" t="str">
        <f>VLOOKUP($C1748,'2021-22 School Level AAFTE'!$C:$Z,8,FALSE)</f>
        <v>No</v>
      </c>
      <c r="G1748" s="129" t="str">
        <f>VLOOKUP($C1748,'2021-22 School Level AAFTE'!$C:$Z,12,FALSE)</f>
        <v>No</v>
      </c>
      <c r="H1748" s="127">
        <f>VLOOKUP($C1748,'2021-22 School Level AAFTE'!$C:$I,7,FALSE)</f>
        <v>557.26</v>
      </c>
      <c r="I1748" s="112">
        <f>IFERROR(IF(OR(G1748="yes",F1748= "yes"),VLOOKUP(C1748,Summary!$B:$J,6,0),0),0)</f>
        <v>0</v>
      </c>
      <c r="J1748" s="111">
        <f t="shared" si="342"/>
        <v>0</v>
      </c>
      <c r="K1748" s="91">
        <f>VLOOKUP($A1748,'2022-23 Salary &amp; Benefits'!$A:$I,3,FALSE)</f>
        <v>1.18</v>
      </c>
      <c r="L1748" s="91">
        <f>VLOOKUP($A1748,'2022-23 Salary &amp; Benefits'!$A:$I,4,FALSE)</f>
        <v>1.18</v>
      </c>
      <c r="M1748" s="39">
        <f t="shared" si="337"/>
        <v>0</v>
      </c>
      <c r="N1748" s="24">
        <v>15</v>
      </c>
      <c r="O1748" s="26">
        <f t="shared" si="340"/>
        <v>0</v>
      </c>
      <c r="P1748" s="24">
        <v>1.1000000000000001</v>
      </c>
      <c r="Q1748" s="24">
        <v>36</v>
      </c>
      <c r="R1748" s="27">
        <f t="shared" si="341"/>
        <v>0</v>
      </c>
      <c r="S1748" s="102">
        <f t="shared" si="343"/>
        <v>0</v>
      </c>
      <c r="T1748" s="21">
        <f>VLOOKUP($A1748,'2022-23 Salary &amp; Benefits'!$A:$I,5,FALSE)</f>
        <v>68937</v>
      </c>
      <c r="U1748" s="21">
        <f>VLOOKUP($A1748,'2022-23 Salary &amp; Benefits'!$A:$I,6,FALSE)</f>
        <v>72728</v>
      </c>
      <c r="V1748" s="22">
        <f t="shared" si="344"/>
        <v>0</v>
      </c>
      <c r="W1748" s="22">
        <f t="shared" si="345"/>
        <v>0</v>
      </c>
      <c r="X1748" s="22">
        <f>'2022-23 Salary &amp; Benefits'!$G$6</f>
        <v>12558.24</v>
      </c>
      <c r="Y1748" s="23">
        <f>'2022-23 Salary &amp; Benefits'!$H$6</f>
        <v>0.2298</v>
      </c>
      <c r="Z1748" s="23">
        <f>'2022-23 Salary &amp; Benefits'!$I$6</f>
        <v>0.22339999999999999</v>
      </c>
      <c r="AA1748" s="22">
        <f t="shared" si="346"/>
        <v>0</v>
      </c>
      <c r="AB1748" s="22">
        <f t="shared" si="347"/>
        <v>0</v>
      </c>
      <c r="AC1748" s="22">
        <f t="shared" si="348"/>
        <v>0</v>
      </c>
      <c r="AD1748" s="22">
        <f t="shared" si="338"/>
        <v>0</v>
      </c>
      <c r="AE1748" s="22">
        <f t="shared" si="339"/>
        <v>0</v>
      </c>
      <c r="AF1748" s="19" t="str">
        <f>VLOOKUP(C1748,'2021-22 School Level AAFTE'!C:N,12,FALSE)</f>
        <v>No</v>
      </c>
    </row>
    <row r="1749" spans="1:32" s="5" customFormat="1">
      <c r="A1749" s="97" t="s">
        <v>2348</v>
      </c>
      <c r="B1749" s="97" t="s">
        <v>547</v>
      </c>
      <c r="C1749" s="95">
        <v>4065</v>
      </c>
      <c r="D1749" s="95" t="s">
        <v>632</v>
      </c>
      <c r="E1749" s="129">
        <f>VLOOKUP($C1749,'2021-22 School Level AAFTE'!$C:$Z,11,FALSE)</f>
        <v>0.30590000000000001</v>
      </c>
      <c r="F1749" s="129" t="str">
        <f>VLOOKUP($C1749,'2021-22 School Level AAFTE'!$C:$Z,8,FALSE)</f>
        <v>No</v>
      </c>
      <c r="G1749" s="129" t="str">
        <f>VLOOKUP($C1749,'2021-22 School Level AAFTE'!$C:$Z,12,FALSE)</f>
        <v>No</v>
      </c>
      <c r="H1749" s="127">
        <f>VLOOKUP($C1749,'2021-22 School Level AAFTE'!$C:$I,7,FALSE)</f>
        <v>396.24</v>
      </c>
      <c r="I1749" s="112">
        <f>IFERROR(IF(OR(G1749="yes",F1749= "yes"),VLOOKUP(C1749,Summary!$B:$J,6,0),0),0)</f>
        <v>0</v>
      </c>
      <c r="J1749" s="111">
        <f t="shared" si="342"/>
        <v>0</v>
      </c>
      <c r="K1749" s="91">
        <f>VLOOKUP($A1749,'2022-23 Salary &amp; Benefits'!$A:$I,3,FALSE)</f>
        <v>1.18</v>
      </c>
      <c r="L1749" s="91">
        <f>VLOOKUP($A1749,'2022-23 Salary &amp; Benefits'!$A:$I,4,FALSE)</f>
        <v>1.18</v>
      </c>
      <c r="M1749" s="101">
        <f t="shared" si="337"/>
        <v>0</v>
      </c>
      <c r="N1749" s="24">
        <v>15</v>
      </c>
      <c r="O1749" s="26">
        <f t="shared" si="340"/>
        <v>0</v>
      </c>
      <c r="P1749" s="24">
        <v>1.1000000000000001</v>
      </c>
      <c r="Q1749" s="24">
        <v>36</v>
      </c>
      <c r="R1749" s="27">
        <f t="shared" si="341"/>
        <v>0</v>
      </c>
      <c r="S1749" s="102">
        <f t="shared" si="343"/>
        <v>0</v>
      </c>
      <c r="T1749" s="21">
        <f>VLOOKUP($A1749,'2022-23 Salary &amp; Benefits'!$A:$I,5,FALSE)</f>
        <v>68937</v>
      </c>
      <c r="U1749" s="21">
        <f>VLOOKUP($A1749,'2022-23 Salary &amp; Benefits'!$A:$I,6,FALSE)</f>
        <v>72728</v>
      </c>
      <c r="V1749" s="22">
        <f t="shared" si="344"/>
        <v>0</v>
      </c>
      <c r="W1749" s="22">
        <f t="shared" si="345"/>
        <v>0</v>
      </c>
      <c r="X1749" s="22">
        <f>'2022-23 Salary &amp; Benefits'!$G$6</f>
        <v>12558.24</v>
      </c>
      <c r="Y1749" s="23">
        <f>'2022-23 Salary &amp; Benefits'!$H$6</f>
        <v>0.2298</v>
      </c>
      <c r="Z1749" s="23">
        <f>'2022-23 Salary &amp; Benefits'!$I$6</f>
        <v>0.22339999999999999</v>
      </c>
      <c r="AA1749" s="22">
        <f t="shared" si="346"/>
        <v>0</v>
      </c>
      <c r="AB1749" s="22">
        <f t="shared" si="347"/>
        <v>0</v>
      </c>
      <c r="AC1749" s="22">
        <f t="shared" si="348"/>
        <v>0</v>
      </c>
      <c r="AD1749" s="22">
        <f t="shared" si="338"/>
        <v>0</v>
      </c>
      <c r="AE1749" s="22">
        <f t="shared" si="339"/>
        <v>0</v>
      </c>
      <c r="AF1749" s="19" t="str">
        <f>VLOOKUP(C1749,'2021-22 School Level AAFTE'!C:N,12,FALSE)</f>
        <v>No</v>
      </c>
    </row>
    <row r="1750" spans="1:32" s="5" customFormat="1">
      <c r="A1750" s="97" t="s">
        <v>2348</v>
      </c>
      <c r="B1750" s="97" t="s">
        <v>547</v>
      </c>
      <c r="C1750" s="95">
        <v>4218</v>
      </c>
      <c r="D1750" s="95" t="s">
        <v>633</v>
      </c>
      <c r="E1750" s="129">
        <f>VLOOKUP($C1750,'2021-22 School Level AAFTE'!$C:$Z,11,FALSE)</f>
        <v>0.62906666666666666</v>
      </c>
      <c r="F1750" s="129" t="str">
        <f>VLOOKUP($C1750,'2021-22 School Level AAFTE'!$C:$Z,8,FALSE)</f>
        <v>Yes</v>
      </c>
      <c r="G1750" s="129" t="str">
        <f>VLOOKUP($C1750,'2021-22 School Level AAFTE'!$C:$Z,12,FALSE)</f>
        <v>No</v>
      </c>
      <c r="H1750" s="127">
        <f>VLOOKUP($C1750,'2021-22 School Level AAFTE'!$C:$I,7,FALSE)</f>
        <v>526.09</v>
      </c>
      <c r="I1750" s="112">
        <f>IFERROR(IF(OR(G1750="yes",F1750= "yes"),VLOOKUP(C1750,Summary!$B:$J,6,0),0),0)</f>
        <v>0</v>
      </c>
      <c r="J1750" s="111">
        <f t="shared" si="342"/>
        <v>526.09</v>
      </c>
      <c r="K1750" s="91">
        <f>VLOOKUP($A1750,'2022-23 Salary &amp; Benefits'!$A:$I,3,FALSE)</f>
        <v>1.18</v>
      </c>
      <c r="L1750" s="91">
        <f>VLOOKUP($A1750,'2022-23 Salary &amp; Benefits'!$A:$I,4,FALSE)</f>
        <v>1.18</v>
      </c>
      <c r="M1750" s="101">
        <f t="shared" si="337"/>
        <v>526.09</v>
      </c>
      <c r="N1750" s="24">
        <v>15</v>
      </c>
      <c r="O1750" s="26">
        <f t="shared" si="340"/>
        <v>35.07266666666667</v>
      </c>
      <c r="P1750" s="24">
        <v>1.1000000000000001</v>
      </c>
      <c r="Q1750" s="24">
        <v>36</v>
      </c>
      <c r="R1750" s="27">
        <f t="shared" si="341"/>
        <v>1388.8776000000003</v>
      </c>
      <c r="S1750" s="102">
        <f t="shared" si="343"/>
        <v>1.5429999999999999</v>
      </c>
      <c r="T1750" s="21">
        <f>VLOOKUP($A1750,'2022-23 Salary &amp; Benefits'!$A:$I,5,FALSE)</f>
        <v>68937</v>
      </c>
      <c r="U1750" s="21">
        <f>VLOOKUP($A1750,'2022-23 Salary &amp; Benefits'!$A:$I,6,FALSE)</f>
        <v>72728</v>
      </c>
      <c r="V1750" s="22">
        <f t="shared" si="344"/>
        <v>125516.35</v>
      </c>
      <c r="W1750" s="22">
        <f t="shared" si="345"/>
        <v>6902.429999999993</v>
      </c>
      <c r="X1750" s="22">
        <f>'2022-23 Salary &amp; Benefits'!$G$6</f>
        <v>12558.24</v>
      </c>
      <c r="Y1750" s="23">
        <f>'2022-23 Salary &amp; Benefits'!$H$6</f>
        <v>0.2298</v>
      </c>
      <c r="Z1750" s="23">
        <f>'2022-23 Salary &amp; Benefits'!$I$6</f>
        <v>0.22339999999999999</v>
      </c>
      <c r="AA1750" s="22">
        <f t="shared" si="346"/>
        <v>49763.02</v>
      </c>
      <c r="AB1750" s="22">
        <f t="shared" si="347"/>
        <v>2206.98</v>
      </c>
      <c r="AC1750" s="22">
        <f t="shared" si="348"/>
        <v>493.04</v>
      </c>
      <c r="AD1750" s="22">
        <f t="shared" si="338"/>
        <v>2700.02</v>
      </c>
      <c r="AE1750" s="22">
        <f t="shared" si="339"/>
        <v>184881.81999999998</v>
      </c>
      <c r="AF1750" s="19" t="str">
        <f>VLOOKUP(C1750,'2021-22 School Level AAFTE'!C:N,12,FALSE)</f>
        <v>No</v>
      </c>
    </row>
    <row r="1751" spans="1:32" s="5" customFormat="1">
      <c r="A1751" s="97" t="s">
        <v>2348</v>
      </c>
      <c r="B1751" s="97" t="s">
        <v>547</v>
      </c>
      <c r="C1751" s="95">
        <v>4248</v>
      </c>
      <c r="D1751" s="95" t="s">
        <v>634</v>
      </c>
      <c r="E1751" s="129">
        <f>VLOOKUP($C1751,'2021-22 School Level AAFTE'!$C:$Z,11,FALSE)</f>
        <v>0.34439999999999998</v>
      </c>
      <c r="F1751" s="129" t="str">
        <f>VLOOKUP($C1751,'2021-22 School Level AAFTE'!$C:$Z,8,FALSE)</f>
        <v>No</v>
      </c>
      <c r="G1751" s="129" t="str">
        <f>VLOOKUP($C1751,'2021-22 School Level AAFTE'!$C:$Z,12,FALSE)</f>
        <v>No</v>
      </c>
      <c r="H1751" s="127">
        <f>VLOOKUP($C1751,'2021-22 School Level AAFTE'!$C:$I,7,FALSE)</f>
        <v>371.14</v>
      </c>
      <c r="I1751" s="112">
        <f>IFERROR(IF(OR(G1751="yes",F1751= "yes"),VLOOKUP(C1751,Summary!$B:$J,6,0),0),0)</f>
        <v>0</v>
      </c>
      <c r="J1751" s="111">
        <f t="shared" si="342"/>
        <v>0</v>
      </c>
      <c r="K1751" s="91">
        <f>VLOOKUP($A1751,'2022-23 Salary &amp; Benefits'!$A:$I,3,FALSE)</f>
        <v>1.18</v>
      </c>
      <c r="L1751" s="91">
        <f>VLOOKUP($A1751,'2022-23 Salary &amp; Benefits'!$A:$I,4,FALSE)</f>
        <v>1.18</v>
      </c>
      <c r="M1751" s="101">
        <f t="shared" si="337"/>
        <v>0</v>
      </c>
      <c r="N1751" s="24">
        <v>15</v>
      </c>
      <c r="O1751" s="26">
        <f t="shared" si="340"/>
        <v>0</v>
      </c>
      <c r="P1751" s="24">
        <v>1.1000000000000001</v>
      </c>
      <c r="Q1751" s="24">
        <v>36</v>
      </c>
      <c r="R1751" s="27">
        <f t="shared" si="341"/>
        <v>0</v>
      </c>
      <c r="S1751" s="102">
        <f t="shared" si="343"/>
        <v>0</v>
      </c>
      <c r="T1751" s="21">
        <f>VLOOKUP($A1751,'2022-23 Salary &amp; Benefits'!$A:$I,5,FALSE)</f>
        <v>68937</v>
      </c>
      <c r="U1751" s="21">
        <f>VLOOKUP($A1751,'2022-23 Salary &amp; Benefits'!$A:$I,6,FALSE)</f>
        <v>72728</v>
      </c>
      <c r="V1751" s="22">
        <f t="shared" si="344"/>
        <v>0</v>
      </c>
      <c r="W1751" s="22">
        <f t="shared" si="345"/>
        <v>0</v>
      </c>
      <c r="X1751" s="22">
        <f>'2022-23 Salary &amp; Benefits'!$G$6</f>
        <v>12558.24</v>
      </c>
      <c r="Y1751" s="23">
        <f>'2022-23 Salary &amp; Benefits'!$H$6</f>
        <v>0.2298</v>
      </c>
      <c r="Z1751" s="23">
        <f>'2022-23 Salary &amp; Benefits'!$I$6</f>
        <v>0.22339999999999999</v>
      </c>
      <c r="AA1751" s="22">
        <f t="shared" si="346"/>
        <v>0</v>
      </c>
      <c r="AB1751" s="22">
        <f t="shared" si="347"/>
        <v>0</v>
      </c>
      <c r="AC1751" s="22">
        <f t="shared" si="348"/>
        <v>0</v>
      </c>
      <c r="AD1751" s="22">
        <f t="shared" si="338"/>
        <v>0</v>
      </c>
      <c r="AE1751" s="22">
        <f t="shared" si="339"/>
        <v>0</v>
      </c>
      <c r="AF1751" s="19" t="str">
        <f>VLOOKUP(C1751,'2021-22 School Level AAFTE'!C:N,12,FALSE)</f>
        <v>No</v>
      </c>
    </row>
    <row r="1752" spans="1:32" s="5" customFormat="1">
      <c r="A1752" s="97" t="s">
        <v>2348</v>
      </c>
      <c r="B1752" s="97" t="s">
        <v>547</v>
      </c>
      <c r="C1752" s="95">
        <v>5046</v>
      </c>
      <c r="D1752" s="95" t="s">
        <v>635</v>
      </c>
      <c r="E1752" s="129">
        <f>VLOOKUP($C1752,'2021-22 School Level AAFTE'!$C:$Z,11,FALSE)</f>
        <v>0.14936666666666668</v>
      </c>
      <c r="F1752" s="129" t="str">
        <f>VLOOKUP($C1752,'2021-22 School Level AAFTE'!$C:$Z,8,FALSE)</f>
        <v>No</v>
      </c>
      <c r="G1752" s="129" t="str">
        <f>VLOOKUP($C1752,'2021-22 School Level AAFTE'!$C:$Z,12,FALSE)</f>
        <v>No</v>
      </c>
      <c r="H1752" s="127">
        <f>VLOOKUP($C1752,'2021-22 School Level AAFTE'!$C:$I,7,FALSE)</f>
        <v>97.61</v>
      </c>
      <c r="I1752" s="112">
        <f>IFERROR(IF(OR(G1752="yes",F1752= "yes"),VLOOKUP(C1752,Summary!$B:$J,6,0),0),0)</f>
        <v>0</v>
      </c>
      <c r="J1752" s="111">
        <f t="shared" si="342"/>
        <v>0</v>
      </c>
      <c r="K1752" s="91">
        <f>VLOOKUP($A1752,'2022-23 Salary &amp; Benefits'!$A:$I,3,FALSE)</f>
        <v>1.18</v>
      </c>
      <c r="L1752" s="91">
        <f>VLOOKUP($A1752,'2022-23 Salary &amp; Benefits'!$A:$I,4,FALSE)</f>
        <v>1.18</v>
      </c>
      <c r="M1752" s="101">
        <f t="shared" si="337"/>
        <v>0</v>
      </c>
      <c r="N1752" s="24">
        <v>15</v>
      </c>
      <c r="O1752" s="26">
        <f t="shared" si="340"/>
        <v>0</v>
      </c>
      <c r="P1752" s="24">
        <v>1.1000000000000001</v>
      </c>
      <c r="Q1752" s="24">
        <v>36</v>
      </c>
      <c r="R1752" s="27">
        <f t="shared" si="341"/>
        <v>0</v>
      </c>
      <c r="S1752" s="102">
        <f t="shared" si="343"/>
        <v>0</v>
      </c>
      <c r="T1752" s="21">
        <f>VLOOKUP($A1752,'2022-23 Salary &amp; Benefits'!$A:$I,5,FALSE)</f>
        <v>68937</v>
      </c>
      <c r="U1752" s="21">
        <f>VLOOKUP($A1752,'2022-23 Salary &amp; Benefits'!$A:$I,6,FALSE)</f>
        <v>72728</v>
      </c>
      <c r="V1752" s="22">
        <f t="shared" si="344"/>
        <v>0</v>
      </c>
      <c r="W1752" s="22">
        <f t="shared" si="345"/>
        <v>0</v>
      </c>
      <c r="X1752" s="22">
        <f>'2022-23 Salary &amp; Benefits'!$G$6</f>
        <v>12558.24</v>
      </c>
      <c r="Y1752" s="23">
        <f>'2022-23 Salary &amp; Benefits'!$H$6</f>
        <v>0.2298</v>
      </c>
      <c r="Z1752" s="23">
        <f>'2022-23 Salary &amp; Benefits'!$I$6</f>
        <v>0.22339999999999999</v>
      </c>
      <c r="AA1752" s="22">
        <f t="shared" si="346"/>
        <v>0</v>
      </c>
      <c r="AB1752" s="22">
        <f t="shared" si="347"/>
        <v>0</v>
      </c>
      <c r="AC1752" s="22">
        <f t="shared" si="348"/>
        <v>0</v>
      </c>
      <c r="AD1752" s="22">
        <f t="shared" si="338"/>
        <v>0</v>
      </c>
      <c r="AE1752" s="22">
        <f t="shared" si="339"/>
        <v>0</v>
      </c>
      <c r="AF1752" s="19" t="str">
        <f>VLOOKUP(C1752,'2021-22 School Level AAFTE'!C:N,12,FALSE)</f>
        <v>No</v>
      </c>
    </row>
    <row r="1753" spans="1:32" s="5" customFormat="1">
      <c r="A1753" s="97" t="s">
        <v>2348</v>
      </c>
      <c r="B1753" s="97" t="s">
        <v>547</v>
      </c>
      <c r="C1753" s="95">
        <v>5175</v>
      </c>
      <c r="D1753" s="95" t="s">
        <v>636</v>
      </c>
      <c r="E1753" s="129">
        <f>VLOOKUP($C1753,'2021-22 School Level AAFTE'!$C:$Z,11,FALSE)</f>
        <v>0.16453333333333334</v>
      </c>
      <c r="F1753" s="129" t="str">
        <f>VLOOKUP($C1753,'2021-22 School Level AAFTE'!$C:$Z,8,FALSE)</f>
        <v>No</v>
      </c>
      <c r="G1753" s="129" t="str">
        <f>VLOOKUP($C1753,'2021-22 School Level AAFTE'!$C:$Z,12,FALSE)</f>
        <v>No</v>
      </c>
      <c r="H1753" s="127">
        <f>VLOOKUP($C1753,'2021-22 School Level AAFTE'!$C:$I,7,FALSE)</f>
        <v>713.09</v>
      </c>
      <c r="I1753" s="112">
        <f>IFERROR(IF(OR(G1753="yes",F1753= "yes"),VLOOKUP(C1753,Summary!$B:$J,6,0),0),0)</f>
        <v>0</v>
      </c>
      <c r="J1753" s="111">
        <f t="shared" si="342"/>
        <v>0</v>
      </c>
      <c r="K1753" s="91">
        <f>VLOOKUP($A1753,'2022-23 Salary &amp; Benefits'!$A:$I,3,FALSE)</f>
        <v>1.18</v>
      </c>
      <c r="L1753" s="91">
        <f>VLOOKUP($A1753,'2022-23 Salary &amp; Benefits'!$A:$I,4,FALSE)</f>
        <v>1.18</v>
      </c>
      <c r="M1753" s="39">
        <f t="shared" si="337"/>
        <v>0</v>
      </c>
      <c r="N1753" s="24">
        <v>15</v>
      </c>
      <c r="O1753" s="26">
        <f t="shared" si="340"/>
        <v>0</v>
      </c>
      <c r="P1753" s="24">
        <v>1.1000000000000001</v>
      </c>
      <c r="Q1753" s="24">
        <v>36</v>
      </c>
      <c r="R1753" s="27">
        <f t="shared" si="341"/>
        <v>0</v>
      </c>
      <c r="S1753" s="102">
        <f t="shared" si="343"/>
        <v>0</v>
      </c>
      <c r="T1753" s="21">
        <f>VLOOKUP($A1753,'2022-23 Salary &amp; Benefits'!$A:$I,5,FALSE)</f>
        <v>68937</v>
      </c>
      <c r="U1753" s="21">
        <f>VLOOKUP($A1753,'2022-23 Salary &amp; Benefits'!$A:$I,6,FALSE)</f>
        <v>72728</v>
      </c>
      <c r="V1753" s="22">
        <f t="shared" si="344"/>
        <v>0</v>
      </c>
      <c r="W1753" s="22">
        <f t="shared" si="345"/>
        <v>0</v>
      </c>
      <c r="X1753" s="22">
        <f>'2022-23 Salary &amp; Benefits'!$G$6</f>
        <v>12558.24</v>
      </c>
      <c r="Y1753" s="23">
        <f>'2022-23 Salary &amp; Benefits'!$H$6</f>
        <v>0.2298</v>
      </c>
      <c r="Z1753" s="23">
        <f>'2022-23 Salary &amp; Benefits'!$I$6</f>
        <v>0.22339999999999999</v>
      </c>
      <c r="AA1753" s="22">
        <f t="shared" si="346"/>
        <v>0</v>
      </c>
      <c r="AB1753" s="22">
        <f t="shared" si="347"/>
        <v>0</v>
      </c>
      <c r="AC1753" s="22">
        <f t="shared" si="348"/>
        <v>0</v>
      </c>
      <c r="AD1753" s="22">
        <f t="shared" si="338"/>
        <v>0</v>
      </c>
      <c r="AE1753" s="22">
        <f t="shared" si="339"/>
        <v>0</v>
      </c>
      <c r="AF1753" s="19" t="str">
        <f>VLOOKUP(C1753,'2021-22 School Level AAFTE'!C:N,12,FALSE)</f>
        <v>No</v>
      </c>
    </row>
    <row r="1754" spans="1:32" s="5" customFormat="1">
      <c r="A1754" s="97" t="s">
        <v>2348</v>
      </c>
      <c r="B1754" s="97" t="s">
        <v>547</v>
      </c>
      <c r="C1754" s="95">
        <v>5203</v>
      </c>
      <c r="D1754" s="95" t="s">
        <v>637</v>
      </c>
      <c r="E1754" s="129">
        <f>VLOOKUP($C1754,'2021-22 School Level AAFTE'!$C:$Z,11,FALSE)</f>
        <v>1.7233333333333333E-2</v>
      </c>
      <c r="F1754" s="129" t="str">
        <f>VLOOKUP($C1754,'2021-22 School Level AAFTE'!$C:$Z,8,FALSE)</f>
        <v>No</v>
      </c>
      <c r="G1754" s="129" t="str">
        <f>VLOOKUP($C1754,'2021-22 School Level AAFTE'!$C:$Z,12,FALSE)</f>
        <v>No</v>
      </c>
      <c r="H1754" s="127">
        <f>VLOOKUP($C1754,'2021-22 School Level AAFTE'!$C:$I,7,FALSE)</f>
        <v>452.29</v>
      </c>
      <c r="I1754" s="112">
        <f>IFERROR(IF(OR(G1754="yes",F1754= "yes"),VLOOKUP(C1754,Summary!$B:$J,6,0),0),0)</f>
        <v>0</v>
      </c>
      <c r="J1754" s="111">
        <f t="shared" si="342"/>
        <v>0</v>
      </c>
      <c r="K1754" s="91">
        <f>VLOOKUP($A1754,'2022-23 Salary &amp; Benefits'!$A:$I,3,FALSE)</f>
        <v>1.18</v>
      </c>
      <c r="L1754" s="91">
        <f>VLOOKUP($A1754,'2022-23 Salary &amp; Benefits'!$A:$I,4,FALSE)</f>
        <v>1.18</v>
      </c>
      <c r="M1754" s="39">
        <f t="shared" si="337"/>
        <v>0</v>
      </c>
      <c r="N1754" s="24">
        <v>15</v>
      </c>
      <c r="O1754" s="26">
        <f t="shared" si="340"/>
        <v>0</v>
      </c>
      <c r="P1754" s="24">
        <v>1.1000000000000001</v>
      </c>
      <c r="Q1754" s="24">
        <v>36</v>
      </c>
      <c r="R1754" s="27">
        <f t="shared" si="341"/>
        <v>0</v>
      </c>
      <c r="S1754" s="102">
        <f t="shared" si="343"/>
        <v>0</v>
      </c>
      <c r="T1754" s="21">
        <f>VLOOKUP($A1754,'2022-23 Salary &amp; Benefits'!$A:$I,5,FALSE)</f>
        <v>68937</v>
      </c>
      <c r="U1754" s="21">
        <f>VLOOKUP($A1754,'2022-23 Salary &amp; Benefits'!$A:$I,6,FALSE)</f>
        <v>72728</v>
      </c>
      <c r="V1754" s="22">
        <f t="shared" si="344"/>
        <v>0</v>
      </c>
      <c r="W1754" s="22">
        <f t="shared" si="345"/>
        <v>0</v>
      </c>
      <c r="X1754" s="22">
        <f>'2022-23 Salary &amp; Benefits'!$G$6</f>
        <v>12558.24</v>
      </c>
      <c r="Y1754" s="23">
        <f>'2022-23 Salary &amp; Benefits'!$H$6</f>
        <v>0.2298</v>
      </c>
      <c r="Z1754" s="23">
        <f>'2022-23 Salary &amp; Benefits'!$I$6</f>
        <v>0.22339999999999999</v>
      </c>
      <c r="AA1754" s="22">
        <f t="shared" si="346"/>
        <v>0</v>
      </c>
      <c r="AB1754" s="22">
        <f t="shared" si="347"/>
        <v>0</v>
      </c>
      <c r="AC1754" s="22">
        <f t="shared" si="348"/>
        <v>0</v>
      </c>
      <c r="AD1754" s="22">
        <f t="shared" si="338"/>
        <v>0</v>
      </c>
      <c r="AE1754" s="22">
        <f t="shared" si="339"/>
        <v>0</v>
      </c>
      <c r="AF1754" s="19" t="str">
        <f>VLOOKUP(C1754,'2021-22 School Level AAFTE'!C:N,12,FALSE)</f>
        <v>No</v>
      </c>
    </row>
    <row r="1755" spans="1:32" s="5" customFormat="1">
      <c r="A1755" s="97" t="s">
        <v>2348</v>
      </c>
      <c r="B1755" s="97" t="s">
        <v>547</v>
      </c>
      <c r="C1755" s="95">
        <v>5204</v>
      </c>
      <c r="D1755" s="95" t="s">
        <v>638</v>
      </c>
      <c r="E1755" s="129">
        <f>VLOOKUP($C1755,'2021-22 School Level AAFTE'!$C:$Z,11,FALSE)</f>
        <v>0.14456666666666665</v>
      </c>
      <c r="F1755" s="129" t="str">
        <f>VLOOKUP($C1755,'2021-22 School Level AAFTE'!$C:$Z,8,FALSE)</f>
        <v>No</v>
      </c>
      <c r="G1755" s="129" t="str">
        <f>VLOOKUP($C1755,'2021-22 School Level AAFTE'!$C:$Z,12,FALSE)</f>
        <v>No</v>
      </c>
      <c r="H1755" s="127">
        <f>VLOOKUP($C1755,'2021-22 School Level AAFTE'!$C:$I,7,FALSE)</f>
        <v>493.43</v>
      </c>
      <c r="I1755" s="112">
        <f>IFERROR(IF(OR(G1755="yes",F1755= "yes"),VLOOKUP(C1755,Summary!$B:$J,6,0),0),0)</f>
        <v>0</v>
      </c>
      <c r="J1755" s="111">
        <f t="shared" si="342"/>
        <v>0</v>
      </c>
      <c r="K1755" s="91">
        <f>VLOOKUP($A1755,'2022-23 Salary &amp; Benefits'!$A:$I,3,FALSE)</f>
        <v>1.18</v>
      </c>
      <c r="L1755" s="91">
        <f>VLOOKUP($A1755,'2022-23 Salary &amp; Benefits'!$A:$I,4,FALSE)</f>
        <v>1.18</v>
      </c>
      <c r="M1755" s="39">
        <f t="shared" si="337"/>
        <v>0</v>
      </c>
      <c r="N1755" s="24">
        <v>15</v>
      </c>
      <c r="O1755" s="26">
        <f t="shared" si="340"/>
        <v>0</v>
      </c>
      <c r="P1755" s="24">
        <v>1.1000000000000001</v>
      </c>
      <c r="Q1755" s="24">
        <v>36</v>
      </c>
      <c r="R1755" s="27">
        <f t="shared" si="341"/>
        <v>0</v>
      </c>
      <c r="S1755" s="102">
        <f t="shared" si="343"/>
        <v>0</v>
      </c>
      <c r="T1755" s="21">
        <f>VLOOKUP($A1755,'2022-23 Salary &amp; Benefits'!$A:$I,5,FALSE)</f>
        <v>68937</v>
      </c>
      <c r="U1755" s="21">
        <f>VLOOKUP($A1755,'2022-23 Salary &amp; Benefits'!$A:$I,6,FALSE)</f>
        <v>72728</v>
      </c>
      <c r="V1755" s="22">
        <f t="shared" si="344"/>
        <v>0</v>
      </c>
      <c r="W1755" s="22">
        <f t="shared" si="345"/>
        <v>0</v>
      </c>
      <c r="X1755" s="22">
        <f>'2022-23 Salary &amp; Benefits'!$G$6</f>
        <v>12558.24</v>
      </c>
      <c r="Y1755" s="23">
        <f>'2022-23 Salary &amp; Benefits'!$H$6</f>
        <v>0.2298</v>
      </c>
      <c r="Z1755" s="23">
        <f>'2022-23 Salary &amp; Benefits'!$I$6</f>
        <v>0.22339999999999999</v>
      </c>
      <c r="AA1755" s="22">
        <f t="shared" si="346"/>
        <v>0</v>
      </c>
      <c r="AB1755" s="22">
        <f t="shared" si="347"/>
        <v>0</v>
      </c>
      <c r="AC1755" s="22">
        <f t="shared" si="348"/>
        <v>0</v>
      </c>
      <c r="AD1755" s="22">
        <f t="shared" si="338"/>
        <v>0</v>
      </c>
      <c r="AE1755" s="22">
        <f t="shared" si="339"/>
        <v>0</v>
      </c>
      <c r="AF1755" s="19" t="str">
        <f>VLOOKUP(C1755,'2021-22 School Level AAFTE'!C:N,12,FALSE)</f>
        <v>No</v>
      </c>
    </row>
    <row r="1756" spans="1:32" s="5" customFormat="1">
      <c r="A1756" s="56" t="s">
        <v>2348</v>
      </c>
      <c r="B1756" s="97" t="s">
        <v>547</v>
      </c>
      <c r="C1756" s="95">
        <v>5205</v>
      </c>
      <c r="D1756" s="56" t="s">
        <v>639</v>
      </c>
      <c r="E1756" s="129">
        <f>VLOOKUP($C1756,'2021-22 School Level AAFTE'!$C:$Z,11,FALSE)</f>
        <v>0.42563333333333331</v>
      </c>
      <c r="F1756" s="129" t="str">
        <f>VLOOKUP($C1756,'2021-22 School Level AAFTE'!$C:$Z,8,FALSE)</f>
        <v>No</v>
      </c>
      <c r="G1756" s="129" t="str">
        <f>VLOOKUP($C1756,'2021-22 School Level AAFTE'!$C:$Z,12,FALSE)</f>
        <v>No</v>
      </c>
      <c r="H1756" s="127">
        <f>VLOOKUP($C1756,'2021-22 School Level AAFTE'!$C:$I,7,FALSE)</f>
        <v>170.9</v>
      </c>
      <c r="I1756" s="112">
        <f>IFERROR(IF(OR(G1756="yes",F1756= "yes"),VLOOKUP(C1756,Summary!$B:$J,6,0),0),0)</f>
        <v>0</v>
      </c>
      <c r="J1756" s="111">
        <f t="shared" si="342"/>
        <v>0</v>
      </c>
      <c r="K1756" s="91">
        <f>VLOOKUP($A1756,'2022-23 Salary &amp; Benefits'!$A:$I,3,FALSE)</f>
        <v>1.18</v>
      </c>
      <c r="L1756" s="91">
        <f>VLOOKUP($A1756,'2022-23 Salary &amp; Benefits'!$A:$I,4,FALSE)</f>
        <v>1.18</v>
      </c>
      <c r="M1756" s="101">
        <f t="shared" si="337"/>
        <v>0</v>
      </c>
      <c r="N1756" s="24">
        <v>15</v>
      </c>
      <c r="O1756" s="26">
        <f t="shared" si="340"/>
        <v>0</v>
      </c>
      <c r="P1756" s="24">
        <v>1.1000000000000001</v>
      </c>
      <c r="Q1756" s="24">
        <v>36</v>
      </c>
      <c r="R1756" s="27">
        <f t="shared" si="341"/>
        <v>0</v>
      </c>
      <c r="S1756" s="102">
        <f t="shared" si="343"/>
        <v>0</v>
      </c>
      <c r="T1756" s="21">
        <f>VLOOKUP($A1756,'2022-23 Salary &amp; Benefits'!$A:$I,5,FALSE)</f>
        <v>68937</v>
      </c>
      <c r="U1756" s="21">
        <f>VLOOKUP($A1756,'2022-23 Salary &amp; Benefits'!$A:$I,6,FALSE)</f>
        <v>72728</v>
      </c>
      <c r="V1756" s="22">
        <f t="shared" si="344"/>
        <v>0</v>
      </c>
      <c r="W1756" s="22">
        <f t="shared" si="345"/>
        <v>0</v>
      </c>
      <c r="X1756" s="22">
        <f>'2022-23 Salary &amp; Benefits'!$G$6</f>
        <v>12558.24</v>
      </c>
      <c r="Y1756" s="23">
        <f>'2022-23 Salary &amp; Benefits'!$H$6</f>
        <v>0.2298</v>
      </c>
      <c r="Z1756" s="23">
        <f>'2022-23 Salary &amp; Benefits'!$I$6</f>
        <v>0.22339999999999999</v>
      </c>
      <c r="AA1756" s="22">
        <f t="shared" si="346"/>
        <v>0</v>
      </c>
      <c r="AB1756" s="22">
        <f t="shared" si="347"/>
        <v>0</v>
      </c>
      <c r="AC1756" s="22">
        <f t="shared" si="348"/>
        <v>0</v>
      </c>
      <c r="AD1756" s="22">
        <f t="shared" si="338"/>
        <v>0</v>
      </c>
      <c r="AE1756" s="22">
        <f t="shared" si="339"/>
        <v>0</v>
      </c>
      <c r="AF1756" s="19" t="str">
        <f>VLOOKUP(C1756,'2021-22 School Level AAFTE'!C:N,12,FALSE)</f>
        <v>No</v>
      </c>
    </row>
    <row r="1757" spans="1:32" s="5" customFormat="1">
      <c r="A1757" s="97" t="s">
        <v>2348</v>
      </c>
      <c r="B1757" s="97" t="s">
        <v>547</v>
      </c>
      <c r="C1757" s="95">
        <v>5260</v>
      </c>
      <c r="D1757" s="95" t="s">
        <v>2978</v>
      </c>
      <c r="E1757" s="129">
        <f>VLOOKUP($C1757,'2021-22 School Level AAFTE'!$C:$Z,11,FALSE)</f>
        <v>0</v>
      </c>
      <c r="F1757" s="129" t="str">
        <f>VLOOKUP($C1757,'2021-22 School Level AAFTE'!$C:$Z,8,FALSE)</f>
        <v>No</v>
      </c>
      <c r="G1757" s="129" t="str">
        <f>VLOOKUP($C1757,'2021-22 School Level AAFTE'!$C:$Z,12,FALSE)</f>
        <v>No</v>
      </c>
      <c r="H1757" s="127">
        <f>VLOOKUP($C1757,'2021-22 School Level AAFTE'!$C:$I,7,FALSE)</f>
        <v>103.51</v>
      </c>
      <c r="I1757" s="112">
        <f>IFERROR(IF(OR(G1757="yes",F1757= "yes"),VLOOKUP(C1757,Summary!$B:$J,6,0),0),0)</f>
        <v>0</v>
      </c>
      <c r="J1757" s="111">
        <f t="shared" si="342"/>
        <v>0</v>
      </c>
      <c r="K1757" s="91">
        <f>VLOOKUP($A1757,'2022-23 Salary &amp; Benefits'!$A:$I,3,FALSE)</f>
        <v>1.18</v>
      </c>
      <c r="L1757" s="91">
        <f>VLOOKUP($A1757,'2022-23 Salary &amp; Benefits'!$A:$I,4,FALSE)</f>
        <v>1.18</v>
      </c>
      <c r="M1757" s="101">
        <f t="shared" si="337"/>
        <v>0</v>
      </c>
      <c r="N1757" s="24">
        <v>15</v>
      </c>
      <c r="O1757" s="26">
        <f t="shared" si="340"/>
        <v>0</v>
      </c>
      <c r="P1757" s="24">
        <v>1.1000000000000001</v>
      </c>
      <c r="Q1757" s="24">
        <v>36</v>
      </c>
      <c r="R1757" s="27">
        <f t="shared" si="341"/>
        <v>0</v>
      </c>
      <c r="S1757" s="102">
        <f t="shared" si="343"/>
        <v>0</v>
      </c>
      <c r="T1757" s="21">
        <f>VLOOKUP($A1757,'2022-23 Salary &amp; Benefits'!$A:$I,5,FALSE)</f>
        <v>68937</v>
      </c>
      <c r="U1757" s="21">
        <f>VLOOKUP($A1757,'2022-23 Salary &amp; Benefits'!$A:$I,6,FALSE)</f>
        <v>72728</v>
      </c>
      <c r="V1757" s="22">
        <f t="shared" si="344"/>
        <v>0</v>
      </c>
      <c r="W1757" s="22">
        <f t="shared" si="345"/>
        <v>0</v>
      </c>
      <c r="X1757" s="22">
        <f>'2022-23 Salary &amp; Benefits'!$G$6</f>
        <v>12558.24</v>
      </c>
      <c r="Y1757" s="23">
        <f>'2022-23 Salary &amp; Benefits'!$H$6</f>
        <v>0.2298</v>
      </c>
      <c r="Z1757" s="23">
        <f>'2022-23 Salary &amp; Benefits'!$I$6</f>
        <v>0.22339999999999999</v>
      </c>
      <c r="AA1757" s="22">
        <f t="shared" si="346"/>
        <v>0</v>
      </c>
      <c r="AB1757" s="22">
        <f t="shared" si="347"/>
        <v>0</v>
      </c>
      <c r="AC1757" s="22">
        <f t="shared" si="348"/>
        <v>0</v>
      </c>
      <c r="AD1757" s="22">
        <f t="shared" si="338"/>
        <v>0</v>
      </c>
      <c r="AE1757" s="22">
        <f t="shared" si="339"/>
        <v>0</v>
      </c>
      <c r="AF1757" s="19" t="str">
        <f>VLOOKUP(C1757,'2021-22 School Level AAFTE'!C:N,12,FALSE)</f>
        <v>No</v>
      </c>
    </row>
    <row r="1758" spans="1:32" s="5" customFormat="1">
      <c r="A1758" s="97" t="s">
        <v>2348</v>
      </c>
      <c r="B1758" s="97" t="s">
        <v>547</v>
      </c>
      <c r="C1758" s="95">
        <v>5276</v>
      </c>
      <c r="D1758" s="95" t="s">
        <v>640</v>
      </c>
      <c r="E1758" s="129">
        <f>VLOOKUP($C1758,'2021-22 School Level AAFTE'!$C:$Z,11,FALSE)</f>
        <v>0.31383333333333335</v>
      </c>
      <c r="F1758" s="129" t="str">
        <f>VLOOKUP($C1758,'2021-22 School Level AAFTE'!$C:$Z,8,FALSE)</f>
        <v>No</v>
      </c>
      <c r="G1758" s="129" t="str">
        <f>VLOOKUP($C1758,'2021-22 School Level AAFTE'!$C:$Z,12,FALSE)</f>
        <v>No</v>
      </c>
      <c r="H1758" s="127">
        <f>VLOOKUP($C1758,'2021-22 School Level AAFTE'!$C:$I,7,FALSE)</f>
        <v>487.5</v>
      </c>
      <c r="I1758" s="112">
        <f>IFERROR(IF(OR(G1758="yes",F1758= "yes"),VLOOKUP(C1758,Summary!$B:$J,6,0),0),0)</f>
        <v>0</v>
      </c>
      <c r="J1758" s="111">
        <f t="shared" si="342"/>
        <v>0</v>
      </c>
      <c r="K1758" s="91">
        <f>VLOOKUP($A1758,'2022-23 Salary &amp; Benefits'!$A:$I,3,FALSE)</f>
        <v>1.18</v>
      </c>
      <c r="L1758" s="91">
        <f>VLOOKUP($A1758,'2022-23 Salary &amp; Benefits'!$A:$I,4,FALSE)</f>
        <v>1.18</v>
      </c>
      <c r="M1758" s="101">
        <f t="shared" si="337"/>
        <v>0</v>
      </c>
      <c r="N1758" s="24">
        <v>15</v>
      </c>
      <c r="O1758" s="26">
        <f t="shared" si="340"/>
        <v>0</v>
      </c>
      <c r="P1758" s="24">
        <v>1.1000000000000001</v>
      </c>
      <c r="Q1758" s="24">
        <v>36</v>
      </c>
      <c r="R1758" s="27">
        <f t="shared" si="341"/>
        <v>0</v>
      </c>
      <c r="S1758" s="102">
        <f t="shared" si="343"/>
        <v>0</v>
      </c>
      <c r="T1758" s="21">
        <f>VLOOKUP($A1758,'2022-23 Salary &amp; Benefits'!$A:$I,5,FALSE)</f>
        <v>68937</v>
      </c>
      <c r="U1758" s="21">
        <f>VLOOKUP($A1758,'2022-23 Salary &amp; Benefits'!$A:$I,6,FALSE)</f>
        <v>72728</v>
      </c>
      <c r="V1758" s="22">
        <f t="shared" si="344"/>
        <v>0</v>
      </c>
      <c r="W1758" s="22">
        <f t="shared" si="345"/>
        <v>0</v>
      </c>
      <c r="X1758" s="22">
        <f>'2022-23 Salary &amp; Benefits'!$G$6</f>
        <v>12558.24</v>
      </c>
      <c r="Y1758" s="23">
        <f>'2022-23 Salary &amp; Benefits'!$H$6</f>
        <v>0.2298</v>
      </c>
      <c r="Z1758" s="23">
        <f>'2022-23 Salary &amp; Benefits'!$I$6</f>
        <v>0.22339999999999999</v>
      </c>
      <c r="AA1758" s="22">
        <f t="shared" si="346"/>
        <v>0</v>
      </c>
      <c r="AB1758" s="22">
        <f t="shared" si="347"/>
        <v>0</v>
      </c>
      <c r="AC1758" s="22">
        <f t="shared" si="348"/>
        <v>0</v>
      </c>
      <c r="AD1758" s="22">
        <f t="shared" si="338"/>
        <v>0</v>
      </c>
      <c r="AE1758" s="22">
        <f t="shared" si="339"/>
        <v>0</v>
      </c>
      <c r="AF1758" s="19" t="str">
        <f>VLOOKUP(C1758,'2021-22 School Level AAFTE'!C:N,12,FALSE)</f>
        <v>No</v>
      </c>
    </row>
    <row r="1759" spans="1:32" s="5" customFormat="1">
      <c r="A1759" s="97" t="s">
        <v>2348</v>
      </c>
      <c r="B1759" s="97" t="s">
        <v>547</v>
      </c>
      <c r="C1759" s="95">
        <v>5292</v>
      </c>
      <c r="D1759" s="95" t="s">
        <v>641</v>
      </c>
      <c r="E1759" s="129">
        <f>VLOOKUP($C1759,'2021-22 School Level AAFTE'!$C:$Z,11,FALSE)</f>
        <v>3.8666666666666662E-2</v>
      </c>
      <c r="F1759" s="129" t="str">
        <f>VLOOKUP($C1759,'2021-22 School Level AAFTE'!$C:$Z,8,FALSE)</f>
        <v>No</v>
      </c>
      <c r="G1759" s="129" t="str">
        <f>VLOOKUP($C1759,'2021-22 School Level AAFTE'!$C:$Z,12,FALSE)</f>
        <v>No</v>
      </c>
      <c r="H1759" s="127">
        <f>VLOOKUP($C1759,'2021-22 School Level AAFTE'!$C:$I,7,FALSE)</f>
        <v>473</v>
      </c>
      <c r="I1759" s="112">
        <f>IFERROR(IF(OR(G1759="yes",F1759= "yes"),VLOOKUP(C1759,Summary!$B:$J,6,0),0),0)</f>
        <v>0</v>
      </c>
      <c r="J1759" s="111">
        <f t="shared" si="342"/>
        <v>0</v>
      </c>
      <c r="K1759" s="91">
        <f>VLOOKUP($A1759,'2022-23 Salary &amp; Benefits'!$A:$I,3,FALSE)</f>
        <v>1.18</v>
      </c>
      <c r="L1759" s="91">
        <f>VLOOKUP($A1759,'2022-23 Salary &amp; Benefits'!$A:$I,4,FALSE)</f>
        <v>1.18</v>
      </c>
      <c r="M1759" s="101">
        <f t="shared" si="337"/>
        <v>0</v>
      </c>
      <c r="N1759" s="24">
        <v>15</v>
      </c>
      <c r="O1759" s="26">
        <f t="shared" si="340"/>
        <v>0</v>
      </c>
      <c r="P1759" s="24">
        <v>1.1000000000000001</v>
      </c>
      <c r="Q1759" s="24">
        <v>36</v>
      </c>
      <c r="R1759" s="27">
        <f t="shared" si="341"/>
        <v>0</v>
      </c>
      <c r="S1759" s="102">
        <f t="shared" si="343"/>
        <v>0</v>
      </c>
      <c r="T1759" s="21">
        <f>VLOOKUP($A1759,'2022-23 Salary &amp; Benefits'!$A:$I,5,FALSE)</f>
        <v>68937</v>
      </c>
      <c r="U1759" s="21">
        <f>VLOOKUP($A1759,'2022-23 Salary &amp; Benefits'!$A:$I,6,FALSE)</f>
        <v>72728</v>
      </c>
      <c r="V1759" s="22">
        <f t="shared" si="344"/>
        <v>0</v>
      </c>
      <c r="W1759" s="22">
        <f t="shared" si="345"/>
        <v>0</v>
      </c>
      <c r="X1759" s="22">
        <f>'2022-23 Salary &amp; Benefits'!$G$6</f>
        <v>12558.24</v>
      </c>
      <c r="Y1759" s="23">
        <f>'2022-23 Salary &amp; Benefits'!$H$6</f>
        <v>0.2298</v>
      </c>
      <c r="Z1759" s="23">
        <f>'2022-23 Salary &amp; Benefits'!$I$6</f>
        <v>0.22339999999999999</v>
      </c>
      <c r="AA1759" s="22">
        <f t="shared" si="346"/>
        <v>0</v>
      </c>
      <c r="AB1759" s="22">
        <f t="shared" si="347"/>
        <v>0</v>
      </c>
      <c r="AC1759" s="22">
        <f t="shared" si="348"/>
        <v>0</v>
      </c>
      <c r="AD1759" s="22">
        <f t="shared" si="338"/>
        <v>0</v>
      </c>
      <c r="AE1759" s="22">
        <f t="shared" si="339"/>
        <v>0</v>
      </c>
      <c r="AF1759" s="19" t="str">
        <f>VLOOKUP(C1759,'2021-22 School Level AAFTE'!C:N,12,FALSE)</f>
        <v>No</v>
      </c>
    </row>
    <row r="1760" spans="1:32" s="5" customFormat="1">
      <c r="A1760" s="97" t="s">
        <v>2348</v>
      </c>
      <c r="B1760" s="97" t="s">
        <v>547</v>
      </c>
      <c r="C1760" s="95">
        <v>5351</v>
      </c>
      <c r="D1760" s="95" t="s">
        <v>642</v>
      </c>
      <c r="E1760" s="129">
        <f>VLOOKUP($C1760,'2021-22 School Level AAFTE'!$C:$Z,11,FALSE)</f>
        <v>0.29003333333333337</v>
      </c>
      <c r="F1760" s="129" t="str">
        <f>VLOOKUP($C1760,'2021-22 School Level AAFTE'!$C:$Z,8,FALSE)</f>
        <v>No</v>
      </c>
      <c r="G1760" s="129" t="str">
        <f>VLOOKUP($C1760,'2021-22 School Level AAFTE'!$C:$Z,12,FALSE)</f>
        <v>No</v>
      </c>
      <c r="H1760" s="127">
        <f>VLOOKUP($C1760,'2021-22 School Level AAFTE'!$C:$I,7,FALSE)</f>
        <v>956.41</v>
      </c>
      <c r="I1760" s="112">
        <f>IFERROR(IF(OR(G1760="yes",F1760= "yes"),VLOOKUP(C1760,Summary!$B:$J,6,0),0),0)</f>
        <v>0</v>
      </c>
      <c r="J1760" s="111">
        <f t="shared" si="342"/>
        <v>0</v>
      </c>
      <c r="K1760" s="91">
        <f>VLOOKUP($A1760,'2022-23 Salary &amp; Benefits'!$A:$I,3,FALSE)</f>
        <v>1.18</v>
      </c>
      <c r="L1760" s="91">
        <f>VLOOKUP($A1760,'2022-23 Salary &amp; Benefits'!$A:$I,4,FALSE)</f>
        <v>1.18</v>
      </c>
      <c r="M1760" s="101">
        <f t="shared" si="337"/>
        <v>0</v>
      </c>
      <c r="N1760" s="24">
        <v>15</v>
      </c>
      <c r="O1760" s="26">
        <f t="shared" si="340"/>
        <v>0</v>
      </c>
      <c r="P1760" s="24">
        <v>1.1000000000000001</v>
      </c>
      <c r="Q1760" s="24">
        <v>36</v>
      </c>
      <c r="R1760" s="27">
        <f t="shared" si="341"/>
        <v>0</v>
      </c>
      <c r="S1760" s="102">
        <f t="shared" si="343"/>
        <v>0</v>
      </c>
      <c r="T1760" s="21">
        <f>VLOOKUP($A1760,'2022-23 Salary &amp; Benefits'!$A:$I,5,FALSE)</f>
        <v>68937</v>
      </c>
      <c r="U1760" s="21">
        <f>VLOOKUP($A1760,'2022-23 Salary &amp; Benefits'!$A:$I,6,FALSE)</f>
        <v>72728</v>
      </c>
      <c r="V1760" s="22">
        <f t="shared" si="344"/>
        <v>0</v>
      </c>
      <c r="W1760" s="22">
        <f t="shared" si="345"/>
        <v>0</v>
      </c>
      <c r="X1760" s="22">
        <f>'2022-23 Salary &amp; Benefits'!$G$6</f>
        <v>12558.24</v>
      </c>
      <c r="Y1760" s="23">
        <f>'2022-23 Salary &amp; Benefits'!$H$6</f>
        <v>0.2298</v>
      </c>
      <c r="Z1760" s="23">
        <f>'2022-23 Salary &amp; Benefits'!$I$6</f>
        <v>0.22339999999999999</v>
      </c>
      <c r="AA1760" s="22">
        <f t="shared" si="346"/>
        <v>0</v>
      </c>
      <c r="AB1760" s="22">
        <f t="shared" si="347"/>
        <v>0</v>
      </c>
      <c r="AC1760" s="22">
        <f t="shared" si="348"/>
        <v>0</v>
      </c>
      <c r="AD1760" s="22">
        <f t="shared" si="338"/>
        <v>0</v>
      </c>
      <c r="AE1760" s="22">
        <f t="shared" si="339"/>
        <v>0</v>
      </c>
      <c r="AF1760" s="19" t="str">
        <f>VLOOKUP(C1760,'2021-22 School Level AAFTE'!C:N,12,FALSE)</f>
        <v>No</v>
      </c>
    </row>
    <row r="1761" spans="1:32" s="5" customFormat="1">
      <c r="A1761" s="97" t="s">
        <v>2348</v>
      </c>
      <c r="B1761" s="97" t="s">
        <v>547</v>
      </c>
      <c r="C1761" s="95">
        <v>5405</v>
      </c>
      <c r="D1761" s="95" t="s">
        <v>643</v>
      </c>
      <c r="E1761" s="129">
        <f>VLOOKUP($C1761,'2021-22 School Level AAFTE'!$C:$Z,11,FALSE)</f>
        <v>0.5203000000000001</v>
      </c>
      <c r="F1761" s="129" t="str">
        <f>VLOOKUP($C1761,'2021-22 School Level AAFTE'!$C:$Z,8,FALSE)</f>
        <v>Yes</v>
      </c>
      <c r="G1761" s="129" t="str">
        <f>VLOOKUP($C1761,'2021-22 School Level AAFTE'!$C:$Z,12,FALSE)</f>
        <v>No</v>
      </c>
      <c r="H1761" s="127">
        <f>VLOOKUP($C1761,'2021-22 School Level AAFTE'!$C:$I,7,FALSE)</f>
        <v>63.53</v>
      </c>
      <c r="I1761" s="112">
        <f>IFERROR(IF(OR(G1761="yes",F1761= "yes"),VLOOKUP(C1761,Summary!$B:$J,6,0),0),0)</f>
        <v>0</v>
      </c>
      <c r="J1761" s="111">
        <f t="shared" si="342"/>
        <v>63.53</v>
      </c>
      <c r="K1761" s="91">
        <f>VLOOKUP($A1761,'2022-23 Salary &amp; Benefits'!$A:$I,3,FALSE)</f>
        <v>1.18</v>
      </c>
      <c r="L1761" s="91">
        <f>VLOOKUP($A1761,'2022-23 Salary &amp; Benefits'!$A:$I,4,FALSE)</f>
        <v>1.18</v>
      </c>
      <c r="M1761" s="101">
        <f t="shared" si="337"/>
        <v>63.53</v>
      </c>
      <c r="N1761" s="24">
        <v>15</v>
      </c>
      <c r="O1761" s="26">
        <f t="shared" si="340"/>
        <v>4.2353333333333332</v>
      </c>
      <c r="P1761" s="24">
        <v>1.1000000000000001</v>
      </c>
      <c r="Q1761" s="24">
        <v>36</v>
      </c>
      <c r="R1761" s="27">
        <f t="shared" si="341"/>
        <v>167.7192</v>
      </c>
      <c r="S1761" s="102">
        <f t="shared" si="343"/>
        <v>0.186</v>
      </c>
      <c r="T1761" s="21">
        <f>VLOOKUP($A1761,'2022-23 Salary &amp; Benefits'!$A:$I,5,FALSE)</f>
        <v>68937</v>
      </c>
      <c r="U1761" s="21">
        <f>VLOOKUP($A1761,'2022-23 Salary &amp; Benefits'!$A:$I,6,FALSE)</f>
        <v>72728</v>
      </c>
      <c r="V1761" s="22">
        <f t="shared" si="344"/>
        <v>15130.29</v>
      </c>
      <c r="W1761" s="22">
        <f t="shared" si="345"/>
        <v>832.04999999999927</v>
      </c>
      <c r="X1761" s="22">
        <f>'2022-23 Salary &amp; Benefits'!$G$6</f>
        <v>12558.24</v>
      </c>
      <c r="Y1761" s="23">
        <f>'2022-23 Salary &amp; Benefits'!$H$6</f>
        <v>0.2298</v>
      </c>
      <c r="Z1761" s="23">
        <f>'2022-23 Salary &amp; Benefits'!$I$6</f>
        <v>0.22339999999999999</v>
      </c>
      <c r="AA1761" s="22">
        <f t="shared" si="346"/>
        <v>5998.65</v>
      </c>
      <c r="AB1761" s="22">
        <f t="shared" si="347"/>
        <v>266.04000000000002</v>
      </c>
      <c r="AC1761" s="22">
        <f t="shared" si="348"/>
        <v>59.43</v>
      </c>
      <c r="AD1761" s="22">
        <f t="shared" si="338"/>
        <v>325.47000000000003</v>
      </c>
      <c r="AE1761" s="22">
        <f t="shared" si="339"/>
        <v>22286.460000000003</v>
      </c>
      <c r="AF1761" s="19" t="str">
        <f>VLOOKUP(C1761,'2021-22 School Level AAFTE'!C:N,12,FALSE)</f>
        <v>No</v>
      </c>
    </row>
    <row r="1762" spans="1:32" s="5" customFormat="1">
      <c r="A1762" s="97" t="s">
        <v>2348</v>
      </c>
      <c r="B1762" s="97" t="s">
        <v>547</v>
      </c>
      <c r="C1762" s="95">
        <v>5406</v>
      </c>
      <c r="D1762" s="95" t="s">
        <v>644</v>
      </c>
      <c r="E1762" s="129">
        <f>VLOOKUP($C1762,'2021-22 School Level AAFTE'!$C:$Z,11,FALSE)</f>
        <v>0.47009999999999996</v>
      </c>
      <c r="F1762" s="129" t="str">
        <f>VLOOKUP($C1762,'2021-22 School Level AAFTE'!$C:$Z,8,FALSE)</f>
        <v>No</v>
      </c>
      <c r="G1762" s="129" t="str">
        <f>VLOOKUP($C1762,'2021-22 School Level AAFTE'!$C:$Z,12,FALSE)</f>
        <v>No</v>
      </c>
      <c r="H1762" s="127">
        <f>VLOOKUP($C1762,'2021-22 School Level AAFTE'!$C:$I,7,FALSE)</f>
        <v>153.51</v>
      </c>
      <c r="I1762" s="112">
        <f>IFERROR(IF(OR(G1762="yes",F1762= "yes"),VLOOKUP(C1762,Summary!$B:$J,6,0),0),0)</f>
        <v>0</v>
      </c>
      <c r="J1762" s="111">
        <f t="shared" si="342"/>
        <v>0</v>
      </c>
      <c r="K1762" s="91">
        <f>VLOOKUP($A1762,'2022-23 Salary &amp; Benefits'!$A:$I,3,FALSE)</f>
        <v>1.18</v>
      </c>
      <c r="L1762" s="91">
        <f>VLOOKUP($A1762,'2022-23 Salary &amp; Benefits'!$A:$I,4,FALSE)</f>
        <v>1.18</v>
      </c>
      <c r="M1762" s="101">
        <f t="shared" si="337"/>
        <v>0</v>
      </c>
      <c r="N1762" s="24">
        <v>15</v>
      </c>
      <c r="O1762" s="26">
        <f t="shared" si="340"/>
        <v>0</v>
      </c>
      <c r="P1762" s="24">
        <v>1.1000000000000001</v>
      </c>
      <c r="Q1762" s="24">
        <v>36</v>
      </c>
      <c r="R1762" s="27">
        <f t="shared" si="341"/>
        <v>0</v>
      </c>
      <c r="S1762" s="102">
        <f t="shared" si="343"/>
        <v>0</v>
      </c>
      <c r="T1762" s="21">
        <f>VLOOKUP($A1762,'2022-23 Salary &amp; Benefits'!$A:$I,5,FALSE)</f>
        <v>68937</v>
      </c>
      <c r="U1762" s="21">
        <f>VLOOKUP($A1762,'2022-23 Salary &amp; Benefits'!$A:$I,6,FALSE)</f>
        <v>72728</v>
      </c>
      <c r="V1762" s="22">
        <f t="shared" si="344"/>
        <v>0</v>
      </c>
      <c r="W1762" s="22">
        <f t="shared" si="345"/>
        <v>0</v>
      </c>
      <c r="X1762" s="22">
        <f>'2022-23 Salary &amp; Benefits'!$G$6</f>
        <v>12558.24</v>
      </c>
      <c r="Y1762" s="23">
        <f>'2022-23 Salary &amp; Benefits'!$H$6</f>
        <v>0.2298</v>
      </c>
      <c r="Z1762" s="23">
        <f>'2022-23 Salary &amp; Benefits'!$I$6</f>
        <v>0.22339999999999999</v>
      </c>
      <c r="AA1762" s="22">
        <f t="shared" si="346"/>
        <v>0</v>
      </c>
      <c r="AB1762" s="22">
        <f t="shared" si="347"/>
        <v>0</v>
      </c>
      <c r="AC1762" s="22">
        <f t="shared" si="348"/>
        <v>0</v>
      </c>
      <c r="AD1762" s="22">
        <f t="shared" si="338"/>
        <v>0</v>
      </c>
      <c r="AE1762" s="22">
        <f t="shared" si="339"/>
        <v>0</v>
      </c>
      <c r="AF1762" s="19" t="str">
        <f>VLOOKUP(C1762,'2021-22 School Level AAFTE'!C:N,12,FALSE)</f>
        <v>No</v>
      </c>
    </row>
    <row r="1763" spans="1:32" s="5" customFormat="1">
      <c r="A1763" s="97" t="s">
        <v>2348</v>
      </c>
      <c r="B1763" s="97" t="s">
        <v>547</v>
      </c>
      <c r="C1763" s="95">
        <v>5485</v>
      </c>
      <c r="D1763" s="95" t="s">
        <v>2736</v>
      </c>
      <c r="E1763" s="129">
        <f>VLOOKUP($C1763,'2021-22 School Level AAFTE'!$C:$Z,11,FALSE)</f>
        <v>0.45723333333333338</v>
      </c>
      <c r="F1763" s="129" t="str">
        <f>VLOOKUP($C1763,'2021-22 School Level AAFTE'!$C:$Z,8,FALSE)</f>
        <v>No</v>
      </c>
      <c r="G1763" s="129" t="str">
        <f>VLOOKUP($C1763,'2021-22 School Level AAFTE'!$C:$Z,12,FALSE)</f>
        <v>No</v>
      </c>
      <c r="H1763" s="127">
        <f>VLOOKUP($C1763,'2021-22 School Level AAFTE'!$C:$I,7,FALSE)</f>
        <v>501.66</v>
      </c>
      <c r="I1763" s="112">
        <f>IFERROR(IF(OR(G1763="yes",F1763= "yes"),VLOOKUP(C1763,Summary!$B:$J,6,0),0),0)</f>
        <v>0</v>
      </c>
      <c r="J1763" s="111">
        <f t="shared" si="342"/>
        <v>0</v>
      </c>
      <c r="K1763" s="91">
        <f>VLOOKUP($A1763,'2022-23 Salary &amp; Benefits'!$A:$I,3,FALSE)</f>
        <v>1.18</v>
      </c>
      <c r="L1763" s="91">
        <f>VLOOKUP($A1763,'2022-23 Salary &amp; Benefits'!$A:$I,4,FALSE)</f>
        <v>1.18</v>
      </c>
      <c r="M1763" s="101">
        <f t="shared" si="337"/>
        <v>0</v>
      </c>
      <c r="N1763" s="24">
        <v>15</v>
      </c>
      <c r="O1763" s="26">
        <f t="shared" si="340"/>
        <v>0</v>
      </c>
      <c r="P1763" s="24">
        <v>1.1000000000000001</v>
      </c>
      <c r="Q1763" s="24">
        <v>36</v>
      </c>
      <c r="R1763" s="27">
        <f t="shared" si="341"/>
        <v>0</v>
      </c>
      <c r="S1763" s="102">
        <f t="shared" si="343"/>
        <v>0</v>
      </c>
      <c r="T1763" s="21">
        <f>VLOOKUP($A1763,'2022-23 Salary &amp; Benefits'!$A:$I,5,FALSE)</f>
        <v>68937</v>
      </c>
      <c r="U1763" s="21">
        <f>VLOOKUP($A1763,'2022-23 Salary &amp; Benefits'!$A:$I,6,FALSE)</f>
        <v>72728</v>
      </c>
      <c r="V1763" s="22">
        <f t="shared" si="344"/>
        <v>0</v>
      </c>
      <c r="W1763" s="22">
        <f t="shared" si="345"/>
        <v>0</v>
      </c>
      <c r="X1763" s="22">
        <f>'2022-23 Salary &amp; Benefits'!$G$6</f>
        <v>12558.24</v>
      </c>
      <c r="Y1763" s="23">
        <f>'2022-23 Salary &amp; Benefits'!$H$6</f>
        <v>0.2298</v>
      </c>
      <c r="Z1763" s="23">
        <f>'2022-23 Salary &amp; Benefits'!$I$6</f>
        <v>0.22339999999999999</v>
      </c>
      <c r="AA1763" s="22">
        <f t="shared" si="346"/>
        <v>0</v>
      </c>
      <c r="AB1763" s="22">
        <f t="shared" si="347"/>
        <v>0</v>
      </c>
      <c r="AC1763" s="22">
        <f t="shared" si="348"/>
        <v>0</v>
      </c>
      <c r="AD1763" s="22">
        <f t="shared" si="338"/>
        <v>0</v>
      </c>
      <c r="AE1763" s="22">
        <f t="shared" si="339"/>
        <v>0</v>
      </c>
      <c r="AF1763" s="19" t="str">
        <f>VLOOKUP(C1763,'2021-22 School Level AAFTE'!C:N,12,FALSE)</f>
        <v>No</v>
      </c>
    </row>
    <row r="1764" spans="1:32" s="5" customFormat="1">
      <c r="A1764" s="97" t="s">
        <v>2348</v>
      </c>
      <c r="B1764" s="97" t="s">
        <v>547</v>
      </c>
      <c r="C1764" s="95">
        <v>5486</v>
      </c>
      <c r="D1764" s="95" t="s">
        <v>2737</v>
      </c>
      <c r="E1764" s="129">
        <f>VLOOKUP($C1764,'2021-22 School Level AAFTE'!$C:$Z,11,FALSE)</f>
        <v>0.24833333333333338</v>
      </c>
      <c r="F1764" s="129" t="str">
        <f>VLOOKUP($C1764,'2021-22 School Level AAFTE'!$C:$Z,8,FALSE)</f>
        <v>No</v>
      </c>
      <c r="G1764" s="129" t="str">
        <f>VLOOKUP($C1764,'2021-22 School Level AAFTE'!$C:$Z,12,FALSE)</f>
        <v>No</v>
      </c>
      <c r="H1764" s="127">
        <f>VLOOKUP($C1764,'2021-22 School Level AAFTE'!$C:$I,7,FALSE)</f>
        <v>688.72</v>
      </c>
      <c r="I1764" s="112">
        <f>IFERROR(IF(OR(G1764="yes",F1764= "yes"),VLOOKUP(C1764,Summary!$B:$J,6,0),0),0)</f>
        <v>0</v>
      </c>
      <c r="J1764" s="111">
        <f t="shared" si="342"/>
        <v>0</v>
      </c>
      <c r="K1764" s="91">
        <f>VLOOKUP($A1764,'2022-23 Salary &amp; Benefits'!$A:$I,3,FALSE)</f>
        <v>1.18</v>
      </c>
      <c r="L1764" s="91">
        <f>VLOOKUP($A1764,'2022-23 Salary &amp; Benefits'!$A:$I,4,FALSE)</f>
        <v>1.18</v>
      </c>
      <c r="M1764" s="39">
        <f t="shared" si="337"/>
        <v>0</v>
      </c>
      <c r="N1764" s="24">
        <v>15</v>
      </c>
      <c r="O1764" s="26">
        <f t="shared" si="340"/>
        <v>0</v>
      </c>
      <c r="P1764" s="24">
        <v>1.1000000000000001</v>
      </c>
      <c r="Q1764" s="24">
        <v>36</v>
      </c>
      <c r="R1764" s="27">
        <f t="shared" si="341"/>
        <v>0</v>
      </c>
      <c r="S1764" s="102">
        <f t="shared" si="343"/>
        <v>0</v>
      </c>
      <c r="T1764" s="21">
        <f>VLOOKUP($A1764,'2022-23 Salary &amp; Benefits'!$A:$I,5,FALSE)</f>
        <v>68937</v>
      </c>
      <c r="U1764" s="21">
        <f>VLOOKUP($A1764,'2022-23 Salary &amp; Benefits'!$A:$I,6,FALSE)</f>
        <v>72728</v>
      </c>
      <c r="V1764" s="22">
        <f t="shared" si="344"/>
        <v>0</v>
      </c>
      <c r="W1764" s="22">
        <f t="shared" si="345"/>
        <v>0</v>
      </c>
      <c r="X1764" s="22">
        <f>'2022-23 Salary &amp; Benefits'!$G$6</f>
        <v>12558.24</v>
      </c>
      <c r="Y1764" s="23">
        <f>'2022-23 Salary &amp; Benefits'!$H$6</f>
        <v>0.2298</v>
      </c>
      <c r="Z1764" s="23">
        <f>'2022-23 Salary &amp; Benefits'!$I$6</f>
        <v>0.22339999999999999</v>
      </c>
      <c r="AA1764" s="22">
        <f t="shared" si="346"/>
        <v>0</v>
      </c>
      <c r="AB1764" s="22">
        <f t="shared" si="347"/>
        <v>0</v>
      </c>
      <c r="AC1764" s="22">
        <f t="shared" si="348"/>
        <v>0</v>
      </c>
      <c r="AD1764" s="22">
        <f t="shared" si="338"/>
        <v>0</v>
      </c>
      <c r="AE1764" s="22">
        <f t="shared" si="339"/>
        <v>0</v>
      </c>
      <c r="AF1764" s="19" t="str">
        <f>VLOOKUP(C1764,'2021-22 School Level AAFTE'!C:N,12,FALSE)</f>
        <v>No</v>
      </c>
    </row>
    <row r="1765" spans="1:32" s="5" customFormat="1">
      <c r="A1765" s="97" t="s">
        <v>2348</v>
      </c>
      <c r="B1765" s="97" t="s">
        <v>547</v>
      </c>
      <c r="C1765" s="95">
        <v>5487</v>
      </c>
      <c r="D1765" s="95" t="s">
        <v>2734</v>
      </c>
      <c r="E1765" s="129">
        <f>VLOOKUP($C1765,'2021-22 School Level AAFTE'!$C:$Z,11,FALSE)</f>
        <v>0.16479999999999997</v>
      </c>
      <c r="F1765" s="129" t="str">
        <f>VLOOKUP($C1765,'2021-22 School Level AAFTE'!$C:$Z,8,FALSE)</f>
        <v>No</v>
      </c>
      <c r="G1765" s="129" t="str">
        <f>VLOOKUP($C1765,'2021-22 School Level AAFTE'!$C:$Z,12,FALSE)</f>
        <v>No</v>
      </c>
      <c r="H1765" s="127">
        <f>VLOOKUP($C1765,'2021-22 School Level AAFTE'!$C:$I,7,FALSE)</f>
        <v>185.57</v>
      </c>
      <c r="I1765" s="112">
        <f>IFERROR(IF(OR(G1765="yes",F1765= "yes"),VLOOKUP(C1765,Summary!$B:$J,6,0),0),0)</f>
        <v>0</v>
      </c>
      <c r="J1765" s="111">
        <f t="shared" si="342"/>
        <v>0</v>
      </c>
      <c r="K1765" s="91">
        <f>VLOOKUP($A1765,'2022-23 Salary &amp; Benefits'!$A:$I,3,FALSE)</f>
        <v>1.18</v>
      </c>
      <c r="L1765" s="91">
        <f>VLOOKUP($A1765,'2022-23 Salary &amp; Benefits'!$A:$I,4,FALSE)</f>
        <v>1.18</v>
      </c>
      <c r="M1765" s="101">
        <f t="shared" si="337"/>
        <v>0</v>
      </c>
      <c r="N1765" s="24">
        <v>15</v>
      </c>
      <c r="O1765" s="26">
        <f t="shared" si="340"/>
        <v>0</v>
      </c>
      <c r="P1765" s="24">
        <v>1.1000000000000001</v>
      </c>
      <c r="Q1765" s="24">
        <v>36</v>
      </c>
      <c r="R1765" s="27">
        <f t="shared" si="341"/>
        <v>0</v>
      </c>
      <c r="S1765" s="102">
        <f t="shared" si="343"/>
        <v>0</v>
      </c>
      <c r="T1765" s="21">
        <f>VLOOKUP($A1765,'2022-23 Salary &amp; Benefits'!$A:$I,5,FALSE)</f>
        <v>68937</v>
      </c>
      <c r="U1765" s="21">
        <f>VLOOKUP($A1765,'2022-23 Salary &amp; Benefits'!$A:$I,6,FALSE)</f>
        <v>72728</v>
      </c>
      <c r="V1765" s="22">
        <f t="shared" si="344"/>
        <v>0</v>
      </c>
      <c r="W1765" s="22">
        <f t="shared" si="345"/>
        <v>0</v>
      </c>
      <c r="X1765" s="22">
        <f>'2022-23 Salary &amp; Benefits'!$G$6</f>
        <v>12558.24</v>
      </c>
      <c r="Y1765" s="23">
        <f>'2022-23 Salary &amp; Benefits'!$H$6</f>
        <v>0.2298</v>
      </c>
      <c r="Z1765" s="23">
        <f>'2022-23 Salary &amp; Benefits'!$I$6</f>
        <v>0.22339999999999999</v>
      </c>
      <c r="AA1765" s="22">
        <f t="shared" si="346"/>
        <v>0</v>
      </c>
      <c r="AB1765" s="22">
        <f t="shared" si="347"/>
        <v>0</v>
      </c>
      <c r="AC1765" s="22">
        <f t="shared" si="348"/>
        <v>0</v>
      </c>
      <c r="AD1765" s="22">
        <f t="shared" si="338"/>
        <v>0</v>
      </c>
      <c r="AE1765" s="22">
        <f t="shared" si="339"/>
        <v>0</v>
      </c>
      <c r="AF1765" s="19" t="str">
        <f>VLOOKUP(C1765,'2021-22 School Level AAFTE'!C:N,12,FALSE)</f>
        <v>No</v>
      </c>
    </row>
    <row r="1766" spans="1:32" s="5" customFormat="1">
      <c r="A1766" s="97" t="s">
        <v>2348</v>
      </c>
      <c r="B1766" s="97" t="s">
        <v>547</v>
      </c>
      <c r="C1766" s="95">
        <v>5488</v>
      </c>
      <c r="D1766" s="95" t="s">
        <v>2735</v>
      </c>
      <c r="E1766" s="129">
        <f>VLOOKUP($C1766,'2021-22 School Level AAFTE'!$C:$Z,11,FALSE)</f>
        <v>2.3099999999999999E-2</v>
      </c>
      <c r="F1766" s="129" t="str">
        <f>VLOOKUP($C1766,'2021-22 School Level AAFTE'!$C:$Z,8,FALSE)</f>
        <v>No</v>
      </c>
      <c r="G1766" s="129" t="str">
        <f>VLOOKUP($C1766,'2021-22 School Level AAFTE'!$C:$Z,12,FALSE)</f>
        <v>No</v>
      </c>
      <c r="H1766" s="127">
        <f>VLOOKUP($C1766,'2021-22 School Level AAFTE'!$C:$I,7,FALSE)</f>
        <v>200.29</v>
      </c>
      <c r="I1766" s="112">
        <f>IFERROR(IF(OR(G1766="yes",F1766= "yes"),VLOOKUP(C1766,Summary!$B:$J,6,0),0),0)</f>
        <v>0</v>
      </c>
      <c r="J1766" s="111">
        <f t="shared" si="342"/>
        <v>0</v>
      </c>
      <c r="K1766" s="91">
        <f>VLOOKUP($A1766,'2022-23 Salary &amp; Benefits'!$A:$I,3,FALSE)</f>
        <v>1.18</v>
      </c>
      <c r="L1766" s="91">
        <f>VLOOKUP($A1766,'2022-23 Salary &amp; Benefits'!$A:$I,4,FALSE)</f>
        <v>1.18</v>
      </c>
      <c r="M1766" s="39">
        <f t="shared" si="337"/>
        <v>0</v>
      </c>
      <c r="N1766" s="24">
        <v>15</v>
      </c>
      <c r="O1766" s="26">
        <f t="shared" si="340"/>
        <v>0</v>
      </c>
      <c r="P1766" s="24">
        <v>1.1000000000000001</v>
      </c>
      <c r="Q1766" s="24">
        <v>36</v>
      </c>
      <c r="R1766" s="27">
        <f t="shared" si="341"/>
        <v>0</v>
      </c>
      <c r="S1766" s="102">
        <f t="shared" si="343"/>
        <v>0</v>
      </c>
      <c r="T1766" s="21">
        <f>VLOOKUP($A1766,'2022-23 Salary &amp; Benefits'!$A:$I,5,FALSE)</f>
        <v>68937</v>
      </c>
      <c r="U1766" s="21">
        <f>VLOOKUP($A1766,'2022-23 Salary &amp; Benefits'!$A:$I,6,FALSE)</f>
        <v>72728</v>
      </c>
      <c r="V1766" s="22">
        <f t="shared" si="344"/>
        <v>0</v>
      </c>
      <c r="W1766" s="22">
        <f t="shared" si="345"/>
        <v>0</v>
      </c>
      <c r="X1766" s="22">
        <f>'2022-23 Salary &amp; Benefits'!$G$6</f>
        <v>12558.24</v>
      </c>
      <c r="Y1766" s="23">
        <f>'2022-23 Salary &amp; Benefits'!$H$6</f>
        <v>0.2298</v>
      </c>
      <c r="Z1766" s="23">
        <f>'2022-23 Salary &amp; Benefits'!$I$6</f>
        <v>0.22339999999999999</v>
      </c>
      <c r="AA1766" s="22">
        <f t="shared" si="346"/>
        <v>0</v>
      </c>
      <c r="AB1766" s="22">
        <f t="shared" si="347"/>
        <v>0</v>
      </c>
      <c r="AC1766" s="22">
        <f t="shared" si="348"/>
        <v>0</v>
      </c>
      <c r="AD1766" s="22">
        <f t="shared" si="338"/>
        <v>0</v>
      </c>
      <c r="AE1766" s="22">
        <f t="shared" si="339"/>
        <v>0</v>
      </c>
      <c r="AF1766" s="19" t="str">
        <f>VLOOKUP(C1766,'2021-22 School Level AAFTE'!C:N,12,FALSE)</f>
        <v>No</v>
      </c>
    </row>
    <row r="1767" spans="1:32" s="5" customFormat="1">
      <c r="A1767" s="56" t="s">
        <v>2348</v>
      </c>
      <c r="B1767" s="97" t="s">
        <v>547</v>
      </c>
      <c r="C1767" s="95">
        <v>5565</v>
      </c>
      <c r="D1767" s="56" t="s">
        <v>2919</v>
      </c>
      <c r="E1767" s="129">
        <f>VLOOKUP($C1767,'2021-22 School Level AAFTE'!$C:$Z,11,FALSE)</f>
        <v>9.853333333333332E-2</v>
      </c>
      <c r="F1767" s="129" t="str">
        <f>VLOOKUP($C1767,'2021-22 School Level AAFTE'!$C:$Z,8,FALSE)</f>
        <v>No</v>
      </c>
      <c r="G1767" s="129" t="str">
        <f>VLOOKUP($C1767,'2021-22 School Level AAFTE'!$C:$Z,12,FALSE)</f>
        <v>No</v>
      </c>
      <c r="H1767" s="127">
        <f>VLOOKUP($C1767,'2021-22 School Level AAFTE'!$C:$I,7,FALSE)</f>
        <v>308.17</v>
      </c>
      <c r="I1767" s="112">
        <f>IFERROR(IF(OR(G1767="yes",F1767= "yes"),VLOOKUP(C1767,Summary!$B:$J,6,0),0),0)</f>
        <v>0</v>
      </c>
      <c r="J1767" s="111">
        <f t="shared" si="342"/>
        <v>0</v>
      </c>
      <c r="K1767" s="91">
        <f>VLOOKUP($A1767,'2022-23 Salary &amp; Benefits'!$A:$I,3,FALSE)</f>
        <v>1.18</v>
      </c>
      <c r="L1767" s="91">
        <f>VLOOKUP($A1767,'2022-23 Salary &amp; Benefits'!$A:$I,4,FALSE)</f>
        <v>1.18</v>
      </c>
      <c r="M1767" s="39">
        <f t="shared" si="337"/>
        <v>0</v>
      </c>
      <c r="N1767" s="24">
        <v>15</v>
      </c>
      <c r="O1767" s="26">
        <f t="shared" si="340"/>
        <v>0</v>
      </c>
      <c r="P1767" s="24">
        <v>1.1000000000000001</v>
      </c>
      <c r="Q1767" s="24">
        <v>36</v>
      </c>
      <c r="R1767" s="27">
        <f t="shared" si="341"/>
        <v>0</v>
      </c>
      <c r="S1767" s="102">
        <f t="shared" si="343"/>
        <v>0</v>
      </c>
      <c r="T1767" s="21">
        <f>VLOOKUP($A1767,'2022-23 Salary &amp; Benefits'!$A:$I,5,FALSE)</f>
        <v>68937</v>
      </c>
      <c r="U1767" s="21">
        <f>VLOOKUP($A1767,'2022-23 Salary &amp; Benefits'!$A:$I,6,FALSE)</f>
        <v>72728</v>
      </c>
      <c r="V1767" s="22">
        <f t="shared" si="344"/>
        <v>0</v>
      </c>
      <c r="W1767" s="22">
        <f t="shared" si="345"/>
        <v>0</v>
      </c>
      <c r="X1767" s="22">
        <f>'2022-23 Salary &amp; Benefits'!$G$6</f>
        <v>12558.24</v>
      </c>
      <c r="Y1767" s="23">
        <f>'2022-23 Salary &amp; Benefits'!$H$6</f>
        <v>0.2298</v>
      </c>
      <c r="Z1767" s="23">
        <f>'2022-23 Salary &amp; Benefits'!$I$6</f>
        <v>0.22339999999999999</v>
      </c>
      <c r="AA1767" s="22">
        <f t="shared" si="346"/>
        <v>0</v>
      </c>
      <c r="AB1767" s="22">
        <f t="shared" si="347"/>
        <v>0</v>
      </c>
      <c r="AC1767" s="22">
        <f t="shared" si="348"/>
        <v>0</v>
      </c>
      <c r="AD1767" s="22">
        <f t="shared" si="338"/>
        <v>0</v>
      </c>
      <c r="AE1767" s="22">
        <f t="shared" si="339"/>
        <v>0</v>
      </c>
      <c r="AF1767" s="19" t="str">
        <f>VLOOKUP(C1767,'2021-22 School Level AAFTE'!C:N,12,FALSE)</f>
        <v>No</v>
      </c>
    </row>
    <row r="1768" spans="1:32" s="5" customFormat="1">
      <c r="A1768" s="97" t="s">
        <v>2348</v>
      </c>
      <c r="B1768" s="97" t="s">
        <v>547</v>
      </c>
      <c r="C1768" s="95">
        <v>5566</v>
      </c>
      <c r="D1768" s="95" t="s">
        <v>142</v>
      </c>
      <c r="E1768" s="129">
        <f>VLOOKUP($C1768,'2021-22 School Level AAFTE'!$C:$Z,11,FALSE)</f>
        <v>7.8699999999999992E-2</v>
      </c>
      <c r="F1768" s="129" t="str">
        <f>VLOOKUP($C1768,'2021-22 School Level AAFTE'!$C:$Z,8,FALSE)</f>
        <v>No</v>
      </c>
      <c r="G1768" s="129" t="str">
        <f>VLOOKUP($C1768,'2021-22 School Level AAFTE'!$C:$Z,12,FALSE)</f>
        <v>No</v>
      </c>
      <c r="H1768" s="127">
        <f>VLOOKUP($C1768,'2021-22 School Level AAFTE'!$C:$I,7,FALSE)</f>
        <v>1367.3700000000001</v>
      </c>
      <c r="I1768" s="112">
        <f>IFERROR(IF(OR(G1768="yes",F1768= "yes"),VLOOKUP(C1768,Summary!$B:$J,6,0),0),0)</f>
        <v>0</v>
      </c>
      <c r="J1768" s="111">
        <f t="shared" si="342"/>
        <v>0</v>
      </c>
      <c r="K1768" s="91">
        <f>VLOOKUP($A1768,'2022-23 Salary &amp; Benefits'!$A:$I,3,FALSE)</f>
        <v>1.18</v>
      </c>
      <c r="L1768" s="91">
        <f>VLOOKUP($A1768,'2022-23 Salary &amp; Benefits'!$A:$I,4,FALSE)</f>
        <v>1.18</v>
      </c>
      <c r="M1768" s="39">
        <f t="shared" si="337"/>
        <v>0</v>
      </c>
      <c r="N1768" s="24">
        <v>15</v>
      </c>
      <c r="O1768" s="26">
        <f t="shared" si="340"/>
        <v>0</v>
      </c>
      <c r="P1768" s="24">
        <v>1.1000000000000001</v>
      </c>
      <c r="Q1768" s="24">
        <v>36</v>
      </c>
      <c r="R1768" s="27">
        <f t="shared" si="341"/>
        <v>0</v>
      </c>
      <c r="S1768" s="102">
        <f t="shared" si="343"/>
        <v>0</v>
      </c>
      <c r="T1768" s="21">
        <f>VLOOKUP($A1768,'2022-23 Salary &amp; Benefits'!$A:$I,5,FALSE)</f>
        <v>68937</v>
      </c>
      <c r="U1768" s="21">
        <f>VLOOKUP($A1768,'2022-23 Salary &amp; Benefits'!$A:$I,6,FALSE)</f>
        <v>72728</v>
      </c>
      <c r="V1768" s="22">
        <f t="shared" si="344"/>
        <v>0</v>
      </c>
      <c r="W1768" s="22">
        <f t="shared" si="345"/>
        <v>0</v>
      </c>
      <c r="X1768" s="22">
        <f>'2022-23 Salary &amp; Benefits'!$G$6</f>
        <v>12558.24</v>
      </c>
      <c r="Y1768" s="23">
        <f>'2022-23 Salary &amp; Benefits'!$H$6</f>
        <v>0.2298</v>
      </c>
      <c r="Z1768" s="23">
        <f>'2022-23 Salary &amp; Benefits'!$I$6</f>
        <v>0.22339999999999999</v>
      </c>
      <c r="AA1768" s="22">
        <f t="shared" si="346"/>
        <v>0</v>
      </c>
      <c r="AB1768" s="22">
        <f t="shared" si="347"/>
        <v>0</v>
      </c>
      <c r="AC1768" s="22">
        <f t="shared" si="348"/>
        <v>0</v>
      </c>
      <c r="AD1768" s="22">
        <f t="shared" si="338"/>
        <v>0</v>
      </c>
      <c r="AE1768" s="22">
        <f t="shared" si="339"/>
        <v>0</v>
      </c>
      <c r="AF1768" s="19" t="str">
        <f>VLOOKUP(C1768,'2021-22 School Level AAFTE'!C:N,12,FALSE)</f>
        <v>No</v>
      </c>
    </row>
    <row r="1769" spans="1:32" s="5" customFormat="1">
      <c r="A1769" s="97" t="s">
        <v>2348</v>
      </c>
      <c r="B1769" s="97" t="s">
        <v>547</v>
      </c>
      <c r="C1769" s="95">
        <v>5649</v>
      </c>
      <c r="D1769" s="95" t="s">
        <v>553</v>
      </c>
      <c r="E1769" s="129">
        <f>VLOOKUP($C1769,'2021-22 School Level AAFTE'!$C:$Z,11,FALSE)</f>
        <v>0.15455000000000002</v>
      </c>
      <c r="F1769" s="129" t="str">
        <f>VLOOKUP($C1769,'2021-22 School Level AAFTE'!$C:$Z,8,FALSE)</f>
        <v>No</v>
      </c>
      <c r="G1769" s="129" t="str">
        <f>VLOOKUP($C1769,'2021-22 School Level AAFTE'!$C:$Z,12,FALSE)</f>
        <v>No</v>
      </c>
      <c r="H1769" s="127">
        <f>VLOOKUP($C1769,'2021-22 School Level AAFTE'!$C:$I,7,FALSE)</f>
        <v>253.59</v>
      </c>
      <c r="I1769" s="112">
        <f>IFERROR(IF(OR(G1769="yes",F1769= "yes"),VLOOKUP(C1769,Summary!$B:$J,6,0),0),0)</f>
        <v>0</v>
      </c>
      <c r="J1769" s="111">
        <f t="shared" si="342"/>
        <v>0</v>
      </c>
      <c r="K1769" s="91">
        <f>VLOOKUP($A1769,'2022-23 Salary &amp; Benefits'!$A:$I,3,FALSE)</f>
        <v>1.18</v>
      </c>
      <c r="L1769" s="91">
        <f>VLOOKUP($A1769,'2022-23 Salary &amp; Benefits'!$A:$I,4,FALSE)</f>
        <v>1.18</v>
      </c>
      <c r="M1769" s="39">
        <f t="shared" si="337"/>
        <v>0</v>
      </c>
      <c r="N1769" s="24">
        <v>15</v>
      </c>
      <c r="O1769" s="26">
        <f t="shared" si="340"/>
        <v>0</v>
      </c>
      <c r="P1769" s="24">
        <v>1.1000000000000001</v>
      </c>
      <c r="Q1769" s="24">
        <v>36</v>
      </c>
      <c r="R1769" s="27">
        <f t="shared" si="341"/>
        <v>0</v>
      </c>
      <c r="S1769" s="102">
        <f t="shared" si="343"/>
        <v>0</v>
      </c>
      <c r="T1769" s="21">
        <f>VLOOKUP($A1769,'2022-23 Salary &amp; Benefits'!$A:$I,5,FALSE)</f>
        <v>68937</v>
      </c>
      <c r="U1769" s="21">
        <f>VLOOKUP($A1769,'2022-23 Salary &amp; Benefits'!$A:$I,6,FALSE)</f>
        <v>72728</v>
      </c>
      <c r="V1769" s="22">
        <f t="shared" si="344"/>
        <v>0</v>
      </c>
      <c r="W1769" s="22">
        <f t="shared" si="345"/>
        <v>0</v>
      </c>
      <c r="X1769" s="22">
        <f>'2022-23 Salary &amp; Benefits'!$G$6</f>
        <v>12558.24</v>
      </c>
      <c r="Y1769" s="23">
        <f>'2022-23 Salary &amp; Benefits'!$H$6</f>
        <v>0.2298</v>
      </c>
      <c r="Z1769" s="23">
        <f>'2022-23 Salary &amp; Benefits'!$I$6</f>
        <v>0.22339999999999999</v>
      </c>
      <c r="AA1769" s="22">
        <f t="shared" si="346"/>
        <v>0</v>
      </c>
      <c r="AB1769" s="22">
        <f t="shared" si="347"/>
        <v>0</v>
      </c>
      <c r="AC1769" s="22">
        <f t="shared" si="348"/>
        <v>0</v>
      </c>
      <c r="AD1769" s="22">
        <f t="shared" si="338"/>
        <v>0</v>
      </c>
      <c r="AE1769" s="22">
        <f t="shared" si="339"/>
        <v>0</v>
      </c>
      <c r="AF1769" s="19" t="str">
        <f>VLOOKUP(C1769,'2021-22 School Level AAFTE'!C:N,12,FALSE)</f>
        <v>No</v>
      </c>
    </row>
    <row r="1770" spans="1:32" s="5" customFormat="1">
      <c r="A1770" s="97" t="s">
        <v>2462</v>
      </c>
      <c r="B1770" s="97" t="s">
        <v>1554</v>
      </c>
      <c r="C1770" s="95">
        <v>1537</v>
      </c>
      <c r="D1770" s="95" t="s">
        <v>1555</v>
      </c>
      <c r="E1770" s="129">
        <f>VLOOKUP($C1770,'2021-22 School Level AAFTE'!$C:$Z,11,FALSE)</f>
        <v>0.60866666666666669</v>
      </c>
      <c r="F1770" s="129" t="str">
        <f>VLOOKUP($C1770,'2021-22 School Level AAFTE'!$C:$Z,8,FALSE)</f>
        <v>Yes</v>
      </c>
      <c r="G1770" s="129" t="str">
        <f>VLOOKUP($C1770,'2021-22 School Level AAFTE'!$C:$Z,12,FALSE)</f>
        <v>No</v>
      </c>
      <c r="H1770" s="127">
        <f>VLOOKUP($C1770,'2021-22 School Level AAFTE'!$C:$I,7,FALSE)</f>
        <v>104.67</v>
      </c>
      <c r="I1770" s="112">
        <f>IFERROR(IF(OR(G1770="yes",F1770= "yes"),VLOOKUP(C1770,Summary!$B:$J,6,0),0),0)</f>
        <v>0</v>
      </c>
      <c r="J1770" s="111">
        <f t="shared" si="342"/>
        <v>104.67</v>
      </c>
      <c r="K1770" s="91">
        <f>VLOOKUP($A1770,'2022-23 Salary &amp; Benefits'!$A:$I,3,FALSE)</f>
        <v>1.1200000000000001</v>
      </c>
      <c r="L1770" s="91">
        <f>VLOOKUP($A1770,'2022-23 Salary &amp; Benefits'!$A:$I,4,FALSE)</f>
        <v>1.1200000000000001</v>
      </c>
      <c r="M1770" s="101">
        <f t="shared" si="337"/>
        <v>104.67</v>
      </c>
      <c r="N1770" s="24">
        <v>15</v>
      </c>
      <c r="O1770" s="26">
        <f t="shared" si="340"/>
        <v>6.9779999999999998</v>
      </c>
      <c r="P1770" s="24">
        <v>1.1000000000000001</v>
      </c>
      <c r="Q1770" s="24">
        <v>36</v>
      </c>
      <c r="R1770" s="27">
        <f t="shared" si="341"/>
        <v>276.3288</v>
      </c>
      <c r="S1770" s="102">
        <f t="shared" si="343"/>
        <v>0.307</v>
      </c>
      <c r="T1770" s="21">
        <f>VLOOKUP($A1770,'2022-23 Salary &amp; Benefits'!$A:$I,5,FALSE)</f>
        <v>68937</v>
      </c>
      <c r="U1770" s="21">
        <f>VLOOKUP($A1770,'2022-23 Salary &amp; Benefits'!$A:$I,6,FALSE)</f>
        <v>72728</v>
      </c>
      <c r="V1770" s="22">
        <f t="shared" si="344"/>
        <v>23703.3</v>
      </c>
      <c r="W1770" s="22">
        <f t="shared" si="345"/>
        <v>1303.5</v>
      </c>
      <c r="X1770" s="22">
        <f>'2022-23 Salary &amp; Benefits'!$G$6</f>
        <v>12558.24</v>
      </c>
      <c r="Y1770" s="23">
        <f>'2022-23 Salary &amp; Benefits'!$H$6</f>
        <v>0.2298</v>
      </c>
      <c r="Z1770" s="23">
        <f>'2022-23 Salary &amp; Benefits'!$I$6</f>
        <v>0.22339999999999999</v>
      </c>
      <c r="AA1770" s="22">
        <f t="shared" si="346"/>
        <v>9593.6</v>
      </c>
      <c r="AB1770" s="22">
        <f t="shared" si="347"/>
        <v>416.78</v>
      </c>
      <c r="AC1770" s="22">
        <f t="shared" si="348"/>
        <v>93.11</v>
      </c>
      <c r="AD1770" s="22">
        <f t="shared" si="338"/>
        <v>509.89</v>
      </c>
      <c r="AE1770" s="22">
        <f t="shared" si="339"/>
        <v>35110.29</v>
      </c>
      <c r="AF1770" s="19" t="str">
        <f>VLOOKUP(C1770,'2021-22 School Level AAFTE'!C:N,12,FALSE)</f>
        <v>No</v>
      </c>
    </row>
    <row r="1771" spans="1:32" s="5" customFormat="1">
      <c r="A1771" s="97" t="s">
        <v>2462</v>
      </c>
      <c r="B1771" s="97" t="s">
        <v>1554</v>
      </c>
      <c r="C1771" s="95">
        <v>2150</v>
      </c>
      <c r="D1771" s="95" t="s">
        <v>1556</v>
      </c>
      <c r="E1771" s="129">
        <f>VLOOKUP($C1771,'2021-22 School Level AAFTE'!$C:$Z,11,FALSE)</f>
        <v>0.4800666666666667</v>
      </c>
      <c r="F1771" s="129" t="str">
        <f>VLOOKUP($C1771,'2021-22 School Level AAFTE'!$C:$Z,8,FALSE)</f>
        <v>No</v>
      </c>
      <c r="G1771" s="129" t="str">
        <f>VLOOKUP($C1771,'2021-22 School Level AAFTE'!$C:$Z,12,FALSE)</f>
        <v>No</v>
      </c>
      <c r="H1771" s="127">
        <f>VLOOKUP($C1771,'2021-22 School Level AAFTE'!$C:$I,7,FALSE)</f>
        <v>1154.0800000000002</v>
      </c>
      <c r="I1771" s="112">
        <f>IFERROR(IF(OR(G1771="yes",F1771= "yes"),VLOOKUP(C1771,Summary!$B:$J,6,0),0),0)</f>
        <v>0</v>
      </c>
      <c r="J1771" s="111">
        <f t="shared" si="342"/>
        <v>0</v>
      </c>
      <c r="K1771" s="91">
        <f>VLOOKUP($A1771,'2022-23 Salary &amp; Benefits'!$A:$I,3,FALSE)</f>
        <v>1.1200000000000001</v>
      </c>
      <c r="L1771" s="91">
        <f>VLOOKUP($A1771,'2022-23 Salary &amp; Benefits'!$A:$I,4,FALSE)</f>
        <v>1.1200000000000001</v>
      </c>
      <c r="M1771" s="101">
        <f t="shared" si="337"/>
        <v>0</v>
      </c>
      <c r="N1771" s="24">
        <v>15</v>
      </c>
      <c r="O1771" s="26">
        <f t="shared" si="340"/>
        <v>0</v>
      </c>
      <c r="P1771" s="24">
        <v>1.1000000000000001</v>
      </c>
      <c r="Q1771" s="24">
        <v>36</v>
      </c>
      <c r="R1771" s="27">
        <f t="shared" si="341"/>
        <v>0</v>
      </c>
      <c r="S1771" s="102">
        <f t="shared" si="343"/>
        <v>0</v>
      </c>
      <c r="T1771" s="21">
        <f>VLOOKUP($A1771,'2022-23 Salary &amp; Benefits'!$A:$I,5,FALSE)</f>
        <v>68937</v>
      </c>
      <c r="U1771" s="21">
        <f>VLOOKUP($A1771,'2022-23 Salary &amp; Benefits'!$A:$I,6,FALSE)</f>
        <v>72728</v>
      </c>
      <c r="V1771" s="22">
        <f t="shared" si="344"/>
        <v>0</v>
      </c>
      <c r="W1771" s="22">
        <f t="shared" si="345"/>
        <v>0</v>
      </c>
      <c r="X1771" s="22">
        <f>'2022-23 Salary &amp; Benefits'!$G$6</f>
        <v>12558.24</v>
      </c>
      <c r="Y1771" s="23">
        <f>'2022-23 Salary &amp; Benefits'!$H$6</f>
        <v>0.2298</v>
      </c>
      <c r="Z1771" s="23">
        <f>'2022-23 Salary &amp; Benefits'!$I$6</f>
        <v>0.22339999999999999</v>
      </c>
      <c r="AA1771" s="22">
        <f t="shared" si="346"/>
        <v>0</v>
      </c>
      <c r="AB1771" s="22">
        <f t="shared" si="347"/>
        <v>0</v>
      </c>
      <c r="AC1771" s="22">
        <f t="shared" si="348"/>
        <v>0</v>
      </c>
      <c r="AD1771" s="22">
        <f t="shared" si="338"/>
        <v>0</v>
      </c>
      <c r="AE1771" s="22">
        <f t="shared" si="339"/>
        <v>0</v>
      </c>
      <c r="AF1771" s="19" t="str">
        <f>VLOOKUP(C1771,'2021-22 School Level AAFTE'!C:N,12,FALSE)</f>
        <v>No</v>
      </c>
    </row>
    <row r="1772" spans="1:32" s="5" customFormat="1">
      <c r="A1772" s="97" t="s">
        <v>2462</v>
      </c>
      <c r="B1772" s="97" t="s">
        <v>1554</v>
      </c>
      <c r="C1772" s="95">
        <v>2380</v>
      </c>
      <c r="D1772" s="95" t="s">
        <v>476</v>
      </c>
      <c r="E1772" s="129">
        <f>VLOOKUP($C1772,'2021-22 School Level AAFTE'!$C:$Z,11,FALSE)</f>
        <v>0.56530000000000002</v>
      </c>
      <c r="F1772" s="129" t="str">
        <f>VLOOKUP($C1772,'2021-22 School Level AAFTE'!$C:$Z,8,FALSE)</f>
        <v>Yes</v>
      </c>
      <c r="G1772" s="129" t="str">
        <f>VLOOKUP($C1772,'2021-22 School Level AAFTE'!$C:$Z,12,FALSE)</f>
        <v>No</v>
      </c>
      <c r="H1772" s="127">
        <f>VLOOKUP($C1772,'2021-22 School Level AAFTE'!$C:$I,7,FALSE)</f>
        <v>413.29</v>
      </c>
      <c r="I1772" s="112">
        <f>IFERROR(IF(OR(G1772="yes",F1772= "yes"),VLOOKUP(C1772,Summary!$B:$J,6,0),0),0)</f>
        <v>0</v>
      </c>
      <c r="J1772" s="111">
        <f t="shared" si="342"/>
        <v>413.29</v>
      </c>
      <c r="K1772" s="91">
        <f>VLOOKUP($A1772,'2022-23 Salary &amp; Benefits'!$A:$I,3,FALSE)</f>
        <v>1.1200000000000001</v>
      </c>
      <c r="L1772" s="91">
        <f>VLOOKUP($A1772,'2022-23 Salary &amp; Benefits'!$A:$I,4,FALSE)</f>
        <v>1.1200000000000001</v>
      </c>
      <c r="M1772" s="39">
        <f t="shared" si="337"/>
        <v>413.29</v>
      </c>
      <c r="N1772" s="24">
        <v>15</v>
      </c>
      <c r="O1772" s="26">
        <f t="shared" si="340"/>
        <v>27.552666666666667</v>
      </c>
      <c r="P1772" s="24">
        <v>1.1000000000000001</v>
      </c>
      <c r="Q1772" s="24">
        <v>36</v>
      </c>
      <c r="R1772" s="27">
        <f t="shared" si="341"/>
        <v>1091.0856000000001</v>
      </c>
      <c r="S1772" s="102">
        <f t="shared" si="343"/>
        <v>1.212</v>
      </c>
      <c r="T1772" s="21">
        <f>VLOOKUP($A1772,'2022-23 Salary &amp; Benefits'!$A:$I,5,FALSE)</f>
        <v>68937</v>
      </c>
      <c r="U1772" s="21">
        <f>VLOOKUP($A1772,'2022-23 Salary &amp; Benefits'!$A:$I,6,FALSE)</f>
        <v>72728</v>
      </c>
      <c r="V1772" s="22">
        <f t="shared" si="344"/>
        <v>93577.84</v>
      </c>
      <c r="W1772" s="22">
        <f t="shared" si="345"/>
        <v>5146.0599999999977</v>
      </c>
      <c r="X1772" s="22">
        <f>'2022-23 Salary &amp; Benefits'!$G$6</f>
        <v>12558.24</v>
      </c>
      <c r="Y1772" s="23">
        <f>'2022-23 Salary &amp; Benefits'!$H$6</f>
        <v>0.2298</v>
      </c>
      <c r="Z1772" s="23">
        <f>'2022-23 Salary &amp; Benefits'!$I$6</f>
        <v>0.22339999999999999</v>
      </c>
      <c r="AA1772" s="22">
        <f t="shared" si="346"/>
        <v>37874.400000000001</v>
      </c>
      <c r="AB1772" s="22">
        <f t="shared" si="347"/>
        <v>1645.4</v>
      </c>
      <c r="AC1772" s="22">
        <f t="shared" si="348"/>
        <v>367.58</v>
      </c>
      <c r="AD1772" s="22">
        <f t="shared" si="338"/>
        <v>2012.98</v>
      </c>
      <c r="AE1772" s="22">
        <f t="shared" si="339"/>
        <v>138611.28</v>
      </c>
      <c r="AF1772" s="19" t="str">
        <f>VLOOKUP(C1772,'2021-22 School Level AAFTE'!C:N,12,FALSE)</f>
        <v>No</v>
      </c>
    </row>
    <row r="1773" spans="1:32" s="5" customFormat="1">
      <c r="A1773" s="97" t="s">
        <v>2462</v>
      </c>
      <c r="B1773" s="97" t="s">
        <v>1554</v>
      </c>
      <c r="C1773" s="95">
        <v>2521</v>
      </c>
      <c r="D1773" s="95" t="s">
        <v>1557</v>
      </c>
      <c r="E1773" s="129">
        <f>VLOOKUP($C1773,'2021-22 School Level AAFTE'!$C:$Z,11,FALSE)</f>
        <v>0.21709999999999999</v>
      </c>
      <c r="F1773" s="129" t="str">
        <f>VLOOKUP($C1773,'2021-22 School Level AAFTE'!$C:$Z,8,FALSE)</f>
        <v>No</v>
      </c>
      <c r="G1773" s="129" t="str">
        <f>VLOOKUP($C1773,'2021-22 School Level AAFTE'!$C:$Z,12,FALSE)</f>
        <v>No</v>
      </c>
      <c r="H1773" s="127">
        <f>VLOOKUP($C1773,'2021-22 School Level AAFTE'!$C:$I,7,FALSE)</f>
        <v>242.16</v>
      </c>
      <c r="I1773" s="112">
        <f>IFERROR(IF(OR(G1773="yes",F1773= "yes"),VLOOKUP(C1773,Summary!$B:$J,6,0),0),0)</f>
        <v>0</v>
      </c>
      <c r="J1773" s="111">
        <f t="shared" si="342"/>
        <v>0</v>
      </c>
      <c r="K1773" s="91">
        <f>VLOOKUP($A1773,'2022-23 Salary &amp; Benefits'!$A:$I,3,FALSE)</f>
        <v>1.1200000000000001</v>
      </c>
      <c r="L1773" s="91">
        <f>VLOOKUP($A1773,'2022-23 Salary &amp; Benefits'!$A:$I,4,FALSE)</f>
        <v>1.1200000000000001</v>
      </c>
      <c r="M1773" s="101">
        <f t="shared" si="337"/>
        <v>0</v>
      </c>
      <c r="N1773" s="24">
        <v>15</v>
      </c>
      <c r="O1773" s="26">
        <f t="shared" si="340"/>
        <v>0</v>
      </c>
      <c r="P1773" s="24">
        <v>1.1000000000000001</v>
      </c>
      <c r="Q1773" s="24">
        <v>36</v>
      </c>
      <c r="R1773" s="27">
        <f t="shared" si="341"/>
        <v>0</v>
      </c>
      <c r="S1773" s="102">
        <f t="shared" si="343"/>
        <v>0</v>
      </c>
      <c r="T1773" s="21">
        <f>VLOOKUP($A1773,'2022-23 Salary &amp; Benefits'!$A:$I,5,FALSE)</f>
        <v>68937</v>
      </c>
      <c r="U1773" s="21">
        <f>VLOOKUP($A1773,'2022-23 Salary &amp; Benefits'!$A:$I,6,FALSE)</f>
        <v>72728</v>
      </c>
      <c r="V1773" s="22">
        <f t="shared" si="344"/>
        <v>0</v>
      </c>
      <c r="W1773" s="22">
        <f t="shared" si="345"/>
        <v>0</v>
      </c>
      <c r="X1773" s="22">
        <f>'2022-23 Salary &amp; Benefits'!$G$6</f>
        <v>12558.24</v>
      </c>
      <c r="Y1773" s="23">
        <f>'2022-23 Salary &amp; Benefits'!$H$6</f>
        <v>0.2298</v>
      </c>
      <c r="Z1773" s="23">
        <f>'2022-23 Salary &amp; Benefits'!$I$6</f>
        <v>0.22339999999999999</v>
      </c>
      <c r="AA1773" s="22">
        <f t="shared" si="346"/>
        <v>0</v>
      </c>
      <c r="AB1773" s="22">
        <f t="shared" si="347"/>
        <v>0</v>
      </c>
      <c r="AC1773" s="22">
        <f t="shared" si="348"/>
        <v>0</v>
      </c>
      <c r="AD1773" s="22">
        <f t="shared" si="338"/>
        <v>0</v>
      </c>
      <c r="AE1773" s="22">
        <f t="shared" si="339"/>
        <v>0</v>
      </c>
      <c r="AF1773" s="19" t="str">
        <f>VLOOKUP(C1773,'2021-22 School Level AAFTE'!C:N,12,FALSE)</f>
        <v>No</v>
      </c>
    </row>
    <row r="1774" spans="1:32" s="5" customFormat="1">
      <c r="A1774" s="97" t="s">
        <v>2462</v>
      </c>
      <c r="B1774" s="97" t="s">
        <v>1554</v>
      </c>
      <c r="C1774" s="95">
        <v>2620</v>
      </c>
      <c r="D1774" s="95" t="s">
        <v>1558</v>
      </c>
      <c r="E1774" s="129">
        <f>VLOOKUP($C1774,'2021-22 School Level AAFTE'!$C:$Z,11,FALSE)</f>
        <v>0.44443333333333329</v>
      </c>
      <c r="F1774" s="129" t="str">
        <f>VLOOKUP($C1774,'2021-22 School Level AAFTE'!$C:$Z,8,FALSE)</f>
        <v>No</v>
      </c>
      <c r="G1774" s="129" t="str">
        <f>VLOOKUP($C1774,'2021-22 School Level AAFTE'!$C:$Z,12,FALSE)</f>
        <v>No</v>
      </c>
      <c r="H1774" s="127">
        <f>VLOOKUP($C1774,'2021-22 School Level AAFTE'!$C:$I,7,FALSE)</f>
        <v>155.43</v>
      </c>
      <c r="I1774" s="112">
        <f>IFERROR(IF(OR(G1774="yes",F1774= "yes"),VLOOKUP(C1774,Summary!$B:$J,6,0),0),0)</f>
        <v>0</v>
      </c>
      <c r="J1774" s="111">
        <f t="shared" si="342"/>
        <v>0</v>
      </c>
      <c r="K1774" s="91">
        <f>VLOOKUP($A1774,'2022-23 Salary &amp; Benefits'!$A:$I,3,FALSE)</f>
        <v>1.1200000000000001</v>
      </c>
      <c r="L1774" s="91">
        <f>VLOOKUP($A1774,'2022-23 Salary &amp; Benefits'!$A:$I,4,FALSE)</f>
        <v>1.1200000000000001</v>
      </c>
      <c r="M1774" s="101">
        <f t="shared" si="337"/>
        <v>0</v>
      </c>
      <c r="N1774" s="24">
        <v>15</v>
      </c>
      <c r="O1774" s="26">
        <f t="shared" si="340"/>
        <v>0</v>
      </c>
      <c r="P1774" s="24">
        <v>1.1000000000000001</v>
      </c>
      <c r="Q1774" s="24">
        <v>36</v>
      </c>
      <c r="R1774" s="27">
        <f t="shared" si="341"/>
        <v>0</v>
      </c>
      <c r="S1774" s="102">
        <f t="shared" si="343"/>
        <v>0</v>
      </c>
      <c r="T1774" s="21">
        <f>VLOOKUP($A1774,'2022-23 Salary &amp; Benefits'!$A:$I,5,FALSE)</f>
        <v>68937</v>
      </c>
      <c r="U1774" s="21">
        <f>VLOOKUP($A1774,'2022-23 Salary &amp; Benefits'!$A:$I,6,FALSE)</f>
        <v>72728</v>
      </c>
      <c r="V1774" s="22">
        <f t="shared" si="344"/>
        <v>0</v>
      </c>
      <c r="W1774" s="22">
        <f t="shared" si="345"/>
        <v>0</v>
      </c>
      <c r="X1774" s="22">
        <f>'2022-23 Salary &amp; Benefits'!$G$6</f>
        <v>12558.24</v>
      </c>
      <c r="Y1774" s="23">
        <f>'2022-23 Salary &amp; Benefits'!$H$6</f>
        <v>0.2298</v>
      </c>
      <c r="Z1774" s="23">
        <f>'2022-23 Salary &amp; Benefits'!$I$6</f>
        <v>0.22339999999999999</v>
      </c>
      <c r="AA1774" s="22">
        <f t="shared" si="346"/>
        <v>0</v>
      </c>
      <c r="AB1774" s="22">
        <f t="shared" si="347"/>
        <v>0</v>
      </c>
      <c r="AC1774" s="22">
        <f t="shared" si="348"/>
        <v>0</v>
      </c>
      <c r="AD1774" s="22">
        <f t="shared" si="338"/>
        <v>0</v>
      </c>
      <c r="AE1774" s="22">
        <f t="shared" si="339"/>
        <v>0</v>
      </c>
      <c r="AF1774" s="19" t="str">
        <f>VLOOKUP(C1774,'2021-22 School Level AAFTE'!C:N,12,FALSE)</f>
        <v>No</v>
      </c>
    </row>
    <row r="1775" spans="1:32" s="5" customFormat="1">
      <c r="A1775" s="97" t="s">
        <v>2462</v>
      </c>
      <c r="B1775" s="97" t="s">
        <v>1554</v>
      </c>
      <c r="C1775" s="95">
        <v>2774</v>
      </c>
      <c r="D1775" s="95" t="s">
        <v>1559</v>
      </c>
      <c r="E1775" s="129">
        <f>VLOOKUP($C1775,'2021-22 School Level AAFTE'!$C:$Z,11,FALSE)</f>
        <v>0.66353333333333342</v>
      </c>
      <c r="F1775" s="129" t="str">
        <f>VLOOKUP($C1775,'2021-22 School Level AAFTE'!$C:$Z,8,FALSE)</f>
        <v>Yes</v>
      </c>
      <c r="G1775" s="129" t="str">
        <f>VLOOKUP($C1775,'2021-22 School Level AAFTE'!$C:$Z,12,FALSE)</f>
        <v>No</v>
      </c>
      <c r="H1775" s="127">
        <f>VLOOKUP($C1775,'2021-22 School Level AAFTE'!$C:$I,7,FALSE)</f>
        <v>394.14</v>
      </c>
      <c r="I1775" s="112">
        <f>IFERROR(IF(OR(G1775="yes",F1775= "yes"),VLOOKUP(C1775,Summary!$B:$J,6,0),0),0)</f>
        <v>0</v>
      </c>
      <c r="J1775" s="111">
        <f t="shared" si="342"/>
        <v>394.14</v>
      </c>
      <c r="K1775" s="91">
        <f>VLOOKUP($A1775,'2022-23 Salary &amp; Benefits'!$A:$I,3,FALSE)</f>
        <v>1.1200000000000001</v>
      </c>
      <c r="L1775" s="91">
        <f>VLOOKUP($A1775,'2022-23 Salary &amp; Benefits'!$A:$I,4,FALSE)</f>
        <v>1.1200000000000001</v>
      </c>
      <c r="M1775" s="101">
        <f t="shared" si="337"/>
        <v>394.14</v>
      </c>
      <c r="N1775" s="24">
        <v>15</v>
      </c>
      <c r="O1775" s="26">
        <f t="shared" si="340"/>
        <v>26.276</v>
      </c>
      <c r="P1775" s="24">
        <v>1.1000000000000001</v>
      </c>
      <c r="Q1775" s="24">
        <v>36</v>
      </c>
      <c r="R1775" s="27">
        <f t="shared" si="341"/>
        <v>1040.5296000000001</v>
      </c>
      <c r="S1775" s="102">
        <f t="shared" si="343"/>
        <v>1.1559999999999999</v>
      </c>
      <c r="T1775" s="21">
        <f>VLOOKUP($A1775,'2022-23 Salary &amp; Benefits'!$A:$I,5,FALSE)</f>
        <v>68937</v>
      </c>
      <c r="U1775" s="21">
        <f>VLOOKUP($A1775,'2022-23 Salary &amp; Benefits'!$A:$I,6,FALSE)</f>
        <v>72728</v>
      </c>
      <c r="V1775" s="22">
        <f t="shared" si="344"/>
        <v>89254.11</v>
      </c>
      <c r="W1775" s="22">
        <f t="shared" si="345"/>
        <v>4908.2899999999936</v>
      </c>
      <c r="X1775" s="22">
        <f>'2022-23 Salary &amp; Benefits'!$G$6</f>
        <v>12558.24</v>
      </c>
      <c r="Y1775" s="23">
        <f>'2022-23 Salary &amp; Benefits'!$H$6</f>
        <v>0.2298</v>
      </c>
      <c r="Z1775" s="23">
        <f>'2022-23 Salary &amp; Benefits'!$I$6</f>
        <v>0.22339999999999999</v>
      </c>
      <c r="AA1775" s="22">
        <f t="shared" si="346"/>
        <v>36124.43</v>
      </c>
      <c r="AB1775" s="22">
        <f t="shared" si="347"/>
        <v>1569.37</v>
      </c>
      <c r="AC1775" s="22">
        <f t="shared" si="348"/>
        <v>350.6</v>
      </c>
      <c r="AD1775" s="22">
        <f t="shared" si="338"/>
        <v>1919.9699999999998</v>
      </c>
      <c r="AE1775" s="22">
        <f t="shared" si="339"/>
        <v>132206.79999999999</v>
      </c>
      <c r="AF1775" s="19" t="str">
        <f>VLOOKUP(C1775,'2021-22 School Level AAFTE'!C:N,12,FALSE)</f>
        <v>No</v>
      </c>
    </row>
    <row r="1776" spans="1:32" s="5" customFormat="1">
      <c r="A1776" s="97" t="s">
        <v>2462</v>
      </c>
      <c r="B1776" s="97" t="s">
        <v>1554</v>
      </c>
      <c r="C1776" s="95">
        <v>3181</v>
      </c>
      <c r="D1776" s="95" t="s">
        <v>231</v>
      </c>
      <c r="E1776" s="129">
        <f>VLOOKUP($C1776,'2021-22 School Level AAFTE'!$C:$Z,11,FALSE)</f>
        <v>0.52780000000000005</v>
      </c>
      <c r="F1776" s="129" t="str">
        <f>VLOOKUP($C1776,'2021-22 School Level AAFTE'!$C:$Z,8,FALSE)</f>
        <v>Yes</v>
      </c>
      <c r="G1776" s="129" t="str">
        <f>VLOOKUP($C1776,'2021-22 School Level AAFTE'!$C:$Z,12,FALSE)</f>
        <v>No</v>
      </c>
      <c r="H1776" s="127">
        <f>VLOOKUP($C1776,'2021-22 School Level AAFTE'!$C:$I,7,FALSE)</f>
        <v>682.43</v>
      </c>
      <c r="I1776" s="112">
        <f>IFERROR(IF(OR(G1776="yes",F1776= "yes"),VLOOKUP(C1776,Summary!$B:$J,6,0),0),0)</f>
        <v>0</v>
      </c>
      <c r="J1776" s="111">
        <f t="shared" si="342"/>
        <v>682.43</v>
      </c>
      <c r="K1776" s="91">
        <f>VLOOKUP($A1776,'2022-23 Salary &amp; Benefits'!$A:$I,3,FALSE)</f>
        <v>1.1200000000000001</v>
      </c>
      <c r="L1776" s="91">
        <f>VLOOKUP($A1776,'2022-23 Salary &amp; Benefits'!$A:$I,4,FALSE)</f>
        <v>1.1200000000000001</v>
      </c>
      <c r="M1776" s="101">
        <f t="shared" si="337"/>
        <v>682.43</v>
      </c>
      <c r="N1776" s="24">
        <v>15</v>
      </c>
      <c r="O1776" s="26">
        <f t="shared" si="340"/>
        <v>45.495333333333328</v>
      </c>
      <c r="P1776" s="24">
        <v>1.1000000000000001</v>
      </c>
      <c r="Q1776" s="24">
        <v>36</v>
      </c>
      <c r="R1776" s="27">
        <f t="shared" si="341"/>
        <v>1801.6152</v>
      </c>
      <c r="S1776" s="102">
        <f t="shared" si="343"/>
        <v>2.0019999999999998</v>
      </c>
      <c r="T1776" s="21">
        <f>VLOOKUP($A1776,'2022-23 Salary &amp; Benefits'!$A:$I,5,FALSE)</f>
        <v>68937</v>
      </c>
      <c r="U1776" s="21">
        <f>VLOOKUP($A1776,'2022-23 Salary &amp; Benefits'!$A:$I,6,FALSE)</f>
        <v>72728</v>
      </c>
      <c r="V1776" s="22">
        <f t="shared" si="344"/>
        <v>154573.29999999999</v>
      </c>
      <c r="W1776" s="22">
        <f t="shared" si="345"/>
        <v>8500.3300000000163</v>
      </c>
      <c r="X1776" s="22">
        <f>'2022-23 Salary &amp; Benefits'!$G$6</f>
        <v>12558.24</v>
      </c>
      <c r="Y1776" s="23">
        <f>'2022-23 Salary &amp; Benefits'!$H$6</f>
        <v>0.2298</v>
      </c>
      <c r="Z1776" s="23">
        <f>'2022-23 Salary &amp; Benefits'!$I$6</f>
        <v>0.22339999999999999</v>
      </c>
      <c r="AA1776" s="22">
        <f t="shared" si="346"/>
        <v>62561.51</v>
      </c>
      <c r="AB1776" s="22">
        <f t="shared" si="347"/>
        <v>2717.89</v>
      </c>
      <c r="AC1776" s="22">
        <f t="shared" si="348"/>
        <v>607.17999999999995</v>
      </c>
      <c r="AD1776" s="22">
        <f t="shared" si="338"/>
        <v>3325.0699999999997</v>
      </c>
      <c r="AE1776" s="22">
        <f t="shared" si="339"/>
        <v>228960.21000000002</v>
      </c>
      <c r="AF1776" s="19" t="str">
        <f>VLOOKUP(C1776,'2021-22 School Level AAFTE'!C:N,12,FALSE)</f>
        <v>No</v>
      </c>
    </row>
    <row r="1777" spans="1:32" s="5" customFormat="1">
      <c r="A1777" s="97" t="s">
        <v>2462</v>
      </c>
      <c r="B1777" s="97" t="s">
        <v>1554</v>
      </c>
      <c r="C1777" s="95">
        <v>3402</v>
      </c>
      <c r="D1777" s="95" t="s">
        <v>1560</v>
      </c>
      <c r="E1777" s="129">
        <f>VLOOKUP($C1777,'2021-22 School Level AAFTE'!$C:$Z,11,FALSE)</f>
        <v>0.39093333333333335</v>
      </c>
      <c r="F1777" s="129" t="str">
        <f>VLOOKUP($C1777,'2021-22 School Level AAFTE'!$C:$Z,8,FALSE)</f>
        <v>No</v>
      </c>
      <c r="G1777" s="129" t="str">
        <f>VLOOKUP($C1777,'2021-22 School Level AAFTE'!$C:$Z,12,FALSE)</f>
        <v>No</v>
      </c>
      <c r="H1777" s="127">
        <f>VLOOKUP($C1777,'2021-22 School Level AAFTE'!$C:$I,7,FALSE)</f>
        <v>172.57</v>
      </c>
      <c r="I1777" s="112">
        <f>IFERROR(IF(OR(G1777="yes",F1777= "yes"),VLOOKUP(C1777,Summary!$B:$J,6,0),0),0)</f>
        <v>0</v>
      </c>
      <c r="J1777" s="111">
        <f t="shared" si="342"/>
        <v>0</v>
      </c>
      <c r="K1777" s="91">
        <f>VLOOKUP($A1777,'2022-23 Salary &amp; Benefits'!$A:$I,3,FALSE)</f>
        <v>1.1200000000000001</v>
      </c>
      <c r="L1777" s="91">
        <f>VLOOKUP($A1777,'2022-23 Salary &amp; Benefits'!$A:$I,4,FALSE)</f>
        <v>1.1200000000000001</v>
      </c>
      <c r="M1777" s="101">
        <f t="shared" si="337"/>
        <v>0</v>
      </c>
      <c r="N1777" s="24">
        <v>15</v>
      </c>
      <c r="O1777" s="26">
        <f t="shared" si="340"/>
        <v>0</v>
      </c>
      <c r="P1777" s="24">
        <v>1.1000000000000001</v>
      </c>
      <c r="Q1777" s="24">
        <v>36</v>
      </c>
      <c r="R1777" s="27">
        <f t="shared" si="341"/>
        <v>0</v>
      </c>
      <c r="S1777" s="102">
        <f t="shared" si="343"/>
        <v>0</v>
      </c>
      <c r="T1777" s="21">
        <f>VLOOKUP($A1777,'2022-23 Salary &amp; Benefits'!$A:$I,5,FALSE)</f>
        <v>68937</v>
      </c>
      <c r="U1777" s="21">
        <f>VLOOKUP($A1777,'2022-23 Salary &amp; Benefits'!$A:$I,6,FALSE)</f>
        <v>72728</v>
      </c>
      <c r="V1777" s="22">
        <f t="shared" si="344"/>
        <v>0</v>
      </c>
      <c r="W1777" s="22">
        <f t="shared" si="345"/>
        <v>0</v>
      </c>
      <c r="X1777" s="22">
        <f>'2022-23 Salary &amp; Benefits'!$G$6</f>
        <v>12558.24</v>
      </c>
      <c r="Y1777" s="23">
        <f>'2022-23 Salary &amp; Benefits'!$H$6</f>
        <v>0.2298</v>
      </c>
      <c r="Z1777" s="23">
        <f>'2022-23 Salary &amp; Benefits'!$I$6</f>
        <v>0.22339999999999999</v>
      </c>
      <c r="AA1777" s="22">
        <f t="shared" si="346"/>
        <v>0</v>
      </c>
      <c r="AB1777" s="22">
        <f t="shared" si="347"/>
        <v>0</v>
      </c>
      <c r="AC1777" s="22">
        <f t="shared" si="348"/>
        <v>0</v>
      </c>
      <c r="AD1777" s="22">
        <f t="shared" si="338"/>
        <v>0</v>
      </c>
      <c r="AE1777" s="22">
        <f t="shared" si="339"/>
        <v>0</v>
      </c>
      <c r="AF1777" s="19" t="str">
        <f>VLOOKUP(C1777,'2021-22 School Level AAFTE'!C:N,12,FALSE)</f>
        <v>No</v>
      </c>
    </row>
    <row r="1778" spans="1:32" s="5" customFormat="1">
      <c r="A1778" s="97" t="s">
        <v>2462</v>
      </c>
      <c r="B1778" s="97" t="s">
        <v>1554</v>
      </c>
      <c r="C1778" s="95">
        <v>3403</v>
      </c>
      <c r="D1778" s="95" t="s">
        <v>1561</v>
      </c>
      <c r="E1778" s="129">
        <f>VLOOKUP($C1778,'2021-22 School Level AAFTE'!$C:$Z,11,FALSE)</f>
        <v>0.37316666666666665</v>
      </c>
      <c r="F1778" s="129" t="str">
        <f>VLOOKUP($C1778,'2021-22 School Level AAFTE'!$C:$Z,8,FALSE)</f>
        <v>No</v>
      </c>
      <c r="G1778" s="129" t="str">
        <f>VLOOKUP($C1778,'2021-22 School Level AAFTE'!$C:$Z,12,FALSE)</f>
        <v>No</v>
      </c>
      <c r="H1778" s="127">
        <f>VLOOKUP($C1778,'2021-22 School Level AAFTE'!$C:$I,7,FALSE)</f>
        <v>268.04000000000002</v>
      </c>
      <c r="I1778" s="112">
        <f>IFERROR(IF(OR(G1778="yes",F1778= "yes"),VLOOKUP(C1778,Summary!$B:$J,6,0),0),0)</f>
        <v>0</v>
      </c>
      <c r="J1778" s="111">
        <f t="shared" si="342"/>
        <v>0</v>
      </c>
      <c r="K1778" s="91">
        <f>VLOOKUP($A1778,'2022-23 Salary &amp; Benefits'!$A:$I,3,FALSE)</f>
        <v>1.1200000000000001</v>
      </c>
      <c r="L1778" s="91">
        <f>VLOOKUP($A1778,'2022-23 Salary &amp; Benefits'!$A:$I,4,FALSE)</f>
        <v>1.1200000000000001</v>
      </c>
      <c r="M1778" s="101">
        <f t="shared" si="337"/>
        <v>0</v>
      </c>
      <c r="N1778" s="24">
        <v>15</v>
      </c>
      <c r="O1778" s="26">
        <f t="shared" si="340"/>
        <v>0</v>
      </c>
      <c r="P1778" s="24">
        <v>1.1000000000000001</v>
      </c>
      <c r="Q1778" s="24">
        <v>36</v>
      </c>
      <c r="R1778" s="27">
        <f t="shared" si="341"/>
        <v>0</v>
      </c>
      <c r="S1778" s="102">
        <f t="shared" si="343"/>
        <v>0</v>
      </c>
      <c r="T1778" s="21">
        <f>VLOOKUP($A1778,'2022-23 Salary &amp; Benefits'!$A:$I,5,FALSE)</f>
        <v>68937</v>
      </c>
      <c r="U1778" s="21">
        <f>VLOOKUP($A1778,'2022-23 Salary &amp; Benefits'!$A:$I,6,FALSE)</f>
        <v>72728</v>
      </c>
      <c r="V1778" s="22">
        <f t="shared" si="344"/>
        <v>0</v>
      </c>
      <c r="W1778" s="22">
        <f t="shared" si="345"/>
        <v>0</v>
      </c>
      <c r="X1778" s="22">
        <f>'2022-23 Salary &amp; Benefits'!$G$6</f>
        <v>12558.24</v>
      </c>
      <c r="Y1778" s="23">
        <f>'2022-23 Salary &amp; Benefits'!$H$6</f>
        <v>0.2298</v>
      </c>
      <c r="Z1778" s="23">
        <f>'2022-23 Salary &amp; Benefits'!$I$6</f>
        <v>0.22339999999999999</v>
      </c>
      <c r="AA1778" s="22">
        <f t="shared" si="346"/>
        <v>0</v>
      </c>
      <c r="AB1778" s="22">
        <f t="shared" si="347"/>
        <v>0</v>
      </c>
      <c r="AC1778" s="22">
        <f t="shared" si="348"/>
        <v>0</v>
      </c>
      <c r="AD1778" s="22">
        <f t="shared" si="338"/>
        <v>0</v>
      </c>
      <c r="AE1778" s="22">
        <f t="shared" si="339"/>
        <v>0</v>
      </c>
      <c r="AF1778" s="19" t="str">
        <f>VLOOKUP(C1778,'2021-22 School Level AAFTE'!C:N,12,FALSE)</f>
        <v>No</v>
      </c>
    </row>
    <row r="1779" spans="1:32" s="5" customFormat="1">
      <c r="A1779" s="97" t="s">
        <v>2462</v>
      </c>
      <c r="B1779" s="97" t="s">
        <v>1554</v>
      </c>
      <c r="C1779" s="95">
        <v>3942</v>
      </c>
      <c r="D1779" s="95" t="s">
        <v>1209</v>
      </c>
      <c r="E1779" s="129">
        <f>VLOOKUP($C1779,'2021-22 School Level AAFTE'!$C:$Z,11,FALSE)</f>
        <v>0.62506666666666666</v>
      </c>
      <c r="F1779" s="129" t="str">
        <f>VLOOKUP($C1779,'2021-22 School Level AAFTE'!$C:$Z,8,FALSE)</f>
        <v>Yes</v>
      </c>
      <c r="G1779" s="129" t="str">
        <f>VLOOKUP($C1779,'2021-22 School Level AAFTE'!$C:$Z,12,FALSE)</f>
        <v>No</v>
      </c>
      <c r="H1779" s="127">
        <f>VLOOKUP($C1779,'2021-22 School Level AAFTE'!$C:$I,7,FALSE)</f>
        <v>532.87</v>
      </c>
      <c r="I1779" s="112">
        <f>IFERROR(IF(OR(G1779="yes",F1779= "yes"),VLOOKUP(C1779,Summary!$B:$J,6,0),0),0)</f>
        <v>0</v>
      </c>
      <c r="J1779" s="111">
        <f t="shared" si="342"/>
        <v>532.87</v>
      </c>
      <c r="K1779" s="91">
        <f>VLOOKUP($A1779,'2022-23 Salary &amp; Benefits'!$A:$I,3,FALSE)</f>
        <v>1.1200000000000001</v>
      </c>
      <c r="L1779" s="91">
        <f>VLOOKUP($A1779,'2022-23 Salary &amp; Benefits'!$A:$I,4,FALSE)</f>
        <v>1.1200000000000001</v>
      </c>
      <c r="M1779" s="39">
        <f t="shared" si="337"/>
        <v>532.87</v>
      </c>
      <c r="N1779" s="24">
        <v>15</v>
      </c>
      <c r="O1779" s="26">
        <f t="shared" si="340"/>
        <v>35.524666666666668</v>
      </c>
      <c r="P1779" s="24">
        <v>1.1000000000000001</v>
      </c>
      <c r="Q1779" s="24">
        <v>36</v>
      </c>
      <c r="R1779" s="27">
        <f t="shared" si="341"/>
        <v>1406.7768000000001</v>
      </c>
      <c r="S1779" s="102">
        <f t="shared" si="343"/>
        <v>1.5629999999999999</v>
      </c>
      <c r="T1779" s="21">
        <f>VLOOKUP($A1779,'2022-23 Salary &amp; Benefits'!$A:$I,5,FALSE)</f>
        <v>68937</v>
      </c>
      <c r="U1779" s="21">
        <f>VLOOKUP($A1779,'2022-23 Salary &amp; Benefits'!$A:$I,6,FALSE)</f>
        <v>72728</v>
      </c>
      <c r="V1779" s="22">
        <f t="shared" si="344"/>
        <v>120678.35</v>
      </c>
      <c r="W1779" s="22">
        <f t="shared" si="345"/>
        <v>6636.3799999999901</v>
      </c>
      <c r="X1779" s="22">
        <f>'2022-23 Salary &amp; Benefits'!$G$6</f>
        <v>12558.24</v>
      </c>
      <c r="Y1779" s="23">
        <f>'2022-23 Salary &amp; Benefits'!$H$6</f>
        <v>0.2298</v>
      </c>
      <c r="Z1779" s="23">
        <f>'2022-23 Salary &amp; Benefits'!$I$6</f>
        <v>0.22339999999999999</v>
      </c>
      <c r="AA1779" s="22">
        <f t="shared" si="346"/>
        <v>48842.98</v>
      </c>
      <c r="AB1779" s="22">
        <f t="shared" si="347"/>
        <v>2121.91</v>
      </c>
      <c r="AC1779" s="22">
        <f t="shared" si="348"/>
        <v>474.03</v>
      </c>
      <c r="AD1779" s="22">
        <f t="shared" si="338"/>
        <v>2595.9399999999996</v>
      </c>
      <c r="AE1779" s="22">
        <f t="shared" si="339"/>
        <v>178753.65000000002</v>
      </c>
      <c r="AF1779" s="19" t="str">
        <f>VLOOKUP(C1779,'2021-22 School Level AAFTE'!C:N,12,FALSE)</f>
        <v>No</v>
      </c>
    </row>
    <row r="1780" spans="1:32" s="5" customFormat="1">
      <c r="A1780" s="97" t="s">
        <v>2462</v>
      </c>
      <c r="B1780" s="97" t="s">
        <v>1554</v>
      </c>
      <c r="C1780" s="95">
        <v>5456</v>
      </c>
      <c r="D1780" s="95" t="s">
        <v>2842</v>
      </c>
      <c r="E1780" s="129">
        <f>VLOOKUP($C1780,'2021-22 School Level AAFTE'!$C:$Z,11,FALSE)</f>
        <v>0</v>
      </c>
      <c r="F1780" s="129" t="str">
        <f>VLOOKUP($C1780,'2021-22 School Level AAFTE'!$C:$Z,8,FALSE)</f>
        <v>No</v>
      </c>
      <c r="G1780" s="129" t="str">
        <f>VLOOKUP($C1780,'2021-22 School Level AAFTE'!$C:$Z,12,FALSE)</f>
        <v>No</v>
      </c>
      <c r="H1780" s="127">
        <f>VLOOKUP($C1780,'2021-22 School Level AAFTE'!$C:$I,7,FALSE)</f>
        <v>31.71</v>
      </c>
      <c r="I1780" s="112">
        <f>IFERROR(IF(OR(G1780="yes",F1780= "yes"),VLOOKUP(C1780,Summary!$B:$J,6,0),0),0)</f>
        <v>0</v>
      </c>
      <c r="J1780" s="111">
        <f t="shared" si="342"/>
        <v>0</v>
      </c>
      <c r="K1780" s="91">
        <f>VLOOKUP($A1780,'2022-23 Salary &amp; Benefits'!$A:$I,3,FALSE)</f>
        <v>1.1200000000000001</v>
      </c>
      <c r="L1780" s="91">
        <f>VLOOKUP($A1780,'2022-23 Salary &amp; Benefits'!$A:$I,4,FALSE)</f>
        <v>1.1200000000000001</v>
      </c>
      <c r="M1780" s="39">
        <f t="shared" si="337"/>
        <v>0</v>
      </c>
      <c r="N1780" s="24">
        <v>15</v>
      </c>
      <c r="O1780" s="26">
        <f t="shared" si="340"/>
        <v>0</v>
      </c>
      <c r="P1780" s="24">
        <v>1.1000000000000001</v>
      </c>
      <c r="Q1780" s="24">
        <v>36</v>
      </c>
      <c r="R1780" s="27">
        <f t="shared" si="341"/>
        <v>0</v>
      </c>
      <c r="S1780" s="102">
        <f t="shared" si="343"/>
        <v>0</v>
      </c>
      <c r="T1780" s="21">
        <f>VLOOKUP($A1780,'2022-23 Salary &amp; Benefits'!$A:$I,5,FALSE)</f>
        <v>68937</v>
      </c>
      <c r="U1780" s="21">
        <f>VLOOKUP($A1780,'2022-23 Salary &amp; Benefits'!$A:$I,6,FALSE)</f>
        <v>72728</v>
      </c>
      <c r="V1780" s="22">
        <f t="shared" si="344"/>
        <v>0</v>
      </c>
      <c r="W1780" s="22">
        <f t="shared" si="345"/>
        <v>0</v>
      </c>
      <c r="X1780" s="22">
        <f>'2022-23 Salary &amp; Benefits'!$G$6</f>
        <v>12558.24</v>
      </c>
      <c r="Y1780" s="23">
        <f>'2022-23 Salary &amp; Benefits'!$H$6</f>
        <v>0.2298</v>
      </c>
      <c r="Z1780" s="23">
        <f>'2022-23 Salary &amp; Benefits'!$I$6</f>
        <v>0.22339999999999999</v>
      </c>
      <c r="AA1780" s="22">
        <f t="shared" si="346"/>
        <v>0</v>
      </c>
      <c r="AB1780" s="22">
        <f t="shared" si="347"/>
        <v>0</v>
      </c>
      <c r="AC1780" s="22">
        <f t="shared" si="348"/>
        <v>0</v>
      </c>
      <c r="AD1780" s="22">
        <f t="shared" si="338"/>
        <v>0</v>
      </c>
      <c r="AE1780" s="22">
        <f t="shared" si="339"/>
        <v>0</v>
      </c>
      <c r="AF1780" s="19" t="str">
        <f>VLOOKUP(C1780,'2021-22 School Level AAFTE'!C:N,12,FALSE)</f>
        <v>No</v>
      </c>
    </row>
    <row r="1781" spans="1:32" s="5" customFormat="1">
      <c r="A1781" s="97" t="s">
        <v>2462</v>
      </c>
      <c r="B1781" s="97" t="s">
        <v>1554</v>
      </c>
      <c r="C1781" s="95">
        <v>5692</v>
      </c>
      <c r="D1781" s="95" t="s">
        <v>3046</v>
      </c>
      <c r="E1781" s="129">
        <f>VLOOKUP($C1781,'2021-22 School Level AAFTE'!$C:$Z,11,FALSE)</f>
        <v>0.48599999999999999</v>
      </c>
      <c r="F1781" s="129" t="str">
        <f>VLOOKUP($C1781,'2021-22 School Level AAFTE'!$C:$Z,8,FALSE)</f>
        <v>No</v>
      </c>
      <c r="G1781" s="129" t="str">
        <f>VLOOKUP($C1781,'2021-22 School Level AAFTE'!$C:$Z,12,FALSE)</f>
        <v>No</v>
      </c>
      <c r="H1781" s="127">
        <f>VLOOKUP($C1781,'2021-22 School Level AAFTE'!$C:$I,7,FALSE)</f>
        <v>145.30000000000001</v>
      </c>
      <c r="I1781" s="112">
        <f>IFERROR(IF(OR(G1781="yes",F1781= "yes"),VLOOKUP(C1781,Summary!$B:$J,6,0),0),0)</f>
        <v>0</v>
      </c>
      <c r="J1781" s="111">
        <f t="shared" si="342"/>
        <v>0</v>
      </c>
      <c r="K1781" s="91">
        <f>VLOOKUP($A1781,'2022-23 Salary &amp; Benefits'!$A:$I,3,FALSE)</f>
        <v>1.1200000000000001</v>
      </c>
      <c r="L1781" s="91">
        <f>VLOOKUP($A1781,'2022-23 Salary &amp; Benefits'!$A:$I,4,FALSE)</f>
        <v>1.1200000000000001</v>
      </c>
      <c r="M1781" s="39">
        <f t="shared" si="337"/>
        <v>0</v>
      </c>
      <c r="N1781" s="24">
        <v>15</v>
      </c>
      <c r="O1781" s="26">
        <f t="shared" si="340"/>
        <v>0</v>
      </c>
      <c r="P1781" s="24">
        <v>1.1000000000000001</v>
      </c>
      <c r="Q1781" s="24">
        <v>36</v>
      </c>
      <c r="R1781" s="27">
        <f t="shared" si="341"/>
        <v>0</v>
      </c>
      <c r="S1781" s="102">
        <f t="shared" si="343"/>
        <v>0</v>
      </c>
      <c r="T1781" s="21">
        <f>VLOOKUP($A1781,'2022-23 Salary &amp; Benefits'!$A:$I,5,FALSE)</f>
        <v>68937</v>
      </c>
      <c r="U1781" s="21">
        <f>VLOOKUP($A1781,'2022-23 Salary &amp; Benefits'!$A:$I,6,FALSE)</f>
        <v>72728</v>
      </c>
      <c r="V1781" s="22">
        <f t="shared" si="344"/>
        <v>0</v>
      </c>
      <c r="W1781" s="22">
        <f t="shared" si="345"/>
        <v>0</v>
      </c>
      <c r="X1781" s="22">
        <f>'2022-23 Salary &amp; Benefits'!$G$6</f>
        <v>12558.24</v>
      </c>
      <c r="Y1781" s="23">
        <f>'2022-23 Salary &amp; Benefits'!$H$6</f>
        <v>0.2298</v>
      </c>
      <c r="Z1781" s="23">
        <f>'2022-23 Salary &amp; Benefits'!$I$6</f>
        <v>0.22339999999999999</v>
      </c>
      <c r="AA1781" s="22">
        <f t="shared" si="346"/>
        <v>0</v>
      </c>
      <c r="AB1781" s="22">
        <f t="shared" si="347"/>
        <v>0</v>
      </c>
      <c r="AC1781" s="22">
        <f t="shared" si="348"/>
        <v>0</v>
      </c>
      <c r="AD1781" s="22">
        <f t="shared" si="338"/>
        <v>0</v>
      </c>
      <c r="AE1781" s="22">
        <f t="shared" si="339"/>
        <v>0</v>
      </c>
      <c r="AF1781" s="19" t="str">
        <f>VLOOKUP(C1781,'2021-22 School Level AAFTE'!C:N,12,FALSE)</f>
        <v>No</v>
      </c>
    </row>
    <row r="1782" spans="1:32" s="5" customFormat="1">
      <c r="A1782" s="97" t="s">
        <v>2557</v>
      </c>
      <c r="B1782" s="97" t="s">
        <v>2195</v>
      </c>
      <c r="C1782" s="95">
        <v>2388</v>
      </c>
      <c r="D1782" s="95" t="s">
        <v>2196</v>
      </c>
      <c r="E1782" s="129">
        <f>VLOOKUP($C1782,'2021-22 School Level AAFTE'!$C:$Z,11,FALSE)</f>
        <v>0.48449999999999999</v>
      </c>
      <c r="F1782" s="129" t="str">
        <f>VLOOKUP($C1782,'2021-22 School Level AAFTE'!$C:$Z,8,FALSE)</f>
        <v>No</v>
      </c>
      <c r="G1782" s="129" t="str">
        <f>VLOOKUP($C1782,'2021-22 School Level AAFTE'!$C:$Z,12,FALSE)</f>
        <v>No</v>
      </c>
      <c r="H1782" s="127">
        <f>VLOOKUP($C1782,'2021-22 School Level AAFTE'!$C:$I,7,FALSE)</f>
        <v>1053.0700000000002</v>
      </c>
      <c r="I1782" s="112">
        <f>IFERROR(IF(OR(G1782="yes",F1782= "yes"),VLOOKUP(C1782,Summary!$B:$J,6,0),0),0)</f>
        <v>0</v>
      </c>
      <c r="J1782" s="111">
        <f t="shared" si="342"/>
        <v>0</v>
      </c>
      <c r="K1782" s="91">
        <f>VLOOKUP($A1782,'2022-23 Salary &amp; Benefits'!$A:$I,3,FALSE)</f>
        <v>1</v>
      </c>
      <c r="L1782" s="91">
        <f>VLOOKUP($A1782,'2022-23 Salary &amp; Benefits'!$A:$I,4,FALSE)</f>
        <v>1</v>
      </c>
      <c r="M1782" s="39">
        <f t="shared" si="337"/>
        <v>0</v>
      </c>
      <c r="N1782" s="24">
        <v>15</v>
      </c>
      <c r="O1782" s="26">
        <f t="shared" si="340"/>
        <v>0</v>
      </c>
      <c r="P1782" s="24">
        <v>1.1000000000000001</v>
      </c>
      <c r="Q1782" s="24">
        <v>36</v>
      </c>
      <c r="R1782" s="27">
        <f t="shared" si="341"/>
        <v>0</v>
      </c>
      <c r="S1782" s="102">
        <f t="shared" si="343"/>
        <v>0</v>
      </c>
      <c r="T1782" s="21">
        <f>VLOOKUP($A1782,'2022-23 Salary &amp; Benefits'!$A:$I,5,FALSE)</f>
        <v>68937</v>
      </c>
      <c r="U1782" s="21">
        <f>VLOOKUP($A1782,'2022-23 Salary &amp; Benefits'!$A:$I,6,FALSE)</f>
        <v>72728</v>
      </c>
      <c r="V1782" s="22">
        <f t="shared" si="344"/>
        <v>0</v>
      </c>
      <c r="W1782" s="22">
        <f t="shared" si="345"/>
        <v>0</v>
      </c>
      <c r="X1782" s="22">
        <f>'2022-23 Salary &amp; Benefits'!$G$6</f>
        <v>12558.24</v>
      </c>
      <c r="Y1782" s="23">
        <f>'2022-23 Salary &amp; Benefits'!$H$6</f>
        <v>0.2298</v>
      </c>
      <c r="Z1782" s="23">
        <f>'2022-23 Salary &amp; Benefits'!$I$6</f>
        <v>0.22339999999999999</v>
      </c>
      <c r="AA1782" s="22">
        <f t="shared" si="346"/>
        <v>0</v>
      </c>
      <c r="AB1782" s="22">
        <f t="shared" si="347"/>
        <v>0</v>
      </c>
      <c r="AC1782" s="22">
        <f t="shared" si="348"/>
        <v>0</v>
      </c>
      <c r="AD1782" s="22">
        <f t="shared" si="338"/>
        <v>0</v>
      </c>
      <c r="AE1782" s="22">
        <f t="shared" si="339"/>
        <v>0</v>
      </c>
      <c r="AF1782" s="19" t="str">
        <f>VLOOKUP(C1782,'2021-22 School Level AAFTE'!C:N,12,FALSE)</f>
        <v>No</v>
      </c>
    </row>
    <row r="1783" spans="1:32" s="5" customFormat="1">
      <c r="A1783" s="97" t="s">
        <v>2557</v>
      </c>
      <c r="B1783" s="97" t="s">
        <v>2195</v>
      </c>
      <c r="C1783" s="95">
        <v>4272</v>
      </c>
      <c r="D1783" s="95" t="s">
        <v>2922</v>
      </c>
      <c r="E1783" s="129">
        <f>VLOOKUP($C1783,'2021-22 School Level AAFTE'!$C:$Z,11,FALSE)</f>
        <v>0.56669999999999998</v>
      </c>
      <c r="F1783" s="129" t="str">
        <f>VLOOKUP($C1783,'2021-22 School Level AAFTE'!$C:$Z,8,FALSE)</f>
        <v>Yes</v>
      </c>
      <c r="G1783" s="129" t="str">
        <f>VLOOKUP($C1783,'2021-22 School Level AAFTE'!$C:$Z,12,FALSE)</f>
        <v>No</v>
      </c>
      <c r="H1783" s="127">
        <f>VLOOKUP($C1783,'2021-22 School Level AAFTE'!$C:$I,7,FALSE)</f>
        <v>35.28</v>
      </c>
      <c r="I1783" s="112">
        <f>IFERROR(IF(OR(G1783="yes",F1783= "yes"),VLOOKUP(C1783,Summary!$B:$J,6,0),0),0)</f>
        <v>0</v>
      </c>
      <c r="J1783" s="111">
        <f t="shared" si="342"/>
        <v>35.28</v>
      </c>
      <c r="K1783" s="91">
        <f>VLOOKUP($A1783,'2022-23 Salary &amp; Benefits'!$A:$I,3,FALSE)</f>
        <v>1</v>
      </c>
      <c r="L1783" s="91">
        <f>VLOOKUP($A1783,'2022-23 Salary &amp; Benefits'!$A:$I,4,FALSE)</f>
        <v>1</v>
      </c>
      <c r="M1783" s="39">
        <f t="shared" si="337"/>
        <v>35.28</v>
      </c>
      <c r="N1783" s="24">
        <v>15</v>
      </c>
      <c r="O1783" s="26">
        <f t="shared" si="340"/>
        <v>2.3519999999999999</v>
      </c>
      <c r="P1783" s="24">
        <v>1.1000000000000001</v>
      </c>
      <c r="Q1783" s="24">
        <v>36</v>
      </c>
      <c r="R1783" s="27">
        <f t="shared" si="341"/>
        <v>93.139200000000002</v>
      </c>
      <c r="S1783" s="102">
        <f t="shared" si="343"/>
        <v>0.10299999999999999</v>
      </c>
      <c r="T1783" s="21">
        <f>VLOOKUP($A1783,'2022-23 Salary &amp; Benefits'!$A:$I,5,FALSE)</f>
        <v>68937</v>
      </c>
      <c r="U1783" s="21">
        <f>VLOOKUP($A1783,'2022-23 Salary &amp; Benefits'!$A:$I,6,FALSE)</f>
        <v>72728</v>
      </c>
      <c r="V1783" s="22">
        <f t="shared" si="344"/>
        <v>7100.51</v>
      </c>
      <c r="W1783" s="22">
        <f t="shared" si="345"/>
        <v>390.46999999999935</v>
      </c>
      <c r="X1783" s="22">
        <f>'2022-23 Salary &amp; Benefits'!$G$6</f>
        <v>12558.24</v>
      </c>
      <c r="Y1783" s="23">
        <f>'2022-23 Salary &amp; Benefits'!$H$6</f>
        <v>0.2298</v>
      </c>
      <c r="Z1783" s="23">
        <f>'2022-23 Salary &amp; Benefits'!$I$6</f>
        <v>0.22339999999999999</v>
      </c>
      <c r="AA1783" s="22">
        <f t="shared" si="346"/>
        <v>3012.43</v>
      </c>
      <c r="AB1783" s="22">
        <f t="shared" si="347"/>
        <v>124.85</v>
      </c>
      <c r="AC1783" s="22">
        <f t="shared" si="348"/>
        <v>27.89</v>
      </c>
      <c r="AD1783" s="22">
        <f t="shared" si="338"/>
        <v>152.74</v>
      </c>
      <c r="AE1783" s="22">
        <f t="shared" si="339"/>
        <v>10656.15</v>
      </c>
      <c r="AF1783" s="19" t="str">
        <f>VLOOKUP(C1783,'2021-22 School Level AAFTE'!C:N,12,FALSE)</f>
        <v>No</v>
      </c>
    </row>
    <row r="1784" spans="1:32" s="5" customFormat="1">
      <c r="A1784" s="97" t="s">
        <v>2557</v>
      </c>
      <c r="B1784" s="97" t="s">
        <v>2195</v>
      </c>
      <c r="C1784" s="95">
        <v>5231</v>
      </c>
      <c r="D1784" s="95" t="s">
        <v>2197</v>
      </c>
      <c r="E1784" s="129">
        <f>VLOOKUP($C1784,'2021-22 School Level AAFTE'!$C:$Z,11,FALSE)</f>
        <v>0.41436666666666661</v>
      </c>
      <c r="F1784" s="129" t="str">
        <f>VLOOKUP($C1784,'2021-22 School Level AAFTE'!$C:$Z,8,FALSE)</f>
        <v>No</v>
      </c>
      <c r="G1784" s="129" t="str">
        <f>VLOOKUP($C1784,'2021-22 School Level AAFTE'!$C:$Z,12,FALSE)</f>
        <v>No</v>
      </c>
      <c r="H1784" s="127">
        <f>VLOOKUP($C1784,'2021-22 School Level AAFTE'!$C:$I,7,FALSE)</f>
        <v>70.599999999999994</v>
      </c>
      <c r="I1784" s="112">
        <f>IFERROR(IF(OR(G1784="yes",F1784= "yes"),VLOOKUP(C1784,Summary!$B:$J,6,0),0),0)</f>
        <v>0</v>
      </c>
      <c r="J1784" s="111">
        <f t="shared" si="342"/>
        <v>0</v>
      </c>
      <c r="K1784" s="91">
        <f>VLOOKUP($A1784,'2022-23 Salary &amp; Benefits'!$A:$I,3,FALSE)</f>
        <v>1</v>
      </c>
      <c r="L1784" s="91">
        <f>VLOOKUP($A1784,'2022-23 Salary &amp; Benefits'!$A:$I,4,FALSE)</f>
        <v>1</v>
      </c>
      <c r="M1784" s="101">
        <f t="shared" si="337"/>
        <v>0</v>
      </c>
      <c r="N1784" s="24">
        <v>15</v>
      </c>
      <c r="O1784" s="26">
        <f t="shared" si="340"/>
        <v>0</v>
      </c>
      <c r="P1784" s="24">
        <v>1.1000000000000001</v>
      </c>
      <c r="Q1784" s="24">
        <v>36</v>
      </c>
      <c r="R1784" s="27">
        <f t="shared" si="341"/>
        <v>0</v>
      </c>
      <c r="S1784" s="102">
        <f t="shared" si="343"/>
        <v>0</v>
      </c>
      <c r="T1784" s="21">
        <f>VLOOKUP($A1784,'2022-23 Salary &amp; Benefits'!$A:$I,5,FALSE)</f>
        <v>68937</v>
      </c>
      <c r="U1784" s="21">
        <f>VLOOKUP($A1784,'2022-23 Salary &amp; Benefits'!$A:$I,6,FALSE)</f>
        <v>72728</v>
      </c>
      <c r="V1784" s="22">
        <f t="shared" si="344"/>
        <v>0</v>
      </c>
      <c r="W1784" s="22">
        <f t="shared" si="345"/>
        <v>0</v>
      </c>
      <c r="X1784" s="22">
        <f>'2022-23 Salary &amp; Benefits'!$G$6</f>
        <v>12558.24</v>
      </c>
      <c r="Y1784" s="23">
        <f>'2022-23 Salary &amp; Benefits'!$H$6</f>
        <v>0.2298</v>
      </c>
      <c r="Z1784" s="23">
        <f>'2022-23 Salary &amp; Benefits'!$I$6</f>
        <v>0.22339999999999999</v>
      </c>
      <c r="AA1784" s="22">
        <f t="shared" si="346"/>
        <v>0</v>
      </c>
      <c r="AB1784" s="22">
        <f t="shared" si="347"/>
        <v>0</v>
      </c>
      <c r="AC1784" s="22">
        <f t="shared" si="348"/>
        <v>0</v>
      </c>
      <c r="AD1784" s="22">
        <f t="shared" si="338"/>
        <v>0</v>
      </c>
      <c r="AE1784" s="22">
        <f t="shared" si="339"/>
        <v>0</v>
      </c>
      <c r="AF1784" s="19" t="str">
        <f>VLOOKUP(C1784,'2021-22 School Level AAFTE'!C:N,12,FALSE)</f>
        <v>No</v>
      </c>
    </row>
    <row r="1785" spans="1:32" s="5" customFormat="1">
      <c r="A1785" s="97" t="s">
        <v>2557</v>
      </c>
      <c r="B1785" s="97" t="s">
        <v>2195</v>
      </c>
      <c r="C1785" s="95">
        <v>5232</v>
      </c>
      <c r="D1785" s="95" t="s">
        <v>2921</v>
      </c>
      <c r="E1785" s="129">
        <f>VLOOKUP($C1785,'2021-22 School Level AAFTE'!$C:$Z,11,FALSE)</f>
        <v>0.53889999999999993</v>
      </c>
      <c r="F1785" s="129" t="str">
        <f>VLOOKUP($C1785,'2021-22 School Level AAFTE'!$C:$Z,8,FALSE)</f>
        <v>Yes</v>
      </c>
      <c r="G1785" s="129" t="str">
        <f>VLOOKUP($C1785,'2021-22 School Level AAFTE'!$C:$Z,12,FALSE)</f>
        <v>No</v>
      </c>
      <c r="H1785" s="127">
        <f>VLOOKUP($C1785,'2021-22 School Level AAFTE'!$C:$I,7,FALSE)</f>
        <v>293.45999999999998</v>
      </c>
      <c r="I1785" s="112">
        <f>IFERROR(IF(OR(G1785="yes",F1785= "yes"),VLOOKUP(C1785,Summary!$B:$J,6,0),0),0)</f>
        <v>0</v>
      </c>
      <c r="J1785" s="111">
        <f t="shared" si="342"/>
        <v>293.45999999999998</v>
      </c>
      <c r="K1785" s="91">
        <f>VLOOKUP($A1785,'2022-23 Salary &amp; Benefits'!$A:$I,3,FALSE)</f>
        <v>1</v>
      </c>
      <c r="L1785" s="91">
        <f>VLOOKUP($A1785,'2022-23 Salary &amp; Benefits'!$A:$I,4,FALSE)</f>
        <v>1</v>
      </c>
      <c r="M1785" s="101">
        <f t="shared" si="337"/>
        <v>293.45999999999998</v>
      </c>
      <c r="N1785" s="24">
        <v>15</v>
      </c>
      <c r="O1785" s="26">
        <f t="shared" si="340"/>
        <v>19.564</v>
      </c>
      <c r="P1785" s="24">
        <v>1.1000000000000001</v>
      </c>
      <c r="Q1785" s="24">
        <v>36</v>
      </c>
      <c r="R1785" s="27">
        <f t="shared" si="341"/>
        <v>774.73440000000005</v>
      </c>
      <c r="S1785" s="102">
        <f t="shared" si="343"/>
        <v>0.86099999999999999</v>
      </c>
      <c r="T1785" s="21">
        <f>VLOOKUP($A1785,'2022-23 Salary &amp; Benefits'!$A:$I,5,FALSE)</f>
        <v>68937</v>
      </c>
      <c r="U1785" s="21">
        <f>VLOOKUP($A1785,'2022-23 Salary &amp; Benefits'!$A:$I,6,FALSE)</f>
        <v>72728</v>
      </c>
      <c r="V1785" s="22">
        <f t="shared" si="344"/>
        <v>59354.76</v>
      </c>
      <c r="W1785" s="22">
        <f t="shared" si="345"/>
        <v>3264.0499999999956</v>
      </c>
      <c r="X1785" s="22">
        <f>'2022-23 Salary &amp; Benefits'!$G$6</f>
        <v>12558.24</v>
      </c>
      <c r="Y1785" s="23">
        <f>'2022-23 Salary &amp; Benefits'!$H$6</f>
        <v>0.2298</v>
      </c>
      <c r="Z1785" s="23">
        <f>'2022-23 Salary &amp; Benefits'!$I$6</f>
        <v>0.22339999999999999</v>
      </c>
      <c r="AA1785" s="22">
        <f t="shared" si="346"/>
        <v>25181.56</v>
      </c>
      <c r="AB1785" s="22">
        <f t="shared" si="347"/>
        <v>1043.6500000000001</v>
      </c>
      <c r="AC1785" s="22">
        <f t="shared" si="348"/>
        <v>233.15</v>
      </c>
      <c r="AD1785" s="22">
        <f t="shared" si="338"/>
        <v>1276.8000000000002</v>
      </c>
      <c r="AE1785" s="22">
        <f t="shared" si="339"/>
        <v>89077.17</v>
      </c>
      <c r="AF1785" s="19" t="str">
        <f>VLOOKUP(C1785,'2021-22 School Level AAFTE'!C:N,12,FALSE)</f>
        <v>No</v>
      </c>
    </row>
    <row r="1786" spans="1:32" s="5" customFormat="1">
      <c r="A1786" s="97" t="s">
        <v>2557</v>
      </c>
      <c r="B1786" s="97" t="s">
        <v>2195</v>
      </c>
      <c r="C1786" s="95">
        <v>5383</v>
      </c>
      <c r="D1786" s="95" t="s">
        <v>2198</v>
      </c>
      <c r="E1786" s="129">
        <f>VLOOKUP($C1786,'2021-22 School Level AAFTE'!$C:$Z,11,FALSE)</f>
        <v>0.54260000000000008</v>
      </c>
      <c r="F1786" s="129" t="str">
        <f>VLOOKUP($C1786,'2021-22 School Level AAFTE'!$C:$Z,8,FALSE)</f>
        <v>Yes</v>
      </c>
      <c r="G1786" s="129" t="str">
        <f>VLOOKUP($C1786,'2021-22 School Level AAFTE'!$C:$Z,12,FALSE)</f>
        <v>No</v>
      </c>
      <c r="H1786" s="127">
        <f>VLOOKUP($C1786,'2021-22 School Level AAFTE'!$C:$I,7,FALSE)</f>
        <v>500.43</v>
      </c>
      <c r="I1786" s="112">
        <f>IFERROR(IF(OR(G1786="yes",F1786= "yes"),VLOOKUP(C1786,Summary!$B:$J,6,0),0),0)</f>
        <v>0</v>
      </c>
      <c r="J1786" s="111">
        <f t="shared" si="342"/>
        <v>500.43</v>
      </c>
      <c r="K1786" s="91">
        <f>VLOOKUP($A1786,'2022-23 Salary &amp; Benefits'!$A:$I,3,FALSE)</f>
        <v>1</v>
      </c>
      <c r="L1786" s="91">
        <f>VLOOKUP($A1786,'2022-23 Salary &amp; Benefits'!$A:$I,4,FALSE)</f>
        <v>1</v>
      </c>
      <c r="M1786" s="101">
        <f t="shared" si="337"/>
        <v>500.43</v>
      </c>
      <c r="N1786" s="24">
        <v>15</v>
      </c>
      <c r="O1786" s="26">
        <f t="shared" si="340"/>
        <v>33.362000000000002</v>
      </c>
      <c r="P1786" s="24">
        <v>1.1000000000000001</v>
      </c>
      <c r="Q1786" s="24">
        <v>36</v>
      </c>
      <c r="R1786" s="27">
        <f t="shared" si="341"/>
        <v>1321.1352000000002</v>
      </c>
      <c r="S1786" s="102">
        <f t="shared" si="343"/>
        <v>1.468</v>
      </c>
      <c r="T1786" s="21">
        <f>VLOOKUP($A1786,'2022-23 Salary &amp; Benefits'!$A:$I,5,FALSE)</f>
        <v>68937</v>
      </c>
      <c r="U1786" s="21">
        <f>VLOOKUP($A1786,'2022-23 Salary &amp; Benefits'!$A:$I,6,FALSE)</f>
        <v>72728</v>
      </c>
      <c r="V1786" s="22">
        <f t="shared" si="344"/>
        <v>101199.52</v>
      </c>
      <c r="W1786" s="22">
        <f t="shared" si="345"/>
        <v>5565.179999999993</v>
      </c>
      <c r="X1786" s="22">
        <f>'2022-23 Salary &amp; Benefits'!$G$6</f>
        <v>12558.24</v>
      </c>
      <c r="Y1786" s="23">
        <f>'2022-23 Salary &amp; Benefits'!$H$6</f>
        <v>0.2298</v>
      </c>
      <c r="Z1786" s="23">
        <f>'2022-23 Salary &amp; Benefits'!$I$6</f>
        <v>0.22339999999999999</v>
      </c>
      <c r="AA1786" s="22">
        <f t="shared" si="346"/>
        <v>42934.41</v>
      </c>
      <c r="AB1786" s="22">
        <f t="shared" si="347"/>
        <v>1779.41</v>
      </c>
      <c r="AC1786" s="22">
        <f t="shared" si="348"/>
        <v>397.52</v>
      </c>
      <c r="AD1786" s="22">
        <f t="shared" si="338"/>
        <v>2176.9300000000003</v>
      </c>
      <c r="AE1786" s="22">
        <f t="shared" si="339"/>
        <v>151876.03999999998</v>
      </c>
      <c r="AF1786" s="19" t="str">
        <f>VLOOKUP(C1786,'2021-22 School Level AAFTE'!C:N,12,FALSE)</f>
        <v>No</v>
      </c>
    </row>
    <row r="1787" spans="1:32" s="5" customFormat="1">
      <c r="A1787" s="97" t="s">
        <v>2557</v>
      </c>
      <c r="B1787" s="97" t="s">
        <v>2195</v>
      </c>
      <c r="C1787" s="95">
        <v>5384</v>
      </c>
      <c r="D1787" s="95" t="s">
        <v>2199</v>
      </c>
      <c r="E1787" s="129">
        <f>VLOOKUP($C1787,'2021-22 School Level AAFTE'!$C:$Z,11,FALSE)</f>
        <v>0.5571666666666667</v>
      </c>
      <c r="F1787" s="129" t="str">
        <f>VLOOKUP($C1787,'2021-22 School Level AAFTE'!$C:$Z,8,FALSE)</f>
        <v>Yes</v>
      </c>
      <c r="G1787" s="129" t="str">
        <f>VLOOKUP($C1787,'2021-22 School Level AAFTE'!$C:$Z,12,FALSE)</f>
        <v>No</v>
      </c>
      <c r="H1787" s="127">
        <f>VLOOKUP($C1787,'2021-22 School Level AAFTE'!$C:$I,7,FALSE)</f>
        <v>797.77</v>
      </c>
      <c r="I1787" s="112">
        <f>IFERROR(IF(OR(G1787="yes",F1787= "yes"),VLOOKUP(C1787,Summary!$B:$J,6,0),0),0)</f>
        <v>0</v>
      </c>
      <c r="J1787" s="111">
        <f t="shared" si="342"/>
        <v>797.77</v>
      </c>
      <c r="K1787" s="91">
        <f>VLOOKUP($A1787,'2022-23 Salary &amp; Benefits'!$A:$I,3,FALSE)</f>
        <v>1</v>
      </c>
      <c r="L1787" s="91">
        <f>VLOOKUP($A1787,'2022-23 Salary &amp; Benefits'!$A:$I,4,FALSE)</f>
        <v>1</v>
      </c>
      <c r="M1787" s="101">
        <f t="shared" si="337"/>
        <v>797.77</v>
      </c>
      <c r="N1787" s="24">
        <v>15</v>
      </c>
      <c r="O1787" s="26">
        <f t="shared" si="340"/>
        <v>53.184666666666665</v>
      </c>
      <c r="P1787" s="24">
        <v>1.1000000000000001</v>
      </c>
      <c r="Q1787" s="24">
        <v>36</v>
      </c>
      <c r="R1787" s="27">
        <f t="shared" si="341"/>
        <v>2106.1128000000003</v>
      </c>
      <c r="S1787" s="102">
        <f t="shared" si="343"/>
        <v>2.34</v>
      </c>
      <c r="T1787" s="21">
        <f>VLOOKUP($A1787,'2022-23 Salary &amp; Benefits'!$A:$I,5,FALSE)</f>
        <v>68937</v>
      </c>
      <c r="U1787" s="21">
        <f>VLOOKUP($A1787,'2022-23 Salary &amp; Benefits'!$A:$I,6,FALSE)</f>
        <v>72728</v>
      </c>
      <c r="V1787" s="22">
        <f t="shared" si="344"/>
        <v>161312.57999999999</v>
      </c>
      <c r="W1787" s="22">
        <f t="shared" si="345"/>
        <v>8870.9400000000023</v>
      </c>
      <c r="X1787" s="22">
        <f>'2022-23 Salary &amp; Benefits'!$G$6</f>
        <v>12558.24</v>
      </c>
      <c r="Y1787" s="23">
        <f>'2022-23 Salary &amp; Benefits'!$H$6</f>
        <v>0.2298</v>
      </c>
      <c r="Z1787" s="23">
        <f>'2022-23 Salary &amp; Benefits'!$I$6</f>
        <v>0.22339999999999999</v>
      </c>
      <c r="AA1787" s="22">
        <f t="shared" si="346"/>
        <v>68437.679999999993</v>
      </c>
      <c r="AB1787" s="22">
        <f t="shared" si="347"/>
        <v>2836.39</v>
      </c>
      <c r="AC1787" s="22">
        <f t="shared" si="348"/>
        <v>633.65</v>
      </c>
      <c r="AD1787" s="22">
        <f t="shared" si="338"/>
        <v>3470.04</v>
      </c>
      <c r="AE1787" s="22">
        <f t="shared" si="339"/>
        <v>242091.24</v>
      </c>
      <c r="AF1787" s="19" t="str">
        <f>VLOOKUP(C1787,'2021-22 School Level AAFTE'!C:N,12,FALSE)</f>
        <v>No</v>
      </c>
    </row>
    <row r="1788" spans="1:32" s="5" customFormat="1">
      <c r="A1788" s="97" t="s">
        <v>2557</v>
      </c>
      <c r="B1788" s="97" t="s">
        <v>2195</v>
      </c>
      <c r="C1788" s="95">
        <v>5385</v>
      </c>
      <c r="D1788" s="95" t="s">
        <v>2200</v>
      </c>
      <c r="E1788" s="129">
        <f>VLOOKUP($C1788,'2021-22 School Level AAFTE'!$C:$Z,11,FALSE)</f>
        <v>0.55786666666666662</v>
      </c>
      <c r="F1788" s="129" t="str">
        <f>VLOOKUP($C1788,'2021-22 School Level AAFTE'!$C:$Z,8,FALSE)</f>
        <v>Yes</v>
      </c>
      <c r="G1788" s="129" t="str">
        <f>VLOOKUP($C1788,'2021-22 School Level AAFTE'!$C:$Z,12,FALSE)</f>
        <v>No</v>
      </c>
      <c r="H1788" s="127">
        <f>VLOOKUP($C1788,'2021-22 School Level AAFTE'!$C:$I,7,FALSE)</f>
        <v>833.43</v>
      </c>
      <c r="I1788" s="112">
        <f>IFERROR(IF(OR(G1788="yes",F1788= "yes"),VLOOKUP(C1788,Summary!$B:$J,6,0),0),0)</f>
        <v>0</v>
      </c>
      <c r="J1788" s="111">
        <f t="shared" si="342"/>
        <v>833.43</v>
      </c>
      <c r="K1788" s="91">
        <f>VLOOKUP($A1788,'2022-23 Salary &amp; Benefits'!$A:$I,3,FALSE)</f>
        <v>1</v>
      </c>
      <c r="L1788" s="91">
        <f>VLOOKUP($A1788,'2022-23 Salary &amp; Benefits'!$A:$I,4,FALSE)</f>
        <v>1</v>
      </c>
      <c r="M1788" s="101">
        <f t="shared" si="337"/>
        <v>833.43</v>
      </c>
      <c r="N1788" s="24">
        <v>15</v>
      </c>
      <c r="O1788" s="26">
        <f t="shared" si="340"/>
        <v>55.561999999999998</v>
      </c>
      <c r="P1788" s="24">
        <v>1.1000000000000001</v>
      </c>
      <c r="Q1788" s="24">
        <v>36</v>
      </c>
      <c r="R1788" s="27">
        <f t="shared" si="341"/>
        <v>2200.2552000000001</v>
      </c>
      <c r="S1788" s="102">
        <f t="shared" si="343"/>
        <v>2.4449999999999998</v>
      </c>
      <c r="T1788" s="21">
        <f>VLOOKUP($A1788,'2022-23 Salary &amp; Benefits'!$A:$I,5,FALSE)</f>
        <v>68937</v>
      </c>
      <c r="U1788" s="21">
        <f>VLOOKUP($A1788,'2022-23 Salary &amp; Benefits'!$A:$I,6,FALSE)</f>
        <v>72728</v>
      </c>
      <c r="V1788" s="22">
        <f t="shared" si="344"/>
        <v>168550.97</v>
      </c>
      <c r="W1788" s="22">
        <f t="shared" si="345"/>
        <v>9268.9899999999907</v>
      </c>
      <c r="X1788" s="22">
        <f>'2022-23 Salary &amp; Benefits'!$G$6</f>
        <v>12558.24</v>
      </c>
      <c r="Y1788" s="23">
        <f>'2022-23 Salary &amp; Benefits'!$H$6</f>
        <v>0.2298</v>
      </c>
      <c r="Z1788" s="23">
        <f>'2022-23 Salary &amp; Benefits'!$I$6</f>
        <v>0.22339999999999999</v>
      </c>
      <c r="AA1788" s="22">
        <f t="shared" si="346"/>
        <v>71508.600000000006</v>
      </c>
      <c r="AB1788" s="22">
        <f t="shared" si="347"/>
        <v>2963.67</v>
      </c>
      <c r="AC1788" s="22">
        <f t="shared" si="348"/>
        <v>662.08</v>
      </c>
      <c r="AD1788" s="22">
        <f t="shared" si="338"/>
        <v>3625.75</v>
      </c>
      <c r="AE1788" s="22">
        <f t="shared" si="339"/>
        <v>252954.31</v>
      </c>
      <c r="AF1788" s="19" t="str">
        <f>VLOOKUP(C1788,'2021-22 School Level AAFTE'!C:N,12,FALSE)</f>
        <v>No</v>
      </c>
    </row>
    <row r="1789" spans="1:32" s="5" customFormat="1">
      <c r="A1789" s="97" t="s">
        <v>2557</v>
      </c>
      <c r="B1789" s="97" t="s">
        <v>2195</v>
      </c>
      <c r="C1789" s="95">
        <v>5560</v>
      </c>
      <c r="D1789" s="95" t="s">
        <v>2839</v>
      </c>
      <c r="E1789" s="129">
        <f>VLOOKUP($C1789,'2021-22 School Level AAFTE'!$C:$Z,11,FALSE)</f>
        <v>0.2238</v>
      </c>
      <c r="F1789" s="129" t="str">
        <f>VLOOKUP($C1789,'2021-22 School Level AAFTE'!$C:$Z,8,FALSE)</f>
        <v>No</v>
      </c>
      <c r="G1789" s="129" t="str">
        <f>VLOOKUP($C1789,'2021-22 School Level AAFTE'!$C:$Z,12,FALSE)</f>
        <v>No</v>
      </c>
      <c r="H1789" s="127">
        <f>VLOOKUP($C1789,'2021-22 School Level AAFTE'!$C:$I,7,FALSE)</f>
        <v>21</v>
      </c>
      <c r="I1789" s="112">
        <f>IFERROR(IF(OR(G1789="yes",F1789= "yes"),VLOOKUP(C1789,Summary!$B:$J,6,0),0),0)</f>
        <v>0</v>
      </c>
      <c r="J1789" s="111">
        <f t="shared" si="342"/>
        <v>0</v>
      </c>
      <c r="K1789" s="91">
        <f>VLOOKUP($A1789,'2022-23 Salary &amp; Benefits'!$A:$I,3,FALSE)</f>
        <v>1</v>
      </c>
      <c r="L1789" s="91">
        <f>VLOOKUP($A1789,'2022-23 Salary &amp; Benefits'!$A:$I,4,FALSE)</f>
        <v>1</v>
      </c>
      <c r="M1789" s="101">
        <f t="shared" si="337"/>
        <v>0</v>
      </c>
      <c r="N1789" s="24">
        <v>15</v>
      </c>
      <c r="O1789" s="26">
        <f t="shared" si="340"/>
        <v>0</v>
      </c>
      <c r="P1789" s="24">
        <v>1.1000000000000001</v>
      </c>
      <c r="Q1789" s="24">
        <v>36</v>
      </c>
      <c r="R1789" s="27">
        <f t="shared" si="341"/>
        <v>0</v>
      </c>
      <c r="S1789" s="102">
        <f t="shared" si="343"/>
        <v>0</v>
      </c>
      <c r="T1789" s="21">
        <f>VLOOKUP($A1789,'2022-23 Salary &amp; Benefits'!$A:$I,5,FALSE)</f>
        <v>68937</v>
      </c>
      <c r="U1789" s="21">
        <f>VLOOKUP($A1789,'2022-23 Salary &amp; Benefits'!$A:$I,6,FALSE)</f>
        <v>72728</v>
      </c>
      <c r="V1789" s="22">
        <f t="shared" si="344"/>
        <v>0</v>
      </c>
      <c r="W1789" s="22">
        <f t="shared" si="345"/>
        <v>0</v>
      </c>
      <c r="X1789" s="22">
        <f>'2022-23 Salary &amp; Benefits'!$G$6</f>
        <v>12558.24</v>
      </c>
      <c r="Y1789" s="23">
        <f>'2022-23 Salary &amp; Benefits'!$H$6</f>
        <v>0.2298</v>
      </c>
      <c r="Z1789" s="23">
        <f>'2022-23 Salary &amp; Benefits'!$I$6</f>
        <v>0.22339999999999999</v>
      </c>
      <c r="AA1789" s="22">
        <f t="shared" si="346"/>
        <v>0</v>
      </c>
      <c r="AB1789" s="22">
        <f t="shared" si="347"/>
        <v>0</v>
      </c>
      <c r="AC1789" s="22">
        <f t="shared" si="348"/>
        <v>0</v>
      </c>
      <c r="AD1789" s="22">
        <f t="shared" si="338"/>
        <v>0</v>
      </c>
      <c r="AE1789" s="22">
        <f t="shared" si="339"/>
        <v>0</v>
      </c>
      <c r="AF1789" s="19" t="str">
        <f>VLOOKUP(C1789,'2021-22 School Level AAFTE'!C:N,12,FALSE)</f>
        <v>No</v>
      </c>
    </row>
    <row r="1790" spans="1:32" s="5" customFormat="1">
      <c r="A1790" s="97" t="s">
        <v>2557</v>
      </c>
      <c r="B1790" s="97" t="s">
        <v>2195</v>
      </c>
      <c r="C1790" s="95">
        <v>5561</v>
      </c>
      <c r="D1790" s="95" t="s">
        <v>2840</v>
      </c>
      <c r="E1790" s="129">
        <f>VLOOKUP($C1790,'2021-22 School Level AAFTE'!$C:$Z,11,FALSE)</f>
        <v>0.52723333333333333</v>
      </c>
      <c r="F1790" s="129" t="str">
        <f>VLOOKUP($C1790,'2021-22 School Level AAFTE'!$C:$Z,8,FALSE)</f>
        <v>Yes</v>
      </c>
      <c r="G1790" s="129" t="str">
        <f>VLOOKUP($C1790,'2021-22 School Level AAFTE'!$C:$Z,12,FALSE)</f>
        <v>No</v>
      </c>
      <c r="H1790" s="127">
        <f>VLOOKUP($C1790,'2021-22 School Level AAFTE'!$C:$I,7,FALSE)</f>
        <v>15.53</v>
      </c>
      <c r="I1790" s="112">
        <f>IFERROR(IF(OR(G1790="yes",F1790= "yes"),VLOOKUP(C1790,Summary!$B:$J,6,0),0),0)</f>
        <v>0</v>
      </c>
      <c r="J1790" s="111">
        <f t="shared" si="342"/>
        <v>15.53</v>
      </c>
      <c r="K1790" s="91">
        <f>VLOOKUP($A1790,'2022-23 Salary &amp; Benefits'!$A:$I,3,FALSE)</f>
        <v>1</v>
      </c>
      <c r="L1790" s="91">
        <f>VLOOKUP($A1790,'2022-23 Salary &amp; Benefits'!$A:$I,4,FALSE)</f>
        <v>1</v>
      </c>
      <c r="M1790" s="39">
        <f t="shared" si="337"/>
        <v>15.53</v>
      </c>
      <c r="N1790" s="24">
        <v>15</v>
      </c>
      <c r="O1790" s="26">
        <f t="shared" si="340"/>
        <v>1.0353333333333332</v>
      </c>
      <c r="P1790" s="24">
        <v>1.1000000000000001</v>
      </c>
      <c r="Q1790" s="24">
        <v>36</v>
      </c>
      <c r="R1790" s="27">
        <f t="shared" si="341"/>
        <v>40.999200000000002</v>
      </c>
      <c r="S1790" s="102">
        <f t="shared" si="343"/>
        <v>4.5999999999999999E-2</v>
      </c>
      <c r="T1790" s="21">
        <f>VLOOKUP($A1790,'2022-23 Salary &amp; Benefits'!$A:$I,5,FALSE)</f>
        <v>68937</v>
      </c>
      <c r="U1790" s="21">
        <f>VLOOKUP($A1790,'2022-23 Salary &amp; Benefits'!$A:$I,6,FALSE)</f>
        <v>72728</v>
      </c>
      <c r="V1790" s="22">
        <f t="shared" si="344"/>
        <v>3171.1</v>
      </c>
      <c r="W1790" s="22">
        <f t="shared" si="345"/>
        <v>174.38999999999987</v>
      </c>
      <c r="X1790" s="22">
        <f>'2022-23 Salary &amp; Benefits'!$G$6</f>
        <v>12558.24</v>
      </c>
      <c r="Y1790" s="23">
        <f>'2022-23 Salary &amp; Benefits'!$H$6</f>
        <v>0.2298</v>
      </c>
      <c r="Z1790" s="23">
        <f>'2022-23 Salary &amp; Benefits'!$I$6</f>
        <v>0.22339999999999999</v>
      </c>
      <c r="AA1790" s="22">
        <f t="shared" si="346"/>
        <v>1345.36</v>
      </c>
      <c r="AB1790" s="22">
        <f t="shared" si="347"/>
        <v>55.76</v>
      </c>
      <c r="AC1790" s="22">
        <f t="shared" si="348"/>
        <v>12.46</v>
      </c>
      <c r="AD1790" s="22">
        <f t="shared" si="338"/>
        <v>68.22</v>
      </c>
      <c r="AE1790" s="22">
        <f t="shared" si="339"/>
        <v>4759.0700000000006</v>
      </c>
      <c r="AF1790" s="19" t="str">
        <f>VLOOKUP(C1790,'2021-22 School Level AAFTE'!C:N,12,FALSE)</f>
        <v>No</v>
      </c>
    </row>
    <row r="1791" spans="1:32" s="5" customFormat="1">
      <c r="A1791" s="97" t="s">
        <v>2437</v>
      </c>
      <c r="B1791" s="97" t="s">
        <v>1288</v>
      </c>
      <c r="C1791" s="95">
        <v>5075</v>
      </c>
      <c r="D1791" s="95" t="s">
        <v>1289</v>
      </c>
      <c r="E1791" s="129">
        <f>VLOOKUP($C1791,'2021-22 School Level AAFTE'!$C:$Z,11,FALSE)</f>
        <v>0.62363333333333337</v>
      </c>
      <c r="F1791" s="129" t="str">
        <f>VLOOKUP($C1791,'2021-22 School Level AAFTE'!$C:$Z,8,FALSE)</f>
        <v>Yes</v>
      </c>
      <c r="G1791" s="129" t="str">
        <f>VLOOKUP($C1791,'2021-22 School Level AAFTE'!$C:$Z,12,FALSE)</f>
        <v>No</v>
      </c>
      <c r="H1791" s="127">
        <f>VLOOKUP($C1791,'2021-22 School Level AAFTE'!$C:$I,7,FALSE)</f>
        <v>112.51</v>
      </c>
      <c r="I1791" s="112">
        <f>IFERROR(IF(OR(G1791="yes",F1791= "yes"),VLOOKUP(C1791,Summary!$B:$J,6,0),0),0)</f>
        <v>0</v>
      </c>
      <c r="J1791" s="111">
        <f t="shared" si="342"/>
        <v>112.51</v>
      </c>
      <c r="K1791" s="91">
        <f>VLOOKUP($A1791,'2022-23 Salary &amp; Benefits'!$A:$I,3,FALSE)</f>
        <v>1</v>
      </c>
      <c r="L1791" s="91">
        <f>VLOOKUP($A1791,'2022-23 Salary &amp; Benefits'!$A:$I,4,FALSE)</f>
        <v>1</v>
      </c>
      <c r="M1791" s="39">
        <f t="shared" si="337"/>
        <v>112.51</v>
      </c>
      <c r="N1791" s="24">
        <v>15</v>
      </c>
      <c r="O1791" s="26">
        <f t="shared" si="340"/>
        <v>7.5006666666666666</v>
      </c>
      <c r="P1791" s="24">
        <v>1.1000000000000001</v>
      </c>
      <c r="Q1791" s="24">
        <v>36</v>
      </c>
      <c r="R1791" s="27">
        <f t="shared" si="341"/>
        <v>297.02640000000002</v>
      </c>
      <c r="S1791" s="102">
        <f t="shared" si="343"/>
        <v>0.33</v>
      </c>
      <c r="T1791" s="21">
        <f>VLOOKUP($A1791,'2022-23 Salary &amp; Benefits'!$A:$I,5,FALSE)</f>
        <v>68937</v>
      </c>
      <c r="U1791" s="21">
        <f>VLOOKUP($A1791,'2022-23 Salary &amp; Benefits'!$A:$I,6,FALSE)</f>
        <v>72728</v>
      </c>
      <c r="V1791" s="22">
        <f t="shared" si="344"/>
        <v>22749.21</v>
      </c>
      <c r="W1791" s="22">
        <f t="shared" si="345"/>
        <v>1251.0300000000025</v>
      </c>
      <c r="X1791" s="22">
        <f>'2022-23 Salary &amp; Benefits'!$G$6</f>
        <v>12558.24</v>
      </c>
      <c r="Y1791" s="23">
        <f>'2022-23 Salary &amp; Benefits'!$H$6</f>
        <v>0.2298</v>
      </c>
      <c r="Z1791" s="23">
        <f>'2022-23 Salary &amp; Benefits'!$I$6</f>
        <v>0.22339999999999999</v>
      </c>
      <c r="AA1791" s="22">
        <f t="shared" si="346"/>
        <v>9651.4699999999993</v>
      </c>
      <c r="AB1791" s="22">
        <f t="shared" si="347"/>
        <v>400</v>
      </c>
      <c r="AC1791" s="22">
        <f t="shared" si="348"/>
        <v>89.36</v>
      </c>
      <c r="AD1791" s="22">
        <f t="shared" si="338"/>
        <v>489.36</v>
      </c>
      <c r="AE1791" s="22">
        <f t="shared" si="339"/>
        <v>34141.070000000007</v>
      </c>
      <c r="AF1791" s="19" t="str">
        <f>VLOOKUP(C1791,'2021-22 School Level AAFTE'!C:N,12,FALSE)</f>
        <v>No</v>
      </c>
    </row>
    <row r="1792" spans="1:32" s="5" customFormat="1">
      <c r="A1792" s="97" t="s">
        <v>2437</v>
      </c>
      <c r="B1792" s="97" t="s">
        <v>1288</v>
      </c>
      <c r="C1792" s="95">
        <v>5225</v>
      </c>
      <c r="D1792" s="95" t="s">
        <v>1290</v>
      </c>
      <c r="E1792" s="129">
        <f>VLOOKUP($C1792,'2021-22 School Level AAFTE'!$C:$Z,11,FALSE)</f>
        <v>0.55546666666666666</v>
      </c>
      <c r="F1792" s="129" t="str">
        <f>VLOOKUP($C1792,'2021-22 School Level AAFTE'!$C:$Z,8,FALSE)</f>
        <v>Yes</v>
      </c>
      <c r="G1792" s="129" t="str">
        <f>VLOOKUP($C1792,'2021-22 School Level AAFTE'!$C:$Z,12,FALSE)</f>
        <v>No</v>
      </c>
      <c r="H1792" s="127">
        <f>VLOOKUP($C1792,'2021-22 School Level AAFTE'!$C:$I,7,FALSE)</f>
        <v>61.21</v>
      </c>
      <c r="I1792" s="112">
        <f>IFERROR(IF(OR(G1792="yes",F1792= "yes"),VLOOKUP(C1792,Summary!$B:$J,6,0),0),0)</f>
        <v>0</v>
      </c>
      <c r="J1792" s="111">
        <f t="shared" si="342"/>
        <v>61.21</v>
      </c>
      <c r="K1792" s="91">
        <f>VLOOKUP($A1792,'2022-23 Salary &amp; Benefits'!$A:$I,3,FALSE)</f>
        <v>1</v>
      </c>
      <c r="L1792" s="91">
        <f>VLOOKUP($A1792,'2022-23 Salary &amp; Benefits'!$A:$I,4,FALSE)</f>
        <v>1</v>
      </c>
      <c r="M1792" s="101">
        <f t="shared" si="337"/>
        <v>61.21</v>
      </c>
      <c r="N1792" s="24">
        <v>15</v>
      </c>
      <c r="O1792" s="26">
        <f t="shared" si="340"/>
        <v>4.0806666666666667</v>
      </c>
      <c r="P1792" s="24">
        <v>1.1000000000000001</v>
      </c>
      <c r="Q1792" s="24">
        <v>36</v>
      </c>
      <c r="R1792" s="27">
        <f t="shared" si="341"/>
        <v>161.59440000000004</v>
      </c>
      <c r="S1792" s="102">
        <f t="shared" si="343"/>
        <v>0.18</v>
      </c>
      <c r="T1792" s="21">
        <f>VLOOKUP($A1792,'2022-23 Salary &amp; Benefits'!$A:$I,5,FALSE)</f>
        <v>68937</v>
      </c>
      <c r="U1792" s="21">
        <f>VLOOKUP($A1792,'2022-23 Salary &amp; Benefits'!$A:$I,6,FALSE)</f>
        <v>72728</v>
      </c>
      <c r="V1792" s="22">
        <f t="shared" si="344"/>
        <v>12408.66</v>
      </c>
      <c r="W1792" s="22">
        <f t="shared" si="345"/>
        <v>682.38000000000102</v>
      </c>
      <c r="X1792" s="22">
        <f>'2022-23 Salary &amp; Benefits'!$G$6</f>
        <v>12558.24</v>
      </c>
      <c r="Y1792" s="23">
        <f>'2022-23 Salary &amp; Benefits'!$H$6</f>
        <v>0.2298</v>
      </c>
      <c r="Z1792" s="23">
        <f>'2022-23 Salary &amp; Benefits'!$I$6</f>
        <v>0.22339999999999999</v>
      </c>
      <c r="AA1792" s="22">
        <f t="shared" si="346"/>
        <v>5264.44</v>
      </c>
      <c r="AB1792" s="22">
        <f t="shared" si="347"/>
        <v>218.18</v>
      </c>
      <c r="AC1792" s="22">
        <f t="shared" si="348"/>
        <v>48.74</v>
      </c>
      <c r="AD1792" s="22">
        <f t="shared" si="338"/>
        <v>266.92</v>
      </c>
      <c r="AE1792" s="22">
        <f t="shared" si="339"/>
        <v>18622.399999999998</v>
      </c>
      <c r="AF1792" s="19" t="str">
        <f>VLOOKUP(C1792,'2021-22 School Level AAFTE'!C:N,12,FALSE)</f>
        <v>No</v>
      </c>
    </row>
    <row r="1793" spans="1:32" s="5" customFormat="1">
      <c r="A1793" s="97" t="s">
        <v>2437</v>
      </c>
      <c r="B1793" s="97" t="s">
        <v>1288</v>
      </c>
      <c r="C1793" s="95">
        <v>5226</v>
      </c>
      <c r="D1793" s="95" t="s">
        <v>1291</v>
      </c>
      <c r="E1793" s="129">
        <f>VLOOKUP($C1793,'2021-22 School Level AAFTE'!$C:$Z,11,FALSE)</f>
        <v>0.43146666666666667</v>
      </c>
      <c r="F1793" s="129" t="str">
        <f>VLOOKUP($C1793,'2021-22 School Level AAFTE'!$C:$Z,8,FALSE)</f>
        <v>No</v>
      </c>
      <c r="G1793" s="129" t="str">
        <f>VLOOKUP($C1793,'2021-22 School Level AAFTE'!$C:$Z,12,FALSE)</f>
        <v>No</v>
      </c>
      <c r="H1793" s="127">
        <f>VLOOKUP($C1793,'2021-22 School Level AAFTE'!$C:$I,7,FALSE)</f>
        <v>61.47</v>
      </c>
      <c r="I1793" s="112">
        <f>IFERROR(IF(OR(G1793="yes",F1793= "yes"),VLOOKUP(C1793,Summary!$B:$J,6,0),0),0)</f>
        <v>0</v>
      </c>
      <c r="J1793" s="111">
        <f t="shared" si="342"/>
        <v>0</v>
      </c>
      <c r="K1793" s="91">
        <f>VLOOKUP($A1793,'2022-23 Salary &amp; Benefits'!$A:$I,3,FALSE)</f>
        <v>1</v>
      </c>
      <c r="L1793" s="91">
        <f>VLOOKUP($A1793,'2022-23 Salary &amp; Benefits'!$A:$I,4,FALSE)</f>
        <v>1</v>
      </c>
      <c r="M1793" s="39">
        <f t="shared" si="337"/>
        <v>0</v>
      </c>
      <c r="N1793" s="24">
        <v>15</v>
      </c>
      <c r="O1793" s="26">
        <f t="shared" si="340"/>
        <v>0</v>
      </c>
      <c r="P1793" s="24">
        <v>1.1000000000000001</v>
      </c>
      <c r="Q1793" s="24">
        <v>36</v>
      </c>
      <c r="R1793" s="27">
        <f t="shared" si="341"/>
        <v>0</v>
      </c>
      <c r="S1793" s="102">
        <f t="shared" si="343"/>
        <v>0</v>
      </c>
      <c r="T1793" s="21">
        <f>VLOOKUP($A1793,'2022-23 Salary &amp; Benefits'!$A:$I,5,FALSE)</f>
        <v>68937</v>
      </c>
      <c r="U1793" s="21">
        <f>VLOOKUP($A1793,'2022-23 Salary &amp; Benefits'!$A:$I,6,FALSE)</f>
        <v>72728</v>
      </c>
      <c r="V1793" s="22">
        <f t="shared" si="344"/>
        <v>0</v>
      </c>
      <c r="W1793" s="22">
        <f t="shared" si="345"/>
        <v>0</v>
      </c>
      <c r="X1793" s="22">
        <f>'2022-23 Salary &amp; Benefits'!$G$6</f>
        <v>12558.24</v>
      </c>
      <c r="Y1793" s="23">
        <f>'2022-23 Salary &amp; Benefits'!$H$6</f>
        <v>0.2298</v>
      </c>
      <c r="Z1793" s="23">
        <f>'2022-23 Salary &amp; Benefits'!$I$6</f>
        <v>0.22339999999999999</v>
      </c>
      <c r="AA1793" s="22">
        <f t="shared" si="346"/>
        <v>0</v>
      </c>
      <c r="AB1793" s="22">
        <f t="shared" si="347"/>
        <v>0</v>
      </c>
      <c r="AC1793" s="22">
        <f t="shared" si="348"/>
        <v>0</v>
      </c>
      <c r="AD1793" s="22">
        <f t="shared" si="338"/>
        <v>0</v>
      </c>
      <c r="AE1793" s="22">
        <f t="shared" si="339"/>
        <v>0</v>
      </c>
      <c r="AF1793" s="19" t="str">
        <f>VLOOKUP(C1793,'2021-22 School Level AAFTE'!C:N,12,FALSE)</f>
        <v>No</v>
      </c>
    </row>
    <row r="1794" spans="1:32" s="5" customFormat="1">
      <c r="A1794" s="97" t="s">
        <v>2279</v>
      </c>
      <c r="B1794" s="97" t="s">
        <v>148</v>
      </c>
      <c r="C1794" s="95">
        <v>1708</v>
      </c>
      <c r="D1794" s="95" t="s">
        <v>2924</v>
      </c>
      <c r="E1794" s="129">
        <f>VLOOKUP($C1794,'2021-22 School Level AAFTE'!$C:$Z,11,FALSE)</f>
        <v>0.34816666666666668</v>
      </c>
      <c r="F1794" s="129" t="str">
        <f>VLOOKUP($C1794,'2021-22 School Level AAFTE'!$C:$Z,8,FALSE)</f>
        <v>No</v>
      </c>
      <c r="G1794" s="129" t="str">
        <f>VLOOKUP($C1794,'2021-22 School Level AAFTE'!$C:$Z,12,FALSE)</f>
        <v>No</v>
      </c>
      <c r="H1794" s="127">
        <f>VLOOKUP($C1794,'2021-22 School Level AAFTE'!$C:$I,7,FALSE)</f>
        <v>91.81</v>
      </c>
      <c r="I1794" s="112">
        <f>IFERROR(IF(OR(G1794="yes",F1794= "yes"),VLOOKUP(C1794,Summary!$B:$J,6,0),0),0)</f>
        <v>0</v>
      </c>
      <c r="J1794" s="111">
        <f t="shared" si="342"/>
        <v>0</v>
      </c>
      <c r="K1794" s="91">
        <f>VLOOKUP($A1794,'2022-23 Salary &amp; Benefits'!$A:$I,3,FALSE)</f>
        <v>1.06</v>
      </c>
      <c r="L1794" s="91">
        <f>VLOOKUP($A1794,'2022-23 Salary &amp; Benefits'!$A:$I,4,FALSE)</f>
        <v>1.06</v>
      </c>
      <c r="M1794" s="39">
        <f t="shared" si="337"/>
        <v>0</v>
      </c>
      <c r="N1794" s="24">
        <v>15</v>
      </c>
      <c r="O1794" s="26">
        <f t="shared" si="340"/>
        <v>0</v>
      </c>
      <c r="P1794" s="24">
        <v>1.1000000000000001</v>
      </c>
      <c r="Q1794" s="24">
        <v>36</v>
      </c>
      <c r="R1794" s="27">
        <f t="shared" si="341"/>
        <v>0</v>
      </c>
      <c r="S1794" s="102">
        <f t="shared" si="343"/>
        <v>0</v>
      </c>
      <c r="T1794" s="21">
        <f>VLOOKUP($A1794,'2022-23 Salary &amp; Benefits'!$A:$I,5,FALSE)</f>
        <v>68937</v>
      </c>
      <c r="U1794" s="21">
        <f>VLOOKUP($A1794,'2022-23 Salary &amp; Benefits'!$A:$I,6,FALSE)</f>
        <v>72728</v>
      </c>
      <c r="V1794" s="22">
        <f t="shared" si="344"/>
        <v>0</v>
      </c>
      <c r="W1794" s="22">
        <f t="shared" si="345"/>
        <v>0</v>
      </c>
      <c r="X1794" s="22">
        <f>'2022-23 Salary &amp; Benefits'!$G$6</f>
        <v>12558.24</v>
      </c>
      <c r="Y1794" s="23">
        <f>'2022-23 Salary &amp; Benefits'!$H$6</f>
        <v>0.2298</v>
      </c>
      <c r="Z1794" s="23">
        <f>'2022-23 Salary &amp; Benefits'!$I$6</f>
        <v>0.22339999999999999</v>
      </c>
      <c r="AA1794" s="22">
        <f t="shared" si="346"/>
        <v>0</v>
      </c>
      <c r="AB1794" s="22">
        <f t="shared" si="347"/>
        <v>0</v>
      </c>
      <c r="AC1794" s="22">
        <f t="shared" si="348"/>
        <v>0</v>
      </c>
      <c r="AD1794" s="22">
        <f t="shared" si="338"/>
        <v>0</v>
      </c>
      <c r="AE1794" s="22">
        <f t="shared" si="339"/>
        <v>0</v>
      </c>
      <c r="AF1794" s="19" t="str">
        <f>VLOOKUP(C1794,'2021-22 School Level AAFTE'!C:N,12,FALSE)</f>
        <v>No</v>
      </c>
    </row>
    <row r="1795" spans="1:32" s="5" customFormat="1">
      <c r="A1795" s="97" t="s">
        <v>2279</v>
      </c>
      <c r="B1795" s="97" t="s">
        <v>148</v>
      </c>
      <c r="C1795" s="95">
        <v>2471</v>
      </c>
      <c r="D1795" s="95" t="s">
        <v>149</v>
      </c>
      <c r="E1795" s="129">
        <f>VLOOKUP($C1795,'2021-22 School Level AAFTE'!$C:$Z,11,FALSE)</f>
        <v>0.3831</v>
      </c>
      <c r="F1795" s="129" t="str">
        <f>VLOOKUP($C1795,'2021-22 School Level AAFTE'!$C:$Z,8,FALSE)</f>
        <v>No</v>
      </c>
      <c r="G1795" s="129" t="str">
        <f>VLOOKUP($C1795,'2021-22 School Level AAFTE'!$C:$Z,12,FALSE)</f>
        <v>No</v>
      </c>
      <c r="H1795" s="127">
        <f>VLOOKUP($C1795,'2021-22 School Level AAFTE'!$C:$I,7,FALSE)</f>
        <v>759.59999999999991</v>
      </c>
      <c r="I1795" s="112">
        <f>IFERROR(IF(OR(G1795="yes",F1795= "yes"),VLOOKUP(C1795,Summary!$B:$J,6,0),0),0)</f>
        <v>0</v>
      </c>
      <c r="J1795" s="111">
        <f t="shared" si="342"/>
        <v>0</v>
      </c>
      <c r="K1795" s="91">
        <f>VLOOKUP($A1795,'2022-23 Salary &amp; Benefits'!$A:$I,3,FALSE)</f>
        <v>1.06</v>
      </c>
      <c r="L1795" s="91">
        <f>VLOOKUP($A1795,'2022-23 Salary &amp; Benefits'!$A:$I,4,FALSE)</f>
        <v>1.06</v>
      </c>
      <c r="M1795" s="39">
        <f t="shared" ref="M1795:M1856" si="349">IF(I1795&gt;0,I1795,J1795)</f>
        <v>0</v>
      </c>
      <c r="N1795" s="24">
        <v>15</v>
      </c>
      <c r="O1795" s="26">
        <f t="shared" si="340"/>
        <v>0</v>
      </c>
      <c r="P1795" s="24">
        <v>1.1000000000000001</v>
      </c>
      <c r="Q1795" s="24">
        <v>36</v>
      </c>
      <c r="R1795" s="27">
        <f t="shared" si="341"/>
        <v>0</v>
      </c>
      <c r="S1795" s="102">
        <f t="shared" si="343"/>
        <v>0</v>
      </c>
      <c r="T1795" s="21">
        <f>VLOOKUP($A1795,'2022-23 Salary &amp; Benefits'!$A:$I,5,FALSE)</f>
        <v>68937</v>
      </c>
      <c r="U1795" s="21">
        <f>VLOOKUP($A1795,'2022-23 Salary &amp; Benefits'!$A:$I,6,FALSE)</f>
        <v>72728</v>
      </c>
      <c r="V1795" s="22">
        <f t="shared" si="344"/>
        <v>0</v>
      </c>
      <c r="W1795" s="22">
        <f t="shared" si="345"/>
        <v>0</v>
      </c>
      <c r="X1795" s="22">
        <f>'2022-23 Salary &amp; Benefits'!$G$6</f>
        <v>12558.24</v>
      </c>
      <c r="Y1795" s="23">
        <f>'2022-23 Salary &amp; Benefits'!$H$6</f>
        <v>0.2298</v>
      </c>
      <c r="Z1795" s="23">
        <f>'2022-23 Salary &amp; Benefits'!$I$6</f>
        <v>0.22339999999999999</v>
      </c>
      <c r="AA1795" s="22">
        <f t="shared" si="346"/>
        <v>0</v>
      </c>
      <c r="AB1795" s="22">
        <f t="shared" si="347"/>
        <v>0</v>
      </c>
      <c r="AC1795" s="22">
        <f t="shared" si="348"/>
        <v>0</v>
      </c>
      <c r="AD1795" s="22">
        <f t="shared" ref="AD1795:AD1856" si="350">SUM(AB1795:AC1795)</f>
        <v>0</v>
      </c>
      <c r="AE1795" s="22">
        <f t="shared" ref="AE1795:AE1856" si="351">SUM(AA1795,V1795:W1795,AD1795)</f>
        <v>0</v>
      </c>
      <c r="AF1795" s="19" t="str">
        <f>VLOOKUP(C1795,'2021-22 School Level AAFTE'!C:N,12,FALSE)</f>
        <v>No</v>
      </c>
    </row>
    <row r="1796" spans="1:32" s="5" customFormat="1">
      <c r="A1796" s="97" t="s">
        <v>2279</v>
      </c>
      <c r="B1796" s="97" t="s">
        <v>148</v>
      </c>
      <c r="C1796" s="95">
        <v>2722</v>
      </c>
      <c r="D1796" s="95" t="s">
        <v>150</v>
      </c>
      <c r="E1796" s="129">
        <f>VLOOKUP($C1796,'2021-22 School Level AAFTE'!$C:$Z,11,FALSE)</f>
        <v>0.48913333333333336</v>
      </c>
      <c r="F1796" s="129" t="str">
        <f>VLOOKUP($C1796,'2021-22 School Level AAFTE'!$C:$Z,8,FALSE)</f>
        <v>No</v>
      </c>
      <c r="G1796" s="129" t="str">
        <f>VLOOKUP($C1796,'2021-22 School Level AAFTE'!$C:$Z,12,FALSE)</f>
        <v>No</v>
      </c>
      <c r="H1796" s="127">
        <f>VLOOKUP($C1796,'2021-22 School Level AAFTE'!$C:$I,7,FALSE)</f>
        <v>499.22</v>
      </c>
      <c r="I1796" s="112">
        <f>IFERROR(IF(OR(G1796="yes",F1796= "yes"),VLOOKUP(C1796,Summary!$B:$J,6,0),0),0)</f>
        <v>0</v>
      </c>
      <c r="J1796" s="111">
        <f t="shared" si="342"/>
        <v>0</v>
      </c>
      <c r="K1796" s="91">
        <f>VLOOKUP($A1796,'2022-23 Salary &amp; Benefits'!$A:$I,3,FALSE)</f>
        <v>1.06</v>
      </c>
      <c r="L1796" s="91">
        <f>VLOOKUP($A1796,'2022-23 Salary &amp; Benefits'!$A:$I,4,FALSE)</f>
        <v>1.06</v>
      </c>
      <c r="M1796" s="39">
        <f t="shared" si="349"/>
        <v>0</v>
      </c>
      <c r="N1796" s="24">
        <v>15</v>
      </c>
      <c r="O1796" s="26">
        <f t="shared" si="340"/>
        <v>0</v>
      </c>
      <c r="P1796" s="24">
        <v>1.1000000000000001</v>
      </c>
      <c r="Q1796" s="24">
        <v>36</v>
      </c>
      <c r="R1796" s="27">
        <f t="shared" si="341"/>
        <v>0</v>
      </c>
      <c r="S1796" s="102">
        <f t="shared" si="343"/>
        <v>0</v>
      </c>
      <c r="T1796" s="21">
        <f>VLOOKUP($A1796,'2022-23 Salary &amp; Benefits'!$A:$I,5,FALSE)</f>
        <v>68937</v>
      </c>
      <c r="U1796" s="21">
        <f>VLOOKUP($A1796,'2022-23 Salary &amp; Benefits'!$A:$I,6,FALSE)</f>
        <v>72728</v>
      </c>
      <c r="V1796" s="22">
        <f t="shared" si="344"/>
        <v>0</v>
      </c>
      <c r="W1796" s="22">
        <f t="shared" si="345"/>
        <v>0</v>
      </c>
      <c r="X1796" s="22">
        <f>'2022-23 Salary &amp; Benefits'!$G$6</f>
        <v>12558.24</v>
      </c>
      <c r="Y1796" s="23">
        <f>'2022-23 Salary &amp; Benefits'!$H$6</f>
        <v>0.2298</v>
      </c>
      <c r="Z1796" s="23">
        <f>'2022-23 Salary &amp; Benefits'!$I$6</f>
        <v>0.22339999999999999</v>
      </c>
      <c r="AA1796" s="22">
        <f t="shared" si="346"/>
        <v>0</v>
      </c>
      <c r="AB1796" s="22">
        <f t="shared" si="347"/>
        <v>0</v>
      </c>
      <c r="AC1796" s="22">
        <f t="shared" si="348"/>
        <v>0</v>
      </c>
      <c r="AD1796" s="22">
        <f t="shared" si="350"/>
        <v>0</v>
      </c>
      <c r="AE1796" s="22">
        <f t="shared" si="351"/>
        <v>0</v>
      </c>
      <c r="AF1796" s="19" t="str">
        <f>VLOOKUP(C1796,'2021-22 School Level AAFTE'!C:N,12,FALSE)</f>
        <v>No</v>
      </c>
    </row>
    <row r="1797" spans="1:32" s="5" customFormat="1">
      <c r="A1797" s="97" t="s">
        <v>2279</v>
      </c>
      <c r="B1797" s="97" t="s">
        <v>148</v>
      </c>
      <c r="C1797" s="95">
        <v>4378</v>
      </c>
      <c r="D1797" s="95" t="s">
        <v>151</v>
      </c>
      <c r="E1797" s="129">
        <f>VLOOKUP($C1797,'2021-22 School Level AAFTE'!$C:$Z,11,FALSE)</f>
        <v>0.45986666666666665</v>
      </c>
      <c r="F1797" s="129" t="str">
        <f>VLOOKUP($C1797,'2021-22 School Level AAFTE'!$C:$Z,8,FALSE)</f>
        <v>No</v>
      </c>
      <c r="G1797" s="129" t="str">
        <f>VLOOKUP($C1797,'2021-22 School Level AAFTE'!$C:$Z,12,FALSE)</f>
        <v>No</v>
      </c>
      <c r="H1797" s="127">
        <f>VLOOKUP($C1797,'2021-22 School Level AAFTE'!$C:$I,7,FALSE)</f>
        <v>513.65</v>
      </c>
      <c r="I1797" s="112">
        <f>IFERROR(IF(OR(G1797="yes",F1797= "yes"),VLOOKUP(C1797,Summary!$B:$J,6,0),0),0)</f>
        <v>0</v>
      </c>
      <c r="J1797" s="111">
        <f t="shared" si="342"/>
        <v>0</v>
      </c>
      <c r="K1797" s="91">
        <f>VLOOKUP($A1797,'2022-23 Salary &amp; Benefits'!$A:$I,3,FALSE)</f>
        <v>1.06</v>
      </c>
      <c r="L1797" s="91">
        <f>VLOOKUP($A1797,'2022-23 Salary &amp; Benefits'!$A:$I,4,FALSE)</f>
        <v>1.06</v>
      </c>
      <c r="M1797" s="39">
        <f t="shared" si="349"/>
        <v>0</v>
      </c>
      <c r="N1797" s="24">
        <v>15</v>
      </c>
      <c r="O1797" s="26">
        <f t="shared" si="340"/>
        <v>0</v>
      </c>
      <c r="P1797" s="24">
        <v>1.1000000000000001</v>
      </c>
      <c r="Q1797" s="24">
        <v>36</v>
      </c>
      <c r="R1797" s="27">
        <f t="shared" si="341"/>
        <v>0</v>
      </c>
      <c r="S1797" s="102">
        <f t="shared" si="343"/>
        <v>0</v>
      </c>
      <c r="T1797" s="21">
        <f>VLOOKUP($A1797,'2022-23 Salary &amp; Benefits'!$A:$I,5,FALSE)</f>
        <v>68937</v>
      </c>
      <c r="U1797" s="21">
        <f>VLOOKUP($A1797,'2022-23 Salary &amp; Benefits'!$A:$I,6,FALSE)</f>
        <v>72728</v>
      </c>
      <c r="V1797" s="22">
        <f t="shared" si="344"/>
        <v>0</v>
      </c>
      <c r="W1797" s="22">
        <f t="shared" si="345"/>
        <v>0</v>
      </c>
      <c r="X1797" s="22">
        <f>'2022-23 Salary &amp; Benefits'!$G$6</f>
        <v>12558.24</v>
      </c>
      <c r="Y1797" s="23">
        <f>'2022-23 Salary &amp; Benefits'!$H$6</f>
        <v>0.2298</v>
      </c>
      <c r="Z1797" s="23">
        <f>'2022-23 Salary &amp; Benefits'!$I$6</f>
        <v>0.22339999999999999</v>
      </c>
      <c r="AA1797" s="22">
        <f t="shared" si="346"/>
        <v>0</v>
      </c>
      <c r="AB1797" s="22">
        <f t="shared" si="347"/>
        <v>0</v>
      </c>
      <c r="AC1797" s="22">
        <f t="shared" si="348"/>
        <v>0</v>
      </c>
      <c r="AD1797" s="22">
        <f t="shared" si="350"/>
        <v>0</v>
      </c>
      <c r="AE1797" s="22">
        <f t="shared" si="351"/>
        <v>0</v>
      </c>
      <c r="AF1797" s="19" t="str">
        <f>VLOOKUP(C1797,'2021-22 School Level AAFTE'!C:N,12,FALSE)</f>
        <v>No</v>
      </c>
    </row>
    <row r="1798" spans="1:32" s="5" customFormat="1">
      <c r="A1798" s="97" t="s">
        <v>2279</v>
      </c>
      <c r="B1798" s="97" t="s">
        <v>148</v>
      </c>
      <c r="C1798" s="95">
        <v>4519</v>
      </c>
      <c r="D1798" s="95" t="s">
        <v>152</v>
      </c>
      <c r="E1798" s="129">
        <f>VLOOKUP($C1798,'2021-22 School Level AAFTE'!$C:$Z,11,FALSE)</f>
        <v>0.4427666666666667</v>
      </c>
      <c r="F1798" s="129" t="str">
        <f>VLOOKUP($C1798,'2021-22 School Level AAFTE'!$C:$Z,8,FALSE)</f>
        <v>No</v>
      </c>
      <c r="G1798" s="129" t="str">
        <f>VLOOKUP($C1798,'2021-22 School Level AAFTE'!$C:$Z,12,FALSE)</f>
        <v>No</v>
      </c>
      <c r="H1798" s="127">
        <f>VLOOKUP($C1798,'2021-22 School Level AAFTE'!$C:$I,7,FALSE)</f>
        <v>547.92999999999995</v>
      </c>
      <c r="I1798" s="112">
        <f>IFERROR(IF(OR(G1798="yes",F1798= "yes"),VLOOKUP(C1798,Summary!$B:$J,6,0),0),0)</f>
        <v>0</v>
      </c>
      <c r="J1798" s="111">
        <f t="shared" si="342"/>
        <v>0</v>
      </c>
      <c r="K1798" s="91">
        <f>VLOOKUP($A1798,'2022-23 Salary &amp; Benefits'!$A:$I,3,FALSE)</f>
        <v>1.06</v>
      </c>
      <c r="L1798" s="91">
        <f>VLOOKUP($A1798,'2022-23 Salary &amp; Benefits'!$A:$I,4,FALSE)</f>
        <v>1.06</v>
      </c>
      <c r="M1798" s="39">
        <f t="shared" si="349"/>
        <v>0</v>
      </c>
      <c r="N1798" s="24">
        <v>15</v>
      </c>
      <c r="O1798" s="26">
        <f t="shared" si="340"/>
        <v>0</v>
      </c>
      <c r="P1798" s="24">
        <v>1.1000000000000001</v>
      </c>
      <c r="Q1798" s="24">
        <v>36</v>
      </c>
      <c r="R1798" s="27">
        <f t="shared" si="341"/>
        <v>0</v>
      </c>
      <c r="S1798" s="102">
        <f t="shared" si="343"/>
        <v>0</v>
      </c>
      <c r="T1798" s="21">
        <f>VLOOKUP($A1798,'2022-23 Salary &amp; Benefits'!$A:$I,5,FALSE)</f>
        <v>68937</v>
      </c>
      <c r="U1798" s="21">
        <f>VLOOKUP($A1798,'2022-23 Salary &amp; Benefits'!$A:$I,6,FALSE)</f>
        <v>72728</v>
      </c>
      <c r="V1798" s="22">
        <f t="shared" si="344"/>
        <v>0</v>
      </c>
      <c r="W1798" s="22">
        <f t="shared" si="345"/>
        <v>0</v>
      </c>
      <c r="X1798" s="22">
        <f>'2022-23 Salary &amp; Benefits'!$G$6</f>
        <v>12558.24</v>
      </c>
      <c r="Y1798" s="23">
        <f>'2022-23 Salary &amp; Benefits'!$H$6</f>
        <v>0.2298</v>
      </c>
      <c r="Z1798" s="23">
        <f>'2022-23 Salary &amp; Benefits'!$I$6</f>
        <v>0.22339999999999999</v>
      </c>
      <c r="AA1798" s="22">
        <f t="shared" si="346"/>
        <v>0</v>
      </c>
      <c r="AB1798" s="22">
        <f t="shared" si="347"/>
        <v>0</v>
      </c>
      <c r="AC1798" s="22">
        <f t="shared" si="348"/>
        <v>0</v>
      </c>
      <c r="AD1798" s="22">
        <f t="shared" si="350"/>
        <v>0</v>
      </c>
      <c r="AE1798" s="22">
        <f t="shared" si="351"/>
        <v>0</v>
      </c>
      <c r="AF1798" s="19" t="str">
        <f>VLOOKUP(C1798,'2021-22 School Level AAFTE'!C:N,12,FALSE)</f>
        <v>No</v>
      </c>
    </row>
    <row r="1799" spans="1:32" s="5" customFormat="1">
      <c r="A1799" s="97" t="s">
        <v>2279</v>
      </c>
      <c r="B1799" s="97" t="s">
        <v>148</v>
      </c>
      <c r="C1799" s="95">
        <v>5613</v>
      </c>
      <c r="D1799" s="95" t="s">
        <v>2923</v>
      </c>
      <c r="E1799" s="129">
        <f>VLOOKUP($C1799,'2021-22 School Level AAFTE'!$C:$Z,11,FALSE)</f>
        <v>0.4602</v>
      </c>
      <c r="F1799" s="129" t="str">
        <f>VLOOKUP($C1799,'2021-22 School Level AAFTE'!$C:$Z,8,FALSE)</f>
        <v>No</v>
      </c>
      <c r="G1799" s="129" t="str">
        <f>VLOOKUP($C1799,'2021-22 School Level AAFTE'!$C:$Z,12,FALSE)</f>
        <v>No</v>
      </c>
      <c r="H1799" s="127">
        <f>VLOOKUP($C1799,'2021-22 School Level AAFTE'!$C:$I,7,FALSE)</f>
        <v>125.26</v>
      </c>
      <c r="I1799" s="112">
        <f>IFERROR(IF(OR(G1799="yes",F1799= "yes"),VLOOKUP(C1799,Summary!$B:$J,6,0),0),0)</f>
        <v>0</v>
      </c>
      <c r="J1799" s="111">
        <f t="shared" si="342"/>
        <v>0</v>
      </c>
      <c r="K1799" s="91">
        <f>VLOOKUP($A1799,'2022-23 Salary &amp; Benefits'!$A:$I,3,FALSE)</f>
        <v>1.06</v>
      </c>
      <c r="L1799" s="91">
        <f>VLOOKUP($A1799,'2022-23 Salary &amp; Benefits'!$A:$I,4,FALSE)</f>
        <v>1.06</v>
      </c>
      <c r="M1799" s="101">
        <f t="shared" si="349"/>
        <v>0</v>
      </c>
      <c r="N1799" s="24">
        <v>15</v>
      </c>
      <c r="O1799" s="26">
        <f t="shared" si="340"/>
        <v>0</v>
      </c>
      <c r="P1799" s="24">
        <v>1.1000000000000001</v>
      </c>
      <c r="Q1799" s="24">
        <v>36</v>
      </c>
      <c r="R1799" s="27">
        <f t="shared" si="341"/>
        <v>0</v>
      </c>
      <c r="S1799" s="102">
        <f t="shared" si="343"/>
        <v>0</v>
      </c>
      <c r="T1799" s="21">
        <f>VLOOKUP($A1799,'2022-23 Salary &amp; Benefits'!$A:$I,5,FALSE)</f>
        <v>68937</v>
      </c>
      <c r="U1799" s="21">
        <f>VLOOKUP($A1799,'2022-23 Salary &amp; Benefits'!$A:$I,6,FALSE)</f>
        <v>72728</v>
      </c>
      <c r="V1799" s="22">
        <f t="shared" si="344"/>
        <v>0</v>
      </c>
      <c r="W1799" s="22">
        <f t="shared" si="345"/>
        <v>0</v>
      </c>
      <c r="X1799" s="22">
        <f>'2022-23 Salary &amp; Benefits'!$G$6</f>
        <v>12558.24</v>
      </c>
      <c r="Y1799" s="23">
        <f>'2022-23 Salary &amp; Benefits'!$H$6</f>
        <v>0.2298</v>
      </c>
      <c r="Z1799" s="23">
        <f>'2022-23 Salary &amp; Benefits'!$I$6</f>
        <v>0.22339999999999999</v>
      </c>
      <c r="AA1799" s="22">
        <f t="shared" si="346"/>
        <v>0</v>
      </c>
      <c r="AB1799" s="22">
        <f t="shared" si="347"/>
        <v>0</v>
      </c>
      <c r="AC1799" s="22">
        <f t="shared" si="348"/>
        <v>0</v>
      </c>
      <c r="AD1799" s="22">
        <f t="shared" si="350"/>
        <v>0</v>
      </c>
      <c r="AE1799" s="22">
        <f t="shared" si="351"/>
        <v>0</v>
      </c>
      <c r="AF1799" s="19" t="str">
        <f>VLOOKUP(C1799,'2021-22 School Level AAFTE'!C:N,12,FALSE)</f>
        <v>No</v>
      </c>
    </row>
    <row r="1800" spans="1:32" s="5" customFormat="1">
      <c r="A1800" s="97" t="s">
        <v>2456</v>
      </c>
      <c r="B1800" s="97" t="s">
        <v>1525</v>
      </c>
      <c r="C1800" s="95">
        <v>3725</v>
      </c>
      <c r="D1800" s="95" t="s">
        <v>1526</v>
      </c>
      <c r="E1800" s="129">
        <f>VLOOKUP($C1800,'2021-22 School Level AAFTE'!$C:$Z,11,FALSE)</f>
        <v>0</v>
      </c>
      <c r="F1800" s="129" t="str">
        <f>VLOOKUP($C1800,'2021-22 School Level AAFTE'!$C:$Z,8,FALSE)</f>
        <v>No</v>
      </c>
      <c r="G1800" s="129" t="str">
        <f>VLOOKUP($C1800,'2021-22 School Level AAFTE'!$C:$Z,12,FALSE)</f>
        <v>No</v>
      </c>
      <c r="H1800" s="127">
        <f>VLOOKUP($C1800,'2021-22 School Level AAFTE'!$C:$I,7,FALSE)</f>
        <v>9.57</v>
      </c>
      <c r="I1800" s="112">
        <f>IFERROR(IF(OR(G1800="yes",F1800= "yes"),VLOOKUP(C1800,Summary!$B:$J,6,0),0),0)</f>
        <v>0</v>
      </c>
      <c r="J1800" s="111">
        <f t="shared" si="342"/>
        <v>0</v>
      </c>
      <c r="K1800" s="91">
        <f>VLOOKUP($A1800,'2022-23 Salary &amp; Benefits'!$A:$I,3,FALSE)</f>
        <v>1.1200000000000001</v>
      </c>
      <c r="L1800" s="91">
        <f>VLOOKUP($A1800,'2022-23 Salary &amp; Benefits'!$A:$I,4,FALSE)</f>
        <v>1.1200000000000001</v>
      </c>
      <c r="M1800" s="101">
        <f t="shared" si="349"/>
        <v>0</v>
      </c>
      <c r="N1800" s="24">
        <v>15</v>
      </c>
      <c r="O1800" s="26">
        <f t="shared" si="340"/>
        <v>0</v>
      </c>
      <c r="P1800" s="24">
        <v>1.1000000000000001</v>
      </c>
      <c r="Q1800" s="24">
        <v>36</v>
      </c>
      <c r="R1800" s="27">
        <f t="shared" si="341"/>
        <v>0</v>
      </c>
      <c r="S1800" s="102">
        <f t="shared" si="343"/>
        <v>0</v>
      </c>
      <c r="T1800" s="21">
        <f>VLOOKUP($A1800,'2022-23 Salary &amp; Benefits'!$A:$I,5,FALSE)</f>
        <v>68937</v>
      </c>
      <c r="U1800" s="21">
        <f>VLOOKUP($A1800,'2022-23 Salary &amp; Benefits'!$A:$I,6,FALSE)</f>
        <v>72728</v>
      </c>
      <c r="V1800" s="22">
        <f t="shared" si="344"/>
        <v>0</v>
      </c>
      <c r="W1800" s="22">
        <f t="shared" si="345"/>
        <v>0</v>
      </c>
      <c r="X1800" s="22">
        <f>'2022-23 Salary &amp; Benefits'!$G$6</f>
        <v>12558.24</v>
      </c>
      <c r="Y1800" s="23">
        <f>'2022-23 Salary &amp; Benefits'!$H$6</f>
        <v>0.2298</v>
      </c>
      <c r="Z1800" s="23">
        <f>'2022-23 Salary &amp; Benefits'!$I$6</f>
        <v>0.22339999999999999</v>
      </c>
      <c r="AA1800" s="22">
        <f t="shared" si="346"/>
        <v>0</v>
      </c>
      <c r="AB1800" s="22">
        <f t="shared" si="347"/>
        <v>0</v>
      </c>
      <c r="AC1800" s="22">
        <f t="shared" si="348"/>
        <v>0</v>
      </c>
      <c r="AD1800" s="22">
        <f t="shared" si="350"/>
        <v>0</v>
      </c>
      <c r="AE1800" s="22">
        <f t="shared" si="351"/>
        <v>0</v>
      </c>
      <c r="AF1800" s="19" t="str">
        <f>VLOOKUP(C1800,'2021-22 School Level AAFTE'!C:N,12,FALSE)</f>
        <v>No</v>
      </c>
    </row>
    <row r="1801" spans="1:32" s="5" customFormat="1">
      <c r="A1801" s="97" t="s">
        <v>2416</v>
      </c>
      <c r="B1801" s="97" t="s">
        <v>1208</v>
      </c>
      <c r="C1801" s="141">
        <v>2745</v>
      </c>
      <c r="D1801" s="56" t="s">
        <v>1209</v>
      </c>
      <c r="E1801" s="129">
        <f>VLOOKUP($C1801,'2021-22 School Level AAFTE'!$C:$Z,11,FALSE)</f>
        <v>0.85946666666666671</v>
      </c>
      <c r="F1801" s="129" t="str">
        <f>VLOOKUP($C1801,'2021-22 School Level AAFTE'!$C:$Z,8,FALSE)</f>
        <v>Yes</v>
      </c>
      <c r="G1801" s="129" t="str">
        <f>VLOOKUP($C1801,'2021-22 School Level AAFTE'!$C:$Z,12,FALSE)</f>
        <v>No</v>
      </c>
      <c r="H1801" s="127">
        <f>VLOOKUP($C1801,'2021-22 School Level AAFTE'!$C:$I,7,FALSE)</f>
        <v>426.63</v>
      </c>
      <c r="I1801" s="112">
        <f>IFERROR(IF(OR(G1801="yes",F1801= "yes"),VLOOKUP(C1801,Summary!$B:$J,6,0),0),0)</f>
        <v>0</v>
      </c>
      <c r="J1801" s="111">
        <f t="shared" si="342"/>
        <v>426.63</v>
      </c>
      <c r="K1801" s="91">
        <f>VLOOKUP($A1801,'2022-23 Salary &amp; Benefits'!$A:$I,3,FALSE)</f>
        <v>1</v>
      </c>
      <c r="L1801" s="91">
        <f>VLOOKUP($A1801,'2022-23 Salary &amp; Benefits'!$A:$I,4,FALSE)</f>
        <v>1</v>
      </c>
      <c r="M1801" s="101">
        <f t="shared" si="349"/>
        <v>426.63</v>
      </c>
      <c r="N1801" s="24">
        <v>15</v>
      </c>
      <c r="O1801" s="26">
        <f t="shared" si="340"/>
        <v>28.442</v>
      </c>
      <c r="P1801" s="24">
        <v>1.1000000000000001</v>
      </c>
      <c r="Q1801" s="24">
        <v>36</v>
      </c>
      <c r="R1801" s="27">
        <f t="shared" si="341"/>
        <v>1126.3032000000001</v>
      </c>
      <c r="S1801" s="102">
        <f t="shared" si="343"/>
        <v>1.2509999999999999</v>
      </c>
      <c r="T1801" s="21">
        <f>VLOOKUP($A1801,'2022-23 Salary &amp; Benefits'!$A:$I,5,FALSE)</f>
        <v>68937</v>
      </c>
      <c r="U1801" s="21">
        <f>VLOOKUP($A1801,'2022-23 Salary &amp; Benefits'!$A:$I,6,FALSE)</f>
        <v>72728</v>
      </c>
      <c r="V1801" s="22">
        <f t="shared" si="344"/>
        <v>86240.19</v>
      </c>
      <c r="W1801" s="22">
        <f t="shared" si="345"/>
        <v>4742.5399999999936</v>
      </c>
      <c r="X1801" s="22">
        <f>'2022-23 Salary &amp; Benefits'!$G$6</f>
        <v>12558.24</v>
      </c>
      <c r="Y1801" s="23">
        <f>'2022-23 Salary &amp; Benefits'!$H$6</f>
        <v>0.2298</v>
      </c>
      <c r="Z1801" s="23">
        <f>'2022-23 Salary &amp; Benefits'!$I$6</f>
        <v>0.22339999999999999</v>
      </c>
      <c r="AA1801" s="22">
        <f t="shared" si="346"/>
        <v>36587.839999999997</v>
      </c>
      <c r="AB1801" s="22">
        <f t="shared" si="347"/>
        <v>1516.38</v>
      </c>
      <c r="AC1801" s="22">
        <f t="shared" si="348"/>
        <v>338.76</v>
      </c>
      <c r="AD1801" s="22">
        <f t="shared" si="350"/>
        <v>1855.14</v>
      </c>
      <c r="AE1801" s="22">
        <f t="shared" si="351"/>
        <v>129425.70999999999</v>
      </c>
      <c r="AF1801" s="19" t="str">
        <f>VLOOKUP(C1801,'2021-22 School Level AAFTE'!C:N,12,FALSE)</f>
        <v>No</v>
      </c>
    </row>
    <row r="1802" spans="1:32" s="5" customFormat="1">
      <c r="A1802" s="97" t="s">
        <v>2416</v>
      </c>
      <c r="B1802" s="97" t="s">
        <v>1208</v>
      </c>
      <c r="C1802" s="95">
        <v>3241</v>
      </c>
      <c r="D1802" s="95" t="s">
        <v>1210</v>
      </c>
      <c r="E1802" s="129">
        <f>VLOOKUP($C1802,'2021-22 School Level AAFTE'!$C:$Z,11,FALSE)</f>
        <v>0.57856666666666667</v>
      </c>
      <c r="F1802" s="129" t="str">
        <f>VLOOKUP($C1802,'2021-22 School Level AAFTE'!$C:$Z,8,FALSE)</f>
        <v>Yes</v>
      </c>
      <c r="G1802" s="129" t="str">
        <f>VLOOKUP($C1802,'2021-22 School Level AAFTE'!$C:$Z,12,FALSE)</f>
        <v>No</v>
      </c>
      <c r="H1802" s="127">
        <f>VLOOKUP($C1802,'2021-22 School Level AAFTE'!$C:$I,7,FALSE)</f>
        <v>1473.8</v>
      </c>
      <c r="I1802" s="112">
        <f>IFERROR(IF(OR(G1802="yes",F1802= "yes"),VLOOKUP(C1802,Summary!$B:$J,6,0),0),0)</f>
        <v>0</v>
      </c>
      <c r="J1802" s="111">
        <f t="shared" si="342"/>
        <v>1473.8</v>
      </c>
      <c r="K1802" s="91">
        <f>VLOOKUP($A1802,'2022-23 Salary &amp; Benefits'!$A:$I,3,FALSE)</f>
        <v>1</v>
      </c>
      <c r="L1802" s="91">
        <f>VLOOKUP($A1802,'2022-23 Salary &amp; Benefits'!$A:$I,4,FALSE)</f>
        <v>1</v>
      </c>
      <c r="M1802" s="101">
        <f t="shared" si="349"/>
        <v>1473.8</v>
      </c>
      <c r="N1802" s="24">
        <v>15</v>
      </c>
      <c r="O1802" s="26">
        <f t="shared" ref="O1802:O1865" si="352">IF(M1802="no",0,M1802/N1802)</f>
        <v>98.25333333333333</v>
      </c>
      <c r="P1802" s="24">
        <v>1.1000000000000001</v>
      </c>
      <c r="Q1802" s="24">
        <v>36</v>
      </c>
      <c r="R1802" s="27">
        <f t="shared" ref="R1802:R1865" si="353">IF(M1802="no",0,O1802*P1802*Q1802)</f>
        <v>3890.8320000000003</v>
      </c>
      <c r="S1802" s="102">
        <f t="shared" si="343"/>
        <v>4.3230000000000004</v>
      </c>
      <c r="T1802" s="21">
        <f>VLOOKUP($A1802,'2022-23 Salary &amp; Benefits'!$A:$I,5,FALSE)</f>
        <v>68937</v>
      </c>
      <c r="U1802" s="21">
        <f>VLOOKUP($A1802,'2022-23 Salary &amp; Benefits'!$A:$I,6,FALSE)</f>
        <v>72728</v>
      </c>
      <c r="V1802" s="22">
        <f t="shared" si="344"/>
        <v>298014.65000000002</v>
      </c>
      <c r="W1802" s="22">
        <f t="shared" si="345"/>
        <v>16388.489999999991</v>
      </c>
      <c r="X1802" s="22">
        <f>'2022-23 Salary &amp; Benefits'!$G$6</f>
        <v>12558.24</v>
      </c>
      <c r="Y1802" s="23">
        <f>'2022-23 Salary &amp; Benefits'!$H$6</f>
        <v>0.2298</v>
      </c>
      <c r="Z1802" s="23">
        <f>'2022-23 Salary &amp; Benefits'!$I$6</f>
        <v>0.22339999999999999</v>
      </c>
      <c r="AA1802" s="22">
        <f t="shared" si="346"/>
        <v>126434.23</v>
      </c>
      <c r="AB1802" s="22">
        <f t="shared" si="347"/>
        <v>5240.05</v>
      </c>
      <c r="AC1802" s="22">
        <f t="shared" si="348"/>
        <v>1170.6300000000001</v>
      </c>
      <c r="AD1802" s="22">
        <f t="shared" si="350"/>
        <v>6410.68</v>
      </c>
      <c r="AE1802" s="22">
        <f t="shared" si="351"/>
        <v>447248.05</v>
      </c>
      <c r="AF1802" s="19" t="str">
        <f>VLOOKUP(C1802,'2021-22 School Level AAFTE'!C:N,12,FALSE)</f>
        <v>No</v>
      </c>
    </row>
    <row r="1803" spans="1:32" s="5" customFormat="1">
      <c r="A1803" s="97" t="s">
        <v>2416</v>
      </c>
      <c r="B1803" s="97" t="s">
        <v>1208</v>
      </c>
      <c r="C1803" s="95">
        <v>3291</v>
      </c>
      <c r="D1803" s="95" t="s">
        <v>1211</v>
      </c>
      <c r="E1803" s="129">
        <f>VLOOKUP($C1803,'2021-22 School Level AAFTE'!$C:$Z,11,FALSE)</f>
        <v>0.64170000000000005</v>
      </c>
      <c r="F1803" s="129" t="str">
        <f>VLOOKUP($C1803,'2021-22 School Level AAFTE'!$C:$Z,8,FALSE)</f>
        <v>Yes</v>
      </c>
      <c r="G1803" s="129" t="str">
        <f>VLOOKUP($C1803,'2021-22 School Level AAFTE'!$C:$Z,12,FALSE)</f>
        <v>No</v>
      </c>
      <c r="H1803" s="127">
        <f>VLOOKUP($C1803,'2021-22 School Level AAFTE'!$C:$I,7,FALSE)</f>
        <v>449.76</v>
      </c>
      <c r="I1803" s="112">
        <f>IFERROR(IF(OR(G1803="yes",F1803= "yes"),VLOOKUP(C1803,Summary!$B:$J,6,0),0),0)</f>
        <v>0</v>
      </c>
      <c r="J1803" s="111">
        <f t="shared" ref="J1803:J1866" si="354">IF(OR(G1803="yes",F1803= "yes"), H1803,0)</f>
        <v>449.76</v>
      </c>
      <c r="K1803" s="91">
        <f>VLOOKUP($A1803,'2022-23 Salary &amp; Benefits'!$A:$I,3,FALSE)</f>
        <v>1</v>
      </c>
      <c r="L1803" s="91">
        <f>VLOOKUP($A1803,'2022-23 Salary &amp; Benefits'!$A:$I,4,FALSE)</f>
        <v>1</v>
      </c>
      <c r="M1803" s="101">
        <f t="shared" si="349"/>
        <v>449.76</v>
      </c>
      <c r="N1803" s="24">
        <v>15</v>
      </c>
      <c r="O1803" s="26">
        <f t="shared" si="352"/>
        <v>29.983999999999998</v>
      </c>
      <c r="P1803" s="24">
        <v>1.1000000000000001</v>
      </c>
      <c r="Q1803" s="24">
        <v>36</v>
      </c>
      <c r="R1803" s="27">
        <f t="shared" si="353"/>
        <v>1187.3663999999999</v>
      </c>
      <c r="S1803" s="102">
        <f t="shared" ref="S1803:S1866" si="355">ROUND(IF(M1803="no",0,R1803/900),3)</f>
        <v>1.319</v>
      </c>
      <c r="T1803" s="21">
        <f>VLOOKUP($A1803,'2022-23 Salary &amp; Benefits'!$A:$I,5,FALSE)</f>
        <v>68937</v>
      </c>
      <c r="U1803" s="21">
        <f>VLOOKUP($A1803,'2022-23 Salary &amp; Benefits'!$A:$I,6,FALSE)</f>
        <v>72728</v>
      </c>
      <c r="V1803" s="22">
        <f t="shared" ref="V1803:V1866" si="356">ROUND($K1803*$T1803*$S1803,2)</f>
        <v>90927.9</v>
      </c>
      <c r="W1803" s="22">
        <f t="shared" ref="W1803:W1866" si="357">ROUND($L1803*$U1803*$S1803,2)-V1803</f>
        <v>5000.3300000000017</v>
      </c>
      <c r="X1803" s="22">
        <f>'2022-23 Salary &amp; Benefits'!$G$6</f>
        <v>12558.24</v>
      </c>
      <c r="Y1803" s="23">
        <f>'2022-23 Salary &amp; Benefits'!$H$6</f>
        <v>0.2298</v>
      </c>
      <c r="Z1803" s="23">
        <f>'2022-23 Salary &amp; Benefits'!$I$6</f>
        <v>0.22339999999999999</v>
      </c>
      <c r="AA1803" s="22">
        <f t="shared" ref="AA1803:AA1866" si="358">ROUND(V1803*Y1803+W1803*Z1803+S1803*X1803,2)</f>
        <v>38576.620000000003</v>
      </c>
      <c r="AB1803" s="22">
        <f t="shared" ref="AB1803:AB1866" si="359">ROUND(($U1803*$L1803*$S1803/180*3),2)</f>
        <v>1598.8</v>
      </c>
      <c r="AC1803" s="22">
        <f t="shared" ref="AC1803:AC1866" si="360">ROUND(AB1803*Z1803,2)</f>
        <v>357.17</v>
      </c>
      <c r="AD1803" s="22">
        <f t="shared" si="350"/>
        <v>1955.97</v>
      </c>
      <c r="AE1803" s="22">
        <f t="shared" si="351"/>
        <v>136460.81999999998</v>
      </c>
      <c r="AF1803" s="19" t="str">
        <f>VLOOKUP(C1803,'2021-22 School Level AAFTE'!C:N,12,FALSE)</f>
        <v>No</v>
      </c>
    </row>
    <row r="1804" spans="1:32" s="5" customFormat="1">
      <c r="A1804" s="97" t="s">
        <v>2416</v>
      </c>
      <c r="B1804" s="97" t="s">
        <v>1208</v>
      </c>
      <c r="C1804" s="95">
        <v>3292</v>
      </c>
      <c r="D1804" s="95" t="s">
        <v>417</v>
      </c>
      <c r="E1804" s="129">
        <f>VLOOKUP($C1804,'2021-22 School Level AAFTE'!$C:$Z,11,FALSE)</f>
        <v>0.66566666666666663</v>
      </c>
      <c r="F1804" s="129" t="str">
        <f>VLOOKUP($C1804,'2021-22 School Level AAFTE'!$C:$Z,8,FALSE)</f>
        <v>Yes</v>
      </c>
      <c r="G1804" s="129" t="str">
        <f>VLOOKUP($C1804,'2021-22 School Level AAFTE'!$C:$Z,12,FALSE)</f>
        <v>No</v>
      </c>
      <c r="H1804" s="127">
        <f>VLOOKUP($C1804,'2021-22 School Level AAFTE'!$C:$I,7,FALSE)</f>
        <v>483.12</v>
      </c>
      <c r="I1804" s="112">
        <f>IFERROR(IF(OR(G1804="yes",F1804= "yes"),VLOOKUP(C1804,Summary!$B:$J,6,0),0),0)</f>
        <v>0</v>
      </c>
      <c r="J1804" s="111">
        <f t="shared" si="354"/>
        <v>483.12</v>
      </c>
      <c r="K1804" s="91">
        <f>VLOOKUP($A1804,'2022-23 Salary &amp; Benefits'!$A:$I,3,FALSE)</f>
        <v>1</v>
      </c>
      <c r="L1804" s="91">
        <f>VLOOKUP($A1804,'2022-23 Salary &amp; Benefits'!$A:$I,4,FALSE)</f>
        <v>1</v>
      </c>
      <c r="M1804" s="101">
        <f t="shared" si="349"/>
        <v>483.12</v>
      </c>
      <c r="N1804" s="24">
        <v>15</v>
      </c>
      <c r="O1804" s="26">
        <f t="shared" si="352"/>
        <v>32.207999999999998</v>
      </c>
      <c r="P1804" s="24">
        <v>1.1000000000000001</v>
      </c>
      <c r="Q1804" s="24">
        <v>36</v>
      </c>
      <c r="R1804" s="27">
        <f t="shared" si="353"/>
        <v>1275.4368000000002</v>
      </c>
      <c r="S1804" s="102">
        <f t="shared" si="355"/>
        <v>1.417</v>
      </c>
      <c r="T1804" s="21">
        <f>VLOOKUP($A1804,'2022-23 Salary &amp; Benefits'!$A:$I,5,FALSE)</f>
        <v>68937</v>
      </c>
      <c r="U1804" s="21">
        <f>VLOOKUP($A1804,'2022-23 Salary &amp; Benefits'!$A:$I,6,FALSE)</f>
        <v>72728</v>
      </c>
      <c r="V1804" s="22">
        <f t="shared" si="356"/>
        <v>97683.73</v>
      </c>
      <c r="W1804" s="22">
        <f t="shared" si="357"/>
        <v>5371.8500000000058</v>
      </c>
      <c r="X1804" s="22">
        <f>'2022-23 Salary &amp; Benefits'!$G$6</f>
        <v>12558.24</v>
      </c>
      <c r="Y1804" s="23">
        <f>'2022-23 Salary &amp; Benefits'!$H$6</f>
        <v>0.2298</v>
      </c>
      <c r="Z1804" s="23">
        <f>'2022-23 Salary &amp; Benefits'!$I$6</f>
        <v>0.22339999999999999</v>
      </c>
      <c r="AA1804" s="22">
        <f t="shared" si="358"/>
        <v>41442.82</v>
      </c>
      <c r="AB1804" s="22">
        <f t="shared" si="359"/>
        <v>1717.59</v>
      </c>
      <c r="AC1804" s="22">
        <f t="shared" si="360"/>
        <v>383.71</v>
      </c>
      <c r="AD1804" s="22">
        <f t="shared" si="350"/>
        <v>2101.2999999999997</v>
      </c>
      <c r="AE1804" s="22">
        <f t="shared" si="351"/>
        <v>146599.69999999998</v>
      </c>
      <c r="AF1804" s="19" t="str">
        <f>VLOOKUP(C1804,'2021-22 School Level AAFTE'!C:N,12,FALSE)</f>
        <v>No</v>
      </c>
    </row>
    <row r="1805" spans="1:32" s="5" customFormat="1">
      <c r="A1805" s="97" t="s">
        <v>2416</v>
      </c>
      <c r="B1805" s="97" t="s">
        <v>1208</v>
      </c>
      <c r="C1805" s="95">
        <v>4288</v>
      </c>
      <c r="D1805" s="95" t="s">
        <v>2926</v>
      </c>
      <c r="E1805" s="129">
        <f>VLOOKUP($C1805,'2021-22 School Level AAFTE'!$C:$Z,11,FALSE)</f>
        <v>0.68410000000000004</v>
      </c>
      <c r="F1805" s="129" t="str">
        <f>VLOOKUP($C1805,'2021-22 School Level AAFTE'!$C:$Z,8,FALSE)</f>
        <v>Yes</v>
      </c>
      <c r="G1805" s="129" t="str">
        <f>VLOOKUP($C1805,'2021-22 School Level AAFTE'!$C:$Z,12,FALSE)</f>
        <v>No</v>
      </c>
      <c r="H1805" s="127">
        <f>VLOOKUP($C1805,'2021-22 School Level AAFTE'!$C:$I,7,FALSE)</f>
        <v>168.26999999999998</v>
      </c>
      <c r="I1805" s="112">
        <f>IFERROR(IF(OR(G1805="yes",F1805= "yes"),VLOOKUP(C1805,Summary!$B:$J,6,0),0),0)</f>
        <v>0</v>
      </c>
      <c r="J1805" s="111">
        <f t="shared" si="354"/>
        <v>168.26999999999998</v>
      </c>
      <c r="K1805" s="91">
        <f>VLOOKUP($A1805,'2022-23 Salary &amp; Benefits'!$A:$I,3,FALSE)</f>
        <v>1</v>
      </c>
      <c r="L1805" s="91">
        <f>VLOOKUP($A1805,'2022-23 Salary &amp; Benefits'!$A:$I,4,FALSE)</f>
        <v>1</v>
      </c>
      <c r="M1805" s="101">
        <f t="shared" si="349"/>
        <v>168.26999999999998</v>
      </c>
      <c r="N1805" s="24">
        <v>15</v>
      </c>
      <c r="O1805" s="26">
        <f t="shared" si="352"/>
        <v>11.217999999999998</v>
      </c>
      <c r="P1805" s="24">
        <v>1.1000000000000001</v>
      </c>
      <c r="Q1805" s="24">
        <v>36</v>
      </c>
      <c r="R1805" s="27">
        <f t="shared" si="353"/>
        <v>444.23279999999994</v>
      </c>
      <c r="S1805" s="102">
        <f t="shared" si="355"/>
        <v>0.49399999999999999</v>
      </c>
      <c r="T1805" s="21">
        <f>VLOOKUP($A1805,'2022-23 Salary &amp; Benefits'!$A:$I,5,FALSE)</f>
        <v>68937</v>
      </c>
      <c r="U1805" s="21">
        <f>VLOOKUP($A1805,'2022-23 Salary &amp; Benefits'!$A:$I,6,FALSE)</f>
        <v>72728</v>
      </c>
      <c r="V1805" s="22">
        <f t="shared" si="356"/>
        <v>34054.879999999997</v>
      </c>
      <c r="W1805" s="22">
        <f t="shared" si="357"/>
        <v>1872.75</v>
      </c>
      <c r="X1805" s="22">
        <f>'2022-23 Salary &amp; Benefits'!$G$6</f>
        <v>12558.24</v>
      </c>
      <c r="Y1805" s="23">
        <f>'2022-23 Salary &amp; Benefits'!$H$6</f>
        <v>0.2298</v>
      </c>
      <c r="Z1805" s="23">
        <f>'2022-23 Salary &amp; Benefits'!$I$6</f>
        <v>0.22339999999999999</v>
      </c>
      <c r="AA1805" s="22">
        <f t="shared" si="358"/>
        <v>14447.95</v>
      </c>
      <c r="AB1805" s="22">
        <f t="shared" si="359"/>
        <v>598.79</v>
      </c>
      <c r="AC1805" s="22">
        <f t="shared" si="360"/>
        <v>133.77000000000001</v>
      </c>
      <c r="AD1805" s="22">
        <f t="shared" si="350"/>
        <v>732.56</v>
      </c>
      <c r="AE1805" s="22">
        <f t="shared" si="351"/>
        <v>51108.14</v>
      </c>
      <c r="AF1805" s="19" t="str">
        <f>VLOOKUP(C1805,'2021-22 School Level AAFTE'!C:N,12,FALSE)</f>
        <v>No</v>
      </c>
    </row>
    <row r="1806" spans="1:32" s="5" customFormat="1">
      <c r="A1806" s="97" t="s">
        <v>2416</v>
      </c>
      <c r="B1806" s="97" t="s">
        <v>1208</v>
      </c>
      <c r="C1806" s="95">
        <v>4363</v>
      </c>
      <c r="D1806" s="95" t="s">
        <v>1212</v>
      </c>
      <c r="E1806" s="129">
        <f>VLOOKUP($C1806,'2021-22 School Level AAFTE'!$C:$Z,11,FALSE)</f>
        <v>0.67220000000000002</v>
      </c>
      <c r="F1806" s="129" t="str">
        <f>VLOOKUP($C1806,'2021-22 School Level AAFTE'!$C:$Z,8,FALSE)</f>
        <v>Yes</v>
      </c>
      <c r="G1806" s="129" t="str">
        <f>VLOOKUP($C1806,'2021-22 School Level AAFTE'!$C:$Z,12,FALSE)</f>
        <v>No</v>
      </c>
      <c r="H1806" s="127">
        <f>VLOOKUP($C1806,'2021-22 School Level AAFTE'!$C:$I,7,FALSE)</f>
        <v>584.66</v>
      </c>
      <c r="I1806" s="112">
        <f>IFERROR(IF(OR(G1806="yes",F1806= "yes"),VLOOKUP(C1806,Summary!$B:$J,6,0),0),0)</f>
        <v>0</v>
      </c>
      <c r="J1806" s="111">
        <f t="shared" si="354"/>
        <v>584.66</v>
      </c>
      <c r="K1806" s="91">
        <f>VLOOKUP($A1806,'2022-23 Salary &amp; Benefits'!$A:$I,3,FALSE)</f>
        <v>1</v>
      </c>
      <c r="L1806" s="91">
        <f>VLOOKUP($A1806,'2022-23 Salary &amp; Benefits'!$A:$I,4,FALSE)</f>
        <v>1</v>
      </c>
      <c r="M1806" s="39">
        <f t="shared" si="349"/>
        <v>584.66</v>
      </c>
      <c r="N1806" s="24">
        <v>15</v>
      </c>
      <c r="O1806" s="26">
        <f t="shared" si="352"/>
        <v>38.977333333333334</v>
      </c>
      <c r="P1806" s="24">
        <v>1.1000000000000001</v>
      </c>
      <c r="Q1806" s="24">
        <v>36</v>
      </c>
      <c r="R1806" s="27">
        <f t="shared" si="353"/>
        <v>1543.5024000000001</v>
      </c>
      <c r="S1806" s="102">
        <f t="shared" si="355"/>
        <v>1.7150000000000001</v>
      </c>
      <c r="T1806" s="21">
        <f>VLOOKUP($A1806,'2022-23 Salary &amp; Benefits'!$A:$I,5,FALSE)</f>
        <v>68937</v>
      </c>
      <c r="U1806" s="21">
        <f>VLOOKUP($A1806,'2022-23 Salary &amp; Benefits'!$A:$I,6,FALSE)</f>
        <v>72728</v>
      </c>
      <c r="V1806" s="22">
        <f t="shared" si="356"/>
        <v>118226.96</v>
      </c>
      <c r="W1806" s="22">
        <f t="shared" si="357"/>
        <v>6501.5599999999977</v>
      </c>
      <c r="X1806" s="22">
        <f>'2022-23 Salary &amp; Benefits'!$G$6</f>
        <v>12558.24</v>
      </c>
      <c r="Y1806" s="23">
        <f>'2022-23 Salary &amp; Benefits'!$H$6</f>
        <v>0.2298</v>
      </c>
      <c r="Z1806" s="23">
        <f>'2022-23 Salary &amp; Benefits'!$I$6</f>
        <v>0.22339999999999999</v>
      </c>
      <c r="AA1806" s="22">
        <f t="shared" si="358"/>
        <v>50158.39</v>
      </c>
      <c r="AB1806" s="22">
        <f t="shared" si="359"/>
        <v>2078.81</v>
      </c>
      <c r="AC1806" s="22">
        <f t="shared" si="360"/>
        <v>464.41</v>
      </c>
      <c r="AD1806" s="22">
        <f t="shared" si="350"/>
        <v>2543.2199999999998</v>
      </c>
      <c r="AE1806" s="22">
        <f t="shared" si="351"/>
        <v>177430.13</v>
      </c>
      <c r="AF1806" s="19" t="str">
        <f>VLOOKUP(C1806,'2021-22 School Level AAFTE'!C:N,12,FALSE)</f>
        <v>No</v>
      </c>
    </row>
    <row r="1807" spans="1:32" s="5" customFormat="1">
      <c r="A1807" s="97" t="s">
        <v>2416</v>
      </c>
      <c r="B1807" s="97" t="s">
        <v>1208</v>
      </c>
      <c r="C1807" s="95">
        <v>4586</v>
      </c>
      <c r="D1807" s="95" t="s">
        <v>813</v>
      </c>
      <c r="E1807" s="129">
        <f>VLOOKUP($C1807,'2021-22 School Level AAFTE'!$C:$Z,11,FALSE)</f>
        <v>0.7203666666666666</v>
      </c>
      <c r="F1807" s="129" t="str">
        <f>VLOOKUP($C1807,'2021-22 School Level AAFTE'!$C:$Z,8,FALSE)</f>
        <v>Yes</v>
      </c>
      <c r="G1807" s="129" t="str">
        <f>VLOOKUP($C1807,'2021-22 School Level AAFTE'!$C:$Z,12,FALSE)</f>
        <v>No</v>
      </c>
      <c r="H1807" s="127">
        <f>VLOOKUP($C1807,'2021-22 School Level AAFTE'!$C:$I,7,FALSE)</f>
        <v>541.42999999999995</v>
      </c>
      <c r="I1807" s="112">
        <f>IFERROR(IF(OR(G1807="yes",F1807= "yes"),VLOOKUP(C1807,Summary!$B:$J,6,0),0),0)</f>
        <v>0</v>
      </c>
      <c r="J1807" s="111">
        <f t="shared" si="354"/>
        <v>541.42999999999995</v>
      </c>
      <c r="K1807" s="91">
        <f>VLOOKUP($A1807,'2022-23 Salary &amp; Benefits'!$A:$I,3,FALSE)</f>
        <v>1</v>
      </c>
      <c r="L1807" s="91">
        <f>VLOOKUP($A1807,'2022-23 Salary &amp; Benefits'!$A:$I,4,FALSE)</f>
        <v>1</v>
      </c>
      <c r="M1807" s="101">
        <f t="shared" si="349"/>
        <v>541.42999999999995</v>
      </c>
      <c r="N1807" s="24">
        <v>15</v>
      </c>
      <c r="O1807" s="26">
        <f t="shared" si="352"/>
        <v>36.095333333333329</v>
      </c>
      <c r="P1807" s="24">
        <v>1.1000000000000001</v>
      </c>
      <c r="Q1807" s="24">
        <v>36</v>
      </c>
      <c r="R1807" s="27">
        <f t="shared" si="353"/>
        <v>1429.3751999999999</v>
      </c>
      <c r="S1807" s="102">
        <f t="shared" si="355"/>
        <v>1.5880000000000001</v>
      </c>
      <c r="T1807" s="21">
        <f>VLOOKUP($A1807,'2022-23 Salary &amp; Benefits'!$A:$I,5,FALSE)</f>
        <v>68937</v>
      </c>
      <c r="U1807" s="21">
        <f>VLOOKUP($A1807,'2022-23 Salary &amp; Benefits'!$A:$I,6,FALSE)</f>
        <v>72728</v>
      </c>
      <c r="V1807" s="22">
        <f t="shared" si="356"/>
        <v>109471.96</v>
      </c>
      <c r="W1807" s="22">
        <f t="shared" si="357"/>
        <v>6020.0999999999913</v>
      </c>
      <c r="X1807" s="22">
        <f>'2022-23 Salary &amp; Benefits'!$G$6</f>
        <v>12558.24</v>
      </c>
      <c r="Y1807" s="23">
        <f>'2022-23 Salary &amp; Benefits'!$H$6</f>
        <v>0.2298</v>
      </c>
      <c r="Z1807" s="23">
        <f>'2022-23 Salary &amp; Benefits'!$I$6</f>
        <v>0.22339999999999999</v>
      </c>
      <c r="AA1807" s="22">
        <f t="shared" si="358"/>
        <v>46444.03</v>
      </c>
      <c r="AB1807" s="22">
        <f t="shared" si="359"/>
        <v>1924.87</v>
      </c>
      <c r="AC1807" s="22">
        <f t="shared" si="360"/>
        <v>430.02</v>
      </c>
      <c r="AD1807" s="22">
        <f t="shared" si="350"/>
        <v>2354.89</v>
      </c>
      <c r="AE1807" s="22">
        <f t="shared" si="351"/>
        <v>164290.97999999998</v>
      </c>
      <c r="AF1807" s="19" t="str">
        <f>VLOOKUP(C1807,'2021-22 School Level AAFTE'!C:N,12,FALSE)</f>
        <v>No</v>
      </c>
    </row>
    <row r="1808" spans="1:32" s="5" customFormat="1">
      <c r="A1808" s="97" t="s">
        <v>2416</v>
      </c>
      <c r="B1808" s="97" t="s">
        <v>1208</v>
      </c>
      <c r="C1808" s="95">
        <v>5548</v>
      </c>
      <c r="D1808" s="95" t="s">
        <v>2810</v>
      </c>
      <c r="E1808" s="129">
        <f>VLOOKUP($C1808,'2021-22 School Level AAFTE'!$C:$Z,11,FALSE)</f>
        <v>0.54323333333333335</v>
      </c>
      <c r="F1808" s="129" t="str">
        <f>VLOOKUP($C1808,'2021-22 School Level AAFTE'!$C:$Z,8,FALSE)</f>
        <v>Yes</v>
      </c>
      <c r="G1808" s="129" t="str">
        <f>VLOOKUP($C1808,'2021-22 School Level AAFTE'!$C:$Z,12,FALSE)</f>
        <v>No</v>
      </c>
      <c r="H1808" s="127">
        <f>VLOOKUP($C1808,'2021-22 School Level AAFTE'!$C:$I,7,FALSE)</f>
        <v>44</v>
      </c>
      <c r="I1808" s="112">
        <f>IFERROR(IF(OR(G1808="yes",F1808= "yes"),VLOOKUP(C1808,Summary!$B:$J,6,0),0),0)</f>
        <v>0</v>
      </c>
      <c r="J1808" s="111">
        <f t="shared" si="354"/>
        <v>44</v>
      </c>
      <c r="K1808" s="91">
        <f>VLOOKUP($A1808,'2022-23 Salary &amp; Benefits'!$A:$I,3,FALSE)</f>
        <v>1</v>
      </c>
      <c r="L1808" s="91">
        <f>VLOOKUP($A1808,'2022-23 Salary &amp; Benefits'!$A:$I,4,FALSE)</f>
        <v>1</v>
      </c>
      <c r="M1808" s="101">
        <f t="shared" si="349"/>
        <v>44</v>
      </c>
      <c r="N1808" s="24">
        <v>15</v>
      </c>
      <c r="O1808" s="26">
        <f t="shared" si="352"/>
        <v>2.9333333333333331</v>
      </c>
      <c r="P1808" s="24">
        <v>1.1000000000000001</v>
      </c>
      <c r="Q1808" s="24">
        <v>36</v>
      </c>
      <c r="R1808" s="27">
        <f t="shared" si="353"/>
        <v>116.16</v>
      </c>
      <c r="S1808" s="102">
        <f t="shared" si="355"/>
        <v>0.129</v>
      </c>
      <c r="T1808" s="21">
        <f>VLOOKUP($A1808,'2022-23 Salary &amp; Benefits'!$A:$I,5,FALSE)</f>
        <v>68937</v>
      </c>
      <c r="U1808" s="21">
        <f>VLOOKUP($A1808,'2022-23 Salary &amp; Benefits'!$A:$I,6,FALSE)</f>
        <v>72728</v>
      </c>
      <c r="V1808" s="22">
        <f t="shared" si="356"/>
        <v>8892.8700000000008</v>
      </c>
      <c r="W1808" s="22">
        <f t="shared" si="357"/>
        <v>489.03999999999905</v>
      </c>
      <c r="X1808" s="22">
        <f>'2022-23 Salary &amp; Benefits'!$G$6</f>
        <v>12558.24</v>
      </c>
      <c r="Y1808" s="23">
        <f>'2022-23 Salary &amp; Benefits'!$H$6</f>
        <v>0.2298</v>
      </c>
      <c r="Z1808" s="23">
        <f>'2022-23 Salary &amp; Benefits'!$I$6</f>
        <v>0.22339999999999999</v>
      </c>
      <c r="AA1808" s="22">
        <f t="shared" si="358"/>
        <v>3772.85</v>
      </c>
      <c r="AB1808" s="22">
        <f t="shared" si="359"/>
        <v>156.37</v>
      </c>
      <c r="AC1808" s="22">
        <f t="shared" si="360"/>
        <v>34.93</v>
      </c>
      <c r="AD1808" s="22">
        <f t="shared" si="350"/>
        <v>191.3</v>
      </c>
      <c r="AE1808" s="22">
        <f t="shared" si="351"/>
        <v>13346.06</v>
      </c>
      <c r="AF1808" s="19" t="str">
        <f>VLOOKUP(C1808,'2021-22 School Level AAFTE'!C:N,12,FALSE)</f>
        <v>No</v>
      </c>
    </row>
    <row r="1809" spans="1:32" s="5" customFormat="1">
      <c r="A1809" s="97" t="s">
        <v>2416</v>
      </c>
      <c r="B1809" s="97" t="s">
        <v>1208</v>
      </c>
      <c r="C1809" s="95">
        <v>5621</v>
      </c>
      <c r="D1809" s="95" t="s">
        <v>2925</v>
      </c>
      <c r="E1809" s="129">
        <f>VLOOKUP($C1809,'2021-22 School Level AAFTE'!$C:$Z,11,FALSE)</f>
        <v>0.68864999999999998</v>
      </c>
      <c r="F1809" s="129" t="str">
        <f>VLOOKUP($C1809,'2021-22 School Level AAFTE'!$C:$Z,8,FALSE)</f>
        <v>Yes</v>
      </c>
      <c r="G1809" s="129" t="str">
        <f>VLOOKUP($C1809,'2021-22 School Level AAFTE'!$C:$Z,12,FALSE)</f>
        <v>No</v>
      </c>
      <c r="H1809" s="127">
        <f>VLOOKUP($C1809,'2021-22 School Level AAFTE'!$C:$I,7,FALSE)</f>
        <v>89.429999999999993</v>
      </c>
      <c r="I1809" s="112">
        <f>IFERROR(IF(OR(G1809="yes",F1809= "yes"),VLOOKUP(C1809,Summary!$B:$J,6,0),0),0)</f>
        <v>0</v>
      </c>
      <c r="J1809" s="111">
        <f t="shared" si="354"/>
        <v>89.429999999999993</v>
      </c>
      <c r="K1809" s="91">
        <f>VLOOKUP($A1809,'2022-23 Salary &amp; Benefits'!$A:$I,3,FALSE)</f>
        <v>1</v>
      </c>
      <c r="L1809" s="91">
        <f>VLOOKUP($A1809,'2022-23 Salary &amp; Benefits'!$A:$I,4,FALSE)</f>
        <v>1</v>
      </c>
      <c r="M1809" s="101">
        <f t="shared" si="349"/>
        <v>89.429999999999993</v>
      </c>
      <c r="N1809" s="24">
        <v>15</v>
      </c>
      <c r="O1809" s="26">
        <f t="shared" si="352"/>
        <v>5.9619999999999997</v>
      </c>
      <c r="P1809" s="24">
        <v>1.1000000000000001</v>
      </c>
      <c r="Q1809" s="24">
        <v>36</v>
      </c>
      <c r="R1809" s="27">
        <f t="shared" si="353"/>
        <v>236.09520000000001</v>
      </c>
      <c r="S1809" s="102">
        <f t="shared" si="355"/>
        <v>0.26200000000000001</v>
      </c>
      <c r="T1809" s="21">
        <f>VLOOKUP($A1809,'2022-23 Salary &amp; Benefits'!$A:$I,5,FALSE)</f>
        <v>68937</v>
      </c>
      <c r="U1809" s="21">
        <f>VLOOKUP($A1809,'2022-23 Salary &amp; Benefits'!$A:$I,6,FALSE)</f>
        <v>72728</v>
      </c>
      <c r="V1809" s="22">
        <f t="shared" si="356"/>
        <v>18061.490000000002</v>
      </c>
      <c r="W1809" s="22">
        <f t="shared" si="357"/>
        <v>993.25</v>
      </c>
      <c r="X1809" s="22">
        <f>'2022-23 Salary &amp; Benefits'!$G$6</f>
        <v>12558.24</v>
      </c>
      <c r="Y1809" s="23">
        <f>'2022-23 Salary &amp; Benefits'!$H$6</f>
        <v>0.2298</v>
      </c>
      <c r="Z1809" s="23">
        <f>'2022-23 Salary &amp; Benefits'!$I$6</f>
        <v>0.22339999999999999</v>
      </c>
      <c r="AA1809" s="22">
        <f t="shared" si="358"/>
        <v>7662.68</v>
      </c>
      <c r="AB1809" s="22">
        <f t="shared" si="359"/>
        <v>317.58</v>
      </c>
      <c r="AC1809" s="22">
        <f t="shared" si="360"/>
        <v>70.95</v>
      </c>
      <c r="AD1809" s="22">
        <f t="shared" si="350"/>
        <v>388.53</v>
      </c>
      <c r="AE1809" s="22">
        <f t="shared" si="351"/>
        <v>27105.95</v>
      </c>
      <c r="AF1809" s="19" t="str">
        <f>VLOOKUP(C1809,'2021-22 School Level AAFTE'!C:N,12,FALSE)</f>
        <v>No</v>
      </c>
    </row>
    <row r="1810" spans="1:32" s="5" customFormat="1">
      <c r="A1810" s="97" t="s">
        <v>2363</v>
      </c>
      <c r="B1810" s="97" t="s">
        <v>871</v>
      </c>
      <c r="C1810" s="95">
        <v>1667</v>
      </c>
      <c r="D1810" s="95" t="s">
        <v>872</v>
      </c>
      <c r="E1810" s="129">
        <f>VLOOKUP($C1810,'2021-22 School Level AAFTE'!$C:$Z,11,FALSE)</f>
        <v>0.19286666666666666</v>
      </c>
      <c r="F1810" s="129" t="str">
        <f>VLOOKUP($C1810,'2021-22 School Level AAFTE'!$C:$Z,8,FALSE)</f>
        <v>No</v>
      </c>
      <c r="G1810" s="129" t="str">
        <f>VLOOKUP($C1810,'2021-22 School Level AAFTE'!$C:$Z,12,FALSE)</f>
        <v>No</v>
      </c>
      <c r="H1810" s="127">
        <f>VLOOKUP($C1810,'2021-22 School Level AAFTE'!$C:$I,7,FALSE)</f>
        <v>7.9</v>
      </c>
      <c r="I1810" s="112">
        <f>IFERROR(IF(OR(G1810="yes",F1810= "yes"),VLOOKUP(C1810,Summary!$B:$J,6,0),0),0)</f>
        <v>0</v>
      </c>
      <c r="J1810" s="111">
        <f t="shared" si="354"/>
        <v>0</v>
      </c>
      <c r="K1810" s="91">
        <f>VLOOKUP($A1810,'2022-23 Salary &amp; Benefits'!$A:$I,3,FALSE)</f>
        <v>1.18</v>
      </c>
      <c r="L1810" s="91">
        <f>VLOOKUP($A1810,'2022-23 Salary &amp; Benefits'!$A:$I,4,FALSE)</f>
        <v>1.18</v>
      </c>
      <c r="M1810" s="101">
        <f t="shared" si="349"/>
        <v>0</v>
      </c>
      <c r="N1810" s="24">
        <v>15</v>
      </c>
      <c r="O1810" s="26">
        <f t="shared" si="352"/>
        <v>0</v>
      </c>
      <c r="P1810" s="24">
        <v>1.1000000000000001</v>
      </c>
      <c r="Q1810" s="24">
        <v>36</v>
      </c>
      <c r="R1810" s="27">
        <f t="shared" si="353"/>
        <v>0</v>
      </c>
      <c r="S1810" s="102">
        <f t="shared" si="355"/>
        <v>0</v>
      </c>
      <c r="T1810" s="21">
        <f>VLOOKUP($A1810,'2022-23 Salary &amp; Benefits'!$A:$I,5,FALSE)</f>
        <v>68937</v>
      </c>
      <c r="U1810" s="21">
        <f>VLOOKUP($A1810,'2022-23 Salary &amp; Benefits'!$A:$I,6,FALSE)</f>
        <v>72728</v>
      </c>
      <c r="V1810" s="22">
        <f t="shared" si="356"/>
        <v>0</v>
      </c>
      <c r="W1810" s="22">
        <f t="shared" si="357"/>
        <v>0</v>
      </c>
      <c r="X1810" s="22">
        <f>'2022-23 Salary &amp; Benefits'!$G$6</f>
        <v>12558.24</v>
      </c>
      <c r="Y1810" s="23">
        <f>'2022-23 Salary &amp; Benefits'!$H$6</f>
        <v>0.2298</v>
      </c>
      <c r="Z1810" s="23">
        <f>'2022-23 Salary &amp; Benefits'!$I$6</f>
        <v>0.22339999999999999</v>
      </c>
      <c r="AA1810" s="22">
        <f t="shared" si="358"/>
        <v>0</v>
      </c>
      <c r="AB1810" s="22">
        <f t="shared" si="359"/>
        <v>0</v>
      </c>
      <c r="AC1810" s="22">
        <f t="shared" si="360"/>
        <v>0</v>
      </c>
      <c r="AD1810" s="22">
        <f t="shared" si="350"/>
        <v>0</v>
      </c>
      <c r="AE1810" s="22">
        <f t="shared" si="351"/>
        <v>0</v>
      </c>
      <c r="AF1810" s="19" t="str">
        <f>VLOOKUP(C1810,'2021-22 School Level AAFTE'!C:N,12,FALSE)</f>
        <v>No</v>
      </c>
    </row>
    <row r="1811" spans="1:32" s="5" customFormat="1">
      <c r="A1811" s="97" t="s">
        <v>2363</v>
      </c>
      <c r="B1811" s="97" t="s">
        <v>871</v>
      </c>
      <c r="C1811" s="95">
        <v>1771</v>
      </c>
      <c r="D1811" s="95" t="s">
        <v>873</v>
      </c>
      <c r="E1811" s="129">
        <f>VLOOKUP($C1811,'2021-22 School Level AAFTE'!$C:$Z,11,FALSE)</f>
        <v>7.0733333333333329E-2</v>
      </c>
      <c r="F1811" s="129" t="str">
        <f>VLOOKUP($C1811,'2021-22 School Level AAFTE'!$C:$Z,8,FALSE)</f>
        <v>No</v>
      </c>
      <c r="G1811" s="129" t="str">
        <f>VLOOKUP($C1811,'2021-22 School Level AAFTE'!$C:$Z,12,FALSE)</f>
        <v>No</v>
      </c>
      <c r="H1811" s="127">
        <f>VLOOKUP($C1811,'2021-22 School Level AAFTE'!$C:$I,7,FALSE)</f>
        <v>114.35</v>
      </c>
      <c r="I1811" s="112">
        <f>IFERROR(IF(OR(G1811="yes",F1811= "yes"),VLOOKUP(C1811,Summary!$B:$J,6,0),0),0)</f>
        <v>0</v>
      </c>
      <c r="J1811" s="111">
        <f t="shared" si="354"/>
        <v>0</v>
      </c>
      <c r="K1811" s="91">
        <f>VLOOKUP($A1811,'2022-23 Salary &amp; Benefits'!$A:$I,3,FALSE)</f>
        <v>1.18</v>
      </c>
      <c r="L1811" s="91">
        <f>VLOOKUP($A1811,'2022-23 Salary &amp; Benefits'!$A:$I,4,FALSE)</f>
        <v>1.18</v>
      </c>
      <c r="M1811" s="101">
        <f t="shared" si="349"/>
        <v>0</v>
      </c>
      <c r="N1811" s="24">
        <v>15</v>
      </c>
      <c r="O1811" s="26">
        <f t="shared" si="352"/>
        <v>0</v>
      </c>
      <c r="P1811" s="24">
        <v>1.1000000000000001</v>
      </c>
      <c r="Q1811" s="24">
        <v>36</v>
      </c>
      <c r="R1811" s="27">
        <f t="shared" si="353"/>
        <v>0</v>
      </c>
      <c r="S1811" s="102">
        <f t="shared" si="355"/>
        <v>0</v>
      </c>
      <c r="T1811" s="21">
        <f>VLOOKUP($A1811,'2022-23 Salary &amp; Benefits'!$A:$I,5,FALSE)</f>
        <v>68937</v>
      </c>
      <c r="U1811" s="21">
        <f>VLOOKUP($A1811,'2022-23 Salary &amp; Benefits'!$A:$I,6,FALSE)</f>
        <v>72728</v>
      </c>
      <c r="V1811" s="22">
        <f t="shared" si="356"/>
        <v>0</v>
      </c>
      <c r="W1811" s="22">
        <f t="shared" si="357"/>
        <v>0</v>
      </c>
      <c r="X1811" s="22">
        <f>'2022-23 Salary &amp; Benefits'!$G$6</f>
        <v>12558.24</v>
      </c>
      <c r="Y1811" s="23">
        <f>'2022-23 Salary &amp; Benefits'!$H$6</f>
        <v>0.2298</v>
      </c>
      <c r="Z1811" s="23">
        <f>'2022-23 Salary &amp; Benefits'!$I$6</f>
        <v>0.22339999999999999</v>
      </c>
      <c r="AA1811" s="22">
        <f t="shared" si="358"/>
        <v>0</v>
      </c>
      <c r="AB1811" s="22">
        <f t="shared" si="359"/>
        <v>0</v>
      </c>
      <c r="AC1811" s="22">
        <f t="shared" si="360"/>
        <v>0</v>
      </c>
      <c r="AD1811" s="22">
        <f t="shared" si="350"/>
        <v>0</v>
      </c>
      <c r="AE1811" s="22">
        <f t="shared" si="351"/>
        <v>0</v>
      </c>
      <c r="AF1811" s="19" t="str">
        <f>VLOOKUP(C1811,'2021-22 School Level AAFTE'!C:N,12,FALSE)</f>
        <v>No</v>
      </c>
    </row>
    <row r="1812" spans="1:32" s="5" customFormat="1">
      <c r="A1812" s="97" t="s">
        <v>2363</v>
      </c>
      <c r="B1812" s="97" t="s">
        <v>871</v>
      </c>
      <c r="C1812" s="95">
        <v>1942</v>
      </c>
      <c r="D1812" s="95" t="s">
        <v>874</v>
      </c>
      <c r="E1812" s="129">
        <f>VLOOKUP($C1812,'2021-22 School Level AAFTE'!$C:$Z,11,FALSE)</f>
        <v>0.2132333333333333</v>
      </c>
      <c r="F1812" s="129" t="str">
        <f>VLOOKUP($C1812,'2021-22 School Level AAFTE'!$C:$Z,8,FALSE)</f>
        <v>No</v>
      </c>
      <c r="G1812" s="129" t="str">
        <f>VLOOKUP($C1812,'2021-22 School Level AAFTE'!$C:$Z,12,FALSE)</f>
        <v>No</v>
      </c>
      <c r="H1812" s="127">
        <f>VLOOKUP($C1812,'2021-22 School Level AAFTE'!$C:$I,7,FALSE)</f>
        <v>198.76</v>
      </c>
      <c r="I1812" s="112">
        <f>IFERROR(IF(OR(G1812="yes",F1812= "yes"),VLOOKUP(C1812,Summary!$B:$J,6,0),0),0)</f>
        <v>0</v>
      </c>
      <c r="J1812" s="111">
        <f t="shared" si="354"/>
        <v>0</v>
      </c>
      <c r="K1812" s="91">
        <f>VLOOKUP($A1812,'2022-23 Salary &amp; Benefits'!$A:$I,3,FALSE)</f>
        <v>1.18</v>
      </c>
      <c r="L1812" s="91">
        <f>VLOOKUP($A1812,'2022-23 Salary &amp; Benefits'!$A:$I,4,FALSE)</f>
        <v>1.18</v>
      </c>
      <c r="M1812" s="101">
        <f t="shared" si="349"/>
        <v>0</v>
      </c>
      <c r="N1812" s="24">
        <v>15</v>
      </c>
      <c r="O1812" s="26">
        <f t="shared" si="352"/>
        <v>0</v>
      </c>
      <c r="P1812" s="24">
        <v>1.1000000000000001</v>
      </c>
      <c r="Q1812" s="24">
        <v>36</v>
      </c>
      <c r="R1812" s="27">
        <f t="shared" si="353"/>
        <v>0</v>
      </c>
      <c r="S1812" s="102">
        <f t="shared" si="355"/>
        <v>0</v>
      </c>
      <c r="T1812" s="21">
        <f>VLOOKUP($A1812,'2022-23 Salary &amp; Benefits'!$A:$I,5,FALSE)</f>
        <v>68937</v>
      </c>
      <c r="U1812" s="21">
        <f>VLOOKUP($A1812,'2022-23 Salary &amp; Benefits'!$A:$I,6,FALSE)</f>
        <v>72728</v>
      </c>
      <c r="V1812" s="22">
        <f t="shared" si="356"/>
        <v>0</v>
      </c>
      <c r="W1812" s="22">
        <f t="shared" si="357"/>
        <v>0</v>
      </c>
      <c r="X1812" s="22">
        <f>'2022-23 Salary &amp; Benefits'!$G$6</f>
        <v>12558.24</v>
      </c>
      <c r="Y1812" s="23">
        <f>'2022-23 Salary &amp; Benefits'!$H$6</f>
        <v>0.2298</v>
      </c>
      <c r="Z1812" s="23">
        <f>'2022-23 Salary &amp; Benefits'!$I$6</f>
        <v>0.22339999999999999</v>
      </c>
      <c r="AA1812" s="22">
        <f t="shared" si="358"/>
        <v>0</v>
      </c>
      <c r="AB1812" s="22">
        <f t="shared" si="359"/>
        <v>0</v>
      </c>
      <c r="AC1812" s="22">
        <f t="shared" si="360"/>
        <v>0</v>
      </c>
      <c r="AD1812" s="22">
        <f t="shared" si="350"/>
        <v>0</v>
      </c>
      <c r="AE1812" s="22">
        <f t="shared" si="351"/>
        <v>0</v>
      </c>
      <c r="AF1812" s="19" t="str">
        <f>VLOOKUP(C1812,'2021-22 School Level AAFTE'!C:N,12,FALSE)</f>
        <v>No</v>
      </c>
    </row>
    <row r="1813" spans="1:32" s="5" customFormat="1">
      <c r="A1813" s="97" t="s">
        <v>2363</v>
      </c>
      <c r="B1813" s="97" t="s">
        <v>871</v>
      </c>
      <c r="C1813" s="95">
        <v>2185</v>
      </c>
      <c r="D1813" s="95" t="s">
        <v>875</v>
      </c>
      <c r="E1813" s="129">
        <f>VLOOKUP($C1813,'2021-22 School Level AAFTE'!$C:$Z,11,FALSE)</f>
        <v>0.2351</v>
      </c>
      <c r="F1813" s="129" t="str">
        <f>VLOOKUP($C1813,'2021-22 School Level AAFTE'!$C:$Z,8,FALSE)</f>
        <v>No</v>
      </c>
      <c r="G1813" s="129" t="str">
        <f>VLOOKUP($C1813,'2021-22 School Level AAFTE'!$C:$Z,12,FALSE)</f>
        <v>No</v>
      </c>
      <c r="H1813" s="127">
        <f>VLOOKUP($C1813,'2021-22 School Level AAFTE'!$C:$I,7,FALSE)</f>
        <v>439.39</v>
      </c>
      <c r="I1813" s="112">
        <f>IFERROR(IF(OR(G1813="yes",F1813= "yes"),VLOOKUP(C1813,Summary!$B:$J,6,0),0),0)</f>
        <v>0</v>
      </c>
      <c r="J1813" s="111">
        <f t="shared" si="354"/>
        <v>0</v>
      </c>
      <c r="K1813" s="91">
        <f>VLOOKUP($A1813,'2022-23 Salary &amp; Benefits'!$A:$I,3,FALSE)</f>
        <v>1.18</v>
      </c>
      <c r="L1813" s="91">
        <f>VLOOKUP($A1813,'2022-23 Salary &amp; Benefits'!$A:$I,4,FALSE)</f>
        <v>1.18</v>
      </c>
      <c r="M1813" s="39">
        <f t="shared" si="349"/>
        <v>0</v>
      </c>
      <c r="N1813" s="24">
        <v>15</v>
      </c>
      <c r="O1813" s="26">
        <f t="shared" si="352"/>
        <v>0</v>
      </c>
      <c r="P1813" s="24">
        <v>1.1000000000000001</v>
      </c>
      <c r="Q1813" s="24">
        <v>36</v>
      </c>
      <c r="R1813" s="27">
        <f t="shared" si="353"/>
        <v>0</v>
      </c>
      <c r="S1813" s="102">
        <f t="shared" si="355"/>
        <v>0</v>
      </c>
      <c r="T1813" s="21">
        <f>VLOOKUP($A1813,'2022-23 Salary &amp; Benefits'!$A:$I,5,FALSE)</f>
        <v>68937</v>
      </c>
      <c r="U1813" s="21">
        <f>VLOOKUP($A1813,'2022-23 Salary &amp; Benefits'!$A:$I,6,FALSE)</f>
        <v>72728</v>
      </c>
      <c r="V1813" s="22">
        <f t="shared" si="356"/>
        <v>0</v>
      </c>
      <c r="W1813" s="22">
        <f t="shared" si="357"/>
        <v>0</v>
      </c>
      <c r="X1813" s="22">
        <f>'2022-23 Salary &amp; Benefits'!$G$6</f>
        <v>12558.24</v>
      </c>
      <c r="Y1813" s="23">
        <f>'2022-23 Salary &amp; Benefits'!$H$6</f>
        <v>0.2298</v>
      </c>
      <c r="Z1813" s="23">
        <f>'2022-23 Salary &amp; Benefits'!$I$6</f>
        <v>0.22339999999999999</v>
      </c>
      <c r="AA1813" s="22">
        <f t="shared" si="358"/>
        <v>0</v>
      </c>
      <c r="AB1813" s="22">
        <f t="shared" si="359"/>
        <v>0</v>
      </c>
      <c r="AC1813" s="22">
        <f t="shared" si="360"/>
        <v>0</v>
      </c>
      <c r="AD1813" s="22">
        <f t="shared" si="350"/>
        <v>0</v>
      </c>
      <c r="AE1813" s="22">
        <f t="shared" si="351"/>
        <v>0</v>
      </c>
      <c r="AF1813" s="19" t="str">
        <f>VLOOKUP(C1813,'2021-22 School Level AAFTE'!C:N,12,FALSE)</f>
        <v>No</v>
      </c>
    </row>
    <row r="1814" spans="1:32" s="5" customFormat="1">
      <c r="A1814" s="97" t="s">
        <v>2363</v>
      </c>
      <c r="B1814" s="97" t="s">
        <v>871</v>
      </c>
      <c r="C1814" s="95">
        <v>2703</v>
      </c>
      <c r="D1814" s="95" t="s">
        <v>876</v>
      </c>
      <c r="E1814" s="129">
        <f>VLOOKUP($C1814,'2021-22 School Level AAFTE'!$C:$Z,11,FALSE)</f>
        <v>0.29380000000000001</v>
      </c>
      <c r="F1814" s="129" t="str">
        <f>VLOOKUP($C1814,'2021-22 School Level AAFTE'!$C:$Z,8,FALSE)</f>
        <v>No</v>
      </c>
      <c r="G1814" s="129" t="str">
        <f>VLOOKUP($C1814,'2021-22 School Level AAFTE'!$C:$Z,12,FALSE)</f>
        <v>No</v>
      </c>
      <c r="H1814" s="127">
        <f>VLOOKUP($C1814,'2021-22 School Level AAFTE'!$C:$I,7,FALSE)</f>
        <v>439.29</v>
      </c>
      <c r="I1814" s="112">
        <f>IFERROR(IF(OR(G1814="yes",F1814= "yes"),VLOOKUP(C1814,Summary!$B:$J,6,0),0),0)</f>
        <v>0</v>
      </c>
      <c r="J1814" s="111">
        <f t="shared" si="354"/>
        <v>0</v>
      </c>
      <c r="K1814" s="91">
        <f>VLOOKUP($A1814,'2022-23 Salary &amp; Benefits'!$A:$I,3,FALSE)</f>
        <v>1.18</v>
      </c>
      <c r="L1814" s="91">
        <f>VLOOKUP($A1814,'2022-23 Salary &amp; Benefits'!$A:$I,4,FALSE)</f>
        <v>1.18</v>
      </c>
      <c r="M1814" s="39">
        <f t="shared" si="349"/>
        <v>0</v>
      </c>
      <c r="N1814" s="24">
        <v>15</v>
      </c>
      <c r="O1814" s="26">
        <f t="shared" si="352"/>
        <v>0</v>
      </c>
      <c r="P1814" s="24">
        <v>1.1000000000000001</v>
      </c>
      <c r="Q1814" s="24">
        <v>36</v>
      </c>
      <c r="R1814" s="27">
        <f t="shared" si="353"/>
        <v>0</v>
      </c>
      <c r="S1814" s="102">
        <f t="shared" si="355"/>
        <v>0</v>
      </c>
      <c r="T1814" s="21">
        <f>VLOOKUP($A1814,'2022-23 Salary &amp; Benefits'!$A:$I,5,FALSE)</f>
        <v>68937</v>
      </c>
      <c r="U1814" s="21">
        <f>VLOOKUP($A1814,'2022-23 Salary &amp; Benefits'!$A:$I,6,FALSE)</f>
        <v>72728</v>
      </c>
      <c r="V1814" s="22">
        <f t="shared" si="356"/>
        <v>0</v>
      </c>
      <c r="W1814" s="22">
        <f t="shared" si="357"/>
        <v>0</v>
      </c>
      <c r="X1814" s="22">
        <f>'2022-23 Salary &amp; Benefits'!$G$6</f>
        <v>12558.24</v>
      </c>
      <c r="Y1814" s="23">
        <f>'2022-23 Salary &amp; Benefits'!$H$6</f>
        <v>0.2298</v>
      </c>
      <c r="Z1814" s="23">
        <f>'2022-23 Salary &amp; Benefits'!$I$6</f>
        <v>0.22339999999999999</v>
      </c>
      <c r="AA1814" s="22">
        <f t="shared" si="358"/>
        <v>0</v>
      </c>
      <c r="AB1814" s="22">
        <f t="shared" si="359"/>
        <v>0</v>
      </c>
      <c r="AC1814" s="22">
        <f t="shared" si="360"/>
        <v>0</v>
      </c>
      <c r="AD1814" s="22">
        <f t="shared" si="350"/>
        <v>0</v>
      </c>
      <c r="AE1814" s="22">
        <f t="shared" si="351"/>
        <v>0</v>
      </c>
      <c r="AF1814" s="19" t="str">
        <f>VLOOKUP(C1814,'2021-22 School Level AAFTE'!C:N,12,FALSE)</f>
        <v>No</v>
      </c>
    </row>
    <row r="1815" spans="1:32" s="5" customFormat="1">
      <c r="A1815" s="97" t="s">
        <v>2363</v>
      </c>
      <c r="B1815" s="97" t="s">
        <v>871</v>
      </c>
      <c r="C1815" s="95">
        <v>2990</v>
      </c>
      <c r="D1815" s="95" t="s">
        <v>877</v>
      </c>
      <c r="E1815" s="129">
        <f>VLOOKUP($C1815,'2021-22 School Level AAFTE'!$C:$Z,11,FALSE)</f>
        <v>0.32006666666666667</v>
      </c>
      <c r="F1815" s="129" t="str">
        <f>VLOOKUP($C1815,'2021-22 School Level AAFTE'!$C:$Z,8,FALSE)</f>
        <v>No</v>
      </c>
      <c r="G1815" s="129" t="str">
        <f>VLOOKUP($C1815,'2021-22 School Level AAFTE'!$C:$Z,12,FALSE)</f>
        <v>No</v>
      </c>
      <c r="H1815" s="127">
        <f>VLOOKUP($C1815,'2021-22 School Level AAFTE'!$C:$I,7,FALSE)</f>
        <v>433.52</v>
      </c>
      <c r="I1815" s="112">
        <f>IFERROR(IF(OR(G1815="yes",F1815= "yes"),VLOOKUP(C1815,Summary!$B:$J,6,0),0),0)</f>
        <v>0</v>
      </c>
      <c r="J1815" s="111">
        <f t="shared" si="354"/>
        <v>0</v>
      </c>
      <c r="K1815" s="91">
        <f>VLOOKUP($A1815,'2022-23 Salary &amp; Benefits'!$A:$I,3,FALSE)</f>
        <v>1.18</v>
      </c>
      <c r="L1815" s="91">
        <f>VLOOKUP($A1815,'2022-23 Salary &amp; Benefits'!$A:$I,4,FALSE)</f>
        <v>1.18</v>
      </c>
      <c r="M1815" s="39">
        <f t="shared" si="349"/>
        <v>0</v>
      </c>
      <c r="N1815" s="24">
        <v>15</v>
      </c>
      <c r="O1815" s="26">
        <f t="shared" si="352"/>
        <v>0</v>
      </c>
      <c r="P1815" s="24">
        <v>1.1000000000000001</v>
      </c>
      <c r="Q1815" s="24">
        <v>36</v>
      </c>
      <c r="R1815" s="27">
        <f t="shared" si="353"/>
        <v>0</v>
      </c>
      <c r="S1815" s="102">
        <f t="shared" si="355"/>
        <v>0</v>
      </c>
      <c r="T1815" s="21">
        <f>VLOOKUP($A1815,'2022-23 Salary &amp; Benefits'!$A:$I,5,FALSE)</f>
        <v>68937</v>
      </c>
      <c r="U1815" s="21">
        <f>VLOOKUP($A1815,'2022-23 Salary &amp; Benefits'!$A:$I,6,FALSE)</f>
        <v>72728</v>
      </c>
      <c r="V1815" s="22">
        <f t="shared" si="356"/>
        <v>0</v>
      </c>
      <c r="W1815" s="22">
        <f t="shared" si="357"/>
        <v>0</v>
      </c>
      <c r="X1815" s="22">
        <f>'2022-23 Salary &amp; Benefits'!$G$6</f>
        <v>12558.24</v>
      </c>
      <c r="Y1815" s="23">
        <f>'2022-23 Salary &amp; Benefits'!$H$6</f>
        <v>0.2298</v>
      </c>
      <c r="Z1815" s="23">
        <f>'2022-23 Salary &amp; Benefits'!$I$6</f>
        <v>0.22339999999999999</v>
      </c>
      <c r="AA1815" s="22">
        <f t="shared" si="358"/>
        <v>0</v>
      </c>
      <c r="AB1815" s="22">
        <f t="shared" si="359"/>
        <v>0</v>
      </c>
      <c r="AC1815" s="22">
        <f t="shared" si="360"/>
        <v>0</v>
      </c>
      <c r="AD1815" s="22">
        <f t="shared" si="350"/>
        <v>0</v>
      </c>
      <c r="AE1815" s="22">
        <f t="shared" si="351"/>
        <v>0</v>
      </c>
      <c r="AF1815" s="19" t="str">
        <f>VLOOKUP(C1815,'2021-22 School Level AAFTE'!C:N,12,FALSE)</f>
        <v>No</v>
      </c>
    </row>
    <row r="1816" spans="1:32" s="5" customFormat="1">
      <c r="A1816" s="97" t="s">
        <v>2363</v>
      </c>
      <c r="B1816" s="97" t="s">
        <v>871</v>
      </c>
      <c r="C1816" s="95">
        <v>3104</v>
      </c>
      <c r="D1816" s="95" t="s">
        <v>878</v>
      </c>
      <c r="E1816" s="129">
        <f>VLOOKUP($C1816,'2021-22 School Level AAFTE'!$C:$Z,11,FALSE)</f>
        <v>0.35693333333333332</v>
      </c>
      <c r="F1816" s="129" t="str">
        <f>VLOOKUP($C1816,'2021-22 School Level AAFTE'!$C:$Z,8,FALSE)</f>
        <v>No</v>
      </c>
      <c r="G1816" s="129" t="str">
        <f>VLOOKUP($C1816,'2021-22 School Level AAFTE'!$C:$Z,12,FALSE)</f>
        <v>No</v>
      </c>
      <c r="H1816" s="127">
        <f>VLOOKUP($C1816,'2021-22 School Level AAFTE'!$C:$I,7,FALSE)</f>
        <v>390.23</v>
      </c>
      <c r="I1816" s="112">
        <f>IFERROR(IF(OR(G1816="yes",F1816= "yes"),VLOOKUP(C1816,Summary!$B:$J,6,0),0),0)</f>
        <v>0</v>
      </c>
      <c r="J1816" s="111">
        <f t="shared" si="354"/>
        <v>0</v>
      </c>
      <c r="K1816" s="91">
        <f>VLOOKUP($A1816,'2022-23 Salary &amp; Benefits'!$A:$I,3,FALSE)</f>
        <v>1.18</v>
      </c>
      <c r="L1816" s="91">
        <f>VLOOKUP($A1816,'2022-23 Salary &amp; Benefits'!$A:$I,4,FALSE)</f>
        <v>1.18</v>
      </c>
      <c r="M1816" s="101">
        <f t="shared" si="349"/>
        <v>0</v>
      </c>
      <c r="N1816" s="24">
        <v>15</v>
      </c>
      <c r="O1816" s="26">
        <f t="shared" si="352"/>
        <v>0</v>
      </c>
      <c r="P1816" s="24">
        <v>1.1000000000000001</v>
      </c>
      <c r="Q1816" s="24">
        <v>36</v>
      </c>
      <c r="R1816" s="27">
        <f t="shared" si="353"/>
        <v>0</v>
      </c>
      <c r="S1816" s="102">
        <f t="shared" si="355"/>
        <v>0</v>
      </c>
      <c r="T1816" s="21">
        <f>VLOOKUP($A1816,'2022-23 Salary &amp; Benefits'!$A:$I,5,FALSE)</f>
        <v>68937</v>
      </c>
      <c r="U1816" s="21">
        <f>VLOOKUP($A1816,'2022-23 Salary &amp; Benefits'!$A:$I,6,FALSE)</f>
        <v>72728</v>
      </c>
      <c r="V1816" s="22">
        <f t="shared" si="356"/>
        <v>0</v>
      </c>
      <c r="W1816" s="22">
        <f t="shared" si="357"/>
        <v>0</v>
      </c>
      <c r="X1816" s="22">
        <f>'2022-23 Salary &amp; Benefits'!$G$6</f>
        <v>12558.24</v>
      </c>
      <c r="Y1816" s="23">
        <f>'2022-23 Salary &amp; Benefits'!$H$6</f>
        <v>0.2298</v>
      </c>
      <c r="Z1816" s="23">
        <f>'2022-23 Salary &amp; Benefits'!$I$6</f>
        <v>0.22339999999999999</v>
      </c>
      <c r="AA1816" s="22">
        <f t="shared" si="358"/>
        <v>0</v>
      </c>
      <c r="AB1816" s="22">
        <f t="shared" si="359"/>
        <v>0</v>
      </c>
      <c r="AC1816" s="22">
        <f t="shared" si="360"/>
        <v>0</v>
      </c>
      <c r="AD1816" s="22">
        <f t="shared" si="350"/>
        <v>0</v>
      </c>
      <c r="AE1816" s="22">
        <f t="shared" si="351"/>
        <v>0</v>
      </c>
      <c r="AF1816" s="19" t="str">
        <f>VLOOKUP(C1816,'2021-22 School Level AAFTE'!C:N,12,FALSE)</f>
        <v>No</v>
      </c>
    </row>
    <row r="1817" spans="1:32" s="5" customFormat="1">
      <c r="A1817" s="97" t="s">
        <v>2363</v>
      </c>
      <c r="B1817" s="97" t="s">
        <v>871</v>
      </c>
      <c r="C1817" s="95">
        <v>3230</v>
      </c>
      <c r="D1817" s="95" t="s">
        <v>879</v>
      </c>
      <c r="E1817" s="129">
        <f>VLOOKUP($C1817,'2021-22 School Level AAFTE'!$C:$Z,11,FALSE)</f>
        <v>0.14503333333333335</v>
      </c>
      <c r="F1817" s="129" t="str">
        <f>VLOOKUP($C1817,'2021-22 School Level AAFTE'!$C:$Z,8,FALSE)</f>
        <v>No</v>
      </c>
      <c r="G1817" s="129" t="str">
        <f>VLOOKUP($C1817,'2021-22 School Level AAFTE'!$C:$Z,12,FALSE)</f>
        <v>No</v>
      </c>
      <c r="H1817" s="127">
        <f>VLOOKUP($C1817,'2021-22 School Level AAFTE'!$C:$I,7,FALSE)</f>
        <v>345.9</v>
      </c>
      <c r="I1817" s="112">
        <f>IFERROR(IF(OR(G1817="yes",F1817= "yes"),VLOOKUP(C1817,Summary!$B:$J,6,0),0),0)</f>
        <v>0</v>
      </c>
      <c r="J1817" s="111">
        <f t="shared" si="354"/>
        <v>0</v>
      </c>
      <c r="K1817" s="91">
        <f>VLOOKUP($A1817,'2022-23 Salary &amp; Benefits'!$A:$I,3,FALSE)</f>
        <v>1.18</v>
      </c>
      <c r="L1817" s="91">
        <f>VLOOKUP($A1817,'2022-23 Salary &amp; Benefits'!$A:$I,4,FALSE)</f>
        <v>1.18</v>
      </c>
      <c r="M1817" s="101">
        <f t="shared" si="349"/>
        <v>0</v>
      </c>
      <c r="N1817" s="24">
        <v>15</v>
      </c>
      <c r="O1817" s="26">
        <f t="shared" si="352"/>
        <v>0</v>
      </c>
      <c r="P1817" s="24">
        <v>1.1000000000000001</v>
      </c>
      <c r="Q1817" s="24">
        <v>36</v>
      </c>
      <c r="R1817" s="27">
        <f t="shared" si="353"/>
        <v>0</v>
      </c>
      <c r="S1817" s="102">
        <f t="shared" si="355"/>
        <v>0</v>
      </c>
      <c r="T1817" s="21">
        <f>VLOOKUP($A1817,'2022-23 Salary &amp; Benefits'!$A:$I,5,FALSE)</f>
        <v>68937</v>
      </c>
      <c r="U1817" s="21">
        <f>VLOOKUP($A1817,'2022-23 Salary &amp; Benefits'!$A:$I,6,FALSE)</f>
        <v>72728</v>
      </c>
      <c r="V1817" s="22">
        <f t="shared" si="356"/>
        <v>0</v>
      </c>
      <c r="W1817" s="22">
        <f t="shared" si="357"/>
        <v>0</v>
      </c>
      <c r="X1817" s="22">
        <f>'2022-23 Salary &amp; Benefits'!$G$6</f>
        <v>12558.24</v>
      </c>
      <c r="Y1817" s="23">
        <f>'2022-23 Salary &amp; Benefits'!$H$6</f>
        <v>0.2298</v>
      </c>
      <c r="Z1817" s="23">
        <f>'2022-23 Salary &amp; Benefits'!$I$6</f>
        <v>0.22339999999999999</v>
      </c>
      <c r="AA1817" s="22">
        <f t="shared" si="358"/>
        <v>0</v>
      </c>
      <c r="AB1817" s="22">
        <f t="shared" si="359"/>
        <v>0</v>
      </c>
      <c r="AC1817" s="22">
        <f t="shared" si="360"/>
        <v>0</v>
      </c>
      <c r="AD1817" s="22">
        <f t="shared" si="350"/>
        <v>0</v>
      </c>
      <c r="AE1817" s="22">
        <f t="shared" si="351"/>
        <v>0</v>
      </c>
      <c r="AF1817" s="19" t="str">
        <f>VLOOKUP(C1817,'2021-22 School Level AAFTE'!C:N,12,FALSE)</f>
        <v>No</v>
      </c>
    </row>
    <row r="1818" spans="1:32" s="5" customFormat="1">
      <c r="A1818" s="97" t="s">
        <v>2363</v>
      </c>
      <c r="B1818" s="97" t="s">
        <v>871</v>
      </c>
      <c r="C1818" s="95">
        <v>3231</v>
      </c>
      <c r="D1818" s="95" t="s">
        <v>880</v>
      </c>
      <c r="E1818" s="129">
        <f>VLOOKUP($C1818,'2021-22 School Level AAFTE'!$C:$Z,11,FALSE)</f>
        <v>0.12369999999999999</v>
      </c>
      <c r="F1818" s="129" t="str">
        <f>VLOOKUP($C1818,'2021-22 School Level AAFTE'!$C:$Z,8,FALSE)</f>
        <v>No</v>
      </c>
      <c r="G1818" s="129" t="str">
        <f>VLOOKUP($C1818,'2021-22 School Level AAFTE'!$C:$Z,12,FALSE)</f>
        <v>No</v>
      </c>
      <c r="H1818" s="127">
        <f>VLOOKUP($C1818,'2021-22 School Level AAFTE'!$C:$I,7,FALSE)</f>
        <v>381.95</v>
      </c>
      <c r="I1818" s="112">
        <f>IFERROR(IF(OR(G1818="yes",F1818= "yes"),VLOOKUP(C1818,Summary!$B:$J,6,0),0),0)</f>
        <v>0</v>
      </c>
      <c r="J1818" s="111">
        <f t="shared" si="354"/>
        <v>0</v>
      </c>
      <c r="K1818" s="91">
        <f>VLOOKUP($A1818,'2022-23 Salary &amp; Benefits'!$A:$I,3,FALSE)</f>
        <v>1.18</v>
      </c>
      <c r="L1818" s="91">
        <f>VLOOKUP($A1818,'2022-23 Salary &amp; Benefits'!$A:$I,4,FALSE)</f>
        <v>1.18</v>
      </c>
      <c r="M1818" s="101">
        <f t="shared" si="349"/>
        <v>0</v>
      </c>
      <c r="N1818" s="24">
        <v>15</v>
      </c>
      <c r="O1818" s="26">
        <f t="shared" si="352"/>
        <v>0</v>
      </c>
      <c r="P1818" s="24">
        <v>1.1000000000000001</v>
      </c>
      <c r="Q1818" s="24">
        <v>36</v>
      </c>
      <c r="R1818" s="27">
        <f t="shared" si="353"/>
        <v>0</v>
      </c>
      <c r="S1818" s="102">
        <f t="shared" si="355"/>
        <v>0</v>
      </c>
      <c r="T1818" s="21">
        <f>VLOOKUP($A1818,'2022-23 Salary &amp; Benefits'!$A:$I,5,FALSE)</f>
        <v>68937</v>
      </c>
      <c r="U1818" s="21">
        <f>VLOOKUP($A1818,'2022-23 Salary &amp; Benefits'!$A:$I,6,FALSE)</f>
        <v>72728</v>
      </c>
      <c r="V1818" s="22">
        <f t="shared" si="356"/>
        <v>0</v>
      </c>
      <c r="W1818" s="22">
        <f t="shared" si="357"/>
        <v>0</v>
      </c>
      <c r="X1818" s="22">
        <f>'2022-23 Salary &amp; Benefits'!$G$6</f>
        <v>12558.24</v>
      </c>
      <c r="Y1818" s="23">
        <f>'2022-23 Salary &amp; Benefits'!$H$6</f>
        <v>0.2298</v>
      </c>
      <c r="Z1818" s="23">
        <f>'2022-23 Salary &amp; Benefits'!$I$6</f>
        <v>0.22339999999999999</v>
      </c>
      <c r="AA1818" s="22">
        <f t="shared" si="358"/>
        <v>0</v>
      </c>
      <c r="AB1818" s="22">
        <f t="shared" si="359"/>
        <v>0</v>
      </c>
      <c r="AC1818" s="22">
        <f t="shared" si="360"/>
        <v>0</v>
      </c>
      <c r="AD1818" s="22">
        <f t="shared" si="350"/>
        <v>0</v>
      </c>
      <c r="AE1818" s="22">
        <f t="shared" si="351"/>
        <v>0</v>
      </c>
      <c r="AF1818" s="19" t="str">
        <f>VLOOKUP(C1818,'2021-22 School Level AAFTE'!C:N,12,FALSE)</f>
        <v>No</v>
      </c>
    </row>
    <row r="1819" spans="1:32" s="5" customFormat="1">
      <c r="A1819" s="97" t="s">
        <v>2363</v>
      </c>
      <c r="B1819" s="97" t="s">
        <v>871</v>
      </c>
      <c r="C1819" s="95">
        <v>3343</v>
      </c>
      <c r="D1819" s="95" t="s">
        <v>881</v>
      </c>
      <c r="E1819" s="129">
        <f>VLOOKUP($C1819,'2021-22 School Level AAFTE'!$C:$Z,11,FALSE)</f>
        <v>0.27216666666666667</v>
      </c>
      <c r="F1819" s="129" t="str">
        <f>VLOOKUP($C1819,'2021-22 School Level AAFTE'!$C:$Z,8,FALSE)</f>
        <v>No</v>
      </c>
      <c r="G1819" s="129" t="str">
        <f>VLOOKUP($C1819,'2021-22 School Level AAFTE'!$C:$Z,12,FALSE)</f>
        <v>No</v>
      </c>
      <c r="H1819" s="127">
        <f>VLOOKUP($C1819,'2021-22 School Level AAFTE'!$C:$I,7,FALSE)</f>
        <v>1469.1499999999999</v>
      </c>
      <c r="I1819" s="112">
        <f>IFERROR(IF(OR(G1819="yes",F1819= "yes"),VLOOKUP(C1819,Summary!$B:$J,6,0),0),0)</f>
        <v>0</v>
      </c>
      <c r="J1819" s="111">
        <f t="shared" si="354"/>
        <v>0</v>
      </c>
      <c r="K1819" s="91">
        <f>VLOOKUP($A1819,'2022-23 Salary &amp; Benefits'!$A:$I,3,FALSE)</f>
        <v>1.18</v>
      </c>
      <c r="L1819" s="91">
        <f>VLOOKUP($A1819,'2022-23 Salary &amp; Benefits'!$A:$I,4,FALSE)</f>
        <v>1.18</v>
      </c>
      <c r="M1819" s="101">
        <f t="shared" si="349"/>
        <v>0</v>
      </c>
      <c r="N1819" s="24">
        <v>15</v>
      </c>
      <c r="O1819" s="26">
        <f t="shared" si="352"/>
        <v>0</v>
      </c>
      <c r="P1819" s="24">
        <v>1.1000000000000001</v>
      </c>
      <c r="Q1819" s="24">
        <v>36</v>
      </c>
      <c r="R1819" s="27">
        <f t="shared" si="353"/>
        <v>0</v>
      </c>
      <c r="S1819" s="102">
        <f t="shared" si="355"/>
        <v>0</v>
      </c>
      <c r="T1819" s="21">
        <f>VLOOKUP($A1819,'2022-23 Salary &amp; Benefits'!$A:$I,5,FALSE)</f>
        <v>68937</v>
      </c>
      <c r="U1819" s="21">
        <f>VLOOKUP($A1819,'2022-23 Salary &amp; Benefits'!$A:$I,6,FALSE)</f>
        <v>72728</v>
      </c>
      <c r="V1819" s="22">
        <f t="shared" si="356"/>
        <v>0</v>
      </c>
      <c r="W1819" s="22">
        <f t="shared" si="357"/>
        <v>0</v>
      </c>
      <c r="X1819" s="22">
        <f>'2022-23 Salary &amp; Benefits'!$G$6</f>
        <v>12558.24</v>
      </c>
      <c r="Y1819" s="23">
        <f>'2022-23 Salary &amp; Benefits'!$H$6</f>
        <v>0.2298</v>
      </c>
      <c r="Z1819" s="23">
        <f>'2022-23 Salary &amp; Benefits'!$I$6</f>
        <v>0.22339999999999999</v>
      </c>
      <c r="AA1819" s="22">
        <f t="shared" si="358"/>
        <v>0</v>
      </c>
      <c r="AB1819" s="22">
        <f t="shared" si="359"/>
        <v>0</v>
      </c>
      <c r="AC1819" s="22">
        <f t="shared" si="360"/>
        <v>0</v>
      </c>
      <c r="AD1819" s="22">
        <f t="shared" si="350"/>
        <v>0</v>
      </c>
      <c r="AE1819" s="22">
        <f t="shared" si="351"/>
        <v>0</v>
      </c>
      <c r="AF1819" s="19" t="str">
        <f>VLOOKUP(C1819,'2021-22 School Level AAFTE'!C:N,12,FALSE)</f>
        <v>No</v>
      </c>
    </row>
    <row r="1820" spans="1:32" s="5" customFormat="1">
      <c r="A1820" s="97" t="s">
        <v>2363</v>
      </c>
      <c r="B1820" s="97" t="s">
        <v>871</v>
      </c>
      <c r="C1820" s="95">
        <v>3387</v>
      </c>
      <c r="D1820" s="95" t="s">
        <v>882</v>
      </c>
      <c r="E1820" s="129">
        <f>VLOOKUP($C1820,'2021-22 School Level AAFTE'!$C:$Z,11,FALSE)</f>
        <v>0.28200000000000003</v>
      </c>
      <c r="F1820" s="129" t="str">
        <f>VLOOKUP($C1820,'2021-22 School Level AAFTE'!$C:$Z,8,FALSE)</f>
        <v>No</v>
      </c>
      <c r="G1820" s="129" t="str">
        <f>VLOOKUP($C1820,'2021-22 School Level AAFTE'!$C:$Z,12,FALSE)</f>
        <v>No</v>
      </c>
      <c r="H1820" s="127">
        <f>VLOOKUP($C1820,'2021-22 School Level AAFTE'!$C:$I,7,FALSE)</f>
        <v>978.5</v>
      </c>
      <c r="I1820" s="112">
        <f>IFERROR(IF(OR(G1820="yes",F1820= "yes"),VLOOKUP(C1820,Summary!$B:$J,6,0),0),0)</f>
        <v>0</v>
      </c>
      <c r="J1820" s="111">
        <f t="shared" si="354"/>
        <v>0</v>
      </c>
      <c r="K1820" s="91">
        <f>VLOOKUP($A1820,'2022-23 Salary &amp; Benefits'!$A:$I,3,FALSE)</f>
        <v>1.18</v>
      </c>
      <c r="L1820" s="91">
        <f>VLOOKUP($A1820,'2022-23 Salary &amp; Benefits'!$A:$I,4,FALSE)</f>
        <v>1.18</v>
      </c>
      <c r="M1820" s="39">
        <f t="shared" si="349"/>
        <v>0</v>
      </c>
      <c r="N1820" s="24">
        <v>15</v>
      </c>
      <c r="O1820" s="26">
        <f t="shared" si="352"/>
        <v>0</v>
      </c>
      <c r="P1820" s="24">
        <v>1.1000000000000001</v>
      </c>
      <c r="Q1820" s="24">
        <v>36</v>
      </c>
      <c r="R1820" s="27">
        <f t="shared" si="353"/>
        <v>0</v>
      </c>
      <c r="S1820" s="102">
        <f t="shared" si="355"/>
        <v>0</v>
      </c>
      <c r="T1820" s="21">
        <f>VLOOKUP($A1820,'2022-23 Salary &amp; Benefits'!$A:$I,5,FALSE)</f>
        <v>68937</v>
      </c>
      <c r="U1820" s="21">
        <f>VLOOKUP($A1820,'2022-23 Salary &amp; Benefits'!$A:$I,6,FALSE)</f>
        <v>72728</v>
      </c>
      <c r="V1820" s="22">
        <f t="shared" si="356"/>
        <v>0</v>
      </c>
      <c r="W1820" s="22">
        <f t="shared" si="357"/>
        <v>0</v>
      </c>
      <c r="X1820" s="22">
        <f>'2022-23 Salary &amp; Benefits'!$G$6</f>
        <v>12558.24</v>
      </c>
      <c r="Y1820" s="23">
        <f>'2022-23 Salary &amp; Benefits'!$H$6</f>
        <v>0.2298</v>
      </c>
      <c r="Z1820" s="23">
        <f>'2022-23 Salary &amp; Benefits'!$I$6</f>
        <v>0.22339999999999999</v>
      </c>
      <c r="AA1820" s="22">
        <f t="shared" si="358"/>
        <v>0</v>
      </c>
      <c r="AB1820" s="22">
        <f t="shared" si="359"/>
        <v>0</v>
      </c>
      <c r="AC1820" s="22">
        <f t="shared" si="360"/>
        <v>0</v>
      </c>
      <c r="AD1820" s="22">
        <f t="shared" si="350"/>
        <v>0</v>
      </c>
      <c r="AE1820" s="22">
        <f t="shared" si="351"/>
        <v>0</v>
      </c>
      <c r="AF1820" s="19" t="str">
        <f>VLOOKUP(C1820,'2021-22 School Level AAFTE'!C:N,12,FALSE)</f>
        <v>No</v>
      </c>
    </row>
    <row r="1821" spans="1:32" s="5" customFormat="1">
      <c r="A1821" s="97" t="s">
        <v>2363</v>
      </c>
      <c r="B1821" s="97" t="s">
        <v>871</v>
      </c>
      <c r="C1821" s="95">
        <v>3489</v>
      </c>
      <c r="D1821" s="95" t="s">
        <v>883</v>
      </c>
      <c r="E1821" s="129">
        <f>VLOOKUP($C1821,'2021-22 School Level AAFTE'!$C:$Z,11,FALSE)</f>
        <v>0.31853333333333333</v>
      </c>
      <c r="F1821" s="129" t="str">
        <f>VLOOKUP($C1821,'2021-22 School Level AAFTE'!$C:$Z,8,FALSE)</f>
        <v>No</v>
      </c>
      <c r="G1821" s="129" t="str">
        <f>VLOOKUP($C1821,'2021-22 School Level AAFTE'!$C:$Z,12,FALSE)</f>
        <v>No</v>
      </c>
      <c r="H1821" s="127">
        <f>VLOOKUP($C1821,'2021-22 School Level AAFTE'!$C:$I,7,FALSE)</f>
        <v>386.86</v>
      </c>
      <c r="I1821" s="112">
        <f>IFERROR(IF(OR(G1821="yes",F1821= "yes"),VLOOKUP(C1821,Summary!$B:$J,6,0),0),0)</f>
        <v>0</v>
      </c>
      <c r="J1821" s="111">
        <f t="shared" si="354"/>
        <v>0</v>
      </c>
      <c r="K1821" s="91">
        <f>VLOOKUP($A1821,'2022-23 Salary &amp; Benefits'!$A:$I,3,FALSE)</f>
        <v>1.18</v>
      </c>
      <c r="L1821" s="91">
        <f>VLOOKUP($A1821,'2022-23 Salary &amp; Benefits'!$A:$I,4,FALSE)</f>
        <v>1.18</v>
      </c>
      <c r="M1821" s="39">
        <f t="shared" si="349"/>
        <v>0</v>
      </c>
      <c r="N1821" s="24">
        <v>15</v>
      </c>
      <c r="O1821" s="26">
        <f t="shared" si="352"/>
        <v>0</v>
      </c>
      <c r="P1821" s="24">
        <v>1.1000000000000001</v>
      </c>
      <c r="Q1821" s="24">
        <v>36</v>
      </c>
      <c r="R1821" s="27">
        <f t="shared" si="353"/>
        <v>0</v>
      </c>
      <c r="S1821" s="102">
        <f t="shared" si="355"/>
        <v>0</v>
      </c>
      <c r="T1821" s="21">
        <f>VLOOKUP($A1821,'2022-23 Salary &amp; Benefits'!$A:$I,5,FALSE)</f>
        <v>68937</v>
      </c>
      <c r="U1821" s="21">
        <f>VLOOKUP($A1821,'2022-23 Salary &amp; Benefits'!$A:$I,6,FALSE)</f>
        <v>72728</v>
      </c>
      <c r="V1821" s="22">
        <f t="shared" si="356"/>
        <v>0</v>
      </c>
      <c r="W1821" s="22">
        <f t="shared" si="357"/>
        <v>0</v>
      </c>
      <c r="X1821" s="22">
        <f>'2022-23 Salary &amp; Benefits'!$G$6</f>
        <v>12558.24</v>
      </c>
      <c r="Y1821" s="23">
        <f>'2022-23 Salary &amp; Benefits'!$H$6</f>
        <v>0.2298</v>
      </c>
      <c r="Z1821" s="23">
        <f>'2022-23 Salary &amp; Benefits'!$I$6</f>
        <v>0.22339999999999999</v>
      </c>
      <c r="AA1821" s="22">
        <f t="shared" si="358"/>
        <v>0</v>
      </c>
      <c r="AB1821" s="22">
        <f t="shared" si="359"/>
        <v>0</v>
      </c>
      <c r="AC1821" s="22">
        <f t="shared" si="360"/>
        <v>0</v>
      </c>
      <c r="AD1821" s="22">
        <f t="shared" si="350"/>
        <v>0</v>
      </c>
      <c r="AE1821" s="22">
        <f t="shared" si="351"/>
        <v>0</v>
      </c>
      <c r="AF1821" s="19" t="str">
        <f>VLOOKUP(C1821,'2021-22 School Level AAFTE'!C:N,12,FALSE)</f>
        <v>No</v>
      </c>
    </row>
    <row r="1822" spans="1:32" s="5" customFormat="1">
      <c r="A1822" s="97" t="s">
        <v>2363</v>
      </c>
      <c r="B1822" s="97" t="s">
        <v>871</v>
      </c>
      <c r="C1822" s="95">
        <v>3527</v>
      </c>
      <c r="D1822" s="95" t="s">
        <v>884</v>
      </c>
      <c r="E1822" s="129">
        <f>VLOOKUP($C1822,'2021-22 School Level AAFTE'!$C:$Z,11,FALSE)</f>
        <v>0.14456666666666665</v>
      </c>
      <c r="F1822" s="129" t="str">
        <f>VLOOKUP($C1822,'2021-22 School Level AAFTE'!$C:$Z,8,FALSE)</f>
        <v>No</v>
      </c>
      <c r="G1822" s="129" t="str">
        <f>VLOOKUP($C1822,'2021-22 School Level AAFTE'!$C:$Z,12,FALSE)</f>
        <v>No</v>
      </c>
      <c r="H1822" s="127">
        <f>VLOOKUP($C1822,'2021-22 School Level AAFTE'!$C:$I,7,FALSE)</f>
        <v>428.13</v>
      </c>
      <c r="I1822" s="112">
        <f>IFERROR(IF(OR(G1822="yes",F1822= "yes"),VLOOKUP(C1822,Summary!$B:$J,6,0),0),0)</f>
        <v>0</v>
      </c>
      <c r="J1822" s="111">
        <f t="shared" si="354"/>
        <v>0</v>
      </c>
      <c r="K1822" s="91">
        <f>VLOOKUP($A1822,'2022-23 Salary &amp; Benefits'!$A:$I,3,FALSE)</f>
        <v>1.18</v>
      </c>
      <c r="L1822" s="91">
        <f>VLOOKUP($A1822,'2022-23 Salary &amp; Benefits'!$A:$I,4,FALSE)</f>
        <v>1.18</v>
      </c>
      <c r="M1822" s="101">
        <f t="shared" si="349"/>
        <v>0</v>
      </c>
      <c r="N1822" s="24">
        <v>15</v>
      </c>
      <c r="O1822" s="26">
        <f t="shared" si="352"/>
        <v>0</v>
      </c>
      <c r="P1822" s="24">
        <v>1.1000000000000001</v>
      </c>
      <c r="Q1822" s="24">
        <v>36</v>
      </c>
      <c r="R1822" s="27">
        <f t="shared" si="353"/>
        <v>0</v>
      </c>
      <c r="S1822" s="102">
        <f t="shared" si="355"/>
        <v>0</v>
      </c>
      <c r="T1822" s="21">
        <f>VLOOKUP($A1822,'2022-23 Salary &amp; Benefits'!$A:$I,5,FALSE)</f>
        <v>68937</v>
      </c>
      <c r="U1822" s="21">
        <f>VLOOKUP($A1822,'2022-23 Salary &amp; Benefits'!$A:$I,6,FALSE)</f>
        <v>72728</v>
      </c>
      <c r="V1822" s="22">
        <f t="shared" si="356"/>
        <v>0</v>
      </c>
      <c r="W1822" s="22">
        <f t="shared" si="357"/>
        <v>0</v>
      </c>
      <c r="X1822" s="22">
        <f>'2022-23 Salary &amp; Benefits'!$G$6</f>
        <v>12558.24</v>
      </c>
      <c r="Y1822" s="23">
        <f>'2022-23 Salary &amp; Benefits'!$H$6</f>
        <v>0.2298</v>
      </c>
      <c r="Z1822" s="23">
        <f>'2022-23 Salary &amp; Benefits'!$I$6</f>
        <v>0.22339999999999999</v>
      </c>
      <c r="AA1822" s="22">
        <f t="shared" si="358"/>
        <v>0</v>
      </c>
      <c r="AB1822" s="22">
        <f t="shared" si="359"/>
        <v>0</v>
      </c>
      <c r="AC1822" s="22">
        <f t="shared" si="360"/>
        <v>0</v>
      </c>
      <c r="AD1822" s="22">
        <f t="shared" si="350"/>
        <v>0</v>
      </c>
      <c r="AE1822" s="22">
        <f t="shared" si="351"/>
        <v>0</v>
      </c>
      <c r="AF1822" s="19" t="str">
        <f>VLOOKUP(C1822,'2021-22 School Level AAFTE'!C:N,12,FALSE)</f>
        <v>No</v>
      </c>
    </row>
    <row r="1823" spans="1:32" s="5" customFormat="1">
      <c r="A1823" s="97" t="s">
        <v>2363</v>
      </c>
      <c r="B1823" s="97" t="s">
        <v>871</v>
      </c>
      <c r="C1823" s="95">
        <v>3674</v>
      </c>
      <c r="D1823" s="95" t="s">
        <v>885</v>
      </c>
      <c r="E1823" s="129">
        <f>VLOOKUP($C1823,'2021-22 School Level AAFTE'!$C:$Z,11,FALSE)</f>
        <v>0.25716666666666665</v>
      </c>
      <c r="F1823" s="129" t="str">
        <f>VLOOKUP($C1823,'2021-22 School Level AAFTE'!$C:$Z,8,FALSE)</f>
        <v>No</v>
      </c>
      <c r="G1823" s="129" t="str">
        <f>VLOOKUP($C1823,'2021-22 School Level AAFTE'!$C:$Z,12,FALSE)</f>
        <v>No</v>
      </c>
      <c r="H1823" s="127">
        <f>VLOOKUP($C1823,'2021-22 School Level AAFTE'!$C:$I,7,FALSE)</f>
        <v>1033.8800000000001</v>
      </c>
      <c r="I1823" s="112">
        <f>IFERROR(IF(OR(G1823="yes",F1823= "yes"),VLOOKUP(C1823,Summary!$B:$J,6,0),0),0)</f>
        <v>0</v>
      </c>
      <c r="J1823" s="111">
        <f t="shared" si="354"/>
        <v>0</v>
      </c>
      <c r="K1823" s="91">
        <f>VLOOKUP($A1823,'2022-23 Salary &amp; Benefits'!$A:$I,3,FALSE)</f>
        <v>1.18</v>
      </c>
      <c r="L1823" s="91">
        <f>VLOOKUP($A1823,'2022-23 Salary &amp; Benefits'!$A:$I,4,FALSE)</f>
        <v>1.18</v>
      </c>
      <c r="M1823" s="39">
        <f t="shared" si="349"/>
        <v>0</v>
      </c>
      <c r="N1823" s="24">
        <v>15</v>
      </c>
      <c r="O1823" s="26">
        <f t="shared" si="352"/>
        <v>0</v>
      </c>
      <c r="P1823" s="24">
        <v>1.1000000000000001</v>
      </c>
      <c r="Q1823" s="24">
        <v>36</v>
      </c>
      <c r="R1823" s="27">
        <f t="shared" si="353"/>
        <v>0</v>
      </c>
      <c r="S1823" s="102">
        <f t="shared" si="355"/>
        <v>0</v>
      </c>
      <c r="T1823" s="21">
        <f>VLOOKUP($A1823,'2022-23 Salary &amp; Benefits'!$A:$I,5,FALSE)</f>
        <v>68937</v>
      </c>
      <c r="U1823" s="21">
        <f>VLOOKUP($A1823,'2022-23 Salary &amp; Benefits'!$A:$I,6,FALSE)</f>
        <v>72728</v>
      </c>
      <c r="V1823" s="22">
        <f t="shared" si="356"/>
        <v>0</v>
      </c>
      <c r="W1823" s="22">
        <f t="shared" si="357"/>
        <v>0</v>
      </c>
      <c r="X1823" s="22">
        <f>'2022-23 Salary &amp; Benefits'!$G$6</f>
        <v>12558.24</v>
      </c>
      <c r="Y1823" s="23">
        <f>'2022-23 Salary &amp; Benefits'!$H$6</f>
        <v>0.2298</v>
      </c>
      <c r="Z1823" s="23">
        <f>'2022-23 Salary &amp; Benefits'!$I$6</f>
        <v>0.22339999999999999</v>
      </c>
      <c r="AA1823" s="22">
        <f t="shared" si="358"/>
        <v>0</v>
      </c>
      <c r="AB1823" s="22">
        <f t="shared" si="359"/>
        <v>0</v>
      </c>
      <c r="AC1823" s="22">
        <f t="shared" si="360"/>
        <v>0</v>
      </c>
      <c r="AD1823" s="22">
        <f t="shared" si="350"/>
        <v>0</v>
      </c>
      <c r="AE1823" s="22">
        <f t="shared" si="351"/>
        <v>0</v>
      </c>
      <c r="AF1823" s="19" t="str">
        <f>VLOOKUP(C1823,'2021-22 School Level AAFTE'!C:N,12,FALSE)</f>
        <v>No</v>
      </c>
    </row>
    <row r="1824" spans="1:32" s="5" customFormat="1">
      <c r="A1824" s="97" t="s">
        <v>2363</v>
      </c>
      <c r="B1824" s="97" t="s">
        <v>871</v>
      </c>
      <c r="C1824" s="95">
        <v>3921</v>
      </c>
      <c r="D1824" s="95" t="s">
        <v>886</v>
      </c>
      <c r="E1824" s="129">
        <f>VLOOKUP($C1824,'2021-22 School Level AAFTE'!$C:$Z,11,FALSE)</f>
        <v>0.25433333333333336</v>
      </c>
      <c r="F1824" s="129" t="str">
        <f>VLOOKUP($C1824,'2021-22 School Level AAFTE'!$C:$Z,8,FALSE)</f>
        <v>No</v>
      </c>
      <c r="G1824" s="129" t="str">
        <f>VLOOKUP($C1824,'2021-22 School Level AAFTE'!$C:$Z,12,FALSE)</f>
        <v>No</v>
      </c>
      <c r="H1824" s="127">
        <f>VLOOKUP($C1824,'2021-22 School Level AAFTE'!$C:$I,7,FALSE)</f>
        <v>1522.62</v>
      </c>
      <c r="I1824" s="112">
        <f>IFERROR(IF(OR(G1824="yes",F1824= "yes"),VLOOKUP(C1824,Summary!$B:$J,6,0),0),0)</f>
        <v>0</v>
      </c>
      <c r="J1824" s="111">
        <f t="shared" si="354"/>
        <v>0</v>
      </c>
      <c r="K1824" s="91">
        <f>VLOOKUP($A1824,'2022-23 Salary &amp; Benefits'!$A:$I,3,FALSE)</f>
        <v>1.18</v>
      </c>
      <c r="L1824" s="91">
        <f>VLOOKUP($A1824,'2022-23 Salary &amp; Benefits'!$A:$I,4,FALSE)</f>
        <v>1.18</v>
      </c>
      <c r="M1824" s="101">
        <f t="shared" si="349"/>
        <v>0</v>
      </c>
      <c r="N1824" s="24">
        <v>15</v>
      </c>
      <c r="O1824" s="26">
        <f t="shared" si="352"/>
        <v>0</v>
      </c>
      <c r="P1824" s="24">
        <v>1.1000000000000001</v>
      </c>
      <c r="Q1824" s="24">
        <v>36</v>
      </c>
      <c r="R1824" s="27">
        <f t="shared" si="353"/>
        <v>0</v>
      </c>
      <c r="S1824" s="102">
        <f t="shared" si="355"/>
        <v>0</v>
      </c>
      <c r="T1824" s="21">
        <f>VLOOKUP($A1824,'2022-23 Salary &amp; Benefits'!$A:$I,5,FALSE)</f>
        <v>68937</v>
      </c>
      <c r="U1824" s="21">
        <f>VLOOKUP($A1824,'2022-23 Salary &amp; Benefits'!$A:$I,6,FALSE)</f>
        <v>72728</v>
      </c>
      <c r="V1824" s="22">
        <f t="shared" si="356"/>
        <v>0</v>
      </c>
      <c r="W1824" s="22">
        <f t="shared" si="357"/>
        <v>0</v>
      </c>
      <c r="X1824" s="22">
        <f>'2022-23 Salary &amp; Benefits'!$G$6</f>
        <v>12558.24</v>
      </c>
      <c r="Y1824" s="23">
        <f>'2022-23 Salary &amp; Benefits'!$H$6</f>
        <v>0.2298</v>
      </c>
      <c r="Z1824" s="23">
        <f>'2022-23 Salary &amp; Benefits'!$I$6</f>
        <v>0.22339999999999999</v>
      </c>
      <c r="AA1824" s="22">
        <f t="shared" si="358"/>
        <v>0</v>
      </c>
      <c r="AB1824" s="22">
        <f t="shared" si="359"/>
        <v>0</v>
      </c>
      <c r="AC1824" s="22">
        <f t="shared" si="360"/>
        <v>0</v>
      </c>
      <c r="AD1824" s="22">
        <f t="shared" si="350"/>
        <v>0</v>
      </c>
      <c r="AE1824" s="22">
        <f t="shared" si="351"/>
        <v>0</v>
      </c>
      <c r="AF1824" s="19" t="str">
        <f>VLOOKUP(C1824,'2021-22 School Level AAFTE'!C:N,12,FALSE)</f>
        <v>No</v>
      </c>
    </row>
    <row r="1825" spans="1:284" s="5" customFormat="1">
      <c r="A1825" s="97" t="s">
        <v>2363</v>
      </c>
      <c r="B1825" s="97" t="s">
        <v>871</v>
      </c>
      <c r="C1825" s="95">
        <v>3958</v>
      </c>
      <c r="D1825" s="95" t="s">
        <v>887</v>
      </c>
      <c r="E1825" s="129">
        <f>VLOOKUP($C1825,'2021-22 School Level AAFTE'!$C:$Z,11,FALSE)</f>
        <v>0.28426666666666667</v>
      </c>
      <c r="F1825" s="129" t="str">
        <f>VLOOKUP($C1825,'2021-22 School Level AAFTE'!$C:$Z,8,FALSE)</f>
        <v>No</v>
      </c>
      <c r="G1825" s="129" t="str">
        <f>VLOOKUP($C1825,'2021-22 School Level AAFTE'!$C:$Z,12,FALSE)</f>
        <v>No</v>
      </c>
      <c r="H1825" s="127">
        <f>VLOOKUP($C1825,'2021-22 School Level AAFTE'!$C:$I,7,FALSE)</f>
        <v>520.4</v>
      </c>
      <c r="I1825" s="112">
        <f>IFERROR(IF(OR(G1825="yes",F1825= "yes"),VLOOKUP(C1825,Summary!$B:$J,6,0),0),0)</f>
        <v>0</v>
      </c>
      <c r="J1825" s="111">
        <f t="shared" si="354"/>
        <v>0</v>
      </c>
      <c r="K1825" s="91">
        <f>VLOOKUP($A1825,'2022-23 Salary &amp; Benefits'!$A:$I,3,FALSE)</f>
        <v>1.18</v>
      </c>
      <c r="L1825" s="91">
        <f>VLOOKUP($A1825,'2022-23 Salary &amp; Benefits'!$A:$I,4,FALSE)</f>
        <v>1.18</v>
      </c>
      <c r="M1825" s="101">
        <f t="shared" si="349"/>
        <v>0</v>
      </c>
      <c r="N1825" s="24">
        <v>15</v>
      </c>
      <c r="O1825" s="26">
        <f t="shared" si="352"/>
        <v>0</v>
      </c>
      <c r="P1825" s="24">
        <v>1.1000000000000001</v>
      </c>
      <c r="Q1825" s="24">
        <v>36</v>
      </c>
      <c r="R1825" s="27">
        <f t="shared" si="353"/>
        <v>0</v>
      </c>
      <c r="S1825" s="102">
        <f t="shared" si="355"/>
        <v>0</v>
      </c>
      <c r="T1825" s="21">
        <f>VLOOKUP($A1825,'2022-23 Salary &amp; Benefits'!$A:$I,5,FALSE)</f>
        <v>68937</v>
      </c>
      <c r="U1825" s="21">
        <f>VLOOKUP($A1825,'2022-23 Salary &amp; Benefits'!$A:$I,6,FALSE)</f>
        <v>72728</v>
      </c>
      <c r="V1825" s="22">
        <f t="shared" si="356"/>
        <v>0</v>
      </c>
      <c r="W1825" s="22">
        <f t="shared" si="357"/>
        <v>0</v>
      </c>
      <c r="X1825" s="22">
        <f>'2022-23 Salary &amp; Benefits'!$G$6</f>
        <v>12558.24</v>
      </c>
      <c r="Y1825" s="23">
        <f>'2022-23 Salary &amp; Benefits'!$H$6</f>
        <v>0.2298</v>
      </c>
      <c r="Z1825" s="23">
        <f>'2022-23 Salary &amp; Benefits'!$I$6</f>
        <v>0.22339999999999999</v>
      </c>
      <c r="AA1825" s="22">
        <f t="shared" si="358"/>
        <v>0</v>
      </c>
      <c r="AB1825" s="22">
        <f t="shared" si="359"/>
        <v>0</v>
      </c>
      <c r="AC1825" s="22">
        <f t="shared" si="360"/>
        <v>0</v>
      </c>
      <c r="AD1825" s="22">
        <f t="shared" si="350"/>
        <v>0</v>
      </c>
      <c r="AE1825" s="22">
        <f t="shared" si="351"/>
        <v>0</v>
      </c>
      <c r="AF1825" s="19" t="str">
        <f>VLOOKUP(C1825,'2021-22 School Level AAFTE'!C:N,12,FALSE)</f>
        <v>No</v>
      </c>
    </row>
    <row r="1826" spans="1:284" s="5" customFormat="1">
      <c r="A1826" s="97" t="s">
        <v>2468</v>
      </c>
      <c r="B1826" s="97" t="s">
        <v>1585</v>
      </c>
      <c r="C1826" s="95">
        <v>3405</v>
      </c>
      <c r="D1826" s="95" t="s">
        <v>1586</v>
      </c>
      <c r="E1826" s="129">
        <f>VLOOKUP($C1826,'2021-22 School Level AAFTE'!$C:$Z,11,FALSE)</f>
        <v>0.42919999999999997</v>
      </c>
      <c r="F1826" s="129" t="str">
        <f>VLOOKUP($C1826,'2021-22 School Level AAFTE'!$C:$Z,8,FALSE)</f>
        <v>No</v>
      </c>
      <c r="G1826" s="129" t="str">
        <f>VLOOKUP($C1826,'2021-22 School Level AAFTE'!$C:$Z,12,FALSE)</f>
        <v>Yes</v>
      </c>
      <c r="H1826" s="127">
        <f>VLOOKUP($C1826,'2021-22 School Level AAFTE'!$C:$I,7,FALSE)</f>
        <v>63.86</v>
      </c>
      <c r="I1826" s="112">
        <f>IFERROR(IF(OR(G1826="yes",F1826= "yes"),VLOOKUP(C1826,Summary!$B:$J,6,0),0),0)</f>
        <v>0</v>
      </c>
      <c r="J1826" s="111">
        <f t="shared" si="354"/>
        <v>63.86</v>
      </c>
      <c r="K1826" s="91">
        <f>VLOOKUP($A1826,'2022-23 Salary &amp; Benefits'!$A:$I,3,FALSE)</f>
        <v>1</v>
      </c>
      <c r="L1826" s="91">
        <f>VLOOKUP($A1826,'2022-23 Salary &amp; Benefits'!$A:$I,4,FALSE)</f>
        <v>1</v>
      </c>
      <c r="M1826" s="101">
        <f t="shared" si="349"/>
        <v>63.86</v>
      </c>
      <c r="N1826" s="24">
        <v>15</v>
      </c>
      <c r="O1826" s="26">
        <f t="shared" si="352"/>
        <v>4.2573333333333334</v>
      </c>
      <c r="P1826" s="24">
        <v>1.1000000000000001</v>
      </c>
      <c r="Q1826" s="24">
        <v>36</v>
      </c>
      <c r="R1826" s="27">
        <f t="shared" si="353"/>
        <v>168.59040000000002</v>
      </c>
      <c r="S1826" s="102">
        <f t="shared" si="355"/>
        <v>0.187</v>
      </c>
      <c r="T1826" s="21">
        <f>VLOOKUP($A1826,'2022-23 Salary &amp; Benefits'!$A:$I,5,FALSE)</f>
        <v>68937</v>
      </c>
      <c r="U1826" s="21">
        <f>VLOOKUP($A1826,'2022-23 Salary &amp; Benefits'!$A:$I,6,FALSE)</f>
        <v>72728</v>
      </c>
      <c r="V1826" s="22">
        <f t="shared" si="356"/>
        <v>12891.22</v>
      </c>
      <c r="W1826" s="22">
        <f t="shared" si="357"/>
        <v>708.92000000000007</v>
      </c>
      <c r="X1826" s="22">
        <f>'2022-23 Salary &amp; Benefits'!$G$6</f>
        <v>12558.24</v>
      </c>
      <c r="Y1826" s="23">
        <f>'2022-23 Salary &amp; Benefits'!$H$6</f>
        <v>0.2298</v>
      </c>
      <c r="Z1826" s="23">
        <f>'2022-23 Salary &amp; Benefits'!$I$6</f>
        <v>0.22339999999999999</v>
      </c>
      <c r="AA1826" s="22">
        <f t="shared" si="358"/>
        <v>5469.17</v>
      </c>
      <c r="AB1826" s="22">
        <f t="shared" si="359"/>
        <v>226.67</v>
      </c>
      <c r="AC1826" s="22">
        <f t="shared" si="360"/>
        <v>50.64</v>
      </c>
      <c r="AD1826" s="22">
        <f t="shared" si="350"/>
        <v>277.31</v>
      </c>
      <c r="AE1826" s="22">
        <f t="shared" si="351"/>
        <v>19346.62</v>
      </c>
      <c r="AF1826" s="19" t="str">
        <f>VLOOKUP(C1826,'2021-22 School Level AAFTE'!C:N,12,FALSE)</f>
        <v>Yes</v>
      </c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  <c r="IQ1826" s="3"/>
      <c r="IR1826" s="3"/>
      <c r="IS1826" s="3"/>
      <c r="IT1826" s="3"/>
      <c r="IU1826" s="3"/>
      <c r="IV1826" s="3"/>
      <c r="IW1826" s="3"/>
      <c r="IX1826" s="3"/>
      <c r="IY1826" s="3"/>
      <c r="IZ1826" s="3"/>
      <c r="JA1826" s="3"/>
      <c r="JB1826" s="3"/>
      <c r="JC1826" s="3"/>
      <c r="JD1826" s="3"/>
      <c r="JE1826" s="3"/>
      <c r="JF1826" s="3"/>
      <c r="JG1826" s="3"/>
      <c r="JH1826" s="3"/>
      <c r="JI1826" s="3"/>
      <c r="JJ1826" s="3"/>
      <c r="JK1826" s="3"/>
      <c r="JL1826" s="3"/>
      <c r="JM1826" s="3"/>
      <c r="JN1826" s="3"/>
      <c r="JO1826" s="3"/>
      <c r="JP1826" s="3"/>
      <c r="JQ1826" s="3"/>
      <c r="JR1826" s="3"/>
      <c r="JS1826" s="3"/>
      <c r="JT1826" s="3"/>
      <c r="JU1826" s="3"/>
      <c r="JV1826" s="3"/>
      <c r="JW1826" s="3"/>
      <c r="JX1826" s="3"/>
    </row>
    <row r="1827" spans="1:284" s="5" customFormat="1">
      <c r="A1827" s="97" t="s">
        <v>2355</v>
      </c>
      <c r="B1827" s="97" t="s">
        <v>760</v>
      </c>
      <c r="C1827" s="95">
        <v>2512</v>
      </c>
      <c r="D1827" s="95" t="s">
        <v>761</v>
      </c>
      <c r="E1827" s="129">
        <f>VLOOKUP($C1827,'2021-22 School Level AAFTE'!$C:$Z,11,FALSE)</f>
        <v>0.69913333333333327</v>
      </c>
      <c r="F1827" s="129" t="str">
        <f>VLOOKUP($C1827,'2021-22 School Level AAFTE'!$C:$Z,8,FALSE)</f>
        <v>Yes</v>
      </c>
      <c r="G1827" s="129" t="str">
        <f>VLOOKUP($C1827,'2021-22 School Level AAFTE'!$C:$Z,12,FALSE)</f>
        <v>No</v>
      </c>
      <c r="H1827" s="127">
        <f>VLOOKUP($C1827,'2021-22 School Level AAFTE'!$C:$I,7,FALSE)</f>
        <v>22.57</v>
      </c>
      <c r="I1827" s="112">
        <f>IFERROR(IF(OR(G1827="yes",F1827= "yes"),VLOOKUP(C1827,Summary!$B:$J,6,0),0),0)</f>
        <v>0</v>
      </c>
      <c r="J1827" s="111">
        <f t="shared" si="354"/>
        <v>22.57</v>
      </c>
      <c r="K1827" s="91">
        <f>VLOOKUP($A1827,'2022-23 Salary &amp; Benefits'!$A:$I,3,FALSE)</f>
        <v>1.18</v>
      </c>
      <c r="L1827" s="91">
        <f>VLOOKUP($A1827,'2022-23 Salary &amp; Benefits'!$A:$I,4,FALSE)</f>
        <v>1.18</v>
      </c>
      <c r="M1827" s="101">
        <f t="shared" si="349"/>
        <v>22.57</v>
      </c>
      <c r="N1827" s="24">
        <v>15</v>
      </c>
      <c r="O1827" s="26">
        <f t="shared" si="352"/>
        <v>1.5046666666666666</v>
      </c>
      <c r="P1827" s="24">
        <v>1.1000000000000001</v>
      </c>
      <c r="Q1827" s="24">
        <v>36</v>
      </c>
      <c r="R1827" s="27">
        <f t="shared" si="353"/>
        <v>59.584800000000001</v>
      </c>
      <c r="S1827" s="102">
        <f t="shared" si="355"/>
        <v>6.6000000000000003E-2</v>
      </c>
      <c r="T1827" s="21">
        <f>VLOOKUP($A1827,'2022-23 Salary &amp; Benefits'!$A:$I,5,FALSE)</f>
        <v>68937</v>
      </c>
      <c r="U1827" s="21">
        <f>VLOOKUP($A1827,'2022-23 Salary &amp; Benefits'!$A:$I,6,FALSE)</f>
        <v>72728</v>
      </c>
      <c r="V1827" s="22">
        <f t="shared" si="356"/>
        <v>5368.81</v>
      </c>
      <c r="W1827" s="22">
        <f t="shared" si="357"/>
        <v>295.25</v>
      </c>
      <c r="X1827" s="22">
        <f>'2022-23 Salary &amp; Benefits'!$G$6</f>
        <v>12558.24</v>
      </c>
      <c r="Y1827" s="23">
        <f>'2022-23 Salary &amp; Benefits'!$H$6</f>
        <v>0.2298</v>
      </c>
      <c r="Z1827" s="23">
        <f>'2022-23 Salary &amp; Benefits'!$I$6</f>
        <v>0.22339999999999999</v>
      </c>
      <c r="AA1827" s="22">
        <f t="shared" si="358"/>
        <v>2128.56</v>
      </c>
      <c r="AB1827" s="22">
        <f t="shared" si="359"/>
        <v>94.4</v>
      </c>
      <c r="AC1827" s="22">
        <f t="shared" si="360"/>
        <v>21.09</v>
      </c>
      <c r="AD1827" s="22">
        <f t="shared" si="350"/>
        <v>115.49000000000001</v>
      </c>
      <c r="AE1827" s="22">
        <f t="shared" si="351"/>
        <v>7908.1100000000006</v>
      </c>
      <c r="AF1827" s="19" t="str">
        <f>VLOOKUP(C1827,'2021-22 School Level AAFTE'!C:N,12,FALSE)</f>
        <v>No</v>
      </c>
    </row>
    <row r="1828" spans="1:284" s="5" customFormat="1">
      <c r="A1828" s="97" t="s">
        <v>2355</v>
      </c>
      <c r="B1828" s="97" t="s">
        <v>760</v>
      </c>
      <c r="C1828" s="95">
        <v>2513</v>
      </c>
      <c r="D1828" s="95" t="s">
        <v>762</v>
      </c>
      <c r="E1828" s="129">
        <f>VLOOKUP($C1828,'2021-22 School Level AAFTE'!$C:$Z,11,FALSE)</f>
        <v>0.63106666666666666</v>
      </c>
      <c r="F1828" s="129" t="str">
        <f>VLOOKUP($C1828,'2021-22 School Level AAFTE'!$C:$Z,8,FALSE)</f>
        <v>Yes</v>
      </c>
      <c r="G1828" s="129" t="str">
        <f>VLOOKUP($C1828,'2021-22 School Level AAFTE'!$C:$Z,12,FALSE)</f>
        <v>No</v>
      </c>
      <c r="H1828" s="127">
        <f>VLOOKUP($C1828,'2021-22 School Level AAFTE'!$C:$I,7,FALSE)</f>
        <v>12.34</v>
      </c>
      <c r="I1828" s="112">
        <f>IFERROR(IF(OR(G1828="yes",F1828= "yes"),VLOOKUP(C1828,Summary!$B:$J,6,0),0),0)</f>
        <v>0</v>
      </c>
      <c r="J1828" s="111">
        <f t="shared" si="354"/>
        <v>12.34</v>
      </c>
      <c r="K1828" s="91">
        <f>VLOOKUP($A1828,'2022-23 Salary &amp; Benefits'!$A:$I,3,FALSE)</f>
        <v>1.18</v>
      </c>
      <c r="L1828" s="91">
        <f>VLOOKUP($A1828,'2022-23 Salary &amp; Benefits'!$A:$I,4,FALSE)</f>
        <v>1.18</v>
      </c>
      <c r="M1828" s="39">
        <f t="shared" si="349"/>
        <v>12.34</v>
      </c>
      <c r="N1828" s="24">
        <v>15</v>
      </c>
      <c r="O1828" s="26">
        <f t="shared" si="352"/>
        <v>0.82266666666666666</v>
      </c>
      <c r="P1828" s="24">
        <v>1.1000000000000001</v>
      </c>
      <c r="Q1828" s="24">
        <v>36</v>
      </c>
      <c r="R1828" s="27">
        <f t="shared" si="353"/>
        <v>32.577600000000004</v>
      </c>
      <c r="S1828" s="102">
        <f t="shared" si="355"/>
        <v>3.5999999999999997E-2</v>
      </c>
      <c r="T1828" s="21">
        <f>VLOOKUP($A1828,'2022-23 Salary &amp; Benefits'!$A:$I,5,FALSE)</f>
        <v>68937</v>
      </c>
      <c r="U1828" s="21">
        <f>VLOOKUP($A1828,'2022-23 Salary &amp; Benefits'!$A:$I,6,FALSE)</f>
        <v>72728</v>
      </c>
      <c r="V1828" s="22">
        <f t="shared" si="356"/>
        <v>2928.44</v>
      </c>
      <c r="W1828" s="22">
        <f t="shared" si="357"/>
        <v>161.04999999999973</v>
      </c>
      <c r="X1828" s="22">
        <f>'2022-23 Salary &amp; Benefits'!$G$6</f>
        <v>12558.24</v>
      </c>
      <c r="Y1828" s="23">
        <f>'2022-23 Salary &amp; Benefits'!$H$6</f>
        <v>0.2298</v>
      </c>
      <c r="Z1828" s="23">
        <f>'2022-23 Salary &amp; Benefits'!$I$6</f>
        <v>0.22339999999999999</v>
      </c>
      <c r="AA1828" s="22">
        <f t="shared" si="358"/>
        <v>1161.03</v>
      </c>
      <c r="AB1828" s="22">
        <f t="shared" si="359"/>
        <v>51.49</v>
      </c>
      <c r="AC1828" s="22">
        <f t="shared" si="360"/>
        <v>11.5</v>
      </c>
      <c r="AD1828" s="22">
        <f t="shared" si="350"/>
        <v>62.99</v>
      </c>
      <c r="AE1828" s="22">
        <f t="shared" si="351"/>
        <v>4313.51</v>
      </c>
      <c r="AF1828" s="19" t="str">
        <f>VLOOKUP(C1828,'2021-22 School Level AAFTE'!C:N,12,FALSE)</f>
        <v>No</v>
      </c>
    </row>
    <row r="1829" spans="1:284" s="5" customFormat="1">
      <c r="A1829" s="97" t="s">
        <v>2480</v>
      </c>
      <c r="B1829" s="97" t="s">
        <v>1724</v>
      </c>
      <c r="C1829" s="95">
        <v>1730</v>
      </c>
      <c r="D1829" s="95" t="s">
        <v>1725</v>
      </c>
      <c r="E1829" s="129">
        <f>VLOOKUP($C1829,'2021-22 School Level AAFTE'!$C:$Z,11,FALSE)</f>
        <v>0.24596666666666667</v>
      </c>
      <c r="F1829" s="129" t="str">
        <f>VLOOKUP($C1829,'2021-22 School Level AAFTE'!$C:$Z,8,FALSE)</f>
        <v>No</v>
      </c>
      <c r="G1829" s="129" t="str">
        <f>VLOOKUP($C1829,'2021-22 School Level AAFTE'!$C:$Z,12,FALSE)</f>
        <v>No</v>
      </c>
      <c r="H1829" s="127">
        <f>VLOOKUP($C1829,'2021-22 School Level AAFTE'!$C:$I,7,FALSE)</f>
        <v>6.71</v>
      </c>
      <c r="I1829" s="112">
        <f>IFERROR(IF(OR(G1829="yes",F1829= "yes"),VLOOKUP(C1829,Summary!$B:$J,6,0),0),0)</f>
        <v>0</v>
      </c>
      <c r="J1829" s="111">
        <f t="shared" si="354"/>
        <v>0</v>
      </c>
      <c r="K1829" s="91">
        <f>VLOOKUP($A1829,'2022-23 Salary &amp; Benefits'!$A:$I,3,FALSE)</f>
        <v>1.18</v>
      </c>
      <c r="L1829" s="91">
        <f>VLOOKUP($A1829,'2022-23 Salary &amp; Benefits'!$A:$I,4,FALSE)</f>
        <v>1.18</v>
      </c>
      <c r="M1829" s="101">
        <f t="shared" si="349"/>
        <v>0</v>
      </c>
      <c r="N1829" s="24">
        <v>15</v>
      </c>
      <c r="O1829" s="26">
        <f t="shared" si="352"/>
        <v>0</v>
      </c>
      <c r="P1829" s="24">
        <v>1.1000000000000001</v>
      </c>
      <c r="Q1829" s="24">
        <v>36</v>
      </c>
      <c r="R1829" s="27">
        <f t="shared" si="353"/>
        <v>0</v>
      </c>
      <c r="S1829" s="102">
        <f t="shared" si="355"/>
        <v>0</v>
      </c>
      <c r="T1829" s="21">
        <f>VLOOKUP($A1829,'2022-23 Salary &amp; Benefits'!$A:$I,5,FALSE)</f>
        <v>68937</v>
      </c>
      <c r="U1829" s="21">
        <f>VLOOKUP($A1829,'2022-23 Salary &amp; Benefits'!$A:$I,6,FALSE)</f>
        <v>72728</v>
      </c>
      <c r="V1829" s="22">
        <f t="shared" si="356"/>
        <v>0</v>
      </c>
      <c r="W1829" s="22">
        <f t="shared" si="357"/>
        <v>0</v>
      </c>
      <c r="X1829" s="22">
        <f>'2022-23 Salary &amp; Benefits'!$G$6</f>
        <v>12558.24</v>
      </c>
      <c r="Y1829" s="23">
        <f>'2022-23 Salary &amp; Benefits'!$H$6</f>
        <v>0.2298</v>
      </c>
      <c r="Z1829" s="23">
        <f>'2022-23 Salary &amp; Benefits'!$I$6</f>
        <v>0.22339999999999999</v>
      </c>
      <c r="AA1829" s="22">
        <f t="shared" si="358"/>
        <v>0</v>
      </c>
      <c r="AB1829" s="22">
        <f t="shared" si="359"/>
        <v>0</v>
      </c>
      <c r="AC1829" s="22">
        <f t="shared" si="360"/>
        <v>0</v>
      </c>
      <c r="AD1829" s="22">
        <f t="shared" si="350"/>
        <v>0</v>
      </c>
      <c r="AE1829" s="22">
        <f t="shared" si="351"/>
        <v>0</v>
      </c>
      <c r="AF1829" s="19" t="str">
        <f>VLOOKUP(C1829,'2021-22 School Level AAFTE'!C:N,12,FALSE)</f>
        <v>No</v>
      </c>
    </row>
    <row r="1830" spans="1:284" s="5" customFormat="1">
      <c r="A1830" s="97" t="s">
        <v>2480</v>
      </c>
      <c r="B1830" s="97" t="s">
        <v>1724</v>
      </c>
      <c r="C1830" s="95">
        <v>1904</v>
      </c>
      <c r="D1830" s="95" t="s">
        <v>2927</v>
      </c>
      <c r="E1830" s="129">
        <f>VLOOKUP($C1830,'2021-22 School Level AAFTE'!$C:$Z,11,FALSE)</f>
        <v>0.15240000000000001</v>
      </c>
      <c r="F1830" s="129" t="str">
        <f>VLOOKUP($C1830,'2021-22 School Level AAFTE'!$C:$Z,8,FALSE)</f>
        <v>No</v>
      </c>
      <c r="G1830" s="129" t="str">
        <f>VLOOKUP($C1830,'2021-22 School Level AAFTE'!$C:$Z,12,FALSE)</f>
        <v>No</v>
      </c>
      <c r="H1830" s="127">
        <f>VLOOKUP($C1830,'2021-22 School Level AAFTE'!$C:$I,7,FALSE)</f>
        <v>96.53</v>
      </c>
      <c r="I1830" s="112">
        <f>IFERROR(IF(OR(G1830="yes",F1830= "yes"),VLOOKUP(C1830,Summary!$B:$J,6,0),0),0)</f>
        <v>0</v>
      </c>
      <c r="J1830" s="111">
        <f t="shared" si="354"/>
        <v>0</v>
      </c>
      <c r="K1830" s="91">
        <f>VLOOKUP($A1830,'2022-23 Salary &amp; Benefits'!$A:$I,3,FALSE)</f>
        <v>1.18</v>
      </c>
      <c r="L1830" s="91">
        <f>VLOOKUP($A1830,'2022-23 Salary &amp; Benefits'!$A:$I,4,FALSE)</f>
        <v>1.18</v>
      </c>
      <c r="M1830" s="39">
        <f t="shared" si="349"/>
        <v>0</v>
      </c>
      <c r="N1830" s="24">
        <v>15</v>
      </c>
      <c r="O1830" s="26">
        <f t="shared" si="352"/>
        <v>0</v>
      </c>
      <c r="P1830" s="24">
        <v>1.1000000000000001</v>
      </c>
      <c r="Q1830" s="24">
        <v>36</v>
      </c>
      <c r="R1830" s="27">
        <f t="shared" si="353"/>
        <v>0</v>
      </c>
      <c r="S1830" s="102">
        <f t="shared" si="355"/>
        <v>0</v>
      </c>
      <c r="T1830" s="21">
        <f>VLOOKUP($A1830,'2022-23 Salary &amp; Benefits'!$A:$I,5,FALSE)</f>
        <v>68937</v>
      </c>
      <c r="U1830" s="21">
        <f>VLOOKUP($A1830,'2022-23 Salary &amp; Benefits'!$A:$I,6,FALSE)</f>
        <v>72728</v>
      </c>
      <c r="V1830" s="22">
        <f t="shared" si="356"/>
        <v>0</v>
      </c>
      <c r="W1830" s="22">
        <f t="shared" si="357"/>
        <v>0</v>
      </c>
      <c r="X1830" s="22">
        <f>'2022-23 Salary &amp; Benefits'!$G$6</f>
        <v>12558.24</v>
      </c>
      <c r="Y1830" s="23">
        <f>'2022-23 Salary &amp; Benefits'!$H$6</f>
        <v>0.2298</v>
      </c>
      <c r="Z1830" s="23">
        <f>'2022-23 Salary &amp; Benefits'!$I$6</f>
        <v>0.22339999999999999</v>
      </c>
      <c r="AA1830" s="22">
        <f t="shared" si="358"/>
        <v>0</v>
      </c>
      <c r="AB1830" s="22">
        <f t="shared" si="359"/>
        <v>0</v>
      </c>
      <c r="AC1830" s="22">
        <f t="shared" si="360"/>
        <v>0</v>
      </c>
      <c r="AD1830" s="22">
        <f t="shared" si="350"/>
        <v>0</v>
      </c>
      <c r="AE1830" s="22">
        <f t="shared" si="351"/>
        <v>0</v>
      </c>
      <c r="AF1830" s="19" t="str">
        <f>VLOOKUP(C1830,'2021-22 School Level AAFTE'!C:N,12,FALSE)</f>
        <v>No</v>
      </c>
    </row>
    <row r="1831" spans="1:284" s="5" customFormat="1">
      <c r="A1831" s="97" t="s">
        <v>2480</v>
      </c>
      <c r="B1831" s="97" t="s">
        <v>1724</v>
      </c>
      <c r="C1831" s="95">
        <v>2073</v>
      </c>
      <c r="D1831" s="95" t="s">
        <v>1726</v>
      </c>
      <c r="E1831" s="129">
        <f>VLOOKUP($C1831,'2021-22 School Level AAFTE'!$C:$Z,11,FALSE)</f>
        <v>0.1482</v>
      </c>
      <c r="F1831" s="129" t="str">
        <f>VLOOKUP($C1831,'2021-22 School Level AAFTE'!$C:$Z,8,FALSE)</f>
        <v>No</v>
      </c>
      <c r="G1831" s="129" t="str">
        <f>VLOOKUP($C1831,'2021-22 School Level AAFTE'!$C:$Z,12,FALSE)</f>
        <v>No</v>
      </c>
      <c r="H1831" s="127">
        <f>VLOOKUP($C1831,'2021-22 School Level AAFTE'!$C:$I,7,FALSE)</f>
        <v>550.29999999999995</v>
      </c>
      <c r="I1831" s="112">
        <f>IFERROR(IF(OR(G1831="yes",F1831= "yes"),VLOOKUP(C1831,Summary!$B:$J,6,0),0),0)</f>
        <v>0</v>
      </c>
      <c r="J1831" s="111">
        <f t="shared" si="354"/>
        <v>0</v>
      </c>
      <c r="K1831" s="91">
        <f>VLOOKUP($A1831,'2022-23 Salary &amp; Benefits'!$A:$I,3,FALSE)</f>
        <v>1.18</v>
      </c>
      <c r="L1831" s="91">
        <f>VLOOKUP($A1831,'2022-23 Salary &amp; Benefits'!$A:$I,4,FALSE)</f>
        <v>1.18</v>
      </c>
      <c r="M1831" s="39">
        <f t="shared" si="349"/>
        <v>0</v>
      </c>
      <c r="N1831" s="24">
        <v>15</v>
      </c>
      <c r="O1831" s="26">
        <f t="shared" si="352"/>
        <v>0</v>
      </c>
      <c r="P1831" s="24">
        <v>1.1000000000000001</v>
      </c>
      <c r="Q1831" s="24">
        <v>36</v>
      </c>
      <c r="R1831" s="27">
        <f t="shared" si="353"/>
        <v>0</v>
      </c>
      <c r="S1831" s="102">
        <f t="shared" si="355"/>
        <v>0</v>
      </c>
      <c r="T1831" s="21">
        <f>VLOOKUP($A1831,'2022-23 Salary &amp; Benefits'!$A:$I,5,FALSE)</f>
        <v>68937</v>
      </c>
      <c r="U1831" s="21">
        <f>VLOOKUP($A1831,'2022-23 Salary &amp; Benefits'!$A:$I,6,FALSE)</f>
        <v>72728</v>
      </c>
      <c r="V1831" s="22">
        <f t="shared" si="356"/>
        <v>0</v>
      </c>
      <c r="W1831" s="22">
        <f t="shared" si="357"/>
        <v>0</v>
      </c>
      <c r="X1831" s="22">
        <f>'2022-23 Salary &amp; Benefits'!$G$6</f>
        <v>12558.24</v>
      </c>
      <c r="Y1831" s="23">
        <f>'2022-23 Salary &amp; Benefits'!$H$6</f>
        <v>0.2298</v>
      </c>
      <c r="Z1831" s="23">
        <f>'2022-23 Salary &amp; Benefits'!$I$6</f>
        <v>0.22339999999999999</v>
      </c>
      <c r="AA1831" s="22">
        <f t="shared" si="358"/>
        <v>0</v>
      </c>
      <c r="AB1831" s="22">
        <f t="shared" si="359"/>
        <v>0</v>
      </c>
      <c r="AC1831" s="22">
        <f t="shared" si="360"/>
        <v>0</v>
      </c>
      <c r="AD1831" s="22">
        <f t="shared" si="350"/>
        <v>0</v>
      </c>
      <c r="AE1831" s="22">
        <f t="shared" si="351"/>
        <v>0</v>
      </c>
      <c r="AF1831" s="19" t="str">
        <f>VLOOKUP(C1831,'2021-22 School Level AAFTE'!C:N,12,FALSE)</f>
        <v>No</v>
      </c>
    </row>
    <row r="1832" spans="1:284" s="5" customFormat="1">
      <c r="A1832" s="97" t="s">
        <v>2480</v>
      </c>
      <c r="B1832" s="97" t="s">
        <v>1724</v>
      </c>
      <c r="C1832" s="95">
        <v>2428</v>
      </c>
      <c r="D1832" s="95" t="s">
        <v>1727</v>
      </c>
      <c r="E1832" s="129">
        <f>VLOOKUP($C1832,'2021-22 School Level AAFTE'!$C:$Z,11,FALSE)</f>
        <v>0.20713333333333331</v>
      </c>
      <c r="F1832" s="129" t="str">
        <f>VLOOKUP($C1832,'2021-22 School Level AAFTE'!$C:$Z,8,FALSE)</f>
        <v>No</v>
      </c>
      <c r="G1832" s="129" t="str">
        <f>VLOOKUP($C1832,'2021-22 School Level AAFTE'!$C:$Z,12,FALSE)</f>
        <v>No</v>
      </c>
      <c r="H1832" s="127">
        <f>VLOOKUP($C1832,'2021-22 School Level AAFTE'!$C:$I,7,FALSE)</f>
        <v>1538.51</v>
      </c>
      <c r="I1832" s="112">
        <f>IFERROR(IF(OR(G1832="yes",F1832= "yes"),VLOOKUP(C1832,Summary!$B:$J,6,0),0),0)</f>
        <v>0</v>
      </c>
      <c r="J1832" s="111">
        <f t="shared" si="354"/>
        <v>0</v>
      </c>
      <c r="K1832" s="91">
        <f>VLOOKUP($A1832,'2022-23 Salary &amp; Benefits'!$A:$I,3,FALSE)</f>
        <v>1.18</v>
      </c>
      <c r="L1832" s="91">
        <f>VLOOKUP($A1832,'2022-23 Salary &amp; Benefits'!$A:$I,4,FALSE)</f>
        <v>1.18</v>
      </c>
      <c r="M1832" s="101">
        <f t="shared" si="349"/>
        <v>0</v>
      </c>
      <c r="N1832" s="24">
        <v>15</v>
      </c>
      <c r="O1832" s="26">
        <f t="shared" si="352"/>
        <v>0</v>
      </c>
      <c r="P1832" s="24">
        <v>1.1000000000000001</v>
      </c>
      <c r="Q1832" s="24">
        <v>36</v>
      </c>
      <c r="R1832" s="27">
        <f t="shared" si="353"/>
        <v>0</v>
      </c>
      <c r="S1832" s="102">
        <f t="shared" si="355"/>
        <v>0</v>
      </c>
      <c r="T1832" s="21">
        <f>VLOOKUP($A1832,'2022-23 Salary &amp; Benefits'!$A:$I,5,FALSE)</f>
        <v>68937</v>
      </c>
      <c r="U1832" s="21">
        <f>VLOOKUP($A1832,'2022-23 Salary &amp; Benefits'!$A:$I,6,FALSE)</f>
        <v>72728</v>
      </c>
      <c r="V1832" s="22">
        <f t="shared" si="356"/>
        <v>0</v>
      </c>
      <c r="W1832" s="22">
        <f t="shared" si="357"/>
        <v>0</v>
      </c>
      <c r="X1832" s="22">
        <f>'2022-23 Salary &amp; Benefits'!$G$6</f>
        <v>12558.24</v>
      </c>
      <c r="Y1832" s="23">
        <f>'2022-23 Salary &amp; Benefits'!$H$6</f>
        <v>0.2298</v>
      </c>
      <c r="Z1832" s="23">
        <f>'2022-23 Salary &amp; Benefits'!$I$6</f>
        <v>0.22339999999999999</v>
      </c>
      <c r="AA1832" s="22">
        <f t="shared" si="358"/>
        <v>0</v>
      </c>
      <c r="AB1832" s="22">
        <f t="shared" si="359"/>
        <v>0</v>
      </c>
      <c r="AC1832" s="22">
        <f t="shared" si="360"/>
        <v>0</v>
      </c>
      <c r="AD1832" s="22">
        <f t="shared" si="350"/>
        <v>0</v>
      </c>
      <c r="AE1832" s="22">
        <f t="shared" si="351"/>
        <v>0</v>
      </c>
      <c r="AF1832" s="19" t="str">
        <f>VLOOKUP(C1832,'2021-22 School Level AAFTE'!C:N,12,FALSE)</f>
        <v>No</v>
      </c>
    </row>
    <row r="1833" spans="1:284" s="5" customFormat="1">
      <c r="A1833" s="97" t="s">
        <v>2480</v>
      </c>
      <c r="B1833" s="97" t="s">
        <v>1724</v>
      </c>
      <c r="C1833" s="95">
        <v>2446</v>
      </c>
      <c r="D1833" s="95" t="s">
        <v>1728</v>
      </c>
      <c r="E1833" s="129">
        <f>VLOOKUP($C1833,'2021-22 School Level AAFTE'!$C:$Z,11,FALSE)</f>
        <v>0.45283333333333337</v>
      </c>
      <c r="F1833" s="129" t="str">
        <f>VLOOKUP($C1833,'2021-22 School Level AAFTE'!$C:$Z,8,FALSE)</f>
        <v>No</v>
      </c>
      <c r="G1833" s="129" t="str">
        <f>VLOOKUP($C1833,'2021-22 School Level AAFTE'!$C:$Z,12,FALSE)</f>
        <v>No</v>
      </c>
      <c r="H1833" s="127">
        <f>VLOOKUP($C1833,'2021-22 School Level AAFTE'!$C:$I,7,FALSE)</f>
        <v>197.28</v>
      </c>
      <c r="I1833" s="112">
        <f>IFERROR(IF(OR(G1833="yes",F1833= "yes"),VLOOKUP(C1833,Summary!$B:$J,6,0),0),0)</f>
        <v>0</v>
      </c>
      <c r="J1833" s="111">
        <f t="shared" si="354"/>
        <v>0</v>
      </c>
      <c r="K1833" s="91">
        <f>VLOOKUP($A1833,'2022-23 Salary &amp; Benefits'!$A:$I,3,FALSE)</f>
        <v>1.18</v>
      </c>
      <c r="L1833" s="91">
        <f>VLOOKUP($A1833,'2022-23 Salary &amp; Benefits'!$A:$I,4,FALSE)</f>
        <v>1.18</v>
      </c>
      <c r="M1833" s="101">
        <f t="shared" si="349"/>
        <v>0</v>
      </c>
      <c r="N1833" s="24">
        <v>15</v>
      </c>
      <c r="O1833" s="26">
        <f t="shared" si="352"/>
        <v>0</v>
      </c>
      <c r="P1833" s="24">
        <v>1.1000000000000001</v>
      </c>
      <c r="Q1833" s="24">
        <v>36</v>
      </c>
      <c r="R1833" s="27">
        <f t="shared" si="353"/>
        <v>0</v>
      </c>
      <c r="S1833" s="102">
        <f t="shared" si="355"/>
        <v>0</v>
      </c>
      <c r="T1833" s="21">
        <f>VLOOKUP($A1833,'2022-23 Salary &amp; Benefits'!$A:$I,5,FALSE)</f>
        <v>68937</v>
      </c>
      <c r="U1833" s="21">
        <f>VLOOKUP($A1833,'2022-23 Salary &amp; Benefits'!$A:$I,6,FALSE)</f>
        <v>72728</v>
      </c>
      <c r="V1833" s="22">
        <f t="shared" si="356"/>
        <v>0</v>
      </c>
      <c r="W1833" s="22">
        <f t="shared" si="357"/>
        <v>0</v>
      </c>
      <c r="X1833" s="22">
        <f>'2022-23 Salary &amp; Benefits'!$G$6</f>
        <v>12558.24</v>
      </c>
      <c r="Y1833" s="23">
        <f>'2022-23 Salary &amp; Benefits'!$H$6</f>
        <v>0.2298</v>
      </c>
      <c r="Z1833" s="23">
        <f>'2022-23 Salary &amp; Benefits'!$I$6</f>
        <v>0.22339999999999999</v>
      </c>
      <c r="AA1833" s="22">
        <f t="shared" si="358"/>
        <v>0</v>
      </c>
      <c r="AB1833" s="22">
        <f t="shared" si="359"/>
        <v>0</v>
      </c>
      <c r="AC1833" s="22">
        <f t="shared" si="360"/>
        <v>0</v>
      </c>
      <c r="AD1833" s="22">
        <f t="shared" si="350"/>
        <v>0</v>
      </c>
      <c r="AE1833" s="22">
        <f t="shared" si="351"/>
        <v>0</v>
      </c>
      <c r="AF1833" s="19" t="str">
        <f>VLOOKUP(C1833,'2021-22 School Level AAFTE'!C:N,12,FALSE)</f>
        <v>No</v>
      </c>
    </row>
    <row r="1834" spans="1:284" s="5" customFormat="1">
      <c r="A1834" s="97" t="s">
        <v>2480</v>
      </c>
      <c r="B1834" s="97" t="s">
        <v>1724</v>
      </c>
      <c r="C1834" s="95">
        <v>3005</v>
      </c>
      <c r="D1834" s="95" t="s">
        <v>375</v>
      </c>
      <c r="E1834" s="129">
        <f>VLOOKUP($C1834,'2021-22 School Level AAFTE'!$C:$Z,11,FALSE)</f>
        <v>0.45046666666666663</v>
      </c>
      <c r="F1834" s="129" t="str">
        <f>VLOOKUP($C1834,'2021-22 School Level AAFTE'!$C:$Z,8,FALSE)</f>
        <v>No</v>
      </c>
      <c r="G1834" s="129" t="str">
        <f>VLOOKUP($C1834,'2021-22 School Level AAFTE'!$C:$Z,12,FALSE)</f>
        <v>No</v>
      </c>
      <c r="H1834" s="127">
        <f>VLOOKUP($C1834,'2021-22 School Level AAFTE'!$C:$I,7,FALSE)</f>
        <v>365.18</v>
      </c>
      <c r="I1834" s="112">
        <f>IFERROR(IF(OR(G1834="yes",F1834= "yes"),VLOOKUP(C1834,Summary!$B:$J,6,0),0),0)</f>
        <v>0</v>
      </c>
      <c r="J1834" s="111">
        <f t="shared" si="354"/>
        <v>0</v>
      </c>
      <c r="K1834" s="91">
        <f>VLOOKUP($A1834,'2022-23 Salary &amp; Benefits'!$A:$I,3,FALSE)</f>
        <v>1.18</v>
      </c>
      <c r="L1834" s="91">
        <f>VLOOKUP($A1834,'2022-23 Salary &amp; Benefits'!$A:$I,4,FALSE)</f>
        <v>1.18</v>
      </c>
      <c r="M1834" s="101">
        <f t="shared" si="349"/>
        <v>0</v>
      </c>
      <c r="N1834" s="24">
        <v>15</v>
      </c>
      <c r="O1834" s="26">
        <f t="shared" si="352"/>
        <v>0</v>
      </c>
      <c r="P1834" s="24">
        <v>1.1000000000000001</v>
      </c>
      <c r="Q1834" s="24">
        <v>36</v>
      </c>
      <c r="R1834" s="27">
        <f t="shared" si="353"/>
        <v>0</v>
      </c>
      <c r="S1834" s="102">
        <f t="shared" si="355"/>
        <v>0</v>
      </c>
      <c r="T1834" s="21">
        <f>VLOOKUP($A1834,'2022-23 Salary &amp; Benefits'!$A:$I,5,FALSE)</f>
        <v>68937</v>
      </c>
      <c r="U1834" s="21">
        <f>VLOOKUP($A1834,'2022-23 Salary &amp; Benefits'!$A:$I,6,FALSE)</f>
        <v>72728</v>
      </c>
      <c r="V1834" s="22">
        <f t="shared" si="356"/>
        <v>0</v>
      </c>
      <c r="W1834" s="22">
        <f t="shared" si="357"/>
        <v>0</v>
      </c>
      <c r="X1834" s="22">
        <f>'2022-23 Salary &amp; Benefits'!$G$6</f>
        <v>12558.24</v>
      </c>
      <c r="Y1834" s="23">
        <f>'2022-23 Salary &amp; Benefits'!$H$6</f>
        <v>0.2298</v>
      </c>
      <c r="Z1834" s="23">
        <f>'2022-23 Salary &amp; Benefits'!$I$6</f>
        <v>0.22339999999999999</v>
      </c>
      <c r="AA1834" s="22">
        <f t="shared" si="358"/>
        <v>0</v>
      </c>
      <c r="AB1834" s="22">
        <f t="shared" si="359"/>
        <v>0</v>
      </c>
      <c r="AC1834" s="22">
        <f t="shared" si="360"/>
        <v>0</v>
      </c>
      <c r="AD1834" s="22">
        <f t="shared" si="350"/>
        <v>0</v>
      </c>
      <c r="AE1834" s="22">
        <f t="shared" si="351"/>
        <v>0</v>
      </c>
      <c r="AF1834" s="19" t="str">
        <f>VLOOKUP(C1834,'2021-22 School Level AAFTE'!C:N,12,FALSE)</f>
        <v>No</v>
      </c>
    </row>
    <row r="1835" spans="1:284" s="5" customFormat="1">
      <c r="A1835" s="97" t="s">
        <v>2480</v>
      </c>
      <c r="B1835" s="97" t="s">
        <v>1724</v>
      </c>
      <c r="C1835" s="95">
        <v>3305</v>
      </c>
      <c r="D1835" s="95" t="s">
        <v>1729</v>
      </c>
      <c r="E1835" s="129">
        <f>VLOOKUP($C1835,'2021-22 School Level AAFTE'!$C:$Z,11,FALSE)</f>
        <v>0.25899999999999995</v>
      </c>
      <c r="F1835" s="129" t="str">
        <f>VLOOKUP($C1835,'2021-22 School Level AAFTE'!$C:$Z,8,FALSE)</f>
        <v>No</v>
      </c>
      <c r="G1835" s="129" t="str">
        <f>VLOOKUP($C1835,'2021-22 School Level AAFTE'!$C:$Z,12,FALSE)</f>
        <v>No</v>
      </c>
      <c r="H1835" s="127">
        <f>VLOOKUP($C1835,'2021-22 School Level AAFTE'!$C:$I,7,FALSE)</f>
        <v>413.41</v>
      </c>
      <c r="I1835" s="112">
        <f>IFERROR(IF(OR(G1835="yes",F1835= "yes"),VLOOKUP(C1835,Summary!$B:$J,6,0),0),0)</f>
        <v>0</v>
      </c>
      <c r="J1835" s="111">
        <f t="shared" si="354"/>
        <v>0</v>
      </c>
      <c r="K1835" s="91">
        <f>VLOOKUP($A1835,'2022-23 Salary &amp; Benefits'!$A:$I,3,FALSE)</f>
        <v>1.18</v>
      </c>
      <c r="L1835" s="91">
        <f>VLOOKUP($A1835,'2022-23 Salary &amp; Benefits'!$A:$I,4,FALSE)</f>
        <v>1.18</v>
      </c>
      <c r="M1835" s="101">
        <f t="shared" si="349"/>
        <v>0</v>
      </c>
      <c r="N1835" s="24">
        <v>15</v>
      </c>
      <c r="O1835" s="26">
        <f t="shared" si="352"/>
        <v>0</v>
      </c>
      <c r="P1835" s="24">
        <v>1.1000000000000001</v>
      </c>
      <c r="Q1835" s="24">
        <v>36</v>
      </c>
      <c r="R1835" s="27">
        <f t="shared" si="353"/>
        <v>0</v>
      </c>
      <c r="S1835" s="102">
        <f t="shared" si="355"/>
        <v>0</v>
      </c>
      <c r="T1835" s="21">
        <f>VLOOKUP($A1835,'2022-23 Salary &amp; Benefits'!$A:$I,5,FALSE)</f>
        <v>68937</v>
      </c>
      <c r="U1835" s="21">
        <f>VLOOKUP($A1835,'2022-23 Salary &amp; Benefits'!$A:$I,6,FALSE)</f>
        <v>72728</v>
      </c>
      <c r="V1835" s="22">
        <f t="shared" si="356"/>
        <v>0</v>
      </c>
      <c r="W1835" s="22">
        <f t="shared" si="357"/>
        <v>0</v>
      </c>
      <c r="X1835" s="22">
        <f>'2022-23 Salary &amp; Benefits'!$G$6</f>
        <v>12558.24</v>
      </c>
      <c r="Y1835" s="23">
        <f>'2022-23 Salary &amp; Benefits'!$H$6</f>
        <v>0.2298</v>
      </c>
      <c r="Z1835" s="23">
        <f>'2022-23 Salary &amp; Benefits'!$I$6</f>
        <v>0.22339999999999999</v>
      </c>
      <c r="AA1835" s="22">
        <f t="shared" si="358"/>
        <v>0</v>
      </c>
      <c r="AB1835" s="22">
        <f t="shared" si="359"/>
        <v>0</v>
      </c>
      <c r="AC1835" s="22">
        <f t="shared" si="360"/>
        <v>0</v>
      </c>
      <c r="AD1835" s="22">
        <f t="shared" si="350"/>
        <v>0</v>
      </c>
      <c r="AE1835" s="22">
        <f t="shared" si="351"/>
        <v>0</v>
      </c>
      <c r="AF1835" s="19" t="str">
        <f>VLOOKUP(C1835,'2021-22 School Level AAFTE'!C:N,12,FALSE)</f>
        <v>No</v>
      </c>
    </row>
    <row r="1836" spans="1:284" s="5" customFormat="1">
      <c r="A1836" s="97" t="s">
        <v>2480</v>
      </c>
      <c r="B1836" s="97" t="s">
        <v>1724</v>
      </c>
      <c r="C1836" s="95">
        <v>3561</v>
      </c>
      <c r="D1836" s="95" t="s">
        <v>1730</v>
      </c>
      <c r="E1836" s="129">
        <f>VLOOKUP($C1836,'2021-22 School Level AAFTE'!$C:$Z,11,FALSE)</f>
        <v>0.22656666666666669</v>
      </c>
      <c r="F1836" s="129" t="str">
        <f>VLOOKUP($C1836,'2021-22 School Level AAFTE'!$C:$Z,8,FALSE)</f>
        <v>No</v>
      </c>
      <c r="G1836" s="129" t="str">
        <f>VLOOKUP($C1836,'2021-22 School Level AAFTE'!$C:$Z,12,FALSE)</f>
        <v>No</v>
      </c>
      <c r="H1836" s="127">
        <f>VLOOKUP($C1836,'2021-22 School Level AAFTE'!$C:$I,7,FALSE)</f>
        <v>482.94</v>
      </c>
      <c r="I1836" s="112">
        <f>IFERROR(IF(OR(G1836="yes",F1836= "yes"),VLOOKUP(C1836,Summary!$B:$J,6,0),0),0)</f>
        <v>0</v>
      </c>
      <c r="J1836" s="111">
        <f t="shared" si="354"/>
        <v>0</v>
      </c>
      <c r="K1836" s="91">
        <f>VLOOKUP($A1836,'2022-23 Salary &amp; Benefits'!$A:$I,3,FALSE)</f>
        <v>1.18</v>
      </c>
      <c r="L1836" s="91">
        <f>VLOOKUP($A1836,'2022-23 Salary &amp; Benefits'!$A:$I,4,FALSE)</f>
        <v>1.18</v>
      </c>
      <c r="M1836" s="39">
        <f t="shared" si="349"/>
        <v>0</v>
      </c>
      <c r="N1836" s="24">
        <v>15</v>
      </c>
      <c r="O1836" s="26">
        <f t="shared" si="352"/>
        <v>0</v>
      </c>
      <c r="P1836" s="24">
        <v>1.1000000000000001</v>
      </c>
      <c r="Q1836" s="24">
        <v>36</v>
      </c>
      <c r="R1836" s="27">
        <f t="shared" si="353"/>
        <v>0</v>
      </c>
      <c r="S1836" s="102">
        <f t="shared" si="355"/>
        <v>0</v>
      </c>
      <c r="T1836" s="21">
        <f>VLOOKUP($A1836,'2022-23 Salary &amp; Benefits'!$A:$I,5,FALSE)</f>
        <v>68937</v>
      </c>
      <c r="U1836" s="21">
        <f>VLOOKUP($A1836,'2022-23 Salary &amp; Benefits'!$A:$I,6,FALSE)</f>
        <v>72728</v>
      </c>
      <c r="V1836" s="22">
        <f t="shared" si="356"/>
        <v>0</v>
      </c>
      <c r="W1836" s="22">
        <f t="shared" si="357"/>
        <v>0</v>
      </c>
      <c r="X1836" s="22">
        <f>'2022-23 Salary &amp; Benefits'!$G$6</f>
        <v>12558.24</v>
      </c>
      <c r="Y1836" s="23">
        <f>'2022-23 Salary &amp; Benefits'!$H$6</f>
        <v>0.2298</v>
      </c>
      <c r="Z1836" s="23">
        <f>'2022-23 Salary &amp; Benefits'!$I$6</f>
        <v>0.22339999999999999</v>
      </c>
      <c r="AA1836" s="22">
        <f t="shared" si="358"/>
        <v>0</v>
      </c>
      <c r="AB1836" s="22">
        <f t="shared" si="359"/>
        <v>0</v>
      </c>
      <c r="AC1836" s="22">
        <f t="shared" si="360"/>
        <v>0</v>
      </c>
      <c r="AD1836" s="22">
        <f t="shared" si="350"/>
        <v>0</v>
      </c>
      <c r="AE1836" s="22">
        <f t="shared" si="351"/>
        <v>0</v>
      </c>
      <c r="AF1836" s="19" t="str">
        <f>VLOOKUP(C1836,'2021-22 School Level AAFTE'!C:N,12,FALSE)</f>
        <v>No</v>
      </c>
    </row>
    <row r="1837" spans="1:284" s="5" customFormat="1">
      <c r="A1837" s="97" t="s">
        <v>2480</v>
      </c>
      <c r="B1837" s="97" t="s">
        <v>1724</v>
      </c>
      <c r="C1837" s="95">
        <v>3981</v>
      </c>
      <c r="D1837" s="95" t="s">
        <v>1731</v>
      </c>
      <c r="E1837" s="129">
        <f>VLOOKUP($C1837,'2021-22 School Level AAFTE'!$C:$Z,11,FALSE)</f>
        <v>0.11109999999999999</v>
      </c>
      <c r="F1837" s="129" t="str">
        <f>VLOOKUP($C1837,'2021-22 School Level AAFTE'!$C:$Z,8,FALSE)</f>
        <v>No</v>
      </c>
      <c r="G1837" s="129" t="str">
        <f>VLOOKUP($C1837,'2021-22 School Level AAFTE'!$C:$Z,12,FALSE)</f>
        <v>No</v>
      </c>
      <c r="H1837" s="127">
        <f>VLOOKUP($C1837,'2021-22 School Level AAFTE'!$C:$I,7,FALSE)</f>
        <v>10.69</v>
      </c>
      <c r="I1837" s="112">
        <f>IFERROR(IF(OR(G1837="yes",F1837= "yes"),VLOOKUP(C1837,Summary!$B:$J,6,0),0),0)</f>
        <v>0</v>
      </c>
      <c r="J1837" s="111">
        <f t="shared" si="354"/>
        <v>0</v>
      </c>
      <c r="K1837" s="91">
        <f>VLOOKUP($A1837,'2022-23 Salary &amp; Benefits'!$A:$I,3,FALSE)</f>
        <v>1.18</v>
      </c>
      <c r="L1837" s="91">
        <f>VLOOKUP($A1837,'2022-23 Salary &amp; Benefits'!$A:$I,4,FALSE)</f>
        <v>1.18</v>
      </c>
      <c r="M1837" s="39">
        <f t="shared" si="349"/>
        <v>0</v>
      </c>
      <c r="N1837" s="24">
        <v>15</v>
      </c>
      <c r="O1837" s="26">
        <f t="shared" si="352"/>
        <v>0</v>
      </c>
      <c r="P1837" s="24">
        <v>1.1000000000000001</v>
      </c>
      <c r="Q1837" s="24">
        <v>36</v>
      </c>
      <c r="R1837" s="27">
        <f t="shared" si="353"/>
        <v>0</v>
      </c>
      <c r="S1837" s="102">
        <f t="shared" si="355"/>
        <v>0</v>
      </c>
      <c r="T1837" s="21">
        <f>VLOOKUP($A1837,'2022-23 Salary &amp; Benefits'!$A:$I,5,FALSE)</f>
        <v>68937</v>
      </c>
      <c r="U1837" s="21">
        <f>VLOOKUP($A1837,'2022-23 Salary &amp; Benefits'!$A:$I,6,FALSE)</f>
        <v>72728</v>
      </c>
      <c r="V1837" s="22">
        <f t="shared" si="356"/>
        <v>0</v>
      </c>
      <c r="W1837" s="22">
        <f t="shared" si="357"/>
        <v>0</v>
      </c>
      <c r="X1837" s="22">
        <f>'2022-23 Salary &amp; Benefits'!$G$6</f>
        <v>12558.24</v>
      </c>
      <c r="Y1837" s="23">
        <f>'2022-23 Salary &amp; Benefits'!$H$6</f>
        <v>0.2298</v>
      </c>
      <c r="Z1837" s="23">
        <f>'2022-23 Salary &amp; Benefits'!$I$6</f>
        <v>0.22339999999999999</v>
      </c>
      <c r="AA1837" s="22">
        <f t="shared" si="358"/>
        <v>0</v>
      </c>
      <c r="AB1837" s="22">
        <f t="shared" si="359"/>
        <v>0</v>
      </c>
      <c r="AC1837" s="22">
        <f t="shared" si="360"/>
        <v>0</v>
      </c>
      <c r="AD1837" s="22">
        <f t="shared" si="350"/>
        <v>0</v>
      </c>
      <c r="AE1837" s="22">
        <f t="shared" si="351"/>
        <v>0</v>
      </c>
      <c r="AF1837" s="19" t="str">
        <f>VLOOKUP(C1837,'2021-22 School Level AAFTE'!C:N,12,FALSE)</f>
        <v>No</v>
      </c>
    </row>
    <row r="1838" spans="1:284" s="5" customFormat="1">
      <c r="A1838" s="97" t="s">
        <v>2480</v>
      </c>
      <c r="B1838" s="97" t="s">
        <v>1724</v>
      </c>
      <c r="C1838" s="95">
        <v>4145</v>
      </c>
      <c r="D1838" s="95" t="s">
        <v>1732</v>
      </c>
      <c r="E1838" s="129">
        <f>VLOOKUP($C1838,'2021-22 School Level AAFTE'!$C:$Z,11,FALSE)</f>
        <v>0.15743333333333331</v>
      </c>
      <c r="F1838" s="129" t="str">
        <f>VLOOKUP($C1838,'2021-22 School Level AAFTE'!$C:$Z,8,FALSE)</f>
        <v>No</v>
      </c>
      <c r="G1838" s="129" t="str">
        <f>VLOOKUP($C1838,'2021-22 School Level AAFTE'!$C:$Z,12,FALSE)</f>
        <v>No</v>
      </c>
      <c r="H1838" s="127">
        <f>VLOOKUP($C1838,'2021-22 School Level AAFTE'!$C:$I,7,FALSE)</f>
        <v>656.05</v>
      </c>
      <c r="I1838" s="112">
        <f>IFERROR(IF(OR(G1838="yes",F1838= "yes"),VLOOKUP(C1838,Summary!$B:$J,6,0),0),0)</f>
        <v>0</v>
      </c>
      <c r="J1838" s="111">
        <f t="shared" si="354"/>
        <v>0</v>
      </c>
      <c r="K1838" s="91">
        <f>VLOOKUP($A1838,'2022-23 Salary &amp; Benefits'!$A:$I,3,FALSE)</f>
        <v>1.18</v>
      </c>
      <c r="L1838" s="91">
        <f>VLOOKUP($A1838,'2022-23 Salary &amp; Benefits'!$A:$I,4,FALSE)</f>
        <v>1.18</v>
      </c>
      <c r="M1838" s="39">
        <f t="shared" si="349"/>
        <v>0</v>
      </c>
      <c r="N1838" s="24">
        <v>15</v>
      </c>
      <c r="O1838" s="26">
        <f t="shared" si="352"/>
        <v>0</v>
      </c>
      <c r="P1838" s="24">
        <v>1.1000000000000001</v>
      </c>
      <c r="Q1838" s="24">
        <v>36</v>
      </c>
      <c r="R1838" s="27">
        <f t="shared" si="353"/>
        <v>0</v>
      </c>
      <c r="S1838" s="102">
        <f t="shared" si="355"/>
        <v>0</v>
      </c>
      <c r="T1838" s="21">
        <f>VLOOKUP($A1838,'2022-23 Salary &amp; Benefits'!$A:$I,5,FALSE)</f>
        <v>68937</v>
      </c>
      <c r="U1838" s="21">
        <f>VLOOKUP($A1838,'2022-23 Salary &amp; Benefits'!$A:$I,6,FALSE)</f>
        <v>72728</v>
      </c>
      <c r="V1838" s="22">
        <f t="shared" si="356"/>
        <v>0</v>
      </c>
      <c r="W1838" s="22">
        <f t="shared" si="357"/>
        <v>0</v>
      </c>
      <c r="X1838" s="22">
        <f>'2022-23 Salary &amp; Benefits'!$G$6</f>
        <v>12558.24</v>
      </c>
      <c r="Y1838" s="23">
        <f>'2022-23 Salary &amp; Benefits'!$H$6</f>
        <v>0.2298</v>
      </c>
      <c r="Z1838" s="23">
        <f>'2022-23 Salary &amp; Benefits'!$I$6</f>
        <v>0.22339999999999999</v>
      </c>
      <c r="AA1838" s="22">
        <f t="shared" si="358"/>
        <v>0</v>
      </c>
      <c r="AB1838" s="22">
        <f t="shared" si="359"/>
        <v>0</v>
      </c>
      <c r="AC1838" s="22">
        <f t="shared" si="360"/>
        <v>0</v>
      </c>
      <c r="AD1838" s="22">
        <f t="shared" si="350"/>
        <v>0</v>
      </c>
      <c r="AE1838" s="22">
        <f t="shared" si="351"/>
        <v>0</v>
      </c>
      <c r="AF1838" s="19" t="str">
        <f>VLOOKUP(C1838,'2021-22 School Level AAFTE'!C:N,12,FALSE)</f>
        <v>No</v>
      </c>
    </row>
    <row r="1839" spans="1:284" s="5" customFormat="1">
      <c r="A1839" s="97" t="s">
        <v>2480</v>
      </c>
      <c r="B1839" s="97" t="s">
        <v>1724</v>
      </c>
      <c r="C1839" s="95">
        <v>4184</v>
      </c>
      <c r="D1839" s="95" t="s">
        <v>1733</v>
      </c>
      <c r="E1839" s="129">
        <f>VLOOKUP($C1839,'2021-22 School Level AAFTE'!$C:$Z,11,FALSE)</f>
        <v>0.15049999999999999</v>
      </c>
      <c r="F1839" s="129" t="str">
        <f>VLOOKUP($C1839,'2021-22 School Level AAFTE'!$C:$Z,8,FALSE)</f>
        <v>No</v>
      </c>
      <c r="G1839" s="129" t="str">
        <f>VLOOKUP($C1839,'2021-22 School Level AAFTE'!$C:$Z,12,FALSE)</f>
        <v>No</v>
      </c>
      <c r="H1839" s="127">
        <f>VLOOKUP($C1839,'2021-22 School Level AAFTE'!$C:$I,7,FALSE)</f>
        <v>549.63</v>
      </c>
      <c r="I1839" s="112">
        <f>IFERROR(IF(OR(G1839="yes",F1839= "yes"),VLOOKUP(C1839,Summary!$B:$J,6,0),0),0)</f>
        <v>0</v>
      </c>
      <c r="J1839" s="111">
        <f t="shared" si="354"/>
        <v>0</v>
      </c>
      <c r="K1839" s="91">
        <f>VLOOKUP($A1839,'2022-23 Salary &amp; Benefits'!$A:$I,3,FALSE)</f>
        <v>1.18</v>
      </c>
      <c r="L1839" s="91">
        <f>VLOOKUP($A1839,'2022-23 Salary &amp; Benefits'!$A:$I,4,FALSE)</f>
        <v>1.18</v>
      </c>
      <c r="M1839" s="101">
        <f t="shared" si="349"/>
        <v>0</v>
      </c>
      <c r="N1839" s="24">
        <v>15</v>
      </c>
      <c r="O1839" s="26">
        <f t="shared" si="352"/>
        <v>0</v>
      </c>
      <c r="P1839" s="24">
        <v>1.1000000000000001</v>
      </c>
      <c r="Q1839" s="24">
        <v>36</v>
      </c>
      <c r="R1839" s="27">
        <f t="shared" si="353"/>
        <v>0</v>
      </c>
      <c r="S1839" s="102">
        <f t="shared" si="355"/>
        <v>0</v>
      </c>
      <c r="T1839" s="21">
        <f>VLOOKUP($A1839,'2022-23 Salary &amp; Benefits'!$A:$I,5,FALSE)</f>
        <v>68937</v>
      </c>
      <c r="U1839" s="21">
        <f>VLOOKUP($A1839,'2022-23 Salary &amp; Benefits'!$A:$I,6,FALSE)</f>
        <v>72728</v>
      </c>
      <c r="V1839" s="22">
        <f t="shared" si="356"/>
        <v>0</v>
      </c>
      <c r="W1839" s="22">
        <f t="shared" si="357"/>
        <v>0</v>
      </c>
      <c r="X1839" s="22">
        <f>'2022-23 Salary &amp; Benefits'!$G$6</f>
        <v>12558.24</v>
      </c>
      <c r="Y1839" s="23">
        <f>'2022-23 Salary &amp; Benefits'!$H$6</f>
        <v>0.2298</v>
      </c>
      <c r="Z1839" s="23">
        <f>'2022-23 Salary &amp; Benefits'!$I$6</f>
        <v>0.22339999999999999</v>
      </c>
      <c r="AA1839" s="22">
        <f t="shared" si="358"/>
        <v>0</v>
      </c>
      <c r="AB1839" s="22">
        <f t="shared" si="359"/>
        <v>0</v>
      </c>
      <c r="AC1839" s="22">
        <f t="shared" si="360"/>
        <v>0</v>
      </c>
      <c r="AD1839" s="22">
        <f t="shared" si="350"/>
        <v>0</v>
      </c>
      <c r="AE1839" s="22">
        <f t="shared" si="351"/>
        <v>0</v>
      </c>
      <c r="AF1839" s="19" t="str">
        <f>VLOOKUP(C1839,'2021-22 School Level AAFTE'!C:N,12,FALSE)</f>
        <v>No</v>
      </c>
    </row>
    <row r="1840" spans="1:284" s="5" customFormat="1">
      <c r="A1840" s="97" t="s">
        <v>2480</v>
      </c>
      <c r="B1840" s="97" t="s">
        <v>1724</v>
      </c>
      <c r="C1840" s="95">
        <v>4241</v>
      </c>
      <c r="D1840" s="95" t="s">
        <v>1734</v>
      </c>
      <c r="E1840" s="129">
        <f>VLOOKUP($C1840,'2021-22 School Level AAFTE'!$C:$Z,11,FALSE)</f>
        <v>0.13393333333333332</v>
      </c>
      <c r="F1840" s="129" t="str">
        <f>VLOOKUP($C1840,'2021-22 School Level AAFTE'!$C:$Z,8,FALSE)</f>
        <v>No</v>
      </c>
      <c r="G1840" s="129" t="str">
        <f>VLOOKUP($C1840,'2021-22 School Level AAFTE'!$C:$Z,12,FALSE)</f>
        <v>No</v>
      </c>
      <c r="H1840" s="127">
        <f>VLOOKUP($C1840,'2021-22 School Level AAFTE'!$C:$I,7,FALSE)</f>
        <v>583.52</v>
      </c>
      <c r="I1840" s="112">
        <f>IFERROR(IF(OR(G1840="yes",F1840= "yes"),VLOOKUP(C1840,Summary!$B:$J,6,0),0),0)</f>
        <v>0</v>
      </c>
      <c r="J1840" s="111">
        <f t="shared" si="354"/>
        <v>0</v>
      </c>
      <c r="K1840" s="91">
        <f>VLOOKUP($A1840,'2022-23 Salary &amp; Benefits'!$A:$I,3,FALSE)</f>
        <v>1.18</v>
      </c>
      <c r="L1840" s="91">
        <f>VLOOKUP($A1840,'2022-23 Salary &amp; Benefits'!$A:$I,4,FALSE)</f>
        <v>1.18</v>
      </c>
      <c r="M1840" s="39">
        <f t="shared" si="349"/>
        <v>0</v>
      </c>
      <c r="N1840" s="24">
        <v>15</v>
      </c>
      <c r="O1840" s="26">
        <f t="shared" si="352"/>
        <v>0</v>
      </c>
      <c r="P1840" s="24">
        <v>1.1000000000000001</v>
      </c>
      <c r="Q1840" s="24">
        <v>36</v>
      </c>
      <c r="R1840" s="27">
        <f t="shared" si="353"/>
        <v>0</v>
      </c>
      <c r="S1840" s="102">
        <f t="shared" si="355"/>
        <v>0</v>
      </c>
      <c r="T1840" s="21">
        <f>VLOOKUP($A1840,'2022-23 Salary &amp; Benefits'!$A:$I,5,FALSE)</f>
        <v>68937</v>
      </c>
      <c r="U1840" s="21">
        <f>VLOOKUP($A1840,'2022-23 Salary &amp; Benefits'!$A:$I,6,FALSE)</f>
        <v>72728</v>
      </c>
      <c r="V1840" s="22">
        <f t="shared" si="356"/>
        <v>0</v>
      </c>
      <c r="W1840" s="22">
        <f t="shared" si="357"/>
        <v>0</v>
      </c>
      <c r="X1840" s="22">
        <f>'2022-23 Salary &amp; Benefits'!$G$6</f>
        <v>12558.24</v>
      </c>
      <c r="Y1840" s="23">
        <f>'2022-23 Salary &amp; Benefits'!$H$6</f>
        <v>0.2298</v>
      </c>
      <c r="Z1840" s="23">
        <f>'2022-23 Salary &amp; Benefits'!$I$6</f>
        <v>0.22339999999999999</v>
      </c>
      <c r="AA1840" s="22">
        <f t="shared" si="358"/>
        <v>0</v>
      </c>
      <c r="AB1840" s="22">
        <f t="shared" si="359"/>
        <v>0</v>
      </c>
      <c r="AC1840" s="22">
        <f t="shared" si="360"/>
        <v>0</v>
      </c>
      <c r="AD1840" s="22">
        <f t="shared" si="350"/>
        <v>0</v>
      </c>
      <c r="AE1840" s="22">
        <f t="shared" si="351"/>
        <v>0</v>
      </c>
      <c r="AF1840" s="19" t="str">
        <f>VLOOKUP(C1840,'2021-22 School Level AAFTE'!C:N,12,FALSE)</f>
        <v>No</v>
      </c>
    </row>
    <row r="1841" spans="1:32" s="5" customFormat="1">
      <c r="A1841" s="97" t="s">
        <v>2480</v>
      </c>
      <c r="B1841" s="97" t="s">
        <v>1724</v>
      </c>
      <c r="C1841" s="95">
        <v>4265</v>
      </c>
      <c r="D1841" s="95" t="s">
        <v>1735</v>
      </c>
      <c r="E1841" s="129">
        <f>VLOOKUP($C1841,'2021-22 School Level AAFTE'!$C:$Z,11,FALSE)</f>
        <v>0.29786666666666667</v>
      </c>
      <c r="F1841" s="129" t="str">
        <f>VLOOKUP($C1841,'2021-22 School Level AAFTE'!$C:$Z,8,FALSE)</f>
        <v>No</v>
      </c>
      <c r="G1841" s="129" t="str">
        <f>VLOOKUP($C1841,'2021-22 School Level AAFTE'!$C:$Z,12,FALSE)</f>
        <v>No</v>
      </c>
      <c r="H1841" s="127">
        <f>VLOOKUP($C1841,'2021-22 School Level AAFTE'!$C:$I,7,FALSE)</f>
        <v>131.18</v>
      </c>
      <c r="I1841" s="112">
        <f>IFERROR(IF(OR(G1841="yes",F1841= "yes"),VLOOKUP(C1841,Summary!$B:$J,6,0),0),0)</f>
        <v>0</v>
      </c>
      <c r="J1841" s="111">
        <f t="shared" si="354"/>
        <v>0</v>
      </c>
      <c r="K1841" s="91">
        <f>VLOOKUP($A1841,'2022-23 Salary &amp; Benefits'!$A:$I,3,FALSE)</f>
        <v>1.18</v>
      </c>
      <c r="L1841" s="91">
        <f>VLOOKUP($A1841,'2022-23 Salary &amp; Benefits'!$A:$I,4,FALSE)</f>
        <v>1.18</v>
      </c>
      <c r="M1841" s="39">
        <f t="shared" si="349"/>
        <v>0</v>
      </c>
      <c r="N1841" s="24">
        <v>15</v>
      </c>
      <c r="O1841" s="26">
        <f t="shared" si="352"/>
        <v>0</v>
      </c>
      <c r="P1841" s="24">
        <v>1.1000000000000001</v>
      </c>
      <c r="Q1841" s="24">
        <v>36</v>
      </c>
      <c r="R1841" s="27">
        <f t="shared" si="353"/>
        <v>0</v>
      </c>
      <c r="S1841" s="102">
        <f t="shared" si="355"/>
        <v>0</v>
      </c>
      <c r="T1841" s="21">
        <f>VLOOKUP($A1841,'2022-23 Salary &amp; Benefits'!$A:$I,5,FALSE)</f>
        <v>68937</v>
      </c>
      <c r="U1841" s="21">
        <f>VLOOKUP($A1841,'2022-23 Salary &amp; Benefits'!$A:$I,6,FALSE)</f>
        <v>72728</v>
      </c>
      <c r="V1841" s="22">
        <f t="shared" si="356"/>
        <v>0</v>
      </c>
      <c r="W1841" s="22">
        <f t="shared" si="357"/>
        <v>0</v>
      </c>
      <c r="X1841" s="22">
        <f>'2022-23 Salary &amp; Benefits'!$G$6</f>
        <v>12558.24</v>
      </c>
      <c r="Y1841" s="23">
        <f>'2022-23 Salary &amp; Benefits'!$H$6</f>
        <v>0.2298</v>
      </c>
      <c r="Z1841" s="23">
        <f>'2022-23 Salary &amp; Benefits'!$I$6</f>
        <v>0.22339999999999999</v>
      </c>
      <c r="AA1841" s="22">
        <f t="shared" si="358"/>
        <v>0</v>
      </c>
      <c r="AB1841" s="22">
        <f t="shared" si="359"/>
        <v>0</v>
      </c>
      <c r="AC1841" s="22">
        <f t="shared" si="360"/>
        <v>0</v>
      </c>
      <c r="AD1841" s="22">
        <f t="shared" si="350"/>
        <v>0</v>
      </c>
      <c r="AE1841" s="22">
        <f t="shared" si="351"/>
        <v>0</v>
      </c>
      <c r="AF1841" s="19" t="str">
        <f>VLOOKUP(C1841,'2021-22 School Level AAFTE'!C:N,12,FALSE)</f>
        <v>No</v>
      </c>
    </row>
    <row r="1842" spans="1:32" s="5" customFormat="1">
      <c r="A1842" s="97" t="s">
        <v>2480</v>
      </c>
      <c r="B1842" s="97" t="s">
        <v>1724</v>
      </c>
      <c r="C1842" s="95">
        <v>4366</v>
      </c>
      <c r="D1842" s="95" t="s">
        <v>795</v>
      </c>
      <c r="E1842" s="129">
        <f>VLOOKUP($C1842,'2021-22 School Level AAFTE'!$C:$Z,11,FALSE)</f>
        <v>0.2359</v>
      </c>
      <c r="F1842" s="129" t="str">
        <f>VLOOKUP($C1842,'2021-22 School Level AAFTE'!$C:$Z,8,FALSE)</f>
        <v>No</v>
      </c>
      <c r="G1842" s="129" t="str">
        <f>VLOOKUP($C1842,'2021-22 School Level AAFTE'!$C:$Z,12,FALSE)</f>
        <v>No</v>
      </c>
      <c r="H1842" s="127">
        <f>VLOOKUP($C1842,'2021-22 School Level AAFTE'!$C:$I,7,FALSE)</f>
        <v>335.61</v>
      </c>
      <c r="I1842" s="112">
        <f>IFERROR(IF(OR(G1842="yes",F1842= "yes"),VLOOKUP(C1842,Summary!$B:$J,6,0),0),0)</f>
        <v>0</v>
      </c>
      <c r="J1842" s="111">
        <f t="shared" si="354"/>
        <v>0</v>
      </c>
      <c r="K1842" s="91">
        <f>VLOOKUP($A1842,'2022-23 Salary &amp; Benefits'!$A:$I,3,FALSE)</f>
        <v>1.18</v>
      </c>
      <c r="L1842" s="91">
        <f>VLOOKUP($A1842,'2022-23 Salary &amp; Benefits'!$A:$I,4,FALSE)</f>
        <v>1.18</v>
      </c>
      <c r="M1842" s="39">
        <f t="shared" si="349"/>
        <v>0</v>
      </c>
      <c r="N1842" s="24">
        <v>15</v>
      </c>
      <c r="O1842" s="26">
        <f t="shared" si="352"/>
        <v>0</v>
      </c>
      <c r="P1842" s="24">
        <v>1.1000000000000001</v>
      </c>
      <c r="Q1842" s="24">
        <v>36</v>
      </c>
      <c r="R1842" s="27">
        <f t="shared" si="353"/>
        <v>0</v>
      </c>
      <c r="S1842" s="102">
        <f t="shared" si="355"/>
        <v>0</v>
      </c>
      <c r="T1842" s="21">
        <f>VLOOKUP($A1842,'2022-23 Salary &amp; Benefits'!$A:$I,5,FALSE)</f>
        <v>68937</v>
      </c>
      <c r="U1842" s="21">
        <f>VLOOKUP($A1842,'2022-23 Salary &amp; Benefits'!$A:$I,6,FALSE)</f>
        <v>72728</v>
      </c>
      <c r="V1842" s="22">
        <f t="shared" si="356"/>
        <v>0</v>
      </c>
      <c r="W1842" s="22">
        <f t="shared" si="357"/>
        <v>0</v>
      </c>
      <c r="X1842" s="22">
        <f>'2022-23 Salary &amp; Benefits'!$G$6</f>
        <v>12558.24</v>
      </c>
      <c r="Y1842" s="23">
        <f>'2022-23 Salary &amp; Benefits'!$H$6</f>
        <v>0.2298</v>
      </c>
      <c r="Z1842" s="23">
        <f>'2022-23 Salary &amp; Benefits'!$I$6</f>
        <v>0.22339999999999999</v>
      </c>
      <c r="AA1842" s="22">
        <f t="shared" si="358"/>
        <v>0</v>
      </c>
      <c r="AB1842" s="22">
        <f t="shared" si="359"/>
        <v>0</v>
      </c>
      <c r="AC1842" s="22">
        <f t="shared" si="360"/>
        <v>0</v>
      </c>
      <c r="AD1842" s="22">
        <f t="shared" si="350"/>
        <v>0</v>
      </c>
      <c r="AE1842" s="22">
        <f t="shared" si="351"/>
        <v>0</v>
      </c>
      <c r="AF1842" s="19" t="str">
        <f>VLOOKUP(C1842,'2021-22 School Level AAFTE'!C:N,12,FALSE)</f>
        <v>No</v>
      </c>
    </row>
    <row r="1843" spans="1:32" s="5" customFormat="1">
      <c r="A1843" s="97" t="s">
        <v>2480</v>
      </c>
      <c r="B1843" s="97" t="s">
        <v>1724</v>
      </c>
      <c r="C1843" s="95">
        <v>4383</v>
      </c>
      <c r="D1843" s="95" t="s">
        <v>1736</v>
      </c>
      <c r="E1843" s="129">
        <f>VLOOKUP($C1843,'2021-22 School Level AAFTE'!$C:$Z,11,FALSE)</f>
        <v>8.6000000000000007E-2</v>
      </c>
      <c r="F1843" s="129" t="str">
        <f>VLOOKUP($C1843,'2021-22 School Level AAFTE'!$C:$Z,8,FALSE)</f>
        <v>No</v>
      </c>
      <c r="G1843" s="129" t="str">
        <f>VLOOKUP($C1843,'2021-22 School Level AAFTE'!$C:$Z,12,FALSE)</f>
        <v>No</v>
      </c>
      <c r="H1843" s="127">
        <f>VLOOKUP($C1843,'2021-22 School Level AAFTE'!$C:$I,7,FALSE)</f>
        <v>387.05</v>
      </c>
      <c r="I1843" s="112">
        <f>IFERROR(IF(OR(G1843="yes",F1843= "yes"),VLOOKUP(C1843,Summary!$B:$J,6,0),0),0)</f>
        <v>0</v>
      </c>
      <c r="J1843" s="111">
        <f t="shared" si="354"/>
        <v>0</v>
      </c>
      <c r="K1843" s="91">
        <f>VLOOKUP($A1843,'2022-23 Salary &amp; Benefits'!$A:$I,3,FALSE)</f>
        <v>1.18</v>
      </c>
      <c r="L1843" s="91">
        <f>VLOOKUP($A1843,'2022-23 Salary &amp; Benefits'!$A:$I,4,FALSE)</f>
        <v>1.18</v>
      </c>
      <c r="M1843" s="39">
        <f t="shared" si="349"/>
        <v>0</v>
      </c>
      <c r="N1843" s="24">
        <v>15</v>
      </c>
      <c r="O1843" s="26">
        <f t="shared" si="352"/>
        <v>0</v>
      </c>
      <c r="P1843" s="24">
        <v>1.1000000000000001</v>
      </c>
      <c r="Q1843" s="24">
        <v>36</v>
      </c>
      <c r="R1843" s="27">
        <f t="shared" si="353"/>
        <v>0</v>
      </c>
      <c r="S1843" s="102">
        <f t="shared" si="355"/>
        <v>0</v>
      </c>
      <c r="T1843" s="21">
        <f>VLOOKUP($A1843,'2022-23 Salary &amp; Benefits'!$A:$I,5,FALSE)</f>
        <v>68937</v>
      </c>
      <c r="U1843" s="21">
        <f>VLOOKUP($A1843,'2022-23 Salary &amp; Benefits'!$A:$I,6,FALSE)</f>
        <v>72728</v>
      </c>
      <c r="V1843" s="22">
        <f t="shared" si="356"/>
        <v>0</v>
      </c>
      <c r="W1843" s="22">
        <f t="shared" si="357"/>
        <v>0</v>
      </c>
      <c r="X1843" s="22">
        <f>'2022-23 Salary &amp; Benefits'!$G$6</f>
        <v>12558.24</v>
      </c>
      <c r="Y1843" s="23">
        <f>'2022-23 Salary &amp; Benefits'!$H$6</f>
        <v>0.2298</v>
      </c>
      <c r="Z1843" s="23">
        <f>'2022-23 Salary &amp; Benefits'!$I$6</f>
        <v>0.22339999999999999</v>
      </c>
      <c r="AA1843" s="22">
        <f t="shared" si="358"/>
        <v>0</v>
      </c>
      <c r="AB1843" s="22">
        <f t="shared" si="359"/>
        <v>0</v>
      </c>
      <c r="AC1843" s="22">
        <f t="shared" si="360"/>
        <v>0</v>
      </c>
      <c r="AD1843" s="22">
        <f t="shared" si="350"/>
        <v>0</v>
      </c>
      <c r="AE1843" s="22">
        <f t="shared" si="351"/>
        <v>0</v>
      </c>
      <c r="AF1843" s="19" t="str">
        <f>VLOOKUP(C1843,'2021-22 School Level AAFTE'!C:N,12,FALSE)</f>
        <v>No</v>
      </c>
    </row>
    <row r="1844" spans="1:32" s="5" customFormat="1">
      <c r="A1844" s="97" t="s">
        <v>2480</v>
      </c>
      <c r="B1844" s="97" t="s">
        <v>1724</v>
      </c>
      <c r="C1844" s="95">
        <v>4395</v>
      </c>
      <c r="D1844" s="95" t="s">
        <v>1737</v>
      </c>
      <c r="E1844" s="129">
        <f>VLOOKUP($C1844,'2021-22 School Level AAFTE'!$C:$Z,11,FALSE)</f>
        <v>0.24046666666666663</v>
      </c>
      <c r="F1844" s="129" t="str">
        <f>VLOOKUP($C1844,'2021-22 School Level AAFTE'!$C:$Z,8,FALSE)</f>
        <v>No</v>
      </c>
      <c r="G1844" s="129" t="str">
        <f>VLOOKUP($C1844,'2021-22 School Level AAFTE'!$C:$Z,12,FALSE)</f>
        <v>No</v>
      </c>
      <c r="H1844" s="127">
        <f>VLOOKUP($C1844,'2021-22 School Level AAFTE'!$C:$I,7,FALSE)</f>
        <v>749.5</v>
      </c>
      <c r="I1844" s="112">
        <f>IFERROR(IF(OR(G1844="yes",F1844= "yes"),VLOOKUP(C1844,Summary!$B:$J,6,0),0),0)</f>
        <v>0</v>
      </c>
      <c r="J1844" s="111">
        <f t="shared" si="354"/>
        <v>0</v>
      </c>
      <c r="K1844" s="91">
        <f>VLOOKUP($A1844,'2022-23 Salary &amp; Benefits'!$A:$I,3,FALSE)</f>
        <v>1.18</v>
      </c>
      <c r="L1844" s="91">
        <f>VLOOKUP($A1844,'2022-23 Salary &amp; Benefits'!$A:$I,4,FALSE)</f>
        <v>1.18</v>
      </c>
      <c r="M1844" s="39">
        <f t="shared" si="349"/>
        <v>0</v>
      </c>
      <c r="N1844" s="24">
        <v>15</v>
      </c>
      <c r="O1844" s="26">
        <f t="shared" si="352"/>
        <v>0</v>
      </c>
      <c r="P1844" s="24">
        <v>1.1000000000000001</v>
      </c>
      <c r="Q1844" s="24">
        <v>36</v>
      </c>
      <c r="R1844" s="27">
        <f t="shared" si="353"/>
        <v>0</v>
      </c>
      <c r="S1844" s="102">
        <f t="shared" si="355"/>
        <v>0</v>
      </c>
      <c r="T1844" s="21">
        <f>VLOOKUP($A1844,'2022-23 Salary &amp; Benefits'!$A:$I,5,FALSE)</f>
        <v>68937</v>
      </c>
      <c r="U1844" s="21">
        <f>VLOOKUP($A1844,'2022-23 Salary &amp; Benefits'!$A:$I,6,FALSE)</f>
        <v>72728</v>
      </c>
      <c r="V1844" s="22">
        <f t="shared" si="356"/>
        <v>0</v>
      </c>
      <c r="W1844" s="22">
        <f t="shared" si="357"/>
        <v>0</v>
      </c>
      <c r="X1844" s="22">
        <f>'2022-23 Salary &amp; Benefits'!$G$6</f>
        <v>12558.24</v>
      </c>
      <c r="Y1844" s="23">
        <f>'2022-23 Salary &amp; Benefits'!$H$6</f>
        <v>0.2298</v>
      </c>
      <c r="Z1844" s="23">
        <f>'2022-23 Salary &amp; Benefits'!$I$6</f>
        <v>0.22339999999999999</v>
      </c>
      <c r="AA1844" s="22">
        <f t="shared" si="358"/>
        <v>0</v>
      </c>
      <c r="AB1844" s="22">
        <f t="shared" si="359"/>
        <v>0</v>
      </c>
      <c r="AC1844" s="22">
        <f t="shared" si="360"/>
        <v>0</v>
      </c>
      <c r="AD1844" s="22">
        <f t="shared" si="350"/>
        <v>0</v>
      </c>
      <c r="AE1844" s="22">
        <f t="shared" si="351"/>
        <v>0</v>
      </c>
      <c r="AF1844" s="19" t="str">
        <f>VLOOKUP(C1844,'2021-22 School Level AAFTE'!C:N,12,FALSE)</f>
        <v>No</v>
      </c>
    </row>
    <row r="1845" spans="1:32" s="5" customFormat="1">
      <c r="A1845" s="97" t="s">
        <v>2480</v>
      </c>
      <c r="B1845" s="97" t="s">
        <v>1724</v>
      </c>
      <c r="C1845" s="95">
        <v>5100</v>
      </c>
      <c r="D1845" s="95" t="s">
        <v>1738</v>
      </c>
      <c r="E1845" s="129">
        <f>VLOOKUP($C1845,'2021-22 School Level AAFTE'!$C:$Z,11,FALSE)</f>
        <v>0.10316666666666667</v>
      </c>
      <c r="F1845" s="129" t="str">
        <f>VLOOKUP($C1845,'2021-22 School Level AAFTE'!$C:$Z,8,FALSE)</f>
        <v>No</v>
      </c>
      <c r="G1845" s="129" t="str">
        <f>VLOOKUP($C1845,'2021-22 School Level AAFTE'!$C:$Z,12,FALSE)</f>
        <v>No</v>
      </c>
      <c r="H1845" s="127">
        <f>VLOOKUP($C1845,'2021-22 School Level AAFTE'!$C:$I,7,FALSE)</f>
        <v>544.88</v>
      </c>
      <c r="I1845" s="112">
        <f>IFERROR(IF(OR(G1845="yes",F1845= "yes"),VLOOKUP(C1845,Summary!$B:$J,6,0),0),0)</f>
        <v>0</v>
      </c>
      <c r="J1845" s="111">
        <f t="shared" si="354"/>
        <v>0</v>
      </c>
      <c r="K1845" s="91">
        <f>VLOOKUP($A1845,'2022-23 Salary &amp; Benefits'!$A:$I,3,FALSE)</f>
        <v>1.18</v>
      </c>
      <c r="L1845" s="91">
        <f>VLOOKUP($A1845,'2022-23 Salary &amp; Benefits'!$A:$I,4,FALSE)</f>
        <v>1.18</v>
      </c>
      <c r="M1845" s="39">
        <f t="shared" si="349"/>
        <v>0</v>
      </c>
      <c r="N1845" s="24">
        <v>15</v>
      </c>
      <c r="O1845" s="26">
        <f t="shared" si="352"/>
        <v>0</v>
      </c>
      <c r="P1845" s="24">
        <v>1.1000000000000001</v>
      </c>
      <c r="Q1845" s="24">
        <v>36</v>
      </c>
      <c r="R1845" s="27">
        <f t="shared" si="353"/>
        <v>0</v>
      </c>
      <c r="S1845" s="102">
        <f t="shared" si="355"/>
        <v>0</v>
      </c>
      <c r="T1845" s="21">
        <f>VLOOKUP($A1845,'2022-23 Salary &amp; Benefits'!$A:$I,5,FALSE)</f>
        <v>68937</v>
      </c>
      <c r="U1845" s="21">
        <f>VLOOKUP($A1845,'2022-23 Salary &amp; Benefits'!$A:$I,6,FALSE)</f>
        <v>72728</v>
      </c>
      <c r="V1845" s="22">
        <f t="shared" si="356"/>
        <v>0</v>
      </c>
      <c r="W1845" s="22">
        <f t="shared" si="357"/>
        <v>0</v>
      </c>
      <c r="X1845" s="22">
        <f>'2022-23 Salary &amp; Benefits'!$G$6</f>
        <v>12558.24</v>
      </c>
      <c r="Y1845" s="23">
        <f>'2022-23 Salary &amp; Benefits'!$H$6</f>
        <v>0.2298</v>
      </c>
      <c r="Z1845" s="23">
        <f>'2022-23 Salary &amp; Benefits'!$I$6</f>
        <v>0.22339999999999999</v>
      </c>
      <c r="AA1845" s="22">
        <f t="shared" si="358"/>
        <v>0</v>
      </c>
      <c r="AB1845" s="22">
        <f t="shared" si="359"/>
        <v>0</v>
      </c>
      <c r="AC1845" s="22">
        <f t="shared" si="360"/>
        <v>0</v>
      </c>
      <c r="AD1845" s="22">
        <f t="shared" si="350"/>
        <v>0</v>
      </c>
      <c r="AE1845" s="22">
        <f t="shared" si="351"/>
        <v>0</v>
      </c>
      <c r="AF1845" s="19" t="str">
        <f>VLOOKUP(C1845,'2021-22 School Level AAFTE'!C:N,12,FALSE)</f>
        <v>No</v>
      </c>
    </row>
    <row r="1846" spans="1:32" s="5" customFormat="1">
      <c r="A1846" s="97" t="s">
        <v>2480</v>
      </c>
      <c r="B1846" s="97" t="s">
        <v>1724</v>
      </c>
      <c r="C1846" s="95">
        <v>5128</v>
      </c>
      <c r="D1846" s="95" t="s">
        <v>1739</v>
      </c>
      <c r="E1846" s="129">
        <f>VLOOKUP($C1846,'2021-22 School Level AAFTE'!$C:$Z,11,FALSE)</f>
        <v>0.11569999999999998</v>
      </c>
      <c r="F1846" s="129" t="str">
        <f>VLOOKUP($C1846,'2021-22 School Level AAFTE'!$C:$Z,8,FALSE)</f>
        <v>No</v>
      </c>
      <c r="G1846" s="129" t="str">
        <f>VLOOKUP($C1846,'2021-22 School Level AAFTE'!$C:$Z,12,FALSE)</f>
        <v>No</v>
      </c>
      <c r="H1846" s="127">
        <f>VLOOKUP($C1846,'2021-22 School Level AAFTE'!$C:$I,7,FALSE)</f>
        <v>1640.83</v>
      </c>
      <c r="I1846" s="112">
        <f>IFERROR(IF(OR(G1846="yes",F1846= "yes"),VLOOKUP(C1846,Summary!$B:$J,6,0),0),0)</f>
        <v>0</v>
      </c>
      <c r="J1846" s="111">
        <f t="shared" si="354"/>
        <v>0</v>
      </c>
      <c r="K1846" s="91">
        <f>VLOOKUP($A1846,'2022-23 Salary &amp; Benefits'!$A:$I,3,FALSE)</f>
        <v>1.18</v>
      </c>
      <c r="L1846" s="91">
        <f>VLOOKUP($A1846,'2022-23 Salary &amp; Benefits'!$A:$I,4,FALSE)</f>
        <v>1.18</v>
      </c>
      <c r="M1846" s="101">
        <f t="shared" si="349"/>
        <v>0</v>
      </c>
      <c r="N1846" s="24">
        <v>15</v>
      </c>
      <c r="O1846" s="26">
        <f t="shared" si="352"/>
        <v>0</v>
      </c>
      <c r="P1846" s="24">
        <v>1.1000000000000001</v>
      </c>
      <c r="Q1846" s="24">
        <v>36</v>
      </c>
      <c r="R1846" s="27">
        <f t="shared" si="353"/>
        <v>0</v>
      </c>
      <c r="S1846" s="102">
        <f t="shared" si="355"/>
        <v>0</v>
      </c>
      <c r="T1846" s="21">
        <f>VLOOKUP($A1846,'2022-23 Salary &amp; Benefits'!$A:$I,5,FALSE)</f>
        <v>68937</v>
      </c>
      <c r="U1846" s="21">
        <f>VLOOKUP($A1846,'2022-23 Salary &amp; Benefits'!$A:$I,6,FALSE)</f>
        <v>72728</v>
      </c>
      <c r="V1846" s="22">
        <f t="shared" si="356"/>
        <v>0</v>
      </c>
      <c r="W1846" s="22">
        <f t="shared" si="357"/>
        <v>0</v>
      </c>
      <c r="X1846" s="22">
        <f>'2022-23 Salary &amp; Benefits'!$G$6</f>
        <v>12558.24</v>
      </c>
      <c r="Y1846" s="23">
        <f>'2022-23 Salary &amp; Benefits'!$H$6</f>
        <v>0.2298</v>
      </c>
      <c r="Z1846" s="23">
        <f>'2022-23 Salary &amp; Benefits'!$I$6</f>
        <v>0.22339999999999999</v>
      </c>
      <c r="AA1846" s="22">
        <f t="shared" si="358"/>
        <v>0</v>
      </c>
      <c r="AB1846" s="22">
        <f t="shared" si="359"/>
        <v>0</v>
      </c>
      <c r="AC1846" s="22">
        <f t="shared" si="360"/>
        <v>0</v>
      </c>
      <c r="AD1846" s="22">
        <f t="shared" si="350"/>
        <v>0</v>
      </c>
      <c r="AE1846" s="22">
        <f t="shared" si="351"/>
        <v>0</v>
      </c>
      <c r="AF1846" s="19" t="str">
        <f>VLOOKUP(C1846,'2021-22 School Level AAFTE'!C:N,12,FALSE)</f>
        <v>No</v>
      </c>
    </row>
    <row r="1847" spans="1:32" s="5" customFormat="1">
      <c r="A1847" s="97" t="s">
        <v>2361</v>
      </c>
      <c r="B1847" s="97" t="s">
        <v>832</v>
      </c>
      <c r="C1847" s="95">
        <v>1502</v>
      </c>
      <c r="D1847" s="95" t="s">
        <v>833</v>
      </c>
      <c r="E1847" s="129">
        <f>VLOOKUP($C1847,'2021-22 School Level AAFTE'!$C:$Z,11,FALSE)</f>
        <v>0.13133333333333333</v>
      </c>
      <c r="F1847" s="129" t="str">
        <f>VLOOKUP($C1847,'2021-22 School Level AAFTE'!$C:$Z,8,FALSE)</f>
        <v>No</v>
      </c>
      <c r="G1847" s="129" t="str">
        <f>VLOOKUP($C1847,'2021-22 School Level AAFTE'!$C:$Z,12,FALSE)</f>
        <v>No</v>
      </c>
      <c r="H1847" s="127">
        <f>VLOOKUP($C1847,'2021-22 School Level AAFTE'!$C:$I,7,FALSE)</f>
        <v>32.270000000000003</v>
      </c>
      <c r="I1847" s="112">
        <f>IFERROR(IF(OR(G1847="yes",F1847= "yes"),VLOOKUP(C1847,Summary!$B:$J,6,0),0),0)</f>
        <v>0</v>
      </c>
      <c r="J1847" s="111">
        <f t="shared" si="354"/>
        <v>0</v>
      </c>
      <c r="K1847" s="91">
        <f>VLOOKUP($A1847,'2022-23 Salary &amp; Benefits'!$A:$I,3,FALSE)</f>
        <v>1.18</v>
      </c>
      <c r="L1847" s="91">
        <f>VLOOKUP($A1847,'2022-23 Salary &amp; Benefits'!$A:$I,4,FALSE)</f>
        <v>1.18</v>
      </c>
      <c r="M1847" s="101">
        <f t="shared" si="349"/>
        <v>0</v>
      </c>
      <c r="N1847" s="24">
        <v>15</v>
      </c>
      <c r="O1847" s="26">
        <f t="shared" si="352"/>
        <v>0</v>
      </c>
      <c r="P1847" s="24">
        <v>1.1000000000000001</v>
      </c>
      <c r="Q1847" s="24">
        <v>36</v>
      </c>
      <c r="R1847" s="27">
        <f t="shared" si="353"/>
        <v>0</v>
      </c>
      <c r="S1847" s="102">
        <f t="shared" si="355"/>
        <v>0</v>
      </c>
      <c r="T1847" s="21">
        <f>VLOOKUP($A1847,'2022-23 Salary &amp; Benefits'!$A:$I,5,FALSE)</f>
        <v>68937</v>
      </c>
      <c r="U1847" s="21">
        <f>VLOOKUP($A1847,'2022-23 Salary &amp; Benefits'!$A:$I,6,FALSE)</f>
        <v>72728</v>
      </c>
      <c r="V1847" s="22">
        <f t="shared" si="356"/>
        <v>0</v>
      </c>
      <c r="W1847" s="22">
        <f t="shared" si="357"/>
        <v>0</v>
      </c>
      <c r="X1847" s="22">
        <f>'2022-23 Salary &amp; Benefits'!$G$6</f>
        <v>12558.24</v>
      </c>
      <c r="Y1847" s="23">
        <f>'2022-23 Salary &amp; Benefits'!$H$6</f>
        <v>0.2298</v>
      </c>
      <c r="Z1847" s="23">
        <f>'2022-23 Salary &amp; Benefits'!$I$6</f>
        <v>0.22339999999999999</v>
      </c>
      <c r="AA1847" s="22">
        <f t="shared" si="358"/>
        <v>0</v>
      </c>
      <c r="AB1847" s="22">
        <f t="shared" si="359"/>
        <v>0</v>
      </c>
      <c r="AC1847" s="22">
        <f t="shared" si="360"/>
        <v>0</v>
      </c>
      <c r="AD1847" s="22">
        <f t="shared" si="350"/>
        <v>0</v>
      </c>
      <c r="AE1847" s="22">
        <f t="shared" si="351"/>
        <v>0</v>
      </c>
      <c r="AF1847" s="19" t="str">
        <f>VLOOKUP(C1847,'2021-22 School Level AAFTE'!C:N,12,FALSE)</f>
        <v>No</v>
      </c>
    </row>
    <row r="1848" spans="1:32" s="5" customFormat="1">
      <c r="A1848" s="97" t="s">
        <v>2361</v>
      </c>
      <c r="B1848" s="97" t="s">
        <v>832</v>
      </c>
      <c r="C1848" s="95">
        <v>2124</v>
      </c>
      <c r="D1848" s="95" t="s">
        <v>2827</v>
      </c>
      <c r="E1848" s="129">
        <f>VLOOKUP($C1848,'2021-22 School Level AAFTE'!$C:$Z,11,FALSE)</f>
        <v>8.9099999999999999E-2</v>
      </c>
      <c r="F1848" s="129" t="str">
        <f>VLOOKUP($C1848,'2021-22 School Level AAFTE'!$C:$Z,8,FALSE)</f>
        <v>No</v>
      </c>
      <c r="G1848" s="129" t="str">
        <f>VLOOKUP($C1848,'2021-22 School Level AAFTE'!$C:$Z,12,FALSE)</f>
        <v>No</v>
      </c>
      <c r="H1848" s="127">
        <f>VLOOKUP($C1848,'2021-22 School Level AAFTE'!$C:$I,7,FALSE)</f>
        <v>503.11</v>
      </c>
      <c r="I1848" s="112">
        <f>IFERROR(IF(OR(G1848="yes",F1848= "yes"),VLOOKUP(C1848,Summary!$B:$J,6,0),0),0)</f>
        <v>0</v>
      </c>
      <c r="J1848" s="111">
        <f t="shared" si="354"/>
        <v>0</v>
      </c>
      <c r="K1848" s="91">
        <f>VLOOKUP($A1848,'2022-23 Salary &amp; Benefits'!$A:$I,3,FALSE)</f>
        <v>1.18</v>
      </c>
      <c r="L1848" s="91">
        <f>VLOOKUP($A1848,'2022-23 Salary &amp; Benefits'!$A:$I,4,FALSE)</f>
        <v>1.18</v>
      </c>
      <c r="M1848" s="101">
        <f t="shared" si="349"/>
        <v>0</v>
      </c>
      <c r="N1848" s="24">
        <v>15</v>
      </c>
      <c r="O1848" s="26">
        <f t="shared" si="352"/>
        <v>0</v>
      </c>
      <c r="P1848" s="24">
        <v>1.1000000000000001</v>
      </c>
      <c r="Q1848" s="24">
        <v>36</v>
      </c>
      <c r="R1848" s="27">
        <f t="shared" si="353"/>
        <v>0</v>
      </c>
      <c r="S1848" s="102">
        <f t="shared" si="355"/>
        <v>0</v>
      </c>
      <c r="T1848" s="21">
        <f>VLOOKUP($A1848,'2022-23 Salary &amp; Benefits'!$A:$I,5,FALSE)</f>
        <v>68937</v>
      </c>
      <c r="U1848" s="21">
        <f>VLOOKUP($A1848,'2022-23 Salary &amp; Benefits'!$A:$I,6,FALSE)</f>
        <v>72728</v>
      </c>
      <c r="V1848" s="22">
        <f t="shared" si="356"/>
        <v>0</v>
      </c>
      <c r="W1848" s="22">
        <f t="shared" si="357"/>
        <v>0</v>
      </c>
      <c r="X1848" s="22">
        <f>'2022-23 Salary &amp; Benefits'!$G$6</f>
        <v>12558.24</v>
      </c>
      <c r="Y1848" s="23">
        <f>'2022-23 Salary &amp; Benefits'!$H$6</f>
        <v>0.2298</v>
      </c>
      <c r="Z1848" s="23">
        <f>'2022-23 Salary &amp; Benefits'!$I$6</f>
        <v>0.22339999999999999</v>
      </c>
      <c r="AA1848" s="22">
        <f t="shared" si="358"/>
        <v>0</v>
      </c>
      <c r="AB1848" s="22">
        <f t="shared" si="359"/>
        <v>0</v>
      </c>
      <c r="AC1848" s="22">
        <f t="shared" si="360"/>
        <v>0</v>
      </c>
      <c r="AD1848" s="22">
        <f t="shared" si="350"/>
        <v>0</v>
      </c>
      <c r="AE1848" s="22">
        <f t="shared" si="351"/>
        <v>0</v>
      </c>
      <c r="AF1848" s="19" t="str">
        <f>VLOOKUP(C1848,'2021-22 School Level AAFTE'!C:N,12,FALSE)</f>
        <v>No</v>
      </c>
    </row>
    <row r="1849" spans="1:32" s="5" customFormat="1">
      <c r="A1849" s="97" t="s">
        <v>2361</v>
      </c>
      <c r="B1849" s="97" t="s">
        <v>832</v>
      </c>
      <c r="C1849" s="95">
        <v>2222</v>
      </c>
      <c r="D1849" s="95" t="s">
        <v>834</v>
      </c>
      <c r="E1849" s="129">
        <f>VLOOKUP($C1849,'2021-22 School Level AAFTE'!$C:$Z,11,FALSE)</f>
        <v>9.3266666666666664E-2</v>
      </c>
      <c r="F1849" s="129" t="str">
        <f>VLOOKUP($C1849,'2021-22 School Level AAFTE'!$C:$Z,8,FALSE)</f>
        <v>No</v>
      </c>
      <c r="G1849" s="129" t="str">
        <f>VLOOKUP($C1849,'2021-22 School Level AAFTE'!$C:$Z,12,FALSE)</f>
        <v>No</v>
      </c>
      <c r="H1849" s="127">
        <f>VLOOKUP($C1849,'2021-22 School Level AAFTE'!$C:$I,7,FALSE)</f>
        <v>462.49</v>
      </c>
      <c r="I1849" s="112">
        <f>IFERROR(IF(OR(G1849="yes",F1849= "yes"),VLOOKUP(C1849,Summary!$B:$J,6,0),0),0)</f>
        <v>0</v>
      </c>
      <c r="J1849" s="111">
        <f t="shared" si="354"/>
        <v>0</v>
      </c>
      <c r="K1849" s="91">
        <f>VLOOKUP($A1849,'2022-23 Salary &amp; Benefits'!$A:$I,3,FALSE)</f>
        <v>1.18</v>
      </c>
      <c r="L1849" s="91">
        <f>VLOOKUP($A1849,'2022-23 Salary &amp; Benefits'!$A:$I,4,FALSE)</f>
        <v>1.18</v>
      </c>
      <c r="M1849" s="101">
        <f t="shared" si="349"/>
        <v>0</v>
      </c>
      <c r="N1849" s="24">
        <v>15</v>
      </c>
      <c r="O1849" s="26">
        <f t="shared" si="352"/>
        <v>0</v>
      </c>
      <c r="P1849" s="24">
        <v>1.1000000000000001</v>
      </c>
      <c r="Q1849" s="24">
        <v>36</v>
      </c>
      <c r="R1849" s="27">
        <f t="shared" si="353"/>
        <v>0</v>
      </c>
      <c r="S1849" s="102">
        <f t="shared" si="355"/>
        <v>0</v>
      </c>
      <c r="T1849" s="21">
        <f>VLOOKUP($A1849,'2022-23 Salary &amp; Benefits'!$A:$I,5,FALSE)</f>
        <v>68937</v>
      </c>
      <c r="U1849" s="21">
        <f>VLOOKUP($A1849,'2022-23 Salary &amp; Benefits'!$A:$I,6,FALSE)</f>
        <v>72728</v>
      </c>
      <c r="V1849" s="22">
        <f t="shared" si="356"/>
        <v>0</v>
      </c>
      <c r="W1849" s="22">
        <f t="shared" si="357"/>
        <v>0</v>
      </c>
      <c r="X1849" s="22">
        <f>'2022-23 Salary &amp; Benefits'!$G$6</f>
        <v>12558.24</v>
      </c>
      <c r="Y1849" s="23">
        <f>'2022-23 Salary &amp; Benefits'!$H$6</f>
        <v>0.2298</v>
      </c>
      <c r="Z1849" s="23">
        <f>'2022-23 Salary &amp; Benefits'!$I$6</f>
        <v>0.22339999999999999</v>
      </c>
      <c r="AA1849" s="22">
        <f t="shared" si="358"/>
        <v>0</v>
      </c>
      <c r="AB1849" s="22">
        <f t="shared" si="359"/>
        <v>0</v>
      </c>
      <c r="AC1849" s="22">
        <f t="shared" si="360"/>
        <v>0</v>
      </c>
      <c r="AD1849" s="22">
        <f t="shared" si="350"/>
        <v>0</v>
      </c>
      <c r="AE1849" s="22">
        <f t="shared" si="351"/>
        <v>0</v>
      </c>
      <c r="AF1849" s="19" t="str">
        <f>VLOOKUP(C1849,'2021-22 School Level AAFTE'!C:N,12,FALSE)</f>
        <v>No</v>
      </c>
    </row>
    <row r="1850" spans="1:32" s="5" customFormat="1">
      <c r="A1850" s="97" t="s">
        <v>2361</v>
      </c>
      <c r="B1850" s="97" t="s">
        <v>832</v>
      </c>
      <c r="C1850" s="95">
        <v>2287</v>
      </c>
      <c r="D1850" s="95" t="s">
        <v>835</v>
      </c>
      <c r="E1850" s="129">
        <f>VLOOKUP($C1850,'2021-22 School Level AAFTE'!$C:$Z,11,FALSE)</f>
        <v>0.14643333333333333</v>
      </c>
      <c r="F1850" s="129" t="str">
        <f>VLOOKUP($C1850,'2021-22 School Level AAFTE'!$C:$Z,8,FALSE)</f>
        <v>No</v>
      </c>
      <c r="G1850" s="129" t="str">
        <f>VLOOKUP($C1850,'2021-22 School Level AAFTE'!$C:$Z,12,FALSE)</f>
        <v>No</v>
      </c>
      <c r="H1850" s="127">
        <f>VLOOKUP($C1850,'2021-22 School Level AAFTE'!$C:$I,7,FALSE)</f>
        <v>460.29</v>
      </c>
      <c r="I1850" s="112">
        <f>IFERROR(IF(OR(G1850="yes",F1850= "yes"),VLOOKUP(C1850,Summary!$B:$J,6,0),0),0)</f>
        <v>0</v>
      </c>
      <c r="J1850" s="111">
        <f t="shared" si="354"/>
        <v>0</v>
      </c>
      <c r="K1850" s="91">
        <f>VLOOKUP($A1850,'2022-23 Salary &amp; Benefits'!$A:$I,3,FALSE)</f>
        <v>1.18</v>
      </c>
      <c r="L1850" s="91">
        <f>VLOOKUP($A1850,'2022-23 Salary &amp; Benefits'!$A:$I,4,FALSE)</f>
        <v>1.18</v>
      </c>
      <c r="M1850" s="101">
        <f t="shared" si="349"/>
        <v>0</v>
      </c>
      <c r="N1850" s="24">
        <v>15</v>
      </c>
      <c r="O1850" s="26">
        <f t="shared" si="352"/>
        <v>0</v>
      </c>
      <c r="P1850" s="24">
        <v>1.1000000000000001</v>
      </c>
      <c r="Q1850" s="24">
        <v>36</v>
      </c>
      <c r="R1850" s="27">
        <f t="shared" si="353"/>
        <v>0</v>
      </c>
      <c r="S1850" s="102">
        <f t="shared" si="355"/>
        <v>0</v>
      </c>
      <c r="T1850" s="21">
        <f>VLOOKUP($A1850,'2022-23 Salary &amp; Benefits'!$A:$I,5,FALSE)</f>
        <v>68937</v>
      </c>
      <c r="U1850" s="21">
        <f>VLOOKUP($A1850,'2022-23 Salary &amp; Benefits'!$A:$I,6,FALSE)</f>
        <v>72728</v>
      </c>
      <c r="V1850" s="22">
        <f t="shared" si="356"/>
        <v>0</v>
      </c>
      <c r="W1850" s="22">
        <f t="shared" si="357"/>
        <v>0</v>
      </c>
      <c r="X1850" s="22">
        <f>'2022-23 Salary &amp; Benefits'!$G$6</f>
        <v>12558.24</v>
      </c>
      <c r="Y1850" s="23">
        <f>'2022-23 Salary &amp; Benefits'!$H$6</f>
        <v>0.2298</v>
      </c>
      <c r="Z1850" s="23">
        <f>'2022-23 Salary &amp; Benefits'!$I$6</f>
        <v>0.22339999999999999</v>
      </c>
      <c r="AA1850" s="22">
        <f t="shared" si="358"/>
        <v>0</v>
      </c>
      <c r="AB1850" s="22">
        <f t="shared" si="359"/>
        <v>0</v>
      </c>
      <c r="AC1850" s="22">
        <f t="shared" si="360"/>
        <v>0</v>
      </c>
      <c r="AD1850" s="22">
        <f t="shared" si="350"/>
        <v>0</v>
      </c>
      <c r="AE1850" s="22">
        <f t="shared" si="351"/>
        <v>0</v>
      </c>
      <c r="AF1850" s="19" t="str">
        <f>VLOOKUP(C1850,'2021-22 School Level AAFTE'!C:N,12,FALSE)</f>
        <v>No</v>
      </c>
    </row>
    <row r="1851" spans="1:32" s="5" customFormat="1">
      <c r="A1851" s="97" t="s">
        <v>2361</v>
      </c>
      <c r="B1851" s="97" t="s">
        <v>832</v>
      </c>
      <c r="C1851" s="95">
        <v>2288</v>
      </c>
      <c r="D1851" s="95" t="s">
        <v>836</v>
      </c>
      <c r="E1851" s="129">
        <f>VLOOKUP($C1851,'2021-22 School Level AAFTE'!$C:$Z,11,FALSE)</f>
        <v>0.12906666666666666</v>
      </c>
      <c r="F1851" s="129" t="str">
        <f>VLOOKUP($C1851,'2021-22 School Level AAFTE'!$C:$Z,8,FALSE)</f>
        <v>No</v>
      </c>
      <c r="G1851" s="129" t="str">
        <f>VLOOKUP($C1851,'2021-22 School Level AAFTE'!$C:$Z,12,FALSE)</f>
        <v>No</v>
      </c>
      <c r="H1851" s="127">
        <f>VLOOKUP($C1851,'2021-22 School Level AAFTE'!$C:$I,7,FALSE)</f>
        <v>406.26</v>
      </c>
      <c r="I1851" s="112">
        <f>IFERROR(IF(OR(G1851="yes",F1851= "yes"),VLOOKUP(C1851,Summary!$B:$J,6,0),0),0)</f>
        <v>0</v>
      </c>
      <c r="J1851" s="111">
        <f t="shared" si="354"/>
        <v>0</v>
      </c>
      <c r="K1851" s="91">
        <f>VLOOKUP($A1851,'2022-23 Salary &amp; Benefits'!$A:$I,3,FALSE)</f>
        <v>1.18</v>
      </c>
      <c r="L1851" s="91">
        <f>VLOOKUP($A1851,'2022-23 Salary &amp; Benefits'!$A:$I,4,FALSE)</f>
        <v>1.18</v>
      </c>
      <c r="M1851" s="101">
        <f t="shared" si="349"/>
        <v>0</v>
      </c>
      <c r="N1851" s="24">
        <v>15</v>
      </c>
      <c r="O1851" s="26">
        <f t="shared" si="352"/>
        <v>0</v>
      </c>
      <c r="P1851" s="24">
        <v>1.1000000000000001</v>
      </c>
      <c r="Q1851" s="24">
        <v>36</v>
      </c>
      <c r="R1851" s="27">
        <f t="shared" si="353"/>
        <v>0</v>
      </c>
      <c r="S1851" s="102">
        <f t="shared" si="355"/>
        <v>0</v>
      </c>
      <c r="T1851" s="21">
        <f>VLOOKUP($A1851,'2022-23 Salary &amp; Benefits'!$A:$I,5,FALSE)</f>
        <v>68937</v>
      </c>
      <c r="U1851" s="21">
        <f>VLOOKUP($A1851,'2022-23 Salary &amp; Benefits'!$A:$I,6,FALSE)</f>
        <v>72728</v>
      </c>
      <c r="V1851" s="22">
        <f t="shared" si="356"/>
        <v>0</v>
      </c>
      <c r="W1851" s="22">
        <f t="shared" si="357"/>
        <v>0</v>
      </c>
      <c r="X1851" s="22">
        <f>'2022-23 Salary &amp; Benefits'!$G$6</f>
        <v>12558.24</v>
      </c>
      <c r="Y1851" s="23">
        <f>'2022-23 Salary &amp; Benefits'!$H$6</f>
        <v>0.2298</v>
      </c>
      <c r="Z1851" s="23">
        <f>'2022-23 Salary &amp; Benefits'!$I$6</f>
        <v>0.22339999999999999</v>
      </c>
      <c r="AA1851" s="22">
        <f t="shared" si="358"/>
        <v>0</v>
      </c>
      <c r="AB1851" s="22">
        <f t="shared" si="359"/>
        <v>0</v>
      </c>
      <c r="AC1851" s="22">
        <f t="shared" si="360"/>
        <v>0</v>
      </c>
      <c r="AD1851" s="22">
        <f t="shared" si="350"/>
        <v>0</v>
      </c>
      <c r="AE1851" s="22">
        <f t="shared" si="351"/>
        <v>0</v>
      </c>
      <c r="AF1851" s="19" t="str">
        <f>VLOOKUP(C1851,'2021-22 School Level AAFTE'!C:N,12,FALSE)</f>
        <v>No</v>
      </c>
    </row>
    <row r="1852" spans="1:32" s="5" customFormat="1">
      <c r="A1852" s="97" t="s">
        <v>2361</v>
      </c>
      <c r="B1852" s="97" t="s">
        <v>832</v>
      </c>
      <c r="C1852" s="95">
        <v>2850</v>
      </c>
      <c r="D1852" s="95" t="s">
        <v>837</v>
      </c>
      <c r="E1852" s="129">
        <f>VLOOKUP($C1852,'2021-22 School Level AAFTE'!$C:$Z,11,FALSE)</f>
        <v>9.6700000000000008E-2</v>
      </c>
      <c r="F1852" s="129" t="str">
        <f>VLOOKUP($C1852,'2021-22 School Level AAFTE'!$C:$Z,8,FALSE)</f>
        <v>No</v>
      </c>
      <c r="G1852" s="129" t="str">
        <f>VLOOKUP($C1852,'2021-22 School Level AAFTE'!$C:$Z,12,FALSE)</f>
        <v>No</v>
      </c>
      <c r="H1852" s="127">
        <f>VLOOKUP($C1852,'2021-22 School Level AAFTE'!$C:$I,7,FALSE)</f>
        <v>2037.9099999999999</v>
      </c>
      <c r="I1852" s="112">
        <f>IFERROR(IF(OR(G1852="yes",F1852= "yes"),VLOOKUP(C1852,Summary!$B:$J,6,0),0),0)</f>
        <v>0</v>
      </c>
      <c r="J1852" s="111">
        <f t="shared" si="354"/>
        <v>0</v>
      </c>
      <c r="K1852" s="91">
        <f>VLOOKUP($A1852,'2022-23 Salary &amp; Benefits'!$A:$I,3,FALSE)</f>
        <v>1.18</v>
      </c>
      <c r="L1852" s="91">
        <f>VLOOKUP($A1852,'2022-23 Salary &amp; Benefits'!$A:$I,4,FALSE)</f>
        <v>1.18</v>
      </c>
      <c r="M1852" s="101">
        <f t="shared" si="349"/>
        <v>0</v>
      </c>
      <c r="N1852" s="24">
        <v>15</v>
      </c>
      <c r="O1852" s="26">
        <f t="shared" si="352"/>
        <v>0</v>
      </c>
      <c r="P1852" s="24">
        <v>1.1000000000000001</v>
      </c>
      <c r="Q1852" s="24">
        <v>36</v>
      </c>
      <c r="R1852" s="27">
        <f t="shared" si="353"/>
        <v>0</v>
      </c>
      <c r="S1852" s="102">
        <f t="shared" si="355"/>
        <v>0</v>
      </c>
      <c r="T1852" s="21">
        <f>VLOOKUP($A1852,'2022-23 Salary &amp; Benefits'!$A:$I,5,FALSE)</f>
        <v>68937</v>
      </c>
      <c r="U1852" s="21">
        <f>VLOOKUP($A1852,'2022-23 Salary &amp; Benefits'!$A:$I,6,FALSE)</f>
        <v>72728</v>
      </c>
      <c r="V1852" s="22">
        <f t="shared" si="356"/>
        <v>0</v>
      </c>
      <c r="W1852" s="22">
        <f t="shared" si="357"/>
        <v>0</v>
      </c>
      <c r="X1852" s="22">
        <f>'2022-23 Salary &amp; Benefits'!$G$6</f>
        <v>12558.24</v>
      </c>
      <c r="Y1852" s="23">
        <f>'2022-23 Salary &amp; Benefits'!$H$6</f>
        <v>0.2298</v>
      </c>
      <c r="Z1852" s="23">
        <f>'2022-23 Salary &amp; Benefits'!$I$6</f>
        <v>0.22339999999999999</v>
      </c>
      <c r="AA1852" s="22">
        <f t="shared" si="358"/>
        <v>0</v>
      </c>
      <c r="AB1852" s="22">
        <f t="shared" si="359"/>
        <v>0</v>
      </c>
      <c r="AC1852" s="22">
        <f t="shared" si="360"/>
        <v>0</v>
      </c>
      <c r="AD1852" s="22">
        <f t="shared" si="350"/>
        <v>0</v>
      </c>
      <c r="AE1852" s="22">
        <f t="shared" si="351"/>
        <v>0</v>
      </c>
      <c r="AF1852" s="19" t="str">
        <f>VLOOKUP(C1852,'2021-22 School Level AAFTE'!C:N,12,FALSE)</f>
        <v>No</v>
      </c>
    </row>
    <row r="1853" spans="1:32" s="5" customFormat="1">
      <c r="A1853" s="97" t="s">
        <v>2361</v>
      </c>
      <c r="B1853" s="97" t="s">
        <v>832</v>
      </c>
      <c r="C1853" s="95">
        <v>4308</v>
      </c>
      <c r="D1853" s="95" t="s">
        <v>838</v>
      </c>
      <c r="E1853" s="129">
        <f>VLOOKUP($C1853,'2021-22 School Level AAFTE'!$C:$Z,11,FALSE)</f>
        <v>0.10476666666666667</v>
      </c>
      <c r="F1853" s="129" t="str">
        <f>VLOOKUP($C1853,'2021-22 School Level AAFTE'!$C:$Z,8,FALSE)</f>
        <v>No</v>
      </c>
      <c r="G1853" s="129" t="str">
        <f>VLOOKUP($C1853,'2021-22 School Level AAFTE'!$C:$Z,12,FALSE)</f>
        <v>No</v>
      </c>
      <c r="H1853" s="127">
        <f>VLOOKUP($C1853,'2021-22 School Level AAFTE'!$C:$I,7,FALSE)</f>
        <v>540.74</v>
      </c>
      <c r="I1853" s="112">
        <f>IFERROR(IF(OR(G1853="yes",F1853= "yes"),VLOOKUP(C1853,Summary!$B:$J,6,0),0),0)</f>
        <v>0</v>
      </c>
      <c r="J1853" s="111">
        <f t="shared" si="354"/>
        <v>0</v>
      </c>
      <c r="K1853" s="91">
        <f>VLOOKUP($A1853,'2022-23 Salary &amp; Benefits'!$A:$I,3,FALSE)</f>
        <v>1.18</v>
      </c>
      <c r="L1853" s="91">
        <f>VLOOKUP($A1853,'2022-23 Salary &amp; Benefits'!$A:$I,4,FALSE)</f>
        <v>1.18</v>
      </c>
      <c r="M1853" s="101">
        <f t="shared" si="349"/>
        <v>0</v>
      </c>
      <c r="N1853" s="24">
        <v>15</v>
      </c>
      <c r="O1853" s="26">
        <f t="shared" si="352"/>
        <v>0</v>
      </c>
      <c r="P1853" s="24">
        <v>1.1000000000000001</v>
      </c>
      <c r="Q1853" s="24">
        <v>36</v>
      </c>
      <c r="R1853" s="27">
        <f t="shared" si="353"/>
        <v>0</v>
      </c>
      <c r="S1853" s="102">
        <f t="shared" si="355"/>
        <v>0</v>
      </c>
      <c r="T1853" s="21">
        <f>VLOOKUP($A1853,'2022-23 Salary &amp; Benefits'!$A:$I,5,FALSE)</f>
        <v>68937</v>
      </c>
      <c r="U1853" s="21">
        <f>VLOOKUP($A1853,'2022-23 Salary &amp; Benefits'!$A:$I,6,FALSE)</f>
        <v>72728</v>
      </c>
      <c r="V1853" s="22">
        <f t="shared" si="356"/>
        <v>0</v>
      </c>
      <c r="W1853" s="22">
        <f t="shared" si="357"/>
        <v>0</v>
      </c>
      <c r="X1853" s="22">
        <f>'2022-23 Salary &amp; Benefits'!$G$6</f>
        <v>12558.24</v>
      </c>
      <c r="Y1853" s="23">
        <f>'2022-23 Salary &amp; Benefits'!$H$6</f>
        <v>0.2298</v>
      </c>
      <c r="Z1853" s="23">
        <f>'2022-23 Salary &amp; Benefits'!$I$6</f>
        <v>0.22339999999999999</v>
      </c>
      <c r="AA1853" s="22">
        <f t="shared" si="358"/>
        <v>0</v>
      </c>
      <c r="AB1853" s="22">
        <f t="shared" si="359"/>
        <v>0</v>
      </c>
      <c r="AC1853" s="22">
        <f t="shared" si="360"/>
        <v>0</v>
      </c>
      <c r="AD1853" s="22">
        <f t="shared" si="350"/>
        <v>0</v>
      </c>
      <c r="AE1853" s="22">
        <f t="shared" si="351"/>
        <v>0</v>
      </c>
      <c r="AF1853" s="19" t="str">
        <f>VLOOKUP(C1853,'2021-22 School Level AAFTE'!C:N,12,FALSE)</f>
        <v>No</v>
      </c>
    </row>
    <row r="1854" spans="1:32" s="5" customFormat="1">
      <c r="A1854" s="97" t="s">
        <v>2361</v>
      </c>
      <c r="B1854" s="97" t="s">
        <v>832</v>
      </c>
      <c r="C1854" s="95">
        <v>4397</v>
      </c>
      <c r="D1854" s="95" t="s">
        <v>839</v>
      </c>
      <c r="E1854" s="129">
        <f>VLOOKUP($C1854,'2021-22 School Level AAFTE'!$C:$Z,11,FALSE)</f>
        <v>7.3033333333333339E-2</v>
      </c>
      <c r="F1854" s="129" t="str">
        <f>VLOOKUP($C1854,'2021-22 School Level AAFTE'!$C:$Z,8,FALSE)</f>
        <v>No</v>
      </c>
      <c r="G1854" s="129" t="str">
        <f>VLOOKUP($C1854,'2021-22 School Level AAFTE'!$C:$Z,12,FALSE)</f>
        <v>No</v>
      </c>
      <c r="H1854" s="127">
        <f>VLOOKUP($C1854,'2021-22 School Level AAFTE'!$C:$I,7,FALSE)</f>
        <v>589.79</v>
      </c>
      <c r="I1854" s="112">
        <f>IFERROR(IF(OR(G1854="yes",F1854= "yes"),VLOOKUP(C1854,Summary!$B:$J,6,0),0),0)</f>
        <v>0</v>
      </c>
      <c r="J1854" s="111">
        <f t="shared" si="354"/>
        <v>0</v>
      </c>
      <c r="K1854" s="91">
        <f>VLOOKUP($A1854,'2022-23 Salary &amp; Benefits'!$A:$I,3,FALSE)</f>
        <v>1.18</v>
      </c>
      <c r="L1854" s="91">
        <f>VLOOKUP($A1854,'2022-23 Salary &amp; Benefits'!$A:$I,4,FALSE)</f>
        <v>1.18</v>
      </c>
      <c r="M1854" s="101">
        <f t="shared" si="349"/>
        <v>0</v>
      </c>
      <c r="N1854" s="24">
        <v>15</v>
      </c>
      <c r="O1854" s="26">
        <f t="shared" si="352"/>
        <v>0</v>
      </c>
      <c r="P1854" s="24">
        <v>1.1000000000000001</v>
      </c>
      <c r="Q1854" s="24">
        <v>36</v>
      </c>
      <c r="R1854" s="27">
        <f t="shared" si="353"/>
        <v>0</v>
      </c>
      <c r="S1854" s="102">
        <f t="shared" si="355"/>
        <v>0</v>
      </c>
      <c r="T1854" s="21">
        <f>VLOOKUP($A1854,'2022-23 Salary &amp; Benefits'!$A:$I,5,FALSE)</f>
        <v>68937</v>
      </c>
      <c r="U1854" s="21">
        <f>VLOOKUP($A1854,'2022-23 Salary &amp; Benefits'!$A:$I,6,FALSE)</f>
        <v>72728</v>
      </c>
      <c r="V1854" s="22">
        <f t="shared" si="356"/>
        <v>0</v>
      </c>
      <c r="W1854" s="22">
        <f t="shared" si="357"/>
        <v>0</v>
      </c>
      <c r="X1854" s="22">
        <f>'2022-23 Salary &amp; Benefits'!$G$6</f>
        <v>12558.24</v>
      </c>
      <c r="Y1854" s="23">
        <f>'2022-23 Salary &amp; Benefits'!$H$6</f>
        <v>0.2298</v>
      </c>
      <c r="Z1854" s="23">
        <f>'2022-23 Salary &amp; Benefits'!$I$6</f>
        <v>0.22339999999999999</v>
      </c>
      <c r="AA1854" s="22">
        <f t="shared" si="358"/>
        <v>0</v>
      </c>
      <c r="AB1854" s="22">
        <f t="shared" si="359"/>
        <v>0</v>
      </c>
      <c r="AC1854" s="22">
        <f t="shared" si="360"/>
        <v>0</v>
      </c>
      <c r="AD1854" s="22">
        <f t="shared" si="350"/>
        <v>0</v>
      </c>
      <c r="AE1854" s="22">
        <f t="shared" si="351"/>
        <v>0</v>
      </c>
      <c r="AF1854" s="19" t="str">
        <f>VLOOKUP(C1854,'2021-22 School Level AAFTE'!C:N,12,FALSE)</f>
        <v>No</v>
      </c>
    </row>
    <row r="1855" spans="1:32" s="5" customFormat="1">
      <c r="A1855" s="97" t="s">
        <v>2361</v>
      </c>
      <c r="B1855" s="97" t="s">
        <v>832</v>
      </c>
      <c r="C1855" s="95">
        <v>5015</v>
      </c>
      <c r="D1855" s="95" t="s">
        <v>840</v>
      </c>
      <c r="E1855" s="129">
        <f>VLOOKUP($C1855,'2021-22 School Level AAFTE'!$C:$Z,11,FALSE)</f>
        <v>2.4966666666666665E-2</v>
      </c>
      <c r="F1855" s="129" t="str">
        <f>VLOOKUP($C1855,'2021-22 School Level AAFTE'!$C:$Z,8,FALSE)</f>
        <v>No</v>
      </c>
      <c r="G1855" s="129" t="str">
        <f>VLOOKUP($C1855,'2021-22 School Level AAFTE'!$C:$Z,12,FALSE)</f>
        <v>No</v>
      </c>
      <c r="H1855" s="127">
        <f>VLOOKUP($C1855,'2021-22 School Level AAFTE'!$C:$I,7,FALSE)</f>
        <v>563.29</v>
      </c>
      <c r="I1855" s="112">
        <f>IFERROR(IF(OR(G1855="yes",F1855= "yes"),VLOOKUP(C1855,Summary!$B:$J,6,0),0),0)</f>
        <v>0</v>
      </c>
      <c r="J1855" s="111">
        <f t="shared" si="354"/>
        <v>0</v>
      </c>
      <c r="K1855" s="91">
        <f>VLOOKUP($A1855,'2022-23 Salary &amp; Benefits'!$A:$I,3,FALSE)</f>
        <v>1.18</v>
      </c>
      <c r="L1855" s="91">
        <f>VLOOKUP($A1855,'2022-23 Salary &amp; Benefits'!$A:$I,4,FALSE)</f>
        <v>1.18</v>
      </c>
      <c r="M1855" s="101">
        <f t="shared" si="349"/>
        <v>0</v>
      </c>
      <c r="N1855" s="24">
        <v>15</v>
      </c>
      <c r="O1855" s="26">
        <f t="shared" si="352"/>
        <v>0</v>
      </c>
      <c r="P1855" s="24">
        <v>1.1000000000000001</v>
      </c>
      <c r="Q1855" s="24">
        <v>36</v>
      </c>
      <c r="R1855" s="27">
        <f t="shared" si="353"/>
        <v>0</v>
      </c>
      <c r="S1855" s="102">
        <f t="shared" si="355"/>
        <v>0</v>
      </c>
      <c r="T1855" s="21">
        <f>VLOOKUP($A1855,'2022-23 Salary &amp; Benefits'!$A:$I,5,FALSE)</f>
        <v>68937</v>
      </c>
      <c r="U1855" s="21">
        <f>VLOOKUP($A1855,'2022-23 Salary &amp; Benefits'!$A:$I,6,FALSE)</f>
        <v>72728</v>
      </c>
      <c r="V1855" s="22">
        <f t="shared" si="356"/>
        <v>0</v>
      </c>
      <c r="W1855" s="22">
        <f t="shared" si="357"/>
        <v>0</v>
      </c>
      <c r="X1855" s="22">
        <f>'2022-23 Salary &amp; Benefits'!$G$6</f>
        <v>12558.24</v>
      </c>
      <c r="Y1855" s="23">
        <f>'2022-23 Salary &amp; Benefits'!$H$6</f>
        <v>0.2298</v>
      </c>
      <c r="Z1855" s="23">
        <f>'2022-23 Salary &amp; Benefits'!$I$6</f>
        <v>0.22339999999999999</v>
      </c>
      <c r="AA1855" s="22">
        <f t="shared" si="358"/>
        <v>0</v>
      </c>
      <c r="AB1855" s="22">
        <f t="shared" si="359"/>
        <v>0</v>
      </c>
      <c r="AC1855" s="22">
        <f t="shared" si="360"/>
        <v>0</v>
      </c>
      <c r="AD1855" s="22">
        <f t="shared" si="350"/>
        <v>0</v>
      </c>
      <c r="AE1855" s="22">
        <f t="shared" si="351"/>
        <v>0</v>
      </c>
      <c r="AF1855" s="19" t="str">
        <f>VLOOKUP(C1855,'2021-22 School Level AAFTE'!C:N,12,FALSE)</f>
        <v>No</v>
      </c>
    </row>
    <row r="1856" spans="1:32" s="5" customFormat="1">
      <c r="A1856" s="97" t="s">
        <v>2361</v>
      </c>
      <c r="B1856" s="97" t="s">
        <v>832</v>
      </c>
      <c r="C1856" s="95">
        <v>5135</v>
      </c>
      <c r="D1856" s="95" t="s">
        <v>841</v>
      </c>
      <c r="E1856" s="129">
        <f>VLOOKUP($C1856,'2021-22 School Level AAFTE'!$C:$Z,11,FALSE)</f>
        <v>0.15806666666666666</v>
      </c>
      <c r="F1856" s="129" t="str">
        <f>VLOOKUP($C1856,'2021-22 School Level AAFTE'!$C:$Z,8,FALSE)</f>
        <v>No</v>
      </c>
      <c r="G1856" s="129" t="str">
        <f>VLOOKUP($C1856,'2021-22 School Level AAFTE'!$C:$Z,12,FALSE)</f>
        <v>No</v>
      </c>
      <c r="H1856" s="127">
        <f>VLOOKUP($C1856,'2021-22 School Level AAFTE'!$C:$I,7,FALSE)</f>
        <v>547.54</v>
      </c>
      <c r="I1856" s="112">
        <f>IFERROR(IF(OR(G1856="yes",F1856= "yes"),VLOOKUP(C1856,Summary!$B:$J,6,0),0),0)</f>
        <v>0</v>
      </c>
      <c r="J1856" s="111">
        <f t="shared" si="354"/>
        <v>0</v>
      </c>
      <c r="K1856" s="91">
        <f>VLOOKUP($A1856,'2022-23 Salary &amp; Benefits'!$A:$I,3,FALSE)</f>
        <v>1.18</v>
      </c>
      <c r="L1856" s="91">
        <f>VLOOKUP($A1856,'2022-23 Salary &amp; Benefits'!$A:$I,4,FALSE)</f>
        <v>1.18</v>
      </c>
      <c r="M1856" s="101">
        <f t="shared" si="349"/>
        <v>0</v>
      </c>
      <c r="N1856" s="24">
        <v>15</v>
      </c>
      <c r="O1856" s="26">
        <f t="shared" si="352"/>
        <v>0</v>
      </c>
      <c r="P1856" s="24">
        <v>1.1000000000000001</v>
      </c>
      <c r="Q1856" s="24">
        <v>36</v>
      </c>
      <c r="R1856" s="27">
        <f t="shared" si="353"/>
        <v>0</v>
      </c>
      <c r="S1856" s="102">
        <f t="shared" si="355"/>
        <v>0</v>
      </c>
      <c r="T1856" s="21">
        <f>VLOOKUP($A1856,'2022-23 Salary &amp; Benefits'!$A:$I,5,FALSE)</f>
        <v>68937</v>
      </c>
      <c r="U1856" s="21">
        <f>VLOOKUP($A1856,'2022-23 Salary &amp; Benefits'!$A:$I,6,FALSE)</f>
        <v>72728</v>
      </c>
      <c r="V1856" s="22">
        <f t="shared" si="356"/>
        <v>0</v>
      </c>
      <c r="W1856" s="22">
        <f t="shared" si="357"/>
        <v>0</v>
      </c>
      <c r="X1856" s="22">
        <f>'2022-23 Salary &amp; Benefits'!$G$6</f>
        <v>12558.24</v>
      </c>
      <c r="Y1856" s="23">
        <f>'2022-23 Salary &amp; Benefits'!$H$6</f>
        <v>0.2298</v>
      </c>
      <c r="Z1856" s="23">
        <f>'2022-23 Salary &amp; Benefits'!$I$6</f>
        <v>0.22339999999999999</v>
      </c>
      <c r="AA1856" s="22">
        <f t="shared" si="358"/>
        <v>0</v>
      </c>
      <c r="AB1856" s="22">
        <f t="shared" si="359"/>
        <v>0</v>
      </c>
      <c r="AC1856" s="22">
        <f t="shared" si="360"/>
        <v>0</v>
      </c>
      <c r="AD1856" s="22">
        <f t="shared" si="350"/>
        <v>0</v>
      </c>
      <c r="AE1856" s="22">
        <f t="shared" si="351"/>
        <v>0</v>
      </c>
      <c r="AF1856" s="19" t="str">
        <f>VLOOKUP(C1856,'2021-22 School Level AAFTE'!C:N,12,FALSE)</f>
        <v>No</v>
      </c>
    </row>
    <row r="1857" spans="1:32" s="5" customFormat="1">
      <c r="A1857" s="97" t="s">
        <v>2361</v>
      </c>
      <c r="B1857" s="97" t="s">
        <v>832</v>
      </c>
      <c r="C1857" s="95">
        <v>5181</v>
      </c>
      <c r="D1857" s="95" t="s">
        <v>842</v>
      </c>
      <c r="E1857" s="129">
        <f>VLOOKUP($C1857,'2021-22 School Level AAFTE'!$C:$Z,11,FALSE)</f>
        <v>0</v>
      </c>
      <c r="F1857" s="129" t="str">
        <f>VLOOKUP($C1857,'2021-22 School Level AAFTE'!$C:$Z,8,FALSE)</f>
        <v>No</v>
      </c>
      <c r="G1857" s="129" t="str">
        <f>VLOOKUP($C1857,'2021-22 School Level AAFTE'!$C:$Z,12,FALSE)</f>
        <v>No</v>
      </c>
      <c r="H1857" s="127">
        <f>VLOOKUP($C1857,'2021-22 School Level AAFTE'!$C:$I,7,FALSE)</f>
        <v>13.27</v>
      </c>
      <c r="I1857" s="112">
        <f>IFERROR(IF(OR(G1857="yes",F1857= "yes"),VLOOKUP(C1857,Summary!$B:$J,6,0),0),0)</f>
        <v>0</v>
      </c>
      <c r="J1857" s="111">
        <f t="shared" si="354"/>
        <v>0</v>
      </c>
      <c r="K1857" s="91">
        <f>VLOOKUP($A1857,'2022-23 Salary &amp; Benefits'!$A:$I,3,FALSE)</f>
        <v>1.18</v>
      </c>
      <c r="L1857" s="91">
        <f>VLOOKUP($A1857,'2022-23 Salary &amp; Benefits'!$A:$I,4,FALSE)</f>
        <v>1.18</v>
      </c>
      <c r="M1857" s="101">
        <f t="shared" ref="M1857:M1917" si="361">IF(I1857&gt;0,I1857,J1857)</f>
        <v>0</v>
      </c>
      <c r="N1857" s="24">
        <v>15</v>
      </c>
      <c r="O1857" s="26">
        <f t="shared" si="352"/>
        <v>0</v>
      </c>
      <c r="P1857" s="24">
        <v>1.1000000000000001</v>
      </c>
      <c r="Q1857" s="24">
        <v>36</v>
      </c>
      <c r="R1857" s="27">
        <f t="shared" si="353"/>
        <v>0</v>
      </c>
      <c r="S1857" s="102">
        <f t="shared" si="355"/>
        <v>0</v>
      </c>
      <c r="T1857" s="21">
        <f>VLOOKUP($A1857,'2022-23 Salary &amp; Benefits'!$A:$I,5,FALSE)</f>
        <v>68937</v>
      </c>
      <c r="U1857" s="21">
        <f>VLOOKUP($A1857,'2022-23 Salary &amp; Benefits'!$A:$I,6,FALSE)</f>
        <v>72728</v>
      </c>
      <c r="V1857" s="22">
        <f t="shared" si="356"/>
        <v>0</v>
      </c>
      <c r="W1857" s="22">
        <f t="shared" si="357"/>
        <v>0</v>
      </c>
      <c r="X1857" s="22">
        <f>'2022-23 Salary &amp; Benefits'!$G$6</f>
        <v>12558.24</v>
      </c>
      <c r="Y1857" s="23">
        <f>'2022-23 Salary &amp; Benefits'!$H$6</f>
        <v>0.2298</v>
      </c>
      <c r="Z1857" s="23">
        <f>'2022-23 Salary &amp; Benefits'!$I$6</f>
        <v>0.22339999999999999</v>
      </c>
      <c r="AA1857" s="22">
        <f t="shared" si="358"/>
        <v>0</v>
      </c>
      <c r="AB1857" s="22">
        <f t="shared" si="359"/>
        <v>0</v>
      </c>
      <c r="AC1857" s="22">
        <f t="shared" si="360"/>
        <v>0</v>
      </c>
      <c r="AD1857" s="22">
        <f t="shared" ref="AD1857:AD1917" si="362">SUM(AB1857:AC1857)</f>
        <v>0</v>
      </c>
      <c r="AE1857" s="22">
        <f t="shared" ref="AE1857:AE1917" si="363">SUM(AA1857,V1857:W1857,AD1857)</f>
        <v>0</v>
      </c>
      <c r="AF1857" s="19" t="str">
        <f>VLOOKUP(C1857,'2021-22 School Level AAFTE'!C:N,12,FALSE)</f>
        <v>No</v>
      </c>
    </row>
    <row r="1858" spans="1:32" s="5" customFormat="1">
      <c r="A1858" s="97" t="s">
        <v>2361</v>
      </c>
      <c r="B1858" s="97" t="s">
        <v>832</v>
      </c>
      <c r="C1858" s="95">
        <v>5296</v>
      </c>
      <c r="D1858" s="95" t="s">
        <v>843</v>
      </c>
      <c r="E1858" s="129">
        <f>VLOOKUP($C1858,'2021-22 School Level AAFTE'!$C:$Z,11,FALSE)</f>
        <v>5.4699999999999992E-2</v>
      </c>
      <c r="F1858" s="129" t="str">
        <f>VLOOKUP($C1858,'2021-22 School Level AAFTE'!$C:$Z,8,FALSE)</f>
        <v>No</v>
      </c>
      <c r="G1858" s="129" t="str">
        <f>VLOOKUP($C1858,'2021-22 School Level AAFTE'!$C:$Z,12,FALSE)</f>
        <v>No</v>
      </c>
      <c r="H1858" s="127">
        <f>VLOOKUP($C1858,'2021-22 School Level AAFTE'!$C:$I,7,FALSE)</f>
        <v>240.73</v>
      </c>
      <c r="I1858" s="112">
        <f>IFERROR(IF(OR(G1858="yes",F1858= "yes"),VLOOKUP(C1858,Summary!$B:$J,6,0),0),0)</f>
        <v>0</v>
      </c>
      <c r="J1858" s="111">
        <f t="shared" si="354"/>
        <v>0</v>
      </c>
      <c r="K1858" s="91">
        <f>VLOOKUP($A1858,'2022-23 Salary &amp; Benefits'!$A:$I,3,FALSE)</f>
        <v>1.18</v>
      </c>
      <c r="L1858" s="91">
        <f>VLOOKUP($A1858,'2022-23 Salary &amp; Benefits'!$A:$I,4,FALSE)</f>
        <v>1.18</v>
      </c>
      <c r="M1858" s="101">
        <f t="shared" si="361"/>
        <v>0</v>
      </c>
      <c r="N1858" s="24">
        <v>15</v>
      </c>
      <c r="O1858" s="26">
        <f t="shared" si="352"/>
        <v>0</v>
      </c>
      <c r="P1858" s="24">
        <v>1.1000000000000001</v>
      </c>
      <c r="Q1858" s="24">
        <v>36</v>
      </c>
      <c r="R1858" s="27">
        <f t="shared" si="353"/>
        <v>0</v>
      </c>
      <c r="S1858" s="102">
        <f t="shared" si="355"/>
        <v>0</v>
      </c>
      <c r="T1858" s="21">
        <f>VLOOKUP($A1858,'2022-23 Salary &amp; Benefits'!$A:$I,5,FALSE)</f>
        <v>68937</v>
      </c>
      <c r="U1858" s="21">
        <f>VLOOKUP($A1858,'2022-23 Salary &amp; Benefits'!$A:$I,6,FALSE)</f>
        <v>72728</v>
      </c>
      <c r="V1858" s="22">
        <f t="shared" si="356"/>
        <v>0</v>
      </c>
      <c r="W1858" s="22">
        <f t="shared" si="357"/>
        <v>0</v>
      </c>
      <c r="X1858" s="22">
        <f>'2022-23 Salary &amp; Benefits'!$G$6</f>
        <v>12558.24</v>
      </c>
      <c r="Y1858" s="23">
        <f>'2022-23 Salary &amp; Benefits'!$H$6</f>
        <v>0.2298</v>
      </c>
      <c r="Z1858" s="23">
        <f>'2022-23 Salary &amp; Benefits'!$I$6</f>
        <v>0.22339999999999999</v>
      </c>
      <c r="AA1858" s="22">
        <f t="shared" si="358"/>
        <v>0</v>
      </c>
      <c r="AB1858" s="22">
        <f t="shared" si="359"/>
        <v>0</v>
      </c>
      <c r="AC1858" s="22">
        <f t="shared" si="360"/>
        <v>0</v>
      </c>
      <c r="AD1858" s="22">
        <f t="shared" si="362"/>
        <v>0</v>
      </c>
      <c r="AE1858" s="22">
        <f t="shared" si="363"/>
        <v>0</v>
      </c>
      <c r="AF1858" s="19" t="str">
        <f>VLOOKUP(C1858,'2021-22 School Level AAFTE'!C:N,12,FALSE)</f>
        <v>No</v>
      </c>
    </row>
    <row r="1859" spans="1:32" s="5" customFormat="1">
      <c r="A1859" s="97" t="s">
        <v>2361</v>
      </c>
      <c r="B1859" s="97" t="s">
        <v>832</v>
      </c>
      <c r="C1859" s="95">
        <v>5374</v>
      </c>
      <c r="D1859" s="95" t="s">
        <v>844</v>
      </c>
      <c r="E1859" s="129">
        <f>VLOOKUP($C1859,'2021-22 School Level AAFTE'!$C:$Z,11,FALSE)</f>
        <v>0.35196666666666671</v>
      </c>
      <c r="F1859" s="129" t="str">
        <f>VLOOKUP($C1859,'2021-22 School Level AAFTE'!$C:$Z,8,FALSE)</f>
        <v>No</v>
      </c>
      <c r="G1859" s="129" t="str">
        <f>VLOOKUP($C1859,'2021-22 School Level AAFTE'!$C:$Z,12,FALSE)</f>
        <v>No</v>
      </c>
      <c r="H1859" s="127">
        <f>VLOOKUP($C1859,'2021-22 School Level AAFTE'!$C:$I,7,FALSE)</f>
        <v>17.14</v>
      </c>
      <c r="I1859" s="112">
        <f>IFERROR(IF(OR(G1859="yes",F1859= "yes"),VLOOKUP(C1859,Summary!$B:$J,6,0),0),0)</f>
        <v>0</v>
      </c>
      <c r="J1859" s="111">
        <f t="shared" si="354"/>
        <v>0</v>
      </c>
      <c r="K1859" s="91">
        <f>VLOOKUP($A1859,'2022-23 Salary &amp; Benefits'!$A:$I,3,FALSE)</f>
        <v>1.18</v>
      </c>
      <c r="L1859" s="91">
        <f>VLOOKUP($A1859,'2022-23 Salary &amp; Benefits'!$A:$I,4,FALSE)</f>
        <v>1.18</v>
      </c>
      <c r="M1859" s="101">
        <f t="shared" si="361"/>
        <v>0</v>
      </c>
      <c r="N1859" s="24">
        <v>15</v>
      </c>
      <c r="O1859" s="26">
        <f t="shared" si="352"/>
        <v>0</v>
      </c>
      <c r="P1859" s="24">
        <v>1.1000000000000001</v>
      </c>
      <c r="Q1859" s="24">
        <v>36</v>
      </c>
      <c r="R1859" s="27">
        <f t="shared" si="353"/>
        <v>0</v>
      </c>
      <c r="S1859" s="102">
        <f t="shared" si="355"/>
        <v>0</v>
      </c>
      <c r="T1859" s="21">
        <f>VLOOKUP($A1859,'2022-23 Salary &amp; Benefits'!$A:$I,5,FALSE)</f>
        <v>68937</v>
      </c>
      <c r="U1859" s="21">
        <f>VLOOKUP($A1859,'2022-23 Salary &amp; Benefits'!$A:$I,6,FALSE)</f>
        <v>72728</v>
      </c>
      <c r="V1859" s="22">
        <f t="shared" si="356"/>
        <v>0</v>
      </c>
      <c r="W1859" s="22">
        <f t="shared" si="357"/>
        <v>0</v>
      </c>
      <c r="X1859" s="22">
        <f>'2022-23 Salary &amp; Benefits'!$G$6</f>
        <v>12558.24</v>
      </c>
      <c r="Y1859" s="23">
        <f>'2022-23 Salary &amp; Benefits'!$H$6</f>
        <v>0.2298</v>
      </c>
      <c r="Z1859" s="23">
        <f>'2022-23 Salary &amp; Benefits'!$I$6</f>
        <v>0.22339999999999999</v>
      </c>
      <c r="AA1859" s="22">
        <f t="shared" si="358"/>
        <v>0</v>
      </c>
      <c r="AB1859" s="22">
        <f t="shared" si="359"/>
        <v>0</v>
      </c>
      <c r="AC1859" s="22">
        <f t="shared" si="360"/>
        <v>0</v>
      </c>
      <c r="AD1859" s="22">
        <f t="shared" si="362"/>
        <v>0</v>
      </c>
      <c r="AE1859" s="22">
        <f t="shared" si="363"/>
        <v>0</v>
      </c>
      <c r="AF1859" s="19" t="str">
        <f>VLOOKUP(C1859,'2021-22 School Level AAFTE'!C:N,12,FALSE)</f>
        <v>No</v>
      </c>
    </row>
    <row r="1860" spans="1:32" s="5" customFormat="1">
      <c r="A1860" s="97" t="s">
        <v>2361</v>
      </c>
      <c r="B1860" s="97" t="s">
        <v>832</v>
      </c>
      <c r="C1860" s="95">
        <v>5457</v>
      </c>
      <c r="D1860" s="95" t="s">
        <v>845</v>
      </c>
      <c r="E1860" s="129">
        <f>VLOOKUP($C1860,'2021-22 School Level AAFTE'!$C:$Z,11,FALSE)</f>
        <v>6.1400000000000003E-2</v>
      </c>
      <c r="F1860" s="129" t="str">
        <f>VLOOKUP($C1860,'2021-22 School Level AAFTE'!$C:$Z,8,FALSE)</f>
        <v>No</v>
      </c>
      <c r="G1860" s="129" t="str">
        <f>VLOOKUP($C1860,'2021-22 School Level AAFTE'!$C:$Z,12,FALSE)</f>
        <v>No</v>
      </c>
      <c r="H1860" s="127">
        <f>VLOOKUP($C1860,'2021-22 School Level AAFTE'!$C:$I,7,FALSE)</f>
        <v>656.79</v>
      </c>
      <c r="I1860" s="112">
        <f>IFERROR(IF(OR(G1860="yes",F1860= "yes"),VLOOKUP(C1860,Summary!$B:$J,6,0),0),0)</f>
        <v>0</v>
      </c>
      <c r="J1860" s="111">
        <f t="shared" si="354"/>
        <v>0</v>
      </c>
      <c r="K1860" s="91">
        <f>VLOOKUP($A1860,'2022-23 Salary &amp; Benefits'!$A:$I,3,FALSE)</f>
        <v>1.18</v>
      </c>
      <c r="L1860" s="91">
        <f>VLOOKUP($A1860,'2022-23 Salary &amp; Benefits'!$A:$I,4,FALSE)</f>
        <v>1.18</v>
      </c>
      <c r="M1860" s="39">
        <f t="shared" si="361"/>
        <v>0</v>
      </c>
      <c r="N1860" s="24">
        <v>15</v>
      </c>
      <c r="O1860" s="26">
        <f t="shared" si="352"/>
        <v>0</v>
      </c>
      <c r="P1860" s="24">
        <v>1.1000000000000001</v>
      </c>
      <c r="Q1860" s="24">
        <v>36</v>
      </c>
      <c r="R1860" s="27">
        <f t="shared" si="353"/>
        <v>0</v>
      </c>
      <c r="S1860" s="102">
        <f t="shared" si="355"/>
        <v>0</v>
      </c>
      <c r="T1860" s="21">
        <f>VLOOKUP($A1860,'2022-23 Salary &amp; Benefits'!$A:$I,5,FALSE)</f>
        <v>68937</v>
      </c>
      <c r="U1860" s="21">
        <f>VLOOKUP($A1860,'2022-23 Salary &amp; Benefits'!$A:$I,6,FALSE)</f>
        <v>72728</v>
      </c>
      <c r="V1860" s="22">
        <f t="shared" si="356"/>
        <v>0</v>
      </c>
      <c r="W1860" s="22">
        <f t="shared" si="357"/>
        <v>0</v>
      </c>
      <c r="X1860" s="22">
        <f>'2022-23 Salary &amp; Benefits'!$G$6</f>
        <v>12558.24</v>
      </c>
      <c r="Y1860" s="23">
        <f>'2022-23 Salary &amp; Benefits'!$H$6</f>
        <v>0.2298</v>
      </c>
      <c r="Z1860" s="23">
        <f>'2022-23 Salary &amp; Benefits'!$I$6</f>
        <v>0.22339999999999999</v>
      </c>
      <c r="AA1860" s="22">
        <f t="shared" si="358"/>
        <v>0</v>
      </c>
      <c r="AB1860" s="22">
        <f t="shared" si="359"/>
        <v>0</v>
      </c>
      <c r="AC1860" s="22">
        <f t="shared" si="360"/>
        <v>0</v>
      </c>
      <c r="AD1860" s="22">
        <f t="shared" si="362"/>
        <v>0</v>
      </c>
      <c r="AE1860" s="22">
        <f t="shared" si="363"/>
        <v>0</v>
      </c>
      <c r="AF1860" s="19" t="str">
        <f>VLOOKUP(C1860,'2021-22 School Level AAFTE'!C:N,12,FALSE)</f>
        <v>No</v>
      </c>
    </row>
    <row r="1861" spans="1:32" s="5" customFormat="1">
      <c r="A1861" s="97" t="s">
        <v>2321</v>
      </c>
      <c r="B1861" s="97" t="s">
        <v>428</v>
      </c>
      <c r="C1861" s="95">
        <v>1518</v>
      </c>
      <c r="D1861" s="95" t="s">
        <v>2928</v>
      </c>
      <c r="E1861" s="129">
        <f>VLOOKUP($C1861,'2021-22 School Level AAFTE'!$C:$Z,11,FALSE)</f>
        <v>0.67659999999999998</v>
      </c>
      <c r="F1861" s="129" t="str">
        <f>VLOOKUP($C1861,'2021-22 School Level AAFTE'!$C:$Z,8,FALSE)</f>
        <v>Yes</v>
      </c>
      <c r="G1861" s="129" t="str">
        <f>VLOOKUP($C1861,'2021-22 School Level AAFTE'!$C:$Z,12,FALSE)</f>
        <v>No</v>
      </c>
      <c r="H1861" s="127">
        <f>VLOOKUP($C1861,'2021-22 School Level AAFTE'!$C:$I,7,FALSE)</f>
        <v>25.49</v>
      </c>
      <c r="I1861" s="112">
        <f>IFERROR(IF(OR(G1861="yes",F1861= "yes"),VLOOKUP(C1861,Summary!$B:$J,6,0),0),0)</f>
        <v>0</v>
      </c>
      <c r="J1861" s="111">
        <f t="shared" si="354"/>
        <v>25.49</v>
      </c>
      <c r="K1861" s="91">
        <f>VLOOKUP($A1861,'2022-23 Salary &amp; Benefits'!$A:$I,3,FALSE)</f>
        <v>1</v>
      </c>
      <c r="L1861" s="91">
        <f>VLOOKUP($A1861,'2022-23 Salary &amp; Benefits'!$A:$I,4,FALSE)</f>
        <v>1</v>
      </c>
      <c r="M1861" s="39">
        <f t="shared" si="361"/>
        <v>25.49</v>
      </c>
      <c r="N1861" s="24">
        <v>15</v>
      </c>
      <c r="O1861" s="26">
        <f t="shared" si="352"/>
        <v>1.6993333333333331</v>
      </c>
      <c r="P1861" s="24">
        <v>1.1000000000000001</v>
      </c>
      <c r="Q1861" s="24">
        <v>36</v>
      </c>
      <c r="R1861" s="27">
        <f t="shared" si="353"/>
        <v>67.293599999999998</v>
      </c>
      <c r="S1861" s="102">
        <f t="shared" si="355"/>
        <v>7.4999999999999997E-2</v>
      </c>
      <c r="T1861" s="21">
        <f>VLOOKUP($A1861,'2022-23 Salary &amp; Benefits'!$A:$I,5,FALSE)</f>
        <v>68937</v>
      </c>
      <c r="U1861" s="21">
        <f>VLOOKUP($A1861,'2022-23 Salary &amp; Benefits'!$A:$I,6,FALSE)</f>
        <v>72728</v>
      </c>
      <c r="V1861" s="22">
        <f t="shared" si="356"/>
        <v>5170.28</v>
      </c>
      <c r="W1861" s="22">
        <f t="shared" si="357"/>
        <v>284.32000000000062</v>
      </c>
      <c r="X1861" s="22">
        <f>'2022-23 Salary &amp; Benefits'!$G$6</f>
        <v>12558.24</v>
      </c>
      <c r="Y1861" s="23">
        <f>'2022-23 Salary &amp; Benefits'!$H$6</f>
        <v>0.2298</v>
      </c>
      <c r="Z1861" s="23">
        <f>'2022-23 Salary &amp; Benefits'!$I$6</f>
        <v>0.22339999999999999</v>
      </c>
      <c r="AA1861" s="22">
        <f t="shared" si="358"/>
        <v>2193.52</v>
      </c>
      <c r="AB1861" s="22">
        <f t="shared" si="359"/>
        <v>90.91</v>
      </c>
      <c r="AC1861" s="22">
        <f t="shared" si="360"/>
        <v>20.309999999999999</v>
      </c>
      <c r="AD1861" s="22">
        <f t="shared" si="362"/>
        <v>111.22</v>
      </c>
      <c r="AE1861" s="22">
        <f t="shared" si="363"/>
        <v>7759.34</v>
      </c>
      <c r="AF1861" s="19" t="str">
        <f>VLOOKUP(C1861,'2021-22 School Level AAFTE'!C:N,12,FALSE)</f>
        <v>No</v>
      </c>
    </row>
    <row r="1862" spans="1:32" s="5" customFormat="1">
      <c r="A1862" s="97" t="s">
        <v>2321</v>
      </c>
      <c r="B1862" s="97" t="s">
        <v>428</v>
      </c>
      <c r="C1862" s="95">
        <v>2694</v>
      </c>
      <c r="D1862" s="95" t="s">
        <v>429</v>
      </c>
      <c r="E1862" s="129">
        <f>VLOOKUP($C1862,'2021-22 School Level AAFTE'!$C:$Z,11,FALSE)</f>
        <v>0.88719999999999999</v>
      </c>
      <c r="F1862" s="129" t="str">
        <f>VLOOKUP($C1862,'2021-22 School Level AAFTE'!$C:$Z,8,FALSE)</f>
        <v>Yes</v>
      </c>
      <c r="G1862" s="129" t="str">
        <f>VLOOKUP($C1862,'2021-22 School Level AAFTE'!$C:$Z,12,FALSE)</f>
        <v>No</v>
      </c>
      <c r="H1862" s="127">
        <f>VLOOKUP($C1862,'2021-22 School Level AAFTE'!$C:$I,7,FALSE)</f>
        <v>243.03</v>
      </c>
      <c r="I1862" s="112">
        <f>IFERROR(IF(OR(G1862="yes",F1862= "yes"),VLOOKUP(C1862,Summary!$B:$J,6,0),0),0)</f>
        <v>0</v>
      </c>
      <c r="J1862" s="111">
        <f t="shared" si="354"/>
        <v>243.03</v>
      </c>
      <c r="K1862" s="91">
        <f>VLOOKUP($A1862,'2022-23 Salary &amp; Benefits'!$A:$I,3,FALSE)</f>
        <v>1</v>
      </c>
      <c r="L1862" s="91">
        <f>VLOOKUP($A1862,'2022-23 Salary &amp; Benefits'!$A:$I,4,FALSE)</f>
        <v>1</v>
      </c>
      <c r="M1862" s="39">
        <f t="shared" si="361"/>
        <v>243.03</v>
      </c>
      <c r="N1862" s="24">
        <v>15</v>
      </c>
      <c r="O1862" s="26">
        <f t="shared" si="352"/>
        <v>16.202000000000002</v>
      </c>
      <c r="P1862" s="24">
        <v>1.1000000000000001</v>
      </c>
      <c r="Q1862" s="24">
        <v>36</v>
      </c>
      <c r="R1862" s="27">
        <f t="shared" si="353"/>
        <v>641.59920000000011</v>
      </c>
      <c r="S1862" s="102">
        <f t="shared" si="355"/>
        <v>0.71299999999999997</v>
      </c>
      <c r="T1862" s="21">
        <f>VLOOKUP($A1862,'2022-23 Salary &amp; Benefits'!$A:$I,5,FALSE)</f>
        <v>68937</v>
      </c>
      <c r="U1862" s="21">
        <f>VLOOKUP($A1862,'2022-23 Salary &amp; Benefits'!$A:$I,6,FALSE)</f>
        <v>72728</v>
      </c>
      <c r="V1862" s="22">
        <f t="shared" si="356"/>
        <v>49152.08</v>
      </c>
      <c r="W1862" s="22">
        <f t="shared" si="357"/>
        <v>2702.9799999999959</v>
      </c>
      <c r="X1862" s="22">
        <f>'2022-23 Salary &amp; Benefits'!$G$6</f>
        <v>12558.24</v>
      </c>
      <c r="Y1862" s="23">
        <f>'2022-23 Salary &amp; Benefits'!$H$6</f>
        <v>0.2298</v>
      </c>
      <c r="Z1862" s="23">
        <f>'2022-23 Salary &amp; Benefits'!$I$6</f>
        <v>0.22339999999999999</v>
      </c>
      <c r="AA1862" s="22">
        <f t="shared" si="358"/>
        <v>20853.02</v>
      </c>
      <c r="AB1862" s="22">
        <f t="shared" si="359"/>
        <v>864.25</v>
      </c>
      <c r="AC1862" s="22">
        <f t="shared" si="360"/>
        <v>193.07</v>
      </c>
      <c r="AD1862" s="22">
        <f t="shared" si="362"/>
        <v>1057.32</v>
      </c>
      <c r="AE1862" s="22">
        <f t="shared" si="363"/>
        <v>73765.400000000009</v>
      </c>
      <c r="AF1862" s="19" t="str">
        <f>VLOOKUP(C1862,'2021-22 School Level AAFTE'!C:N,12,FALSE)</f>
        <v>No</v>
      </c>
    </row>
    <row r="1863" spans="1:32" s="5" customFormat="1">
      <c r="A1863" s="97" t="s">
        <v>2321</v>
      </c>
      <c r="B1863" s="97" t="s">
        <v>428</v>
      </c>
      <c r="C1863" s="95">
        <v>3089</v>
      </c>
      <c r="D1863" s="95" t="s">
        <v>430</v>
      </c>
      <c r="E1863" s="129">
        <f>VLOOKUP($C1863,'2021-22 School Level AAFTE'!$C:$Z,11,FALSE)</f>
        <v>0.85049999999999992</v>
      </c>
      <c r="F1863" s="129" t="str">
        <f>VLOOKUP($C1863,'2021-22 School Level AAFTE'!$C:$Z,8,FALSE)</f>
        <v>Yes</v>
      </c>
      <c r="G1863" s="129" t="str">
        <f>VLOOKUP($C1863,'2021-22 School Level AAFTE'!$C:$Z,12,FALSE)</f>
        <v>No</v>
      </c>
      <c r="H1863" s="127">
        <f>VLOOKUP($C1863,'2021-22 School Level AAFTE'!$C:$I,7,FALSE)</f>
        <v>285.74</v>
      </c>
      <c r="I1863" s="112">
        <f>IFERROR(IF(OR(G1863="yes",F1863= "yes"),VLOOKUP(C1863,Summary!$B:$J,6,0),0),0)</f>
        <v>0</v>
      </c>
      <c r="J1863" s="111">
        <f t="shared" si="354"/>
        <v>285.74</v>
      </c>
      <c r="K1863" s="91">
        <f>VLOOKUP($A1863,'2022-23 Salary &amp; Benefits'!$A:$I,3,FALSE)</f>
        <v>1</v>
      </c>
      <c r="L1863" s="91">
        <f>VLOOKUP($A1863,'2022-23 Salary &amp; Benefits'!$A:$I,4,FALSE)</f>
        <v>1</v>
      </c>
      <c r="M1863" s="39">
        <f t="shared" si="361"/>
        <v>285.74</v>
      </c>
      <c r="N1863" s="24">
        <v>15</v>
      </c>
      <c r="O1863" s="26">
        <f t="shared" si="352"/>
        <v>19.049333333333333</v>
      </c>
      <c r="P1863" s="24">
        <v>1.1000000000000001</v>
      </c>
      <c r="Q1863" s="24">
        <v>36</v>
      </c>
      <c r="R1863" s="27">
        <f t="shared" si="353"/>
        <v>754.35360000000014</v>
      </c>
      <c r="S1863" s="102">
        <f t="shared" si="355"/>
        <v>0.83799999999999997</v>
      </c>
      <c r="T1863" s="21">
        <f>VLOOKUP($A1863,'2022-23 Salary &amp; Benefits'!$A:$I,5,FALSE)</f>
        <v>68937</v>
      </c>
      <c r="U1863" s="21">
        <f>VLOOKUP($A1863,'2022-23 Salary &amp; Benefits'!$A:$I,6,FALSE)</f>
        <v>72728</v>
      </c>
      <c r="V1863" s="22">
        <f t="shared" si="356"/>
        <v>57769.21</v>
      </c>
      <c r="W1863" s="22">
        <f t="shared" si="357"/>
        <v>3176.8499999999985</v>
      </c>
      <c r="X1863" s="22">
        <f>'2022-23 Salary &amp; Benefits'!$G$6</f>
        <v>12558.24</v>
      </c>
      <c r="Y1863" s="23">
        <f>'2022-23 Salary &amp; Benefits'!$H$6</f>
        <v>0.2298</v>
      </c>
      <c r="Z1863" s="23">
        <f>'2022-23 Salary &amp; Benefits'!$I$6</f>
        <v>0.22339999999999999</v>
      </c>
      <c r="AA1863" s="22">
        <f t="shared" si="358"/>
        <v>24508.880000000001</v>
      </c>
      <c r="AB1863" s="22">
        <f t="shared" si="359"/>
        <v>1015.77</v>
      </c>
      <c r="AC1863" s="22">
        <f t="shared" si="360"/>
        <v>226.92</v>
      </c>
      <c r="AD1863" s="22">
        <f t="shared" si="362"/>
        <v>1242.69</v>
      </c>
      <c r="AE1863" s="22">
        <f t="shared" si="363"/>
        <v>86697.63</v>
      </c>
      <c r="AF1863" s="19" t="str">
        <f>VLOOKUP(C1863,'2021-22 School Level AAFTE'!C:N,12,FALSE)</f>
        <v>No</v>
      </c>
    </row>
    <row r="1864" spans="1:32" s="5" customFormat="1">
      <c r="A1864" s="97" t="s">
        <v>2431</v>
      </c>
      <c r="B1864" s="97" t="s">
        <v>1270</v>
      </c>
      <c r="C1864" s="95">
        <v>2214</v>
      </c>
      <c r="D1864" s="95" t="s">
        <v>1271</v>
      </c>
      <c r="E1864" s="129">
        <f>VLOOKUP($C1864,'2021-22 School Level AAFTE'!$C:$Z,11,FALSE)</f>
        <v>0.69186666666666652</v>
      </c>
      <c r="F1864" s="129" t="str">
        <f>VLOOKUP($C1864,'2021-22 School Level AAFTE'!$C:$Z,8,FALSE)</f>
        <v>Yes</v>
      </c>
      <c r="G1864" s="129" t="str">
        <f>VLOOKUP($C1864,'2021-22 School Level AAFTE'!$C:$Z,12,FALSE)</f>
        <v>No</v>
      </c>
      <c r="H1864" s="127">
        <f>VLOOKUP($C1864,'2021-22 School Level AAFTE'!$C:$I,7,FALSE)</f>
        <v>248.64000000000001</v>
      </c>
      <c r="I1864" s="112">
        <f>IFERROR(IF(OR(G1864="yes",F1864= "yes"),VLOOKUP(C1864,Summary!$B:$J,6,0),0),0)</f>
        <v>0</v>
      </c>
      <c r="J1864" s="111">
        <f t="shared" si="354"/>
        <v>248.64000000000001</v>
      </c>
      <c r="K1864" s="91">
        <f>VLOOKUP($A1864,'2022-23 Salary &amp; Benefits'!$A:$I,3,FALSE)</f>
        <v>1</v>
      </c>
      <c r="L1864" s="91">
        <f>VLOOKUP($A1864,'2022-23 Salary &amp; Benefits'!$A:$I,4,FALSE)</f>
        <v>1</v>
      </c>
      <c r="M1864" s="39">
        <f t="shared" si="361"/>
        <v>248.64000000000001</v>
      </c>
      <c r="N1864" s="24">
        <v>15</v>
      </c>
      <c r="O1864" s="26">
        <f t="shared" si="352"/>
        <v>16.576000000000001</v>
      </c>
      <c r="P1864" s="24">
        <v>1.1000000000000001</v>
      </c>
      <c r="Q1864" s="24">
        <v>36</v>
      </c>
      <c r="R1864" s="27">
        <f t="shared" si="353"/>
        <v>656.40960000000007</v>
      </c>
      <c r="S1864" s="102">
        <f t="shared" si="355"/>
        <v>0.72899999999999998</v>
      </c>
      <c r="T1864" s="21">
        <f>VLOOKUP($A1864,'2022-23 Salary &amp; Benefits'!$A:$I,5,FALSE)</f>
        <v>68937</v>
      </c>
      <c r="U1864" s="21">
        <f>VLOOKUP($A1864,'2022-23 Salary &amp; Benefits'!$A:$I,6,FALSE)</f>
        <v>72728</v>
      </c>
      <c r="V1864" s="22">
        <f t="shared" si="356"/>
        <v>50255.07</v>
      </c>
      <c r="W1864" s="22">
        <f t="shared" si="357"/>
        <v>2763.6399999999994</v>
      </c>
      <c r="X1864" s="22">
        <f>'2022-23 Salary &amp; Benefits'!$G$6</f>
        <v>12558.24</v>
      </c>
      <c r="Y1864" s="23">
        <f>'2022-23 Salary &amp; Benefits'!$H$6</f>
        <v>0.2298</v>
      </c>
      <c r="Z1864" s="23">
        <f>'2022-23 Salary &amp; Benefits'!$I$6</f>
        <v>0.22339999999999999</v>
      </c>
      <c r="AA1864" s="22">
        <f t="shared" si="358"/>
        <v>21320.97</v>
      </c>
      <c r="AB1864" s="22">
        <f t="shared" si="359"/>
        <v>883.65</v>
      </c>
      <c r="AC1864" s="22">
        <f t="shared" si="360"/>
        <v>197.41</v>
      </c>
      <c r="AD1864" s="22">
        <f t="shared" si="362"/>
        <v>1081.06</v>
      </c>
      <c r="AE1864" s="22">
        <f t="shared" si="363"/>
        <v>75420.740000000005</v>
      </c>
      <c r="AF1864" s="19" t="str">
        <f>VLOOKUP(C1864,'2021-22 School Level AAFTE'!C:N,12,FALSE)</f>
        <v>No</v>
      </c>
    </row>
    <row r="1865" spans="1:32" s="5" customFormat="1">
      <c r="A1865" s="97" t="s">
        <v>2431</v>
      </c>
      <c r="B1865" s="97" t="s">
        <v>1270</v>
      </c>
      <c r="C1865" s="95">
        <v>2804</v>
      </c>
      <c r="D1865" s="95" t="s">
        <v>2929</v>
      </c>
      <c r="E1865" s="129">
        <f>VLOOKUP($C1865,'2021-22 School Level AAFTE'!$C:$Z,11,FALSE)</f>
        <v>0.75363333333333327</v>
      </c>
      <c r="F1865" s="129" t="str">
        <f>VLOOKUP($C1865,'2021-22 School Level AAFTE'!$C:$Z,8,FALSE)</f>
        <v>Yes</v>
      </c>
      <c r="G1865" s="129" t="str">
        <f>VLOOKUP($C1865,'2021-22 School Level AAFTE'!$C:$Z,12,FALSE)</f>
        <v>No</v>
      </c>
      <c r="H1865" s="127">
        <f>VLOOKUP($C1865,'2021-22 School Level AAFTE'!$C:$I,7,FALSE)</f>
        <v>269.07</v>
      </c>
      <c r="I1865" s="112">
        <f>IFERROR(IF(OR(G1865="yes",F1865= "yes"),VLOOKUP(C1865,Summary!$B:$J,6,0),0),0)</f>
        <v>0</v>
      </c>
      <c r="J1865" s="111">
        <f t="shared" si="354"/>
        <v>269.07</v>
      </c>
      <c r="K1865" s="91">
        <f>VLOOKUP($A1865,'2022-23 Salary &amp; Benefits'!$A:$I,3,FALSE)</f>
        <v>1</v>
      </c>
      <c r="L1865" s="91">
        <f>VLOOKUP($A1865,'2022-23 Salary &amp; Benefits'!$A:$I,4,FALSE)</f>
        <v>1</v>
      </c>
      <c r="M1865" s="39">
        <f t="shared" si="361"/>
        <v>269.07</v>
      </c>
      <c r="N1865" s="24">
        <v>15</v>
      </c>
      <c r="O1865" s="26">
        <f t="shared" si="352"/>
        <v>17.937999999999999</v>
      </c>
      <c r="P1865" s="24">
        <v>1.1000000000000001</v>
      </c>
      <c r="Q1865" s="24">
        <v>36</v>
      </c>
      <c r="R1865" s="27">
        <f t="shared" si="353"/>
        <v>710.34479999999996</v>
      </c>
      <c r="S1865" s="102">
        <f t="shared" si="355"/>
        <v>0.78900000000000003</v>
      </c>
      <c r="T1865" s="21">
        <f>VLOOKUP($A1865,'2022-23 Salary &amp; Benefits'!$A:$I,5,FALSE)</f>
        <v>68937</v>
      </c>
      <c r="U1865" s="21">
        <f>VLOOKUP($A1865,'2022-23 Salary &amp; Benefits'!$A:$I,6,FALSE)</f>
        <v>72728</v>
      </c>
      <c r="V1865" s="22">
        <f t="shared" si="356"/>
        <v>54391.29</v>
      </c>
      <c r="W1865" s="22">
        <f t="shared" si="357"/>
        <v>2991.0999999999985</v>
      </c>
      <c r="X1865" s="22">
        <f>'2022-23 Salary &amp; Benefits'!$G$6</f>
        <v>12558.24</v>
      </c>
      <c r="Y1865" s="23">
        <f>'2022-23 Salary &amp; Benefits'!$H$6</f>
        <v>0.2298</v>
      </c>
      <c r="Z1865" s="23">
        <f>'2022-23 Salary &amp; Benefits'!$I$6</f>
        <v>0.22339999999999999</v>
      </c>
      <c r="AA1865" s="22">
        <f t="shared" si="358"/>
        <v>23075.78</v>
      </c>
      <c r="AB1865" s="22">
        <f t="shared" si="359"/>
        <v>956.37</v>
      </c>
      <c r="AC1865" s="22">
        <f t="shared" si="360"/>
        <v>213.65</v>
      </c>
      <c r="AD1865" s="22">
        <f t="shared" si="362"/>
        <v>1170.02</v>
      </c>
      <c r="AE1865" s="22">
        <f t="shared" si="363"/>
        <v>81628.190000000017</v>
      </c>
      <c r="AF1865" s="19" t="str">
        <f>VLOOKUP(C1865,'2021-22 School Level AAFTE'!C:N,12,FALSE)</f>
        <v>No</v>
      </c>
    </row>
    <row r="1866" spans="1:32" s="5" customFormat="1">
      <c r="A1866" s="97" t="s">
        <v>2431</v>
      </c>
      <c r="B1866" s="97" t="s">
        <v>1270</v>
      </c>
      <c r="C1866" s="95">
        <v>5243</v>
      </c>
      <c r="D1866" s="95" t="s">
        <v>2930</v>
      </c>
      <c r="E1866" s="129">
        <f>VLOOKUP($C1866,'2021-22 School Level AAFTE'!$C:$Z,11,FALSE)</f>
        <v>0.30303333333333332</v>
      </c>
      <c r="F1866" s="129" t="str">
        <f>VLOOKUP($C1866,'2021-22 School Level AAFTE'!$C:$Z,8,FALSE)</f>
        <v>No</v>
      </c>
      <c r="G1866" s="129" t="str">
        <f>VLOOKUP($C1866,'2021-22 School Level AAFTE'!$C:$Z,12,FALSE)</f>
        <v>No</v>
      </c>
      <c r="H1866" s="127">
        <f>VLOOKUP($C1866,'2021-22 School Level AAFTE'!$C:$I,7,FALSE)</f>
        <v>34.04</v>
      </c>
      <c r="I1866" s="112">
        <f>IFERROR(IF(OR(G1866="yes",F1866= "yes"),VLOOKUP(C1866,Summary!$B:$J,6,0),0),0)</f>
        <v>0</v>
      </c>
      <c r="J1866" s="111">
        <f t="shared" si="354"/>
        <v>0</v>
      </c>
      <c r="K1866" s="91">
        <f>VLOOKUP($A1866,'2022-23 Salary &amp; Benefits'!$A:$I,3,FALSE)</f>
        <v>1</v>
      </c>
      <c r="L1866" s="91">
        <f>VLOOKUP($A1866,'2022-23 Salary &amp; Benefits'!$A:$I,4,FALSE)</f>
        <v>1</v>
      </c>
      <c r="M1866" s="39">
        <f t="shared" si="361"/>
        <v>0</v>
      </c>
      <c r="N1866" s="24">
        <v>15</v>
      </c>
      <c r="O1866" s="26">
        <f t="shared" ref="O1866:O1929" si="364">IF(M1866="no",0,M1866/N1866)</f>
        <v>0</v>
      </c>
      <c r="P1866" s="24">
        <v>1.1000000000000001</v>
      </c>
      <c r="Q1866" s="24">
        <v>36</v>
      </c>
      <c r="R1866" s="27">
        <f t="shared" ref="R1866:R1929" si="365">IF(M1866="no",0,O1866*P1866*Q1866)</f>
        <v>0</v>
      </c>
      <c r="S1866" s="102">
        <f t="shared" si="355"/>
        <v>0</v>
      </c>
      <c r="T1866" s="21">
        <f>VLOOKUP($A1866,'2022-23 Salary &amp; Benefits'!$A:$I,5,FALSE)</f>
        <v>68937</v>
      </c>
      <c r="U1866" s="21">
        <f>VLOOKUP($A1866,'2022-23 Salary &amp; Benefits'!$A:$I,6,FALSE)</f>
        <v>72728</v>
      </c>
      <c r="V1866" s="22">
        <f t="shared" si="356"/>
        <v>0</v>
      </c>
      <c r="W1866" s="22">
        <f t="shared" si="357"/>
        <v>0</v>
      </c>
      <c r="X1866" s="22">
        <f>'2022-23 Salary &amp; Benefits'!$G$6</f>
        <v>12558.24</v>
      </c>
      <c r="Y1866" s="23">
        <f>'2022-23 Salary &amp; Benefits'!$H$6</f>
        <v>0.2298</v>
      </c>
      <c r="Z1866" s="23">
        <f>'2022-23 Salary &amp; Benefits'!$I$6</f>
        <v>0.22339999999999999</v>
      </c>
      <c r="AA1866" s="22">
        <f t="shared" si="358"/>
        <v>0</v>
      </c>
      <c r="AB1866" s="22">
        <f t="shared" si="359"/>
        <v>0</v>
      </c>
      <c r="AC1866" s="22">
        <f t="shared" si="360"/>
        <v>0</v>
      </c>
      <c r="AD1866" s="22">
        <f t="shared" si="362"/>
        <v>0</v>
      </c>
      <c r="AE1866" s="22">
        <f t="shared" si="363"/>
        <v>0</v>
      </c>
      <c r="AF1866" s="19" t="str">
        <f>VLOOKUP(C1866,'2021-22 School Level AAFTE'!C:N,12,FALSE)</f>
        <v>No</v>
      </c>
    </row>
    <row r="1867" spans="1:32" s="5" customFormat="1">
      <c r="A1867" s="97" t="s">
        <v>2375</v>
      </c>
      <c r="B1867" s="97" t="s">
        <v>1068</v>
      </c>
      <c r="C1867" s="95">
        <v>1718</v>
      </c>
      <c r="D1867" s="95" t="s">
        <v>1069</v>
      </c>
      <c r="E1867" s="129">
        <f>VLOOKUP($C1867,'2021-22 School Level AAFTE'!$C:$Z,11,FALSE)</f>
        <v>0.2964</v>
      </c>
      <c r="F1867" s="129" t="str">
        <f>VLOOKUP($C1867,'2021-22 School Level AAFTE'!$C:$Z,8,FALSE)</f>
        <v>No</v>
      </c>
      <c r="G1867" s="129" t="str">
        <f>VLOOKUP($C1867,'2021-22 School Level AAFTE'!$C:$Z,12,FALSE)</f>
        <v>No</v>
      </c>
      <c r="H1867" s="127">
        <f>VLOOKUP($C1867,'2021-22 School Level AAFTE'!$C:$I,7,FALSE)</f>
        <v>276.58</v>
      </c>
      <c r="I1867" s="112">
        <f>IFERROR(IF(OR(G1867="yes",F1867= "yes"),VLOOKUP(C1867,Summary!$B:$J,6,0),0),0)</f>
        <v>0</v>
      </c>
      <c r="J1867" s="111">
        <f t="shared" ref="J1867:J1930" si="366">IF(OR(G1867="yes",F1867= "yes"), H1867,0)</f>
        <v>0</v>
      </c>
      <c r="K1867" s="91">
        <f>VLOOKUP($A1867,'2022-23 Salary &amp; Benefits'!$A:$I,3,FALSE)</f>
        <v>1.18</v>
      </c>
      <c r="L1867" s="91">
        <f>VLOOKUP($A1867,'2022-23 Salary &amp; Benefits'!$A:$I,4,FALSE)</f>
        <v>1.18</v>
      </c>
      <c r="M1867" s="39">
        <f t="shared" si="361"/>
        <v>0</v>
      </c>
      <c r="N1867" s="24">
        <v>15</v>
      </c>
      <c r="O1867" s="26">
        <f t="shared" si="364"/>
        <v>0</v>
      </c>
      <c r="P1867" s="24">
        <v>1.1000000000000001</v>
      </c>
      <c r="Q1867" s="24">
        <v>36</v>
      </c>
      <c r="R1867" s="27">
        <f t="shared" si="365"/>
        <v>0</v>
      </c>
      <c r="S1867" s="102">
        <f t="shared" ref="S1867:S1930" si="367">ROUND(IF(M1867="no",0,R1867/900),3)</f>
        <v>0</v>
      </c>
      <c r="T1867" s="21">
        <f>VLOOKUP($A1867,'2022-23 Salary &amp; Benefits'!$A:$I,5,FALSE)</f>
        <v>68937</v>
      </c>
      <c r="U1867" s="21">
        <f>VLOOKUP($A1867,'2022-23 Salary &amp; Benefits'!$A:$I,6,FALSE)</f>
        <v>72728</v>
      </c>
      <c r="V1867" s="22">
        <f t="shared" ref="V1867:V1930" si="368">ROUND($K1867*$T1867*$S1867,2)</f>
        <v>0</v>
      </c>
      <c r="W1867" s="22">
        <f t="shared" ref="W1867:W1930" si="369">ROUND($L1867*$U1867*$S1867,2)-V1867</f>
        <v>0</v>
      </c>
      <c r="X1867" s="22">
        <f>'2022-23 Salary &amp; Benefits'!$G$6</f>
        <v>12558.24</v>
      </c>
      <c r="Y1867" s="23">
        <f>'2022-23 Salary &amp; Benefits'!$H$6</f>
        <v>0.2298</v>
      </c>
      <c r="Z1867" s="23">
        <f>'2022-23 Salary &amp; Benefits'!$I$6</f>
        <v>0.22339999999999999</v>
      </c>
      <c r="AA1867" s="22">
        <f t="shared" ref="AA1867:AA1930" si="370">ROUND(V1867*Y1867+W1867*Z1867+S1867*X1867,2)</f>
        <v>0</v>
      </c>
      <c r="AB1867" s="22">
        <f t="shared" ref="AB1867:AB1930" si="371">ROUND(($U1867*$L1867*$S1867/180*3),2)</f>
        <v>0</v>
      </c>
      <c r="AC1867" s="22">
        <f t="shared" ref="AC1867:AC1930" si="372">ROUND(AB1867*Z1867,2)</f>
        <v>0</v>
      </c>
      <c r="AD1867" s="22">
        <f t="shared" si="362"/>
        <v>0</v>
      </c>
      <c r="AE1867" s="22">
        <f t="shared" si="363"/>
        <v>0</v>
      </c>
      <c r="AF1867" s="19" t="str">
        <f>VLOOKUP(C1867,'2021-22 School Level AAFTE'!C:N,12,FALSE)</f>
        <v>No</v>
      </c>
    </row>
    <row r="1868" spans="1:32" s="5" customFormat="1">
      <c r="A1868" s="97" t="s">
        <v>2375</v>
      </c>
      <c r="B1868" s="97" t="s">
        <v>1068</v>
      </c>
      <c r="C1868" s="95">
        <v>2272</v>
      </c>
      <c r="D1868" s="95" t="s">
        <v>1070</v>
      </c>
      <c r="E1868" s="129">
        <f>VLOOKUP($C1868,'2021-22 School Level AAFTE'!$C:$Z,11,FALSE)</f>
        <v>0.33383333333333337</v>
      </c>
      <c r="F1868" s="129" t="str">
        <f>VLOOKUP($C1868,'2021-22 School Level AAFTE'!$C:$Z,8,FALSE)</f>
        <v>No</v>
      </c>
      <c r="G1868" s="129" t="str">
        <f>VLOOKUP($C1868,'2021-22 School Level AAFTE'!$C:$Z,12,FALSE)</f>
        <v>No</v>
      </c>
      <c r="H1868" s="127">
        <f>VLOOKUP($C1868,'2021-22 School Level AAFTE'!$C:$I,7,FALSE)</f>
        <v>2306.61</v>
      </c>
      <c r="I1868" s="112">
        <f>IFERROR(IF(OR(G1868="yes",F1868= "yes"),VLOOKUP(C1868,Summary!$B:$J,6,0),0),0)</f>
        <v>0</v>
      </c>
      <c r="J1868" s="111">
        <f t="shared" si="366"/>
        <v>0</v>
      </c>
      <c r="K1868" s="91">
        <f>VLOOKUP($A1868,'2022-23 Salary &amp; Benefits'!$A:$I,3,FALSE)</f>
        <v>1.18</v>
      </c>
      <c r="L1868" s="91">
        <f>VLOOKUP($A1868,'2022-23 Salary &amp; Benefits'!$A:$I,4,FALSE)</f>
        <v>1.18</v>
      </c>
      <c r="M1868" s="39">
        <f t="shared" si="361"/>
        <v>0</v>
      </c>
      <c r="N1868" s="24">
        <v>15</v>
      </c>
      <c r="O1868" s="26">
        <f t="shared" si="364"/>
        <v>0</v>
      </c>
      <c r="P1868" s="24">
        <v>1.1000000000000001</v>
      </c>
      <c r="Q1868" s="24">
        <v>36</v>
      </c>
      <c r="R1868" s="27">
        <f t="shared" si="365"/>
        <v>0</v>
      </c>
      <c r="S1868" s="102">
        <f t="shared" si="367"/>
        <v>0</v>
      </c>
      <c r="T1868" s="21">
        <f>VLOOKUP($A1868,'2022-23 Salary &amp; Benefits'!$A:$I,5,FALSE)</f>
        <v>68937</v>
      </c>
      <c r="U1868" s="21">
        <f>VLOOKUP($A1868,'2022-23 Salary &amp; Benefits'!$A:$I,6,FALSE)</f>
        <v>72728</v>
      </c>
      <c r="V1868" s="22">
        <f t="shared" si="368"/>
        <v>0</v>
      </c>
      <c r="W1868" s="22">
        <f t="shared" si="369"/>
        <v>0</v>
      </c>
      <c r="X1868" s="22">
        <f>'2022-23 Salary &amp; Benefits'!$G$6</f>
        <v>12558.24</v>
      </c>
      <c r="Y1868" s="23">
        <f>'2022-23 Salary &amp; Benefits'!$H$6</f>
        <v>0.2298</v>
      </c>
      <c r="Z1868" s="23">
        <f>'2022-23 Salary &amp; Benefits'!$I$6</f>
        <v>0.22339999999999999</v>
      </c>
      <c r="AA1868" s="22">
        <f t="shared" si="370"/>
        <v>0</v>
      </c>
      <c r="AB1868" s="22">
        <f t="shared" si="371"/>
        <v>0</v>
      </c>
      <c r="AC1868" s="22">
        <f t="shared" si="372"/>
        <v>0</v>
      </c>
      <c r="AD1868" s="22">
        <f t="shared" si="362"/>
        <v>0</v>
      </c>
      <c r="AE1868" s="22">
        <f t="shared" si="363"/>
        <v>0</v>
      </c>
      <c r="AF1868" s="19" t="str">
        <f>VLOOKUP(C1868,'2021-22 School Level AAFTE'!C:N,12,FALSE)</f>
        <v>No</v>
      </c>
    </row>
    <row r="1869" spans="1:32" s="5" customFormat="1">
      <c r="A1869" s="97" t="s">
        <v>2375</v>
      </c>
      <c r="B1869" s="97" t="s">
        <v>1068</v>
      </c>
      <c r="C1869" s="95">
        <v>2641</v>
      </c>
      <c r="D1869" s="95" t="s">
        <v>1071</v>
      </c>
      <c r="E1869" s="129">
        <f>VLOOKUP($C1869,'2021-22 School Level AAFTE'!$C:$Z,11,FALSE)</f>
        <v>0.53313333333333335</v>
      </c>
      <c r="F1869" s="129" t="str">
        <f>VLOOKUP($C1869,'2021-22 School Level AAFTE'!$C:$Z,8,FALSE)</f>
        <v>Yes</v>
      </c>
      <c r="G1869" s="129" t="str">
        <f>VLOOKUP($C1869,'2021-22 School Level AAFTE'!$C:$Z,12,FALSE)</f>
        <v>No</v>
      </c>
      <c r="H1869" s="127">
        <f>VLOOKUP($C1869,'2021-22 School Level AAFTE'!$C:$I,7,FALSE)</f>
        <v>431.57</v>
      </c>
      <c r="I1869" s="112">
        <f>IFERROR(IF(OR(G1869="yes",F1869= "yes"),VLOOKUP(C1869,Summary!$B:$J,6,0),0),0)</f>
        <v>0</v>
      </c>
      <c r="J1869" s="111">
        <f t="shared" si="366"/>
        <v>431.57</v>
      </c>
      <c r="K1869" s="91">
        <f>VLOOKUP($A1869,'2022-23 Salary &amp; Benefits'!$A:$I,3,FALSE)</f>
        <v>1.18</v>
      </c>
      <c r="L1869" s="91">
        <f>VLOOKUP($A1869,'2022-23 Salary &amp; Benefits'!$A:$I,4,FALSE)</f>
        <v>1.18</v>
      </c>
      <c r="M1869" s="101">
        <f t="shared" si="361"/>
        <v>431.57</v>
      </c>
      <c r="N1869" s="24">
        <v>15</v>
      </c>
      <c r="O1869" s="26">
        <f t="shared" si="364"/>
        <v>28.771333333333335</v>
      </c>
      <c r="P1869" s="24">
        <v>1.1000000000000001</v>
      </c>
      <c r="Q1869" s="24">
        <v>36</v>
      </c>
      <c r="R1869" s="27">
        <f t="shared" si="365"/>
        <v>1139.3448000000001</v>
      </c>
      <c r="S1869" s="102">
        <f t="shared" si="367"/>
        <v>1.266</v>
      </c>
      <c r="T1869" s="21">
        <f>VLOOKUP($A1869,'2022-23 Salary &amp; Benefits'!$A:$I,5,FALSE)</f>
        <v>68937</v>
      </c>
      <c r="U1869" s="21">
        <f>VLOOKUP($A1869,'2022-23 Salary &amp; Benefits'!$A:$I,6,FALSE)</f>
        <v>72728</v>
      </c>
      <c r="V1869" s="22">
        <f t="shared" si="368"/>
        <v>102983.61</v>
      </c>
      <c r="W1869" s="22">
        <f t="shared" si="369"/>
        <v>5663.2899999999936</v>
      </c>
      <c r="X1869" s="22">
        <f>'2022-23 Salary &amp; Benefits'!$G$6</f>
        <v>12558.24</v>
      </c>
      <c r="Y1869" s="23">
        <f>'2022-23 Salary &amp; Benefits'!$H$6</f>
        <v>0.2298</v>
      </c>
      <c r="Z1869" s="23">
        <f>'2022-23 Salary &amp; Benefits'!$I$6</f>
        <v>0.22339999999999999</v>
      </c>
      <c r="AA1869" s="22">
        <f t="shared" si="370"/>
        <v>40829.54</v>
      </c>
      <c r="AB1869" s="22">
        <f t="shared" si="371"/>
        <v>1810.78</v>
      </c>
      <c r="AC1869" s="22">
        <f t="shared" si="372"/>
        <v>404.53</v>
      </c>
      <c r="AD1869" s="22">
        <f t="shared" si="362"/>
        <v>2215.31</v>
      </c>
      <c r="AE1869" s="22">
        <f t="shared" si="363"/>
        <v>151691.75</v>
      </c>
      <c r="AF1869" s="19" t="str">
        <f>VLOOKUP(C1869,'2021-22 School Level AAFTE'!C:N,12,FALSE)</f>
        <v>No</v>
      </c>
    </row>
    <row r="1870" spans="1:32" s="5" customFormat="1">
      <c r="A1870" s="97" t="s">
        <v>2375</v>
      </c>
      <c r="B1870" s="97" t="s">
        <v>1068</v>
      </c>
      <c r="C1870" s="95">
        <v>2650</v>
      </c>
      <c r="D1870" s="95" t="s">
        <v>1072</v>
      </c>
      <c r="E1870" s="129">
        <f>VLOOKUP($C1870,'2021-22 School Level AAFTE'!$C:$Z,11,FALSE)</f>
        <v>0.42709999999999998</v>
      </c>
      <c r="F1870" s="129" t="str">
        <f>VLOOKUP($C1870,'2021-22 School Level AAFTE'!$C:$Z,8,FALSE)</f>
        <v>No</v>
      </c>
      <c r="G1870" s="129" t="str">
        <f>VLOOKUP($C1870,'2021-22 School Level AAFTE'!$C:$Z,12,FALSE)</f>
        <v>No</v>
      </c>
      <c r="H1870" s="127">
        <f>VLOOKUP($C1870,'2021-22 School Level AAFTE'!$C:$I,7,FALSE)</f>
        <v>540.47</v>
      </c>
      <c r="I1870" s="112">
        <f>IFERROR(IF(OR(G1870="yes",F1870= "yes"),VLOOKUP(C1870,Summary!$B:$J,6,0),0),0)</f>
        <v>0</v>
      </c>
      <c r="J1870" s="111">
        <f t="shared" si="366"/>
        <v>0</v>
      </c>
      <c r="K1870" s="91">
        <f>VLOOKUP($A1870,'2022-23 Salary &amp; Benefits'!$A:$I,3,FALSE)</f>
        <v>1.18</v>
      </c>
      <c r="L1870" s="91">
        <f>VLOOKUP($A1870,'2022-23 Salary &amp; Benefits'!$A:$I,4,FALSE)</f>
        <v>1.18</v>
      </c>
      <c r="M1870" s="39">
        <f t="shared" si="361"/>
        <v>0</v>
      </c>
      <c r="N1870" s="24">
        <v>15</v>
      </c>
      <c r="O1870" s="26">
        <f t="shared" si="364"/>
        <v>0</v>
      </c>
      <c r="P1870" s="24">
        <v>1.1000000000000001</v>
      </c>
      <c r="Q1870" s="24">
        <v>36</v>
      </c>
      <c r="R1870" s="27">
        <f t="shared" si="365"/>
        <v>0</v>
      </c>
      <c r="S1870" s="102">
        <f t="shared" si="367"/>
        <v>0</v>
      </c>
      <c r="T1870" s="21">
        <f>VLOOKUP($A1870,'2022-23 Salary &amp; Benefits'!$A:$I,5,FALSE)</f>
        <v>68937</v>
      </c>
      <c r="U1870" s="21">
        <f>VLOOKUP($A1870,'2022-23 Salary &amp; Benefits'!$A:$I,6,FALSE)</f>
        <v>72728</v>
      </c>
      <c r="V1870" s="22">
        <f t="shared" si="368"/>
        <v>0</v>
      </c>
      <c r="W1870" s="22">
        <f t="shared" si="369"/>
        <v>0</v>
      </c>
      <c r="X1870" s="22">
        <f>'2022-23 Salary &amp; Benefits'!$G$6</f>
        <v>12558.24</v>
      </c>
      <c r="Y1870" s="23">
        <f>'2022-23 Salary &amp; Benefits'!$H$6</f>
        <v>0.2298</v>
      </c>
      <c r="Z1870" s="23">
        <f>'2022-23 Salary &amp; Benefits'!$I$6</f>
        <v>0.22339999999999999</v>
      </c>
      <c r="AA1870" s="22">
        <f t="shared" si="370"/>
        <v>0</v>
      </c>
      <c r="AB1870" s="22">
        <f t="shared" si="371"/>
        <v>0</v>
      </c>
      <c r="AC1870" s="22">
        <f t="shared" si="372"/>
        <v>0</v>
      </c>
      <c r="AD1870" s="22">
        <f t="shared" si="362"/>
        <v>0</v>
      </c>
      <c r="AE1870" s="22">
        <f t="shared" si="363"/>
        <v>0</v>
      </c>
      <c r="AF1870" s="19" t="str">
        <f>VLOOKUP(C1870,'2021-22 School Level AAFTE'!C:N,12,FALSE)</f>
        <v>No</v>
      </c>
    </row>
    <row r="1871" spans="1:32" s="5" customFormat="1">
      <c r="A1871" s="97" t="s">
        <v>2375</v>
      </c>
      <c r="B1871" s="97" t="s">
        <v>1068</v>
      </c>
      <c r="C1871" s="95">
        <v>2995</v>
      </c>
      <c r="D1871" s="95" t="s">
        <v>1073</v>
      </c>
      <c r="E1871" s="129">
        <f>VLOOKUP($C1871,'2021-22 School Level AAFTE'!$C:$Z,11,FALSE)</f>
        <v>0.32580000000000003</v>
      </c>
      <c r="F1871" s="129" t="str">
        <f>VLOOKUP($C1871,'2021-22 School Level AAFTE'!$C:$Z,8,FALSE)</f>
        <v>No</v>
      </c>
      <c r="G1871" s="129" t="str">
        <f>VLOOKUP($C1871,'2021-22 School Level AAFTE'!$C:$Z,12,FALSE)</f>
        <v>No</v>
      </c>
      <c r="H1871" s="127">
        <f>VLOOKUP($C1871,'2021-22 School Level AAFTE'!$C:$I,7,FALSE)</f>
        <v>288.39999999999998</v>
      </c>
      <c r="I1871" s="112">
        <f>IFERROR(IF(OR(G1871="yes",F1871= "yes"),VLOOKUP(C1871,Summary!$B:$J,6,0),0),0)</f>
        <v>0</v>
      </c>
      <c r="J1871" s="111">
        <f t="shared" si="366"/>
        <v>0</v>
      </c>
      <c r="K1871" s="91">
        <f>VLOOKUP($A1871,'2022-23 Salary &amp; Benefits'!$A:$I,3,FALSE)</f>
        <v>1.18</v>
      </c>
      <c r="L1871" s="91">
        <f>VLOOKUP($A1871,'2022-23 Salary &amp; Benefits'!$A:$I,4,FALSE)</f>
        <v>1.18</v>
      </c>
      <c r="M1871" s="39">
        <f t="shared" si="361"/>
        <v>0</v>
      </c>
      <c r="N1871" s="24">
        <v>15</v>
      </c>
      <c r="O1871" s="26">
        <f t="shared" si="364"/>
        <v>0</v>
      </c>
      <c r="P1871" s="24">
        <v>1.1000000000000001</v>
      </c>
      <c r="Q1871" s="24">
        <v>36</v>
      </c>
      <c r="R1871" s="27">
        <f t="shared" si="365"/>
        <v>0</v>
      </c>
      <c r="S1871" s="102">
        <f t="shared" si="367"/>
        <v>0</v>
      </c>
      <c r="T1871" s="21">
        <f>VLOOKUP($A1871,'2022-23 Salary &amp; Benefits'!$A:$I,5,FALSE)</f>
        <v>68937</v>
      </c>
      <c r="U1871" s="21">
        <f>VLOOKUP($A1871,'2022-23 Salary &amp; Benefits'!$A:$I,6,FALSE)</f>
        <v>72728</v>
      </c>
      <c r="V1871" s="22">
        <f t="shared" si="368"/>
        <v>0</v>
      </c>
      <c r="W1871" s="22">
        <f t="shared" si="369"/>
        <v>0</v>
      </c>
      <c r="X1871" s="22">
        <f>'2022-23 Salary &amp; Benefits'!$G$6</f>
        <v>12558.24</v>
      </c>
      <c r="Y1871" s="23">
        <f>'2022-23 Salary &amp; Benefits'!$H$6</f>
        <v>0.2298</v>
      </c>
      <c r="Z1871" s="23">
        <f>'2022-23 Salary &amp; Benefits'!$I$6</f>
        <v>0.22339999999999999</v>
      </c>
      <c r="AA1871" s="22">
        <f t="shared" si="370"/>
        <v>0</v>
      </c>
      <c r="AB1871" s="22">
        <f t="shared" si="371"/>
        <v>0</v>
      </c>
      <c r="AC1871" s="22">
        <f t="shared" si="372"/>
        <v>0</v>
      </c>
      <c r="AD1871" s="22">
        <f t="shared" si="362"/>
        <v>0</v>
      </c>
      <c r="AE1871" s="22">
        <f t="shared" si="363"/>
        <v>0</v>
      </c>
      <c r="AF1871" s="19" t="str">
        <f>VLOOKUP(C1871,'2021-22 School Level AAFTE'!C:N,12,FALSE)</f>
        <v>No</v>
      </c>
    </row>
    <row r="1872" spans="1:32" s="5" customFormat="1">
      <c r="A1872" s="97" t="s">
        <v>2375</v>
      </c>
      <c r="B1872" s="97" t="s">
        <v>1068</v>
      </c>
      <c r="C1872" s="95">
        <v>3046</v>
      </c>
      <c r="D1872" s="95" t="s">
        <v>2932</v>
      </c>
      <c r="E1872" s="129">
        <f>VLOOKUP($C1872,'2021-22 School Level AAFTE'!$C:$Z,11,FALSE)</f>
        <v>0.4719666666666667</v>
      </c>
      <c r="F1872" s="129" t="str">
        <f>VLOOKUP($C1872,'2021-22 School Level AAFTE'!$C:$Z,8,FALSE)</f>
        <v>No</v>
      </c>
      <c r="G1872" s="129" t="str">
        <f>VLOOKUP($C1872,'2021-22 School Level AAFTE'!$C:$Z,12,FALSE)</f>
        <v>No</v>
      </c>
      <c r="H1872" s="127">
        <f>VLOOKUP($C1872,'2021-22 School Level AAFTE'!$C:$I,7,FALSE)</f>
        <v>653.54</v>
      </c>
      <c r="I1872" s="112">
        <f>IFERROR(IF(OR(G1872="yes",F1872= "yes"),VLOOKUP(C1872,Summary!$B:$J,6,0),0),0)</f>
        <v>0</v>
      </c>
      <c r="J1872" s="111">
        <f t="shared" si="366"/>
        <v>0</v>
      </c>
      <c r="K1872" s="91">
        <f>VLOOKUP($A1872,'2022-23 Salary &amp; Benefits'!$A:$I,3,FALSE)</f>
        <v>1.18</v>
      </c>
      <c r="L1872" s="91">
        <f>VLOOKUP($A1872,'2022-23 Salary &amp; Benefits'!$A:$I,4,FALSE)</f>
        <v>1.18</v>
      </c>
      <c r="M1872" s="39">
        <f t="shared" si="361"/>
        <v>0</v>
      </c>
      <c r="N1872" s="24">
        <v>15</v>
      </c>
      <c r="O1872" s="26">
        <f t="shared" si="364"/>
        <v>0</v>
      </c>
      <c r="P1872" s="24">
        <v>1.1000000000000001</v>
      </c>
      <c r="Q1872" s="24">
        <v>36</v>
      </c>
      <c r="R1872" s="27">
        <f t="shared" si="365"/>
        <v>0</v>
      </c>
      <c r="S1872" s="102">
        <f t="shared" si="367"/>
        <v>0</v>
      </c>
      <c r="T1872" s="21">
        <f>VLOOKUP($A1872,'2022-23 Salary &amp; Benefits'!$A:$I,5,FALSE)</f>
        <v>68937</v>
      </c>
      <c r="U1872" s="21">
        <f>VLOOKUP($A1872,'2022-23 Salary &amp; Benefits'!$A:$I,6,FALSE)</f>
        <v>72728</v>
      </c>
      <c r="V1872" s="22">
        <f t="shared" si="368"/>
        <v>0</v>
      </c>
      <c r="W1872" s="22">
        <f t="shared" si="369"/>
        <v>0</v>
      </c>
      <c r="X1872" s="22">
        <f>'2022-23 Salary &amp; Benefits'!$G$6</f>
        <v>12558.24</v>
      </c>
      <c r="Y1872" s="23">
        <f>'2022-23 Salary &amp; Benefits'!$H$6</f>
        <v>0.2298</v>
      </c>
      <c r="Z1872" s="23">
        <f>'2022-23 Salary &amp; Benefits'!$I$6</f>
        <v>0.22339999999999999</v>
      </c>
      <c r="AA1872" s="22">
        <f t="shared" si="370"/>
        <v>0</v>
      </c>
      <c r="AB1872" s="22">
        <f t="shared" si="371"/>
        <v>0</v>
      </c>
      <c r="AC1872" s="22">
        <f t="shared" si="372"/>
        <v>0</v>
      </c>
      <c r="AD1872" s="22">
        <f t="shared" si="362"/>
        <v>0</v>
      </c>
      <c r="AE1872" s="22">
        <f t="shared" si="363"/>
        <v>0</v>
      </c>
      <c r="AF1872" s="19" t="str">
        <f>VLOOKUP(C1872,'2021-22 School Level AAFTE'!C:N,12,FALSE)</f>
        <v>No</v>
      </c>
    </row>
    <row r="1873" spans="1:32" s="5" customFormat="1">
      <c r="A1873" s="97" t="s">
        <v>2375</v>
      </c>
      <c r="B1873" s="97" t="s">
        <v>1068</v>
      </c>
      <c r="C1873" s="95">
        <v>3110</v>
      </c>
      <c r="D1873" s="95" t="s">
        <v>1074</v>
      </c>
      <c r="E1873" s="129">
        <f>VLOOKUP($C1873,'2021-22 School Level AAFTE'!$C:$Z,11,FALSE)</f>
        <v>0.23339999999999997</v>
      </c>
      <c r="F1873" s="129" t="str">
        <f>VLOOKUP($C1873,'2021-22 School Level AAFTE'!$C:$Z,8,FALSE)</f>
        <v>No</v>
      </c>
      <c r="G1873" s="129" t="str">
        <f>VLOOKUP($C1873,'2021-22 School Level AAFTE'!$C:$Z,12,FALSE)</f>
        <v>No</v>
      </c>
      <c r="H1873" s="127">
        <f>VLOOKUP($C1873,'2021-22 School Level AAFTE'!$C:$I,7,FALSE)</f>
        <v>300.83999999999997</v>
      </c>
      <c r="I1873" s="112">
        <f>IFERROR(IF(OR(G1873="yes",F1873= "yes"),VLOOKUP(C1873,Summary!$B:$J,6,0),0),0)</f>
        <v>0</v>
      </c>
      <c r="J1873" s="111">
        <f t="shared" si="366"/>
        <v>0</v>
      </c>
      <c r="K1873" s="91">
        <f>VLOOKUP($A1873,'2022-23 Salary &amp; Benefits'!$A:$I,3,FALSE)</f>
        <v>1.18</v>
      </c>
      <c r="L1873" s="91">
        <f>VLOOKUP($A1873,'2022-23 Salary &amp; Benefits'!$A:$I,4,FALSE)</f>
        <v>1.18</v>
      </c>
      <c r="M1873" s="39">
        <f t="shared" si="361"/>
        <v>0</v>
      </c>
      <c r="N1873" s="24">
        <v>15</v>
      </c>
      <c r="O1873" s="26">
        <f t="shared" si="364"/>
        <v>0</v>
      </c>
      <c r="P1873" s="24">
        <v>1.1000000000000001</v>
      </c>
      <c r="Q1873" s="24">
        <v>36</v>
      </c>
      <c r="R1873" s="27">
        <f t="shared" si="365"/>
        <v>0</v>
      </c>
      <c r="S1873" s="102">
        <f t="shared" si="367"/>
        <v>0</v>
      </c>
      <c r="T1873" s="21">
        <f>VLOOKUP($A1873,'2022-23 Salary &amp; Benefits'!$A:$I,5,FALSE)</f>
        <v>68937</v>
      </c>
      <c r="U1873" s="21">
        <f>VLOOKUP($A1873,'2022-23 Salary &amp; Benefits'!$A:$I,6,FALSE)</f>
        <v>72728</v>
      </c>
      <c r="V1873" s="22">
        <f t="shared" si="368"/>
        <v>0</v>
      </c>
      <c r="W1873" s="22">
        <f t="shared" si="369"/>
        <v>0</v>
      </c>
      <c r="X1873" s="22">
        <f>'2022-23 Salary &amp; Benefits'!$G$6</f>
        <v>12558.24</v>
      </c>
      <c r="Y1873" s="23">
        <f>'2022-23 Salary &amp; Benefits'!$H$6</f>
        <v>0.2298</v>
      </c>
      <c r="Z1873" s="23">
        <f>'2022-23 Salary &amp; Benefits'!$I$6</f>
        <v>0.22339999999999999</v>
      </c>
      <c r="AA1873" s="22">
        <f t="shared" si="370"/>
        <v>0</v>
      </c>
      <c r="AB1873" s="22">
        <f t="shared" si="371"/>
        <v>0</v>
      </c>
      <c r="AC1873" s="22">
        <f t="shared" si="372"/>
        <v>0</v>
      </c>
      <c r="AD1873" s="22">
        <f t="shared" si="362"/>
        <v>0</v>
      </c>
      <c r="AE1873" s="22">
        <f t="shared" si="363"/>
        <v>0</v>
      </c>
      <c r="AF1873" s="19" t="str">
        <f>VLOOKUP(C1873,'2021-22 School Level AAFTE'!C:N,12,FALSE)</f>
        <v>No</v>
      </c>
    </row>
    <row r="1874" spans="1:32" s="5" customFormat="1">
      <c r="A1874" s="97" t="s">
        <v>2375</v>
      </c>
      <c r="B1874" s="97" t="s">
        <v>1068</v>
      </c>
      <c r="C1874" s="95">
        <v>3680</v>
      </c>
      <c r="D1874" s="95" t="s">
        <v>967</v>
      </c>
      <c r="E1874" s="129">
        <f>VLOOKUP($C1874,'2021-22 School Level AAFTE'!$C:$Z,11,FALSE)</f>
        <v>0.39460000000000001</v>
      </c>
      <c r="F1874" s="129" t="str">
        <f>VLOOKUP($C1874,'2021-22 School Level AAFTE'!$C:$Z,8,FALSE)</f>
        <v>No</v>
      </c>
      <c r="G1874" s="129" t="str">
        <f>VLOOKUP($C1874,'2021-22 School Level AAFTE'!$C:$Z,12,FALSE)</f>
        <v>No</v>
      </c>
      <c r="H1874" s="127">
        <f>VLOOKUP($C1874,'2021-22 School Level AAFTE'!$C:$I,7,FALSE)</f>
        <v>633.78</v>
      </c>
      <c r="I1874" s="112">
        <f>IFERROR(IF(OR(G1874="yes",F1874= "yes"),VLOOKUP(C1874,Summary!$B:$J,6,0),0),0)</f>
        <v>0</v>
      </c>
      <c r="J1874" s="111">
        <f t="shared" si="366"/>
        <v>0</v>
      </c>
      <c r="K1874" s="91">
        <f>VLOOKUP($A1874,'2022-23 Salary &amp; Benefits'!$A:$I,3,FALSE)</f>
        <v>1.18</v>
      </c>
      <c r="L1874" s="91">
        <f>VLOOKUP($A1874,'2022-23 Salary &amp; Benefits'!$A:$I,4,FALSE)</f>
        <v>1.18</v>
      </c>
      <c r="M1874" s="39">
        <f t="shared" si="361"/>
        <v>0</v>
      </c>
      <c r="N1874" s="24">
        <v>15</v>
      </c>
      <c r="O1874" s="26">
        <f t="shared" si="364"/>
        <v>0</v>
      </c>
      <c r="P1874" s="24">
        <v>1.1000000000000001</v>
      </c>
      <c r="Q1874" s="24">
        <v>36</v>
      </c>
      <c r="R1874" s="27">
        <f t="shared" si="365"/>
        <v>0</v>
      </c>
      <c r="S1874" s="102">
        <f t="shared" si="367"/>
        <v>0</v>
      </c>
      <c r="T1874" s="21">
        <f>VLOOKUP($A1874,'2022-23 Salary &amp; Benefits'!$A:$I,5,FALSE)</f>
        <v>68937</v>
      </c>
      <c r="U1874" s="21">
        <f>VLOOKUP($A1874,'2022-23 Salary &amp; Benefits'!$A:$I,6,FALSE)</f>
        <v>72728</v>
      </c>
      <c r="V1874" s="22">
        <f t="shared" si="368"/>
        <v>0</v>
      </c>
      <c r="W1874" s="22">
        <f t="shared" si="369"/>
        <v>0</v>
      </c>
      <c r="X1874" s="22">
        <f>'2022-23 Salary &amp; Benefits'!$G$6</f>
        <v>12558.24</v>
      </c>
      <c r="Y1874" s="23">
        <f>'2022-23 Salary &amp; Benefits'!$H$6</f>
        <v>0.2298</v>
      </c>
      <c r="Z1874" s="23">
        <f>'2022-23 Salary &amp; Benefits'!$I$6</f>
        <v>0.22339999999999999</v>
      </c>
      <c r="AA1874" s="22">
        <f t="shared" si="370"/>
        <v>0</v>
      </c>
      <c r="AB1874" s="22">
        <f t="shared" si="371"/>
        <v>0</v>
      </c>
      <c r="AC1874" s="22">
        <f t="shared" si="372"/>
        <v>0</v>
      </c>
      <c r="AD1874" s="22">
        <f t="shared" si="362"/>
        <v>0</v>
      </c>
      <c r="AE1874" s="22">
        <f t="shared" si="363"/>
        <v>0</v>
      </c>
      <c r="AF1874" s="19" t="str">
        <f>VLOOKUP(C1874,'2021-22 School Level AAFTE'!C:N,12,FALSE)</f>
        <v>No</v>
      </c>
    </row>
    <row r="1875" spans="1:32" s="5" customFormat="1">
      <c r="A1875" s="97" t="s">
        <v>2375</v>
      </c>
      <c r="B1875" s="97" t="s">
        <v>1068</v>
      </c>
      <c r="C1875" s="95">
        <v>3899</v>
      </c>
      <c r="D1875" s="95" t="s">
        <v>1075</v>
      </c>
      <c r="E1875" s="129">
        <f>VLOOKUP($C1875,'2021-22 School Level AAFTE'!$C:$Z,11,FALSE)</f>
        <v>0.62629999999999997</v>
      </c>
      <c r="F1875" s="129" t="str">
        <f>VLOOKUP($C1875,'2021-22 School Level AAFTE'!$C:$Z,8,FALSE)</f>
        <v>Yes</v>
      </c>
      <c r="G1875" s="129" t="str">
        <f>VLOOKUP($C1875,'2021-22 School Level AAFTE'!$C:$Z,12,FALSE)</f>
        <v>No</v>
      </c>
      <c r="H1875" s="127">
        <f>VLOOKUP($C1875,'2021-22 School Level AAFTE'!$C:$I,7,FALSE)</f>
        <v>185.70999999999998</v>
      </c>
      <c r="I1875" s="112">
        <f>IFERROR(IF(OR(G1875="yes",F1875= "yes"),VLOOKUP(C1875,Summary!$B:$J,6,0),0),0)</f>
        <v>0</v>
      </c>
      <c r="J1875" s="111">
        <f t="shared" si="366"/>
        <v>185.70999999999998</v>
      </c>
      <c r="K1875" s="91">
        <f>VLOOKUP($A1875,'2022-23 Salary &amp; Benefits'!$A:$I,3,FALSE)</f>
        <v>1.18</v>
      </c>
      <c r="L1875" s="91">
        <f>VLOOKUP($A1875,'2022-23 Salary &amp; Benefits'!$A:$I,4,FALSE)</f>
        <v>1.18</v>
      </c>
      <c r="M1875" s="39">
        <f t="shared" si="361"/>
        <v>185.70999999999998</v>
      </c>
      <c r="N1875" s="24">
        <v>15</v>
      </c>
      <c r="O1875" s="26">
        <f t="shared" si="364"/>
        <v>12.380666666666665</v>
      </c>
      <c r="P1875" s="24">
        <v>1.1000000000000001</v>
      </c>
      <c r="Q1875" s="24">
        <v>36</v>
      </c>
      <c r="R1875" s="27">
        <f t="shared" si="365"/>
        <v>490.27440000000001</v>
      </c>
      <c r="S1875" s="102">
        <f t="shared" si="367"/>
        <v>0.54500000000000004</v>
      </c>
      <c r="T1875" s="21">
        <f>VLOOKUP($A1875,'2022-23 Salary &amp; Benefits'!$A:$I,5,FALSE)</f>
        <v>68937</v>
      </c>
      <c r="U1875" s="21">
        <f>VLOOKUP($A1875,'2022-23 Salary &amp; Benefits'!$A:$I,6,FALSE)</f>
        <v>72728</v>
      </c>
      <c r="V1875" s="22">
        <f t="shared" si="368"/>
        <v>44333.38</v>
      </c>
      <c r="W1875" s="22">
        <f t="shared" si="369"/>
        <v>2438</v>
      </c>
      <c r="X1875" s="22">
        <f>'2022-23 Salary &amp; Benefits'!$G$6</f>
        <v>12558.24</v>
      </c>
      <c r="Y1875" s="23">
        <f>'2022-23 Salary &amp; Benefits'!$H$6</f>
        <v>0.2298</v>
      </c>
      <c r="Z1875" s="23">
        <f>'2022-23 Salary &amp; Benefits'!$I$6</f>
        <v>0.22339999999999999</v>
      </c>
      <c r="AA1875" s="22">
        <f t="shared" si="370"/>
        <v>17576.7</v>
      </c>
      <c r="AB1875" s="22">
        <f t="shared" si="371"/>
        <v>779.52</v>
      </c>
      <c r="AC1875" s="22">
        <f t="shared" si="372"/>
        <v>174.14</v>
      </c>
      <c r="AD1875" s="22">
        <f t="shared" si="362"/>
        <v>953.66</v>
      </c>
      <c r="AE1875" s="22">
        <f t="shared" si="363"/>
        <v>65301.740000000005</v>
      </c>
      <c r="AF1875" s="19" t="str">
        <f>VLOOKUP(C1875,'2021-22 School Level AAFTE'!C:N,12,FALSE)</f>
        <v>No</v>
      </c>
    </row>
    <row r="1876" spans="1:32" s="5" customFormat="1">
      <c r="A1876" s="97" t="s">
        <v>2375</v>
      </c>
      <c r="B1876" s="97" t="s">
        <v>1068</v>
      </c>
      <c r="C1876" s="95">
        <v>4029</v>
      </c>
      <c r="D1876" s="95" t="s">
        <v>1076</v>
      </c>
      <c r="E1876" s="129">
        <f>VLOOKUP($C1876,'2021-22 School Level AAFTE'!$C:$Z,11,FALSE)</f>
        <v>0.32073333333333337</v>
      </c>
      <c r="F1876" s="129" t="str">
        <f>VLOOKUP($C1876,'2021-22 School Level AAFTE'!$C:$Z,8,FALSE)</f>
        <v>No</v>
      </c>
      <c r="G1876" s="129" t="str">
        <f>VLOOKUP($C1876,'2021-22 School Level AAFTE'!$C:$Z,12,FALSE)</f>
        <v>No</v>
      </c>
      <c r="H1876" s="127">
        <f>VLOOKUP($C1876,'2021-22 School Level AAFTE'!$C:$I,7,FALSE)</f>
        <v>408.22</v>
      </c>
      <c r="I1876" s="112">
        <f>IFERROR(IF(OR(G1876="yes",F1876= "yes"),VLOOKUP(C1876,Summary!$B:$J,6,0),0),0)</f>
        <v>0</v>
      </c>
      <c r="J1876" s="111">
        <f t="shared" si="366"/>
        <v>0</v>
      </c>
      <c r="K1876" s="91">
        <f>VLOOKUP($A1876,'2022-23 Salary &amp; Benefits'!$A:$I,3,FALSE)</f>
        <v>1.18</v>
      </c>
      <c r="L1876" s="91">
        <f>VLOOKUP($A1876,'2022-23 Salary &amp; Benefits'!$A:$I,4,FALSE)</f>
        <v>1.18</v>
      </c>
      <c r="M1876" s="39">
        <f t="shared" si="361"/>
        <v>0</v>
      </c>
      <c r="N1876" s="24">
        <v>15</v>
      </c>
      <c r="O1876" s="26">
        <f t="shared" si="364"/>
        <v>0</v>
      </c>
      <c r="P1876" s="24">
        <v>1.1000000000000001</v>
      </c>
      <c r="Q1876" s="24">
        <v>36</v>
      </c>
      <c r="R1876" s="27">
        <f t="shared" si="365"/>
        <v>0</v>
      </c>
      <c r="S1876" s="102">
        <f t="shared" si="367"/>
        <v>0</v>
      </c>
      <c r="T1876" s="21">
        <f>VLOOKUP($A1876,'2022-23 Salary &amp; Benefits'!$A:$I,5,FALSE)</f>
        <v>68937</v>
      </c>
      <c r="U1876" s="21">
        <f>VLOOKUP($A1876,'2022-23 Salary &amp; Benefits'!$A:$I,6,FALSE)</f>
        <v>72728</v>
      </c>
      <c r="V1876" s="22">
        <f t="shared" si="368"/>
        <v>0</v>
      </c>
      <c r="W1876" s="22">
        <f t="shared" si="369"/>
        <v>0</v>
      </c>
      <c r="X1876" s="22">
        <f>'2022-23 Salary &amp; Benefits'!$G$6</f>
        <v>12558.24</v>
      </c>
      <c r="Y1876" s="23">
        <f>'2022-23 Salary &amp; Benefits'!$H$6</f>
        <v>0.2298</v>
      </c>
      <c r="Z1876" s="23">
        <f>'2022-23 Salary &amp; Benefits'!$I$6</f>
        <v>0.22339999999999999</v>
      </c>
      <c r="AA1876" s="22">
        <f t="shared" si="370"/>
        <v>0</v>
      </c>
      <c r="AB1876" s="22">
        <f t="shared" si="371"/>
        <v>0</v>
      </c>
      <c r="AC1876" s="22">
        <f t="shared" si="372"/>
        <v>0</v>
      </c>
      <c r="AD1876" s="22">
        <f t="shared" si="362"/>
        <v>0</v>
      </c>
      <c r="AE1876" s="22">
        <f t="shared" si="363"/>
        <v>0</v>
      </c>
      <c r="AF1876" s="19" t="str">
        <f>VLOOKUP(C1876,'2021-22 School Level AAFTE'!C:N,12,FALSE)</f>
        <v>No</v>
      </c>
    </row>
    <row r="1877" spans="1:32" s="5" customFormat="1">
      <c r="A1877" s="97" t="s">
        <v>2375</v>
      </c>
      <c r="B1877" s="97" t="s">
        <v>1068</v>
      </c>
      <c r="C1877" s="95">
        <v>4079</v>
      </c>
      <c r="D1877" s="95" t="s">
        <v>1077</v>
      </c>
      <c r="E1877" s="129">
        <f>VLOOKUP($C1877,'2021-22 School Level AAFTE'!$C:$Z,11,FALSE)</f>
        <v>0.33583333333333337</v>
      </c>
      <c r="F1877" s="129" t="str">
        <f>VLOOKUP($C1877,'2021-22 School Level AAFTE'!$C:$Z,8,FALSE)</f>
        <v>No</v>
      </c>
      <c r="G1877" s="129" t="str">
        <f>VLOOKUP($C1877,'2021-22 School Level AAFTE'!$C:$Z,12,FALSE)</f>
        <v>No</v>
      </c>
      <c r="H1877" s="127">
        <f>VLOOKUP($C1877,'2021-22 School Level AAFTE'!$C:$I,7,FALSE)</f>
        <v>433</v>
      </c>
      <c r="I1877" s="112">
        <f>IFERROR(IF(OR(G1877="yes",F1877= "yes"),VLOOKUP(C1877,Summary!$B:$J,6,0),0),0)</f>
        <v>0</v>
      </c>
      <c r="J1877" s="111">
        <f t="shared" si="366"/>
        <v>0</v>
      </c>
      <c r="K1877" s="91">
        <f>VLOOKUP($A1877,'2022-23 Salary &amp; Benefits'!$A:$I,3,FALSE)</f>
        <v>1.18</v>
      </c>
      <c r="L1877" s="91">
        <f>VLOOKUP($A1877,'2022-23 Salary &amp; Benefits'!$A:$I,4,FALSE)</f>
        <v>1.18</v>
      </c>
      <c r="M1877" s="39">
        <f t="shared" si="361"/>
        <v>0</v>
      </c>
      <c r="N1877" s="24">
        <v>15</v>
      </c>
      <c r="O1877" s="26">
        <f t="shared" si="364"/>
        <v>0</v>
      </c>
      <c r="P1877" s="24">
        <v>1.1000000000000001</v>
      </c>
      <c r="Q1877" s="24">
        <v>36</v>
      </c>
      <c r="R1877" s="27">
        <f t="shared" si="365"/>
        <v>0</v>
      </c>
      <c r="S1877" s="102">
        <f t="shared" si="367"/>
        <v>0</v>
      </c>
      <c r="T1877" s="21">
        <f>VLOOKUP($A1877,'2022-23 Salary &amp; Benefits'!$A:$I,5,FALSE)</f>
        <v>68937</v>
      </c>
      <c r="U1877" s="21">
        <f>VLOOKUP($A1877,'2022-23 Salary &amp; Benefits'!$A:$I,6,FALSE)</f>
        <v>72728</v>
      </c>
      <c r="V1877" s="22">
        <f t="shared" si="368"/>
        <v>0</v>
      </c>
      <c r="W1877" s="22">
        <f t="shared" si="369"/>
        <v>0</v>
      </c>
      <c r="X1877" s="22">
        <f>'2022-23 Salary &amp; Benefits'!$G$6</f>
        <v>12558.24</v>
      </c>
      <c r="Y1877" s="23">
        <f>'2022-23 Salary &amp; Benefits'!$H$6</f>
        <v>0.2298</v>
      </c>
      <c r="Z1877" s="23">
        <f>'2022-23 Salary &amp; Benefits'!$I$6</f>
        <v>0.22339999999999999</v>
      </c>
      <c r="AA1877" s="22">
        <f t="shared" si="370"/>
        <v>0</v>
      </c>
      <c r="AB1877" s="22">
        <f t="shared" si="371"/>
        <v>0</v>
      </c>
      <c r="AC1877" s="22">
        <f t="shared" si="372"/>
        <v>0</v>
      </c>
      <c r="AD1877" s="22">
        <f t="shared" si="362"/>
        <v>0</v>
      </c>
      <c r="AE1877" s="22">
        <f t="shared" si="363"/>
        <v>0</v>
      </c>
      <c r="AF1877" s="19" t="str">
        <f>VLOOKUP(C1877,'2021-22 School Level AAFTE'!C:N,12,FALSE)</f>
        <v>No</v>
      </c>
    </row>
    <row r="1878" spans="1:32" s="5" customFormat="1">
      <c r="A1878" s="97" t="s">
        <v>2375</v>
      </c>
      <c r="B1878" s="97" t="s">
        <v>1068</v>
      </c>
      <c r="C1878" s="95">
        <v>4141</v>
      </c>
      <c r="D1878" s="95" t="s">
        <v>128</v>
      </c>
      <c r="E1878" s="129">
        <f>VLOOKUP($C1878,'2021-22 School Level AAFTE'!$C:$Z,11,FALSE)</f>
        <v>0.27726666666666661</v>
      </c>
      <c r="F1878" s="129" t="str">
        <f>VLOOKUP($C1878,'2021-22 School Level AAFTE'!$C:$Z,8,FALSE)</f>
        <v>No</v>
      </c>
      <c r="G1878" s="129" t="str">
        <f>VLOOKUP($C1878,'2021-22 School Level AAFTE'!$C:$Z,12,FALSE)</f>
        <v>No</v>
      </c>
      <c r="H1878" s="127">
        <f>VLOOKUP($C1878,'2021-22 School Level AAFTE'!$C:$I,7,FALSE)</f>
        <v>428.57</v>
      </c>
      <c r="I1878" s="112">
        <f>IFERROR(IF(OR(G1878="yes",F1878= "yes"),VLOOKUP(C1878,Summary!$B:$J,6,0),0),0)</f>
        <v>0</v>
      </c>
      <c r="J1878" s="111">
        <f t="shared" si="366"/>
        <v>0</v>
      </c>
      <c r="K1878" s="91">
        <f>VLOOKUP($A1878,'2022-23 Salary &amp; Benefits'!$A:$I,3,FALSE)</f>
        <v>1.18</v>
      </c>
      <c r="L1878" s="91">
        <f>VLOOKUP($A1878,'2022-23 Salary &amp; Benefits'!$A:$I,4,FALSE)</f>
        <v>1.18</v>
      </c>
      <c r="M1878" s="39">
        <f t="shared" si="361"/>
        <v>0</v>
      </c>
      <c r="N1878" s="24">
        <v>15</v>
      </c>
      <c r="O1878" s="26">
        <f t="shared" si="364"/>
        <v>0</v>
      </c>
      <c r="P1878" s="24">
        <v>1.1000000000000001</v>
      </c>
      <c r="Q1878" s="24">
        <v>36</v>
      </c>
      <c r="R1878" s="27">
        <f t="shared" si="365"/>
        <v>0</v>
      </c>
      <c r="S1878" s="102">
        <f t="shared" si="367"/>
        <v>0</v>
      </c>
      <c r="T1878" s="21">
        <f>VLOOKUP($A1878,'2022-23 Salary &amp; Benefits'!$A:$I,5,FALSE)</f>
        <v>68937</v>
      </c>
      <c r="U1878" s="21">
        <f>VLOOKUP($A1878,'2022-23 Salary &amp; Benefits'!$A:$I,6,FALSE)</f>
        <v>72728</v>
      </c>
      <c r="V1878" s="22">
        <f t="shared" si="368"/>
        <v>0</v>
      </c>
      <c r="W1878" s="22">
        <f t="shared" si="369"/>
        <v>0</v>
      </c>
      <c r="X1878" s="22">
        <f>'2022-23 Salary &amp; Benefits'!$G$6</f>
        <v>12558.24</v>
      </c>
      <c r="Y1878" s="23">
        <f>'2022-23 Salary &amp; Benefits'!$H$6</f>
        <v>0.2298</v>
      </c>
      <c r="Z1878" s="23">
        <f>'2022-23 Salary &amp; Benefits'!$I$6</f>
        <v>0.22339999999999999</v>
      </c>
      <c r="AA1878" s="22">
        <f t="shared" si="370"/>
        <v>0</v>
      </c>
      <c r="AB1878" s="22">
        <f t="shared" si="371"/>
        <v>0</v>
      </c>
      <c r="AC1878" s="22">
        <f t="shared" si="372"/>
        <v>0</v>
      </c>
      <c r="AD1878" s="22">
        <f t="shared" si="362"/>
        <v>0</v>
      </c>
      <c r="AE1878" s="22">
        <f t="shared" si="363"/>
        <v>0</v>
      </c>
      <c r="AF1878" s="19" t="str">
        <f>VLOOKUP(C1878,'2021-22 School Level AAFTE'!C:N,12,FALSE)</f>
        <v>No</v>
      </c>
    </row>
    <row r="1879" spans="1:32" s="5" customFormat="1">
      <c r="A1879" s="97" t="s">
        <v>2375</v>
      </c>
      <c r="B1879" s="97" t="s">
        <v>1068</v>
      </c>
      <c r="C1879" s="95">
        <v>4142</v>
      </c>
      <c r="D1879" s="95" t="s">
        <v>2931</v>
      </c>
      <c r="E1879" s="129">
        <f>VLOOKUP($C1879,'2021-22 School Level AAFTE'!$C:$Z,11,FALSE)</f>
        <v>0.3004</v>
      </c>
      <c r="F1879" s="129" t="str">
        <f>VLOOKUP($C1879,'2021-22 School Level AAFTE'!$C:$Z,8,FALSE)</f>
        <v>No</v>
      </c>
      <c r="G1879" s="129" t="str">
        <f>VLOOKUP($C1879,'2021-22 School Level AAFTE'!$C:$Z,12,FALSE)</f>
        <v>No</v>
      </c>
      <c r="H1879" s="127">
        <f>VLOOKUP($C1879,'2021-22 School Level AAFTE'!$C:$I,7,FALSE)</f>
        <v>713.5</v>
      </c>
      <c r="I1879" s="112">
        <f>IFERROR(IF(OR(G1879="yes",F1879= "yes"),VLOOKUP(C1879,Summary!$B:$J,6,0),0),0)</f>
        <v>0</v>
      </c>
      <c r="J1879" s="111">
        <f t="shared" si="366"/>
        <v>0</v>
      </c>
      <c r="K1879" s="91">
        <f>VLOOKUP($A1879,'2022-23 Salary &amp; Benefits'!$A:$I,3,FALSE)</f>
        <v>1.18</v>
      </c>
      <c r="L1879" s="91">
        <f>VLOOKUP($A1879,'2022-23 Salary &amp; Benefits'!$A:$I,4,FALSE)</f>
        <v>1.18</v>
      </c>
      <c r="M1879" s="39">
        <f t="shared" si="361"/>
        <v>0</v>
      </c>
      <c r="N1879" s="24">
        <v>15</v>
      </c>
      <c r="O1879" s="26">
        <f t="shared" si="364"/>
        <v>0</v>
      </c>
      <c r="P1879" s="24">
        <v>1.1000000000000001</v>
      </c>
      <c r="Q1879" s="24">
        <v>36</v>
      </c>
      <c r="R1879" s="27">
        <f t="shared" si="365"/>
        <v>0</v>
      </c>
      <c r="S1879" s="102">
        <f t="shared" si="367"/>
        <v>0</v>
      </c>
      <c r="T1879" s="21">
        <f>VLOOKUP($A1879,'2022-23 Salary &amp; Benefits'!$A:$I,5,FALSE)</f>
        <v>68937</v>
      </c>
      <c r="U1879" s="21">
        <f>VLOOKUP($A1879,'2022-23 Salary &amp; Benefits'!$A:$I,6,FALSE)</f>
        <v>72728</v>
      </c>
      <c r="V1879" s="22">
        <f t="shared" si="368"/>
        <v>0</v>
      </c>
      <c r="W1879" s="22">
        <f t="shared" si="369"/>
        <v>0</v>
      </c>
      <c r="X1879" s="22">
        <f>'2022-23 Salary &amp; Benefits'!$G$6</f>
        <v>12558.24</v>
      </c>
      <c r="Y1879" s="23">
        <f>'2022-23 Salary &amp; Benefits'!$H$6</f>
        <v>0.2298</v>
      </c>
      <c r="Z1879" s="23">
        <f>'2022-23 Salary &amp; Benefits'!$I$6</f>
        <v>0.22339999999999999</v>
      </c>
      <c r="AA1879" s="22">
        <f t="shared" si="370"/>
        <v>0</v>
      </c>
      <c r="AB1879" s="22">
        <f t="shared" si="371"/>
        <v>0</v>
      </c>
      <c r="AC1879" s="22">
        <f t="shared" si="372"/>
        <v>0</v>
      </c>
      <c r="AD1879" s="22">
        <f t="shared" si="362"/>
        <v>0</v>
      </c>
      <c r="AE1879" s="22">
        <f t="shared" si="363"/>
        <v>0</v>
      </c>
      <c r="AF1879" s="19" t="str">
        <f>VLOOKUP(C1879,'2021-22 School Level AAFTE'!C:N,12,FALSE)</f>
        <v>No</v>
      </c>
    </row>
    <row r="1880" spans="1:32" s="5" customFormat="1">
      <c r="A1880" s="97" t="s">
        <v>2375</v>
      </c>
      <c r="B1880" s="97" t="s">
        <v>1068</v>
      </c>
      <c r="C1880" s="95">
        <v>4348</v>
      </c>
      <c r="D1880" s="95" t="s">
        <v>1078</v>
      </c>
      <c r="E1880" s="129">
        <f>VLOOKUP($C1880,'2021-22 School Level AAFTE'!$C:$Z,11,FALSE)</f>
        <v>0.36513333333333337</v>
      </c>
      <c r="F1880" s="129" t="str">
        <f>VLOOKUP($C1880,'2021-22 School Level AAFTE'!$C:$Z,8,FALSE)</f>
        <v>No</v>
      </c>
      <c r="G1880" s="129" t="str">
        <f>VLOOKUP($C1880,'2021-22 School Level AAFTE'!$C:$Z,12,FALSE)</f>
        <v>No</v>
      </c>
      <c r="H1880" s="127">
        <f>VLOOKUP($C1880,'2021-22 School Level AAFTE'!$C:$I,7,FALSE)</f>
        <v>373.53</v>
      </c>
      <c r="I1880" s="112">
        <f>IFERROR(IF(OR(G1880="yes",F1880= "yes"),VLOOKUP(C1880,Summary!$B:$J,6,0),0),0)</f>
        <v>0</v>
      </c>
      <c r="J1880" s="111">
        <f t="shared" si="366"/>
        <v>0</v>
      </c>
      <c r="K1880" s="91">
        <f>VLOOKUP($A1880,'2022-23 Salary &amp; Benefits'!$A:$I,3,FALSE)</f>
        <v>1.18</v>
      </c>
      <c r="L1880" s="91">
        <f>VLOOKUP($A1880,'2022-23 Salary &amp; Benefits'!$A:$I,4,FALSE)</f>
        <v>1.18</v>
      </c>
      <c r="M1880" s="39">
        <f t="shared" si="361"/>
        <v>0</v>
      </c>
      <c r="N1880" s="24">
        <v>15</v>
      </c>
      <c r="O1880" s="26">
        <f t="shared" si="364"/>
        <v>0</v>
      </c>
      <c r="P1880" s="24">
        <v>1.1000000000000001</v>
      </c>
      <c r="Q1880" s="24">
        <v>36</v>
      </c>
      <c r="R1880" s="27">
        <f t="shared" si="365"/>
        <v>0</v>
      </c>
      <c r="S1880" s="102">
        <f t="shared" si="367"/>
        <v>0</v>
      </c>
      <c r="T1880" s="21">
        <f>VLOOKUP($A1880,'2022-23 Salary &amp; Benefits'!$A:$I,5,FALSE)</f>
        <v>68937</v>
      </c>
      <c r="U1880" s="21">
        <f>VLOOKUP($A1880,'2022-23 Salary &amp; Benefits'!$A:$I,6,FALSE)</f>
        <v>72728</v>
      </c>
      <c r="V1880" s="22">
        <f t="shared" si="368"/>
        <v>0</v>
      </c>
      <c r="W1880" s="22">
        <f t="shared" si="369"/>
        <v>0</v>
      </c>
      <c r="X1880" s="22">
        <f>'2022-23 Salary &amp; Benefits'!$G$6</f>
        <v>12558.24</v>
      </c>
      <c r="Y1880" s="23">
        <f>'2022-23 Salary &amp; Benefits'!$H$6</f>
        <v>0.2298</v>
      </c>
      <c r="Z1880" s="23">
        <f>'2022-23 Salary &amp; Benefits'!$I$6</f>
        <v>0.22339999999999999</v>
      </c>
      <c r="AA1880" s="22">
        <f t="shared" si="370"/>
        <v>0</v>
      </c>
      <c r="AB1880" s="22">
        <f t="shared" si="371"/>
        <v>0</v>
      </c>
      <c r="AC1880" s="22">
        <f t="shared" si="372"/>
        <v>0</v>
      </c>
      <c r="AD1880" s="22">
        <f t="shared" si="362"/>
        <v>0</v>
      </c>
      <c r="AE1880" s="22">
        <f t="shared" si="363"/>
        <v>0</v>
      </c>
      <c r="AF1880" s="19" t="str">
        <f>VLOOKUP(C1880,'2021-22 School Level AAFTE'!C:N,12,FALSE)</f>
        <v>No</v>
      </c>
    </row>
    <row r="1881" spans="1:32" s="5" customFormat="1">
      <c r="A1881" s="97" t="s">
        <v>2375</v>
      </c>
      <c r="B1881" s="97" t="s">
        <v>1068</v>
      </c>
      <c r="C1881" s="95">
        <v>4349</v>
      </c>
      <c r="D1881" s="95" t="s">
        <v>1079</v>
      </c>
      <c r="E1881" s="129">
        <f>VLOOKUP($C1881,'2021-22 School Level AAFTE'!$C:$Z,11,FALSE)</f>
        <v>0.40529999999999999</v>
      </c>
      <c r="F1881" s="129" t="str">
        <f>VLOOKUP($C1881,'2021-22 School Level AAFTE'!$C:$Z,8,FALSE)</f>
        <v>No</v>
      </c>
      <c r="G1881" s="129" t="str">
        <f>VLOOKUP($C1881,'2021-22 School Level AAFTE'!$C:$Z,12,FALSE)</f>
        <v>No</v>
      </c>
      <c r="H1881" s="127">
        <f>VLOOKUP($C1881,'2021-22 School Level AAFTE'!$C:$I,7,FALSE)</f>
        <v>429.38</v>
      </c>
      <c r="I1881" s="112">
        <f>IFERROR(IF(OR(G1881="yes",F1881= "yes"),VLOOKUP(C1881,Summary!$B:$J,6,0),0),0)</f>
        <v>0</v>
      </c>
      <c r="J1881" s="111">
        <f t="shared" si="366"/>
        <v>0</v>
      </c>
      <c r="K1881" s="91">
        <f>VLOOKUP($A1881,'2022-23 Salary &amp; Benefits'!$A:$I,3,FALSE)</f>
        <v>1.18</v>
      </c>
      <c r="L1881" s="91">
        <f>VLOOKUP($A1881,'2022-23 Salary &amp; Benefits'!$A:$I,4,FALSE)</f>
        <v>1.18</v>
      </c>
      <c r="M1881" s="101">
        <f t="shared" si="361"/>
        <v>0</v>
      </c>
      <c r="N1881" s="24">
        <v>15</v>
      </c>
      <c r="O1881" s="26">
        <f t="shared" si="364"/>
        <v>0</v>
      </c>
      <c r="P1881" s="24">
        <v>1.1000000000000001</v>
      </c>
      <c r="Q1881" s="24">
        <v>36</v>
      </c>
      <c r="R1881" s="27">
        <f t="shared" si="365"/>
        <v>0</v>
      </c>
      <c r="S1881" s="102">
        <f t="shared" si="367"/>
        <v>0</v>
      </c>
      <c r="T1881" s="21">
        <f>VLOOKUP($A1881,'2022-23 Salary &amp; Benefits'!$A:$I,5,FALSE)</f>
        <v>68937</v>
      </c>
      <c r="U1881" s="21">
        <f>VLOOKUP($A1881,'2022-23 Salary &amp; Benefits'!$A:$I,6,FALSE)</f>
        <v>72728</v>
      </c>
      <c r="V1881" s="22">
        <f t="shared" si="368"/>
        <v>0</v>
      </c>
      <c r="W1881" s="22">
        <f t="shared" si="369"/>
        <v>0</v>
      </c>
      <c r="X1881" s="22">
        <f>'2022-23 Salary &amp; Benefits'!$G$6</f>
        <v>12558.24</v>
      </c>
      <c r="Y1881" s="23">
        <f>'2022-23 Salary &amp; Benefits'!$H$6</f>
        <v>0.2298</v>
      </c>
      <c r="Z1881" s="23">
        <f>'2022-23 Salary &amp; Benefits'!$I$6</f>
        <v>0.22339999999999999</v>
      </c>
      <c r="AA1881" s="22">
        <f t="shared" si="370"/>
        <v>0</v>
      </c>
      <c r="AB1881" s="22">
        <f t="shared" si="371"/>
        <v>0</v>
      </c>
      <c r="AC1881" s="22">
        <f t="shared" si="372"/>
        <v>0</v>
      </c>
      <c r="AD1881" s="22">
        <f t="shared" si="362"/>
        <v>0</v>
      </c>
      <c r="AE1881" s="22">
        <f t="shared" si="363"/>
        <v>0</v>
      </c>
      <c r="AF1881" s="19" t="str">
        <f>VLOOKUP(C1881,'2021-22 School Level AAFTE'!C:N,12,FALSE)</f>
        <v>No</v>
      </c>
    </row>
    <row r="1882" spans="1:32" s="5" customFormat="1">
      <c r="A1882" s="97" t="s">
        <v>2375</v>
      </c>
      <c r="B1882" s="97" t="s">
        <v>1068</v>
      </c>
      <c r="C1882" s="95">
        <v>4350</v>
      </c>
      <c r="D1882" s="95" t="s">
        <v>1080</v>
      </c>
      <c r="E1882" s="129">
        <f>VLOOKUP($C1882,'2021-22 School Level AAFTE'!$C:$Z,11,FALSE)</f>
        <v>0.26006666666666667</v>
      </c>
      <c r="F1882" s="129" t="str">
        <f>VLOOKUP($C1882,'2021-22 School Level AAFTE'!$C:$Z,8,FALSE)</f>
        <v>No</v>
      </c>
      <c r="G1882" s="129" t="str">
        <f>VLOOKUP($C1882,'2021-22 School Level AAFTE'!$C:$Z,12,FALSE)</f>
        <v>No</v>
      </c>
      <c r="H1882" s="127">
        <f>VLOOKUP($C1882,'2021-22 School Level AAFTE'!$C:$I,7,FALSE)</f>
        <v>357.83</v>
      </c>
      <c r="I1882" s="112">
        <f>IFERROR(IF(OR(G1882="yes",F1882= "yes"),VLOOKUP(C1882,Summary!$B:$J,6,0),0),0)</f>
        <v>0</v>
      </c>
      <c r="J1882" s="111">
        <f t="shared" si="366"/>
        <v>0</v>
      </c>
      <c r="K1882" s="91">
        <f>VLOOKUP($A1882,'2022-23 Salary &amp; Benefits'!$A:$I,3,FALSE)</f>
        <v>1.18</v>
      </c>
      <c r="L1882" s="91">
        <f>VLOOKUP($A1882,'2022-23 Salary &amp; Benefits'!$A:$I,4,FALSE)</f>
        <v>1.18</v>
      </c>
      <c r="M1882" s="39">
        <f t="shared" si="361"/>
        <v>0</v>
      </c>
      <c r="N1882" s="24">
        <v>15</v>
      </c>
      <c r="O1882" s="26">
        <f t="shared" si="364"/>
        <v>0</v>
      </c>
      <c r="P1882" s="24">
        <v>1.1000000000000001</v>
      </c>
      <c r="Q1882" s="24">
        <v>36</v>
      </c>
      <c r="R1882" s="27">
        <f t="shared" si="365"/>
        <v>0</v>
      </c>
      <c r="S1882" s="102">
        <f t="shared" si="367"/>
        <v>0</v>
      </c>
      <c r="T1882" s="21">
        <f>VLOOKUP($A1882,'2022-23 Salary &amp; Benefits'!$A:$I,5,FALSE)</f>
        <v>68937</v>
      </c>
      <c r="U1882" s="21">
        <f>VLOOKUP($A1882,'2022-23 Salary &amp; Benefits'!$A:$I,6,FALSE)</f>
        <v>72728</v>
      </c>
      <c r="V1882" s="22">
        <f t="shared" si="368"/>
        <v>0</v>
      </c>
      <c r="W1882" s="22">
        <f t="shared" si="369"/>
        <v>0</v>
      </c>
      <c r="X1882" s="22">
        <f>'2022-23 Salary &amp; Benefits'!$G$6</f>
        <v>12558.24</v>
      </c>
      <c r="Y1882" s="23">
        <f>'2022-23 Salary &amp; Benefits'!$H$6</f>
        <v>0.2298</v>
      </c>
      <c r="Z1882" s="23">
        <f>'2022-23 Salary &amp; Benefits'!$I$6</f>
        <v>0.22339999999999999</v>
      </c>
      <c r="AA1882" s="22">
        <f t="shared" si="370"/>
        <v>0</v>
      </c>
      <c r="AB1882" s="22">
        <f t="shared" si="371"/>
        <v>0</v>
      </c>
      <c r="AC1882" s="22">
        <f t="shared" si="372"/>
        <v>0</v>
      </c>
      <c r="AD1882" s="22">
        <f t="shared" si="362"/>
        <v>0</v>
      </c>
      <c r="AE1882" s="22">
        <f t="shared" si="363"/>
        <v>0</v>
      </c>
      <c r="AF1882" s="19" t="str">
        <f>VLOOKUP(C1882,'2021-22 School Level AAFTE'!C:N,12,FALSE)</f>
        <v>No</v>
      </c>
    </row>
    <row r="1883" spans="1:32" s="5" customFormat="1">
      <c r="A1883" s="97" t="s">
        <v>2375</v>
      </c>
      <c r="B1883" s="97" t="s">
        <v>1068</v>
      </c>
      <c r="C1883" s="95">
        <v>5562</v>
      </c>
      <c r="D1883" s="95" t="s">
        <v>2830</v>
      </c>
      <c r="E1883" s="129">
        <f>VLOOKUP($C1883,'2021-22 School Level AAFTE'!$C:$Z,11,FALSE)</f>
        <v>6.2666666666666669E-3</v>
      </c>
      <c r="F1883" s="129" t="str">
        <f>VLOOKUP($C1883,'2021-22 School Level AAFTE'!$C:$Z,8,FALSE)</f>
        <v>No</v>
      </c>
      <c r="G1883" s="129" t="str">
        <f>VLOOKUP($C1883,'2021-22 School Level AAFTE'!$C:$Z,12,FALSE)</f>
        <v>No</v>
      </c>
      <c r="H1883" s="127">
        <f>VLOOKUP($C1883,'2021-22 School Level AAFTE'!$C:$I,7,FALSE)</f>
        <v>878.73</v>
      </c>
      <c r="I1883" s="112">
        <f>IFERROR(IF(OR(G1883="yes",F1883= "yes"),VLOOKUP(C1883,Summary!$B:$J,6,0),0),0)</f>
        <v>0</v>
      </c>
      <c r="J1883" s="111">
        <f t="shared" si="366"/>
        <v>0</v>
      </c>
      <c r="K1883" s="91">
        <f>VLOOKUP($A1883,'2022-23 Salary &amp; Benefits'!$A:$I,3,FALSE)</f>
        <v>1.18</v>
      </c>
      <c r="L1883" s="91">
        <f>VLOOKUP($A1883,'2022-23 Salary &amp; Benefits'!$A:$I,4,FALSE)</f>
        <v>1.18</v>
      </c>
      <c r="M1883" s="39">
        <f t="shared" si="361"/>
        <v>0</v>
      </c>
      <c r="N1883" s="24">
        <v>15</v>
      </c>
      <c r="O1883" s="26">
        <f t="shared" si="364"/>
        <v>0</v>
      </c>
      <c r="P1883" s="24">
        <v>1.1000000000000001</v>
      </c>
      <c r="Q1883" s="24">
        <v>36</v>
      </c>
      <c r="R1883" s="27">
        <f t="shared" si="365"/>
        <v>0</v>
      </c>
      <c r="S1883" s="102">
        <f t="shared" si="367"/>
        <v>0</v>
      </c>
      <c r="T1883" s="21">
        <f>VLOOKUP($A1883,'2022-23 Salary &amp; Benefits'!$A:$I,5,FALSE)</f>
        <v>68937</v>
      </c>
      <c r="U1883" s="21">
        <f>VLOOKUP($A1883,'2022-23 Salary &amp; Benefits'!$A:$I,6,FALSE)</f>
        <v>72728</v>
      </c>
      <c r="V1883" s="22">
        <f t="shared" si="368"/>
        <v>0</v>
      </c>
      <c r="W1883" s="22">
        <f t="shared" si="369"/>
        <v>0</v>
      </c>
      <c r="X1883" s="22">
        <f>'2022-23 Salary &amp; Benefits'!$G$6</f>
        <v>12558.24</v>
      </c>
      <c r="Y1883" s="23">
        <f>'2022-23 Salary &amp; Benefits'!$H$6</f>
        <v>0.2298</v>
      </c>
      <c r="Z1883" s="23">
        <f>'2022-23 Salary &amp; Benefits'!$I$6</f>
        <v>0.22339999999999999</v>
      </c>
      <c r="AA1883" s="22">
        <f t="shared" si="370"/>
        <v>0</v>
      </c>
      <c r="AB1883" s="22">
        <f t="shared" si="371"/>
        <v>0</v>
      </c>
      <c r="AC1883" s="22">
        <f t="shared" si="372"/>
        <v>0</v>
      </c>
      <c r="AD1883" s="22">
        <f t="shared" si="362"/>
        <v>0</v>
      </c>
      <c r="AE1883" s="22">
        <f t="shared" si="363"/>
        <v>0</v>
      </c>
      <c r="AF1883" s="19" t="str">
        <f>VLOOKUP(C1883,'2021-22 School Level AAFTE'!C:N,12,FALSE)</f>
        <v>No</v>
      </c>
    </row>
    <row r="1884" spans="1:32" s="5" customFormat="1">
      <c r="A1884" s="97" t="s">
        <v>2342</v>
      </c>
      <c r="B1884" s="97" t="s">
        <v>527</v>
      </c>
      <c r="C1884" s="95">
        <v>1682</v>
      </c>
      <c r="D1884" s="95" t="s">
        <v>528</v>
      </c>
      <c r="E1884" s="129">
        <f>VLOOKUP($C1884,'2021-22 School Level AAFTE'!$C:$Z,11,FALSE)</f>
        <v>0.5528333333333334</v>
      </c>
      <c r="F1884" s="129" t="str">
        <f>VLOOKUP($C1884,'2021-22 School Level AAFTE'!$C:$Z,8,FALSE)</f>
        <v>Yes</v>
      </c>
      <c r="G1884" s="129" t="str">
        <f>VLOOKUP($C1884,'2021-22 School Level AAFTE'!$C:$Z,12,FALSE)</f>
        <v>No</v>
      </c>
      <c r="H1884" s="127">
        <f>VLOOKUP($C1884,'2021-22 School Level AAFTE'!$C:$I,7,FALSE)</f>
        <v>29.03</v>
      </c>
      <c r="I1884" s="112">
        <f>IFERROR(IF(OR(G1884="yes",F1884= "yes"),VLOOKUP(C1884,Summary!$B:$J,6,0),0),0)</f>
        <v>0</v>
      </c>
      <c r="J1884" s="111">
        <f t="shared" si="366"/>
        <v>29.03</v>
      </c>
      <c r="K1884" s="91">
        <f>VLOOKUP($A1884,'2022-23 Salary &amp; Benefits'!$A:$I,3,FALSE)</f>
        <v>1.18</v>
      </c>
      <c r="L1884" s="91">
        <f>VLOOKUP($A1884,'2022-23 Salary &amp; Benefits'!$A:$I,4,FALSE)</f>
        <v>1.22</v>
      </c>
      <c r="M1884" s="101">
        <f t="shared" si="361"/>
        <v>29.03</v>
      </c>
      <c r="N1884" s="24">
        <v>15</v>
      </c>
      <c r="O1884" s="26">
        <f t="shared" si="364"/>
        <v>1.9353333333333333</v>
      </c>
      <c r="P1884" s="24">
        <v>1.1000000000000001</v>
      </c>
      <c r="Q1884" s="24">
        <v>36</v>
      </c>
      <c r="R1884" s="27">
        <f t="shared" si="365"/>
        <v>76.639200000000002</v>
      </c>
      <c r="S1884" s="102">
        <f t="shared" si="367"/>
        <v>8.5000000000000006E-2</v>
      </c>
      <c r="T1884" s="21">
        <f>VLOOKUP($A1884,'2022-23 Salary &amp; Benefits'!$A:$I,5,FALSE)</f>
        <v>68937</v>
      </c>
      <c r="U1884" s="21">
        <f>VLOOKUP($A1884,'2022-23 Salary &amp; Benefits'!$A:$I,6,FALSE)</f>
        <v>72728</v>
      </c>
      <c r="V1884" s="22">
        <f t="shared" si="368"/>
        <v>6914.38</v>
      </c>
      <c r="W1884" s="22">
        <f t="shared" si="369"/>
        <v>627.51000000000022</v>
      </c>
      <c r="X1884" s="22">
        <f>'2022-23 Salary &amp; Benefits'!$G$6</f>
        <v>12558.24</v>
      </c>
      <c r="Y1884" s="23">
        <f>'2022-23 Salary &amp; Benefits'!$H$6</f>
        <v>0.2298</v>
      </c>
      <c r="Z1884" s="23">
        <f>'2022-23 Salary &amp; Benefits'!$I$6</f>
        <v>0.22339999999999999</v>
      </c>
      <c r="AA1884" s="22">
        <f t="shared" si="370"/>
        <v>2796.56</v>
      </c>
      <c r="AB1884" s="22">
        <f t="shared" si="371"/>
        <v>125.7</v>
      </c>
      <c r="AC1884" s="22">
        <f t="shared" si="372"/>
        <v>28.08</v>
      </c>
      <c r="AD1884" s="22">
        <f t="shared" si="362"/>
        <v>153.78</v>
      </c>
      <c r="AE1884" s="22">
        <f t="shared" si="363"/>
        <v>10492.230000000001</v>
      </c>
      <c r="AF1884" s="19" t="str">
        <f>VLOOKUP(C1884,'2021-22 School Level AAFTE'!C:N,12,FALSE)</f>
        <v>No</v>
      </c>
    </row>
    <row r="1885" spans="1:32" s="5" customFormat="1">
      <c r="A1885" s="97" t="s">
        <v>2342</v>
      </c>
      <c r="B1885" s="97" t="s">
        <v>527</v>
      </c>
      <c r="C1885" s="95">
        <v>2511</v>
      </c>
      <c r="D1885" s="95" t="s">
        <v>529</v>
      </c>
      <c r="E1885" s="129">
        <f>VLOOKUP($C1885,'2021-22 School Level AAFTE'!$C:$Z,11,FALSE)</f>
        <v>0.28509999999999996</v>
      </c>
      <c r="F1885" s="129" t="str">
        <f>VLOOKUP($C1885,'2021-22 School Level AAFTE'!$C:$Z,8,FALSE)</f>
        <v>No</v>
      </c>
      <c r="G1885" s="129" t="str">
        <f>VLOOKUP($C1885,'2021-22 School Level AAFTE'!$C:$Z,12,FALSE)</f>
        <v>No</v>
      </c>
      <c r="H1885" s="127">
        <f>VLOOKUP($C1885,'2021-22 School Level AAFTE'!$C:$I,7,FALSE)</f>
        <v>186.86</v>
      </c>
      <c r="I1885" s="112">
        <f>IFERROR(IF(OR(G1885="yes",F1885= "yes"),VLOOKUP(C1885,Summary!$B:$J,6,0),0),0)</f>
        <v>0</v>
      </c>
      <c r="J1885" s="111">
        <f t="shared" si="366"/>
        <v>0</v>
      </c>
      <c r="K1885" s="91">
        <f>VLOOKUP($A1885,'2022-23 Salary &amp; Benefits'!$A:$I,3,FALSE)</f>
        <v>1.18</v>
      </c>
      <c r="L1885" s="91">
        <f>VLOOKUP($A1885,'2022-23 Salary &amp; Benefits'!$A:$I,4,FALSE)</f>
        <v>1.22</v>
      </c>
      <c r="M1885" s="39">
        <f t="shared" si="361"/>
        <v>0</v>
      </c>
      <c r="N1885" s="24">
        <v>15</v>
      </c>
      <c r="O1885" s="26">
        <f t="shared" si="364"/>
        <v>0</v>
      </c>
      <c r="P1885" s="24">
        <v>1.1000000000000001</v>
      </c>
      <c r="Q1885" s="24">
        <v>36</v>
      </c>
      <c r="R1885" s="27">
        <f t="shared" si="365"/>
        <v>0</v>
      </c>
      <c r="S1885" s="102">
        <f t="shared" si="367"/>
        <v>0</v>
      </c>
      <c r="T1885" s="21">
        <f>VLOOKUP($A1885,'2022-23 Salary &amp; Benefits'!$A:$I,5,FALSE)</f>
        <v>68937</v>
      </c>
      <c r="U1885" s="21">
        <f>VLOOKUP($A1885,'2022-23 Salary &amp; Benefits'!$A:$I,6,FALSE)</f>
        <v>72728</v>
      </c>
      <c r="V1885" s="22">
        <f t="shared" si="368"/>
        <v>0</v>
      </c>
      <c r="W1885" s="22">
        <f t="shared" si="369"/>
        <v>0</v>
      </c>
      <c r="X1885" s="22">
        <f>'2022-23 Salary &amp; Benefits'!$G$6</f>
        <v>12558.24</v>
      </c>
      <c r="Y1885" s="23">
        <f>'2022-23 Salary &amp; Benefits'!$H$6</f>
        <v>0.2298</v>
      </c>
      <c r="Z1885" s="23">
        <f>'2022-23 Salary &amp; Benefits'!$I$6</f>
        <v>0.22339999999999999</v>
      </c>
      <c r="AA1885" s="22">
        <f t="shared" si="370"/>
        <v>0</v>
      </c>
      <c r="AB1885" s="22">
        <f t="shared" si="371"/>
        <v>0</v>
      </c>
      <c r="AC1885" s="22">
        <f t="shared" si="372"/>
        <v>0</v>
      </c>
      <c r="AD1885" s="22">
        <f t="shared" si="362"/>
        <v>0</v>
      </c>
      <c r="AE1885" s="22">
        <f t="shared" si="363"/>
        <v>0</v>
      </c>
      <c r="AF1885" s="19" t="str">
        <f>VLOOKUP(C1885,'2021-22 School Level AAFTE'!C:N,12,FALSE)</f>
        <v>No</v>
      </c>
    </row>
    <row r="1886" spans="1:32" s="5" customFormat="1">
      <c r="A1886" s="97" t="s">
        <v>2342</v>
      </c>
      <c r="B1886" s="97" t="s">
        <v>527</v>
      </c>
      <c r="C1886" s="95">
        <v>4149</v>
      </c>
      <c r="D1886" s="95" t="s">
        <v>530</v>
      </c>
      <c r="E1886" s="129">
        <f>VLOOKUP($C1886,'2021-22 School Level AAFTE'!$C:$Z,11,FALSE)</f>
        <v>0.22823333333333332</v>
      </c>
      <c r="F1886" s="129" t="str">
        <f>VLOOKUP($C1886,'2021-22 School Level AAFTE'!$C:$Z,8,FALSE)</f>
        <v>No</v>
      </c>
      <c r="G1886" s="129" t="str">
        <f>VLOOKUP($C1886,'2021-22 School Level AAFTE'!$C:$Z,12,FALSE)</f>
        <v>No</v>
      </c>
      <c r="H1886" s="127">
        <f>VLOOKUP($C1886,'2021-22 School Level AAFTE'!$C:$I,7,FALSE)</f>
        <v>403.78</v>
      </c>
      <c r="I1886" s="112">
        <f>IFERROR(IF(OR(G1886="yes",F1886= "yes"),VLOOKUP(C1886,Summary!$B:$J,6,0),0),0)</f>
        <v>0</v>
      </c>
      <c r="J1886" s="111">
        <f t="shared" si="366"/>
        <v>0</v>
      </c>
      <c r="K1886" s="91">
        <f>VLOOKUP($A1886,'2022-23 Salary &amp; Benefits'!$A:$I,3,FALSE)</f>
        <v>1.18</v>
      </c>
      <c r="L1886" s="91">
        <f>VLOOKUP($A1886,'2022-23 Salary &amp; Benefits'!$A:$I,4,FALSE)</f>
        <v>1.22</v>
      </c>
      <c r="M1886" s="101">
        <f t="shared" si="361"/>
        <v>0</v>
      </c>
      <c r="N1886" s="24">
        <v>15</v>
      </c>
      <c r="O1886" s="26">
        <f t="shared" si="364"/>
        <v>0</v>
      </c>
      <c r="P1886" s="24">
        <v>1.1000000000000001</v>
      </c>
      <c r="Q1886" s="24">
        <v>36</v>
      </c>
      <c r="R1886" s="27">
        <f t="shared" si="365"/>
        <v>0</v>
      </c>
      <c r="S1886" s="102">
        <f t="shared" si="367"/>
        <v>0</v>
      </c>
      <c r="T1886" s="21">
        <f>VLOOKUP($A1886,'2022-23 Salary &amp; Benefits'!$A:$I,5,FALSE)</f>
        <v>68937</v>
      </c>
      <c r="U1886" s="21">
        <f>VLOOKUP($A1886,'2022-23 Salary &amp; Benefits'!$A:$I,6,FALSE)</f>
        <v>72728</v>
      </c>
      <c r="V1886" s="22">
        <f t="shared" si="368"/>
        <v>0</v>
      </c>
      <c r="W1886" s="22">
        <f t="shared" si="369"/>
        <v>0</v>
      </c>
      <c r="X1886" s="22">
        <f>'2022-23 Salary &amp; Benefits'!$G$6</f>
        <v>12558.24</v>
      </c>
      <c r="Y1886" s="23">
        <f>'2022-23 Salary &amp; Benefits'!$H$6</f>
        <v>0.2298</v>
      </c>
      <c r="Z1886" s="23">
        <f>'2022-23 Salary &amp; Benefits'!$I$6</f>
        <v>0.22339999999999999</v>
      </c>
      <c r="AA1886" s="22">
        <f t="shared" si="370"/>
        <v>0</v>
      </c>
      <c r="AB1886" s="22">
        <f t="shared" si="371"/>
        <v>0</v>
      </c>
      <c r="AC1886" s="22">
        <f t="shared" si="372"/>
        <v>0</v>
      </c>
      <c r="AD1886" s="22">
        <f t="shared" si="362"/>
        <v>0</v>
      </c>
      <c r="AE1886" s="22">
        <f t="shared" si="363"/>
        <v>0</v>
      </c>
      <c r="AF1886" s="19" t="str">
        <f>VLOOKUP(C1886,'2021-22 School Level AAFTE'!C:N,12,FALSE)</f>
        <v>No</v>
      </c>
    </row>
    <row r="1887" spans="1:32" s="5" customFormat="1">
      <c r="A1887" s="97" t="s">
        <v>2342</v>
      </c>
      <c r="B1887" s="97" t="s">
        <v>527</v>
      </c>
      <c r="C1887" s="95">
        <v>4321</v>
      </c>
      <c r="D1887" s="95" t="s">
        <v>531</v>
      </c>
      <c r="E1887" s="129">
        <f>VLOOKUP($C1887,'2021-22 School Level AAFTE'!$C:$Z,11,FALSE)</f>
        <v>0.28453333333333336</v>
      </c>
      <c r="F1887" s="129" t="str">
        <f>VLOOKUP($C1887,'2021-22 School Level AAFTE'!$C:$Z,8,FALSE)</f>
        <v>No</v>
      </c>
      <c r="G1887" s="129" t="str">
        <f>VLOOKUP($C1887,'2021-22 School Level AAFTE'!$C:$Z,12,FALSE)</f>
        <v>No</v>
      </c>
      <c r="H1887" s="127">
        <f>VLOOKUP($C1887,'2021-22 School Level AAFTE'!$C:$I,7,FALSE)</f>
        <v>568.45000000000005</v>
      </c>
      <c r="I1887" s="112">
        <f>IFERROR(IF(OR(G1887="yes",F1887= "yes"),VLOOKUP(C1887,Summary!$B:$J,6,0),0),0)</f>
        <v>0</v>
      </c>
      <c r="J1887" s="111">
        <f t="shared" si="366"/>
        <v>0</v>
      </c>
      <c r="K1887" s="91">
        <f>VLOOKUP($A1887,'2022-23 Salary &amp; Benefits'!$A:$I,3,FALSE)</f>
        <v>1.18</v>
      </c>
      <c r="L1887" s="91">
        <f>VLOOKUP($A1887,'2022-23 Salary &amp; Benefits'!$A:$I,4,FALSE)</f>
        <v>1.22</v>
      </c>
      <c r="M1887" s="101">
        <f t="shared" si="361"/>
        <v>0</v>
      </c>
      <c r="N1887" s="24">
        <v>15</v>
      </c>
      <c r="O1887" s="26">
        <f t="shared" si="364"/>
        <v>0</v>
      </c>
      <c r="P1887" s="24">
        <v>1.1000000000000001</v>
      </c>
      <c r="Q1887" s="24">
        <v>36</v>
      </c>
      <c r="R1887" s="27">
        <f t="shared" si="365"/>
        <v>0</v>
      </c>
      <c r="S1887" s="102">
        <f t="shared" si="367"/>
        <v>0</v>
      </c>
      <c r="T1887" s="21">
        <f>VLOOKUP($A1887,'2022-23 Salary &amp; Benefits'!$A:$I,5,FALSE)</f>
        <v>68937</v>
      </c>
      <c r="U1887" s="21">
        <f>VLOOKUP($A1887,'2022-23 Salary &amp; Benefits'!$A:$I,6,FALSE)</f>
        <v>72728</v>
      </c>
      <c r="V1887" s="22">
        <f t="shared" si="368"/>
        <v>0</v>
      </c>
      <c r="W1887" s="22">
        <f t="shared" si="369"/>
        <v>0</v>
      </c>
      <c r="X1887" s="22">
        <f>'2022-23 Salary &amp; Benefits'!$G$6</f>
        <v>12558.24</v>
      </c>
      <c r="Y1887" s="23">
        <f>'2022-23 Salary &amp; Benefits'!$H$6</f>
        <v>0.2298</v>
      </c>
      <c r="Z1887" s="23">
        <f>'2022-23 Salary &amp; Benefits'!$I$6</f>
        <v>0.22339999999999999</v>
      </c>
      <c r="AA1887" s="22">
        <f t="shared" si="370"/>
        <v>0</v>
      </c>
      <c r="AB1887" s="22">
        <f t="shared" si="371"/>
        <v>0</v>
      </c>
      <c r="AC1887" s="22">
        <f t="shared" si="372"/>
        <v>0</v>
      </c>
      <c r="AD1887" s="22">
        <f t="shared" si="362"/>
        <v>0</v>
      </c>
      <c r="AE1887" s="22">
        <f t="shared" si="363"/>
        <v>0</v>
      </c>
      <c r="AF1887" s="19" t="str">
        <f>VLOOKUP(C1887,'2021-22 School Level AAFTE'!C:N,12,FALSE)</f>
        <v>No</v>
      </c>
    </row>
    <row r="1888" spans="1:32" s="5" customFormat="1">
      <c r="A1888" s="97" t="s">
        <v>2414</v>
      </c>
      <c r="B1888" s="97" t="s">
        <v>1204</v>
      </c>
      <c r="C1888" s="95">
        <v>2744</v>
      </c>
      <c r="D1888" s="95" t="s">
        <v>1205</v>
      </c>
      <c r="E1888" s="129">
        <f>VLOOKUP($C1888,'2021-22 School Level AAFTE'!$C:$Z,11,FALSE)</f>
        <v>0.40516666666666667</v>
      </c>
      <c r="F1888" s="129" t="str">
        <f>VLOOKUP($C1888,'2021-22 School Level AAFTE'!$C:$Z,8,FALSE)</f>
        <v>No</v>
      </c>
      <c r="G1888" s="129" t="str">
        <f>VLOOKUP($C1888,'2021-22 School Level AAFTE'!$C:$Z,12,FALSE)</f>
        <v>No</v>
      </c>
      <c r="H1888" s="127">
        <f>VLOOKUP($C1888,'2021-22 School Level AAFTE'!$C:$I,7,FALSE)</f>
        <v>199.29</v>
      </c>
      <c r="I1888" s="112">
        <f>IFERROR(IF(OR(G1888="yes",F1888= "yes"),VLOOKUP(C1888,Summary!$B:$J,6,0),0),0)</f>
        <v>0</v>
      </c>
      <c r="J1888" s="111">
        <f t="shared" si="366"/>
        <v>0</v>
      </c>
      <c r="K1888" s="91">
        <f>VLOOKUP($A1888,'2022-23 Salary &amp; Benefits'!$A:$I,3,FALSE)</f>
        <v>1</v>
      </c>
      <c r="L1888" s="91">
        <f>VLOOKUP($A1888,'2022-23 Salary &amp; Benefits'!$A:$I,4,FALSE)</f>
        <v>1</v>
      </c>
      <c r="M1888" s="39">
        <f t="shared" si="361"/>
        <v>0</v>
      </c>
      <c r="N1888" s="24">
        <v>15</v>
      </c>
      <c r="O1888" s="26">
        <f t="shared" si="364"/>
        <v>0</v>
      </c>
      <c r="P1888" s="24">
        <v>1.1000000000000001</v>
      </c>
      <c r="Q1888" s="24">
        <v>36</v>
      </c>
      <c r="R1888" s="27">
        <f t="shared" si="365"/>
        <v>0</v>
      </c>
      <c r="S1888" s="102">
        <f t="shared" si="367"/>
        <v>0</v>
      </c>
      <c r="T1888" s="21">
        <f>VLOOKUP($A1888,'2022-23 Salary &amp; Benefits'!$A:$I,5,FALSE)</f>
        <v>68937</v>
      </c>
      <c r="U1888" s="21">
        <f>VLOOKUP($A1888,'2022-23 Salary &amp; Benefits'!$A:$I,6,FALSE)</f>
        <v>72728</v>
      </c>
      <c r="V1888" s="22">
        <f t="shared" si="368"/>
        <v>0</v>
      </c>
      <c r="W1888" s="22">
        <f t="shared" si="369"/>
        <v>0</v>
      </c>
      <c r="X1888" s="22">
        <f>'2022-23 Salary &amp; Benefits'!$G$6</f>
        <v>12558.24</v>
      </c>
      <c r="Y1888" s="23">
        <f>'2022-23 Salary &amp; Benefits'!$H$6</f>
        <v>0.2298</v>
      </c>
      <c r="Z1888" s="23">
        <f>'2022-23 Salary &amp; Benefits'!$I$6</f>
        <v>0.22339999999999999</v>
      </c>
      <c r="AA1888" s="22">
        <f t="shared" si="370"/>
        <v>0</v>
      </c>
      <c r="AB1888" s="22">
        <f t="shared" si="371"/>
        <v>0</v>
      </c>
      <c r="AC1888" s="22">
        <f t="shared" si="372"/>
        <v>0</v>
      </c>
      <c r="AD1888" s="22">
        <f t="shared" si="362"/>
        <v>0</v>
      </c>
      <c r="AE1888" s="22">
        <f t="shared" si="363"/>
        <v>0</v>
      </c>
      <c r="AF1888" s="19" t="str">
        <f>VLOOKUP(C1888,'2021-22 School Level AAFTE'!C:N,12,FALSE)</f>
        <v>No</v>
      </c>
    </row>
    <row r="1889" spans="1:284" s="5" customFormat="1">
      <c r="A1889" s="97" t="s">
        <v>2486</v>
      </c>
      <c r="B1889" s="97" t="s">
        <v>1773</v>
      </c>
      <c r="C1889" s="95">
        <v>1533</v>
      </c>
      <c r="D1889" s="95" t="s">
        <v>1774</v>
      </c>
      <c r="E1889" s="129">
        <f>VLOOKUP($C1889,'2021-22 School Level AAFTE'!$C:$Z,11,FALSE)</f>
        <v>0.78359999999999996</v>
      </c>
      <c r="F1889" s="129" t="str">
        <f>VLOOKUP($C1889,'2021-22 School Level AAFTE'!$C:$Z,8,FALSE)</f>
        <v>Yes</v>
      </c>
      <c r="G1889" s="129" t="str">
        <f>VLOOKUP($C1889,'2021-22 School Level AAFTE'!$C:$Z,12,FALSE)</f>
        <v>No</v>
      </c>
      <c r="H1889" s="127">
        <f>VLOOKUP($C1889,'2021-22 School Level AAFTE'!$C:$I,7,FALSE)</f>
        <v>26.37</v>
      </c>
      <c r="I1889" s="112">
        <f>IFERROR(IF(OR(G1889="yes",F1889= "yes"),VLOOKUP(C1889,Summary!$B:$J,6,0),0),0)</f>
        <v>0</v>
      </c>
      <c r="J1889" s="111">
        <f t="shared" si="366"/>
        <v>26.37</v>
      </c>
      <c r="K1889" s="91">
        <f>VLOOKUP($A1889,'2022-23 Salary &amp; Benefits'!$A:$I,3,FALSE)</f>
        <v>1.03</v>
      </c>
      <c r="L1889" s="91">
        <f>VLOOKUP($A1889,'2022-23 Salary &amp; Benefits'!$A:$I,4,FALSE)</f>
        <v>1.03</v>
      </c>
      <c r="M1889" s="101">
        <f t="shared" si="361"/>
        <v>26.37</v>
      </c>
      <c r="N1889" s="24">
        <v>15</v>
      </c>
      <c r="O1889" s="26">
        <f t="shared" si="364"/>
        <v>1.758</v>
      </c>
      <c r="P1889" s="24">
        <v>1.1000000000000001</v>
      </c>
      <c r="Q1889" s="24">
        <v>36</v>
      </c>
      <c r="R1889" s="27">
        <f t="shared" si="365"/>
        <v>69.616800000000012</v>
      </c>
      <c r="S1889" s="102">
        <f t="shared" si="367"/>
        <v>7.6999999999999999E-2</v>
      </c>
      <c r="T1889" s="21">
        <f>VLOOKUP($A1889,'2022-23 Salary &amp; Benefits'!$A:$I,5,FALSE)</f>
        <v>68937</v>
      </c>
      <c r="U1889" s="21">
        <f>VLOOKUP($A1889,'2022-23 Salary &amp; Benefits'!$A:$I,6,FALSE)</f>
        <v>72728</v>
      </c>
      <c r="V1889" s="22">
        <f t="shared" si="368"/>
        <v>5467.39</v>
      </c>
      <c r="W1889" s="22">
        <f t="shared" si="369"/>
        <v>300.67000000000007</v>
      </c>
      <c r="X1889" s="22">
        <f>'2022-23 Salary &amp; Benefits'!$G$6</f>
        <v>12558.24</v>
      </c>
      <c r="Y1889" s="23">
        <f>'2022-23 Salary &amp; Benefits'!$H$6</f>
        <v>0.2298</v>
      </c>
      <c r="Z1889" s="23">
        <f>'2022-23 Salary &amp; Benefits'!$I$6</f>
        <v>0.22339999999999999</v>
      </c>
      <c r="AA1889" s="22">
        <f t="shared" si="370"/>
        <v>2290.56</v>
      </c>
      <c r="AB1889" s="22">
        <f t="shared" si="371"/>
        <v>96.13</v>
      </c>
      <c r="AC1889" s="22">
        <f t="shared" si="372"/>
        <v>21.48</v>
      </c>
      <c r="AD1889" s="22">
        <f t="shared" si="362"/>
        <v>117.61</v>
      </c>
      <c r="AE1889" s="22">
        <f t="shared" si="363"/>
        <v>8176.2300000000005</v>
      </c>
      <c r="AF1889" s="19" t="str">
        <f>VLOOKUP(C1889,'2021-22 School Level AAFTE'!C:N,12,FALSE)</f>
        <v>No</v>
      </c>
    </row>
    <row r="1890" spans="1:284" s="5" customFormat="1">
      <c r="A1890" s="97" t="s">
        <v>2486</v>
      </c>
      <c r="B1890" s="97" t="s">
        <v>1773</v>
      </c>
      <c r="C1890" s="95">
        <v>1567</v>
      </c>
      <c r="D1890" s="95" t="s">
        <v>2933</v>
      </c>
      <c r="E1890" s="129">
        <f>VLOOKUP($C1890,'2021-22 School Level AAFTE'!$C:$Z,11,FALSE)</f>
        <v>0.81830000000000014</v>
      </c>
      <c r="F1890" s="129" t="str">
        <f>VLOOKUP($C1890,'2021-22 School Level AAFTE'!$C:$Z,8,FALSE)</f>
        <v>Yes</v>
      </c>
      <c r="G1890" s="129" t="str">
        <f>VLOOKUP($C1890,'2021-22 School Level AAFTE'!$C:$Z,12,FALSE)</f>
        <v>No</v>
      </c>
      <c r="H1890" s="127">
        <f>VLOOKUP($C1890,'2021-22 School Level AAFTE'!$C:$I,7,FALSE)</f>
        <v>106.53</v>
      </c>
      <c r="I1890" s="112">
        <f>IFERROR(IF(OR(G1890="yes",F1890= "yes"),VLOOKUP(C1890,Summary!$B:$J,6,0),0),0)</f>
        <v>0</v>
      </c>
      <c r="J1890" s="111">
        <f t="shared" si="366"/>
        <v>106.53</v>
      </c>
      <c r="K1890" s="91">
        <f>VLOOKUP($A1890,'2022-23 Salary &amp; Benefits'!$A:$I,3,FALSE)</f>
        <v>1.03</v>
      </c>
      <c r="L1890" s="91">
        <f>VLOOKUP($A1890,'2022-23 Salary &amp; Benefits'!$A:$I,4,FALSE)</f>
        <v>1.03</v>
      </c>
      <c r="M1890" s="39">
        <f t="shared" si="361"/>
        <v>106.53</v>
      </c>
      <c r="N1890" s="24">
        <v>15</v>
      </c>
      <c r="O1890" s="26">
        <f t="shared" si="364"/>
        <v>7.1020000000000003</v>
      </c>
      <c r="P1890" s="24">
        <v>1.1000000000000001</v>
      </c>
      <c r="Q1890" s="24">
        <v>36</v>
      </c>
      <c r="R1890" s="27">
        <f t="shared" si="365"/>
        <v>281.23920000000004</v>
      </c>
      <c r="S1890" s="102">
        <f t="shared" si="367"/>
        <v>0.312</v>
      </c>
      <c r="T1890" s="21">
        <f>VLOOKUP($A1890,'2022-23 Salary &amp; Benefits'!$A:$I,5,FALSE)</f>
        <v>68937</v>
      </c>
      <c r="U1890" s="21">
        <f>VLOOKUP($A1890,'2022-23 Salary &amp; Benefits'!$A:$I,6,FALSE)</f>
        <v>72728</v>
      </c>
      <c r="V1890" s="22">
        <f t="shared" si="368"/>
        <v>22153.59</v>
      </c>
      <c r="W1890" s="22">
        <f t="shared" si="369"/>
        <v>1218.2799999999988</v>
      </c>
      <c r="X1890" s="22">
        <f>'2022-23 Salary &amp; Benefits'!$G$6</f>
        <v>12558.24</v>
      </c>
      <c r="Y1890" s="23">
        <f>'2022-23 Salary &amp; Benefits'!$H$6</f>
        <v>0.2298</v>
      </c>
      <c r="Z1890" s="23">
        <f>'2022-23 Salary &amp; Benefits'!$I$6</f>
        <v>0.22339999999999999</v>
      </c>
      <c r="AA1890" s="22">
        <f t="shared" si="370"/>
        <v>9281.23</v>
      </c>
      <c r="AB1890" s="22">
        <f t="shared" si="371"/>
        <v>389.53</v>
      </c>
      <c r="AC1890" s="22">
        <f t="shared" si="372"/>
        <v>87.02</v>
      </c>
      <c r="AD1890" s="22">
        <f t="shared" si="362"/>
        <v>476.54999999999995</v>
      </c>
      <c r="AE1890" s="22">
        <f t="shared" si="363"/>
        <v>33129.65</v>
      </c>
      <c r="AF1890" s="19" t="str">
        <f>VLOOKUP(C1890,'2021-22 School Level AAFTE'!C:N,12,FALSE)</f>
        <v>No</v>
      </c>
    </row>
    <row r="1891" spans="1:284" s="5" customFormat="1">
      <c r="A1891" s="97" t="s">
        <v>2486</v>
      </c>
      <c r="B1891" s="97" t="s">
        <v>1773</v>
      </c>
      <c r="C1891" s="95">
        <v>1603</v>
      </c>
      <c r="D1891" s="95" t="s">
        <v>1775</v>
      </c>
      <c r="E1891" s="129">
        <f>VLOOKUP($C1891,'2021-22 School Level AAFTE'!$C:$Z,11,FALSE)</f>
        <v>9.5233333333333337E-2</v>
      </c>
      <c r="F1891" s="129" t="str">
        <f>VLOOKUP($C1891,'2021-22 School Level AAFTE'!$C:$Z,8,FALSE)</f>
        <v>No</v>
      </c>
      <c r="G1891" s="129" t="str">
        <f>VLOOKUP($C1891,'2021-22 School Level AAFTE'!$C:$Z,12,FALSE)</f>
        <v>No</v>
      </c>
      <c r="H1891" s="127">
        <f>VLOOKUP($C1891,'2021-22 School Level AAFTE'!$C:$I,7,FALSE)</f>
        <v>9.4</v>
      </c>
      <c r="I1891" s="112">
        <f>IFERROR(IF(OR(G1891="yes",F1891= "yes"),VLOOKUP(C1891,Summary!$B:$J,6,0),0),0)</f>
        <v>0</v>
      </c>
      <c r="J1891" s="111">
        <f t="shared" si="366"/>
        <v>0</v>
      </c>
      <c r="K1891" s="91">
        <f>VLOOKUP($A1891,'2022-23 Salary &amp; Benefits'!$A:$I,3,FALSE)</f>
        <v>1.03</v>
      </c>
      <c r="L1891" s="91">
        <f>VLOOKUP($A1891,'2022-23 Salary &amp; Benefits'!$A:$I,4,FALSE)</f>
        <v>1.03</v>
      </c>
      <c r="M1891" s="101">
        <f t="shared" si="361"/>
        <v>0</v>
      </c>
      <c r="N1891" s="24">
        <v>15</v>
      </c>
      <c r="O1891" s="26">
        <f t="shared" si="364"/>
        <v>0</v>
      </c>
      <c r="P1891" s="24">
        <v>1.1000000000000001</v>
      </c>
      <c r="Q1891" s="24">
        <v>36</v>
      </c>
      <c r="R1891" s="27">
        <f t="shared" si="365"/>
        <v>0</v>
      </c>
      <c r="S1891" s="102">
        <f t="shared" si="367"/>
        <v>0</v>
      </c>
      <c r="T1891" s="21">
        <f>VLOOKUP($A1891,'2022-23 Salary &amp; Benefits'!$A:$I,5,FALSE)</f>
        <v>68937</v>
      </c>
      <c r="U1891" s="21">
        <f>VLOOKUP($A1891,'2022-23 Salary &amp; Benefits'!$A:$I,6,FALSE)</f>
        <v>72728</v>
      </c>
      <c r="V1891" s="22">
        <f t="shared" si="368"/>
        <v>0</v>
      </c>
      <c r="W1891" s="22">
        <f t="shared" si="369"/>
        <v>0</v>
      </c>
      <c r="X1891" s="22">
        <f>'2022-23 Salary &amp; Benefits'!$G$6</f>
        <v>12558.24</v>
      </c>
      <c r="Y1891" s="23">
        <f>'2022-23 Salary &amp; Benefits'!$H$6</f>
        <v>0.2298</v>
      </c>
      <c r="Z1891" s="23">
        <f>'2022-23 Salary &amp; Benefits'!$I$6</f>
        <v>0.22339999999999999</v>
      </c>
      <c r="AA1891" s="22">
        <f t="shared" si="370"/>
        <v>0</v>
      </c>
      <c r="AB1891" s="22">
        <f t="shared" si="371"/>
        <v>0</v>
      </c>
      <c r="AC1891" s="22">
        <f t="shared" si="372"/>
        <v>0</v>
      </c>
      <c r="AD1891" s="22">
        <f t="shared" si="362"/>
        <v>0</v>
      </c>
      <c r="AE1891" s="22">
        <f t="shared" si="363"/>
        <v>0</v>
      </c>
      <c r="AF1891" s="19" t="str">
        <f>VLOOKUP(C1891,'2021-22 School Level AAFTE'!C:N,12,FALSE)</f>
        <v>No</v>
      </c>
    </row>
    <row r="1892" spans="1:284" s="5" customFormat="1">
      <c r="A1892" s="97" t="s">
        <v>2486</v>
      </c>
      <c r="B1892" s="97" t="s">
        <v>1773</v>
      </c>
      <c r="C1892" s="95">
        <v>1604</v>
      </c>
      <c r="D1892" s="95" t="s">
        <v>1776</v>
      </c>
      <c r="E1892" s="129">
        <f>VLOOKUP($C1892,'2021-22 School Level AAFTE'!$C:$Z,11,FALSE)</f>
        <v>0.36509999999999998</v>
      </c>
      <c r="F1892" s="129" t="str">
        <f>VLOOKUP($C1892,'2021-22 School Level AAFTE'!$C:$Z,8,FALSE)</f>
        <v>No</v>
      </c>
      <c r="G1892" s="129" t="str">
        <f>VLOOKUP($C1892,'2021-22 School Level AAFTE'!$C:$Z,12,FALSE)</f>
        <v>Yes</v>
      </c>
      <c r="H1892" s="127">
        <f>VLOOKUP($C1892,'2021-22 School Level AAFTE'!$C:$I,7,FALSE)</f>
        <v>11.71</v>
      </c>
      <c r="I1892" s="112">
        <f>IFERROR(IF(OR(G1892="yes",F1892= "yes"),VLOOKUP(C1892,Summary!$B:$J,6,0),0),0)</f>
        <v>0</v>
      </c>
      <c r="J1892" s="111">
        <f t="shared" si="366"/>
        <v>11.71</v>
      </c>
      <c r="K1892" s="91">
        <f>VLOOKUP($A1892,'2022-23 Salary &amp; Benefits'!$A:$I,3,FALSE)</f>
        <v>1.03</v>
      </c>
      <c r="L1892" s="91">
        <f>VLOOKUP($A1892,'2022-23 Salary &amp; Benefits'!$A:$I,4,FALSE)</f>
        <v>1.03</v>
      </c>
      <c r="M1892" s="101">
        <f t="shared" si="361"/>
        <v>11.71</v>
      </c>
      <c r="N1892" s="24">
        <v>15</v>
      </c>
      <c r="O1892" s="26">
        <f t="shared" si="364"/>
        <v>0.78066666666666673</v>
      </c>
      <c r="P1892" s="24">
        <v>1.1000000000000001</v>
      </c>
      <c r="Q1892" s="24">
        <v>36</v>
      </c>
      <c r="R1892" s="27">
        <f t="shared" si="365"/>
        <v>30.914400000000004</v>
      </c>
      <c r="S1892" s="102">
        <f t="shared" si="367"/>
        <v>3.4000000000000002E-2</v>
      </c>
      <c r="T1892" s="21">
        <f>VLOOKUP($A1892,'2022-23 Salary &amp; Benefits'!$A:$I,5,FALSE)</f>
        <v>68937</v>
      </c>
      <c r="U1892" s="21">
        <f>VLOOKUP($A1892,'2022-23 Salary &amp; Benefits'!$A:$I,6,FALSE)</f>
        <v>72728</v>
      </c>
      <c r="V1892" s="22">
        <f t="shared" si="368"/>
        <v>2414.17</v>
      </c>
      <c r="W1892" s="22">
        <f t="shared" si="369"/>
        <v>132.75999999999976</v>
      </c>
      <c r="X1892" s="22">
        <f>'2022-23 Salary &amp; Benefits'!$G$6</f>
        <v>12558.24</v>
      </c>
      <c r="Y1892" s="23">
        <f>'2022-23 Salary &amp; Benefits'!$H$6</f>
        <v>0.2298</v>
      </c>
      <c r="Z1892" s="23">
        <f>'2022-23 Salary &amp; Benefits'!$I$6</f>
        <v>0.22339999999999999</v>
      </c>
      <c r="AA1892" s="22">
        <f t="shared" si="370"/>
        <v>1011.42</v>
      </c>
      <c r="AB1892" s="22">
        <f t="shared" si="371"/>
        <v>42.45</v>
      </c>
      <c r="AC1892" s="22">
        <f t="shared" si="372"/>
        <v>9.48</v>
      </c>
      <c r="AD1892" s="22">
        <f t="shared" si="362"/>
        <v>51.930000000000007</v>
      </c>
      <c r="AE1892" s="22">
        <f t="shared" si="363"/>
        <v>3610.2799999999997</v>
      </c>
      <c r="AF1892" s="205" t="s">
        <v>3065</v>
      </c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  <c r="IQ1892" s="3"/>
      <c r="IR1892" s="3"/>
      <c r="IS1892" s="3"/>
      <c r="IT1892" s="3"/>
      <c r="IU1892" s="3"/>
      <c r="IV1892" s="3"/>
      <c r="IW1892" s="3"/>
      <c r="IX1892" s="3"/>
      <c r="IY1892" s="3"/>
      <c r="IZ1892" s="3"/>
      <c r="JA1892" s="3"/>
      <c r="JB1892" s="3"/>
      <c r="JC1892" s="3"/>
      <c r="JD1892" s="3"/>
      <c r="JE1892" s="3"/>
      <c r="JF1892" s="3"/>
      <c r="JG1892" s="3"/>
      <c r="JH1892" s="3"/>
      <c r="JI1892" s="3"/>
      <c r="JJ1892" s="3"/>
      <c r="JK1892" s="3"/>
      <c r="JL1892" s="3"/>
      <c r="JM1892" s="3"/>
      <c r="JN1892" s="3"/>
      <c r="JO1892" s="3"/>
      <c r="JP1892" s="3"/>
      <c r="JQ1892" s="3"/>
      <c r="JR1892" s="3"/>
      <c r="JS1892" s="3"/>
      <c r="JT1892" s="3"/>
      <c r="JU1892" s="3"/>
      <c r="JV1892" s="3"/>
      <c r="JW1892" s="3"/>
      <c r="JX1892" s="3"/>
    </row>
    <row r="1893" spans="1:284" s="5" customFormat="1">
      <c r="A1893" s="97" t="s">
        <v>2486</v>
      </c>
      <c r="B1893" s="97" t="s">
        <v>1773</v>
      </c>
      <c r="C1893" s="95">
        <v>1698</v>
      </c>
      <c r="D1893" s="95" t="s">
        <v>1777</v>
      </c>
      <c r="E1893" s="129">
        <f>VLOOKUP($C1893,'2021-22 School Level AAFTE'!$C:$Z,11,FALSE)</f>
        <v>0.55033333333333323</v>
      </c>
      <c r="F1893" s="129" t="str">
        <f>VLOOKUP($C1893,'2021-22 School Level AAFTE'!$C:$Z,8,FALSE)</f>
        <v>Yes</v>
      </c>
      <c r="G1893" s="129" t="str">
        <f>VLOOKUP($C1893,'2021-22 School Level AAFTE'!$C:$Z,12,FALSE)</f>
        <v>No</v>
      </c>
      <c r="H1893" s="127">
        <f>VLOOKUP($C1893,'2021-22 School Level AAFTE'!$C:$I,7,FALSE)</f>
        <v>69.45</v>
      </c>
      <c r="I1893" s="112">
        <f>IFERROR(IF(OR(G1893="yes",F1893= "yes"),VLOOKUP(C1893,Summary!$B:$J,6,0),0),0)</f>
        <v>0</v>
      </c>
      <c r="J1893" s="111">
        <f t="shared" si="366"/>
        <v>69.45</v>
      </c>
      <c r="K1893" s="91">
        <f>VLOOKUP($A1893,'2022-23 Salary &amp; Benefits'!$A:$I,3,FALSE)</f>
        <v>1.03</v>
      </c>
      <c r="L1893" s="91">
        <f>VLOOKUP($A1893,'2022-23 Salary &amp; Benefits'!$A:$I,4,FALSE)</f>
        <v>1.03</v>
      </c>
      <c r="M1893" s="101">
        <f t="shared" si="361"/>
        <v>69.45</v>
      </c>
      <c r="N1893" s="24">
        <v>15</v>
      </c>
      <c r="O1893" s="26">
        <f t="shared" si="364"/>
        <v>4.63</v>
      </c>
      <c r="P1893" s="24">
        <v>1.1000000000000001</v>
      </c>
      <c r="Q1893" s="24">
        <v>36</v>
      </c>
      <c r="R1893" s="27">
        <f t="shared" si="365"/>
        <v>183.34800000000001</v>
      </c>
      <c r="S1893" s="102">
        <f t="shared" si="367"/>
        <v>0.20399999999999999</v>
      </c>
      <c r="T1893" s="21">
        <f>VLOOKUP($A1893,'2022-23 Salary &amp; Benefits'!$A:$I,5,FALSE)</f>
        <v>68937</v>
      </c>
      <c r="U1893" s="21">
        <f>VLOOKUP($A1893,'2022-23 Salary &amp; Benefits'!$A:$I,6,FALSE)</f>
        <v>72728</v>
      </c>
      <c r="V1893" s="22">
        <f t="shared" si="368"/>
        <v>14485.04</v>
      </c>
      <c r="W1893" s="22">
        <f t="shared" si="369"/>
        <v>796.56999999999971</v>
      </c>
      <c r="X1893" s="22">
        <f>'2022-23 Salary &amp; Benefits'!$G$6</f>
        <v>12558.24</v>
      </c>
      <c r="Y1893" s="23">
        <f>'2022-23 Salary &amp; Benefits'!$H$6</f>
        <v>0.2298</v>
      </c>
      <c r="Z1893" s="23">
        <f>'2022-23 Salary &amp; Benefits'!$I$6</f>
        <v>0.22339999999999999</v>
      </c>
      <c r="AA1893" s="22">
        <f t="shared" si="370"/>
        <v>6068.5</v>
      </c>
      <c r="AB1893" s="22">
        <f t="shared" si="371"/>
        <v>254.69</v>
      </c>
      <c r="AC1893" s="22">
        <f t="shared" si="372"/>
        <v>56.9</v>
      </c>
      <c r="AD1893" s="22">
        <f t="shared" si="362"/>
        <v>311.58999999999997</v>
      </c>
      <c r="AE1893" s="22">
        <f t="shared" si="363"/>
        <v>21661.7</v>
      </c>
      <c r="AF1893" s="19" t="str">
        <f>VLOOKUP(C1893,'2021-22 School Level AAFTE'!C:N,12,FALSE)</f>
        <v>No</v>
      </c>
    </row>
    <row r="1894" spans="1:284" s="5" customFormat="1">
      <c r="A1894" s="97" t="s">
        <v>2486</v>
      </c>
      <c r="B1894" s="97" t="s">
        <v>1773</v>
      </c>
      <c r="C1894" s="95">
        <v>1767</v>
      </c>
      <c r="D1894" s="95" t="s">
        <v>1778</v>
      </c>
      <c r="E1894" s="129">
        <f>VLOOKUP($C1894,'2021-22 School Level AAFTE'!$C:$Z,11,FALSE)</f>
        <v>0.59366666666666668</v>
      </c>
      <c r="F1894" s="129" t="str">
        <f>VLOOKUP($C1894,'2021-22 School Level AAFTE'!$C:$Z,8,FALSE)</f>
        <v>Yes</v>
      </c>
      <c r="G1894" s="129" t="str">
        <f>VLOOKUP($C1894,'2021-22 School Level AAFTE'!$C:$Z,12,FALSE)</f>
        <v>No</v>
      </c>
      <c r="H1894" s="127">
        <f>VLOOKUP($C1894,'2021-22 School Level AAFTE'!$C:$I,7,FALSE)</f>
        <v>10.57</v>
      </c>
      <c r="I1894" s="112">
        <f>IFERROR(IF(OR(G1894="yes",F1894= "yes"),VLOOKUP(C1894,Summary!$B:$J,6,0),0),0)</f>
        <v>0</v>
      </c>
      <c r="J1894" s="111">
        <f t="shared" si="366"/>
        <v>10.57</v>
      </c>
      <c r="K1894" s="91">
        <f>VLOOKUP($A1894,'2022-23 Salary &amp; Benefits'!$A:$I,3,FALSE)</f>
        <v>1.03</v>
      </c>
      <c r="L1894" s="91">
        <f>VLOOKUP($A1894,'2022-23 Salary &amp; Benefits'!$A:$I,4,FALSE)</f>
        <v>1.03</v>
      </c>
      <c r="M1894" s="39">
        <f t="shared" si="361"/>
        <v>10.57</v>
      </c>
      <c r="N1894" s="24">
        <v>15</v>
      </c>
      <c r="O1894" s="26">
        <f t="shared" si="364"/>
        <v>0.70466666666666666</v>
      </c>
      <c r="P1894" s="24">
        <v>1.1000000000000001</v>
      </c>
      <c r="Q1894" s="24">
        <v>36</v>
      </c>
      <c r="R1894" s="27">
        <f t="shared" si="365"/>
        <v>27.904800000000002</v>
      </c>
      <c r="S1894" s="102">
        <f t="shared" si="367"/>
        <v>3.1E-2</v>
      </c>
      <c r="T1894" s="21">
        <f>VLOOKUP($A1894,'2022-23 Salary &amp; Benefits'!$A:$I,5,FALSE)</f>
        <v>68937</v>
      </c>
      <c r="U1894" s="21">
        <f>VLOOKUP($A1894,'2022-23 Salary &amp; Benefits'!$A:$I,6,FALSE)</f>
        <v>72728</v>
      </c>
      <c r="V1894" s="22">
        <f t="shared" si="368"/>
        <v>2201.16</v>
      </c>
      <c r="W1894" s="22">
        <f t="shared" si="369"/>
        <v>121.05000000000018</v>
      </c>
      <c r="X1894" s="22">
        <f>'2022-23 Salary &amp; Benefits'!$G$6</f>
        <v>12558.24</v>
      </c>
      <c r="Y1894" s="23">
        <f>'2022-23 Salary &amp; Benefits'!$H$6</f>
        <v>0.2298</v>
      </c>
      <c r="Z1894" s="23">
        <f>'2022-23 Salary &amp; Benefits'!$I$6</f>
        <v>0.22339999999999999</v>
      </c>
      <c r="AA1894" s="22">
        <f t="shared" si="370"/>
        <v>922.17</v>
      </c>
      <c r="AB1894" s="22">
        <f t="shared" si="371"/>
        <v>38.700000000000003</v>
      </c>
      <c r="AC1894" s="22">
        <f t="shared" si="372"/>
        <v>8.65</v>
      </c>
      <c r="AD1894" s="22">
        <f t="shared" si="362"/>
        <v>47.35</v>
      </c>
      <c r="AE1894" s="22">
        <f t="shared" si="363"/>
        <v>3291.73</v>
      </c>
      <c r="AF1894" s="19" t="str">
        <f>VLOOKUP(C1894,'2021-22 School Level AAFTE'!C:N,12,FALSE)</f>
        <v>No</v>
      </c>
    </row>
    <row r="1895" spans="1:284" s="5" customFormat="1">
      <c r="A1895" s="97" t="s">
        <v>2486</v>
      </c>
      <c r="B1895" s="97" t="s">
        <v>1773</v>
      </c>
      <c r="C1895" s="95">
        <v>2056</v>
      </c>
      <c r="D1895" s="95" t="s">
        <v>1779</v>
      </c>
      <c r="E1895" s="129">
        <f>VLOOKUP($C1895,'2021-22 School Level AAFTE'!$C:$Z,11,FALSE)</f>
        <v>0.90133333333333321</v>
      </c>
      <c r="F1895" s="129" t="str">
        <f>VLOOKUP($C1895,'2021-22 School Level AAFTE'!$C:$Z,8,FALSE)</f>
        <v>Yes</v>
      </c>
      <c r="G1895" s="129" t="str">
        <f>VLOOKUP($C1895,'2021-22 School Level AAFTE'!$C:$Z,12,FALSE)</f>
        <v>No</v>
      </c>
      <c r="H1895" s="127">
        <f>VLOOKUP($C1895,'2021-22 School Level AAFTE'!$C:$I,7,FALSE)</f>
        <v>296.86</v>
      </c>
      <c r="I1895" s="112">
        <f>IFERROR(IF(OR(G1895="yes",F1895= "yes"),VLOOKUP(C1895,Summary!$B:$J,6,0),0),0)</f>
        <v>0</v>
      </c>
      <c r="J1895" s="111">
        <f t="shared" si="366"/>
        <v>296.86</v>
      </c>
      <c r="K1895" s="91">
        <f>VLOOKUP($A1895,'2022-23 Salary &amp; Benefits'!$A:$I,3,FALSE)</f>
        <v>1.03</v>
      </c>
      <c r="L1895" s="91">
        <f>VLOOKUP($A1895,'2022-23 Salary &amp; Benefits'!$A:$I,4,FALSE)</f>
        <v>1.03</v>
      </c>
      <c r="M1895" s="101">
        <f t="shared" si="361"/>
        <v>296.86</v>
      </c>
      <c r="N1895" s="24">
        <v>15</v>
      </c>
      <c r="O1895" s="26">
        <f t="shared" si="364"/>
        <v>19.790666666666667</v>
      </c>
      <c r="P1895" s="24">
        <v>1.1000000000000001</v>
      </c>
      <c r="Q1895" s="24">
        <v>36</v>
      </c>
      <c r="R1895" s="27">
        <f t="shared" si="365"/>
        <v>783.71040000000005</v>
      </c>
      <c r="S1895" s="102">
        <f t="shared" si="367"/>
        <v>0.871</v>
      </c>
      <c r="T1895" s="21">
        <f>VLOOKUP($A1895,'2022-23 Salary &amp; Benefits'!$A:$I,5,FALSE)</f>
        <v>68937</v>
      </c>
      <c r="U1895" s="21">
        <f>VLOOKUP($A1895,'2022-23 Salary &amp; Benefits'!$A:$I,6,FALSE)</f>
        <v>72728</v>
      </c>
      <c r="V1895" s="22">
        <f t="shared" si="368"/>
        <v>61845.45</v>
      </c>
      <c r="W1895" s="22">
        <f t="shared" si="369"/>
        <v>3401.0200000000041</v>
      </c>
      <c r="X1895" s="22">
        <f>'2022-23 Salary &amp; Benefits'!$G$6</f>
        <v>12558.24</v>
      </c>
      <c r="Y1895" s="23">
        <f>'2022-23 Salary &amp; Benefits'!$H$6</f>
        <v>0.2298</v>
      </c>
      <c r="Z1895" s="23">
        <f>'2022-23 Salary &amp; Benefits'!$I$6</f>
        <v>0.22339999999999999</v>
      </c>
      <c r="AA1895" s="22">
        <f t="shared" si="370"/>
        <v>25910.1</v>
      </c>
      <c r="AB1895" s="22">
        <f t="shared" si="371"/>
        <v>1087.44</v>
      </c>
      <c r="AC1895" s="22">
        <f t="shared" si="372"/>
        <v>242.93</v>
      </c>
      <c r="AD1895" s="22">
        <f t="shared" si="362"/>
        <v>1330.3700000000001</v>
      </c>
      <c r="AE1895" s="22">
        <f t="shared" si="363"/>
        <v>92486.939999999988</v>
      </c>
      <c r="AF1895" s="19" t="str">
        <f>VLOOKUP(C1895,'2021-22 School Level AAFTE'!C:N,12,FALSE)</f>
        <v>No</v>
      </c>
    </row>
    <row r="1896" spans="1:284" s="5" customFormat="1">
      <c r="A1896" s="97" t="s">
        <v>2486</v>
      </c>
      <c r="B1896" s="97" t="s">
        <v>1773</v>
      </c>
      <c r="C1896" s="95">
        <v>2086</v>
      </c>
      <c r="D1896" s="95" t="s">
        <v>1780</v>
      </c>
      <c r="E1896" s="129">
        <f>VLOOKUP($C1896,'2021-22 School Level AAFTE'!$C:$Z,11,FALSE)</f>
        <v>0.55633333333333335</v>
      </c>
      <c r="F1896" s="129" t="str">
        <f>VLOOKUP($C1896,'2021-22 School Level AAFTE'!$C:$Z,8,FALSE)</f>
        <v>Yes</v>
      </c>
      <c r="G1896" s="129" t="str">
        <f>VLOOKUP($C1896,'2021-22 School Level AAFTE'!$C:$Z,12,FALSE)</f>
        <v>No</v>
      </c>
      <c r="H1896" s="127">
        <f>VLOOKUP($C1896,'2021-22 School Level AAFTE'!$C:$I,7,FALSE)</f>
        <v>442.51</v>
      </c>
      <c r="I1896" s="112">
        <f>IFERROR(IF(OR(G1896="yes",F1896= "yes"),VLOOKUP(C1896,Summary!$B:$J,6,0),0),0)</f>
        <v>0</v>
      </c>
      <c r="J1896" s="111">
        <f t="shared" si="366"/>
        <v>442.51</v>
      </c>
      <c r="K1896" s="91">
        <f>VLOOKUP($A1896,'2022-23 Salary &amp; Benefits'!$A:$I,3,FALSE)</f>
        <v>1.03</v>
      </c>
      <c r="L1896" s="91">
        <f>VLOOKUP($A1896,'2022-23 Salary &amp; Benefits'!$A:$I,4,FALSE)</f>
        <v>1.03</v>
      </c>
      <c r="M1896" s="101">
        <f t="shared" si="361"/>
        <v>442.51</v>
      </c>
      <c r="N1896" s="24">
        <v>15</v>
      </c>
      <c r="O1896" s="26">
        <f t="shared" si="364"/>
        <v>29.500666666666667</v>
      </c>
      <c r="P1896" s="24">
        <v>1.1000000000000001</v>
      </c>
      <c r="Q1896" s="24">
        <v>36</v>
      </c>
      <c r="R1896" s="27">
        <f t="shared" si="365"/>
        <v>1168.2264000000002</v>
      </c>
      <c r="S1896" s="102">
        <f t="shared" si="367"/>
        <v>1.298</v>
      </c>
      <c r="T1896" s="21">
        <f>VLOOKUP($A1896,'2022-23 Salary &amp; Benefits'!$A:$I,5,FALSE)</f>
        <v>68937</v>
      </c>
      <c r="U1896" s="21">
        <f>VLOOKUP($A1896,'2022-23 Salary &amp; Benefits'!$A:$I,6,FALSE)</f>
        <v>72728</v>
      </c>
      <c r="V1896" s="22">
        <f t="shared" si="368"/>
        <v>92164.63</v>
      </c>
      <c r="W1896" s="22">
        <f t="shared" si="369"/>
        <v>5068.3399999999965</v>
      </c>
      <c r="X1896" s="22">
        <f>'2022-23 Salary &amp; Benefits'!$G$6</f>
        <v>12558.24</v>
      </c>
      <c r="Y1896" s="23">
        <f>'2022-23 Salary &amp; Benefits'!$H$6</f>
        <v>0.2298</v>
      </c>
      <c r="Z1896" s="23">
        <f>'2022-23 Salary &amp; Benefits'!$I$6</f>
        <v>0.22339999999999999</v>
      </c>
      <c r="AA1896" s="22">
        <f t="shared" si="370"/>
        <v>38612.29</v>
      </c>
      <c r="AB1896" s="22">
        <f t="shared" si="371"/>
        <v>1620.55</v>
      </c>
      <c r="AC1896" s="22">
        <f t="shared" si="372"/>
        <v>362.03</v>
      </c>
      <c r="AD1896" s="22">
        <f t="shared" si="362"/>
        <v>1982.58</v>
      </c>
      <c r="AE1896" s="22">
        <f t="shared" si="363"/>
        <v>137827.84</v>
      </c>
      <c r="AF1896" s="19" t="str">
        <f>VLOOKUP(C1896,'2021-22 School Level AAFTE'!C:N,12,FALSE)</f>
        <v>No</v>
      </c>
    </row>
    <row r="1897" spans="1:284" s="5" customFormat="1">
      <c r="A1897" s="97" t="s">
        <v>2486</v>
      </c>
      <c r="B1897" s="97" t="s">
        <v>1773</v>
      </c>
      <c r="C1897" s="95">
        <v>2096</v>
      </c>
      <c r="D1897" s="95" t="s">
        <v>1781</v>
      </c>
      <c r="E1897" s="129">
        <f>VLOOKUP($C1897,'2021-22 School Level AAFTE'!$C:$Z,11,FALSE)</f>
        <v>0.89869999999999994</v>
      </c>
      <c r="F1897" s="129" t="str">
        <f>VLOOKUP($C1897,'2021-22 School Level AAFTE'!$C:$Z,8,FALSE)</f>
        <v>Yes</v>
      </c>
      <c r="G1897" s="129" t="str">
        <f>VLOOKUP($C1897,'2021-22 School Level AAFTE'!$C:$Z,12,FALSE)</f>
        <v>No</v>
      </c>
      <c r="H1897" s="127">
        <f>VLOOKUP($C1897,'2021-22 School Level AAFTE'!$C:$I,7,FALSE)</f>
        <v>420.86</v>
      </c>
      <c r="I1897" s="112">
        <f>IFERROR(IF(OR(G1897="yes",F1897= "yes"),VLOOKUP(C1897,Summary!$B:$J,6,0),0),0)</f>
        <v>0</v>
      </c>
      <c r="J1897" s="111">
        <f t="shared" si="366"/>
        <v>420.86</v>
      </c>
      <c r="K1897" s="91">
        <f>VLOOKUP($A1897,'2022-23 Salary &amp; Benefits'!$A:$I,3,FALSE)</f>
        <v>1.03</v>
      </c>
      <c r="L1897" s="91">
        <f>VLOOKUP($A1897,'2022-23 Salary &amp; Benefits'!$A:$I,4,FALSE)</f>
        <v>1.03</v>
      </c>
      <c r="M1897" s="39">
        <f t="shared" si="361"/>
        <v>420.86</v>
      </c>
      <c r="N1897" s="24">
        <v>15</v>
      </c>
      <c r="O1897" s="26">
        <f t="shared" si="364"/>
        <v>28.057333333333336</v>
      </c>
      <c r="P1897" s="24">
        <v>1.1000000000000001</v>
      </c>
      <c r="Q1897" s="24">
        <v>36</v>
      </c>
      <c r="R1897" s="27">
        <f t="shared" si="365"/>
        <v>1111.0704000000003</v>
      </c>
      <c r="S1897" s="102">
        <f t="shared" si="367"/>
        <v>1.2350000000000001</v>
      </c>
      <c r="T1897" s="21">
        <f>VLOOKUP($A1897,'2022-23 Salary &amp; Benefits'!$A:$I,5,FALSE)</f>
        <v>68937</v>
      </c>
      <c r="U1897" s="21">
        <f>VLOOKUP($A1897,'2022-23 Salary &amp; Benefits'!$A:$I,6,FALSE)</f>
        <v>72728</v>
      </c>
      <c r="V1897" s="22">
        <f t="shared" si="368"/>
        <v>87691.31</v>
      </c>
      <c r="W1897" s="22">
        <f t="shared" si="369"/>
        <v>4822.3399999999965</v>
      </c>
      <c r="X1897" s="22">
        <f>'2022-23 Salary &amp; Benefits'!$G$6</f>
        <v>12558.24</v>
      </c>
      <c r="Y1897" s="23">
        <f>'2022-23 Salary &amp; Benefits'!$H$6</f>
        <v>0.2298</v>
      </c>
      <c r="Z1897" s="23">
        <f>'2022-23 Salary &amp; Benefits'!$I$6</f>
        <v>0.22339999999999999</v>
      </c>
      <c r="AA1897" s="22">
        <f t="shared" si="370"/>
        <v>36738.199999999997</v>
      </c>
      <c r="AB1897" s="22">
        <f t="shared" si="371"/>
        <v>1541.89</v>
      </c>
      <c r="AC1897" s="22">
        <f t="shared" si="372"/>
        <v>344.46</v>
      </c>
      <c r="AD1897" s="22">
        <f t="shared" si="362"/>
        <v>1886.3500000000001</v>
      </c>
      <c r="AE1897" s="22">
        <f t="shared" si="363"/>
        <v>131138.19999999998</v>
      </c>
      <c r="AF1897" s="19" t="str">
        <f>VLOOKUP(C1897,'2021-22 School Level AAFTE'!C:N,12,FALSE)</f>
        <v>No</v>
      </c>
    </row>
    <row r="1898" spans="1:284" s="5" customFormat="1">
      <c r="A1898" s="97" t="s">
        <v>2486</v>
      </c>
      <c r="B1898" s="97" t="s">
        <v>1773</v>
      </c>
      <c r="C1898" s="95">
        <v>2106</v>
      </c>
      <c r="D1898" s="95" t="s">
        <v>1782</v>
      </c>
      <c r="E1898" s="129">
        <f>VLOOKUP($C1898,'2021-22 School Level AAFTE'!$C:$Z,11,FALSE)</f>
        <v>0.56243333333333334</v>
      </c>
      <c r="F1898" s="129" t="str">
        <f>VLOOKUP($C1898,'2021-22 School Level AAFTE'!$C:$Z,8,FALSE)</f>
        <v>Yes</v>
      </c>
      <c r="G1898" s="129" t="str">
        <f>VLOOKUP($C1898,'2021-22 School Level AAFTE'!$C:$Z,12,FALSE)</f>
        <v>No</v>
      </c>
      <c r="H1898" s="127">
        <f>VLOOKUP($C1898,'2021-22 School Level AAFTE'!$C:$I,7,FALSE)</f>
        <v>1537.47</v>
      </c>
      <c r="I1898" s="112">
        <f>IFERROR(IF(OR(G1898="yes",F1898= "yes"),VLOOKUP(C1898,Summary!$B:$J,6,0),0),0)</f>
        <v>0</v>
      </c>
      <c r="J1898" s="111">
        <f t="shared" si="366"/>
        <v>1537.47</v>
      </c>
      <c r="K1898" s="91">
        <f>VLOOKUP($A1898,'2022-23 Salary &amp; Benefits'!$A:$I,3,FALSE)</f>
        <v>1.03</v>
      </c>
      <c r="L1898" s="91">
        <f>VLOOKUP($A1898,'2022-23 Salary &amp; Benefits'!$A:$I,4,FALSE)</f>
        <v>1.03</v>
      </c>
      <c r="M1898" s="101">
        <f t="shared" si="361"/>
        <v>1537.47</v>
      </c>
      <c r="N1898" s="24">
        <v>15</v>
      </c>
      <c r="O1898" s="26">
        <f t="shared" si="364"/>
        <v>102.498</v>
      </c>
      <c r="P1898" s="24">
        <v>1.1000000000000001</v>
      </c>
      <c r="Q1898" s="24">
        <v>36</v>
      </c>
      <c r="R1898" s="27">
        <f t="shared" si="365"/>
        <v>4058.9208000000003</v>
      </c>
      <c r="S1898" s="102">
        <f t="shared" si="367"/>
        <v>4.51</v>
      </c>
      <c r="T1898" s="21">
        <f>VLOOKUP($A1898,'2022-23 Salary &amp; Benefits'!$A:$I,5,FALSE)</f>
        <v>68937</v>
      </c>
      <c r="U1898" s="21">
        <f>VLOOKUP($A1898,'2022-23 Salary &amp; Benefits'!$A:$I,6,FALSE)</f>
        <v>72728</v>
      </c>
      <c r="V1898" s="22">
        <f t="shared" si="368"/>
        <v>320233.05</v>
      </c>
      <c r="W1898" s="22">
        <f t="shared" si="369"/>
        <v>17610.330000000016</v>
      </c>
      <c r="X1898" s="22">
        <f>'2022-23 Salary &amp; Benefits'!$G$6</f>
        <v>12558.24</v>
      </c>
      <c r="Y1898" s="23">
        <f>'2022-23 Salary &amp; Benefits'!$H$6</f>
        <v>0.2298</v>
      </c>
      <c r="Z1898" s="23">
        <f>'2022-23 Salary &amp; Benefits'!$I$6</f>
        <v>0.22339999999999999</v>
      </c>
      <c r="AA1898" s="22">
        <f t="shared" si="370"/>
        <v>134161.37</v>
      </c>
      <c r="AB1898" s="22">
        <f t="shared" si="371"/>
        <v>5630.72</v>
      </c>
      <c r="AC1898" s="22">
        <f t="shared" si="372"/>
        <v>1257.9000000000001</v>
      </c>
      <c r="AD1898" s="22">
        <f t="shared" si="362"/>
        <v>6888.6200000000008</v>
      </c>
      <c r="AE1898" s="22">
        <f t="shared" si="363"/>
        <v>478893.37</v>
      </c>
      <c r="AF1898" s="19" t="str">
        <f>VLOOKUP(C1898,'2021-22 School Level AAFTE'!C:N,12,FALSE)</f>
        <v>No</v>
      </c>
    </row>
    <row r="1899" spans="1:284" s="5" customFormat="1">
      <c r="A1899" s="97" t="s">
        <v>2486</v>
      </c>
      <c r="B1899" s="97" t="s">
        <v>1773</v>
      </c>
      <c r="C1899" s="95">
        <v>2108</v>
      </c>
      <c r="D1899" s="95" t="s">
        <v>1783</v>
      </c>
      <c r="E1899" s="129">
        <f>VLOOKUP($C1899,'2021-22 School Level AAFTE'!$C:$Z,11,FALSE)</f>
        <v>0.91170000000000007</v>
      </c>
      <c r="F1899" s="129" t="str">
        <f>VLOOKUP($C1899,'2021-22 School Level AAFTE'!$C:$Z,8,FALSE)</f>
        <v>Yes</v>
      </c>
      <c r="G1899" s="129" t="str">
        <f>VLOOKUP($C1899,'2021-22 School Level AAFTE'!$C:$Z,12,FALSE)</f>
        <v>No</v>
      </c>
      <c r="H1899" s="127">
        <f>VLOOKUP($C1899,'2021-22 School Level AAFTE'!$C:$I,7,FALSE)</f>
        <v>420.77</v>
      </c>
      <c r="I1899" s="112">
        <f>IFERROR(IF(OR(G1899="yes",F1899= "yes"),VLOOKUP(C1899,Summary!$B:$J,6,0),0),0)</f>
        <v>0</v>
      </c>
      <c r="J1899" s="111">
        <f t="shared" si="366"/>
        <v>420.77</v>
      </c>
      <c r="K1899" s="91">
        <f>VLOOKUP($A1899,'2022-23 Salary &amp; Benefits'!$A:$I,3,FALSE)</f>
        <v>1.03</v>
      </c>
      <c r="L1899" s="91">
        <f>VLOOKUP($A1899,'2022-23 Salary &amp; Benefits'!$A:$I,4,FALSE)</f>
        <v>1.03</v>
      </c>
      <c r="M1899" s="101">
        <f t="shared" si="361"/>
        <v>420.77</v>
      </c>
      <c r="N1899" s="24">
        <v>15</v>
      </c>
      <c r="O1899" s="26">
        <f t="shared" si="364"/>
        <v>28.051333333333332</v>
      </c>
      <c r="P1899" s="24">
        <v>1.1000000000000001</v>
      </c>
      <c r="Q1899" s="24">
        <v>36</v>
      </c>
      <c r="R1899" s="27">
        <f t="shared" si="365"/>
        <v>1110.8328000000001</v>
      </c>
      <c r="S1899" s="102">
        <f t="shared" si="367"/>
        <v>1.234</v>
      </c>
      <c r="T1899" s="21">
        <f>VLOOKUP($A1899,'2022-23 Salary &amp; Benefits'!$A:$I,5,FALSE)</f>
        <v>68937</v>
      </c>
      <c r="U1899" s="21">
        <f>VLOOKUP($A1899,'2022-23 Salary &amp; Benefits'!$A:$I,6,FALSE)</f>
        <v>72728</v>
      </c>
      <c r="V1899" s="22">
        <f t="shared" si="368"/>
        <v>87620.31</v>
      </c>
      <c r="W1899" s="22">
        <f t="shared" si="369"/>
        <v>4818.4300000000076</v>
      </c>
      <c r="X1899" s="22">
        <f>'2022-23 Salary &amp; Benefits'!$G$6</f>
        <v>12558.24</v>
      </c>
      <c r="Y1899" s="23">
        <f>'2022-23 Salary &amp; Benefits'!$H$6</f>
        <v>0.2298</v>
      </c>
      <c r="Z1899" s="23">
        <f>'2022-23 Salary &amp; Benefits'!$I$6</f>
        <v>0.22339999999999999</v>
      </c>
      <c r="AA1899" s="22">
        <f t="shared" si="370"/>
        <v>36708.449999999997</v>
      </c>
      <c r="AB1899" s="22">
        <f t="shared" si="371"/>
        <v>1540.65</v>
      </c>
      <c r="AC1899" s="22">
        <f t="shared" si="372"/>
        <v>344.18</v>
      </c>
      <c r="AD1899" s="22">
        <f t="shared" si="362"/>
        <v>1884.8300000000002</v>
      </c>
      <c r="AE1899" s="22">
        <f t="shared" si="363"/>
        <v>131032.02</v>
      </c>
      <c r="AF1899" s="19" t="str">
        <f>VLOOKUP(C1899,'2021-22 School Level AAFTE'!C:N,12,FALSE)</f>
        <v>No</v>
      </c>
    </row>
    <row r="1900" spans="1:284" s="5" customFormat="1">
      <c r="A1900" s="97" t="s">
        <v>2486</v>
      </c>
      <c r="B1900" s="97" t="s">
        <v>1773</v>
      </c>
      <c r="C1900" s="95">
        <v>2109</v>
      </c>
      <c r="D1900" s="95" t="s">
        <v>1784</v>
      </c>
      <c r="E1900" s="129">
        <f>VLOOKUP($C1900,'2021-22 School Level AAFTE'!$C:$Z,11,FALSE)</f>
        <v>0.7631</v>
      </c>
      <c r="F1900" s="129" t="str">
        <f>VLOOKUP($C1900,'2021-22 School Level AAFTE'!$C:$Z,8,FALSE)</f>
        <v>Yes</v>
      </c>
      <c r="G1900" s="129" t="str">
        <f>VLOOKUP($C1900,'2021-22 School Level AAFTE'!$C:$Z,12,FALSE)</f>
        <v>No</v>
      </c>
      <c r="H1900" s="127">
        <f>VLOOKUP($C1900,'2021-22 School Level AAFTE'!$C:$I,7,FALSE)</f>
        <v>496.71</v>
      </c>
      <c r="I1900" s="112">
        <f>IFERROR(IF(OR(G1900="yes",F1900= "yes"),VLOOKUP(C1900,Summary!$B:$J,6,0),0),0)</f>
        <v>0</v>
      </c>
      <c r="J1900" s="111">
        <f t="shared" si="366"/>
        <v>496.71</v>
      </c>
      <c r="K1900" s="91">
        <f>VLOOKUP($A1900,'2022-23 Salary &amp; Benefits'!$A:$I,3,FALSE)</f>
        <v>1.03</v>
      </c>
      <c r="L1900" s="91">
        <f>VLOOKUP($A1900,'2022-23 Salary &amp; Benefits'!$A:$I,4,FALSE)</f>
        <v>1.03</v>
      </c>
      <c r="M1900" s="101">
        <f t="shared" si="361"/>
        <v>496.71</v>
      </c>
      <c r="N1900" s="24">
        <v>15</v>
      </c>
      <c r="O1900" s="26">
        <f t="shared" si="364"/>
        <v>33.113999999999997</v>
      </c>
      <c r="P1900" s="24">
        <v>1.1000000000000001</v>
      </c>
      <c r="Q1900" s="24">
        <v>36</v>
      </c>
      <c r="R1900" s="27">
        <f t="shared" si="365"/>
        <v>1311.3144000000002</v>
      </c>
      <c r="S1900" s="102">
        <f t="shared" si="367"/>
        <v>1.4570000000000001</v>
      </c>
      <c r="T1900" s="21">
        <f>VLOOKUP($A1900,'2022-23 Salary &amp; Benefits'!$A:$I,5,FALSE)</f>
        <v>68937</v>
      </c>
      <c r="U1900" s="21">
        <f>VLOOKUP($A1900,'2022-23 Salary &amp; Benefits'!$A:$I,6,FALSE)</f>
        <v>72728</v>
      </c>
      <c r="V1900" s="22">
        <f t="shared" si="368"/>
        <v>103454.45</v>
      </c>
      <c r="W1900" s="22">
        <f t="shared" si="369"/>
        <v>5689.1900000000023</v>
      </c>
      <c r="X1900" s="22">
        <f>'2022-23 Salary &amp; Benefits'!$G$6</f>
        <v>12558.24</v>
      </c>
      <c r="Y1900" s="23">
        <f>'2022-23 Salary &amp; Benefits'!$H$6</f>
        <v>0.2298</v>
      </c>
      <c r="Z1900" s="23">
        <f>'2022-23 Salary &amp; Benefits'!$I$6</f>
        <v>0.22339999999999999</v>
      </c>
      <c r="AA1900" s="22">
        <f t="shared" si="370"/>
        <v>43342.15</v>
      </c>
      <c r="AB1900" s="22">
        <f t="shared" si="371"/>
        <v>1819.06</v>
      </c>
      <c r="AC1900" s="22">
        <f t="shared" si="372"/>
        <v>406.38</v>
      </c>
      <c r="AD1900" s="22">
        <f t="shared" si="362"/>
        <v>2225.44</v>
      </c>
      <c r="AE1900" s="22">
        <f t="shared" si="363"/>
        <v>154711.23000000001</v>
      </c>
      <c r="AF1900" s="19" t="str">
        <f>VLOOKUP(C1900,'2021-22 School Level AAFTE'!C:N,12,FALSE)</f>
        <v>No</v>
      </c>
    </row>
    <row r="1901" spans="1:284" s="5" customFormat="1">
      <c r="A1901" s="97" t="s">
        <v>2486</v>
      </c>
      <c r="B1901" s="97" t="s">
        <v>1773</v>
      </c>
      <c r="C1901" s="95">
        <v>2110</v>
      </c>
      <c r="D1901" s="95" t="s">
        <v>1785</v>
      </c>
      <c r="E1901" s="129">
        <f>VLOOKUP($C1901,'2021-22 School Level AAFTE'!$C:$Z,11,FALSE)</f>
        <v>0.86603333333333332</v>
      </c>
      <c r="F1901" s="129" t="str">
        <f>VLOOKUP($C1901,'2021-22 School Level AAFTE'!$C:$Z,8,FALSE)</f>
        <v>Yes</v>
      </c>
      <c r="G1901" s="129" t="str">
        <f>VLOOKUP($C1901,'2021-22 School Level AAFTE'!$C:$Z,12,FALSE)</f>
        <v>No</v>
      </c>
      <c r="H1901" s="127">
        <f>VLOOKUP($C1901,'2021-22 School Level AAFTE'!$C:$I,7,FALSE)</f>
        <v>403.62</v>
      </c>
      <c r="I1901" s="112">
        <f>IFERROR(IF(OR(G1901="yes",F1901= "yes"),VLOOKUP(C1901,Summary!$B:$J,6,0),0),0)</f>
        <v>0</v>
      </c>
      <c r="J1901" s="111">
        <f t="shared" si="366"/>
        <v>403.62</v>
      </c>
      <c r="K1901" s="91">
        <f>VLOOKUP($A1901,'2022-23 Salary &amp; Benefits'!$A:$I,3,FALSE)</f>
        <v>1.03</v>
      </c>
      <c r="L1901" s="91">
        <f>VLOOKUP($A1901,'2022-23 Salary &amp; Benefits'!$A:$I,4,FALSE)</f>
        <v>1.03</v>
      </c>
      <c r="M1901" s="101">
        <f t="shared" si="361"/>
        <v>403.62</v>
      </c>
      <c r="N1901" s="24">
        <v>15</v>
      </c>
      <c r="O1901" s="26">
        <f t="shared" si="364"/>
        <v>26.908000000000001</v>
      </c>
      <c r="P1901" s="24">
        <v>1.1000000000000001</v>
      </c>
      <c r="Q1901" s="24">
        <v>36</v>
      </c>
      <c r="R1901" s="27">
        <f t="shared" si="365"/>
        <v>1065.5568000000001</v>
      </c>
      <c r="S1901" s="102">
        <f t="shared" si="367"/>
        <v>1.1839999999999999</v>
      </c>
      <c r="T1901" s="21">
        <f>VLOOKUP($A1901,'2022-23 Salary &amp; Benefits'!$A:$I,5,FALSE)</f>
        <v>68937</v>
      </c>
      <c r="U1901" s="21">
        <f>VLOOKUP($A1901,'2022-23 Salary &amp; Benefits'!$A:$I,6,FALSE)</f>
        <v>72728</v>
      </c>
      <c r="V1901" s="22">
        <f t="shared" si="368"/>
        <v>84070.05</v>
      </c>
      <c r="W1901" s="22">
        <f t="shared" si="369"/>
        <v>4623.1999999999971</v>
      </c>
      <c r="X1901" s="22">
        <f>'2022-23 Salary &amp; Benefits'!$G$6</f>
        <v>12558.24</v>
      </c>
      <c r="Y1901" s="23">
        <f>'2022-23 Salary &amp; Benefits'!$H$6</f>
        <v>0.2298</v>
      </c>
      <c r="Z1901" s="23">
        <f>'2022-23 Salary &amp; Benefits'!$I$6</f>
        <v>0.22339999999999999</v>
      </c>
      <c r="AA1901" s="22">
        <f t="shared" si="370"/>
        <v>35221.08</v>
      </c>
      <c r="AB1901" s="22">
        <f t="shared" si="371"/>
        <v>1478.22</v>
      </c>
      <c r="AC1901" s="22">
        <f t="shared" si="372"/>
        <v>330.23</v>
      </c>
      <c r="AD1901" s="22">
        <f t="shared" si="362"/>
        <v>1808.45</v>
      </c>
      <c r="AE1901" s="22">
        <f t="shared" si="363"/>
        <v>125722.78</v>
      </c>
      <c r="AF1901" s="19" t="str">
        <f>VLOOKUP(C1901,'2021-22 School Level AAFTE'!C:N,12,FALSE)</f>
        <v>No</v>
      </c>
    </row>
    <row r="1902" spans="1:284" s="5" customFormat="1">
      <c r="A1902" s="97" t="s">
        <v>2486</v>
      </c>
      <c r="B1902" s="97" t="s">
        <v>1773</v>
      </c>
      <c r="C1902" s="95">
        <v>2111</v>
      </c>
      <c r="D1902" s="95" t="s">
        <v>79</v>
      </c>
      <c r="E1902" s="129">
        <f>VLOOKUP($C1902,'2021-22 School Level AAFTE'!$C:$Z,11,FALSE)</f>
        <v>0.32790000000000002</v>
      </c>
      <c r="F1902" s="129" t="str">
        <f>VLOOKUP($C1902,'2021-22 School Level AAFTE'!$C:$Z,8,FALSE)</f>
        <v>No</v>
      </c>
      <c r="G1902" s="129" t="str">
        <f>VLOOKUP($C1902,'2021-22 School Level AAFTE'!$C:$Z,12,FALSE)</f>
        <v>No</v>
      </c>
      <c r="H1902" s="127">
        <f>VLOOKUP($C1902,'2021-22 School Level AAFTE'!$C:$I,7,FALSE)</f>
        <v>421.38</v>
      </c>
      <c r="I1902" s="112">
        <f>IFERROR(IF(OR(G1902="yes",F1902= "yes"),VLOOKUP(C1902,Summary!$B:$J,6,0),0),0)</f>
        <v>0</v>
      </c>
      <c r="J1902" s="111">
        <f t="shared" si="366"/>
        <v>0</v>
      </c>
      <c r="K1902" s="91">
        <f>VLOOKUP($A1902,'2022-23 Salary &amp; Benefits'!$A:$I,3,FALSE)</f>
        <v>1.03</v>
      </c>
      <c r="L1902" s="91">
        <f>VLOOKUP($A1902,'2022-23 Salary &amp; Benefits'!$A:$I,4,FALSE)</f>
        <v>1.03</v>
      </c>
      <c r="M1902" s="101">
        <f t="shared" si="361"/>
        <v>0</v>
      </c>
      <c r="N1902" s="24">
        <v>15</v>
      </c>
      <c r="O1902" s="26">
        <f t="shared" si="364"/>
        <v>0</v>
      </c>
      <c r="P1902" s="24">
        <v>1.1000000000000001</v>
      </c>
      <c r="Q1902" s="24">
        <v>36</v>
      </c>
      <c r="R1902" s="27">
        <f t="shared" si="365"/>
        <v>0</v>
      </c>
      <c r="S1902" s="102">
        <f t="shared" si="367"/>
        <v>0</v>
      </c>
      <c r="T1902" s="21">
        <f>VLOOKUP($A1902,'2022-23 Salary &amp; Benefits'!$A:$I,5,FALSE)</f>
        <v>68937</v>
      </c>
      <c r="U1902" s="21">
        <f>VLOOKUP($A1902,'2022-23 Salary &amp; Benefits'!$A:$I,6,FALSE)</f>
        <v>72728</v>
      </c>
      <c r="V1902" s="22">
        <f t="shared" si="368"/>
        <v>0</v>
      </c>
      <c r="W1902" s="22">
        <f t="shared" si="369"/>
        <v>0</v>
      </c>
      <c r="X1902" s="22">
        <f>'2022-23 Salary &amp; Benefits'!$G$6</f>
        <v>12558.24</v>
      </c>
      <c r="Y1902" s="23">
        <f>'2022-23 Salary &amp; Benefits'!$H$6</f>
        <v>0.2298</v>
      </c>
      <c r="Z1902" s="23">
        <f>'2022-23 Salary &amp; Benefits'!$I$6</f>
        <v>0.22339999999999999</v>
      </c>
      <c r="AA1902" s="22">
        <f t="shared" si="370"/>
        <v>0</v>
      </c>
      <c r="AB1902" s="22">
        <f t="shared" si="371"/>
        <v>0</v>
      </c>
      <c r="AC1902" s="22">
        <f t="shared" si="372"/>
        <v>0</v>
      </c>
      <c r="AD1902" s="22">
        <f t="shared" si="362"/>
        <v>0</v>
      </c>
      <c r="AE1902" s="22">
        <f t="shared" si="363"/>
        <v>0</v>
      </c>
      <c r="AF1902" s="19" t="str">
        <f>VLOOKUP(C1902,'2021-22 School Level AAFTE'!C:N,12,FALSE)</f>
        <v>No</v>
      </c>
    </row>
    <row r="1903" spans="1:284" s="5" customFormat="1">
      <c r="A1903" s="97" t="s">
        <v>2486</v>
      </c>
      <c r="B1903" s="97" t="s">
        <v>1773</v>
      </c>
      <c r="C1903" s="95">
        <v>2127</v>
      </c>
      <c r="D1903" s="95" t="s">
        <v>139</v>
      </c>
      <c r="E1903" s="129">
        <f>VLOOKUP($C1903,'2021-22 School Level AAFTE'!$C:$Z,11,FALSE)</f>
        <v>0.45693333333333336</v>
      </c>
      <c r="F1903" s="129" t="str">
        <f>VLOOKUP($C1903,'2021-22 School Level AAFTE'!$C:$Z,8,FALSE)</f>
        <v>No</v>
      </c>
      <c r="G1903" s="129" t="str">
        <f>VLOOKUP($C1903,'2021-22 School Level AAFTE'!$C:$Z,12,FALSE)</f>
        <v>No</v>
      </c>
      <c r="H1903" s="127">
        <f>VLOOKUP($C1903,'2021-22 School Level AAFTE'!$C:$I,7,FALSE)</f>
        <v>429.55</v>
      </c>
      <c r="I1903" s="112">
        <f>IFERROR(IF(OR(G1903="yes",F1903= "yes"),VLOOKUP(C1903,Summary!$B:$J,6,0),0),0)</f>
        <v>0</v>
      </c>
      <c r="J1903" s="111">
        <f t="shared" si="366"/>
        <v>0</v>
      </c>
      <c r="K1903" s="91">
        <f>VLOOKUP($A1903,'2022-23 Salary &amp; Benefits'!$A:$I,3,FALSE)</f>
        <v>1.03</v>
      </c>
      <c r="L1903" s="91">
        <f>VLOOKUP($A1903,'2022-23 Salary &amp; Benefits'!$A:$I,4,FALSE)</f>
        <v>1.03</v>
      </c>
      <c r="M1903" s="101">
        <f t="shared" si="361"/>
        <v>0</v>
      </c>
      <c r="N1903" s="24">
        <v>15</v>
      </c>
      <c r="O1903" s="26">
        <f t="shared" si="364"/>
        <v>0</v>
      </c>
      <c r="P1903" s="24">
        <v>1.1000000000000001</v>
      </c>
      <c r="Q1903" s="24">
        <v>36</v>
      </c>
      <c r="R1903" s="27">
        <f t="shared" si="365"/>
        <v>0</v>
      </c>
      <c r="S1903" s="102">
        <f t="shared" si="367"/>
        <v>0</v>
      </c>
      <c r="T1903" s="21">
        <f>VLOOKUP($A1903,'2022-23 Salary &amp; Benefits'!$A:$I,5,FALSE)</f>
        <v>68937</v>
      </c>
      <c r="U1903" s="21">
        <f>VLOOKUP($A1903,'2022-23 Salary &amp; Benefits'!$A:$I,6,FALSE)</f>
        <v>72728</v>
      </c>
      <c r="V1903" s="22">
        <f t="shared" si="368"/>
        <v>0</v>
      </c>
      <c r="W1903" s="22">
        <f t="shared" si="369"/>
        <v>0</v>
      </c>
      <c r="X1903" s="22">
        <f>'2022-23 Salary &amp; Benefits'!$G$6</f>
        <v>12558.24</v>
      </c>
      <c r="Y1903" s="23">
        <f>'2022-23 Salary &amp; Benefits'!$H$6</f>
        <v>0.2298</v>
      </c>
      <c r="Z1903" s="23">
        <f>'2022-23 Salary &amp; Benefits'!$I$6</f>
        <v>0.22339999999999999</v>
      </c>
      <c r="AA1903" s="22">
        <f t="shared" si="370"/>
        <v>0</v>
      </c>
      <c r="AB1903" s="22">
        <f t="shared" si="371"/>
        <v>0</v>
      </c>
      <c r="AC1903" s="22">
        <f t="shared" si="372"/>
        <v>0</v>
      </c>
      <c r="AD1903" s="22">
        <f t="shared" si="362"/>
        <v>0</v>
      </c>
      <c r="AE1903" s="22">
        <f t="shared" si="363"/>
        <v>0</v>
      </c>
      <c r="AF1903" s="19" t="str">
        <f>VLOOKUP(C1903,'2021-22 School Level AAFTE'!C:N,12,FALSE)</f>
        <v>No</v>
      </c>
    </row>
    <row r="1904" spans="1:284" s="5" customFormat="1">
      <c r="A1904" s="97" t="s">
        <v>2486</v>
      </c>
      <c r="B1904" s="97" t="s">
        <v>1773</v>
      </c>
      <c r="C1904" s="95">
        <v>2128</v>
      </c>
      <c r="D1904" s="95" t="s">
        <v>908</v>
      </c>
      <c r="E1904" s="129">
        <f>VLOOKUP($C1904,'2021-22 School Level AAFTE'!$C:$Z,11,FALSE)</f>
        <v>0.86076666666666668</v>
      </c>
      <c r="F1904" s="129" t="str">
        <f>VLOOKUP($C1904,'2021-22 School Level AAFTE'!$C:$Z,8,FALSE)</f>
        <v>Yes</v>
      </c>
      <c r="G1904" s="129" t="str">
        <f>VLOOKUP($C1904,'2021-22 School Level AAFTE'!$C:$Z,12,FALSE)</f>
        <v>No</v>
      </c>
      <c r="H1904" s="127">
        <f>VLOOKUP($C1904,'2021-22 School Level AAFTE'!$C:$I,7,FALSE)</f>
        <v>487</v>
      </c>
      <c r="I1904" s="112">
        <f>IFERROR(IF(OR(G1904="yes",F1904= "yes"),VLOOKUP(C1904,Summary!$B:$J,6,0),0),0)</f>
        <v>0</v>
      </c>
      <c r="J1904" s="111">
        <f t="shared" si="366"/>
        <v>487</v>
      </c>
      <c r="K1904" s="91">
        <f>VLOOKUP($A1904,'2022-23 Salary &amp; Benefits'!$A:$I,3,FALSE)</f>
        <v>1.03</v>
      </c>
      <c r="L1904" s="91">
        <f>VLOOKUP($A1904,'2022-23 Salary &amp; Benefits'!$A:$I,4,FALSE)</f>
        <v>1.03</v>
      </c>
      <c r="M1904" s="101">
        <f t="shared" si="361"/>
        <v>487</v>
      </c>
      <c r="N1904" s="24">
        <v>15</v>
      </c>
      <c r="O1904" s="26">
        <f t="shared" si="364"/>
        <v>32.466666666666669</v>
      </c>
      <c r="P1904" s="24">
        <v>1.1000000000000001</v>
      </c>
      <c r="Q1904" s="24">
        <v>36</v>
      </c>
      <c r="R1904" s="27">
        <f t="shared" si="365"/>
        <v>1285.6800000000003</v>
      </c>
      <c r="S1904" s="102">
        <f t="shared" si="367"/>
        <v>1.429</v>
      </c>
      <c r="T1904" s="21">
        <f>VLOOKUP($A1904,'2022-23 Salary &amp; Benefits'!$A:$I,5,FALSE)</f>
        <v>68937</v>
      </c>
      <c r="U1904" s="21">
        <f>VLOOKUP($A1904,'2022-23 Salary &amp; Benefits'!$A:$I,6,FALSE)</f>
        <v>72728</v>
      </c>
      <c r="V1904" s="22">
        <f t="shared" si="368"/>
        <v>101466.3</v>
      </c>
      <c r="W1904" s="22">
        <f t="shared" si="369"/>
        <v>5579.8600000000006</v>
      </c>
      <c r="X1904" s="22">
        <f>'2022-23 Salary &amp; Benefits'!$G$6</f>
        <v>12558.24</v>
      </c>
      <c r="Y1904" s="23">
        <f>'2022-23 Salary &amp; Benefits'!$H$6</f>
        <v>0.2298</v>
      </c>
      <c r="Z1904" s="23">
        <f>'2022-23 Salary &amp; Benefits'!$I$6</f>
        <v>0.22339999999999999</v>
      </c>
      <c r="AA1904" s="22">
        <f t="shared" si="370"/>
        <v>42509.22</v>
      </c>
      <c r="AB1904" s="22">
        <f t="shared" si="371"/>
        <v>1784.1</v>
      </c>
      <c r="AC1904" s="22">
        <f t="shared" si="372"/>
        <v>398.57</v>
      </c>
      <c r="AD1904" s="22">
        <f t="shared" si="362"/>
        <v>2182.67</v>
      </c>
      <c r="AE1904" s="22">
        <f t="shared" si="363"/>
        <v>151738.05000000002</v>
      </c>
      <c r="AF1904" s="19" t="str">
        <f>VLOOKUP(C1904,'2021-22 School Level AAFTE'!C:N,12,FALSE)</f>
        <v>No</v>
      </c>
    </row>
    <row r="1905" spans="1:284" s="5" customFormat="1">
      <c r="A1905" s="97" t="s">
        <v>2486</v>
      </c>
      <c r="B1905" s="97" t="s">
        <v>1773</v>
      </c>
      <c r="C1905" s="95">
        <v>2129</v>
      </c>
      <c r="D1905" s="95" t="s">
        <v>1786</v>
      </c>
      <c r="E1905" s="129">
        <f>VLOOKUP($C1905,'2021-22 School Level AAFTE'!$C:$Z,11,FALSE)</f>
        <v>0.74529999999999996</v>
      </c>
      <c r="F1905" s="129" t="str">
        <f>VLOOKUP($C1905,'2021-22 School Level AAFTE'!$C:$Z,8,FALSE)</f>
        <v>Yes</v>
      </c>
      <c r="G1905" s="129" t="str">
        <f>VLOOKUP($C1905,'2021-22 School Level AAFTE'!$C:$Z,12,FALSE)</f>
        <v>No</v>
      </c>
      <c r="H1905" s="127">
        <f>VLOOKUP($C1905,'2021-22 School Level AAFTE'!$C:$I,7,FALSE)</f>
        <v>417.93</v>
      </c>
      <c r="I1905" s="112">
        <f>IFERROR(IF(OR(G1905="yes",F1905= "yes"),VLOOKUP(C1905,Summary!$B:$J,6,0),0),0)</f>
        <v>0</v>
      </c>
      <c r="J1905" s="111">
        <f t="shared" si="366"/>
        <v>417.93</v>
      </c>
      <c r="K1905" s="91">
        <f>VLOOKUP($A1905,'2022-23 Salary &amp; Benefits'!$A:$I,3,FALSE)</f>
        <v>1.03</v>
      </c>
      <c r="L1905" s="91">
        <f>VLOOKUP($A1905,'2022-23 Salary &amp; Benefits'!$A:$I,4,FALSE)</f>
        <v>1.03</v>
      </c>
      <c r="M1905" s="101">
        <f t="shared" si="361"/>
        <v>417.93</v>
      </c>
      <c r="N1905" s="24">
        <v>15</v>
      </c>
      <c r="O1905" s="26">
        <f t="shared" si="364"/>
        <v>27.862000000000002</v>
      </c>
      <c r="P1905" s="24">
        <v>1.1000000000000001</v>
      </c>
      <c r="Q1905" s="24">
        <v>36</v>
      </c>
      <c r="R1905" s="27">
        <f t="shared" si="365"/>
        <v>1103.3352</v>
      </c>
      <c r="S1905" s="102">
        <f t="shared" si="367"/>
        <v>1.226</v>
      </c>
      <c r="T1905" s="21">
        <f>VLOOKUP($A1905,'2022-23 Salary &amp; Benefits'!$A:$I,5,FALSE)</f>
        <v>68937</v>
      </c>
      <c r="U1905" s="21">
        <f>VLOOKUP($A1905,'2022-23 Salary &amp; Benefits'!$A:$I,6,FALSE)</f>
        <v>72728</v>
      </c>
      <c r="V1905" s="22">
        <f t="shared" si="368"/>
        <v>87052.26</v>
      </c>
      <c r="W1905" s="22">
        <f t="shared" si="369"/>
        <v>4787.2000000000116</v>
      </c>
      <c r="X1905" s="22">
        <f>'2022-23 Salary &amp; Benefits'!$G$6</f>
        <v>12558.24</v>
      </c>
      <c r="Y1905" s="23">
        <f>'2022-23 Salary &amp; Benefits'!$H$6</f>
        <v>0.2298</v>
      </c>
      <c r="Z1905" s="23">
        <f>'2022-23 Salary &amp; Benefits'!$I$6</f>
        <v>0.22339999999999999</v>
      </c>
      <c r="AA1905" s="22">
        <f t="shared" si="370"/>
        <v>36470.47</v>
      </c>
      <c r="AB1905" s="22">
        <f t="shared" si="371"/>
        <v>1530.66</v>
      </c>
      <c r="AC1905" s="22">
        <f t="shared" si="372"/>
        <v>341.95</v>
      </c>
      <c r="AD1905" s="22">
        <f t="shared" si="362"/>
        <v>1872.6100000000001</v>
      </c>
      <c r="AE1905" s="22">
        <f t="shared" si="363"/>
        <v>130182.54000000001</v>
      </c>
      <c r="AF1905" s="19" t="str">
        <f>VLOOKUP(C1905,'2021-22 School Level AAFTE'!C:N,12,FALSE)</f>
        <v>No</v>
      </c>
    </row>
    <row r="1906" spans="1:284" s="5" customFormat="1">
      <c r="A1906" s="97" t="s">
        <v>2486</v>
      </c>
      <c r="B1906" s="97" t="s">
        <v>1773</v>
      </c>
      <c r="C1906" s="95">
        <v>2155</v>
      </c>
      <c r="D1906" s="95" t="s">
        <v>1787</v>
      </c>
      <c r="E1906" s="129">
        <f>VLOOKUP($C1906,'2021-22 School Level AAFTE'!$C:$Z,11,FALSE)</f>
        <v>0.87063333333333326</v>
      </c>
      <c r="F1906" s="129" t="str">
        <f>VLOOKUP($C1906,'2021-22 School Level AAFTE'!$C:$Z,8,FALSE)</f>
        <v>Yes</v>
      </c>
      <c r="G1906" s="129" t="str">
        <f>VLOOKUP($C1906,'2021-22 School Level AAFTE'!$C:$Z,12,FALSE)</f>
        <v>No</v>
      </c>
      <c r="H1906" s="127">
        <f>VLOOKUP($C1906,'2021-22 School Level AAFTE'!$C:$I,7,FALSE)</f>
        <v>427.59</v>
      </c>
      <c r="I1906" s="112">
        <f>IFERROR(IF(OR(G1906="yes",F1906= "yes"),VLOOKUP(C1906,Summary!$B:$J,6,0),0),0)</f>
        <v>0</v>
      </c>
      <c r="J1906" s="111">
        <f t="shared" si="366"/>
        <v>427.59</v>
      </c>
      <c r="K1906" s="91">
        <f>VLOOKUP($A1906,'2022-23 Salary &amp; Benefits'!$A:$I,3,FALSE)</f>
        <v>1.03</v>
      </c>
      <c r="L1906" s="91">
        <f>VLOOKUP($A1906,'2022-23 Salary &amp; Benefits'!$A:$I,4,FALSE)</f>
        <v>1.03</v>
      </c>
      <c r="M1906" s="101">
        <f t="shared" si="361"/>
        <v>427.59</v>
      </c>
      <c r="N1906" s="24">
        <v>15</v>
      </c>
      <c r="O1906" s="26">
        <f t="shared" si="364"/>
        <v>28.505999999999997</v>
      </c>
      <c r="P1906" s="24">
        <v>1.1000000000000001</v>
      </c>
      <c r="Q1906" s="24">
        <v>36</v>
      </c>
      <c r="R1906" s="27">
        <f t="shared" si="365"/>
        <v>1128.8376000000001</v>
      </c>
      <c r="S1906" s="102">
        <f t="shared" si="367"/>
        <v>1.254</v>
      </c>
      <c r="T1906" s="21">
        <f>VLOOKUP($A1906,'2022-23 Salary &amp; Benefits'!$A:$I,5,FALSE)</f>
        <v>68937</v>
      </c>
      <c r="U1906" s="21">
        <f>VLOOKUP($A1906,'2022-23 Salary &amp; Benefits'!$A:$I,6,FALSE)</f>
        <v>72728</v>
      </c>
      <c r="V1906" s="22">
        <f t="shared" si="368"/>
        <v>89040.41</v>
      </c>
      <c r="W1906" s="22">
        <f t="shared" si="369"/>
        <v>4896.5299999999988</v>
      </c>
      <c r="X1906" s="22">
        <f>'2022-23 Salary &amp; Benefits'!$G$6</f>
        <v>12558.24</v>
      </c>
      <c r="Y1906" s="23">
        <f>'2022-23 Salary &amp; Benefits'!$H$6</f>
        <v>0.2298</v>
      </c>
      <c r="Z1906" s="23">
        <f>'2022-23 Salary &amp; Benefits'!$I$6</f>
        <v>0.22339999999999999</v>
      </c>
      <c r="AA1906" s="22">
        <f t="shared" si="370"/>
        <v>37303.4</v>
      </c>
      <c r="AB1906" s="22">
        <f t="shared" si="371"/>
        <v>1565.62</v>
      </c>
      <c r="AC1906" s="22">
        <f t="shared" si="372"/>
        <v>349.76</v>
      </c>
      <c r="AD1906" s="22">
        <f t="shared" si="362"/>
        <v>1915.3799999999999</v>
      </c>
      <c r="AE1906" s="22">
        <f t="shared" si="363"/>
        <v>133155.72</v>
      </c>
      <c r="AF1906" s="19" t="str">
        <f>VLOOKUP(C1906,'2021-22 School Level AAFTE'!C:N,12,FALSE)</f>
        <v>No</v>
      </c>
    </row>
    <row r="1907" spans="1:284" s="5" customFormat="1">
      <c r="A1907" s="97" t="s">
        <v>2486</v>
      </c>
      <c r="B1907" s="97" t="s">
        <v>1773</v>
      </c>
      <c r="C1907" s="95">
        <v>2156</v>
      </c>
      <c r="D1907" s="95" t="s">
        <v>1788</v>
      </c>
      <c r="E1907" s="129">
        <f>VLOOKUP($C1907,'2021-22 School Level AAFTE'!$C:$Z,11,FALSE)</f>
        <v>0.68230000000000002</v>
      </c>
      <c r="F1907" s="129" t="str">
        <f>VLOOKUP($C1907,'2021-22 School Level AAFTE'!$C:$Z,8,FALSE)</f>
        <v>Yes</v>
      </c>
      <c r="G1907" s="129" t="str">
        <f>VLOOKUP($C1907,'2021-22 School Level AAFTE'!$C:$Z,12,FALSE)</f>
        <v>No</v>
      </c>
      <c r="H1907" s="127">
        <f>VLOOKUP($C1907,'2021-22 School Level AAFTE'!$C:$I,7,FALSE)</f>
        <v>359</v>
      </c>
      <c r="I1907" s="112">
        <f>IFERROR(IF(OR(G1907="yes",F1907= "yes"),VLOOKUP(C1907,Summary!$B:$J,6,0),0),0)</f>
        <v>0</v>
      </c>
      <c r="J1907" s="111">
        <f t="shared" si="366"/>
        <v>359</v>
      </c>
      <c r="K1907" s="91">
        <f>VLOOKUP($A1907,'2022-23 Salary &amp; Benefits'!$A:$I,3,FALSE)</f>
        <v>1.03</v>
      </c>
      <c r="L1907" s="91">
        <f>VLOOKUP($A1907,'2022-23 Salary &amp; Benefits'!$A:$I,4,FALSE)</f>
        <v>1.03</v>
      </c>
      <c r="M1907" s="101">
        <f t="shared" si="361"/>
        <v>359</v>
      </c>
      <c r="N1907" s="24">
        <v>15</v>
      </c>
      <c r="O1907" s="26">
        <f t="shared" si="364"/>
        <v>23.933333333333334</v>
      </c>
      <c r="P1907" s="24">
        <v>1.1000000000000001</v>
      </c>
      <c r="Q1907" s="24">
        <v>36</v>
      </c>
      <c r="R1907" s="27">
        <f t="shared" si="365"/>
        <v>947.76</v>
      </c>
      <c r="S1907" s="102">
        <f t="shared" si="367"/>
        <v>1.0529999999999999</v>
      </c>
      <c r="T1907" s="21">
        <f>VLOOKUP($A1907,'2022-23 Salary &amp; Benefits'!$A:$I,5,FALSE)</f>
        <v>68937</v>
      </c>
      <c r="U1907" s="21">
        <f>VLOOKUP($A1907,'2022-23 Salary &amp; Benefits'!$A:$I,6,FALSE)</f>
        <v>72728</v>
      </c>
      <c r="V1907" s="22">
        <f t="shared" si="368"/>
        <v>74768.38</v>
      </c>
      <c r="W1907" s="22">
        <f t="shared" si="369"/>
        <v>4111.679999999993</v>
      </c>
      <c r="X1907" s="22">
        <f>'2022-23 Salary &amp; Benefits'!$G$6</f>
        <v>12558.24</v>
      </c>
      <c r="Y1907" s="23">
        <f>'2022-23 Salary &amp; Benefits'!$H$6</f>
        <v>0.2298</v>
      </c>
      <c r="Z1907" s="23">
        <f>'2022-23 Salary &amp; Benefits'!$I$6</f>
        <v>0.22339999999999999</v>
      </c>
      <c r="AA1907" s="22">
        <f t="shared" si="370"/>
        <v>31324.15</v>
      </c>
      <c r="AB1907" s="22">
        <f t="shared" si="371"/>
        <v>1314.67</v>
      </c>
      <c r="AC1907" s="22">
        <f t="shared" si="372"/>
        <v>293.7</v>
      </c>
      <c r="AD1907" s="22">
        <f t="shared" si="362"/>
        <v>1608.3700000000001</v>
      </c>
      <c r="AE1907" s="22">
        <f t="shared" si="363"/>
        <v>111812.57999999999</v>
      </c>
      <c r="AF1907" s="19" t="str">
        <f>VLOOKUP(C1907,'2021-22 School Level AAFTE'!C:N,12,FALSE)</f>
        <v>No</v>
      </c>
    </row>
    <row r="1908" spans="1:284" s="5" customFormat="1">
      <c r="A1908" s="97" t="s">
        <v>2486</v>
      </c>
      <c r="B1908" s="97" t="s">
        <v>1773</v>
      </c>
      <c r="C1908" s="95">
        <v>2172</v>
      </c>
      <c r="D1908" s="95" t="s">
        <v>1789</v>
      </c>
      <c r="E1908" s="129">
        <f>VLOOKUP($C1908,'2021-22 School Level AAFTE'!$C:$Z,11,FALSE)</f>
        <v>0.37476666666666669</v>
      </c>
      <c r="F1908" s="129" t="str">
        <f>VLOOKUP($C1908,'2021-22 School Level AAFTE'!$C:$Z,8,FALSE)</f>
        <v>No</v>
      </c>
      <c r="G1908" s="129" t="str">
        <f>VLOOKUP($C1908,'2021-22 School Level AAFTE'!$C:$Z,12,FALSE)</f>
        <v>No</v>
      </c>
      <c r="H1908" s="127">
        <f>VLOOKUP($C1908,'2021-22 School Level AAFTE'!$C:$I,7,FALSE)</f>
        <v>1802.41</v>
      </c>
      <c r="I1908" s="112">
        <f>IFERROR(IF(OR(G1908="yes",F1908= "yes"),VLOOKUP(C1908,Summary!$B:$J,6,0),0),0)</f>
        <v>0</v>
      </c>
      <c r="J1908" s="111">
        <f t="shared" si="366"/>
        <v>0</v>
      </c>
      <c r="K1908" s="91">
        <f>VLOOKUP($A1908,'2022-23 Salary &amp; Benefits'!$A:$I,3,FALSE)</f>
        <v>1.03</v>
      </c>
      <c r="L1908" s="91">
        <f>VLOOKUP($A1908,'2022-23 Salary &amp; Benefits'!$A:$I,4,FALSE)</f>
        <v>1.03</v>
      </c>
      <c r="M1908" s="39">
        <f t="shared" si="361"/>
        <v>0</v>
      </c>
      <c r="N1908" s="24">
        <v>15</v>
      </c>
      <c r="O1908" s="26">
        <f t="shared" si="364"/>
        <v>0</v>
      </c>
      <c r="P1908" s="24">
        <v>1.1000000000000001</v>
      </c>
      <c r="Q1908" s="24">
        <v>36</v>
      </c>
      <c r="R1908" s="27">
        <f t="shared" si="365"/>
        <v>0</v>
      </c>
      <c r="S1908" s="102">
        <f t="shared" si="367"/>
        <v>0</v>
      </c>
      <c r="T1908" s="21">
        <f>VLOOKUP($A1908,'2022-23 Salary &amp; Benefits'!$A:$I,5,FALSE)</f>
        <v>68937</v>
      </c>
      <c r="U1908" s="21">
        <f>VLOOKUP($A1908,'2022-23 Salary &amp; Benefits'!$A:$I,6,FALSE)</f>
        <v>72728</v>
      </c>
      <c r="V1908" s="22">
        <f t="shared" si="368"/>
        <v>0</v>
      </c>
      <c r="W1908" s="22">
        <f t="shared" si="369"/>
        <v>0</v>
      </c>
      <c r="X1908" s="22">
        <f>'2022-23 Salary &amp; Benefits'!$G$6</f>
        <v>12558.24</v>
      </c>
      <c r="Y1908" s="23">
        <f>'2022-23 Salary &amp; Benefits'!$H$6</f>
        <v>0.2298</v>
      </c>
      <c r="Z1908" s="23">
        <f>'2022-23 Salary &amp; Benefits'!$I$6</f>
        <v>0.22339999999999999</v>
      </c>
      <c r="AA1908" s="22">
        <f t="shared" si="370"/>
        <v>0</v>
      </c>
      <c r="AB1908" s="22">
        <f t="shared" si="371"/>
        <v>0</v>
      </c>
      <c r="AC1908" s="22">
        <f t="shared" si="372"/>
        <v>0</v>
      </c>
      <c r="AD1908" s="22">
        <f t="shared" si="362"/>
        <v>0</v>
      </c>
      <c r="AE1908" s="22">
        <f t="shared" si="363"/>
        <v>0</v>
      </c>
      <c r="AF1908" s="19" t="str">
        <f>VLOOKUP(C1908,'2021-22 School Level AAFTE'!C:N,12,FALSE)</f>
        <v>No</v>
      </c>
    </row>
    <row r="1909" spans="1:284" s="5" customFormat="1">
      <c r="A1909" s="97" t="s">
        <v>2486</v>
      </c>
      <c r="B1909" s="97" t="s">
        <v>1773</v>
      </c>
      <c r="C1909" s="95">
        <v>2191</v>
      </c>
      <c r="D1909" s="95" t="s">
        <v>1790</v>
      </c>
      <c r="E1909" s="129">
        <f>VLOOKUP($C1909,'2021-22 School Level AAFTE'!$C:$Z,11,FALSE)</f>
        <v>0.86676666666666657</v>
      </c>
      <c r="F1909" s="129" t="str">
        <f>VLOOKUP($C1909,'2021-22 School Level AAFTE'!$C:$Z,8,FALSE)</f>
        <v>Yes</v>
      </c>
      <c r="G1909" s="129" t="str">
        <f>VLOOKUP($C1909,'2021-22 School Level AAFTE'!$C:$Z,12,FALSE)</f>
        <v>No</v>
      </c>
      <c r="H1909" s="127">
        <f>VLOOKUP($C1909,'2021-22 School Level AAFTE'!$C:$I,7,FALSE)</f>
        <v>442.29</v>
      </c>
      <c r="I1909" s="112">
        <f>IFERROR(IF(OR(G1909="yes",F1909= "yes"),VLOOKUP(C1909,Summary!$B:$J,6,0),0),0)</f>
        <v>0</v>
      </c>
      <c r="J1909" s="111">
        <f t="shared" si="366"/>
        <v>442.29</v>
      </c>
      <c r="K1909" s="91">
        <f>VLOOKUP($A1909,'2022-23 Salary &amp; Benefits'!$A:$I,3,FALSE)</f>
        <v>1.03</v>
      </c>
      <c r="L1909" s="91">
        <f>VLOOKUP($A1909,'2022-23 Salary &amp; Benefits'!$A:$I,4,FALSE)</f>
        <v>1.03</v>
      </c>
      <c r="M1909" s="39">
        <f t="shared" si="361"/>
        <v>442.29</v>
      </c>
      <c r="N1909" s="24">
        <v>15</v>
      </c>
      <c r="O1909" s="26">
        <f t="shared" si="364"/>
        <v>29.486000000000001</v>
      </c>
      <c r="P1909" s="24">
        <v>1.1000000000000001</v>
      </c>
      <c r="Q1909" s="24">
        <v>36</v>
      </c>
      <c r="R1909" s="27">
        <f t="shared" si="365"/>
        <v>1167.6456000000001</v>
      </c>
      <c r="S1909" s="102">
        <f t="shared" si="367"/>
        <v>1.2969999999999999</v>
      </c>
      <c r="T1909" s="21">
        <f>VLOOKUP($A1909,'2022-23 Salary &amp; Benefits'!$A:$I,5,FALSE)</f>
        <v>68937</v>
      </c>
      <c r="U1909" s="21">
        <f>VLOOKUP($A1909,'2022-23 Salary &amp; Benefits'!$A:$I,6,FALSE)</f>
        <v>72728</v>
      </c>
      <c r="V1909" s="22">
        <f t="shared" si="368"/>
        <v>92093.63</v>
      </c>
      <c r="W1909" s="22">
        <f t="shared" si="369"/>
        <v>5064.429999999993</v>
      </c>
      <c r="X1909" s="22">
        <f>'2022-23 Salary &amp; Benefits'!$G$6</f>
        <v>12558.24</v>
      </c>
      <c r="Y1909" s="23">
        <f>'2022-23 Salary &amp; Benefits'!$H$6</f>
        <v>0.2298</v>
      </c>
      <c r="Z1909" s="23">
        <f>'2022-23 Salary &amp; Benefits'!$I$6</f>
        <v>0.22339999999999999</v>
      </c>
      <c r="AA1909" s="22">
        <f t="shared" si="370"/>
        <v>38582.550000000003</v>
      </c>
      <c r="AB1909" s="22">
        <f t="shared" si="371"/>
        <v>1619.3</v>
      </c>
      <c r="AC1909" s="22">
        <f t="shared" si="372"/>
        <v>361.75</v>
      </c>
      <c r="AD1909" s="22">
        <f t="shared" si="362"/>
        <v>1981.05</v>
      </c>
      <c r="AE1909" s="22">
        <f t="shared" si="363"/>
        <v>137721.65999999997</v>
      </c>
      <c r="AF1909" s="19" t="str">
        <f>VLOOKUP(C1909,'2021-22 School Level AAFTE'!C:N,12,FALSE)</f>
        <v>No</v>
      </c>
    </row>
    <row r="1910" spans="1:284" s="5" customFormat="1">
      <c r="A1910" s="97" t="s">
        <v>2486</v>
      </c>
      <c r="B1910" s="97" t="s">
        <v>1773</v>
      </c>
      <c r="C1910" s="95">
        <v>2218</v>
      </c>
      <c r="D1910" s="95" t="s">
        <v>1791</v>
      </c>
      <c r="E1910" s="129">
        <f>VLOOKUP($C1910,'2021-22 School Level AAFTE'!$C:$Z,11,FALSE)</f>
        <v>0.62219999999999998</v>
      </c>
      <c r="F1910" s="129" t="str">
        <f>VLOOKUP($C1910,'2021-22 School Level AAFTE'!$C:$Z,8,FALSE)</f>
        <v>Yes</v>
      </c>
      <c r="G1910" s="129" t="str">
        <f>VLOOKUP($C1910,'2021-22 School Level AAFTE'!$C:$Z,12,FALSE)</f>
        <v>No</v>
      </c>
      <c r="H1910" s="127">
        <f>VLOOKUP($C1910,'2021-22 School Level AAFTE'!$C:$I,7,FALSE)</f>
        <v>340.86</v>
      </c>
      <c r="I1910" s="112">
        <f>IFERROR(IF(OR(G1910="yes",F1910= "yes"),VLOOKUP(C1910,Summary!$B:$J,6,0),0),0)</f>
        <v>0</v>
      </c>
      <c r="J1910" s="111">
        <f t="shared" si="366"/>
        <v>340.86</v>
      </c>
      <c r="K1910" s="91">
        <f>VLOOKUP($A1910,'2022-23 Salary &amp; Benefits'!$A:$I,3,FALSE)</f>
        <v>1.03</v>
      </c>
      <c r="L1910" s="91">
        <f>VLOOKUP($A1910,'2022-23 Salary &amp; Benefits'!$A:$I,4,FALSE)</f>
        <v>1.03</v>
      </c>
      <c r="M1910" s="101">
        <f t="shared" si="361"/>
        <v>340.86</v>
      </c>
      <c r="N1910" s="24">
        <v>15</v>
      </c>
      <c r="O1910" s="26">
        <f t="shared" si="364"/>
        <v>22.724</v>
      </c>
      <c r="P1910" s="24">
        <v>1.1000000000000001</v>
      </c>
      <c r="Q1910" s="24">
        <v>36</v>
      </c>
      <c r="R1910" s="27">
        <f t="shared" si="365"/>
        <v>899.87040000000002</v>
      </c>
      <c r="S1910" s="102">
        <f t="shared" si="367"/>
        <v>1</v>
      </c>
      <c r="T1910" s="21">
        <f>VLOOKUP($A1910,'2022-23 Salary &amp; Benefits'!$A:$I,5,FALSE)</f>
        <v>68937</v>
      </c>
      <c r="U1910" s="21">
        <f>VLOOKUP($A1910,'2022-23 Salary &amp; Benefits'!$A:$I,6,FALSE)</f>
        <v>72728</v>
      </c>
      <c r="V1910" s="22">
        <f t="shared" si="368"/>
        <v>71005.11</v>
      </c>
      <c r="W1910" s="22">
        <f t="shared" si="369"/>
        <v>3904.7299999999959</v>
      </c>
      <c r="X1910" s="22">
        <f>'2022-23 Salary &amp; Benefits'!$G$6</f>
        <v>12558.24</v>
      </c>
      <c r="Y1910" s="23">
        <f>'2022-23 Salary &amp; Benefits'!$H$6</f>
        <v>0.2298</v>
      </c>
      <c r="Z1910" s="23">
        <f>'2022-23 Salary &amp; Benefits'!$I$6</f>
        <v>0.22339999999999999</v>
      </c>
      <c r="AA1910" s="22">
        <f t="shared" si="370"/>
        <v>29747.53</v>
      </c>
      <c r="AB1910" s="22">
        <f t="shared" si="371"/>
        <v>1248.5</v>
      </c>
      <c r="AC1910" s="22">
        <f t="shared" si="372"/>
        <v>278.91000000000003</v>
      </c>
      <c r="AD1910" s="22">
        <f t="shared" si="362"/>
        <v>1527.41</v>
      </c>
      <c r="AE1910" s="22">
        <f t="shared" si="363"/>
        <v>106184.78</v>
      </c>
      <c r="AF1910" s="19" t="str">
        <f>VLOOKUP(C1910,'2021-22 School Level AAFTE'!C:N,12,FALSE)</f>
        <v>No</v>
      </c>
    </row>
    <row r="1911" spans="1:284" s="5" customFormat="1">
      <c r="A1911" s="97" t="s">
        <v>2486</v>
      </c>
      <c r="B1911" s="97" t="s">
        <v>1773</v>
      </c>
      <c r="C1911" s="95">
        <v>2258</v>
      </c>
      <c r="D1911" s="95" t="s">
        <v>1792</v>
      </c>
      <c r="E1911" s="129">
        <f>VLOOKUP($C1911,'2021-22 School Level AAFTE'!$C:$Z,11,FALSE)</f>
        <v>0.21830000000000002</v>
      </c>
      <c r="F1911" s="129" t="str">
        <f>VLOOKUP($C1911,'2021-22 School Level AAFTE'!$C:$Z,8,FALSE)</f>
        <v>No</v>
      </c>
      <c r="G1911" s="129" t="str">
        <f>VLOOKUP($C1911,'2021-22 School Level AAFTE'!$C:$Z,12,FALSE)</f>
        <v>No</v>
      </c>
      <c r="H1911" s="127">
        <f>VLOOKUP($C1911,'2021-22 School Level AAFTE'!$C:$I,7,FALSE)</f>
        <v>556.02</v>
      </c>
      <c r="I1911" s="112">
        <f>IFERROR(IF(OR(G1911="yes",F1911= "yes"),VLOOKUP(C1911,Summary!$B:$J,6,0),0),0)</f>
        <v>0</v>
      </c>
      <c r="J1911" s="111">
        <f t="shared" si="366"/>
        <v>0</v>
      </c>
      <c r="K1911" s="91">
        <f>VLOOKUP($A1911,'2022-23 Salary &amp; Benefits'!$A:$I,3,FALSE)</f>
        <v>1.03</v>
      </c>
      <c r="L1911" s="91">
        <f>VLOOKUP($A1911,'2022-23 Salary &amp; Benefits'!$A:$I,4,FALSE)</f>
        <v>1.03</v>
      </c>
      <c r="M1911" s="39">
        <f t="shared" si="361"/>
        <v>0</v>
      </c>
      <c r="N1911" s="24">
        <v>15</v>
      </c>
      <c r="O1911" s="26">
        <f t="shared" si="364"/>
        <v>0</v>
      </c>
      <c r="P1911" s="24">
        <v>1.1000000000000001</v>
      </c>
      <c r="Q1911" s="24">
        <v>36</v>
      </c>
      <c r="R1911" s="27">
        <f t="shared" si="365"/>
        <v>0</v>
      </c>
      <c r="S1911" s="102">
        <f t="shared" si="367"/>
        <v>0</v>
      </c>
      <c r="T1911" s="21">
        <f>VLOOKUP($A1911,'2022-23 Salary &amp; Benefits'!$A:$I,5,FALSE)</f>
        <v>68937</v>
      </c>
      <c r="U1911" s="21">
        <f>VLOOKUP($A1911,'2022-23 Salary &amp; Benefits'!$A:$I,6,FALSE)</f>
        <v>72728</v>
      </c>
      <c r="V1911" s="22">
        <f t="shared" si="368"/>
        <v>0</v>
      </c>
      <c r="W1911" s="22">
        <f t="shared" si="369"/>
        <v>0</v>
      </c>
      <c r="X1911" s="22">
        <f>'2022-23 Salary &amp; Benefits'!$G$6</f>
        <v>12558.24</v>
      </c>
      <c r="Y1911" s="23">
        <f>'2022-23 Salary &amp; Benefits'!$H$6</f>
        <v>0.2298</v>
      </c>
      <c r="Z1911" s="23">
        <f>'2022-23 Salary &amp; Benefits'!$I$6</f>
        <v>0.22339999999999999</v>
      </c>
      <c r="AA1911" s="22">
        <f t="shared" si="370"/>
        <v>0</v>
      </c>
      <c r="AB1911" s="22">
        <f t="shared" si="371"/>
        <v>0</v>
      </c>
      <c r="AC1911" s="22">
        <f t="shared" si="372"/>
        <v>0</v>
      </c>
      <c r="AD1911" s="22">
        <f t="shared" si="362"/>
        <v>0</v>
      </c>
      <c r="AE1911" s="22">
        <f t="shared" si="363"/>
        <v>0</v>
      </c>
      <c r="AF1911" s="19" t="str">
        <f>VLOOKUP(C1911,'2021-22 School Level AAFTE'!C:N,12,FALSE)</f>
        <v>No</v>
      </c>
    </row>
    <row r="1912" spans="1:284" s="5" customFormat="1">
      <c r="A1912" s="97" t="s">
        <v>2486</v>
      </c>
      <c r="B1912" s="97" t="s">
        <v>1773</v>
      </c>
      <c r="C1912" s="95">
        <v>2296</v>
      </c>
      <c r="D1912" s="95" t="s">
        <v>1793</v>
      </c>
      <c r="E1912" s="129">
        <f>VLOOKUP($C1912,'2021-22 School Level AAFTE'!$C:$Z,11,FALSE)</f>
        <v>0.19863333333333333</v>
      </c>
      <c r="F1912" s="129" t="str">
        <f>VLOOKUP($C1912,'2021-22 School Level AAFTE'!$C:$Z,8,FALSE)</f>
        <v>No</v>
      </c>
      <c r="G1912" s="129" t="str">
        <f>VLOOKUP($C1912,'2021-22 School Level AAFTE'!$C:$Z,12,FALSE)</f>
        <v>No</v>
      </c>
      <c r="H1912" s="127">
        <f>VLOOKUP($C1912,'2021-22 School Level AAFTE'!$C:$I,7,FALSE)</f>
        <v>356.15</v>
      </c>
      <c r="I1912" s="112">
        <f>IFERROR(IF(OR(G1912="yes",F1912= "yes"),VLOOKUP(C1912,Summary!$B:$J,6,0),0),0)</f>
        <v>0</v>
      </c>
      <c r="J1912" s="111">
        <f t="shared" si="366"/>
        <v>0</v>
      </c>
      <c r="K1912" s="91">
        <f>VLOOKUP($A1912,'2022-23 Salary &amp; Benefits'!$A:$I,3,FALSE)</f>
        <v>1.03</v>
      </c>
      <c r="L1912" s="91">
        <f>VLOOKUP($A1912,'2022-23 Salary &amp; Benefits'!$A:$I,4,FALSE)</f>
        <v>1.03</v>
      </c>
      <c r="M1912" s="101">
        <f t="shared" si="361"/>
        <v>0</v>
      </c>
      <c r="N1912" s="24">
        <v>15</v>
      </c>
      <c r="O1912" s="26">
        <f t="shared" si="364"/>
        <v>0</v>
      </c>
      <c r="P1912" s="24">
        <v>1.1000000000000001</v>
      </c>
      <c r="Q1912" s="24">
        <v>36</v>
      </c>
      <c r="R1912" s="27">
        <f t="shared" si="365"/>
        <v>0</v>
      </c>
      <c r="S1912" s="102">
        <f t="shared" si="367"/>
        <v>0</v>
      </c>
      <c r="T1912" s="21">
        <f>VLOOKUP($A1912,'2022-23 Salary &amp; Benefits'!$A:$I,5,FALSE)</f>
        <v>68937</v>
      </c>
      <c r="U1912" s="21">
        <f>VLOOKUP($A1912,'2022-23 Salary &amp; Benefits'!$A:$I,6,FALSE)</f>
        <v>72728</v>
      </c>
      <c r="V1912" s="22">
        <f t="shared" si="368"/>
        <v>0</v>
      </c>
      <c r="W1912" s="22">
        <f t="shared" si="369"/>
        <v>0</v>
      </c>
      <c r="X1912" s="22">
        <f>'2022-23 Salary &amp; Benefits'!$G$6</f>
        <v>12558.24</v>
      </c>
      <c r="Y1912" s="23">
        <f>'2022-23 Salary &amp; Benefits'!$H$6</f>
        <v>0.2298</v>
      </c>
      <c r="Z1912" s="23">
        <f>'2022-23 Salary &amp; Benefits'!$I$6</f>
        <v>0.22339999999999999</v>
      </c>
      <c r="AA1912" s="22">
        <f t="shared" si="370"/>
        <v>0</v>
      </c>
      <c r="AB1912" s="22">
        <f t="shared" si="371"/>
        <v>0</v>
      </c>
      <c r="AC1912" s="22">
        <f t="shared" si="372"/>
        <v>0</v>
      </c>
      <c r="AD1912" s="22">
        <f t="shared" si="362"/>
        <v>0</v>
      </c>
      <c r="AE1912" s="22">
        <f t="shared" si="363"/>
        <v>0</v>
      </c>
      <c r="AF1912" s="19" t="str">
        <f>VLOOKUP(C1912,'2021-22 School Level AAFTE'!C:N,12,FALSE)</f>
        <v>No</v>
      </c>
    </row>
    <row r="1913" spans="1:284" s="5" customFormat="1">
      <c r="A1913" s="97" t="s">
        <v>2486</v>
      </c>
      <c r="B1913" s="97" t="s">
        <v>1773</v>
      </c>
      <c r="C1913" s="95">
        <v>2312</v>
      </c>
      <c r="D1913" s="95" t="s">
        <v>1794</v>
      </c>
      <c r="E1913" s="129">
        <f>VLOOKUP($C1913,'2021-22 School Level AAFTE'!$C:$Z,11,FALSE)</f>
        <v>0.48943333333333339</v>
      </c>
      <c r="F1913" s="129" t="str">
        <f>VLOOKUP($C1913,'2021-22 School Level AAFTE'!$C:$Z,8,FALSE)</f>
        <v>No</v>
      </c>
      <c r="G1913" s="129" t="str">
        <f>VLOOKUP($C1913,'2021-22 School Level AAFTE'!$C:$Z,12,FALSE)</f>
        <v>Yes</v>
      </c>
      <c r="H1913" s="127">
        <f>VLOOKUP($C1913,'2021-22 School Level AAFTE'!$C:$I,7,FALSE)</f>
        <v>459.77</v>
      </c>
      <c r="I1913" s="112">
        <f>IFERROR(IF(OR(G1913="yes",F1913= "yes"),VLOOKUP(C1913,Summary!$B:$J,6,0),0),0)</f>
        <v>0</v>
      </c>
      <c r="J1913" s="111">
        <f t="shared" si="366"/>
        <v>459.77</v>
      </c>
      <c r="K1913" s="91">
        <f>VLOOKUP($A1913,'2022-23 Salary &amp; Benefits'!$A:$I,3,FALSE)</f>
        <v>1.03</v>
      </c>
      <c r="L1913" s="91">
        <f>VLOOKUP($A1913,'2022-23 Salary &amp; Benefits'!$A:$I,4,FALSE)</f>
        <v>1.03</v>
      </c>
      <c r="M1913" s="39">
        <f t="shared" si="361"/>
        <v>459.77</v>
      </c>
      <c r="N1913" s="24">
        <v>15</v>
      </c>
      <c r="O1913" s="26">
        <f t="shared" si="364"/>
        <v>30.651333333333334</v>
      </c>
      <c r="P1913" s="24">
        <v>1.1000000000000001</v>
      </c>
      <c r="Q1913" s="24">
        <v>36</v>
      </c>
      <c r="R1913" s="27">
        <f t="shared" si="365"/>
        <v>1213.7928000000002</v>
      </c>
      <c r="S1913" s="102">
        <f t="shared" si="367"/>
        <v>1.349</v>
      </c>
      <c r="T1913" s="21">
        <f>VLOOKUP($A1913,'2022-23 Salary &amp; Benefits'!$A:$I,5,FALSE)</f>
        <v>68937</v>
      </c>
      <c r="U1913" s="21">
        <f>VLOOKUP($A1913,'2022-23 Salary &amp; Benefits'!$A:$I,6,FALSE)</f>
        <v>72728</v>
      </c>
      <c r="V1913" s="22">
        <f t="shared" si="368"/>
        <v>95785.89</v>
      </c>
      <c r="W1913" s="22">
        <f t="shared" si="369"/>
        <v>5267.4799999999959</v>
      </c>
      <c r="X1913" s="22">
        <f>'2022-23 Salary &amp; Benefits'!$G$6</f>
        <v>12558.24</v>
      </c>
      <c r="Y1913" s="23">
        <f>'2022-23 Salary &amp; Benefits'!$H$6</f>
        <v>0.2298</v>
      </c>
      <c r="Z1913" s="23">
        <f>'2022-23 Salary &amp; Benefits'!$I$6</f>
        <v>0.22339999999999999</v>
      </c>
      <c r="AA1913" s="22">
        <f t="shared" si="370"/>
        <v>40129.42</v>
      </c>
      <c r="AB1913" s="22">
        <f t="shared" si="371"/>
        <v>1684.22</v>
      </c>
      <c r="AC1913" s="22">
        <f t="shared" si="372"/>
        <v>376.25</v>
      </c>
      <c r="AD1913" s="22">
        <f t="shared" si="362"/>
        <v>2060.4700000000003</v>
      </c>
      <c r="AE1913" s="22">
        <f t="shared" si="363"/>
        <v>143243.25999999998</v>
      </c>
      <c r="AF1913" s="19" t="str">
        <f>VLOOKUP(C1913,'2021-22 School Level AAFTE'!C:N,12,FALSE)</f>
        <v>Yes</v>
      </c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  <c r="IQ1913" s="3"/>
      <c r="IR1913" s="3"/>
      <c r="IS1913" s="3"/>
      <c r="IT1913" s="3"/>
      <c r="IU1913" s="3"/>
      <c r="IV1913" s="3"/>
      <c r="IW1913" s="3"/>
      <c r="IX1913" s="3"/>
      <c r="IY1913" s="3"/>
      <c r="IZ1913" s="3"/>
      <c r="JA1913" s="3"/>
      <c r="JB1913" s="3"/>
      <c r="JC1913" s="3"/>
      <c r="JD1913" s="3"/>
      <c r="JE1913" s="3"/>
      <c r="JF1913" s="3"/>
      <c r="JG1913" s="3"/>
      <c r="JH1913" s="3"/>
      <c r="JI1913" s="3"/>
      <c r="JJ1913" s="3"/>
      <c r="JK1913" s="3"/>
      <c r="JL1913" s="3"/>
      <c r="JM1913" s="3"/>
      <c r="JN1913" s="3"/>
      <c r="JO1913" s="3"/>
      <c r="JP1913" s="3"/>
      <c r="JQ1913" s="3"/>
      <c r="JR1913" s="3"/>
      <c r="JS1913" s="3"/>
      <c r="JT1913" s="3"/>
      <c r="JU1913" s="3"/>
      <c r="JV1913" s="3"/>
      <c r="JW1913" s="3"/>
      <c r="JX1913" s="3"/>
    </row>
    <row r="1914" spans="1:284" s="5" customFormat="1">
      <c r="A1914" s="97" t="s">
        <v>2486</v>
      </c>
      <c r="B1914" s="97" t="s">
        <v>1773</v>
      </c>
      <c r="C1914" s="95">
        <v>2381</v>
      </c>
      <c r="D1914" s="95" t="s">
        <v>1795</v>
      </c>
      <c r="E1914" s="129">
        <f>VLOOKUP($C1914,'2021-22 School Level AAFTE'!$C:$Z,11,FALSE)</f>
        <v>0.78149999999999997</v>
      </c>
      <c r="F1914" s="129" t="str">
        <f>VLOOKUP($C1914,'2021-22 School Level AAFTE'!$C:$Z,8,FALSE)</f>
        <v>Yes</v>
      </c>
      <c r="G1914" s="129" t="str">
        <f>VLOOKUP($C1914,'2021-22 School Level AAFTE'!$C:$Z,12,FALSE)</f>
        <v>No</v>
      </c>
      <c r="H1914" s="127">
        <f>VLOOKUP($C1914,'2021-22 School Level AAFTE'!$C:$I,7,FALSE)</f>
        <v>539.51</v>
      </c>
      <c r="I1914" s="112">
        <f>IFERROR(IF(OR(G1914="yes",F1914= "yes"),VLOOKUP(C1914,Summary!$B:$J,6,0),0),0)</f>
        <v>0</v>
      </c>
      <c r="J1914" s="111">
        <f t="shared" si="366"/>
        <v>539.51</v>
      </c>
      <c r="K1914" s="91">
        <f>VLOOKUP($A1914,'2022-23 Salary &amp; Benefits'!$A:$I,3,FALSE)</f>
        <v>1.03</v>
      </c>
      <c r="L1914" s="91">
        <f>VLOOKUP($A1914,'2022-23 Salary &amp; Benefits'!$A:$I,4,FALSE)</f>
        <v>1.03</v>
      </c>
      <c r="M1914" s="101">
        <f t="shared" si="361"/>
        <v>539.51</v>
      </c>
      <c r="N1914" s="24">
        <v>15</v>
      </c>
      <c r="O1914" s="26">
        <f t="shared" si="364"/>
        <v>35.967333333333336</v>
      </c>
      <c r="P1914" s="24">
        <v>1.1000000000000001</v>
      </c>
      <c r="Q1914" s="24">
        <v>36</v>
      </c>
      <c r="R1914" s="27">
        <f t="shared" si="365"/>
        <v>1424.3064000000004</v>
      </c>
      <c r="S1914" s="102">
        <f t="shared" si="367"/>
        <v>1.583</v>
      </c>
      <c r="T1914" s="21">
        <f>VLOOKUP($A1914,'2022-23 Salary &amp; Benefits'!$A:$I,5,FALSE)</f>
        <v>68937</v>
      </c>
      <c r="U1914" s="21">
        <f>VLOOKUP($A1914,'2022-23 Salary &amp; Benefits'!$A:$I,6,FALSE)</f>
        <v>72728</v>
      </c>
      <c r="V1914" s="22">
        <f t="shared" si="368"/>
        <v>112401.09</v>
      </c>
      <c r="W1914" s="22">
        <f t="shared" si="369"/>
        <v>6181.1900000000023</v>
      </c>
      <c r="X1914" s="22">
        <f>'2022-23 Salary &amp; Benefits'!$G$6</f>
        <v>12558.24</v>
      </c>
      <c r="Y1914" s="23">
        <f>'2022-23 Salary &amp; Benefits'!$H$6</f>
        <v>0.2298</v>
      </c>
      <c r="Z1914" s="23">
        <f>'2022-23 Salary &amp; Benefits'!$I$6</f>
        <v>0.22339999999999999</v>
      </c>
      <c r="AA1914" s="22">
        <f t="shared" si="370"/>
        <v>47090.34</v>
      </c>
      <c r="AB1914" s="22">
        <f t="shared" si="371"/>
        <v>1976.37</v>
      </c>
      <c r="AC1914" s="22">
        <f t="shared" si="372"/>
        <v>441.52</v>
      </c>
      <c r="AD1914" s="22">
        <f t="shared" si="362"/>
        <v>2417.89</v>
      </c>
      <c r="AE1914" s="22">
        <f t="shared" si="363"/>
        <v>168090.51</v>
      </c>
      <c r="AF1914" s="19" t="str">
        <f>VLOOKUP(C1914,'2021-22 School Level AAFTE'!C:N,12,FALSE)</f>
        <v>No</v>
      </c>
    </row>
    <row r="1915" spans="1:284" s="5" customFormat="1">
      <c r="A1915" s="97" t="s">
        <v>2486</v>
      </c>
      <c r="B1915" s="97" t="s">
        <v>1773</v>
      </c>
      <c r="C1915" s="95">
        <v>2401</v>
      </c>
      <c r="D1915" s="95" t="s">
        <v>1796</v>
      </c>
      <c r="E1915" s="129">
        <f>VLOOKUP($C1915,'2021-22 School Level AAFTE'!$C:$Z,11,FALSE)</f>
        <v>0.24363333333333334</v>
      </c>
      <c r="F1915" s="129" t="str">
        <f>VLOOKUP($C1915,'2021-22 School Level AAFTE'!$C:$Z,8,FALSE)</f>
        <v>No</v>
      </c>
      <c r="G1915" s="129" t="str">
        <f>VLOOKUP($C1915,'2021-22 School Level AAFTE'!$C:$Z,12,FALSE)</f>
        <v>No</v>
      </c>
      <c r="H1915" s="127">
        <f>VLOOKUP($C1915,'2021-22 School Level AAFTE'!$C:$I,7,FALSE)</f>
        <v>487.79</v>
      </c>
      <c r="I1915" s="112">
        <f>IFERROR(IF(OR(G1915="yes",F1915= "yes"),VLOOKUP(C1915,Summary!$B:$J,6,0),0),0)</f>
        <v>0</v>
      </c>
      <c r="J1915" s="111">
        <f t="shared" si="366"/>
        <v>0</v>
      </c>
      <c r="K1915" s="91">
        <f>VLOOKUP($A1915,'2022-23 Salary &amp; Benefits'!$A:$I,3,FALSE)</f>
        <v>1.03</v>
      </c>
      <c r="L1915" s="91">
        <f>VLOOKUP($A1915,'2022-23 Salary &amp; Benefits'!$A:$I,4,FALSE)</f>
        <v>1.03</v>
      </c>
      <c r="M1915" s="101">
        <f t="shared" si="361"/>
        <v>0</v>
      </c>
      <c r="N1915" s="24">
        <v>15</v>
      </c>
      <c r="O1915" s="26">
        <f t="shared" si="364"/>
        <v>0</v>
      </c>
      <c r="P1915" s="24">
        <v>1.1000000000000001</v>
      </c>
      <c r="Q1915" s="24">
        <v>36</v>
      </c>
      <c r="R1915" s="27">
        <f t="shared" si="365"/>
        <v>0</v>
      </c>
      <c r="S1915" s="102">
        <f t="shared" si="367"/>
        <v>0</v>
      </c>
      <c r="T1915" s="21">
        <f>VLOOKUP($A1915,'2022-23 Salary &amp; Benefits'!$A:$I,5,FALSE)</f>
        <v>68937</v>
      </c>
      <c r="U1915" s="21">
        <f>VLOOKUP($A1915,'2022-23 Salary &amp; Benefits'!$A:$I,6,FALSE)</f>
        <v>72728</v>
      </c>
      <c r="V1915" s="22">
        <f t="shared" si="368"/>
        <v>0</v>
      </c>
      <c r="W1915" s="22">
        <f t="shared" si="369"/>
        <v>0</v>
      </c>
      <c r="X1915" s="22">
        <f>'2022-23 Salary &amp; Benefits'!$G$6</f>
        <v>12558.24</v>
      </c>
      <c r="Y1915" s="23">
        <f>'2022-23 Salary &amp; Benefits'!$H$6</f>
        <v>0.2298</v>
      </c>
      <c r="Z1915" s="23">
        <f>'2022-23 Salary &amp; Benefits'!$I$6</f>
        <v>0.22339999999999999</v>
      </c>
      <c r="AA1915" s="22">
        <f t="shared" si="370"/>
        <v>0</v>
      </c>
      <c r="AB1915" s="22">
        <f t="shared" si="371"/>
        <v>0</v>
      </c>
      <c r="AC1915" s="22">
        <f t="shared" si="372"/>
        <v>0</v>
      </c>
      <c r="AD1915" s="22">
        <f t="shared" si="362"/>
        <v>0</v>
      </c>
      <c r="AE1915" s="22">
        <f t="shared" si="363"/>
        <v>0</v>
      </c>
      <c r="AF1915" s="19" t="str">
        <f>VLOOKUP(C1915,'2021-22 School Level AAFTE'!C:N,12,FALSE)</f>
        <v>No</v>
      </c>
    </row>
    <row r="1916" spans="1:284" s="5" customFormat="1">
      <c r="A1916" s="97" t="s">
        <v>2486</v>
      </c>
      <c r="B1916" s="97" t="s">
        <v>1773</v>
      </c>
      <c r="C1916" s="95">
        <v>2479</v>
      </c>
      <c r="D1916" s="95" t="s">
        <v>1315</v>
      </c>
      <c r="E1916" s="129">
        <f>VLOOKUP($C1916,'2021-22 School Level AAFTE'!$C:$Z,11,FALSE)</f>
        <v>0.79879999999999995</v>
      </c>
      <c r="F1916" s="129" t="str">
        <f>VLOOKUP($C1916,'2021-22 School Level AAFTE'!$C:$Z,8,FALSE)</f>
        <v>Yes</v>
      </c>
      <c r="G1916" s="129" t="str">
        <f>VLOOKUP($C1916,'2021-22 School Level AAFTE'!$C:$Z,12,FALSE)</f>
        <v>No</v>
      </c>
      <c r="H1916" s="127">
        <f>VLOOKUP($C1916,'2021-22 School Level AAFTE'!$C:$I,7,FALSE)</f>
        <v>1548.91</v>
      </c>
      <c r="I1916" s="112">
        <f>IFERROR(IF(OR(G1916="yes",F1916= "yes"),VLOOKUP(C1916,Summary!$B:$J,6,0),0),0)</f>
        <v>0</v>
      </c>
      <c r="J1916" s="111">
        <f t="shared" si="366"/>
        <v>1548.91</v>
      </c>
      <c r="K1916" s="91">
        <f>VLOOKUP($A1916,'2022-23 Salary &amp; Benefits'!$A:$I,3,FALSE)</f>
        <v>1.03</v>
      </c>
      <c r="L1916" s="91">
        <f>VLOOKUP($A1916,'2022-23 Salary &amp; Benefits'!$A:$I,4,FALSE)</f>
        <v>1.03</v>
      </c>
      <c r="M1916" s="101">
        <f t="shared" si="361"/>
        <v>1548.91</v>
      </c>
      <c r="N1916" s="24">
        <v>15</v>
      </c>
      <c r="O1916" s="26">
        <f t="shared" si="364"/>
        <v>103.26066666666667</v>
      </c>
      <c r="P1916" s="24">
        <v>1.1000000000000001</v>
      </c>
      <c r="Q1916" s="24">
        <v>36</v>
      </c>
      <c r="R1916" s="27">
        <f t="shared" si="365"/>
        <v>4089.1224000000002</v>
      </c>
      <c r="S1916" s="102">
        <f t="shared" si="367"/>
        <v>4.5430000000000001</v>
      </c>
      <c r="T1916" s="21">
        <f>VLOOKUP($A1916,'2022-23 Salary &amp; Benefits'!$A:$I,5,FALSE)</f>
        <v>68937</v>
      </c>
      <c r="U1916" s="21">
        <f>VLOOKUP($A1916,'2022-23 Salary &amp; Benefits'!$A:$I,6,FALSE)</f>
        <v>72728</v>
      </c>
      <c r="V1916" s="22">
        <f t="shared" si="368"/>
        <v>322576.21000000002</v>
      </c>
      <c r="W1916" s="22">
        <f t="shared" si="369"/>
        <v>17739.190000000002</v>
      </c>
      <c r="X1916" s="22">
        <f>'2022-23 Salary &amp; Benefits'!$G$6</f>
        <v>12558.24</v>
      </c>
      <c r="Y1916" s="23">
        <f>'2022-23 Salary &amp; Benefits'!$H$6</f>
        <v>0.2298</v>
      </c>
      <c r="Z1916" s="23">
        <f>'2022-23 Salary &amp; Benefits'!$I$6</f>
        <v>0.22339999999999999</v>
      </c>
      <c r="AA1916" s="22">
        <f t="shared" si="370"/>
        <v>135143.03</v>
      </c>
      <c r="AB1916" s="22">
        <f t="shared" si="371"/>
        <v>5671.92</v>
      </c>
      <c r="AC1916" s="22">
        <f t="shared" si="372"/>
        <v>1267.1099999999999</v>
      </c>
      <c r="AD1916" s="22">
        <f t="shared" si="362"/>
        <v>6939.03</v>
      </c>
      <c r="AE1916" s="22">
        <f t="shared" si="363"/>
        <v>482397.46</v>
      </c>
      <c r="AF1916" s="19" t="str">
        <f>VLOOKUP(C1916,'2021-22 School Level AAFTE'!C:N,12,FALSE)</f>
        <v>No</v>
      </c>
    </row>
    <row r="1917" spans="1:284" s="5" customFormat="1">
      <c r="A1917" s="97" t="s">
        <v>2486</v>
      </c>
      <c r="B1917" s="97" t="s">
        <v>1773</v>
      </c>
      <c r="C1917" s="95">
        <v>2708</v>
      </c>
      <c r="D1917" s="95" t="s">
        <v>1577</v>
      </c>
      <c r="E1917" s="129">
        <f>VLOOKUP($C1917,'2021-22 School Level AAFTE'!$C:$Z,11,FALSE)</f>
        <v>0.69530000000000003</v>
      </c>
      <c r="F1917" s="129" t="str">
        <f>VLOOKUP($C1917,'2021-22 School Level AAFTE'!$C:$Z,8,FALSE)</f>
        <v>Yes</v>
      </c>
      <c r="G1917" s="129" t="str">
        <f>VLOOKUP($C1917,'2021-22 School Level AAFTE'!$C:$Z,12,FALSE)</f>
        <v>No</v>
      </c>
      <c r="H1917" s="127">
        <f>VLOOKUP($C1917,'2021-22 School Level AAFTE'!$C:$I,7,FALSE)</f>
        <v>265.57</v>
      </c>
      <c r="I1917" s="112">
        <f>IFERROR(IF(OR(G1917="yes",F1917= "yes"),VLOOKUP(C1917,Summary!$B:$J,6,0),0),0)</f>
        <v>0</v>
      </c>
      <c r="J1917" s="111">
        <f t="shared" si="366"/>
        <v>265.57</v>
      </c>
      <c r="K1917" s="91">
        <f>VLOOKUP($A1917,'2022-23 Salary &amp; Benefits'!$A:$I,3,FALSE)</f>
        <v>1.03</v>
      </c>
      <c r="L1917" s="91">
        <f>VLOOKUP($A1917,'2022-23 Salary &amp; Benefits'!$A:$I,4,FALSE)</f>
        <v>1.03</v>
      </c>
      <c r="M1917" s="39">
        <f t="shared" si="361"/>
        <v>265.57</v>
      </c>
      <c r="N1917" s="24">
        <v>15</v>
      </c>
      <c r="O1917" s="26">
        <f t="shared" si="364"/>
        <v>17.704666666666665</v>
      </c>
      <c r="P1917" s="24">
        <v>1.1000000000000001</v>
      </c>
      <c r="Q1917" s="24">
        <v>36</v>
      </c>
      <c r="R1917" s="27">
        <f t="shared" si="365"/>
        <v>701.10479999999995</v>
      </c>
      <c r="S1917" s="102">
        <f t="shared" si="367"/>
        <v>0.77900000000000003</v>
      </c>
      <c r="T1917" s="21">
        <f>VLOOKUP($A1917,'2022-23 Salary &amp; Benefits'!$A:$I,5,FALSE)</f>
        <v>68937</v>
      </c>
      <c r="U1917" s="21">
        <f>VLOOKUP($A1917,'2022-23 Salary &amp; Benefits'!$A:$I,6,FALSE)</f>
        <v>72728</v>
      </c>
      <c r="V1917" s="22">
        <f t="shared" si="368"/>
        <v>55312.98</v>
      </c>
      <c r="W1917" s="22">
        <f t="shared" si="369"/>
        <v>3041.7899999999936</v>
      </c>
      <c r="X1917" s="22">
        <f>'2022-23 Salary &amp; Benefits'!$G$6</f>
        <v>12558.24</v>
      </c>
      <c r="Y1917" s="23">
        <f>'2022-23 Salary &amp; Benefits'!$H$6</f>
        <v>0.2298</v>
      </c>
      <c r="Z1917" s="23">
        <f>'2022-23 Salary &amp; Benefits'!$I$6</f>
        <v>0.22339999999999999</v>
      </c>
      <c r="AA1917" s="22">
        <f t="shared" si="370"/>
        <v>23173.33</v>
      </c>
      <c r="AB1917" s="22">
        <f t="shared" si="371"/>
        <v>972.58</v>
      </c>
      <c r="AC1917" s="22">
        <f t="shared" si="372"/>
        <v>217.27</v>
      </c>
      <c r="AD1917" s="22">
        <f t="shared" si="362"/>
        <v>1189.8500000000001</v>
      </c>
      <c r="AE1917" s="22">
        <f t="shared" si="363"/>
        <v>82717.95</v>
      </c>
      <c r="AF1917" s="19" t="str">
        <f>VLOOKUP(C1917,'2021-22 School Level AAFTE'!C:N,12,FALSE)</f>
        <v>No</v>
      </c>
    </row>
    <row r="1918" spans="1:284" s="5" customFormat="1">
      <c r="A1918" s="97" t="s">
        <v>2486</v>
      </c>
      <c r="B1918" s="97" t="s">
        <v>1773</v>
      </c>
      <c r="C1918" s="95">
        <v>2950</v>
      </c>
      <c r="D1918" s="95" t="s">
        <v>1797</v>
      </c>
      <c r="E1918" s="129">
        <f>VLOOKUP($C1918,'2021-22 School Level AAFTE'!$C:$Z,11,FALSE)</f>
        <v>0.62783333333333335</v>
      </c>
      <c r="F1918" s="129" t="str">
        <f>VLOOKUP($C1918,'2021-22 School Level AAFTE'!$C:$Z,8,FALSE)</f>
        <v>Yes</v>
      </c>
      <c r="G1918" s="129" t="str">
        <f>VLOOKUP($C1918,'2021-22 School Level AAFTE'!$C:$Z,12,FALSE)</f>
        <v>No</v>
      </c>
      <c r="H1918" s="127">
        <f>VLOOKUP($C1918,'2021-22 School Level AAFTE'!$C:$I,7,FALSE)</f>
        <v>309</v>
      </c>
      <c r="I1918" s="112">
        <f>IFERROR(IF(OR(G1918="yes",F1918= "yes"),VLOOKUP(C1918,Summary!$B:$J,6,0),0),0)</f>
        <v>0</v>
      </c>
      <c r="J1918" s="111">
        <f t="shared" si="366"/>
        <v>309</v>
      </c>
      <c r="K1918" s="91">
        <f>VLOOKUP($A1918,'2022-23 Salary &amp; Benefits'!$A:$I,3,FALSE)</f>
        <v>1.03</v>
      </c>
      <c r="L1918" s="91">
        <f>VLOOKUP($A1918,'2022-23 Salary &amp; Benefits'!$A:$I,4,FALSE)</f>
        <v>1.03</v>
      </c>
      <c r="M1918" s="39">
        <f t="shared" ref="M1918:M1979" si="373">IF(I1918&gt;0,I1918,J1918)</f>
        <v>309</v>
      </c>
      <c r="N1918" s="24">
        <v>15</v>
      </c>
      <c r="O1918" s="26">
        <f t="shared" si="364"/>
        <v>20.6</v>
      </c>
      <c r="P1918" s="24">
        <v>1.1000000000000001</v>
      </c>
      <c r="Q1918" s="24">
        <v>36</v>
      </c>
      <c r="R1918" s="27">
        <f t="shared" si="365"/>
        <v>815.7600000000001</v>
      </c>
      <c r="S1918" s="102">
        <f t="shared" si="367"/>
        <v>0.90600000000000003</v>
      </c>
      <c r="T1918" s="21">
        <f>VLOOKUP($A1918,'2022-23 Salary &amp; Benefits'!$A:$I,5,FALSE)</f>
        <v>68937</v>
      </c>
      <c r="U1918" s="21">
        <f>VLOOKUP($A1918,'2022-23 Salary &amp; Benefits'!$A:$I,6,FALSE)</f>
        <v>72728</v>
      </c>
      <c r="V1918" s="22">
        <f t="shared" si="368"/>
        <v>64330.63</v>
      </c>
      <c r="W1918" s="22">
        <f t="shared" si="369"/>
        <v>3537.6900000000096</v>
      </c>
      <c r="X1918" s="22">
        <f>'2022-23 Salary &amp; Benefits'!$G$6</f>
        <v>12558.24</v>
      </c>
      <c r="Y1918" s="23">
        <f>'2022-23 Salary &amp; Benefits'!$H$6</f>
        <v>0.2298</v>
      </c>
      <c r="Z1918" s="23">
        <f>'2022-23 Salary &amp; Benefits'!$I$6</f>
        <v>0.22339999999999999</v>
      </c>
      <c r="AA1918" s="22">
        <f t="shared" si="370"/>
        <v>26951.26</v>
      </c>
      <c r="AB1918" s="22">
        <f t="shared" si="371"/>
        <v>1131.1400000000001</v>
      </c>
      <c r="AC1918" s="22">
        <f t="shared" si="372"/>
        <v>252.7</v>
      </c>
      <c r="AD1918" s="22">
        <f t="shared" ref="AD1918:AD1979" si="374">SUM(AB1918:AC1918)</f>
        <v>1383.8400000000001</v>
      </c>
      <c r="AE1918" s="22">
        <f t="shared" ref="AE1918:AE1979" si="375">SUM(AA1918,V1918:W1918,AD1918)</f>
        <v>96203.420000000013</v>
      </c>
      <c r="AF1918" s="19" t="str">
        <f>VLOOKUP(C1918,'2021-22 School Level AAFTE'!C:N,12,FALSE)</f>
        <v>No</v>
      </c>
    </row>
    <row r="1919" spans="1:284" s="5" customFormat="1">
      <c r="A1919" s="97" t="s">
        <v>2486</v>
      </c>
      <c r="B1919" s="97" t="s">
        <v>1773</v>
      </c>
      <c r="C1919" s="95">
        <v>2951</v>
      </c>
      <c r="D1919" s="95" t="s">
        <v>1798</v>
      </c>
      <c r="E1919" s="129">
        <f>VLOOKUP($C1919,'2021-22 School Level AAFTE'!$C:$Z,11,FALSE)</f>
        <v>0.54146666666666665</v>
      </c>
      <c r="F1919" s="129" t="str">
        <f>VLOOKUP($C1919,'2021-22 School Level AAFTE'!$C:$Z,8,FALSE)</f>
        <v>Yes</v>
      </c>
      <c r="G1919" s="129" t="str">
        <f>VLOOKUP($C1919,'2021-22 School Level AAFTE'!$C:$Z,12,FALSE)</f>
        <v>No</v>
      </c>
      <c r="H1919" s="127">
        <f>VLOOKUP($C1919,'2021-22 School Level AAFTE'!$C:$I,7,FALSE)</f>
        <v>461.47</v>
      </c>
      <c r="I1919" s="112">
        <f>IFERROR(IF(OR(G1919="yes",F1919= "yes"),VLOOKUP(C1919,Summary!$B:$J,6,0),0),0)</f>
        <v>0</v>
      </c>
      <c r="J1919" s="111">
        <f t="shared" si="366"/>
        <v>461.47</v>
      </c>
      <c r="K1919" s="91">
        <f>VLOOKUP($A1919,'2022-23 Salary &amp; Benefits'!$A:$I,3,FALSE)</f>
        <v>1.03</v>
      </c>
      <c r="L1919" s="91">
        <f>VLOOKUP($A1919,'2022-23 Salary &amp; Benefits'!$A:$I,4,FALSE)</f>
        <v>1.03</v>
      </c>
      <c r="M1919" s="101">
        <f t="shared" si="373"/>
        <v>461.47</v>
      </c>
      <c r="N1919" s="24">
        <v>15</v>
      </c>
      <c r="O1919" s="26">
        <f t="shared" si="364"/>
        <v>30.764666666666667</v>
      </c>
      <c r="P1919" s="24">
        <v>1.1000000000000001</v>
      </c>
      <c r="Q1919" s="24">
        <v>36</v>
      </c>
      <c r="R1919" s="27">
        <f t="shared" si="365"/>
        <v>1218.2808000000002</v>
      </c>
      <c r="S1919" s="102">
        <f t="shared" si="367"/>
        <v>1.3540000000000001</v>
      </c>
      <c r="T1919" s="21">
        <f>VLOOKUP($A1919,'2022-23 Salary &amp; Benefits'!$A:$I,5,FALSE)</f>
        <v>68937</v>
      </c>
      <c r="U1919" s="21">
        <f>VLOOKUP($A1919,'2022-23 Salary &amp; Benefits'!$A:$I,6,FALSE)</f>
        <v>72728</v>
      </c>
      <c r="V1919" s="22">
        <f t="shared" si="368"/>
        <v>96140.92</v>
      </c>
      <c r="W1919" s="22">
        <f t="shared" si="369"/>
        <v>5287</v>
      </c>
      <c r="X1919" s="22">
        <f>'2022-23 Salary &amp; Benefits'!$G$6</f>
        <v>12558.24</v>
      </c>
      <c r="Y1919" s="23">
        <f>'2022-23 Salary &amp; Benefits'!$H$6</f>
        <v>0.2298</v>
      </c>
      <c r="Z1919" s="23">
        <f>'2022-23 Salary &amp; Benefits'!$I$6</f>
        <v>0.22339999999999999</v>
      </c>
      <c r="AA1919" s="22">
        <f t="shared" si="370"/>
        <v>40278.160000000003</v>
      </c>
      <c r="AB1919" s="22">
        <f t="shared" si="371"/>
        <v>1690.47</v>
      </c>
      <c r="AC1919" s="22">
        <f t="shared" si="372"/>
        <v>377.65</v>
      </c>
      <c r="AD1919" s="22">
        <f t="shared" si="374"/>
        <v>2068.12</v>
      </c>
      <c r="AE1919" s="22">
        <f t="shared" si="375"/>
        <v>143774.20000000001</v>
      </c>
      <c r="AF1919" s="19" t="str">
        <f>VLOOKUP(C1919,'2021-22 School Level AAFTE'!C:N,12,FALSE)</f>
        <v>No</v>
      </c>
    </row>
    <row r="1920" spans="1:284" s="5" customFormat="1">
      <c r="A1920" s="97" t="s">
        <v>2486</v>
      </c>
      <c r="B1920" s="97" t="s">
        <v>1773</v>
      </c>
      <c r="C1920" s="95">
        <v>2952</v>
      </c>
      <c r="D1920" s="95" t="s">
        <v>1799</v>
      </c>
      <c r="E1920" s="129">
        <f>VLOOKUP($C1920,'2021-22 School Level AAFTE'!$C:$Z,11,FALSE)</f>
        <v>0.88890000000000002</v>
      </c>
      <c r="F1920" s="129" t="str">
        <f>VLOOKUP($C1920,'2021-22 School Level AAFTE'!$C:$Z,8,FALSE)</f>
        <v>Yes</v>
      </c>
      <c r="G1920" s="129" t="str">
        <f>VLOOKUP($C1920,'2021-22 School Level AAFTE'!$C:$Z,12,FALSE)</f>
        <v>No</v>
      </c>
      <c r="H1920" s="127">
        <f>VLOOKUP($C1920,'2021-22 School Level AAFTE'!$C:$I,7,FALSE)</f>
        <v>385.29</v>
      </c>
      <c r="I1920" s="112">
        <f>IFERROR(IF(OR(G1920="yes",F1920= "yes"),VLOOKUP(C1920,Summary!$B:$J,6,0),0),0)</f>
        <v>0</v>
      </c>
      <c r="J1920" s="111">
        <f t="shared" si="366"/>
        <v>385.29</v>
      </c>
      <c r="K1920" s="91">
        <f>VLOOKUP($A1920,'2022-23 Salary &amp; Benefits'!$A:$I,3,FALSE)</f>
        <v>1.03</v>
      </c>
      <c r="L1920" s="91">
        <f>VLOOKUP($A1920,'2022-23 Salary &amp; Benefits'!$A:$I,4,FALSE)</f>
        <v>1.03</v>
      </c>
      <c r="M1920" s="39">
        <f t="shared" si="373"/>
        <v>385.29</v>
      </c>
      <c r="N1920" s="24">
        <v>15</v>
      </c>
      <c r="O1920" s="26">
        <f t="shared" si="364"/>
        <v>25.686</v>
      </c>
      <c r="P1920" s="24">
        <v>1.1000000000000001</v>
      </c>
      <c r="Q1920" s="24">
        <v>36</v>
      </c>
      <c r="R1920" s="27">
        <f t="shared" si="365"/>
        <v>1017.1656000000002</v>
      </c>
      <c r="S1920" s="102">
        <f t="shared" si="367"/>
        <v>1.1299999999999999</v>
      </c>
      <c r="T1920" s="21">
        <f>VLOOKUP($A1920,'2022-23 Salary &amp; Benefits'!$A:$I,5,FALSE)</f>
        <v>68937</v>
      </c>
      <c r="U1920" s="21">
        <f>VLOOKUP($A1920,'2022-23 Salary &amp; Benefits'!$A:$I,6,FALSE)</f>
        <v>72728</v>
      </c>
      <c r="V1920" s="22">
        <f t="shared" si="368"/>
        <v>80235.77</v>
      </c>
      <c r="W1920" s="22">
        <f t="shared" si="369"/>
        <v>4412.3499999999913</v>
      </c>
      <c r="X1920" s="22">
        <f>'2022-23 Salary &amp; Benefits'!$G$6</f>
        <v>12558.24</v>
      </c>
      <c r="Y1920" s="23">
        <f>'2022-23 Salary &amp; Benefits'!$H$6</f>
        <v>0.2298</v>
      </c>
      <c r="Z1920" s="23">
        <f>'2022-23 Salary &amp; Benefits'!$I$6</f>
        <v>0.22339999999999999</v>
      </c>
      <c r="AA1920" s="22">
        <f t="shared" si="370"/>
        <v>33614.71</v>
      </c>
      <c r="AB1920" s="22">
        <f t="shared" si="371"/>
        <v>1410.8</v>
      </c>
      <c r="AC1920" s="22">
        <f t="shared" si="372"/>
        <v>315.17</v>
      </c>
      <c r="AD1920" s="22">
        <f t="shared" si="374"/>
        <v>1725.97</v>
      </c>
      <c r="AE1920" s="22">
        <f t="shared" si="375"/>
        <v>119988.8</v>
      </c>
      <c r="AF1920" s="19" t="str">
        <f>VLOOKUP(C1920,'2021-22 School Level AAFTE'!C:N,12,FALSE)</f>
        <v>No</v>
      </c>
    </row>
    <row r="1921" spans="1:32" s="5" customFormat="1">
      <c r="A1921" s="97" t="s">
        <v>2486</v>
      </c>
      <c r="B1921" s="97" t="s">
        <v>1773</v>
      </c>
      <c r="C1921" s="95">
        <v>3007</v>
      </c>
      <c r="D1921" s="95" t="s">
        <v>1800</v>
      </c>
      <c r="E1921" s="129">
        <f>VLOOKUP($C1921,'2021-22 School Level AAFTE'!$C:$Z,11,FALSE)</f>
        <v>0.33823333333333333</v>
      </c>
      <c r="F1921" s="129" t="str">
        <f>VLOOKUP($C1921,'2021-22 School Level AAFTE'!$C:$Z,8,FALSE)</f>
        <v>No</v>
      </c>
      <c r="G1921" s="129" t="str">
        <f>VLOOKUP($C1921,'2021-22 School Level AAFTE'!$C:$Z,12,FALSE)</f>
        <v>No</v>
      </c>
      <c r="H1921" s="127">
        <f>VLOOKUP($C1921,'2021-22 School Level AAFTE'!$C:$I,7,FALSE)</f>
        <v>487</v>
      </c>
      <c r="I1921" s="112">
        <f>IFERROR(IF(OR(G1921="yes",F1921= "yes"),VLOOKUP(C1921,Summary!$B:$J,6,0),0),0)</f>
        <v>0</v>
      </c>
      <c r="J1921" s="111">
        <f t="shared" si="366"/>
        <v>0</v>
      </c>
      <c r="K1921" s="91">
        <f>VLOOKUP($A1921,'2022-23 Salary &amp; Benefits'!$A:$I,3,FALSE)</f>
        <v>1.03</v>
      </c>
      <c r="L1921" s="91">
        <f>VLOOKUP($A1921,'2022-23 Salary &amp; Benefits'!$A:$I,4,FALSE)</f>
        <v>1.03</v>
      </c>
      <c r="M1921" s="39">
        <f t="shared" si="373"/>
        <v>0</v>
      </c>
      <c r="N1921" s="24">
        <v>15</v>
      </c>
      <c r="O1921" s="26">
        <f t="shared" si="364"/>
        <v>0</v>
      </c>
      <c r="P1921" s="24">
        <v>1.1000000000000001</v>
      </c>
      <c r="Q1921" s="24">
        <v>36</v>
      </c>
      <c r="R1921" s="27">
        <f t="shared" si="365"/>
        <v>0</v>
      </c>
      <c r="S1921" s="102">
        <f t="shared" si="367"/>
        <v>0</v>
      </c>
      <c r="T1921" s="21">
        <f>VLOOKUP($A1921,'2022-23 Salary &amp; Benefits'!$A:$I,5,FALSE)</f>
        <v>68937</v>
      </c>
      <c r="U1921" s="21">
        <f>VLOOKUP($A1921,'2022-23 Salary &amp; Benefits'!$A:$I,6,FALSE)</f>
        <v>72728</v>
      </c>
      <c r="V1921" s="22">
        <f t="shared" si="368"/>
        <v>0</v>
      </c>
      <c r="W1921" s="22">
        <f t="shared" si="369"/>
        <v>0</v>
      </c>
      <c r="X1921" s="22">
        <f>'2022-23 Salary &amp; Benefits'!$G$6</f>
        <v>12558.24</v>
      </c>
      <c r="Y1921" s="23">
        <f>'2022-23 Salary &amp; Benefits'!$H$6</f>
        <v>0.2298</v>
      </c>
      <c r="Z1921" s="23">
        <f>'2022-23 Salary &amp; Benefits'!$I$6</f>
        <v>0.22339999999999999</v>
      </c>
      <c r="AA1921" s="22">
        <f t="shared" si="370"/>
        <v>0</v>
      </c>
      <c r="AB1921" s="22">
        <f t="shared" si="371"/>
        <v>0</v>
      </c>
      <c r="AC1921" s="22">
        <f t="shared" si="372"/>
        <v>0</v>
      </c>
      <c r="AD1921" s="22">
        <f t="shared" si="374"/>
        <v>0</v>
      </c>
      <c r="AE1921" s="22">
        <f t="shared" si="375"/>
        <v>0</v>
      </c>
      <c r="AF1921" s="19" t="str">
        <f>VLOOKUP(C1921,'2021-22 School Level AAFTE'!C:N,12,FALSE)</f>
        <v>No</v>
      </c>
    </row>
    <row r="1922" spans="1:32" s="5" customFormat="1">
      <c r="A1922" s="97" t="s">
        <v>2486</v>
      </c>
      <c r="B1922" s="97" t="s">
        <v>1773</v>
      </c>
      <c r="C1922" s="95">
        <v>3008</v>
      </c>
      <c r="D1922" s="95" t="s">
        <v>1801</v>
      </c>
      <c r="E1922" s="129">
        <f>VLOOKUP($C1922,'2021-22 School Level AAFTE'!$C:$Z,11,FALSE)</f>
        <v>0.2629333333333333</v>
      </c>
      <c r="F1922" s="129" t="str">
        <f>VLOOKUP($C1922,'2021-22 School Level AAFTE'!$C:$Z,8,FALSE)</f>
        <v>No</v>
      </c>
      <c r="G1922" s="129" t="str">
        <f>VLOOKUP($C1922,'2021-22 School Level AAFTE'!$C:$Z,12,FALSE)</f>
        <v>No</v>
      </c>
      <c r="H1922" s="127">
        <f>VLOOKUP($C1922,'2021-22 School Level AAFTE'!$C:$I,7,FALSE)</f>
        <v>516.45000000000005</v>
      </c>
      <c r="I1922" s="112">
        <f>IFERROR(IF(OR(G1922="yes",F1922= "yes"),VLOOKUP(C1922,Summary!$B:$J,6,0),0),0)</f>
        <v>0</v>
      </c>
      <c r="J1922" s="111">
        <f t="shared" si="366"/>
        <v>0</v>
      </c>
      <c r="K1922" s="91">
        <f>VLOOKUP($A1922,'2022-23 Salary &amp; Benefits'!$A:$I,3,FALSE)</f>
        <v>1.03</v>
      </c>
      <c r="L1922" s="91">
        <f>VLOOKUP($A1922,'2022-23 Salary &amp; Benefits'!$A:$I,4,FALSE)</f>
        <v>1.03</v>
      </c>
      <c r="M1922" s="39">
        <f t="shared" si="373"/>
        <v>0</v>
      </c>
      <c r="N1922" s="24">
        <v>15</v>
      </c>
      <c r="O1922" s="26">
        <f t="shared" si="364"/>
        <v>0</v>
      </c>
      <c r="P1922" s="24">
        <v>1.1000000000000001</v>
      </c>
      <c r="Q1922" s="24">
        <v>36</v>
      </c>
      <c r="R1922" s="27">
        <f t="shared" si="365"/>
        <v>0</v>
      </c>
      <c r="S1922" s="102">
        <f t="shared" si="367"/>
        <v>0</v>
      </c>
      <c r="T1922" s="21">
        <f>VLOOKUP($A1922,'2022-23 Salary &amp; Benefits'!$A:$I,5,FALSE)</f>
        <v>68937</v>
      </c>
      <c r="U1922" s="21">
        <f>VLOOKUP($A1922,'2022-23 Salary &amp; Benefits'!$A:$I,6,FALSE)</f>
        <v>72728</v>
      </c>
      <c r="V1922" s="22">
        <f t="shared" si="368"/>
        <v>0</v>
      </c>
      <c r="W1922" s="22">
        <f t="shared" si="369"/>
        <v>0</v>
      </c>
      <c r="X1922" s="22">
        <f>'2022-23 Salary &amp; Benefits'!$G$6</f>
        <v>12558.24</v>
      </c>
      <c r="Y1922" s="23">
        <f>'2022-23 Salary &amp; Benefits'!$H$6</f>
        <v>0.2298</v>
      </c>
      <c r="Z1922" s="23">
        <f>'2022-23 Salary &amp; Benefits'!$I$6</f>
        <v>0.22339999999999999</v>
      </c>
      <c r="AA1922" s="22">
        <f t="shared" si="370"/>
        <v>0</v>
      </c>
      <c r="AB1922" s="22">
        <f t="shared" si="371"/>
        <v>0</v>
      </c>
      <c r="AC1922" s="22">
        <f t="shared" si="372"/>
        <v>0</v>
      </c>
      <c r="AD1922" s="22">
        <f t="shared" si="374"/>
        <v>0</v>
      </c>
      <c r="AE1922" s="22">
        <f t="shared" si="375"/>
        <v>0</v>
      </c>
      <c r="AF1922" s="19" t="str">
        <f>VLOOKUP(C1922,'2021-22 School Level AAFTE'!C:N,12,FALSE)</f>
        <v>No</v>
      </c>
    </row>
    <row r="1923" spans="1:32" s="5" customFormat="1">
      <c r="A1923" s="97" t="s">
        <v>2486</v>
      </c>
      <c r="B1923" s="97" t="s">
        <v>1773</v>
      </c>
      <c r="C1923" s="95">
        <v>3063</v>
      </c>
      <c r="D1923" s="95" t="s">
        <v>1802</v>
      </c>
      <c r="E1923" s="129">
        <f>VLOOKUP($C1923,'2021-22 School Level AAFTE'!$C:$Z,11,FALSE)</f>
        <v>0.64976666666666671</v>
      </c>
      <c r="F1923" s="129" t="str">
        <f>VLOOKUP($C1923,'2021-22 School Level AAFTE'!$C:$Z,8,FALSE)</f>
        <v>Yes</v>
      </c>
      <c r="G1923" s="129" t="str">
        <f>VLOOKUP($C1923,'2021-22 School Level AAFTE'!$C:$Z,12,FALSE)</f>
        <v>No</v>
      </c>
      <c r="H1923" s="127">
        <f>VLOOKUP($C1923,'2021-22 School Level AAFTE'!$C:$I,7,FALSE)</f>
        <v>425.04</v>
      </c>
      <c r="I1923" s="112">
        <f>IFERROR(IF(OR(G1923="yes",F1923= "yes"),VLOOKUP(C1923,Summary!$B:$J,6,0),0),0)</f>
        <v>0</v>
      </c>
      <c r="J1923" s="111">
        <f t="shared" si="366"/>
        <v>425.04</v>
      </c>
      <c r="K1923" s="91">
        <f>VLOOKUP($A1923,'2022-23 Salary &amp; Benefits'!$A:$I,3,FALSE)</f>
        <v>1.03</v>
      </c>
      <c r="L1923" s="91">
        <f>VLOOKUP($A1923,'2022-23 Salary &amp; Benefits'!$A:$I,4,FALSE)</f>
        <v>1.03</v>
      </c>
      <c r="M1923" s="101">
        <f t="shared" si="373"/>
        <v>425.04</v>
      </c>
      <c r="N1923" s="24">
        <v>15</v>
      </c>
      <c r="O1923" s="26">
        <f t="shared" si="364"/>
        <v>28.336000000000002</v>
      </c>
      <c r="P1923" s="24">
        <v>1.1000000000000001</v>
      </c>
      <c r="Q1923" s="24">
        <v>36</v>
      </c>
      <c r="R1923" s="27">
        <f t="shared" si="365"/>
        <v>1122.1056000000003</v>
      </c>
      <c r="S1923" s="102">
        <f t="shared" si="367"/>
        <v>1.2470000000000001</v>
      </c>
      <c r="T1923" s="21">
        <f>VLOOKUP($A1923,'2022-23 Salary &amp; Benefits'!$A:$I,5,FALSE)</f>
        <v>68937</v>
      </c>
      <c r="U1923" s="21">
        <f>VLOOKUP($A1923,'2022-23 Salary &amp; Benefits'!$A:$I,6,FALSE)</f>
        <v>72728</v>
      </c>
      <c r="V1923" s="22">
        <f t="shared" si="368"/>
        <v>88543.37</v>
      </c>
      <c r="W1923" s="22">
        <f t="shared" si="369"/>
        <v>4869.2000000000116</v>
      </c>
      <c r="X1923" s="22">
        <f>'2022-23 Salary &amp; Benefits'!$G$6</f>
        <v>12558.24</v>
      </c>
      <c r="Y1923" s="23">
        <f>'2022-23 Salary &amp; Benefits'!$H$6</f>
        <v>0.2298</v>
      </c>
      <c r="Z1923" s="23">
        <f>'2022-23 Salary &amp; Benefits'!$I$6</f>
        <v>0.22339999999999999</v>
      </c>
      <c r="AA1923" s="22">
        <f t="shared" si="370"/>
        <v>37095.17</v>
      </c>
      <c r="AB1923" s="22">
        <f t="shared" si="371"/>
        <v>1556.88</v>
      </c>
      <c r="AC1923" s="22">
        <f t="shared" si="372"/>
        <v>347.81</v>
      </c>
      <c r="AD1923" s="22">
        <f t="shared" si="374"/>
        <v>1904.69</v>
      </c>
      <c r="AE1923" s="22">
        <f t="shared" si="375"/>
        <v>132412.43</v>
      </c>
      <c r="AF1923" s="19" t="str">
        <f>VLOOKUP(C1923,'2021-22 School Level AAFTE'!C:N,12,FALSE)</f>
        <v>No</v>
      </c>
    </row>
    <row r="1924" spans="1:32" s="5" customFormat="1">
      <c r="A1924" s="97" t="s">
        <v>2486</v>
      </c>
      <c r="B1924" s="97" t="s">
        <v>1773</v>
      </c>
      <c r="C1924" s="95">
        <v>3189</v>
      </c>
      <c r="D1924" s="95" t="s">
        <v>1803</v>
      </c>
      <c r="E1924" s="129">
        <f>VLOOKUP($C1924,'2021-22 School Level AAFTE'!$C:$Z,11,FALSE)</f>
        <v>0.52869999999999995</v>
      </c>
      <c r="F1924" s="129" t="str">
        <f>VLOOKUP($C1924,'2021-22 School Level AAFTE'!$C:$Z,8,FALSE)</f>
        <v>Yes</v>
      </c>
      <c r="G1924" s="129" t="str">
        <f>VLOOKUP($C1924,'2021-22 School Level AAFTE'!$C:$Z,12,FALSE)</f>
        <v>No</v>
      </c>
      <c r="H1924" s="127">
        <f>VLOOKUP($C1924,'2021-22 School Level AAFTE'!$C:$I,7,FALSE)</f>
        <v>1180.1599999999999</v>
      </c>
      <c r="I1924" s="112">
        <f>IFERROR(IF(OR(G1924="yes",F1924= "yes"),VLOOKUP(C1924,Summary!$B:$J,6,0),0),0)</f>
        <v>0</v>
      </c>
      <c r="J1924" s="111">
        <f t="shared" si="366"/>
        <v>1180.1599999999999</v>
      </c>
      <c r="K1924" s="91">
        <f>VLOOKUP($A1924,'2022-23 Salary &amp; Benefits'!$A:$I,3,FALSE)</f>
        <v>1.03</v>
      </c>
      <c r="L1924" s="91">
        <f>VLOOKUP($A1924,'2022-23 Salary &amp; Benefits'!$A:$I,4,FALSE)</f>
        <v>1.03</v>
      </c>
      <c r="M1924" s="101">
        <f t="shared" si="373"/>
        <v>1180.1599999999999</v>
      </c>
      <c r="N1924" s="24">
        <v>15</v>
      </c>
      <c r="O1924" s="26">
        <f t="shared" si="364"/>
        <v>78.677333333333323</v>
      </c>
      <c r="P1924" s="24">
        <v>1.1000000000000001</v>
      </c>
      <c r="Q1924" s="24">
        <v>36</v>
      </c>
      <c r="R1924" s="27">
        <f t="shared" si="365"/>
        <v>3115.6223999999997</v>
      </c>
      <c r="S1924" s="102">
        <f t="shared" si="367"/>
        <v>3.4620000000000002</v>
      </c>
      <c r="T1924" s="21">
        <f>VLOOKUP($A1924,'2022-23 Salary &amp; Benefits'!$A:$I,5,FALSE)</f>
        <v>68937</v>
      </c>
      <c r="U1924" s="21">
        <f>VLOOKUP($A1924,'2022-23 Salary &amp; Benefits'!$A:$I,6,FALSE)</f>
        <v>72728</v>
      </c>
      <c r="V1924" s="22">
        <f t="shared" si="368"/>
        <v>245819.69</v>
      </c>
      <c r="W1924" s="22">
        <f t="shared" si="369"/>
        <v>13518.179999999993</v>
      </c>
      <c r="X1924" s="22">
        <f>'2022-23 Salary &amp; Benefits'!$G$6</f>
        <v>12558.24</v>
      </c>
      <c r="Y1924" s="23">
        <f>'2022-23 Salary &amp; Benefits'!$H$6</f>
        <v>0.2298</v>
      </c>
      <c r="Z1924" s="23">
        <f>'2022-23 Salary &amp; Benefits'!$I$6</f>
        <v>0.22339999999999999</v>
      </c>
      <c r="AA1924" s="22">
        <f t="shared" si="370"/>
        <v>102985.95</v>
      </c>
      <c r="AB1924" s="22">
        <f t="shared" si="371"/>
        <v>4322.3</v>
      </c>
      <c r="AC1924" s="22">
        <f t="shared" si="372"/>
        <v>965.6</v>
      </c>
      <c r="AD1924" s="22">
        <f t="shared" si="374"/>
        <v>5287.9000000000005</v>
      </c>
      <c r="AE1924" s="22">
        <f t="shared" si="375"/>
        <v>367611.72000000003</v>
      </c>
      <c r="AF1924" s="19" t="str">
        <f>VLOOKUP(C1924,'2021-22 School Level AAFTE'!C:N,12,FALSE)</f>
        <v>No</v>
      </c>
    </row>
    <row r="1925" spans="1:32" s="5" customFormat="1">
      <c r="A1925" s="137" t="s">
        <v>2486</v>
      </c>
      <c r="B1925" s="97" t="s">
        <v>1773</v>
      </c>
      <c r="C1925" s="138">
        <v>3190</v>
      </c>
      <c r="D1925" s="56" t="s">
        <v>1804</v>
      </c>
      <c r="E1925" s="129">
        <f>VLOOKUP($C1925,'2021-22 School Level AAFTE'!$C:$Z,11,FALSE)</f>
        <v>0.73050000000000004</v>
      </c>
      <c r="F1925" s="129" t="str">
        <f>VLOOKUP($C1925,'2021-22 School Level AAFTE'!$C:$Z,8,FALSE)</f>
        <v>Yes</v>
      </c>
      <c r="G1925" s="129" t="str">
        <f>VLOOKUP($C1925,'2021-22 School Level AAFTE'!$C:$Z,12,FALSE)</f>
        <v>No</v>
      </c>
      <c r="H1925" s="127">
        <f>VLOOKUP($C1925,'2021-22 School Level AAFTE'!$C:$I,7,FALSE)</f>
        <v>439.29</v>
      </c>
      <c r="I1925" s="112">
        <f>IFERROR(IF(OR(G1925="yes",F1925= "yes"),VLOOKUP(C1925,Summary!$B:$J,6,0),0),0)</f>
        <v>0</v>
      </c>
      <c r="J1925" s="111">
        <f t="shared" si="366"/>
        <v>439.29</v>
      </c>
      <c r="K1925" s="91">
        <f>VLOOKUP($A1925,'2022-23 Salary &amp; Benefits'!$A:$I,3,FALSE)</f>
        <v>1.03</v>
      </c>
      <c r="L1925" s="91">
        <f>VLOOKUP($A1925,'2022-23 Salary &amp; Benefits'!$A:$I,4,FALSE)</f>
        <v>1.03</v>
      </c>
      <c r="M1925" s="101">
        <f t="shared" si="373"/>
        <v>439.29</v>
      </c>
      <c r="N1925" s="24">
        <v>15</v>
      </c>
      <c r="O1925" s="26">
        <f t="shared" si="364"/>
        <v>29.286000000000001</v>
      </c>
      <c r="P1925" s="24">
        <v>1.1000000000000001</v>
      </c>
      <c r="Q1925" s="24">
        <v>36</v>
      </c>
      <c r="R1925" s="27">
        <f t="shared" si="365"/>
        <v>1159.7256000000002</v>
      </c>
      <c r="S1925" s="102">
        <f t="shared" si="367"/>
        <v>1.2889999999999999</v>
      </c>
      <c r="T1925" s="21">
        <f>VLOOKUP($A1925,'2022-23 Salary &amp; Benefits'!$A:$I,5,FALSE)</f>
        <v>68937</v>
      </c>
      <c r="U1925" s="21">
        <f>VLOOKUP($A1925,'2022-23 Salary &amp; Benefits'!$A:$I,6,FALSE)</f>
        <v>72728</v>
      </c>
      <c r="V1925" s="22">
        <f t="shared" si="368"/>
        <v>91525.59</v>
      </c>
      <c r="W1925" s="22">
        <f t="shared" si="369"/>
        <v>5033.1900000000023</v>
      </c>
      <c r="X1925" s="22">
        <f>'2022-23 Salary &amp; Benefits'!$G$6</f>
        <v>12558.24</v>
      </c>
      <c r="Y1925" s="23">
        <f>'2022-23 Salary &amp; Benefits'!$H$6</f>
        <v>0.2298</v>
      </c>
      <c r="Z1925" s="23">
        <f>'2022-23 Salary &amp; Benefits'!$I$6</f>
        <v>0.22339999999999999</v>
      </c>
      <c r="AA1925" s="22">
        <f t="shared" si="370"/>
        <v>38344.57</v>
      </c>
      <c r="AB1925" s="22">
        <f t="shared" si="371"/>
        <v>1609.31</v>
      </c>
      <c r="AC1925" s="22">
        <f t="shared" si="372"/>
        <v>359.52</v>
      </c>
      <c r="AD1925" s="22">
        <f t="shared" si="374"/>
        <v>1968.83</v>
      </c>
      <c r="AE1925" s="22">
        <f t="shared" si="375"/>
        <v>136872.18</v>
      </c>
      <c r="AF1925" s="19" t="str">
        <f>VLOOKUP(C1925,'2021-22 School Level AAFTE'!C:N,12,FALSE)</f>
        <v>No</v>
      </c>
    </row>
    <row r="1926" spans="1:32" s="5" customFormat="1">
      <c r="A1926" s="97" t="s">
        <v>2486</v>
      </c>
      <c r="B1926" s="97" t="s">
        <v>1773</v>
      </c>
      <c r="C1926" s="95">
        <v>3257</v>
      </c>
      <c r="D1926" s="95" t="s">
        <v>1805</v>
      </c>
      <c r="E1926" s="129">
        <f>VLOOKUP($C1926,'2021-22 School Level AAFTE'!$C:$Z,11,FALSE)</f>
        <v>0.85293333333333343</v>
      </c>
      <c r="F1926" s="129" t="str">
        <f>VLOOKUP($C1926,'2021-22 School Level AAFTE'!$C:$Z,8,FALSE)</f>
        <v>Yes</v>
      </c>
      <c r="G1926" s="129" t="str">
        <f>VLOOKUP($C1926,'2021-22 School Level AAFTE'!$C:$Z,12,FALSE)</f>
        <v>No</v>
      </c>
      <c r="H1926" s="127">
        <f>VLOOKUP($C1926,'2021-22 School Level AAFTE'!$C:$I,7,FALSE)</f>
        <v>529.05999999999995</v>
      </c>
      <c r="I1926" s="112">
        <f>IFERROR(IF(OR(G1926="yes",F1926= "yes"),VLOOKUP(C1926,Summary!$B:$J,6,0),0),0)</f>
        <v>0</v>
      </c>
      <c r="J1926" s="111">
        <f t="shared" si="366"/>
        <v>529.05999999999995</v>
      </c>
      <c r="K1926" s="91">
        <f>VLOOKUP($A1926,'2022-23 Salary &amp; Benefits'!$A:$I,3,FALSE)</f>
        <v>1.03</v>
      </c>
      <c r="L1926" s="91">
        <f>VLOOKUP($A1926,'2022-23 Salary &amp; Benefits'!$A:$I,4,FALSE)</f>
        <v>1.03</v>
      </c>
      <c r="M1926" s="101">
        <f t="shared" si="373"/>
        <v>529.05999999999995</v>
      </c>
      <c r="N1926" s="24">
        <v>15</v>
      </c>
      <c r="O1926" s="26">
        <f t="shared" si="364"/>
        <v>35.270666666666664</v>
      </c>
      <c r="P1926" s="24">
        <v>1.1000000000000001</v>
      </c>
      <c r="Q1926" s="24">
        <v>36</v>
      </c>
      <c r="R1926" s="27">
        <f t="shared" si="365"/>
        <v>1396.7184</v>
      </c>
      <c r="S1926" s="102">
        <f t="shared" si="367"/>
        <v>1.552</v>
      </c>
      <c r="T1926" s="21">
        <f>VLOOKUP($A1926,'2022-23 Salary &amp; Benefits'!$A:$I,5,FALSE)</f>
        <v>68937</v>
      </c>
      <c r="U1926" s="21">
        <f>VLOOKUP($A1926,'2022-23 Salary &amp; Benefits'!$A:$I,6,FALSE)</f>
        <v>72728</v>
      </c>
      <c r="V1926" s="22">
        <f t="shared" si="368"/>
        <v>110199.93</v>
      </c>
      <c r="W1926" s="22">
        <f t="shared" si="369"/>
        <v>6060.140000000014</v>
      </c>
      <c r="X1926" s="22">
        <f>'2022-23 Salary &amp; Benefits'!$G$6</f>
        <v>12558.24</v>
      </c>
      <c r="Y1926" s="23">
        <f>'2022-23 Salary &amp; Benefits'!$H$6</f>
        <v>0.2298</v>
      </c>
      <c r="Z1926" s="23">
        <f>'2022-23 Salary &amp; Benefits'!$I$6</f>
        <v>0.22339999999999999</v>
      </c>
      <c r="AA1926" s="22">
        <f t="shared" si="370"/>
        <v>46168.17</v>
      </c>
      <c r="AB1926" s="22">
        <f t="shared" si="371"/>
        <v>1937.67</v>
      </c>
      <c r="AC1926" s="22">
        <f t="shared" si="372"/>
        <v>432.88</v>
      </c>
      <c r="AD1926" s="22">
        <f t="shared" si="374"/>
        <v>2370.5500000000002</v>
      </c>
      <c r="AE1926" s="22">
        <f t="shared" si="375"/>
        <v>164798.78999999998</v>
      </c>
      <c r="AF1926" s="19" t="str">
        <f>VLOOKUP(C1926,'2021-22 School Level AAFTE'!C:N,12,FALSE)</f>
        <v>No</v>
      </c>
    </row>
    <row r="1927" spans="1:32" s="5" customFormat="1">
      <c r="A1927" s="97" t="s">
        <v>2486</v>
      </c>
      <c r="B1927" s="97" t="s">
        <v>1773</v>
      </c>
      <c r="C1927" s="95">
        <v>3258</v>
      </c>
      <c r="D1927" s="95" t="s">
        <v>1806</v>
      </c>
      <c r="E1927" s="129">
        <f>VLOOKUP($C1927,'2021-22 School Level AAFTE'!$C:$Z,11,FALSE)</f>
        <v>0.7641</v>
      </c>
      <c r="F1927" s="129" t="str">
        <f>VLOOKUP($C1927,'2021-22 School Level AAFTE'!$C:$Z,8,FALSE)</f>
        <v>Yes</v>
      </c>
      <c r="G1927" s="129" t="str">
        <f>VLOOKUP($C1927,'2021-22 School Level AAFTE'!$C:$Z,12,FALSE)</f>
        <v>No</v>
      </c>
      <c r="H1927" s="127">
        <f>VLOOKUP($C1927,'2021-22 School Level AAFTE'!$C:$I,7,FALSE)</f>
        <v>553.94000000000005</v>
      </c>
      <c r="I1927" s="112">
        <f>IFERROR(IF(OR(G1927="yes",F1927= "yes"),VLOOKUP(C1927,Summary!$B:$J,6,0),0),0)</f>
        <v>0</v>
      </c>
      <c r="J1927" s="111">
        <f t="shared" si="366"/>
        <v>553.94000000000005</v>
      </c>
      <c r="K1927" s="91">
        <f>VLOOKUP($A1927,'2022-23 Salary &amp; Benefits'!$A:$I,3,FALSE)</f>
        <v>1.03</v>
      </c>
      <c r="L1927" s="91">
        <f>VLOOKUP($A1927,'2022-23 Salary &amp; Benefits'!$A:$I,4,FALSE)</f>
        <v>1.03</v>
      </c>
      <c r="M1927" s="39">
        <f t="shared" si="373"/>
        <v>553.94000000000005</v>
      </c>
      <c r="N1927" s="24">
        <v>15</v>
      </c>
      <c r="O1927" s="26">
        <f t="shared" si="364"/>
        <v>36.929333333333339</v>
      </c>
      <c r="P1927" s="24">
        <v>1.1000000000000001</v>
      </c>
      <c r="Q1927" s="24">
        <v>36</v>
      </c>
      <c r="R1927" s="27">
        <f t="shared" si="365"/>
        <v>1462.4016000000004</v>
      </c>
      <c r="S1927" s="102">
        <f t="shared" si="367"/>
        <v>1.625</v>
      </c>
      <c r="T1927" s="21">
        <f>VLOOKUP($A1927,'2022-23 Salary &amp; Benefits'!$A:$I,5,FALSE)</f>
        <v>68937</v>
      </c>
      <c r="U1927" s="21">
        <f>VLOOKUP($A1927,'2022-23 Salary &amp; Benefits'!$A:$I,6,FALSE)</f>
        <v>72728</v>
      </c>
      <c r="V1927" s="22">
        <f t="shared" si="368"/>
        <v>115383.3</v>
      </c>
      <c r="W1927" s="22">
        <f t="shared" si="369"/>
        <v>6345.1900000000023</v>
      </c>
      <c r="X1927" s="22">
        <f>'2022-23 Salary &amp; Benefits'!$G$6</f>
        <v>12558.24</v>
      </c>
      <c r="Y1927" s="23">
        <f>'2022-23 Salary &amp; Benefits'!$H$6</f>
        <v>0.2298</v>
      </c>
      <c r="Z1927" s="23">
        <f>'2022-23 Salary &amp; Benefits'!$I$6</f>
        <v>0.22339999999999999</v>
      </c>
      <c r="AA1927" s="22">
        <f t="shared" si="370"/>
        <v>48339.74</v>
      </c>
      <c r="AB1927" s="22">
        <f t="shared" si="371"/>
        <v>2028.81</v>
      </c>
      <c r="AC1927" s="22">
        <f t="shared" si="372"/>
        <v>453.24</v>
      </c>
      <c r="AD1927" s="22">
        <f t="shared" si="374"/>
        <v>2482.0500000000002</v>
      </c>
      <c r="AE1927" s="22">
        <f t="shared" si="375"/>
        <v>172550.28</v>
      </c>
      <c r="AF1927" s="19" t="str">
        <f>VLOOKUP(C1927,'2021-22 School Level AAFTE'!C:N,12,FALSE)</f>
        <v>No</v>
      </c>
    </row>
    <row r="1928" spans="1:32" s="5" customFormat="1">
      <c r="A1928" s="97" t="s">
        <v>2486</v>
      </c>
      <c r="B1928" s="97" t="s">
        <v>1773</v>
      </c>
      <c r="C1928" s="95">
        <v>3356</v>
      </c>
      <c r="D1928" s="95" t="s">
        <v>666</v>
      </c>
      <c r="E1928" s="129">
        <f>VLOOKUP($C1928,'2021-22 School Level AAFTE'!$C:$Z,11,FALSE)</f>
        <v>0.35660000000000003</v>
      </c>
      <c r="F1928" s="129" t="str">
        <f>VLOOKUP($C1928,'2021-22 School Level AAFTE'!$C:$Z,8,FALSE)</f>
        <v>No</v>
      </c>
      <c r="G1928" s="129" t="str">
        <f>VLOOKUP($C1928,'2021-22 School Level AAFTE'!$C:$Z,12,FALSE)</f>
        <v>No</v>
      </c>
      <c r="H1928" s="127">
        <f>VLOOKUP($C1928,'2021-22 School Level AAFTE'!$C:$I,7,FALSE)</f>
        <v>776.73</v>
      </c>
      <c r="I1928" s="112">
        <f>IFERROR(IF(OR(G1928="yes",F1928= "yes"),VLOOKUP(C1928,Summary!$B:$J,6,0),0),0)</f>
        <v>0</v>
      </c>
      <c r="J1928" s="111">
        <f t="shared" si="366"/>
        <v>0</v>
      </c>
      <c r="K1928" s="91">
        <f>VLOOKUP($A1928,'2022-23 Salary &amp; Benefits'!$A:$I,3,FALSE)</f>
        <v>1.03</v>
      </c>
      <c r="L1928" s="91">
        <f>VLOOKUP($A1928,'2022-23 Salary &amp; Benefits'!$A:$I,4,FALSE)</f>
        <v>1.03</v>
      </c>
      <c r="M1928" s="101">
        <f t="shared" si="373"/>
        <v>0</v>
      </c>
      <c r="N1928" s="24">
        <v>15</v>
      </c>
      <c r="O1928" s="26">
        <f t="shared" si="364"/>
        <v>0</v>
      </c>
      <c r="P1928" s="24">
        <v>1.1000000000000001</v>
      </c>
      <c r="Q1928" s="24">
        <v>36</v>
      </c>
      <c r="R1928" s="27">
        <f t="shared" si="365"/>
        <v>0</v>
      </c>
      <c r="S1928" s="102">
        <f t="shared" si="367"/>
        <v>0</v>
      </c>
      <c r="T1928" s="21">
        <f>VLOOKUP($A1928,'2022-23 Salary &amp; Benefits'!$A:$I,5,FALSE)</f>
        <v>68937</v>
      </c>
      <c r="U1928" s="21">
        <f>VLOOKUP($A1928,'2022-23 Salary &amp; Benefits'!$A:$I,6,FALSE)</f>
        <v>72728</v>
      </c>
      <c r="V1928" s="22">
        <f t="shared" si="368"/>
        <v>0</v>
      </c>
      <c r="W1928" s="22">
        <f t="shared" si="369"/>
        <v>0</v>
      </c>
      <c r="X1928" s="22">
        <f>'2022-23 Salary &amp; Benefits'!$G$6</f>
        <v>12558.24</v>
      </c>
      <c r="Y1928" s="23">
        <f>'2022-23 Salary &amp; Benefits'!$H$6</f>
        <v>0.2298</v>
      </c>
      <c r="Z1928" s="23">
        <f>'2022-23 Salary &amp; Benefits'!$I$6</f>
        <v>0.22339999999999999</v>
      </c>
      <c r="AA1928" s="22">
        <f t="shared" si="370"/>
        <v>0</v>
      </c>
      <c r="AB1928" s="22">
        <f t="shared" si="371"/>
        <v>0</v>
      </c>
      <c r="AC1928" s="22">
        <f t="shared" si="372"/>
        <v>0</v>
      </c>
      <c r="AD1928" s="22">
        <f t="shared" si="374"/>
        <v>0</v>
      </c>
      <c r="AE1928" s="22">
        <f t="shared" si="375"/>
        <v>0</v>
      </c>
      <c r="AF1928" s="19" t="str">
        <f>VLOOKUP(C1928,'2021-22 School Level AAFTE'!C:N,12,FALSE)</f>
        <v>No</v>
      </c>
    </row>
    <row r="1929" spans="1:32" s="5" customFormat="1">
      <c r="A1929" s="97" t="s">
        <v>2486</v>
      </c>
      <c r="B1929" s="97" t="s">
        <v>1773</v>
      </c>
      <c r="C1929" s="95">
        <v>3357</v>
      </c>
      <c r="D1929" s="95" t="s">
        <v>1807</v>
      </c>
      <c r="E1929" s="129">
        <f>VLOOKUP($C1929,'2021-22 School Level AAFTE'!$C:$Z,11,FALSE)</f>
        <v>0.42626666666666663</v>
      </c>
      <c r="F1929" s="129" t="str">
        <f>VLOOKUP($C1929,'2021-22 School Level AAFTE'!$C:$Z,8,FALSE)</f>
        <v>No</v>
      </c>
      <c r="G1929" s="129" t="str">
        <f>VLOOKUP($C1929,'2021-22 School Level AAFTE'!$C:$Z,12,FALSE)</f>
        <v>No</v>
      </c>
      <c r="H1929" s="127">
        <f>VLOOKUP($C1929,'2021-22 School Level AAFTE'!$C:$I,7,FALSE)</f>
        <v>310.22000000000003</v>
      </c>
      <c r="I1929" s="112">
        <f>IFERROR(IF(OR(G1929="yes",F1929= "yes"),VLOOKUP(C1929,Summary!$B:$J,6,0),0),0)</f>
        <v>0</v>
      </c>
      <c r="J1929" s="111">
        <f t="shared" si="366"/>
        <v>0</v>
      </c>
      <c r="K1929" s="91">
        <f>VLOOKUP($A1929,'2022-23 Salary &amp; Benefits'!$A:$I,3,FALSE)</f>
        <v>1.03</v>
      </c>
      <c r="L1929" s="91">
        <f>VLOOKUP($A1929,'2022-23 Salary &amp; Benefits'!$A:$I,4,FALSE)</f>
        <v>1.03</v>
      </c>
      <c r="M1929" s="101">
        <f t="shared" si="373"/>
        <v>0</v>
      </c>
      <c r="N1929" s="24">
        <v>15</v>
      </c>
      <c r="O1929" s="26">
        <f t="shared" si="364"/>
        <v>0</v>
      </c>
      <c r="P1929" s="24">
        <v>1.1000000000000001</v>
      </c>
      <c r="Q1929" s="24">
        <v>36</v>
      </c>
      <c r="R1929" s="27">
        <f t="shared" si="365"/>
        <v>0</v>
      </c>
      <c r="S1929" s="102">
        <f t="shared" si="367"/>
        <v>0</v>
      </c>
      <c r="T1929" s="21">
        <f>VLOOKUP($A1929,'2022-23 Salary &amp; Benefits'!$A:$I,5,FALSE)</f>
        <v>68937</v>
      </c>
      <c r="U1929" s="21">
        <f>VLOOKUP($A1929,'2022-23 Salary &amp; Benefits'!$A:$I,6,FALSE)</f>
        <v>72728</v>
      </c>
      <c r="V1929" s="22">
        <f t="shared" si="368"/>
        <v>0</v>
      </c>
      <c r="W1929" s="22">
        <f t="shared" si="369"/>
        <v>0</v>
      </c>
      <c r="X1929" s="22">
        <f>'2022-23 Salary &amp; Benefits'!$G$6</f>
        <v>12558.24</v>
      </c>
      <c r="Y1929" s="23">
        <f>'2022-23 Salary &amp; Benefits'!$H$6</f>
        <v>0.2298</v>
      </c>
      <c r="Z1929" s="23">
        <f>'2022-23 Salary &amp; Benefits'!$I$6</f>
        <v>0.22339999999999999</v>
      </c>
      <c r="AA1929" s="22">
        <f t="shared" si="370"/>
        <v>0</v>
      </c>
      <c r="AB1929" s="22">
        <f t="shared" si="371"/>
        <v>0</v>
      </c>
      <c r="AC1929" s="22">
        <f t="shared" si="372"/>
        <v>0</v>
      </c>
      <c r="AD1929" s="22">
        <f t="shared" si="374"/>
        <v>0</v>
      </c>
      <c r="AE1929" s="22">
        <f t="shared" si="375"/>
        <v>0</v>
      </c>
      <c r="AF1929" s="19" t="str">
        <f>VLOOKUP(C1929,'2021-22 School Level AAFTE'!C:N,12,FALSE)</f>
        <v>No</v>
      </c>
    </row>
    <row r="1930" spans="1:32" s="5" customFormat="1">
      <c r="A1930" s="97" t="s">
        <v>2486</v>
      </c>
      <c r="B1930" s="97" t="s">
        <v>1773</v>
      </c>
      <c r="C1930" s="95">
        <v>3412</v>
      </c>
      <c r="D1930" s="95" t="s">
        <v>1808</v>
      </c>
      <c r="E1930" s="129">
        <f>VLOOKUP($C1930,'2021-22 School Level AAFTE'!$C:$Z,11,FALSE)</f>
        <v>0.42723333333333335</v>
      </c>
      <c r="F1930" s="129" t="str">
        <f>VLOOKUP($C1930,'2021-22 School Level AAFTE'!$C:$Z,8,FALSE)</f>
        <v>No</v>
      </c>
      <c r="G1930" s="129" t="str">
        <f>VLOOKUP($C1930,'2021-22 School Level AAFTE'!$C:$Z,12,FALSE)</f>
        <v>No</v>
      </c>
      <c r="H1930" s="127">
        <f>VLOOKUP($C1930,'2021-22 School Level AAFTE'!$C:$I,7,FALSE)</f>
        <v>1614.48</v>
      </c>
      <c r="I1930" s="112">
        <f>IFERROR(IF(OR(G1930="yes",F1930= "yes"),VLOOKUP(C1930,Summary!$B:$J,6,0),0),0)</f>
        <v>0</v>
      </c>
      <c r="J1930" s="111">
        <f t="shared" si="366"/>
        <v>0</v>
      </c>
      <c r="K1930" s="91">
        <f>VLOOKUP($A1930,'2022-23 Salary &amp; Benefits'!$A:$I,3,FALSE)</f>
        <v>1.03</v>
      </c>
      <c r="L1930" s="91">
        <f>VLOOKUP($A1930,'2022-23 Salary &amp; Benefits'!$A:$I,4,FALSE)</f>
        <v>1.03</v>
      </c>
      <c r="M1930" s="101">
        <f t="shared" si="373"/>
        <v>0</v>
      </c>
      <c r="N1930" s="24">
        <v>15</v>
      </c>
      <c r="O1930" s="26">
        <f t="shared" ref="O1930:O1993" si="376">IF(M1930="no",0,M1930/N1930)</f>
        <v>0</v>
      </c>
      <c r="P1930" s="24">
        <v>1.1000000000000001</v>
      </c>
      <c r="Q1930" s="24">
        <v>36</v>
      </c>
      <c r="R1930" s="27">
        <f t="shared" ref="R1930:R1993" si="377">IF(M1930="no",0,O1930*P1930*Q1930)</f>
        <v>0</v>
      </c>
      <c r="S1930" s="102">
        <f t="shared" si="367"/>
        <v>0</v>
      </c>
      <c r="T1930" s="21">
        <f>VLOOKUP($A1930,'2022-23 Salary &amp; Benefits'!$A:$I,5,FALSE)</f>
        <v>68937</v>
      </c>
      <c r="U1930" s="21">
        <f>VLOOKUP($A1930,'2022-23 Salary &amp; Benefits'!$A:$I,6,FALSE)</f>
        <v>72728</v>
      </c>
      <c r="V1930" s="22">
        <f t="shared" si="368"/>
        <v>0</v>
      </c>
      <c r="W1930" s="22">
        <f t="shared" si="369"/>
        <v>0</v>
      </c>
      <c r="X1930" s="22">
        <f>'2022-23 Salary &amp; Benefits'!$G$6</f>
        <v>12558.24</v>
      </c>
      <c r="Y1930" s="23">
        <f>'2022-23 Salary &amp; Benefits'!$H$6</f>
        <v>0.2298</v>
      </c>
      <c r="Z1930" s="23">
        <f>'2022-23 Salary &amp; Benefits'!$I$6</f>
        <v>0.22339999999999999</v>
      </c>
      <c r="AA1930" s="22">
        <f t="shared" si="370"/>
        <v>0</v>
      </c>
      <c r="AB1930" s="22">
        <f t="shared" si="371"/>
        <v>0</v>
      </c>
      <c r="AC1930" s="22">
        <f t="shared" si="372"/>
        <v>0</v>
      </c>
      <c r="AD1930" s="22">
        <f t="shared" si="374"/>
        <v>0</v>
      </c>
      <c r="AE1930" s="22">
        <f t="shared" si="375"/>
        <v>0</v>
      </c>
      <c r="AF1930" s="19" t="str">
        <f>VLOOKUP(C1930,'2021-22 School Level AAFTE'!C:N,12,FALSE)</f>
        <v>No</v>
      </c>
    </row>
    <row r="1931" spans="1:32" s="5" customFormat="1">
      <c r="A1931" s="97" t="s">
        <v>2486</v>
      </c>
      <c r="B1931" s="97" t="s">
        <v>1773</v>
      </c>
      <c r="C1931" s="95">
        <v>3413</v>
      </c>
      <c r="D1931" s="95" t="s">
        <v>1809</v>
      </c>
      <c r="E1931" s="129">
        <f>VLOOKUP($C1931,'2021-22 School Level AAFTE'!$C:$Z,11,FALSE)</f>
        <v>0.53706666666666669</v>
      </c>
      <c r="F1931" s="129" t="str">
        <f>VLOOKUP($C1931,'2021-22 School Level AAFTE'!$C:$Z,8,FALSE)</f>
        <v>Yes</v>
      </c>
      <c r="G1931" s="129" t="str">
        <f>VLOOKUP($C1931,'2021-22 School Level AAFTE'!$C:$Z,12,FALSE)</f>
        <v>No</v>
      </c>
      <c r="H1931" s="127">
        <f>VLOOKUP($C1931,'2021-22 School Level AAFTE'!$C:$I,7,FALSE)</f>
        <v>705.42</v>
      </c>
      <c r="I1931" s="112">
        <f>IFERROR(IF(OR(G1931="yes",F1931= "yes"),VLOOKUP(C1931,Summary!$B:$J,6,0),0),0)</f>
        <v>0</v>
      </c>
      <c r="J1931" s="111">
        <f t="shared" ref="J1931:J1994" si="378">IF(OR(G1931="yes",F1931= "yes"), H1931,0)</f>
        <v>705.42</v>
      </c>
      <c r="K1931" s="91">
        <f>VLOOKUP($A1931,'2022-23 Salary &amp; Benefits'!$A:$I,3,FALSE)</f>
        <v>1.03</v>
      </c>
      <c r="L1931" s="91">
        <f>VLOOKUP($A1931,'2022-23 Salary &amp; Benefits'!$A:$I,4,FALSE)</f>
        <v>1.03</v>
      </c>
      <c r="M1931" s="101">
        <f t="shared" si="373"/>
        <v>705.42</v>
      </c>
      <c r="N1931" s="24">
        <v>15</v>
      </c>
      <c r="O1931" s="26">
        <f t="shared" si="376"/>
        <v>47.027999999999999</v>
      </c>
      <c r="P1931" s="24">
        <v>1.1000000000000001</v>
      </c>
      <c r="Q1931" s="24">
        <v>36</v>
      </c>
      <c r="R1931" s="27">
        <f t="shared" si="377"/>
        <v>1862.3088</v>
      </c>
      <c r="S1931" s="102">
        <f t="shared" ref="S1931:S1994" si="379">ROUND(IF(M1931="no",0,R1931/900),3)</f>
        <v>2.069</v>
      </c>
      <c r="T1931" s="21">
        <f>VLOOKUP($A1931,'2022-23 Salary &amp; Benefits'!$A:$I,5,FALSE)</f>
        <v>68937</v>
      </c>
      <c r="U1931" s="21">
        <f>VLOOKUP($A1931,'2022-23 Salary &amp; Benefits'!$A:$I,6,FALSE)</f>
        <v>72728</v>
      </c>
      <c r="V1931" s="22">
        <f t="shared" ref="V1931:V1994" si="380">ROUND($K1931*$T1931*$S1931,2)</f>
        <v>146909.57</v>
      </c>
      <c r="W1931" s="22">
        <f t="shared" ref="W1931:W1994" si="381">ROUND($L1931*$U1931*$S1931,2)-V1931</f>
        <v>8078.8899999999849</v>
      </c>
      <c r="X1931" s="22">
        <f>'2022-23 Salary &amp; Benefits'!$G$6</f>
        <v>12558.24</v>
      </c>
      <c r="Y1931" s="23">
        <f>'2022-23 Salary &amp; Benefits'!$H$6</f>
        <v>0.2298</v>
      </c>
      <c r="Z1931" s="23">
        <f>'2022-23 Salary &amp; Benefits'!$I$6</f>
        <v>0.22339999999999999</v>
      </c>
      <c r="AA1931" s="22">
        <f t="shared" ref="AA1931:AA1994" si="382">ROUND(V1931*Y1931+W1931*Z1931+S1931*X1931,2)</f>
        <v>61547.64</v>
      </c>
      <c r="AB1931" s="22">
        <f t="shared" ref="AB1931:AB1994" si="383">ROUND(($U1931*$L1931*$S1931/180*3),2)</f>
        <v>2583.14</v>
      </c>
      <c r="AC1931" s="22">
        <f t="shared" ref="AC1931:AC1994" si="384">ROUND(AB1931*Z1931,2)</f>
        <v>577.07000000000005</v>
      </c>
      <c r="AD1931" s="22">
        <f t="shared" si="374"/>
        <v>3160.21</v>
      </c>
      <c r="AE1931" s="22">
        <f t="shared" si="375"/>
        <v>219696.31</v>
      </c>
      <c r="AF1931" s="19" t="str">
        <f>VLOOKUP(C1931,'2021-22 School Level AAFTE'!C:N,12,FALSE)</f>
        <v>No</v>
      </c>
    </row>
    <row r="1932" spans="1:32" s="5" customFormat="1">
      <c r="A1932" s="97" t="s">
        <v>2486</v>
      </c>
      <c r="B1932" s="97" t="s">
        <v>1773</v>
      </c>
      <c r="C1932" s="95">
        <v>3506</v>
      </c>
      <c r="D1932" s="95" t="s">
        <v>1810</v>
      </c>
      <c r="E1932" s="129">
        <f>VLOOKUP($C1932,'2021-22 School Level AAFTE'!$C:$Z,11,FALSE)</f>
        <v>0.3658333333333334</v>
      </c>
      <c r="F1932" s="129" t="str">
        <f>VLOOKUP($C1932,'2021-22 School Level AAFTE'!$C:$Z,8,FALSE)</f>
        <v>No</v>
      </c>
      <c r="G1932" s="129" t="str">
        <f>VLOOKUP($C1932,'2021-22 School Level AAFTE'!$C:$Z,12,FALSE)</f>
        <v>No</v>
      </c>
      <c r="H1932" s="127">
        <f>VLOOKUP($C1932,'2021-22 School Level AAFTE'!$C:$I,7,FALSE)</f>
        <v>278.14</v>
      </c>
      <c r="I1932" s="112">
        <f>IFERROR(IF(OR(G1932="yes",F1932= "yes"),VLOOKUP(C1932,Summary!$B:$J,6,0),0),0)</f>
        <v>0</v>
      </c>
      <c r="J1932" s="111">
        <f t="shared" si="378"/>
        <v>0</v>
      </c>
      <c r="K1932" s="91">
        <f>VLOOKUP($A1932,'2022-23 Salary &amp; Benefits'!$A:$I,3,FALSE)</f>
        <v>1.03</v>
      </c>
      <c r="L1932" s="91">
        <f>VLOOKUP($A1932,'2022-23 Salary &amp; Benefits'!$A:$I,4,FALSE)</f>
        <v>1.03</v>
      </c>
      <c r="M1932" s="101">
        <f t="shared" si="373"/>
        <v>0</v>
      </c>
      <c r="N1932" s="24">
        <v>15</v>
      </c>
      <c r="O1932" s="26">
        <f t="shared" si="376"/>
        <v>0</v>
      </c>
      <c r="P1932" s="24">
        <v>1.1000000000000001</v>
      </c>
      <c r="Q1932" s="24">
        <v>36</v>
      </c>
      <c r="R1932" s="27">
        <f t="shared" si="377"/>
        <v>0</v>
      </c>
      <c r="S1932" s="102">
        <f t="shared" si="379"/>
        <v>0</v>
      </c>
      <c r="T1932" s="21">
        <f>VLOOKUP($A1932,'2022-23 Salary &amp; Benefits'!$A:$I,5,FALSE)</f>
        <v>68937</v>
      </c>
      <c r="U1932" s="21">
        <f>VLOOKUP($A1932,'2022-23 Salary &amp; Benefits'!$A:$I,6,FALSE)</f>
        <v>72728</v>
      </c>
      <c r="V1932" s="22">
        <f t="shared" si="380"/>
        <v>0</v>
      </c>
      <c r="W1932" s="22">
        <f t="shared" si="381"/>
        <v>0</v>
      </c>
      <c r="X1932" s="22">
        <f>'2022-23 Salary &amp; Benefits'!$G$6</f>
        <v>12558.24</v>
      </c>
      <c r="Y1932" s="23">
        <f>'2022-23 Salary &amp; Benefits'!$H$6</f>
        <v>0.2298</v>
      </c>
      <c r="Z1932" s="23">
        <f>'2022-23 Salary &amp; Benefits'!$I$6</f>
        <v>0.22339999999999999</v>
      </c>
      <c r="AA1932" s="22">
        <f t="shared" si="382"/>
        <v>0</v>
      </c>
      <c r="AB1932" s="22">
        <f t="shared" si="383"/>
        <v>0</v>
      </c>
      <c r="AC1932" s="22">
        <f t="shared" si="384"/>
        <v>0</v>
      </c>
      <c r="AD1932" s="22">
        <f t="shared" si="374"/>
        <v>0</v>
      </c>
      <c r="AE1932" s="22">
        <f t="shared" si="375"/>
        <v>0</v>
      </c>
      <c r="AF1932" s="19" t="str">
        <f>VLOOKUP(C1932,'2021-22 School Level AAFTE'!C:N,12,FALSE)</f>
        <v>No</v>
      </c>
    </row>
    <row r="1933" spans="1:32" s="5" customFormat="1">
      <c r="A1933" s="97" t="s">
        <v>2486</v>
      </c>
      <c r="B1933" s="97" t="s">
        <v>1773</v>
      </c>
      <c r="C1933" s="95">
        <v>3718</v>
      </c>
      <c r="D1933" s="95" t="s">
        <v>373</v>
      </c>
      <c r="E1933" s="129">
        <f>VLOOKUP($C1933,'2021-22 School Level AAFTE'!$C:$Z,11,FALSE)</f>
        <v>0.84249999999999992</v>
      </c>
      <c r="F1933" s="129" t="str">
        <f>VLOOKUP($C1933,'2021-22 School Level AAFTE'!$C:$Z,8,FALSE)</f>
        <v>Yes</v>
      </c>
      <c r="G1933" s="129" t="str">
        <f>VLOOKUP($C1933,'2021-22 School Level AAFTE'!$C:$Z,12,FALSE)</f>
        <v>No</v>
      </c>
      <c r="H1933" s="127">
        <f>VLOOKUP($C1933,'2021-22 School Level AAFTE'!$C:$I,7,FALSE)</f>
        <v>466.71</v>
      </c>
      <c r="I1933" s="112">
        <f>IFERROR(IF(OR(G1933="yes",F1933= "yes"),VLOOKUP(C1933,Summary!$B:$J,6,0),0),0)</f>
        <v>0</v>
      </c>
      <c r="J1933" s="111">
        <f t="shared" si="378"/>
        <v>466.71</v>
      </c>
      <c r="K1933" s="91">
        <f>VLOOKUP($A1933,'2022-23 Salary &amp; Benefits'!$A:$I,3,FALSE)</f>
        <v>1.03</v>
      </c>
      <c r="L1933" s="91">
        <f>VLOOKUP($A1933,'2022-23 Salary &amp; Benefits'!$A:$I,4,FALSE)</f>
        <v>1.03</v>
      </c>
      <c r="M1933" s="101">
        <f t="shared" si="373"/>
        <v>466.71</v>
      </c>
      <c r="N1933" s="24">
        <v>15</v>
      </c>
      <c r="O1933" s="26">
        <f t="shared" si="376"/>
        <v>31.113999999999997</v>
      </c>
      <c r="P1933" s="24">
        <v>1.1000000000000001</v>
      </c>
      <c r="Q1933" s="24">
        <v>36</v>
      </c>
      <c r="R1933" s="27">
        <f t="shared" si="377"/>
        <v>1232.1143999999999</v>
      </c>
      <c r="S1933" s="102">
        <f t="shared" si="379"/>
        <v>1.369</v>
      </c>
      <c r="T1933" s="21">
        <f>VLOOKUP($A1933,'2022-23 Salary &amp; Benefits'!$A:$I,5,FALSE)</f>
        <v>68937</v>
      </c>
      <c r="U1933" s="21">
        <f>VLOOKUP($A1933,'2022-23 Salary &amp; Benefits'!$A:$I,6,FALSE)</f>
        <v>72728</v>
      </c>
      <c r="V1933" s="22">
        <f t="shared" si="380"/>
        <v>97206</v>
      </c>
      <c r="W1933" s="22">
        <f t="shared" si="381"/>
        <v>5345.570000000007</v>
      </c>
      <c r="X1933" s="22">
        <f>'2022-23 Salary &amp; Benefits'!$G$6</f>
        <v>12558.24</v>
      </c>
      <c r="Y1933" s="23">
        <f>'2022-23 Salary &amp; Benefits'!$H$6</f>
        <v>0.2298</v>
      </c>
      <c r="Z1933" s="23">
        <f>'2022-23 Salary &amp; Benefits'!$I$6</f>
        <v>0.22339999999999999</v>
      </c>
      <c r="AA1933" s="22">
        <f t="shared" si="382"/>
        <v>40724.370000000003</v>
      </c>
      <c r="AB1933" s="22">
        <f t="shared" si="383"/>
        <v>1709.19</v>
      </c>
      <c r="AC1933" s="22">
        <f t="shared" si="384"/>
        <v>381.83</v>
      </c>
      <c r="AD1933" s="22">
        <f t="shared" si="374"/>
        <v>2091.02</v>
      </c>
      <c r="AE1933" s="22">
        <f t="shared" si="375"/>
        <v>145366.96</v>
      </c>
      <c r="AF1933" s="19" t="str">
        <f>VLOOKUP(C1933,'2021-22 School Level AAFTE'!C:N,12,FALSE)</f>
        <v>No</v>
      </c>
    </row>
    <row r="1934" spans="1:32" s="5" customFormat="1">
      <c r="A1934" s="97" t="s">
        <v>2486</v>
      </c>
      <c r="B1934" s="97" t="s">
        <v>1773</v>
      </c>
      <c r="C1934" s="95">
        <v>3719</v>
      </c>
      <c r="D1934" s="95" t="s">
        <v>1811</v>
      </c>
      <c r="E1934" s="129">
        <f>VLOOKUP($C1934,'2021-22 School Level AAFTE'!$C:$Z,11,FALSE)</f>
        <v>0.9075333333333333</v>
      </c>
      <c r="F1934" s="129" t="str">
        <f>VLOOKUP($C1934,'2021-22 School Level AAFTE'!$C:$Z,8,FALSE)</f>
        <v>Yes</v>
      </c>
      <c r="G1934" s="129" t="str">
        <f>VLOOKUP($C1934,'2021-22 School Level AAFTE'!$C:$Z,12,FALSE)</f>
        <v>No</v>
      </c>
      <c r="H1934" s="127">
        <f>VLOOKUP($C1934,'2021-22 School Level AAFTE'!$C:$I,7,FALSE)</f>
        <v>278.62</v>
      </c>
      <c r="I1934" s="112">
        <f>IFERROR(IF(OR(G1934="yes",F1934= "yes"),VLOOKUP(C1934,Summary!$B:$J,6,0),0),0)</f>
        <v>0</v>
      </c>
      <c r="J1934" s="111">
        <f t="shared" si="378"/>
        <v>278.62</v>
      </c>
      <c r="K1934" s="91">
        <f>VLOOKUP($A1934,'2022-23 Salary &amp; Benefits'!$A:$I,3,FALSE)</f>
        <v>1.03</v>
      </c>
      <c r="L1934" s="91">
        <f>VLOOKUP($A1934,'2022-23 Salary &amp; Benefits'!$A:$I,4,FALSE)</f>
        <v>1.03</v>
      </c>
      <c r="M1934" s="39">
        <f t="shared" si="373"/>
        <v>278.62</v>
      </c>
      <c r="N1934" s="24">
        <v>15</v>
      </c>
      <c r="O1934" s="26">
        <f t="shared" si="376"/>
        <v>18.574666666666666</v>
      </c>
      <c r="P1934" s="24">
        <v>1.1000000000000001</v>
      </c>
      <c r="Q1934" s="24">
        <v>36</v>
      </c>
      <c r="R1934" s="27">
        <f t="shared" si="377"/>
        <v>735.55679999999995</v>
      </c>
      <c r="S1934" s="102">
        <f t="shared" si="379"/>
        <v>0.81699999999999995</v>
      </c>
      <c r="T1934" s="21">
        <f>VLOOKUP($A1934,'2022-23 Salary &amp; Benefits'!$A:$I,5,FALSE)</f>
        <v>68937</v>
      </c>
      <c r="U1934" s="21">
        <f>VLOOKUP($A1934,'2022-23 Salary &amp; Benefits'!$A:$I,6,FALSE)</f>
        <v>72728</v>
      </c>
      <c r="V1934" s="22">
        <f t="shared" si="380"/>
        <v>58011.17</v>
      </c>
      <c r="W1934" s="22">
        <f t="shared" si="381"/>
        <v>3190.1699999999983</v>
      </c>
      <c r="X1934" s="22">
        <f>'2022-23 Salary &amp; Benefits'!$G$6</f>
        <v>12558.24</v>
      </c>
      <c r="Y1934" s="23">
        <f>'2022-23 Salary &amp; Benefits'!$H$6</f>
        <v>0.2298</v>
      </c>
      <c r="Z1934" s="23">
        <f>'2022-23 Salary &amp; Benefits'!$I$6</f>
        <v>0.22339999999999999</v>
      </c>
      <c r="AA1934" s="22">
        <f t="shared" si="382"/>
        <v>24303.73</v>
      </c>
      <c r="AB1934" s="22">
        <f t="shared" si="383"/>
        <v>1020.02</v>
      </c>
      <c r="AC1934" s="22">
        <f t="shared" si="384"/>
        <v>227.87</v>
      </c>
      <c r="AD1934" s="22">
        <f t="shared" si="374"/>
        <v>1247.8899999999999</v>
      </c>
      <c r="AE1934" s="22">
        <f t="shared" si="375"/>
        <v>86752.959999999992</v>
      </c>
      <c r="AF1934" s="19" t="str">
        <f>VLOOKUP(C1934,'2021-22 School Level AAFTE'!C:N,12,FALSE)</f>
        <v>No</v>
      </c>
    </row>
    <row r="1935" spans="1:32" s="5" customFormat="1">
      <c r="A1935" s="97" t="s">
        <v>2486</v>
      </c>
      <c r="B1935" s="97" t="s">
        <v>1773</v>
      </c>
      <c r="C1935" s="95">
        <v>3727</v>
      </c>
      <c r="D1935" s="95" t="s">
        <v>1812</v>
      </c>
      <c r="E1935" s="129">
        <f>VLOOKUP($C1935,'2021-22 School Level AAFTE'!$C:$Z,11,FALSE)</f>
        <v>0.72710000000000008</v>
      </c>
      <c r="F1935" s="129" t="str">
        <f>VLOOKUP($C1935,'2021-22 School Level AAFTE'!$C:$Z,8,FALSE)</f>
        <v>Yes</v>
      </c>
      <c r="G1935" s="129" t="str">
        <f>VLOOKUP($C1935,'2021-22 School Level AAFTE'!$C:$Z,12,FALSE)</f>
        <v>No</v>
      </c>
      <c r="H1935" s="127">
        <f>VLOOKUP($C1935,'2021-22 School Level AAFTE'!$C:$I,7,FALSE)</f>
        <v>386</v>
      </c>
      <c r="I1935" s="112">
        <f>IFERROR(IF(OR(G1935="yes",F1935= "yes"),VLOOKUP(C1935,Summary!$B:$J,6,0),0),0)</f>
        <v>0</v>
      </c>
      <c r="J1935" s="111">
        <f t="shared" si="378"/>
        <v>386</v>
      </c>
      <c r="K1935" s="91">
        <f>VLOOKUP($A1935,'2022-23 Salary &amp; Benefits'!$A:$I,3,FALSE)</f>
        <v>1.03</v>
      </c>
      <c r="L1935" s="91">
        <f>VLOOKUP($A1935,'2022-23 Salary &amp; Benefits'!$A:$I,4,FALSE)</f>
        <v>1.03</v>
      </c>
      <c r="M1935" s="101">
        <f t="shared" si="373"/>
        <v>386</v>
      </c>
      <c r="N1935" s="24">
        <v>15</v>
      </c>
      <c r="O1935" s="26">
        <f t="shared" si="376"/>
        <v>25.733333333333334</v>
      </c>
      <c r="P1935" s="24">
        <v>1.1000000000000001</v>
      </c>
      <c r="Q1935" s="24">
        <v>36</v>
      </c>
      <c r="R1935" s="27">
        <f t="shared" si="377"/>
        <v>1019.0400000000001</v>
      </c>
      <c r="S1935" s="102">
        <f t="shared" si="379"/>
        <v>1.1319999999999999</v>
      </c>
      <c r="T1935" s="21">
        <f>VLOOKUP($A1935,'2022-23 Salary &amp; Benefits'!$A:$I,5,FALSE)</f>
        <v>68937</v>
      </c>
      <c r="U1935" s="21">
        <f>VLOOKUP($A1935,'2022-23 Salary &amp; Benefits'!$A:$I,6,FALSE)</f>
        <v>72728</v>
      </c>
      <c r="V1935" s="22">
        <f t="shared" si="380"/>
        <v>80377.78</v>
      </c>
      <c r="W1935" s="22">
        <f t="shared" si="381"/>
        <v>4420.1600000000035</v>
      </c>
      <c r="X1935" s="22">
        <f>'2022-23 Salary &amp; Benefits'!$G$6</f>
        <v>12558.24</v>
      </c>
      <c r="Y1935" s="23">
        <f>'2022-23 Salary &amp; Benefits'!$H$6</f>
        <v>0.2298</v>
      </c>
      <c r="Z1935" s="23">
        <f>'2022-23 Salary &amp; Benefits'!$I$6</f>
        <v>0.22339999999999999</v>
      </c>
      <c r="AA1935" s="22">
        <f t="shared" si="382"/>
        <v>33674.21</v>
      </c>
      <c r="AB1935" s="22">
        <f t="shared" si="383"/>
        <v>1413.3</v>
      </c>
      <c r="AC1935" s="22">
        <f t="shared" si="384"/>
        <v>315.73</v>
      </c>
      <c r="AD1935" s="22">
        <f t="shared" si="374"/>
        <v>1729.03</v>
      </c>
      <c r="AE1935" s="22">
        <f t="shared" si="375"/>
        <v>120201.18</v>
      </c>
      <c r="AF1935" s="19" t="str">
        <f>VLOOKUP(C1935,'2021-22 School Level AAFTE'!C:N,12,FALSE)</f>
        <v>No</v>
      </c>
    </row>
    <row r="1936" spans="1:32" s="5" customFormat="1">
      <c r="A1936" s="97" t="s">
        <v>2486</v>
      </c>
      <c r="B1936" s="97" t="s">
        <v>1773</v>
      </c>
      <c r="C1936" s="95">
        <v>3729</v>
      </c>
      <c r="D1936" s="95" t="s">
        <v>456</v>
      </c>
      <c r="E1936" s="129">
        <f>VLOOKUP($C1936,'2021-22 School Level AAFTE'!$C:$Z,11,FALSE)</f>
        <v>0.87709999999999999</v>
      </c>
      <c r="F1936" s="129" t="str">
        <f>VLOOKUP($C1936,'2021-22 School Level AAFTE'!$C:$Z,8,FALSE)</f>
        <v>Yes</v>
      </c>
      <c r="G1936" s="129" t="str">
        <f>VLOOKUP($C1936,'2021-22 School Level AAFTE'!$C:$Z,12,FALSE)</f>
        <v>No</v>
      </c>
      <c r="H1936" s="127">
        <f>VLOOKUP($C1936,'2021-22 School Level AAFTE'!$C:$I,7,FALSE)</f>
        <v>306.57</v>
      </c>
      <c r="I1936" s="112">
        <f>IFERROR(IF(OR(G1936="yes",F1936= "yes"),VLOOKUP(C1936,Summary!$B:$J,6,0),0),0)</f>
        <v>0</v>
      </c>
      <c r="J1936" s="111">
        <f t="shared" si="378"/>
        <v>306.57</v>
      </c>
      <c r="K1936" s="91">
        <f>VLOOKUP($A1936,'2022-23 Salary &amp; Benefits'!$A:$I,3,FALSE)</f>
        <v>1.03</v>
      </c>
      <c r="L1936" s="91">
        <f>VLOOKUP($A1936,'2022-23 Salary &amp; Benefits'!$A:$I,4,FALSE)</f>
        <v>1.03</v>
      </c>
      <c r="M1936" s="39">
        <f t="shared" si="373"/>
        <v>306.57</v>
      </c>
      <c r="N1936" s="24">
        <v>15</v>
      </c>
      <c r="O1936" s="26">
        <f t="shared" si="376"/>
        <v>20.437999999999999</v>
      </c>
      <c r="P1936" s="24">
        <v>1.1000000000000001</v>
      </c>
      <c r="Q1936" s="24">
        <v>36</v>
      </c>
      <c r="R1936" s="27">
        <f t="shared" si="377"/>
        <v>809.34479999999996</v>
      </c>
      <c r="S1936" s="102">
        <f t="shared" si="379"/>
        <v>0.89900000000000002</v>
      </c>
      <c r="T1936" s="21">
        <f>VLOOKUP($A1936,'2022-23 Salary &amp; Benefits'!$A:$I,5,FALSE)</f>
        <v>68937</v>
      </c>
      <c r="U1936" s="21">
        <f>VLOOKUP($A1936,'2022-23 Salary &amp; Benefits'!$A:$I,6,FALSE)</f>
        <v>72728</v>
      </c>
      <c r="V1936" s="22">
        <f t="shared" si="380"/>
        <v>63833.59</v>
      </c>
      <c r="W1936" s="22">
        <f t="shared" si="381"/>
        <v>3510.3600000000006</v>
      </c>
      <c r="X1936" s="22">
        <f>'2022-23 Salary &amp; Benefits'!$G$6</f>
        <v>12558.24</v>
      </c>
      <c r="Y1936" s="23">
        <f>'2022-23 Salary &amp; Benefits'!$H$6</f>
        <v>0.2298</v>
      </c>
      <c r="Z1936" s="23">
        <f>'2022-23 Salary &amp; Benefits'!$I$6</f>
        <v>0.22339999999999999</v>
      </c>
      <c r="AA1936" s="22">
        <f t="shared" si="382"/>
        <v>26743.03</v>
      </c>
      <c r="AB1936" s="22">
        <f t="shared" si="383"/>
        <v>1122.4000000000001</v>
      </c>
      <c r="AC1936" s="22">
        <f t="shared" si="384"/>
        <v>250.74</v>
      </c>
      <c r="AD1936" s="22">
        <f t="shared" si="374"/>
        <v>1373.14</v>
      </c>
      <c r="AE1936" s="22">
        <f t="shared" si="375"/>
        <v>95460.12</v>
      </c>
      <c r="AF1936" s="19" t="str">
        <f>VLOOKUP(C1936,'2021-22 School Level AAFTE'!C:N,12,FALSE)</f>
        <v>No</v>
      </c>
    </row>
    <row r="1937" spans="1:32" s="5" customFormat="1">
      <c r="A1937" s="97" t="s">
        <v>2486</v>
      </c>
      <c r="B1937" s="97" t="s">
        <v>1773</v>
      </c>
      <c r="C1937" s="95">
        <v>3758</v>
      </c>
      <c r="D1937" s="95" t="s">
        <v>1813</v>
      </c>
      <c r="E1937" s="129">
        <f>VLOOKUP($C1937,'2021-22 School Level AAFTE'!$C:$Z,11,FALSE)</f>
        <v>0.86286666666666667</v>
      </c>
      <c r="F1937" s="129" t="str">
        <f>VLOOKUP($C1937,'2021-22 School Level AAFTE'!$C:$Z,8,FALSE)</f>
        <v>Yes</v>
      </c>
      <c r="G1937" s="129" t="str">
        <f>VLOOKUP($C1937,'2021-22 School Level AAFTE'!$C:$Z,12,FALSE)</f>
        <v>No</v>
      </c>
      <c r="H1937" s="127">
        <f>VLOOKUP($C1937,'2021-22 School Level AAFTE'!$C:$I,7,FALSE)</f>
        <v>617.47</v>
      </c>
      <c r="I1937" s="112">
        <f>IFERROR(IF(OR(G1937="yes",F1937= "yes"),VLOOKUP(C1937,Summary!$B:$J,6,0),0),0)</f>
        <v>0</v>
      </c>
      <c r="J1937" s="111">
        <f t="shared" si="378"/>
        <v>617.47</v>
      </c>
      <c r="K1937" s="91">
        <f>VLOOKUP($A1937,'2022-23 Salary &amp; Benefits'!$A:$I,3,FALSE)</f>
        <v>1.03</v>
      </c>
      <c r="L1937" s="91">
        <f>VLOOKUP($A1937,'2022-23 Salary &amp; Benefits'!$A:$I,4,FALSE)</f>
        <v>1.03</v>
      </c>
      <c r="M1937" s="39">
        <f t="shared" si="373"/>
        <v>617.47</v>
      </c>
      <c r="N1937" s="24">
        <v>15</v>
      </c>
      <c r="O1937" s="26">
        <f t="shared" si="376"/>
        <v>41.164666666666669</v>
      </c>
      <c r="P1937" s="24">
        <v>1.1000000000000001</v>
      </c>
      <c r="Q1937" s="24">
        <v>36</v>
      </c>
      <c r="R1937" s="27">
        <f t="shared" si="377"/>
        <v>1630.1208000000001</v>
      </c>
      <c r="S1937" s="102">
        <f t="shared" si="379"/>
        <v>1.8109999999999999</v>
      </c>
      <c r="T1937" s="21">
        <f>VLOOKUP($A1937,'2022-23 Salary &amp; Benefits'!$A:$I,5,FALSE)</f>
        <v>68937</v>
      </c>
      <c r="U1937" s="21">
        <f>VLOOKUP($A1937,'2022-23 Salary &amp; Benefits'!$A:$I,6,FALSE)</f>
        <v>72728</v>
      </c>
      <c r="V1937" s="22">
        <f t="shared" si="380"/>
        <v>128590.25</v>
      </c>
      <c r="W1937" s="22">
        <f t="shared" si="381"/>
        <v>7071.4700000000012</v>
      </c>
      <c r="X1937" s="22">
        <f>'2022-23 Salary &amp; Benefits'!$G$6</f>
        <v>12558.24</v>
      </c>
      <c r="Y1937" s="23">
        <f>'2022-23 Salary &amp; Benefits'!$H$6</f>
        <v>0.2298</v>
      </c>
      <c r="Z1937" s="23">
        <f>'2022-23 Salary &amp; Benefits'!$I$6</f>
        <v>0.22339999999999999</v>
      </c>
      <c r="AA1937" s="22">
        <f t="shared" si="382"/>
        <v>53872.78</v>
      </c>
      <c r="AB1937" s="22">
        <f t="shared" si="383"/>
        <v>2261.0300000000002</v>
      </c>
      <c r="AC1937" s="22">
        <f t="shared" si="384"/>
        <v>505.11</v>
      </c>
      <c r="AD1937" s="22">
        <f t="shared" si="374"/>
        <v>2766.1400000000003</v>
      </c>
      <c r="AE1937" s="22">
        <f t="shared" si="375"/>
        <v>192300.64</v>
      </c>
      <c r="AF1937" s="19" t="str">
        <f>VLOOKUP(C1937,'2021-22 School Level AAFTE'!C:N,12,FALSE)</f>
        <v>No</v>
      </c>
    </row>
    <row r="1938" spans="1:32" s="5" customFormat="1">
      <c r="A1938" s="97" t="s">
        <v>2486</v>
      </c>
      <c r="B1938" s="97" t="s">
        <v>1773</v>
      </c>
      <c r="C1938" s="95">
        <v>4035</v>
      </c>
      <c r="D1938" s="95" t="s">
        <v>1814</v>
      </c>
      <c r="E1938" s="129">
        <f>VLOOKUP($C1938,'2021-22 School Level AAFTE'!$C:$Z,11,FALSE)</f>
        <v>0.34243333333333337</v>
      </c>
      <c r="F1938" s="129" t="str">
        <f>VLOOKUP($C1938,'2021-22 School Level AAFTE'!$C:$Z,8,FALSE)</f>
        <v>No</v>
      </c>
      <c r="G1938" s="129" t="str">
        <f>VLOOKUP($C1938,'2021-22 School Level AAFTE'!$C:$Z,12,FALSE)</f>
        <v>No</v>
      </c>
      <c r="H1938" s="127">
        <f>VLOOKUP($C1938,'2021-22 School Level AAFTE'!$C:$I,7,FALSE)</f>
        <v>605.65</v>
      </c>
      <c r="I1938" s="112">
        <f>IFERROR(IF(OR(G1938="yes",F1938= "yes"),VLOOKUP(C1938,Summary!$B:$J,6,0),0),0)</f>
        <v>0</v>
      </c>
      <c r="J1938" s="111">
        <f t="shared" si="378"/>
        <v>0</v>
      </c>
      <c r="K1938" s="91">
        <f>VLOOKUP($A1938,'2022-23 Salary &amp; Benefits'!$A:$I,3,FALSE)</f>
        <v>1.03</v>
      </c>
      <c r="L1938" s="91">
        <f>VLOOKUP($A1938,'2022-23 Salary &amp; Benefits'!$A:$I,4,FALSE)</f>
        <v>1.03</v>
      </c>
      <c r="M1938" s="39">
        <f t="shared" si="373"/>
        <v>0</v>
      </c>
      <c r="N1938" s="24">
        <v>15</v>
      </c>
      <c r="O1938" s="26">
        <f t="shared" si="376"/>
        <v>0</v>
      </c>
      <c r="P1938" s="24">
        <v>1.1000000000000001</v>
      </c>
      <c r="Q1938" s="24">
        <v>36</v>
      </c>
      <c r="R1938" s="27">
        <f t="shared" si="377"/>
        <v>0</v>
      </c>
      <c r="S1938" s="102">
        <f t="shared" si="379"/>
        <v>0</v>
      </c>
      <c r="T1938" s="21">
        <f>VLOOKUP($A1938,'2022-23 Salary &amp; Benefits'!$A:$I,5,FALSE)</f>
        <v>68937</v>
      </c>
      <c r="U1938" s="21">
        <f>VLOOKUP($A1938,'2022-23 Salary &amp; Benefits'!$A:$I,6,FALSE)</f>
        <v>72728</v>
      </c>
      <c r="V1938" s="22">
        <f t="shared" si="380"/>
        <v>0</v>
      </c>
      <c r="W1938" s="22">
        <f t="shared" si="381"/>
        <v>0</v>
      </c>
      <c r="X1938" s="22">
        <f>'2022-23 Salary &amp; Benefits'!$G$6</f>
        <v>12558.24</v>
      </c>
      <c r="Y1938" s="23">
        <f>'2022-23 Salary &amp; Benefits'!$H$6</f>
        <v>0.2298</v>
      </c>
      <c r="Z1938" s="23">
        <f>'2022-23 Salary &amp; Benefits'!$I$6</f>
        <v>0.22339999999999999</v>
      </c>
      <c r="AA1938" s="22">
        <f t="shared" si="382"/>
        <v>0</v>
      </c>
      <c r="AB1938" s="22">
        <f t="shared" si="383"/>
        <v>0</v>
      </c>
      <c r="AC1938" s="22">
        <f t="shared" si="384"/>
        <v>0</v>
      </c>
      <c r="AD1938" s="22">
        <f t="shared" si="374"/>
        <v>0</v>
      </c>
      <c r="AE1938" s="22">
        <f t="shared" si="375"/>
        <v>0</v>
      </c>
      <c r="AF1938" s="19" t="str">
        <f>VLOOKUP(C1938,'2021-22 School Level AAFTE'!C:N,12,FALSE)</f>
        <v>No</v>
      </c>
    </row>
    <row r="1939" spans="1:32" s="5" customFormat="1">
      <c r="A1939" s="97" t="s">
        <v>2486</v>
      </c>
      <c r="B1939" s="97" t="s">
        <v>1773</v>
      </c>
      <c r="C1939" s="95">
        <v>4191</v>
      </c>
      <c r="D1939" s="95" t="s">
        <v>2792</v>
      </c>
      <c r="E1939" s="129">
        <f>VLOOKUP($C1939,'2021-22 School Level AAFTE'!$C:$Z,11,FALSE)</f>
        <v>0.21209999999999998</v>
      </c>
      <c r="F1939" s="129" t="str">
        <f>VLOOKUP($C1939,'2021-22 School Level AAFTE'!$C:$Z,8,FALSE)</f>
        <v>No</v>
      </c>
      <c r="G1939" s="129" t="str">
        <f>VLOOKUP($C1939,'2021-22 School Level AAFTE'!$C:$Z,12,FALSE)</f>
        <v>No</v>
      </c>
      <c r="H1939" s="127">
        <f>VLOOKUP($C1939,'2021-22 School Level AAFTE'!$C:$I,7,FALSE)</f>
        <v>376.13</v>
      </c>
      <c r="I1939" s="112">
        <f>IFERROR(IF(OR(G1939="yes",F1939= "yes"),VLOOKUP(C1939,Summary!$B:$J,6,0),0),0)</f>
        <v>0</v>
      </c>
      <c r="J1939" s="111">
        <f t="shared" si="378"/>
        <v>0</v>
      </c>
      <c r="K1939" s="91">
        <f>VLOOKUP($A1939,'2022-23 Salary &amp; Benefits'!$A:$I,3,FALSE)</f>
        <v>1.03</v>
      </c>
      <c r="L1939" s="91">
        <f>VLOOKUP($A1939,'2022-23 Salary &amp; Benefits'!$A:$I,4,FALSE)</f>
        <v>1.03</v>
      </c>
      <c r="M1939" s="101">
        <f t="shared" si="373"/>
        <v>0</v>
      </c>
      <c r="N1939" s="24">
        <v>15</v>
      </c>
      <c r="O1939" s="26">
        <f t="shared" si="376"/>
        <v>0</v>
      </c>
      <c r="P1939" s="24">
        <v>1.1000000000000001</v>
      </c>
      <c r="Q1939" s="24">
        <v>36</v>
      </c>
      <c r="R1939" s="27">
        <f t="shared" si="377"/>
        <v>0</v>
      </c>
      <c r="S1939" s="102">
        <f t="shared" si="379"/>
        <v>0</v>
      </c>
      <c r="T1939" s="21">
        <f>VLOOKUP($A1939,'2022-23 Salary &amp; Benefits'!$A:$I,5,FALSE)</f>
        <v>68937</v>
      </c>
      <c r="U1939" s="21">
        <f>VLOOKUP($A1939,'2022-23 Salary &amp; Benefits'!$A:$I,6,FALSE)</f>
        <v>72728</v>
      </c>
      <c r="V1939" s="22">
        <f t="shared" si="380"/>
        <v>0</v>
      </c>
      <c r="W1939" s="22">
        <f t="shared" si="381"/>
        <v>0</v>
      </c>
      <c r="X1939" s="22">
        <f>'2022-23 Salary &amp; Benefits'!$G$6</f>
        <v>12558.24</v>
      </c>
      <c r="Y1939" s="23">
        <f>'2022-23 Salary &amp; Benefits'!$H$6</f>
        <v>0.2298</v>
      </c>
      <c r="Z1939" s="23">
        <f>'2022-23 Salary &amp; Benefits'!$I$6</f>
        <v>0.22339999999999999</v>
      </c>
      <c r="AA1939" s="22">
        <f t="shared" si="382"/>
        <v>0</v>
      </c>
      <c r="AB1939" s="22">
        <f t="shared" si="383"/>
        <v>0</v>
      </c>
      <c r="AC1939" s="22">
        <f t="shared" si="384"/>
        <v>0</v>
      </c>
      <c r="AD1939" s="22">
        <f t="shared" si="374"/>
        <v>0</v>
      </c>
      <c r="AE1939" s="22">
        <f t="shared" si="375"/>
        <v>0</v>
      </c>
      <c r="AF1939" s="19" t="str">
        <f>VLOOKUP(C1939,'2021-22 School Level AAFTE'!C:N,12,FALSE)</f>
        <v>No</v>
      </c>
    </row>
    <row r="1940" spans="1:32" s="5" customFormat="1">
      <c r="A1940" s="97" t="s">
        <v>2486</v>
      </c>
      <c r="B1940" s="97" t="s">
        <v>1773</v>
      </c>
      <c r="C1940" s="95">
        <v>4192</v>
      </c>
      <c r="D1940" s="95" t="s">
        <v>769</v>
      </c>
      <c r="E1940" s="129">
        <f>VLOOKUP($C1940,'2021-22 School Level AAFTE'!$C:$Z,11,FALSE)</f>
        <v>0.31513333333333332</v>
      </c>
      <c r="F1940" s="129" t="str">
        <f>VLOOKUP($C1940,'2021-22 School Level AAFTE'!$C:$Z,8,FALSE)</f>
        <v>No</v>
      </c>
      <c r="G1940" s="129" t="str">
        <f>VLOOKUP($C1940,'2021-22 School Level AAFTE'!$C:$Z,12,FALSE)</f>
        <v>No</v>
      </c>
      <c r="H1940" s="127">
        <f>VLOOKUP($C1940,'2021-22 School Level AAFTE'!$C:$I,7,FALSE)</f>
        <v>401.45</v>
      </c>
      <c r="I1940" s="112">
        <f>IFERROR(IF(OR(G1940="yes",F1940= "yes"),VLOOKUP(C1940,Summary!$B:$J,6,0),0),0)</f>
        <v>0</v>
      </c>
      <c r="J1940" s="111">
        <f t="shared" si="378"/>
        <v>0</v>
      </c>
      <c r="K1940" s="91">
        <f>VLOOKUP($A1940,'2022-23 Salary &amp; Benefits'!$A:$I,3,FALSE)</f>
        <v>1.03</v>
      </c>
      <c r="L1940" s="91">
        <f>VLOOKUP($A1940,'2022-23 Salary &amp; Benefits'!$A:$I,4,FALSE)</f>
        <v>1.03</v>
      </c>
      <c r="M1940" s="101">
        <f t="shared" si="373"/>
        <v>0</v>
      </c>
      <c r="N1940" s="24">
        <v>15</v>
      </c>
      <c r="O1940" s="26">
        <f t="shared" si="376"/>
        <v>0</v>
      </c>
      <c r="P1940" s="24">
        <v>1.1000000000000001</v>
      </c>
      <c r="Q1940" s="24">
        <v>36</v>
      </c>
      <c r="R1940" s="27">
        <f t="shared" si="377"/>
        <v>0</v>
      </c>
      <c r="S1940" s="102">
        <f t="shared" si="379"/>
        <v>0</v>
      </c>
      <c r="T1940" s="21">
        <f>VLOOKUP($A1940,'2022-23 Salary &amp; Benefits'!$A:$I,5,FALSE)</f>
        <v>68937</v>
      </c>
      <c r="U1940" s="21">
        <f>VLOOKUP($A1940,'2022-23 Salary &amp; Benefits'!$A:$I,6,FALSE)</f>
        <v>72728</v>
      </c>
      <c r="V1940" s="22">
        <f t="shared" si="380"/>
        <v>0</v>
      </c>
      <c r="W1940" s="22">
        <f t="shared" si="381"/>
        <v>0</v>
      </c>
      <c r="X1940" s="22">
        <f>'2022-23 Salary &amp; Benefits'!$G$6</f>
        <v>12558.24</v>
      </c>
      <c r="Y1940" s="23">
        <f>'2022-23 Salary &amp; Benefits'!$H$6</f>
        <v>0.2298</v>
      </c>
      <c r="Z1940" s="23">
        <f>'2022-23 Salary &amp; Benefits'!$I$6</f>
        <v>0.22339999999999999</v>
      </c>
      <c r="AA1940" s="22">
        <f t="shared" si="382"/>
        <v>0</v>
      </c>
      <c r="AB1940" s="22">
        <f t="shared" si="383"/>
        <v>0</v>
      </c>
      <c r="AC1940" s="22">
        <f t="shared" si="384"/>
        <v>0</v>
      </c>
      <c r="AD1940" s="22">
        <f t="shared" si="374"/>
        <v>0</v>
      </c>
      <c r="AE1940" s="22">
        <f t="shared" si="375"/>
        <v>0</v>
      </c>
      <c r="AF1940" s="19" t="str">
        <f>VLOOKUP(C1940,'2021-22 School Level AAFTE'!C:N,12,FALSE)</f>
        <v>No</v>
      </c>
    </row>
    <row r="1941" spans="1:32" s="5" customFormat="1">
      <c r="A1941" s="97" t="s">
        <v>2486</v>
      </c>
      <c r="B1941" s="97" t="s">
        <v>1773</v>
      </c>
      <c r="C1941" s="95">
        <v>4389</v>
      </c>
      <c r="D1941" s="95" t="s">
        <v>1816</v>
      </c>
      <c r="E1941" s="129">
        <f>VLOOKUP($C1941,'2021-22 School Level AAFTE'!$C:$Z,11,FALSE)</f>
        <v>0.25973333333333332</v>
      </c>
      <c r="F1941" s="129" t="str">
        <f>VLOOKUP($C1941,'2021-22 School Level AAFTE'!$C:$Z,8,FALSE)</f>
        <v>No</v>
      </c>
      <c r="G1941" s="129" t="str">
        <f>VLOOKUP($C1941,'2021-22 School Level AAFTE'!$C:$Z,12,FALSE)</f>
        <v>No</v>
      </c>
      <c r="H1941" s="127">
        <f>VLOOKUP($C1941,'2021-22 School Level AAFTE'!$C:$I,7,FALSE)</f>
        <v>455.49</v>
      </c>
      <c r="I1941" s="112">
        <f>IFERROR(IF(OR(G1941="yes",F1941= "yes"),VLOOKUP(C1941,Summary!$B:$J,6,0),0),0)</f>
        <v>0</v>
      </c>
      <c r="J1941" s="111">
        <f t="shared" si="378"/>
        <v>0</v>
      </c>
      <c r="K1941" s="91">
        <f>VLOOKUP($A1941,'2022-23 Salary &amp; Benefits'!$A:$I,3,FALSE)</f>
        <v>1.03</v>
      </c>
      <c r="L1941" s="91">
        <f>VLOOKUP($A1941,'2022-23 Salary &amp; Benefits'!$A:$I,4,FALSE)</f>
        <v>1.03</v>
      </c>
      <c r="M1941" s="101">
        <f t="shared" si="373"/>
        <v>0</v>
      </c>
      <c r="N1941" s="24">
        <v>15</v>
      </c>
      <c r="O1941" s="26">
        <f t="shared" si="376"/>
        <v>0</v>
      </c>
      <c r="P1941" s="24">
        <v>1.1000000000000001</v>
      </c>
      <c r="Q1941" s="24">
        <v>36</v>
      </c>
      <c r="R1941" s="27">
        <f t="shared" si="377"/>
        <v>0</v>
      </c>
      <c r="S1941" s="102">
        <f t="shared" si="379"/>
        <v>0</v>
      </c>
      <c r="T1941" s="21">
        <f>VLOOKUP($A1941,'2022-23 Salary &amp; Benefits'!$A:$I,5,FALSE)</f>
        <v>68937</v>
      </c>
      <c r="U1941" s="21">
        <f>VLOOKUP($A1941,'2022-23 Salary &amp; Benefits'!$A:$I,6,FALSE)</f>
        <v>72728</v>
      </c>
      <c r="V1941" s="22">
        <f t="shared" si="380"/>
        <v>0</v>
      </c>
      <c r="W1941" s="22">
        <f t="shared" si="381"/>
        <v>0</v>
      </c>
      <c r="X1941" s="22">
        <f>'2022-23 Salary &amp; Benefits'!$G$6</f>
        <v>12558.24</v>
      </c>
      <c r="Y1941" s="23">
        <f>'2022-23 Salary &amp; Benefits'!$H$6</f>
        <v>0.2298</v>
      </c>
      <c r="Z1941" s="23">
        <f>'2022-23 Salary &amp; Benefits'!$I$6</f>
        <v>0.22339999999999999</v>
      </c>
      <c r="AA1941" s="22">
        <f t="shared" si="382"/>
        <v>0</v>
      </c>
      <c r="AB1941" s="22">
        <f t="shared" si="383"/>
        <v>0</v>
      </c>
      <c r="AC1941" s="22">
        <f t="shared" si="384"/>
        <v>0</v>
      </c>
      <c r="AD1941" s="22">
        <f t="shared" si="374"/>
        <v>0</v>
      </c>
      <c r="AE1941" s="22">
        <f t="shared" si="375"/>
        <v>0</v>
      </c>
      <c r="AF1941" s="19" t="str">
        <f>VLOOKUP(C1941,'2021-22 School Level AAFTE'!C:N,12,FALSE)</f>
        <v>No</v>
      </c>
    </row>
    <row r="1942" spans="1:32" s="5" customFormat="1">
      <c r="A1942" s="97" t="s">
        <v>2486</v>
      </c>
      <c r="B1942" s="97" t="s">
        <v>1773</v>
      </c>
      <c r="C1942" s="95">
        <v>4457</v>
      </c>
      <c r="D1942" s="95" t="s">
        <v>1817</v>
      </c>
      <c r="E1942" s="129">
        <f>VLOOKUP($C1942,'2021-22 School Level AAFTE'!$C:$Z,11,FALSE)</f>
        <v>0.53666666666666663</v>
      </c>
      <c r="F1942" s="129" t="str">
        <f>VLOOKUP($C1942,'2021-22 School Level AAFTE'!$C:$Z,8,FALSE)</f>
        <v>Yes</v>
      </c>
      <c r="G1942" s="129" t="str">
        <f>VLOOKUP($C1942,'2021-22 School Level AAFTE'!$C:$Z,12,FALSE)</f>
        <v>No</v>
      </c>
      <c r="H1942" s="127">
        <f>VLOOKUP($C1942,'2021-22 School Level AAFTE'!$C:$I,7,FALSE)</f>
        <v>682.83</v>
      </c>
      <c r="I1942" s="112">
        <f>IFERROR(IF(OR(G1942="yes",F1942= "yes"),VLOOKUP(C1942,Summary!$B:$J,6,0),0),0)</f>
        <v>0</v>
      </c>
      <c r="J1942" s="111">
        <f t="shared" si="378"/>
        <v>682.83</v>
      </c>
      <c r="K1942" s="91">
        <f>VLOOKUP($A1942,'2022-23 Salary &amp; Benefits'!$A:$I,3,FALSE)</f>
        <v>1.03</v>
      </c>
      <c r="L1942" s="91">
        <f>VLOOKUP($A1942,'2022-23 Salary &amp; Benefits'!$A:$I,4,FALSE)</f>
        <v>1.03</v>
      </c>
      <c r="M1942" s="101">
        <f t="shared" si="373"/>
        <v>682.83</v>
      </c>
      <c r="N1942" s="24">
        <v>15</v>
      </c>
      <c r="O1942" s="26">
        <f t="shared" si="376"/>
        <v>45.522000000000006</v>
      </c>
      <c r="P1942" s="24">
        <v>1.1000000000000001</v>
      </c>
      <c r="Q1942" s="24">
        <v>36</v>
      </c>
      <c r="R1942" s="27">
        <f t="shared" si="377"/>
        <v>1802.6712000000005</v>
      </c>
      <c r="S1942" s="102">
        <f t="shared" si="379"/>
        <v>2.0030000000000001</v>
      </c>
      <c r="T1942" s="21">
        <f>VLOOKUP($A1942,'2022-23 Salary &amp; Benefits'!$A:$I,5,FALSE)</f>
        <v>68937</v>
      </c>
      <c r="U1942" s="21">
        <f>VLOOKUP($A1942,'2022-23 Salary &amp; Benefits'!$A:$I,6,FALSE)</f>
        <v>72728</v>
      </c>
      <c r="V1942" s="22">
        <f t="shared" si="380"/>
        <v>142223.24</v>
      </c>
      <c r="W1942" s="22">
        <f t="shared" si="381"/>
        <v>7821.1700000000128</v>
      </c>
      <c r="X1942" s="22">
        <f>'2022-23 Salary &amp; Benefits'!$G$6</f>
        <v>12558.24</v>
      </c>
      <c r="Y1942" s="23">
        <f>'2022-23 Salary &amp; Benefits'!$H$6</f>
        <v>0.2298</v>
      </c>
      <c r="Z1942" s="23">
        <f>'2022-23 Salary &amp; Benefits'!$I$6</f>
        <v>0.22339999999999999</v>
      </c>
      <c r="AA1942" s="22">
        <f t="shared" si="382"/>
        <v>59584.3</v>
      </c>
      <c r="AB1942" s="22">
        <f t="shared" si="383"/>
        <v>2500.7399999999998</v>
      </c>
      <c r="AC1942" s="22">
        <f t="shared" si="384"/>
        <v>558.66999999999996</v>
      </c>
      <c r="AD1942" s="22">
        <f t="shared" si="374"/>
        <v>3059.41</v>
      </c>
      <c r="AE1942" s="22">
        <f t="shared" si="375"/>
        <v>212688.12</v>
      </c>
      <c r="AF1942" s="19" t="str">
        <f>VLOOKUP(C1942,'2021-22 School Level AAFTE'!C:N,12,FALSE)</f>
        <v>No</v>
      </c>
    </row>
    <row r="1943" spans="1:32" s="5" customFormat="1">
      <c r="A1943" s="97" t="s">
        <v>2486</v>
      </c>
      <c r="B1943" s="97" t="s">
        <v>1773</v>
      </c>
      <c r="C1943" s="95">
        <v>5250</v>
      </c>
      <c r="D1943" s="95" t="s">
        <v>1818</v>
      </c>
      <c r="E1943" s="129">
        <f>VLOOKUP($C1943,'2021-22 School Level AAFTE'!$C:$Z,11,FALSE)</f>
        <v>0.70816666666666672</v>
      </c>
      <c r="F1943" s="129" t="str">
        <f>VLOOKUP($C1943,'2021-22 School Level AAFTE'!$C:$Z,8,FALSE)</f>
        <v>Yes</v>
      </c>
      <c r="G1943" s="129" t="str">
        <f>VLOOKUP($C1943,'2021-22 School Level AAFTE'!$C:$Z,12,FALSE)</f>
        <v>No</v>
      </c>
      <c r="H1943" s="127">
        <f>VLOOKUP($C1943,'2021-22 School Level AAFTE'!$C:$I,7,FALSE)</f>
        <v>312.62</v>
      </c>
      <c r="I1943" s="112">
        <f>IFERROR(IF(OR(G1943="yes",F1943= "yes"),VLOOKUP(C1943,Summary!$B:$J,6,0),0),0)</f>
        <v>0</v>
      </c>
      <c r="J1943" s="111">
        <f t="shared" si="378"/>
        <v>312.62</v>
      </c>
      <c r="K1943" s="91">
        <f>VLOOKUP($A1943,'2022-23 Salary &amp; Benefits'!$A:$I,3,FALSE)</f>
        <v>1.03</v>
      </c>
      <c r="L1943" s="91">
        <f>VLOOKUP($A1943,'2022-23 Salary &amp; Benefits'!$A:$I,4,FALSE)</f>
        <v>1.03</v>
      </c>
      <c r="M1943" s="101">
        <f t="shared" si="373"/>
        <v>312.62</v>
      </c>
      <c r="N1943" s="24">
        <v>15</v>
      </c>
      <c r="O1943" s="26">
        <f t="shared" si="376"/>
        <v>20.841333333333335</v>
      </c>
      <c r="P1943" s="24">
        <v>1.1000000000000001</v>
      </c>
      <c r="Q1943" s="24">
        <v>36</v>
      </c>
      <c r="R1943" s="27">
        <f t="shared" si="377"/>
        <v>825.31680000000006</v>
      </c>
      <c r="S1943" s="102">
        <f t="shared" si="379"/>
        <v>0.91700000000000004</v>
      </c>
      <c r="T1943" s="21">
        <f>VLOOKUP($A1943,'2022-23 Salary &amp; Benefits'!$A:$I,5,FALSE)</f>
        <v>68937</v>
      </c>
      <c r="U1943" s="21">
        <f>VLOOKUP($A1943,'2022-23 Salary &amp; Benefits'!$A:$I,6,FALSE)</f>
        <v>72728</v>
      </c>
      <c r="V1943" s="22">
        <f t="shared" si="380"/>
        <v>65111.69</v>
      </c>
      <c r="W1943" s="22">
        <f t="shared" si="381"/>
        <v>3580.6300000000047</v>
      </c>
      <c r="X1943" s="22">
        <f>'2022-23 Salary &amp; Benefits'!$G$6</f>
        <v>12558.24</v>
      </c>
      <c r="Y1943" s="23">
        <f>'2022-23 Salary &amp; Benefits'!$H$6</f>
        <v>0.2298</v>
      </c>
      <c r="Z1943" s="23">
        <f>'2022-23 Salary &amp; Benefits'!$I$6</f>
        <v>0.22339999999999999</v>
      </c>
      <c r="AA1943" s="22">
        <f t="shared" si="382"/>
        <v>27278.49</v>
      </c>
      <c r="AB1943" s="22">
        <f t="shared" si="383"/>
        <v>1144.8699999999999</v>
      </c>
      <c r="AC1943" s="22">
        <f t="shared" si="384"/>
        <v>255.76</v>
      </c>
      <c r="AD1943" s="22">
        <f t="shared" si="374"/>
        <v>1400.6299999999999</v>
      </c>
      <c r="AE1943" s="22">
        <f t="shared" si="375"/>
        <v>97371.440000000017</v>
      </c>
      <c r="AF1943" s="19" t="str">
        <f>VLOOKUP(C1943,'2021-22 School Level AAFTE'!C:N,12,FALSE)</f>
        <v>No</v>
      </c>
    </row>
    <row r="1944" spans="1:32" s="5" customFormat="1">
      <c r="A1944" s="97" t="s">
        <v>2486</v>
      </c>
      <c r="B1944" s="97" t="s">
        <v>1773</v>
      </c>
      <c r="C1944" s="95">
        <v>5301</v>
      </c>
      <c r="D1944" s="95" t="s">
        <v>1819</v>
      </c>
      <c r="E1944" s="129">
        <f>VLOOKUP($C1944,'2021-22 School Level AAFTE'!$C:$Z,11,FALSE)</f>
        <v>0.44663333333333338</v>
      </c>
      <c r="F1944" s="129" t="str">
        <f>VLOOKUP($C1944,'2021-22 School Level AAFTE'!$C:$Z,8,FALSE)</f>
        <v>No</v>
      </c>
      <c r="G1944" s="129" t="str">
        <f>VLOOKUP($C1944,'2021-22 School Level AAFTE'!$C:$Z,12,FALSE)</f>
        <v>No</v>
      </c>
      <c r="H1944" s="127">
        <f>VLOOKUP($C1944,'2021-22 School Level AAFTE'!$C:$I,7,FALSE)</f>
        <v>162.01</v>
      </c>
      <c r="I1944" s="112">
        <f>IFERROR(IF(OR(G1944="yes",F1944= "yes"),VLOOKUP(C1944,Summary!$B:$J,6,0),0),0)</f>
        <v>0</v>
      </c>
      <c r="J1944" s="111">
        <f t="shared" si="378"/>
        <v>0</v>
      </c>
      <c r="K1944" s="91">
        <f>VLOOKUP($A1944,'2022-23 Salary &amp; Benefits'!$A:$I,3,FALSE)</f>
        <v>1.03</v>
      </c>
      <c r="L1944" s="91">
        <f>VLOOKUP($A1944,'2022-23 Salary &amp; Benefits'!$A:$I,4,FALSE)</f>
        <v>1.03</v>
      </c>
      <c r="M1944" s="39">
        <f t="shared" si="373"/>
        <v>0</v>
      </c>
      <c r="N1944" s="24">
        <v>15</v>
      </c>
      <c r="O1944" s="26">
        <f t="shared" si="376"/>
        <v>0</v>
      </c>
      <c r="P1944" s="24">
        <v>1.1000000000000001</v>
      </c>
      <c r="Q1944" s="24">
        <v>36</v>
      </c>
      <c r="R1944" s="27">
        <f t="shared" si="377"/>
        <v>0</v>
      </c>
      <c r="S1944" s="102">
        <f t="shared" si="379"/>
        <v>0</v>
      </c>
      <c r="T1944" s="21">
        <f>VLOOKUP($A1944,'2022-23 Salary &amp; Benefits'!$A:$I,5,FALSE)</f>
        <v>68937</v>
      </c>
      <c r="U1944" s="21">
        <f>VLOOKUP($A1944,'2022-23 Salary &amp; Benefits'!$A:$I,6,FALSE)</f>
        <v>72728</v>
      </c>
      <c r="V1944" s="22">
        <f t="shared" si="380"/>
        <v>0</v>
      </c>
      <c r="W1944" s="22">
        <f t="shared" si="381"/>
        <v>0</v>
      </c>
      <c r="X1944" s="22">
        <f>'2022-23 Salary &amp; Benefits'!$G$6</f>
        <v>12558.24</v>
      </c>
      <c r="Y1944" s="23">
        <f>'2022-23 Salary &amp; Benefits'!$H$6</f>
        <v>0.2298</v>
      </c>
      <c r="Z1944" s="23">
        <f>'2022-23 Salary &amp; Benefits'!$I$6</f>
        <v>0.22339999999999999</v>
      </c>
      <c r="AA1944" s="22">
        <f t="shared" si="382"/>
        <v>0</v>
      </c>
      <c r="AB1944" s="22">
        <f t="shared" si="383"/>
        <v>0</v>
      </c>
      <c r="AC1944" s="22">
        <f t="shared" si="384"/>
        <v>0</v>
      </c>
      <c r="AD1944" s="22">
        <f t="shared" si="374"/>
        <v>0</v>
      </c>
      <c r="AE1944" s="22">
        <f t="shared" si="375"/>
        <v>0</v>
      </c>
      <c r="AF1944" s="19" t="str">
        <f>VLOOKUP(C1944,'2021-22 School Level AAFTE'!C:N,12,FALSE)</f>
        <v>No</v>
      </c>
    </row>
    <row r="1945" spans="1:32" s="5" customFormat="1">
      <c r="A1945" s="97" t="s">
        <v>2486</v>
      </c>
      <c r="B1945" s="97" t="s">
        <v>1773</v>
      </c>
      <c r="C1945" s="95">
        <v>5344</v>
      </c>
      <c r="D1945" s="95" t="s">
        <v>1820</v>
      </c>
      <c r="E1945" s="129">
        <f>VLOOKUP($C1945,'2021-22 School Level AAFTE'!$C:$Z,11,FALSE)</f>
        <v>0.58306666666666673</v>
      </c>
      <c r="F1945" s="129" t="str">
        <f>VLOOKUP($C1945,'2021-22 School Level AAFTE'!$C:$Z,8,FALSE)</f>
        <v>Yes</v>
      </c>
      <c r="G1945" s="129" t="str">
        <f>VLOOKUP($C1945,'2021-22 School Level AAFTE'!$C:$Z,12,FALSE)</f>
        <v>No</v>
      </c>
      <c r="H1945" s="127">
        <f>VLOOKUP($C1945,'2021-22 School Level AAFTE'!$C:$I,7,FALSE)</f>
        <v>91.79</v>
      </c>
      <c r="I1945" s="112">
        <f>IFERROR(IF(OR(G1945="yes",F1945= "yes"),VLOOKUP(C1945,Summary!$B:$J,6,0),0),0)</f>
        <v>0</v>
      </c>
      <c r="J1945" s="111">
        <f t="shared" si="378"/>
        <v>91.79</v>
      </c>
      <c r="K1945" s="91">
        <f>VLOOKUP($A1945,'2022-23 Salary &amp; Benefits'!$A:$I,3,FALSE)</f>
        <v>1.03</v>
      </c>
      <c r="L1945" s="91">
        <f>VLOOKUP($A1945,'2022-23 Salary &amp; Benefits'!$A:$I,4,FALSE)</f>
        <v>1.03</v>
      </c>
      <c r="M1945" s="39">
        <f t="shared" si="373"/>
        <v>91.79</v>
      </c>
      <c r="N1945" s="24">
        <v>15</v>
      </c>
      <c r="O1945" s="26">
        <f t="shared" si="376"/>
        <v>6.1193333333333335</v>
      </c>
      <c r="P1945" s="24">
        <v>1.1000000000000001</v>
      </c>
      <c r="Q1945" s="24">
        <v>36</v>
      </c>
      <c r="R1945" s="27">
        <f t="shared" si="377"/>
        <v>242.32560000000004</v>
      </c>
      <c r="S1945" s="102">
        <f t="shared" si="379"/>
        <v>0.26900000000000002</v>
      </c>
      <c r="T1945" s="21">
        <f>VLOOKUP($A1945,'2022-23 Salary &amp; Benefits'!$A:$I,5,FALSE)</f>
        <v>68937</v>
      </c>
      <c r="U1945" s="21">
        <f>VLOOKUP($A1945,'2022-23 Salary &amp; Benefits'!$A:$I,6,FALSE)</f>
        <v>72728</v>
      </c>
      <c r="V1945" s="22">
        <f t="shared" si="380"/>
        <v>19100.37</v>
      </c>
      <c r="W1945" s="22">
        <f t="shared" si="381"/>
        <v>1050.380000000001</v>
      </c>
      <c r="X1945" s="22">
        <f>'2022-23 Salary &amp; Benefits'!$G$6</f>
        <v>12558.24</v>
      </c>
      <c r="Y1945" s="23">
        <f>'2022-23 Salary &amp; Benefits'!$H$6</f>
        <v>0.2298</v>
      </c>
      <c r="Z1945" s="23">
        <f>'2022-23 Salary &amp; Benefits'!$I$6</f>
        <v>0.22339999999999999</v>
      </c>
      <c r="AA1945" s="22">
        <f t="shared" si="382"/>
        <v>8002.09</v>
      </c>
      <c r="AB1945" s="22">
        <f t="shared" si="383"/>
        <v>335.85</v>
      </c>
      <c r="AC1945" s="22">
        <f t="shared" si="384"/>
        <v>75.03</v>
      </c>
      <c r="AD1945" s="22">
        <f t="shared" si="374"/>
        <v>410.88</v>
      </c>
      <c r="AE1945" s="22">
        <f t="shared" si="375"/>
        <v>28563.72</v>
      </c>
      <c r="AF1945" s="19" t="str">
        <f>VLOOKUP(C1945,'2021-22 School Level AAFTE'!C:N,12,FALSE)</f>
        <v>No</v>
      </c>
    </row>
    <row r="1946" spans="1:32" s="5" customFormat="1">
      <c r="A1946" s="97" t="s">
        <v>2486</v>
      </c>
      <c r="B1946" s="97" t="s">
        <v>1773</v>
      </c>
      <c r="C1946" s="95">
        <v>5361</v>
      </c>
      <c r="D1946" s="95" t="s">
        <v>1821</v>
      </c>
      <c r="E1946" s="129">
        <f>VLOOKUP($C1946,'2021-22 School Level AAFTE'!$C:$Z,11,FALSE)</f>
        <v>0.24783333333333335</v>
      </c>
      <c r="F1946" s="129" t="str">
        <f>VLOOKUP($C1946,'2021-22 School Level AAFTE'!$C:$Z,8,FALSE)</f>
        <v>No</v>
      </c>
      <c r="G1946" s="129" t="str">
        <f>VLOOKUP($C1946,'2021-22 School Level AAFTE'!$C:$Z,12,FALSE)</f>
        <v>No</v>
      </c>
      <c r="H1946" s="127">
        <f>VLOOKUP($C1946,'2021-22 School Level AAFTE'!$C:$I,7,FALSE)</f>
        <v>378.57</v>
      </c>
      <c r="I1946" s="112">
        <f>IFERROR(IF(OR(G1946="yes",F1946= "yes"),VLOOKUP(C1946,Summary!$B:$J,6,0),0),0)</f>
        <v>0</v>
      </c>
      <c r="J1946" s="111">
        <f t="shared" si="378"/>
        <v>0</v>
      </c>
      <c r="K1946" s="91">
        <f>VLOOKUP($A1946,'2022-23 Salary &amp; Benefits'!$A:$I,3,FALSE)</f>
        <v>1.03</v>
      </c>
      <c r="L1946" s="91">
        <f>VLOOKUP($A1946,'2022-23 Salary &amp; Benefits'!$A:$I,4,FALSE)</f>
        <v>1.03</v>
      </c>
      <c r="M1946" s="101">
        <f t="shared" si="373"/>
        <v>0</v>
      </c>
      <c r="N1946" s="24">
        <v>15</v>
      </c>
      <c r="O1946" s="26">
        <f t="shared" si="376"/>
        <v>0</v>
      </c>
      <c r="P1946" s="24">
        <v>1.1000000000000001</v>
      </c>
      <c r="Q1946" s="24">
        <v>36</v>
      </c>
      <c r="R1946" s="27">
        <f t="shared" si="377"/>
        <v>0</v>
      </c>
      <c r="S1946" s="102">
        <f t="shared" si="379"/>
        <v>0</v>
      </c>
      <c r="T1946" s="21">
        <f>VLOOKUP($A1946,'2022-23 Salary &amp; Benefits'!$A:$I,5,FALSE)</f>
        <v>68937</v>
      </c>
      <c r="U1946" s="21">
        <f>VLOOKUP($A1946,'2022-23 Salary &amp; Benefits'!$A:$I,6,FALSE)</f>
        <v>72728</v>
      </c>
      <c r="V1946" s="22">
        <f t="shared" si="380"/>
        <v>0</v>
      </c>
      <c r="W1946" s="22">
        <f t="shared" si="381"/>
        <v>0</v>
      </c>
      <c r="X1946" s="22">
        <f>'2022-23 Salary &amp; Benefits'!$G$6</f>
        <v>12558.24</v>
      </c>
      <c r="Y1946" s="23">
        <f>'2022-23 Salary &amp; Benefits'!$H$6</f>
        <v>0.2298</v>
      </c>
      <c r="Z1946" s="23">
        <f>'2022-23 Salary &amp; Benefits'!$I$6</f>
        <v>0.22339999999999999</v>
      </c>
      <c r="AA1946" s="22">
        <f t="shared" si="382"/>
        <v>0</v>
      </c>
      <c r="AB1946" s="22">
        <f t="shared" si="383"/>
        <v>0</v>
      </c>
      <c r="AC1946" s="22">
        <f t="shared" si="384"/>
        <v>0</v>
      </c>
      <c r="AD1946" s="22">
        <f t="shared" si="374"/>
        <v>0</v>
      </c>
      <c r="AE1946" s="22">
        <f t="shared" si="375"/>
        <v>0</v>
      </c>
      <c r="AF1946" s="19" t="str">
        <f>VLOOKUP(C1946,'2021-22 School Level AAFTE'!C:N,12,FALSE)</f>
        <v>No</v>
      </c>
    </row>
    <row r="1947" spans="1:32" s="5" customFormat="1">
      <c r="A1947" s="97" t="s">
        <v>2486</v>
      </c>
      <c r="B1947" s="97" t="s">
        <v>1773</v>
      </c>
      <c r="C1947" s="95">
        <v>5694</v>
      </c>
      <c r="D1947" s="95" t="s">
        <v>3048</v>
      </c>
      <c r="E1947" s="129">
        <f>VLOOKUP($C1947,'2021-22 School Level AAFTE'!$C:$Z,11,FALSE)</f>
        <v>0.66549999999999998</v>
      </c>
      <c r="F1947" s="129" t="str">
        <f>VLOOKUP($C1947,'2021-22 School Level AAFTE'!$C:$Z,8,FALSE)</f>
        <v>Yes</v>
      </c>
      <c r="G1947" s="129" t="str">
        <f>VLOOKUP($C1947,'2021-22 School Level AAFTE'!$C:$Z,12,FALSE)</f>
        <v>No</v>
      </c>
      <c r="H1947" s="127">
        <f>VLOOKUP($C1947,'2021-22 School Level AAFTE'!$C:$I,7,FALSE)</f>
        <v>260.86</v>
      </c>
      <c r="I1947" s="112">
        <f>IFERROR(IF(OR(G1947="yes",F1947= "yes"),VLOOKUP(C1947,Summary!$B:$J,6,0),0),0)</f>
        <v>0</v>
      </c>
      <c r="J1947" s="111">
        <f t="shared" si="378"/>
        <v>260.86</v>
      </c>
      <c r="K1947" s="91">
        <f>VLOOKUP($A1947,'2022-23 Salary &amp; Benefits'!$A:$I,3,FALSE)</f>
        <v>1.03</v>
      </c>
      <c r="L1947" s="91">
        <f>VLOOKUP($A1947,'2022-23 Salary &amp; Benefits'!$A:$I,4,FALSE)</f>
        <v>1.03</v>
      </c>
      <c r="M1947" s="39">
        <f t="shared" si="373"/>
        <v>260.86</v>
      </c>
      <c r="N1947" s="24">
        <v>15</v>
      </c>
      <c r="O1947" s="26">
        <f t="shared" si="376"/>
        <v>17.390666666666668</v>
      </c>
      <c r="P1947" s="24">
        <v>1.1000000000000001</v>
      </c>
      <c r="Q1947" s="24">
        <v>36</v>
      </c>
      <c r="R1947" s="27">
        <f t="shared" si="377"/>
        <v>688.6704000000002</v>
      </c>
      <c r="S1947" s="102">
        <f t="shared" si="379"/>
        <v>0.76500000000000001</v>
      </c>
      <c r="T1947" s="21">
        <f>VLOOKUP($A1947,'2022-23 Salary &amp; Benefits'!$A:$I,5,FALSE)</f>
        <v>68937</v>
      </c>
      <c r="U1947" s="21">
        <f>VLOOKUP($A1947,'2022-23 Salary &amp; Benefits'!$A:$I,6,FALSE)</f>
        <v>72728</v>
      </c>
      <c r="V1947" s="22">
        <f t="shared" si="380"/>
        <v>54318.91</v>
      </c>
      <c r="W1947" s="22">
        <f t="shared" si="381"/>
        <v>2987.1199999999953</v>
      </c>
      <c r="X1947" s="22">
        <f>'2022-23 Salary &amp; Benefits'!$G$6</f>
        <v>12558.24</v>
      </c>
      <c r="Y1947" s="23">
        <f>'2022-23 Salary &amp; Benefits'!$H$6</f>
        <v>0.2298</v>
      </c>
      <c r="Z1947" s="23">
        <f>'2022-23 Salary &amp; Benefits'!$I$6</f>
        <v>0.22339999999999999</v>
      </c>
      <c r="AA1947" s="22">
        <f t="shared" si="382"/>
        <v>22756.86</v>
      </c>
      <c r="AB1947" s="22">
        <f t="shared" si="383"/>
        <v>955.1</v>
      </c>
      <c r="AC1947" s="22">
        <f t="shared" si="384"/>
        <v>213.37</v>
      </c>
      <c r="AD1947" s="22">
        <f t="shared" si="374"/>
        <v>1168.47</v>
      </c>
      <c r="AE1947" s="22">
        <f t="shared" si="375"/>
        <v>81231.360000000001</v>
      </c>
      <c r="AF1947" s="19" t="str">
        <f>VLOOKUP(C1947,'2021-22 School Level AAFTE'!C:N,12,FALSE)</f>
        <v>No</v>
      </c>
    </row>
    <row r="1948" spans="1:32" s="5" customFormat="1">
      <c r="A1948" s="97" t="s">
        <v>2501</v>
      </c>
      <c r="B1948" s="97" t="s">
        <v>1921</v>
      </c>
      <c r="C1948" s="95">
        <v>5381</v>
      </c>
      <c r="D1948" s="95" t="s">
        <v>1921</v>
      </c>
      <c r="E1948" s="129">
        <f>VLOOKUP($C1948,'2021-22 School Level AAFTE'!$C:$Z,11,FALSE)</f>
        <v>0.47473333333333328</v>
      </c>
      <c r="F1948" s="129" t="str">
        <f>VLOOKUP($C1948,'2021-22 School Level AAFTE'!$C:$Z,8,FALSE)</f>
        <v>No</v>
      </c>
      <c r="G1948" s="129" t="str">
        <f>VLOOKUP($C1948,'2021-22 School Level AAFTE'!$C:$Z,12,FALSE)</f>
        <v>No</v>
      </c>
      <c r="H1948" s="127">
        <f>VLOOKUP($C1948,'2021-22 School Level AAFTE'!$C:$I,7,FALSE)</f>
        <v>677.85</v>
      </c>
      <c r="I1948" s="112">
        <f>IFERROR(IF(OR(G1948="yes",F1948= "yes"),VLOOKUP(C1948,Summary!$B:$J,6,0),0),0)</f>
        <v>0</v>
      </c>
      <c r="J1948" s="111">
        <f t="shared" si="378"/>
        <v>0</v>
      </c>
      <c r="K1948" s="91">
        <f>VLOOKUP($A1948,'2022-23 Salary &amp; Benefits'!$A:$I,3,FALSE)</f>
        <v>1.03</v>
      </c>
      <c r="L1948" s="91">
        <f>VLOOKUP($A1948,'2022-23 Salary &amp; Benefits'!$A:$I,4,FALSE)</f>
        <v>1.03</v>
      </c>
      <c r="M1948" s="39">
        <f t="shared" si="373"/>
        <v>0</v>
      </c>
      <c r="N1948" s="24">
        <v>15</v>
      </c>
      <c r="O1948" s="26">
        <f t="shared" si="376"/>
        <v>0</v>
      </c>
      <c r="P1948" s="24">
        <v>1.1000000000000001</v>
      </c>
      <c r="Q1948" s="24">
        <v>36</v>
      </c>
      <c r="R1948" s="27">
        <f t="shared" si="377"/>
        <v>0</v>
      </c>
      <c r="S1948" s="102">
        <f t="shared" si="379"/>
        <v>0</v>
      </c>
      <c r="T1948" s="21">
        <f>VLOOKUP($A1948,'2022-23 Salary &amp; Benefits'!$A:$I,5,FALSE)</f>
        <v>68937</v>
      </c>
      <c r="U1948" s="21">
        <f>VLOOKUP($A1948,'2022-23 Salary &amp; Benefits'!$A:$I,6,FALSE)</f>
        <v>72728</v>
      </c>
      <c r="V1948" s="22">
        <f t="shared" si="380"/>
        <v>0</v>
      </c>
      <c r="W1948" s="22">
        <f t="shared" si="381"/>
        <v>0</v>
      </c>
      <c r="X1948" s="22">
        <f>'2022-23 Salary &amp; Benefits'!$G$6</f>
        <v>12558.24</v>
      </c>
      <c r="Y1948" s="23">
        <f>'2022-23 Salary &amp; Benefits'!$H$6</f>
        <v>0.2298</v>
      </c>
      <c r="Z1948" s="23">
        <f>'2022-23 Salary &amp; Benefits'!$I$6</f>
        <v>0.22339999999999999</v>
      </c>
      <c r="AA1948" s="22">
        <f t="shared" si="382"/>
        <v>0</v>
      </c>
      <c r="AB1948" s="22">
        <f t="shared" si="383"/>
        <v>0</v>
      </c>
      <c r="AC1948" s="22">
        <f t="shared" si="384"/>
        <v>0</v>
      </c>
      <c r="AD1948" s="22">
        <f t="shared" si="374"/>
        <v>0</v>
      </c>
      <c r="AE1948" s="22">
        <f t="shared" si="375"/>
        <v>0</v>
      </c>
      <c r="AF1948" s="19" t="str">
        <f>VLOOKUP(C1948,'2021-22 School Level AAFTE'!C:N,12,FALSE)</f>
        <v>No</v>
      </c>
    </row>
    <row r="1949" spans="1:32" s="5" customFormat="1">
      <c r="A1949" s="97" t="s">
        <v>2406</v>
      </c>
      <c r="B1949" s="97" t="s">
        <v>1181</v>
      </c>
      <c r="C1949" s="95">
        <v>2186</v>
      </c>
      <c r="D1949" s="95" t="s">
        <v>1182</v>
      </c>
      <c r="E1949" s="129">
        <f>VLOOKUP($C1949,'2021-22 School Level AAFTE'!$C:$Z,11,FALSE)</f>
        <v>0.41606666666666675</v>
      </c>
      <c r="F1949" s="129" t="str">
        <f>VLOOKUP($C1949,'2021-22 School Level AAFTE'!$C:$Z,8,FALSE)</f>
        <v>No</v>
      </c>
      <c r="G1949" s="129" t="str">
        <f>VLOOKUP($C1949,'2021-22 School Level AAFTE'!$C:$Z,12,FALSE)</f>
        <v>No</v>
      </c>
      <c r="H1949" s="127">
        <f>VLOOKUP($C1949,'2021-22 School Level AAFTE'!$C:$I,7,FALSE)</f>
        <v>35.29</v>
      </c>
      <c r="I1949" s="112">
        <f>IFERROR(IF(OR(G1949="yes",F1949= "yes"),VLOOKUP(C1949,Summary!$B:$J,6,0),0),0)</f>
        <v>0</v>
      </c>
      <c r="J1949" s="111">
        <f t="shared" si="378"/>
        <v>0</v>
      </c>
      <c r="K1949" s="91">
        <f>VLOOKUP($A1949,'2022-23 Salary &amp; Benefits'!$A:$I,3,FALSE)</f>
        <v>1</v>
      </c>
      <c r="L1949" s="91">
        <f>VLOOKUP($A1949,'2022-23 Salary &amp; Benefits'!$A:$I,4,FALSE)</f>
        <v>1</v>
      </c>
      <c r="M1949" s="101">
        <f t="shared" si="373"/>
        <v>0</v>
      </c>
      <c r="N1949" s="24">
        <v>15</v>
      </c>
      <c r="O1949" s="26">
        <f t="shared" si="376"/>
        <v>0</v>
      </c>
      <c r="P1949" s="24">
        <v>1.1000000000000001</v>
      </c>
      <c r="Q1949" s="24">
        <v>36</v>
      </c>
      <c r="R1949" s="27">
        <f t="shared" si="377"/>
        <v>0</v>
      </c>
      <c r="S1949" s="102">
        <f t="shared" si="379"/>
        <v>0</v>
      </c>
      <c r="T1949" s="21">
        <f>VLOOKUP($A1949,'2022-23 Salary &amp; Benefits'!$A:$I,5,FALSE)</f>
        <v>68937</v>
      </c>
      <c r="U1949" s="21">
        <f>VLOOKUP($A1949,'2022-23 Salary &amp; Benefits'!$A:$I,6,FALSE)</f>
        <v>72728</v>
      </c>
      <c r="V1949" s="22">
        <f t="shared" si="380"/>
        <v>0</v>
      </c>
      <c r="W1949" s="22">
        <f t="shared" si="381"/>
        <v>0</v>
      </c>
      <c r="X1949" s="22">
        <f>'2022-23 Salary &amp; Benefits'!$G$6</f>
        <v>12558.24</v>
      </c>
      <c r="Y1949" s="23">
        <f>'2022-23 Salary &amp; Benefits'!$H$6</f>
        <v>0.2298</v>
      </c>
      <c r="Z1949" s="23">
        <f>'2022-23 Salary &amp; Benefits'!$I$6</f>
        <v>0.22339999999999999</v>
      </c>
      <c r="AA1949" s="22">
        <f t="shared" si="382"/>
        <v>0</v>
      </c>
      <c r="AB1949" s="22">
        <f t="shared" si="383"/>
        <v>0</v>
      </c>
      <c r="AC1949" s="22">
        <f t="shared" si="384"/>
        <v>0</v>
      </c>
      <c r="AD1949" s="22">
        <f t="shared" si="374"/>
        <v>0</v>
      </c>
      <c r="AE1949" s="22">
        <f t="shared" si="375"/>
        <v>0</v>
      </c>
      <c r="AF1949" s="19" t="str">
        <f>VLOOKUP(C1949,'2021-22 School Level AAFTE'!C:N,12,FALSE)</f>
        <v>No</v>
      </c>
    </row>
    <row r="1950" spans="1:32" s="5" customFormat="1">
      <c r="A1950" s="97" t="s">
        <v>2406</v>
      </c>
      <c r="B1950" s="97" t="s">
        <v>1181</v>
      </c>
      <c r="C1950" s="95">
        <v>3050</v>
      </c>
      <c r="D1950" s="95" t="s">
        <v>1183</v>
      </c>
      <c r="E1950" s="129">
        <f>VLOOKUP($C1950,'2021-22 School Level AAFTE'!$C:$Z,11,FALSE)</f>
        <v>0.61746666666666672</v>
      </c>
      <c r="F1950" s="129" t="str">
        <f>VLOOKUP($C1950,'2021-22 School Level AAFTE'!$C:$Z,8,FALSE)</f>
        <v>Yes</v>
      </c>
      <c r="G1950" s="129" t="str">
        <f>VLOOKUP($C1950,'2021-22 School Level AAFTE'!$C:$Z,12,FALSE)</f>
        <v>No</v>
      </c>
      <c r="H1950" s="127">
        <f>VLOOKUP($C1950,'2021-22 School Level AAFTE'!$C:$I,7,FALSE)</f>
        <v>36.14</v>
      </c>
      <c r="I1950" s="112">
        <f>IFERROR(IF(OR(G1950="yes",F1950= "yes"),VLOOKUP(C1950,Summary!$B:$J,6,0),0),0)</f>
        <v>0</v>
      </c>
      <c r="J1950" s="111">
        <f t="shared" si="378"/>
        <v>36.14</v>
      </c>
      <c r="K1950" s="91">
        <f>VLOOKUP($A1950,'2022-23 Salary &amp; Benefits'!$A:$I,3,FALSE)</f>
        <v>1</v>
      </c>
      <c r="L1950" s="91">
        <f>VLOOKUP($A1950,'2022-23 Salary &amp; Benefits'!$A:$I,4,FALSE)</f>
        <v>1</v>
      </c>
      <c r="M1950" s="101">
        <f t="shared" si="373"/>
        <v>36.14</v>
      </c>
      <c r="N1950" s="24">
        <v>15</v>
      </c>
      <c r="O1950" s="26">
        <f t="shared" si="376"/>
        <v>2.4093333333333335</v>
      </c>
      <c r="P1950" s="24">
        <v>1.1000000000000001</v>
      </c>
      <c r="Q1950" s="24">
        <v>36</v>
      </c>
      <c r="R1950" s="27">
        <f t="shared" si="377"/>
        <v>95.409600000000012</v>
      </c>
      <c r="S1950" s="102">
        <f t="shared" si="379"/>
        <v>0.106</v>
      </c>
      <c r="T1950" s="21">
        <f>VLOOKUP($A1950,'2022-23 Salary &amp; Benefits'!$A:$I,5,FALSE)</f>
        <v>68937</v>
      </c>
      <c r="U1950" s="21">
        <f>VLOOKUP($A1950,'2022-23 Salary &amp; Benefits'!$A:$I,6,FALSE)</f>
        <v>72728</v>
      </c>
      <c r="V1950" s="22">
        <f t="shared" si="380"/>
        <v>7307.32</v>
      </c>
      <c r="W1950" s="22">
        <f t="shared" si="381"/>
        <v>401.85000000000036</v>
      </c>
      <c r="X1950" s="22">
        <f>'2022-23 Salary &amp; Benefits'!$G$6</f>
        <v>12558.24</v>
      </c>
      <c r="Y1950" s="23">
        <f>'2022-23 Salary &amp; Benefits'!$H$6</f>
        <v>0.2298</v>
      </c>
      <c r="Z1950" s="23">
        <f>'2022-23 Salary &amp; Benefits'!$I$6</f>
        <v>0.22339999999999999</v>
      </c>
      <c r="AA1950" s="22">
        <f t="shared" si="382"/>
        <v>3100.17</v>
      </c>
      <c r="AB1950" s="22">
        <f t="shared" si="383"/>
        <v>128.49</v>
      </c>
      <c r="AC1950" s="22">
        <f t="shared" si="384"/>
        <v>28.7</v>
      </c>
      <c r="AD1950" s="22">
        <f t="shared" si="374"/>
        <v>157.19</v>
      </c>
      <c r="AE1950" s="22">
        <f t="shared" si="375"/>
        <v>10966.53</v>
      </c>
      <c r="AF1950" s="19" t="str">
        <f>VLOOKUP(C1950,'2021-22 School Level AAFTE'!C:N,12,FALSE)</f>
        <v>No</v>
      </c>
    </row>
    <row r="1951" spans="1:32" s="5" customFormat="1">
      <c r="A1951" s="97" t="s">
        <v>2551</v>
      </c>
      <c r="B1951" s="97" t="s">
        <v>2158</v>
      </c>
      <c r="C1951" s="95">
        <v>3068</v>
      </c>
      <c r="D1951" s="95" t="s">
        <v>2159</v>
      </c>
      <c r="E1951" s="129">
        <f>VLOOKUP($C1951,'2021-22 School Level AAFTE'!$C:$Z,11,FALSE)</f>
        <v>0.51136666666666664</v>
      </c>
      <c r="F1951" s="129" t="str">
        <f>VLOOKUP($C1951,'2021-22 School Level AAFTE'!$C:$Z,8,FALSE)</f>
        <v>Yes</v>
      </c>
      <c r="G1951" s="129" t="str">
        <f>VLOOKUP($C1951,'2021-22 School Level AAFTE'!$C:$Z,12,FALSE)</f>
        <v>No</v>
      </c>
      <c r="H1951" s="127">
        <f>VLOOKUP($C1951,'2021-22 School Level AAFTE'!$C:$I,7,FALSE)</f>
        <v>54.300000000000004</v>
      </c>
      <c r="I1951" s="112">
        <f>IFERROR(IF(OR(G1951="yes",F1951= "yes"),VLOOKUP(C1951,Summary!$B:$J,6,0),0),0)</f>
        <v>0</v>
      </c>
      <c r="J1951" s="111">
        <f t="shared" si="378"/>
        <v>54.300000000000004</v>
      </c>
      <c r="K1951" s="91">
        <f>VLOOKUP($A1951,'2022-23 Salary &amp; Benefits'!$A:$I,3,FALSE)</f>
        <v>1</v>
      </c>
      <c r="L1951" s="91">
        <f>VLOOKUP($A1951,'2022-23 Salary &amp; Benefits'!$A:$I,4,FALSE)</f>
        <v>1</v>
      </c>
      <c r="M1951" s="101">
        <f t="shared" si="373"/>
        <v>54.300000000000004</v>
      </c>
      <c r="N1951" s="24">
        <v>15</v>
      </c>
      <c r="O1951" s="26">
        <f t="shared" si="376"/>
        <v>3.62</v>
      </c>
      <c r="P1951" s="24">
        <v>1.1000000000000001</v>
      </c>
      <c r="Q1951" s="24">
        <v>36</v>
      </c>
      <c r="R1951" s="27">
        <f t="shared" si="377"/>
        <v>143.35200000000003</v>
      </c>
      <c r="S1951" s="102">
        <f t="shared" si="379"/>
        <v>0.159</v>
      </c>
      <c r="T1951" s="21">
        <f>VLOOKUP($A1951,'2022-23 Salary &amp; Benefits'!$A:$I,5,FALSE)</f>
        <v>68937</v>
      </c>
      <c r="U1951" s="21">
        <f>VLOOKUP($A1951,'2022-23 Salary &amp; Benefits'!$A:$I,6,FALSE)</f>
        <v>72728</v>
      </c>
      <c r="V1951" s="22">
        <f t="shared" si="380"/>
        <v>10960.98</v>
      </c>
      <c r="W1951" s="22">
        <f t="shared" si="381"/>
        <v>602.77000000000044</v>
      </c>
      <c r="X1951" s="22">
        <f>'2022-23 Salary &amp; Benefits'!$G$6</f>
        <v>12558.24</v>
      </c>
      <c r="Y1951" s="23">
        <f>'2022-23 Salary &amp; Benefits'!$H$6</f>
        <v>0.2298</v>
      </c>
      <c r="Z1951" s="23">
        <f>'2022-23 Salary &amp; Benefits'!$I$6</f>
        <v>0.22339999999999999</v>
      </c>
      <c r="AA1951" s="22">
        <f t="shared" si="382"/>
        <v>4650.25</v>
      </c>
      <c r="AB1951" s="22">
        <f t="shared" si="383"/>
        <v>192.73</v>
      </c>
      <c r="AC1951" s="22">
        <f t="shared" si="384"/>
        <v>43.06</v>
      </c>
      <c r="AD1951" s="22">
        <f t="shared" si="374"/>
        <v>235.79</v>
      </c>
      <c r="AE1951" s="22">
        <f t="shared" si="375"/>
        <v>16449.79</v>
      </c>
      <c r="AF1951" s="19" t="str">
        <f>VLOOKUP(C1951,'2021-22 School Level AAFTE'!C:N,12,FALSE)</f>
        <v>No</v>
      </c>
    </row>
    <row r="1952" spans="1:32" s="5" customFormat="1">
      <c r="A1952" s="97" t="s">
        <v>2551</v>
      </c>
      <c r="B1952" s="97" t="s">
        <v>2158</v>
      </c>
      <c r="C1952" s="95">
        <v>3069</v>
      </c>
      <c r="D1952" s="95" t="s">
        <v>2160</v>
      </c>
      <c r="E1952" s="129">
        <f>VLOOKUP($C1952,'2021-22 School Level AAFTE'!$C:$Z,11,FALSE)</f>
        <v>0.38106666666666666</v>
      </c>
      <c r="F1952" s="129" t="str">
        <f>VLOOKUP($C1952,'2021-22 School Level AAFTE'!$C:$Z,8,FALSE)</f>
        <v>No</v>
      </c>
      <c r="G1952" s="129" t="str">
        <f>VLOOKUP($C1952,'2021-22 School Level AAFTE'!$C:$Z,12,FALSE)</f>
        <v>No</v>
      </c>
      <c r="H1952" s="127">
        <f>VLOOKUP($C1952,'2021-22 School Level AAFTE'!$C:$I,7,FALSE)</f>
        <v>70.709999999999994</v>
      </c>
      <c r="I1952" s="112">
        <f>IFERROR(IF(OR(G1952="yes",F1952= "yes"),VLOOKUP(C1952,Summary!$B:$J,6,0),0),0)</f>
        <v>0</v>
      </c>
      <c r="J1952" s="111">
        <f t="shared" si="378"/>
        <v>0</v>
      </c>
      <c r="K1952" s="91">
        <f>VLOOKUP($A1952,'2022-23 Salary &amp; Benefits'!$A:$I,3,FALSE)</f>
        <v>1</v>
      </c>
      <c r="L1952" s="91">
        <f>VLOOKUP($A1952,'2022-23 Salary &amp; Benefits'!$A:$I,4,FALSE)</f>
        <v>1</v>
      </c>
      <c r="M1952" s="39">
        <f t="shared" si="373"/>
        <v>0</v>
      </c>
      <c r="N1952" s="24">
        <v>15</v>
      </c>
      <c r="O1952" s="26">
        <f t="shared" si="376"/>
        <v>0</v>
      </c>
      <c r="P1952" s="24">
        <v>1.1000000000000001</v>
      </c>
      <c r="Q1952" s="24">
        <v>36</v>
      </c>
      <c r="R1952" s="27">
        <f t="shared" si="377"/>
        <v>0</v>
      </c>
      <c r="S1952" s="102">
        <f t="shared" si="379"/>
        <v>0</v>
      </c>
      <c r="T1952" s="21">
        <f>VLOOKUP($A1952,'2022-23 Salary &amp; Benefits'!$A:$I,5,FALSE)</f>
        <v>68937</v>
      </c>
      <c r="U1952" s="21">
        <f>VLOOKUP($A1952,'2022-23 Salary &amp; Benefits'!$A:$I,6,FALSE)</f>
        <v>72728</v>
      </c>
      <c r="V1952" s="22">
        <f t="shared" si="380"/>
        <v>0</v>
      </c>
      <c r="W1952" s="22">
        <f t="shared" si="381"/>
        <v>0</v>
      </c>
      <c r="X1952" s="22">
        <f>'2022-23 Salary &amp; Benefits'!$G$6</f>
        <v>12558.24</v>
      </c>
      <c r="Y1952" s="23">
        <f>'2022-23 Salary &amp; Benefits'!$H$6</f>
        <v>0.2298</v>
      </c>
      <c r="Z1952" s="23">
        <f>'2022-23 Salary &amp; Benefits'!$I$6</f>
        <v>0.22339999999999999</v>
      </c>
      <c r="AA1952" s="22">
        <f t="shared" si="382"/>
        <v>0</v>
      </c>
      <c r="AB1952" s="22">
        <f t="shared" si="383"/>
        <v>0</v>
      </c>
      <c r="AC1952" s="22">
        <f t="shared" si="384"/>
        <v>0</v>
      </c>
      <c r="AD1952" s="22">
        <f t="shared" si="374"/>
        <v>0</v>
      </c>
      <c r="AE1952" s="22">
        <f t="shared" si="375"/>
        <v>0</v>
      </c>
      <c r="AF1952" s="19" t="str">
        <f>VLOOKUP(C1952,'2021-22 School Level AAFTE'!C:N,12,FALSE)</f>
        <v>No</v>
      </c>
    </row>
    <row r="1953" spans="1:284" s="5" customFormat="1">
      <c r="A1953" s="97" t="s">
        <v>2485</v>
      </c>
      <c r="B1953" s="97" t="s">
        <v>1761</v>
      </c>
      <c r="C1953" s="95">
        <v>1707</v>
      </c>
      <c r="D1953" s="95" t="s">
        <v>1762</v>
      </c>
      <c r="E1953" s="129">
        <f>VLOOKUP($C1953,'2021-22 School Level AAFTE'!$C:$Z,11,FALSE)</f>
        <v>0.41076666666666667</v>
      </c>
      <c r="F1953" s="129" t="str">
        <f>VLOOKUP($C1953,'2021-22 School Level AAFTE'!$C:$Z,8,FALSE)</f>
        <v>No</v>
      </c>
      <c r="G1953" s="129" t="str">
        <f>VLOOKUP($C1953,'2021-22 School Level AAFTE'!$C:$Z,12,FALSE)</f>
        <v>No</v>
      </c>
      <c r="H1953" s="127">
        <f>VLOOKUP($C1953,'2021-22 School Level AAFTE'!$C:$I,7,FALSE)</f>
        <v>133.65</v>
      </c>
      <c r="I1953" s="112">
        <f>IFERROR(IF(OR(G1953="yes",F1953= "yes"),VLOOKUP(C1953,Summary!$B:$J,6,0),0),0)</f>
        <v>0</v>
      </c>
      <c r="J1953" s="111">
        <f t="shared" si="378"/>
        <v>0</v>
      </c>
      <c r="K1953" s="91">
        <f>VLOOKUP($A1953,'2022-23 Salary &amp; Benefits'!$A:$I,3,FALSE)</f>
        <v>1.1499999999999999</v>
      </c>
      <c r="L1953" s="91">
        <f>VLOOKUP($A1953,'2022-23 Salary &amp; Benefits'!$A:$I,4,FALSE)</f>
        <v>1.19</v>
      </c>
      <c r="M1953" s="101">
        <f t="shared" si="373"/>
        <v>0</v>
      </c>
      <c r="N1953" s="24">
        <v>15</v>
      </c>
      <c r="O1953" s="26">
        <f t="shared" si="376"/>
        <v>0</v>
      </c>
      <c r="P1953" s="24">
        <v>1.1000000000000001</v>
      </c>
      <c r="Q1953" s="24">
        <v>36</v>
      </c>
      <c r="R1953" s="27">
        <f t="shared" si="377"/>
        <v>0</v>
      </c>
      <c r="S1953" s="102">
        <f t="shared" si="379"/>
        <v>0</v>
      </c>
      <c r="T1953" s="21">
        <f>VLOOKUP($A1953,'2022-23 Salary &amp; Benefits'!$A:$I,5,FALSE)</f>
        <v>68937</v>
      </c>
      <c r="U1953" s="21">
        <f>VLOOKUP($A1953,'2022-23 Salary &amp; Benefits'!$A:$I,6,FALSE)</f>
        <v>72728</v>
      </c>
      <c r="V1953" s="22">
        <f t="shared" si="380"/>
        <v>0</v>
      </c>
      <c r="W1953" s="22">
        <f t="shared" si="381"/>
        <v>0</v>
      </c>
      <c r="X1953" s="22">
        <f>'2022-23 Salary &amp; Benefits'!$G$6</f>
        <v>12558.24</v>
      </c>
      <c r="Y1953" s="23">
        <f>'2022-23 Salary &amp; Benefits'!$H$6</f>
        <v>0.2298</v>
      </c>
      <c r="Z1953" s="23">
        <f>'2022-23 Salary &amp; Benefits'!$I$6</f>
        <v>0.22339999999999999</v>
      </c>
      <c r="AA1953" s="22">
        <f t="shared" si="382"/>
        <v>0</v>
      </c>
      <c r="AB1953" s="22">
        <f t="shared" si="383"/>
        <v>0</v>
      </c>
      <c r="AC1953" s="22">
        <f t="shared" si="384"/>
        <v>0</v>
      </c>
      <c r="AD1953" s="22">
        <f t="shared" si="374"/>
        <v>0</v>
      </c>
      <c r="AE1953" s="22">
        <f t="shared" si="375"/>
        <v>0</v>
      </c>
      <c r="AF1953" s="19" t="str">
        <f>VLOOKUP(C1953,'2021-22 School Level AAFTE'!C:N,12,FALSE)</f>
        <v>No</v>
      </c>
    </row>
    <row r="1954" spans="1:284" s="5" customFormat="1">
      <c r="A1954" s="97" t="s">
        <v>2485</v>
      </c>
      <c r="B1954" s="97" t="s">
        <v>1761</v>
      </c>
      <c r="C1954" s="95">
        <v>2400</v>
      </c>
      <c r="D1954" s="95" t="s">
        <v>1763</v>
      </c>
      <c r="E1954" s="129">
        <f>VLOOKUP($C1954,'2021-22 School Level AAFTE'!$C:$Z,11,FALSE)</f>
        <v>0.34326666666666666</v>
      </c>
      <c r="F1954" s="129" t="str">
        <f>VLOOKUP($C1954,'2021-22 School Level AAFTE'!$C:$Z,8,FALSE)</f>
        <v>No</v>
      </c>
      <c r="G1954" s="129" t="str">
        <f>VLOOKUP($C1954,'2021-22 School Level AAFTE'!$C:$Z,12,FALSE)</f>
        <v>No</v>
      </c>
      <c r="H1954" s="127">
        <f>VLOOKUP($C1954,'2021-22 School Level AAFTE'!$C:$I,7,FALSE)</f>
        <v>473.84</v>
      </c>
      <c r="I1954" s="112">
        <f>IFERROR(IF(OR(G1954="yes",F1954= "yes"),VLOOKUP(C1954,Summary!$B:$J,6,0),0),0)</f>
        <v>0</v>
      </c>
      <c r="J1954" s="111">
        <f t="shared" si="378"/>
        <v>0</v>
      </c>
      <c r="K1954" s="91">
        <f>VLOOKUP($A1954,'2022-23 Salary &amp; Benefits'!$A:$I,3,FALSE)</f>
        <v>1.1499999999999999</v>
      </c>
      <c r="L1954" s="91">
        <f>VLOOKUP($A1954,'2022-23 Salary &amp; Benefits'!$A:$I,4,FALSE)</f>
        <v>1.19</v>
      </c>
      <c r="M1954" s="39">
        <f t="shared" si="373"/>
        <v>0</v>
      </c>
      <c r="N1954" s="24">
        <v>15</v>
      </c>
      <c r="O1954" s="26">
        <f t="shared" si="376"/>
        <v>0</v>
      </c>
      <c r="P1954" s="24">
        <v>1.1000000000000001</v>
      </c>
      <c r="Q1954" s="24">
        <v>36</v>
      </c>
      <c r="R1954" s="27">
        <f t="shared" si="377"/>
        <v>0</v>
      </c>
      <c r="S1954" s="102">
        <f t="shared" si="379"/>
        <v>0</v>
      </c>
      <c r="T1954" s="21">
        <f>VLOOKUP($A1954,'2022-23 Salary &amp; Benefits'!$A:$I,5,FALSE)</f>
        <v>68937</v>
      </c>
      <c r="U1954" s="21">
        <f>VLOOKUP($A1954,'2022-23 Salary &amp; Benefits'!$A:$I,6,FALSE)</f>
        <v>72728</v>
      </c>
      <c r="V1954" s="22">
        <f t="shared" si="380"/>
        <v>0</v>
      </c>
      <c r="W1954" s="22">
        <f t="shared" si="381"/>
        <v>0</v>
      </c>
      <c r="X1954" s="22">
        <f>'2022-23 Salary &amp; Benefits'!$G$6</f>
        <v>12558.24</v>
      </c>
      <c r="Y1954" s="23">
        <f>'2022-23 Salary &amp; Benefits'!$H$6</f>
        <v>0.2298</v>
      </c>
      <c r="Z1954" s="23">
        <f>'2022-23 Salary &amp; Benefits'!$I$6</f>
        <v>0.22339999999999999</v>
      </c>
      <c r="AA1954" s="22">
        <f t="shared" si="382"/>
        <v>0</v>
      </c>
      <c r="AB1954" s="22">
        <f t="shared" si="383"/>
        <v>0</v>
      </c>
      <c r="AC1954" s="22">
        <f t="shared" si="384"/>
        <v>0</v>
      </c>
      <c r="AD1954" s="22">
        <f t="shared" si="374"/>
        <v>0</v>
      </c>
      <c r="AE1954" s="22">
        <f t="shared" si="375"/>
        <v>0</v>
      </c>
      <c r="AF1954" s="19" t="str">
        <f>VLOOKUP(C1954,'2021-22 School Level AAFTE'!C:N,12,FALSE)</f>
        <v>No</v>
      </c>
    </row>
    <row r="1955" spans="1:284" s="5" customFormat="1">
      <c r="A1955" s="97" t="s">
        <v>2485</v>
      </c>
      <c r="B1955" s="97" t="s">
        <v>1761</v>
      </c>
      <c r="C1955" s="95">
        <v>2581</v>
      </c>
      <c r="D1955" s="95" t="s">
        <v>1764</v>
      </c>
      <c r="E1955" s="129">
        <f>VLOOKUP($C1955,'2021-22 School Level AAFTE'!$C:$Z,11,FALSE)</f>
        <v>0.2492</v>
      </c>
      <c r="F1955" s="129" t="str">
        <f>VLOOKUP($C1955,'2021-22 School Level AAFTE'!$C:$Z,8,FALSE)</f>
        <v>No</v>
      </c>
      <c r="G1955" s="129" t="str">
        <f>VLOOKUP($C1955,'2021-22 School Level AAFTE'!$C:$Z,12,FALSE)</f>
        <v>No</v>
      </c>
      <c r="H1955" s="127">
        <f>VLOOKUP($C1955,'2021-22 School Level AAFTE'!$C:$I,7,FALSE)</f>
        <v>1256.6200000000001</v>
      </c>
      <c r="I1955" s="112">
        <f>IFERROR(IF(OR(G1955="yes",F1955= "yes"),VLOOKUP(C1955,Summary!$B:$J,6,0),0),0)</f>
        <v>0</v>
      </c>
      <c r="J1955" s="111">
        <f t="shared" si="378"/>
        <v>0</v>
      </c>
      <c r="K1955" s="91">
        <f>VLOOKUP($A1955,'2022-23 Salary &amp; Benefits'!$A:$I,3,FALSE)</f>
        <v>1.1499999999999999</v>
      </c>
      <c r="L1955" s="91">
        <f>VLOOKUP($A1955,'2022-23 Salary &amp; Benefits'!$A:$I,4,FALSE)</f>
        <v>1.19</v>
      </c>
      <c r="M1955" s="101">
        <f t="shared" si="373"/>
        <v>0</v>
      </c>
      <c r="N1955" s="24">
        <v>15</v>
      </c>
      <c r="O1955" s="26">
        <f t="shared" si="376"/>
        <v>0</v>
      </c>
      <c r="P1955" s="24">
        <v>1.1000000000000001</v>
      </c>
      <c r="Q1955" s="24">
        <v>36</v>
      </c>
      <c r="R1955" s="27">
        <f t="shared" si="377"/>
        <v>0</v>
      </c>
      <c r="S1955" s="102">
        <f t="shared" si="379"/>
        <v>0</v>
      </c>
      <c r="T1955" s="21">
        <f>VLOOKUP($A1955,'2022-23 Salary &amp; Benefits'!$A:$I,5,FALSE)</f>
        <v>68937</v>
      </c>
      <c r="U1955" s="21">
        <f>VLOOKUP($A1955,'2022-23 Salary &amp; Benefits'!$A:$I,6,FALSE)</f>
        <v>72728</v>
      </c>
      <c r="V1955" s="22">
        <f t="shared" si="380"/>
        <v>0</v>
      </c>
      <c r="W1955" s="22">
        <f t="shared" si="381"/>
        <v>0</v>
      </c>
      <c r="X1955" s="22">
        <f>'2022-23 Salary &amp; Benefits'!$G$6</f>
        <v>12558.24</v>
      </c>
      <c r="Y1955" s="23">
        <f>'2022-23 Salary &amp; Benefits'!$H$6</f>
        <v>0.2298</v>
      </c>
      <c r="Z1955" s="23">
        <f>'2022-23 Salary &amp; Benefits'!$I$6</f>
        <v>0.22339999999999999</v>
      </c>
      <c r="AA1955" s="22">
        <f t="shared" si="382"/>
        <v>0</v>
      </c>
      <c r="AB1955" s="22">
        <f t="shared" si="383"/>
        <v>0</v>
      </c>
      <c r="AC1955" s="22">
        <f t="shared" si="384"/>
        <v>0</v>
      </c>
      <c r="AD1955" s="22">
        <f t="shared" si="374"/>
        <v>0</v>
      </c>
      <c r="AE1955" s="22">
        <f t="shared" si="375"/>
        <v>0</v>
      </c>
      <c r="AF1955" s="19" t="str">
        <f>VLOOKUP(C1955,'2021-22 School Level AAFTE'!C:N,12,FALSE)</f>
        <v>No</v>
      </c>
    </row>
    <row r="1956" spans="1:284" s="5" customFormat="1">
      <c r="A1956" s="97" t="s">
        <v>2485</v>
      </c>
      <c r="B1956" s="97" t="s">
        <v>1761</v>
      </c>
      <c r="C1956" s="95">
        <v>3125</v>
      </c>
      <c r="D1956" s="95" t="s">
        <v>1765</v>
      </c>
      <c r="E1956" s="129">
        <f>VLOOKUP($C1956,'2021-22 School Level AAFTE'!$C:$Z,11,FALSE)</f>
        <v>0.32666666666666666</v>
      </c>
      <c r="F1956" s="129" t="str">
        <f>VLOOKUP($C1956,'2021-22 School Level AAFTE'!$C:$Z,8,FALSE)</f>
        <v>No</v>
      </c>
      <c r="G1956" s="129" t="str">
        <f>VLOOKUP($C1956,'2021-22 School Level AAFTE'!$C:$Z,12,FALSE)</f>
        <v>No</v>
      </c>
      <c r="H1956" s="127">
        <f>VLOOKUP($C1956,'2021-22 School Level AAFTE'!$C:$I,7,FALSE)</f>
        <v>420.28</v>
      </c>
      <c r="I1956" s="112">
        <f>IFERROR(IF(OR(G1956="yes",F1956= "yes"),VLOOKUP(C1956,Summary!$B:$J,6,0),0),0)</f>
        <v>0</v>
      </c>
      <c r="J1956" s="111">
        <f t="shared" si="378"/>
        <v>0</v>
      </c>
      <c r="K1956" s="91">
        <f>VLOOKUP($A1956,'2022-23 Salary &amp; Benefits'!$A:$I,3,FALSE)</f>
        <v>1.1499999999999999</v>
      </c>
      <c r="L1956" s="91">
        <f>VLOOKUP($A1956,'2022-23 Salary &amp; Benefits'!$A:$I,4,FALSE)</f>
        <v>1.19</v>
      </c>
      <c r="M1956" s="39">
        <f t="shared" si="373"/>
        <v>0</v>
      </c>
      <c r="N1956" s="24">
        <v>15</v>
      </c>
      <c r="O1956" s="26">
        <f t="shared" si="376"/>
        <v>0</v>
      </c>
      <c r="P1956" s="24">
        <v>1.1000000000000001</v>
      </c>
      <c r="Q1956" s="24">
        <v>36</v>
      </c>
      <c r="R1956" s="27">
        <f t="shared" si="377"/>
        <v>0</v>
      </c>
      <c r="S1956" s="102">
        <f t="shared" si="379"/>
        <v>0</v>
      </c>
      <c r="T1956" s="21">
        <f>VLOOKUP($A1956,'2022-23 Salary &amp; Benefits'!$A:$I,5,FALSE)</f>
        <v>68937</v>
      </c>
      <c r="U1956" s="21">
        <f>VLOOKUP($A1956,'2022-23 Salary &amp; Benefits'!$A:$I,6,FALSE)</f>
        <v>72728</v>
      </c>
      <c r="V1956" s="22">
        <f t="shared" si="380"/>
        <v>0</v>
      </c>
      <c r="W1956" s="22">
        <f t="shared" si="381"/>
        <v>0</v>
      </c>
      <c r="X1956" s="22">
        <f>'2022-23 Salary &amp; Benefits'!$G$6</f>
        <v>12558.24</v>
      </c>
      <c r="Y1956" s="23">
        <f>'2022-23 Salary &amp; Benefits'!$H$6</f>
        <v>0.2298</v>
      </c>
      <c r="Z1956" s="23">
        <f>'2022-23 Salary &amp; Benefits'!$I$6</f>
        <v>0.22339999999999999</v>
      </c>
      <c r="AA1956" s="22">
        <f t="shared" si="382"/>
        <v>0</v>
      </c>
      <c r="AB1956" s="22">
        <f t="shared" si="383"/>
        <v>0</v>
      </c>
      <c r="AC1956" s="22">
        <f t="shared" si="384"/>
        <v>0</v>
      </c>
      <c r="AD1956" s="22">
        <f t="shared" si="374"/>
        <v>0</v>
      </c>
      <c r="AE1956" s="22">
        <f t="shared" si="375"/>
        <v>0</v>
      </c>
      <c r="AF1956" s="19" t="str">
        <f>VLOOKUP(C1956,'2021-22 School Level AAFTE'!C:N,12,FALSE)</f>
        <v>No</v>
      </c>
    </row>
    <row r="1957" spans="1:284" s="5" customFormat="1">
      <c r="A1957" s="97" t="s">
        <v>2485</v>
      </c>
      <c r="B1957" s="97" t="s">
        <v>1761</v>
      </c>
      <c r="C1957" s="95">
        <v>4364</v>
      </c>
      <c r="D1957" s="95" t="s">
        <v>1766</v>
      </c>
      <c r="E1957" s="129">
        <f>VLOOKUP($C1957,'2021-22 School Level AAFTE'!$C:$Z,11,FALSE)</f>
        <v>0.34129999999999999</v>
      </c>
      <c r="F1957" s="129" t="str">
        <f>VLOOKUP($C1957,'2021-22 School Level AAFTE'!$C:$Z,8,FALSE)</f>
        <v>No</v>
      </c>
      <c r="G1957" s="129" t="str">
        <f>VLOOKUP($C1957,'2021-22 School Level AAFTE'!$C:$Z,12,FALSE)</f>
        <v>No</v>
      </c>
      <c r="H1957" s="127">
        <f>VLOOKUP($C1957,'2021-22 School Level AAFTE'!$C:$I,7,FALSE)</f>
        <v>361.97</v>
      </c>
      <c r="I1957" s="112">
        <f>IFERROR(IF(OR(G1957="yes",F1957= "yes"),VLOOKUP(C1957,Summary!$B:$J,6,0),0),0)</f>
        <v>0</v>
      </c>
      <c r="J1957" s="111">
        <f t="shared" si="378"/>
        <v>0</v>
      </c>
      <c r="K1957" s="91">
        <f>VLOOKUP($A1957,'2022-23 Salary &amp; Benefits'!$A:$I,3,FALSE)</f>
        <v>1.1499999999999999</v>
      </c>
      <c r="L1957" s="91">
        <f>VLOOKUP($A1957,'2022-23 Salary &amp; Benefits'!$A:$I,4,FALSE)</f>
        <v>1.19</v>
      </c>
      <c r="M1957" s="39">
        <f t="shared" si="373"/>
        <v>0</v>
      </c>
      <c r="N1957" s="24">
        <v>15</v>
      </c>
      <c r="O1957" s="26">
        <f t="shared" si="376"/>
        <v>0</v>
      </c>
      <c r="P1957" s="24">
        <v>1.1000000000000001</v>
      </c>
      <c r="Q1957" s="24">
        <v>36</v>
      </c>
      <c r="R1957" s="27">
        <f t="shared" si="377"/>
        <v>0</v>
      </c>
      <c r="S1957" s="102">
        <f t="shared" si="379"/>
        <v>0</v>
      </c>
      <c r="T1957" s="21">
        <f>VLOOKUP($A1957,'2022-23 Salary &amp; Benefits'!$A:$I,5,FALSE)</f>
        <v>68937</v>
      </c>
      <c r="U1957" s="21">
        <f>VLOOKUP($A1957,'2022-23 Salary &amp; Benefits'!$A:$I,6,FALSE)</f>
        <v>72728</v>
      </c>
      <c r="V1957" s="22">
        <f t="shared" si="380"/>
        <v>0</v>
      </c>
      <c r="W1957" s="22">
        <f t="shared" si="381"/>
        <v>0</v>
      </c>
      <c r="X1957" s="22">
        <f>'2022-23 Salary &amp; Benefits'!$G$6</f>
        <v>12558.24</v>
      </c>
      <c r="Y1957" s="23">
        <f>'2022-23 Salary &amp; Benefits'!$H$6</f>
        <v>0.2298</v>
      </c>
      <c r="Z1957" s="23">
        <f>'2022-23 Salary &amp; Benefits'!$I$6</f>
        <v>0.22339999999999999</v>
      </c>
      <c r="AA1957" s="22">
        <f t="shared" si="382"/>
        <v>0</v>
      </c>
      <c r="AB1957" s="22">
        <f t="shared" si="383"/>
        <v>0</v>
      </c>
      <c r="AC1957" s="22">
        <f t="shared" si="384"/>
        <v>0</v>
      </c>
      <c r="AD1957" s="22">
        <f t="shared" si="374"/>
        <v>0</v>
      </c>
      <c r="AE1957" s="22">
        <f t="shared" si="375"/>
        <v>0</v>
      </c>
      <c r="AF1957" s="19" t="str">
        <f>VLOOKUP(C1957,'2021-22 School Level AAFTE'!C:N,12,FALSE)</f>
        <v>No</v>
      </c>
    </row>
    <row r="1958" spans="1:284" s="5" customFormat="1">
      <c r="A1958" s="97" t="s">
        <v>2485</v>
      </c>
      <c r="B1958" s="97" t="s">
        <v>1761</v>
      </c>
      <c r="C1958" s="95">
        <v>4512</v>
      </c>
      <c r="D1958" s="95" t="s">
        <v>1767</v>
      </c>
      <c r="E1958" s="129">
        <f>VLOOKUP($C1958,'2021-22 School Level AAFTE'!$C:$Z,11,FALSE)</f>
        <v>0.314</v>
      </c>
      <c r="F1958" s="129" t="str">
        <f>VLOOKUP($C1958,'2021-22 School Level AAFTE'!$C:$Z,8,FALSE)</f>
        <v>No</v>
      </c>
      <c r="G1958" s="129" t="str">
        <f>VLOOKUP($C1958,'2021-22 School Level AAFTE'!$C:$Z,12,FALSE)</f>
        <v>No</v>
      </c>
      <c r="H1958" s="127">
        <f>VLOOKUP($C1958,'2021-22 School Level AAFTE'!$C:$I,7,FALSE)</f>
        <v>490.08</v>
      </c>
      <c r="I1958" s="112">
        <f>IFERROR(IF(OR(G1958="yes",F1958= "yes"),VLOOKUP(C1958,Summary!$B:$J,6,0),0),0)</f>
        <v>0</v>
      </c>
      <c r="J1958" s="111">
        <f t="shared" si="378"/>
        <v>0</v>
      </c>
      <c r="K1958" s="91">
        <f>VLOOKUP($A1958,'2022-23 Salary &amp; Benefits'!$A:$I,3,FALSE)</f>
        <v>1.1499999999999999</v>
      </c>
      <c r="L1958" s="91">
        <f>VLOOKUP($A1958,'2022-23 Salary &amp; Benefits'!$A:$I,4,FALSE)</f>
        <v>1.19</v>
      </c>
      <c r="M1958" s="39">
        <f t="shared" si="373"/>
        <v>0</v>
      </c>
      <c r="N1958" s="24">
        <v>15</v>
      </c>
      <c r="O1958" s="26">
        <f t="shared" si="376"/>
        <v>0</v>
      </c>
      <c r="P1958" s="24">
        <v>1.1000000000000001</v>
      </c>
      <c r="Q1958" s="24">
        <v>36</v>
      </c>
      <c r="R1958" s="27">
        <f t="shared" si="377"/>
        <v>0</v>
      </c>
      <c r="S1958" s="102">
        <f t="shared" si="379"/>
        <v>0</v>
      </c>
      <c r="T1958" s="21">
        <f>VLOOKUP($A1958,'2022-23 Salary &amp; Benefits'!$A:$I,5,FALSE)</f>
        <v>68937</v>
      </c>
      <c r="U1958" s="21">
        <f>VLOOKUP($A1958,'2022-23 Salary &amp; Benefits'!$A:$I,6,FALSE)</f>
        <v>72728</v>
      </c>
      <c r="V1958" s="22">
        <f t="shared" si="380"/>
        <v>0</v>
      </c>
      <c r="W1958" s="22">
        <f t="shared" si="381"/>
        <v>0</v>
      </c>
      <c r="X1958" s="22">
        <f>'2022-23 Salary &amp; Benefits'!$G$6</f>
        <v>12558.24</v>
      </c>
      <c r="Y1958" s="23">
        <f>'2022-23 Salary &amp; Benefits'!$H$6</f>
        <v>0.2298</v>
      </c>
      <c r="Z1958" s="23">
        <f>'2022-23 Salary &amp; Benefits'!$I$6</f>
        <v>0.22339999999999999</v>
      </c>
      <c r="AA1958" s="22">
        <f t="shared" si="382"/>
        <v>0</v>
      </c>
      <c r="AB1958" s="22">
        <f t="shared" si="383"/>
        <v>0</v>
      </c>
      <c r="AC1958" s="22">
        <f t="shared" si="384"/>
        <v>0</v>
      </c>
      <c r="AD1958" s="22">
        <f t="shared" si="374"/>
        <v>0</v>
      </c>
      <c r="AE1958" s="22">
        <f t="shared" si="375"/>
        <v>0</v>
      </c>
      <c r="AF1958" s="19" t="str">
        <f>VLOOKUP(C1958,'2021-22 School Level AAFTE'!C:N,12,FALSE)</f>
        <v>No</v>
      </c>
    </row>
    <row r="1959" spans="1:284" s="5" customFormat="1">
      <c r="A1959" s="97" t="s">
        <v>2485</v>
      </c>
      <c r="B1959" s="97" t="s">
        <v>1761</v>
      </c>
      <c r="C1959" s="95">
        <v>4513</v>
      </c>
      <c r="D1959" s="95" t="s">
        <v>1768</v>
      </c>
      <c r="E1959" s="129">
        <f>VLOOKUP($C1959,'2021-22 School Level AAFTE'!$C:$Z,11,FALSE)</f>
        <v>0.2503333333333333</v>
      </c>
      <c r="F1959" s="129" t="str">
        <f>VLOOKUP($C1959,'2021-22 School Level AAFTE'!$C:$Z,8,FALSE)</f>
        <v>No</v>
      </c>
      <c r="G1959" s="129" t="str">
        <f>VLOOKUP($C1959,'2021-22 School Level AAFTE'!$C:$Z,12,FALSE)</f>
        <v>No</v>
      </c>
      <c r="H1959" s="127">
        <f>VLOOKUP($C1959,'2021-22 School Level AAFTE'!$C:$I,7,FALSE)</f>
        <v>569</v>
      </c>
      <c r="I1959" s="112">
        <f>IFERROR(IF(OR(G1959="yes",F1959= "yes"),VLOOKUP(C1959,Summary!$B:$J,6,0),0),0)</f>
        <v>0</v>
      </c>
      <c r="J1959" s="111">
        <f t="shared" si="378"/>
        <v>0</v>
      </c>
      <c r="K1959" s="91">
        <f>VLOOKUP($A1959,'2022-23 Salary &amp; Benefits'!$A:$I,3,FALSE)</f>
        <v>1.1499999999999999</v>
      </c>
      <c r="L1959" s="91">
        <f>VLOOKUP($A1959,'2022-23 Salary &amp; Benefits'!$A:$I,4,FALSE)</f>
        <v>1.19</v>
      </c>
      <c r="M1959" s="101">
        <f t="shared" si="373"/>
        <v>0</v>
      </c>
      <c r="N1959" s="24">
        <v>15</v>
      </c>
      <c r="O1959" s="26">
        <f t="shared" si="376"/>
        <v>0</v>
      </c>
      <c r="P1959" s="24">
        <v>1.1000000000000001</v>
      </c>
      <c r="Q1959" s="24">
        <v>36</v>
      </c>
      <c r="R1959" s="27">
        <f t="shared" si="377"/>
        <v>0</v>
      </c>
      <c r="S1959" s="102">
        <f t="shared" si="379"/>
        <v>0</v>
      </c>
      <c r="T1959" s="21">
        <f>VLOOKUP($A1959,'2022-23 Salary &amp; Benefits'!$A:$I,5,FALSE)</f>
        <v>68937</v>
      </c>
      <c r="U1959" s="21">
        <f>VLOOKUP($A1959,'2022-23 Salary &amp; Benefits'!$A:$I,6,FALSE)</f>
        <v>72728</v>
      </c>
      <c r="V1959" s="22">
        <f t="shared" si="380"/>
        <v>0</v>
      </c>
      <c r="W1959" s="22">
        <f t="shared" si="381"/>
        <v>0</v>
      </c>
      <c r="X1959" s="22">
        <f>'2022-23 Salary &amp; Benefits'!$G$6</f>
        <v>12558.24</v>
      </c>
      <c r="Y1959" s="23">
        <f>'2022-23 Salary &amp; Benefits'!$H$6</f>
        <v>0.2298</v>
      </c>
      <c r="Z1959" s="23">
        <f>'2022-23 Salary &amp; Benefits'!$I$6</f>
        <v>0.22339999999999999</v>
      </c>
      <c r="AA1959" s="22">
        <f t="shared" si="382"/>
        <v>0</v>
      </c>
      <c r="AB1959" s="22">
        <f t="shared" si="383"/>
        <v>0</v>
      </c>
      <c r="AC1959" s="22">
        <f t="shared" si="384"/>
        <v>0</v>
      </c>
      <c r="AD1959" s="22">
        <f t="shared" si="374"/>
        <v>0</v>
      </c>
      <c r="AE1959" s="22">
        <f t="shared" si="375"/>
        <v>0</v>
      </c>
      <c r="AF1959" s="19" t="str">
        <f>VLOOKUP(C1959,'2021-22 School Level AAFTE'!C:N,12,FALSE)</f>
        <v>No</v>
      </c>
    </row>
    <row r="1960" spans="1:284" s="5" customFormat="1">
      <c r="A1960" s="97" t="s">
        <v>2485</v>
      </c>
      <c r="B1960" s="97" t="s">
        <v>1761</v>
      </c>
      <c r="C1960" s="95">
        <v>4551</v>
      </c>
      <c r="D1960" s="95" t="s">
        <v>1769</v>
      </c>
      <c r="E1960" s="129">
        <f>VLOOKUP($C1960,'2021-22 School Level AAFTE'!$C:$Z,11,FALSE)</f>
        <v>0.25023333333333331</v>
      </c>
      <c r="F1960" s="129" t="str">
        <f>VLOOKUP($C1960,'2021-22 School Level AAFTE'!$C:$Z,8,FALSE)</f>
        <v>No</v>
      </c>
      <c r="G1960" s="129" t="str">
        <f>VLOOKUP($C1960,'2021-22 School Level AAFTE'!$C:$Z,12,FALSE)</f>
        <v>No</v>
      </c>
      <c r="H1960" s="127">
        <f>VLOOKUP($C1960,'2021-22 School Level AAFTE'!$C:$I,7,FALSE)</f>
        <v>279.89999999999998</v>
      </c>
      <c r="I1960" s="112">
        <f>IFERROR(IF(OR(G1960="yes",F1960= "yes"),VLOOKUP(C1960,Summary!$B:$J,6,0),0),0)</f>
        <v>0</v>
      </c>
      <c r="J1960" s="111">
        <f t="shared" si="378"/>
        <v>0</v>
      </c>
      <c r="K1960" s="91">
        <f>VLOOKUP($A1960,'2022-23 Salary &amp; Benefits'!$A:$I,3,FALSE)</f>
        <v>1.1499999999999999</v>
      </c>
      <c r="L1960" s="91">
        <f>VLOOKUP($A1960,'2022-23 Salary &amp; Benefits'!$A:$I,4,FALSE)</f>
        <v>1.19</v>
      </c>
      <c r="M1960" s="101">
        <f t="shared" si="373"/>
        <v>0</v>
      </c>
      <c r="N1960" s="24">
        <v>15</v>
      </c>
      <c r="O1960" s="26">
        <f t="shared" si="376"/>
        <v>0</v>
      </c>
      <c r="P1960" s="24">
        <v>1.1000000000000001</v>
      </c>
      <c r="Q1960" s="24">
        <v>36</v>
      </c>
      <c r="R1960" s="27">
        <f t="shared" si="377"/>
        <v>0</v>
      </c>
      <c r="S1960" s="102">
        <f t="shared" si="379"/>
        <v>0</v>
      </c>
      <c r="T1960" s="21">
        <f>VLOOKUP($A1960,'2022-23 Salary &amp; Benefits'!$A:$I,5,FALSE)</f>
        <v>68937</v>
      </c>
      <c r="U1960" s="21">
        <f>VLOOKUP($A1960,'2022-23 Salary &amp; Benefits'!$A:$I,6,FALSE)</f>
        <v>72728</v>
      </c>
      <c r="V1960" s="22">
        <f t="shared" si="380"/>
        <v>0</v>
      </c>
      <c r="W1960" s="22">
        <f t="shared" si="381"/>
        <v>0</v>
      </c>
      <c r="X1960" s="22">
        <f>'2022-23 Salary &amp; Benefits'!$G$6</f>
        <v>12558.24</v>
      </c>
      <c r="Y1960" s="23">
        <f>'2022-23 Salary &amp; Benefits'!$H$6</f>
        <v>0.2298</v>
      </c>
      <c r="Z1960" s="23">
        <f>'2022-23 Salary &amp; Benefits'!$I$6</f>
        <v>0.22339999999999999</v>
      </c>
      <c r="AA1960" s="22">
        <f t="shared" si="382"/>
        <v>0</v>
      </c>
      <c r="AB1960" s="22">
        <f t="shared" si="383"/>
        <v>0</v>
      </c>
      <c r="AC1960" s="22">
        <f t="shared" si="384"/>
        <v>0</v>
      </c>
      <c r="AD1960" s="22">
        <f t="shared" si="374"/>
        <v>0</v>
      </c>
      <c r="AE1960" s="22">
        <f t="shared" si="375"/>
        <v>0</v>
      </c>
      <c r="AF1960" s="19" t="str">
        <f>VLOOKUP(C1960,'2021-22 School Level AAFTE'!C:N,12,FALSE)</f>
        <v>No</v>
      </c>
    </row>
    <row r="1961" spans="1:284" s="5" customFormat="1">
      <c r="A1961" s="97" t="s">
        <v>2485</v>
      </c>
      <c r="B1961" s="97" t="s">
        <v>1761</v>
      </c>
      <c r="C1961" s="95">
        <v>4553</v>
      </c>
      <c r="D1961" s="95" t="s">
        <v>1770</v>
      </c>
      <c r="E1961" s="129">
        <f>VLOOKUP($C1961,'2021-22 School Level AAFTE'!$C:$Z,11,FALSE)</f>
        <v>0.34329999999999999</v>
      </c>
      <c r="F1961" s="129" t="str">
        <f>VLOOKUP($C1961,'2021-22 School Level AAFTE'!$C:$Z,8,FALSE)</f>
        <v>No</v>
      </c>
      <c r="G1961" s="129" t="str">
        <f>VLOOKUP($C1961,'2021-22 School Level AAFTE'!$C:$Z,12,FALSE)</f>
        <v>No</v>
      </c>
      <c r="H1961" s="127">
        <f>VLOOKUP($C1961,'2021-22 School Level AAFTE'!$C:$I,7,FALSE)</f>
        <v>333.24</v>
      </c>
      <c r="I1961" s="112">
        <f>IFERROR(IF(OR(G1961="yes",F1961= "yes"),VLOOKUP(C1961,Summary!$B:$J,6,0),0),0)</f>
        <v>0</v>
      </c>
      <c r="J1961" s="111">
        <f t="shared" si="378"/>
        <v>0</v>
      </c>
      <c r="K1961" s="91">
        <f>VLOOKUP($A1961,'2022-23 Salary &amp; Benefits'!$A:$I,3,FALSE)</f>
        <v>1.1499999999999999</v>
      </c>
      <c r="L1961" s="91">
        <f>VLOOKUP($A1961,'2022-23 Salary &amp; Benefits'!$A:$I,4,FALSE)</f>
        <v>1.19</v>
      </c>
      <c r="M1961" s="39">
        <f t="shared" si="373"/>
        <v>0</v>
      </c>
      <c r="N1961" s="24">
        <v>15</v>
      </c>
      <c r="O1961" s="26">
        <f t="shared" si="376"/>
        <v>0</v>
      </c>
      <c r="P1961" s="24">
        <v>1.1000000000000001</v>
      </c>
      <c r="Q1961" s="24">
        <v>36</v>
      </c>
      <c r="R1961" s="27">
        <f t="shared" si="377"/>
        <v>0</v>
      </c>
      <c r="S1961" s="102">
        <f t="shared" si="379"/>
        <v>0</v>
      </c>
      <c r="T1961" s="21">
        <f>VLOOKUP($A1961,'2022-23 Salary &amp; Benefits'!$A:$I,5,FALSE)</f>
        <v>68937</v>
      </c>
      <c r="U1961" s="21">
        <f>VLOOKUP($A1961,'2022-23 Salary &amp; Benefits'!$A:$I,6,FALSE)</f>
        <v>72728</v>
      </c>
      <c r="V1961" s="22">
        <f t="shared" si="380"/>
        <v>0</v>
      </c>
      <c r="W1961" s="22">
        <f t="shared" si="381"/>
        <v>0</v>
      </c>
      <c r="X1961" s="22">
        <f>'2022-23 Salary &amp; Benefits'!$G$6</f>
        <v>12558.24</v>
      </c>
      <c r="Y1961" s="23">
        <f>'2022-23 Salary &amp; Benefits'!$H$6</f>
        <v>0.2298</v>
      </c>
      <c r="Z1961" s="23">
        <f>'2022-23 Salary &amp; Benefits'!$I$6</f>
        <v>0.22339999999999999</v>
      </c>
      <c r="AA1961" s="22">
        <f t="shared" si="382"/>
        <v>0</v>
      </c>
      <c r="AB1961" s="22">
        <f t="shared" si="383"/>
        <v>0</v>
      </c>
      <c r="AC1961" s="22">
        <f t="shared" si="384"/>
        <v>0</v>
      </c>
      <c r="AD1961" s="22">
        <f t="shared" si="374"/>
        <v>0</v>
      </c>
      <c r="AE1961" s="22">
        <f t="shared" si="375"/>
        <v>0</v>
      </c>
      <c r="AF1961" s="19" t="str">
        <f>VLOOKUP(C1961,'2021-22 School Level AAFTE'!C:N,12,FALSE)</f>
        <v>No</v>
      </c>
    </row>
    <row r="1962" spans="1:284" s="5" customFormat="1">
      <c r="A1962" s="97" t="s">
        <v>2485</v>
      </c>
      <c r="B1962" s="97" t="s">
        <v>1761</v>
      </c>
      <c r="C1962" s="95">
        <v>5004</v>
      </c>
      <c r="D1962" s="95" t="s">
        <v>1771</v>
      </c>
      <c r="E1962" s="129">
        <f>VLOOKUP($C1962,'2021-22 School Level AAFTE'!$C:$Z,11,FALSE)</f>
        <v>0.16416666666666666</v>
      </c>
      <c r="F1962" s="129" t="str">
        <f>VLOOKUP($C1962,'2021-22 School Level AAFTE'!$C:$Z,8,FALSE)</f>
        <v>No</v>
      </c>
      <c r="G1962" s="129" t="str">
        <f>VLOOKUP($C1962,'2021-22 School Level AAFTE'!$C:$Z,12,FALSE)</f>
        <v>No</v>
      </c>
      <c r="H1962" s="127">
        <f>VLOOKUP($C1962,'2021-22 School Level AAFTE'!$C:$I,7,FALSE)</f>
        <v>239.38</v>
      </c>
      <c r="I1962" s="112">
        <f>IFERROR(IF(OR(G1962="yes",F1962= "yes"),VLOOKUP(C1962,Summary!$B:$J,6,0),0),0)</f>
        <v>0</v>
      </c>
      <c r="J1962" s="111">
        <f t="shared" si="378"/>
        <v>0</v>
      </c>
      <c r="K1962" s="91">
        <f>VLOOKUP($A1962,'2022-23 Salary &amp; Benefits'!$A:$I,3,FALSE)</f>
        <v>1.1499999999999999</v>
      </c>
      <c r="L1962" s="91">
        <f>VLOOKUP($A1962,'2022-23 Salary &amp; Benefits'!$A:$I,4,FALSE)</f>
        <v>1.19</v>
      </c>
      <c r="M1962" s="101">
        <f t="shared" si="373"/>
        <v>0</v>
      </c>
      <c r="N1962" s="24">
        <v>15</v>
      </c>
      <c r="O1962" s="26">
        <f t="shared" si="376"/>
        <v>0</v>
      </c>
      <c r="P1962" s="24">
        <v>1.1000000000000001</v>
      </c>
      <c r="Q1962" s="24">
        <v>36</v>
      </c>
      <c r="R1962" s="27">
        <f t="shared" si="377"/>
        <v>0</v>
      </c>
      <c r="S1962" s="102">
        <f t="shared" si="379"/>
        <v>0</v>
      </c>
      <c r="T1962" s="21">
        <f>VLOOKUP($A1962,'2022-23 Salary &amp; Benefits'!$A:$I,5,FALSE)</f>
        <v>68937</v>
      </c>
      <c r="U1962" s="21">
        <f>VLOOKUP($A1962,'2022-23 Salary &amp; Benefits'!$A:$I,6,FALSE)</f>
        <v>72728</v>
      </c>
      <c r="V1962" s="22">
        <f t="shared" si="380"/>
        <v>0</v>
      </c>
      <c r="W1962" s="22">
        <f t="shared" si="381"/>
        <v>0</v>
      </c>
      <c r="X1962" s="22">
        <f>'2022-23 Salary &amp; Benefits'!$G$6</f>
        <v>12558.24</v>
      </c>
      <c r="Y1962" s="23">
        <f>'2022-23 Salary &amp; Benefits'!$H$6</f>
        <v>0.2298</v>
      </c>
      <c r="Z1962" s="23">
        <f>'2022-23 Salary &amp; Benefits'!$I$6</f>
        <v>0.22339999999999999</v>
      </c>
      <c r="AA1962" s="22">
        <f t="shared" si="382"/>
        <v>0</v>
      </c>
      <c r="AB1962" s="22">
        <f t="shared" si="383"/>
        <v>0</v>
      </c>
      <c r="AC1962" s="22">
        <f t="shared" si="384"/>
        <v>0</v>
      </c>
      <c r="AD1962" s="22">
        <f t="shared" si="374"/>
        <v>0</v>
      </c>
      <c r="AE1962" s="22">
        <f t="shared" si="375"/>
        <v>0</v>
      </c>
      <c r="AF1962" s="19" t="str">
        <f>VLOOKUP(C1962,'2021-22 School Level AAFTE'!C:N,12,FALSE)</f>
        <v>No</v>
      </c>
    </row>
    <row r="1963" spans="1:284" s="5" customFormat="1">
      <c r="A1963" s="97" t="s">
        <v>2485</v>
      </c>
      <c r="B1963" s="97" t="s">
        <v>1761</v>
      </c>
      <c r="C1963" s="95">
        <v>5108</v>
      </c>
      <c r="D1963" s="95" t="s">
        <v>1772</v>
      </c>
      <c r="E1963" s="129">
        <f>VLOOKUP($C1963,'2021-22 School Level AAFTE'!$C:$Z,11,FALSE)</f>
        <v>0.64639999999999997</v>
      </c>
      <c r="F1963" s="129" t="str">
        <f>VLOOKUP($C1963,'2021-22 School Level AAFTE'!$C:$Z,8,FALSE)</f>
        <v>Yes</v>
      </c>
      <c r="G1963" s="129" t="str">
        <f>VLOOKUP($C1963,'2021-22 School Level AAFTE'!$C:$Z,12,FALSE)</f>
        <v>No</v>
      </c>
      <c r="H1963" s="127">
        <f>VLOOKUP($C1963,'2021-22 School Level AAFTE'!$C:$I,7,FALSE)</f>
        <v>17.57</v>
      </c>
      <c r="I1963" s="112">
        <f>IFERROR(IF(OR(G1963="yes",F1963= "yes"),VLOOKUP(C1963,Summary!$B:$J,6,0),0),0)</f>
        <v>0</v>
      </c>
      <c r="J1963" s="111">
        <f t="shared" si="378"/>
        <v>17.57</v>
      </c>
      <c r="K1963" s="91">
        <f>VLOOKUP($A1963,'2022-23 Salary &amp; Benefits'!$A:$I,3,FALSE)</f>
        <v>1.1499999999999999</v>
      </c>
      <c r="L1963" s="91">
        <f>VLOOKUP($A1963,'2022-23 Salary &amp; Benefits'!$A:$I,4,FALSE)</f>
        <v>1.19</v>
      </c>
      <c r="M1963" s="101">
        <f t="shared" si="373"/>
        <v>17.57</v>
      </c>
      <c r="N1963" s="24">
        <v>15</v>
      </c>
      <c r="O1963" s="26">
        <f t="shared" si="376"/>
        <v>1.1713333333333333</v>
      </c>
      <c r="P1963" s="24">
        <v>1.1000000000000001</v>
      </c>
      <c r="Q1963" s="24">
        <v>36</v>
      </c>
      <c r="R1963" s="27">
        <f t="shared" si="377"/>
        <v>46.384800000000006</v>
      </c>
      <c r="S1963" s="102">
        <f t="shared" si="379"/>
        <v>5.1999999999999998E-2</v>
      </c>
      <c r="T1963" s="21">
        <f>VLOOKUP($A1963,'2022-23 Salary &amp; Benefits'!$A:$I,5,FALSE)</f>
        <v>68937</v>
      </c>
      <c r="U1963" s="21">
        <f>VLOOKUP($A1963,'2022-23 Salary &amp; Benefits'!$A:$I,6,FALSE)</f>
        <v>72728</v>
      </c>
      <c r="V1963" s="22">
        <f t="shared" si="380"/>
        <v>4122.43</v>
      </c>
      <c r="W1963" s="22">
        <f t="shared" si="381"/>
        <v>377.97999999999956</v>
      </c>
      <c r="X1963" s="22">
        <f>'2022-23 Salary &amp; Benefits'!$G$6</f>
        <v>12558.24</v>
      </c>
      <c r="Y1963" s="23">
        <f>'2022-23 Salary &amp; Benefits'!$H$6</f>
        <v>0.2298</v>
      </c>
      <c r="Z1963" s="23">
        <f>'2022-23 Salary &amp; Benefits'!$I$6</f>
        <v>0.22339999999999999</v>
      </c>
      <c r="AA1963" s="22">
        <f t="shared" si="382"/>
        <v>1684.8</v>
      </c>
      <c r="AB1963" s="22">
        <f t="shared" si="383"/>
        <v>75.010000000000005</v>
      </c>
      <c r="AC1963" s="22">
        <f t="shared" si="384"/>
        <v>16.760000000000002</v>
      </c>
      <c r="AD1963" s="22">
        <f t="shared" si="374"/>
        <v>91.77000000000001</v>
      </c>
      <c r="AE1963" s="22">
        <f t="shared" si="375"/>
        <v>6276.9800000000005</v>
      </c>
      <c r="AF1963" s="19" t="str">
        <f>VLOOKUP(C1963,'2021-22 School Level AAFTE'!C:N,12,FALSE)</f>
        <v>No</v>
      </c>
    </row>
    <row r="1964" spans="1:284" s="5" customFormat="1">
      <c r="A1964" s="97" t="s">
        <v>2314</v>
      </c>
      <c r="B1964" s="97" t="s">
        <v>401</v>
      </c>
      <c r="C1964" s="95">
        <v>2007</v>
      </c>
      <c r="D1964" s="95" t="s">
        <v>402</v>
      </c>
      <c r="E1964" s="129">
        <f>VLOOKUP($C1964,'2021-22 School Level AAFTE'!$C:$Z,11,FALSE)</f>
        <v>0</v>
      </c>
      <c r="F1964" s="129" t="str">
        <f>VLOOKUP($C1964,'2021-22 School Level AAFTE'!$C:$Z,8,FALSE)</f>
        <v>No</v>
      </c>
      <c r="G1964" s="129" t="str">
        <f>VLOOKUP($C1964,'2021-22 School Level AAFTE'!$C:$Z,12,FALSE)</f>
        <v>No</v>
      </c>
      <c r="H1964" s="127">
        <f>VLOOKUP($C1964,'2021-22 School Level AAFTE'!$C:$I,7,FALSE)</f>
        <v>12.43</v>
      </c>
      <c r="I1964" s="112">
        <f>IFERROR(IF(OR(G1964="yes",F1964= "yes"),VLOOKUP(C1964,Summary!$B:$J,6,0),0),0)</f>
        <v>0</v>
      </c>
      <c r="J1964" s="111">
        <f t="shared" si="378"/>
        <v>0</v>
      </c>
      <c r="K1964" s="91">
        <f>VLOOKUP($A1964,'2022-23 Salary &amp; Benefits'!$A:$I,3,FALSE)</f>
        <v>1</v>
      </c>
      <c r="L1964" s="91">
        <f>VLOOKUP($A1964,'2022-23 Salary &amp; Benefits'!$A:$I,4,FALSE)</f>
        <v>1</v>
      </c>
      <c r="M1964" s="101">
        <f t="shared" si="373"/>
        <v>0</v>
      </c>
      <c r="N1964" s="24">
        <v>15</v>
      </c>
      <c r="O1964" s="26">
        <f t="shared" si="376"/>
        <v>0</v>
      </c>
      <c r="P1964" s="24">
        <v>1.1000000000000001</v>
      </c>
      <c r="Q1964" s="24">
        <v>36</v>
      </c>
      <c r="R1964" s="27">
        <f t="shared" si="377"/>
        <v>0</v>
      </c>
      <c r="S1964" s="102">
        <f t="shared" si="379"/>
        <v>0</v>
      </c>
      <c r="T1964" s="21">
        <f>VLOOKUP($A1964,'2022-23 Salary &amp; Benefits'!$A:$I,5,FALSE)</f>
        <v>68937</v>
      </c>
      <c r="U1964" s="21">
        <f>VLOOKUP($A1964,'2022-23 Salary &amp; Benefits'!$A:$I,6,FALSE)</f>
        <v>72728</v>
      </c>
      <c r="V1964" s="22">
        <f t="shared" si="380"/>
        <v>0</v>
      </c>
      <c r="W1964" s="22">
        <f t="shared" si="381"/>
        <v>0</v>
      </c>
      <c r="X1964" s="22">
        <f>'2022-23 Salary &amp; Benefits'!$G$6</f>
        <v>12558.24</v>
      </c>
      <c r="Y1964" s="23">
        <f>'2022-23 Salary &amp; Benefits'!$H$6</f>
        <v>0.2298</v>
      </c>
      <c r="Z1964" s="23">
        <f>'2022-23 Salary &amp; Benefits'!$I$6</f>
        <v>0.22339999999999999</v>
      </c>
      <c r="AA1964" s="22">
        <f t="shared" si="382"/>
        <v>0</v>
      </c>
      <c r="AB1964" s="22">
        <f t="shared" si="383"/>
        <v>0</v>
      </c>
      <c r="AC1964" s="22">
        <f t="shared" si="384"/>
        <v>0</v>
      </c>
      <c r="AD1964" s="22">
        <f t="shared" si="374"/>
        <v>0</v>
      </c>
      <c r="AE1964" s="22">
        <f t="shared" si="375"/>
        <v>0</v>
      </c>
      <c r="AF1964" s="19" t="str">
        <f>VLOOKUP(C1964,'2021-22 School Level AAFTE'!C:N,12,FALSE)</f>
        <v>No</v>
      </c>
    </row>
    <row r="1965" spans="1:284" s="5" customFormat="1">
      <c r="A1965" s="97" t="s">
        <v>2294</v>
      </c>
      <c r="B1965" s="97" t="s">
        <v>294</v>
      </c>
      <c r="C1965" s="95">
        <v>2135</v>
      </c>
      <c r="D1965" s="95" t="s">
        <v>295</v>
      </c>
      <c r="E1965" s="129">
        <f>VLOOKUP($C1965,'2021-22 School Level AAFTE'!$C:$Z,11,FALSE)</f>
        <v>0.54606666666666659</v>
      </c>
      <c r="F1965" s="129" t="str">
        <f>VLOOKUP($C1965,'2021-22 School Level AAFTE'!$C:$Z,8,FALSE)</f>
        <v>Yes</v>
      </c>
      <c r="G1965" s="129" t="str">
        <f>VLOOKUP($C1965,'2021-22 School Level AAFTE'!$C:$Z,12,FALSE)</f>
        <v>No</v>
      </c>
      <c r="H1965" s="127">
        <f>VLOOKUP($C1965,'2021-22 School Level AAFTE'!$C:$I,7,FALSE)</f>
        <v>28</v>
      </c>
      <c r="I1965" s="112">
        <f>IFERROR(IF(OR(G1965="yes",F1965= "yes"),VLOOKUP(C1965,Summary!$B:$J,6,0),0),0)</f>
        <v>0</v>
      </c>
      <c r="J1965" s="111">
        <f t="shared" si="378"/>
        <v>28</v>
      </c>
      <c r="K1965" s="91">
        <f>VLOOKUP($A1965,'2022-23 Salary &amp; Benefits'!$A:$I,3,FALSE)</f>
        <v>1</v>
      </c>
      <c r="L1965" s="91">
        <f>VLOOKUP($A1965,'2022-23 Salary &amp; Benefits'!$A:$I,4,FALSE)</f>
        <v>1</v>
      </c>
      <c r="M1965" s="39">
        <f t="shared" si="373"/>
        <v>28</v>
      </c>
      <c r="N1965" s="24">
        <v>15</v>
      </c>
      <c r="O1965" s="26">
        <f t="shared" si="376"/>
        <v>1.8666666666666667</v>
      </c>
      <c r="P1965" s="24">
        <v>1.1000000000000001</v>
      </c>
      <c r="Q1965" s="24">
        <v>36</v>
      </c>
      <c r="R1965" s="27">
        <f t="shared" si="377"/>
        <v>73.920000000000016</v>
      </c>
      <c r="S1965" s="102">
        <f t="shared" si="379"/>
        <v>8.2000000000000003E-2</v>
      </c>
      <c r="T1965" s="21">
        <f>VLOOKUP($A1965,'2022-23 Salary &amp; Benefits'!$A:$I,5,FALSE)</f>
        <v>68937</v>
      </c>
      <c r="U1965" s="21">
        <f>VLOOKUP($A1965,'2022-23 Salary &amp; Benefits'!$A:$I,6,FALSE)</f>
        <v>72728</v>
      </c>
      <c r="V1965" s="22">
        <f t="shared" si="380"/>
        <v>5652.83</v>
      </c>
      <c r="W1965" s="22">
        <f t="shared" si="381"/>
        <v>310.86999999999989</v>
      </c>
      <c r="X1965" s="22">
        <f>'2022-23 Salary &amp; Benefits'!$G$6</f>
        <v>12558.24</v>
      </c>
      <c r="Y1965" s="23">
        <f>'2022-23 Salary &amp; Benefits'!$H$6</f>
        <v>0.2298</v>
      </c>
      <c r="Z1965" s="23">
        <f>'2022-23 Salary &amp; Benefits'!$I$6</f>
        <v>0.22339999999999999</v>
      </c>
      <c r="AA1965" s="22">
        <f t="shared" si="382"/>
        <v>2398.2399999999998</v>
      </c>
      <c r="AB1965" s="22">
        <f t="shared" si="383"/>
        <v>99.39</v>
      </c>
      <c r="AC1965" s="22">
        <f t="shared" si="384"/>
        <v>22.2</v>
      </c>
      <c r="AD1965" s="22">
        <f t="shared" si="374"/>
        <v>121.59</v>
      </c>
      <c r="AE1965" s="22">
        <f t="shared" si="375"/>
        <v>8483.5299999999988</v>
      </c>
      <c r="AF1965" s="19" t="str">
        <f>VLOOKUP(C1965,'2021-22 School Level AAFTE'!C:N,12,FALSE)</f>
        <v>No</v>
      </c>
    </row>
    <row r="1966" spans="1:284" s="5" customFormat="1">
      <c r="A1966" s="97" t="s">
        <v>2294</v>
      </c>
      <c r="B1966" s="97" t="s">
        <v>294</v>
      </c>
      <c r="C1966" s="95">
        <v>5696</v>
      </c>
      <c r="D1966" s="95" t="s">
        <v>3073</v>
      </c>
      <c r="E1966" s="129">
        <f>VLOOKUP($C1966,'2021-22 School Level AAFTE'!$C:$Z,11,FALSE)</f>
        <v>0</v>
      </c>
      <c r="F1966" s="129" t="str">
        <f>VLOOKUP($C1966,'2021-22 School Level AAFTE'!$C:$Z,8,FALSE)</f>
        <v>No</v>
      </c>
      <c r="G1966" s="129" t="str">
        <f>VLOOKUP($C1966,'2021-22 School Level AAFTE'!$C:$Z,12,FALSE)</f>
        <v>No</v>
      </c>
      <c r="H1966" s="127">
        <f>VLOOKUP($C1966,'2021-22 School Level AAFTE'!$C:$I,7,FALSE)</f>
        <v>275.86</v>
      </c>
      <c r="I1966" s="112">
        <f>IFERROR(IF(OR(G1966="yes",F1966= "yes"),VLOOKUP(C1966,Summary!$B:$J,6,0),0),0)</f>
        <v>0</v>
      </c>
      <c r="J1966" s="111">
        <f t="shared" si="378"/>
        <v>0</v>
      </c>
      <c r="K1966" s="91">
        <f>VLOOKUP($A1966,'2022-23 Salary &amp; Benefits'!$A:$I,3,FALSE)</f>
        <v>1</v>
      </c>
      <c r="L1966" s="91">
        <f>VLOOKUP($A1966,'2022-23 Salary &amp; Benefits'!$A:$I,4,FALSE)</f>
        <v>1</v>
      </c>
      <c r="M1966" s="39">
        <f t="shared" si="373"/>
        <v>0</v>
      </c>
      <c r="N1966" s="24">
        <v>15</v>
      </c>
      <c r="O1966" s="26">
        <f t="shared" si="376"/>
        <v>0</v>
      </c>
      <c r="P1966" s="24">
        <v>1.1000000000000001</v>
      </c>
      <c r="Q1966" s="24">
        <v>36</v>
      </c>
      <c r="R1966" s="27">
        <f t="shared" si="377"/>
        <v>0</v>
      </c>
      <c r="S1966" s="102">
        <f t="shared" si="379"/>
        <v>0</v>
      </c>
      <c r="T1966" s="21">
        <f>VLOOKUP($A1966,'2022-23 Salary &amp; Benefits'!$A:$I,5,FALSE)</f>
        <v>68937</v>
      </c>
      <c r="U1966" s="21">
        <f>VLOOKUP($A1966,'2022-23 Salary &amp; Benefits'!$A:$I,6,FALSE)</f>
        <v>72728</v>
      </c>
      <c r="V1966" s="22">
        <f t="shared" si="380"/>
        <v>0</v>
      </c>
      <c r="W1966" s="22">
        <f t="shared" si="381"/>
        <v>0</v>
      </c>
      <c r="X1966" s="22">
        <f>'2022-23 Salary &amp; Benefits'!$G$6</f>
        <v>12558.24</v>
      </c>
      <c r="Y1966" s="23">
        <f>'2022-23 Salary &amp; Benefits'!$H$6</f>
        <v>0.2298</v>
      </c>
      <c r="Z1966" s="23">
        <f>'2022-23 Salary &amp; Benefits'!$I$6</f>
        <v>0.22339999999999999</v>
      </c>
      <c r="AA1966" s="22">
        <f t="shared" si="382"/>
        <v>0</v>
      </c>
      <c r="AB1966" s="22">
        <f t="shared" si="383"/>
        <v>0</v>
      </c>
      <c r="AC1966" s="22">
        <f t="shared" si="384"/>
        <v>0</v>
      </c>
      <c r="AD1966" s="22">
        <f t="shared" si="374"/>
        <v>0</v>
      </c>
      <c r="AE1966" s="22">
        <f t="shared" si="375"/>
        <v>0</v>
      </c>
      <c r="AF1966" s="19" t="str">
        <f>VLOOKUP(C1966,'2021-22 School Level AAFTE'!C:N,12,FALSE)</f>
        <v>No</v>
      </c>
    </row>
    <row r="1967" spans="1:284" s="5" customFormat="1">
      <c r="A1967" s="97" t="s">
        <v>2271</v>
      </c>
      <c r="B1967" s="97" t="s">
        <v>100</v>
      </c>
      <c r="C1967" s="95">
        <v>2265</v>
      </c>
      <c r="D1967" s="95" t="s">
        <v>101</v>
      </c>
      <c r="E1967" s="129">
        <f>VLOOKUP($C1967,'2021-22 School Level AAFTE'!$C:$Z,11,FALSE)</f>
        <v>0</v>
      </c>
      <c r="F1967" s="129" t="str">
        <f>VLOOKUP($C1967,'2021-22 School Level AAFTE'!$C:$Z,8,FALSE)</f>
        <v>No</v>
      </c>
      <c r="G1967" s="129" t="str">
        <f>VLOOKUP($C1967,'2021-22 School Level AAFTE'!$C:$Z,12,FALSE)</f>
        <v>No</v>
      </c>
      <c r="H1967" s="127">
        <f>VLOOKUP($C1967,'2021-22 School Level AAFTE'!$C:$I,7,FALSE)</f>
        <v>11</v>
      </c>
      <c r="I1967" s="112">
        <f>IFERROR(IF(OR(G1967="yes",F1967= "yes"),VLOOKUP(C1967,Summary!$B:$J,6,0),0),0)</f>
        <v>0</v>
      </c>
      <c r="J1967" s="111">
        <f t="shared" si="378"/>
        <v>0</v>
      </c>
      <c r="K1967" s="91">
        <f>VLOOKUP($A1967,'2022-23 Salary &amp; Benefits'!$A:$I,3,FALSE)</f>
        <v>1.03</v>
      </c>
      <c r="L1967" s="91">
        <f>VLOOKUP($A1967,'2022-23 Salary &amp; Benefits'!$A:$I,4,FALSE)</f>
        <v>1.03</v>
      </c>
      <c r="M1967" s="39">
        <f t="shared" si="373"/>
        <v>0</v>
      </c>
      <c r="N1967" s="24">
        <v>15</v>
      </c>
      <c r="O1967" s="26">
        <f t="shared" si="376"/>
        <v>0</v>
      </c>
      <c r="P1967" s="24">
        <v>1.1000000000000001</v>
      </c>
      <c r="Q1967" s="24">
        <v>36</v>
      </c>
      <c r="R1967" s="27">
        <f t="shared" si="377"/>
        <v>0</v>
      </c>
      <c r="S1967" s="102">
        <f t="shared" si="379"/>
        <v>0</v>
      </c>
      <c r="T1967" s="21">
        <f>VLOOKUP($A1967,'2022-23 Salary &amp; Benefits'!$A:$I,5,FALSE)</f>
        <v>68937</v>
      </c>
      <c r="U1967" s="21">
        <f>VLOOKUP($A1967,'2022-23 Salary &amp; Benefits'!$A:$I,6,FALSE)</f>
        <v>72728</v>
      </c>
      <c r="V1967" s="22">
        <f t="shared" si="380"/>
        <v>0</v>
      </c>
      <c r="W1967" s="22">
        <f t="shared" si="381"/>
        <v>0</v>
      </c>
      <c r="X1967" s="22">
        <f>'2022-23 Salary &amp; Benefits'!$G$6</f>
        <v>12558.24</v>
      </c>
      <c r="Y1967" s="23">
        <f>'2022-23 Salary &amp; Benefits'!$H$6</f>
        <v>0.2298</v>
      </c>
      <c r="Z1967" s="23">
        <f>'2022-23 Salary &amp; Benefits'!$I$6</f>
        <v>0.22339999999999999</v>
      </c>
      <c r="AA1967" s="22">
        <f t="shared" si="382"/>
        <v>0</v>
      </c>
      <c r="AB1967" s="22">
        <f t="shared" si="383"/>
        <v>0</v>
      </c>
      <c r="AC1967" s="22">
        <f t="shared" si="384"/>
        <v>0</v>
      </c>
      <c r="AD1967" s="22">
        <f t="shared" si="374"/>
        <v>0</v>
      </c>
      <c r="AE1967" s="22">
        <f t="shared" si="375"/>
        <v>0</v>
      </c>
      <c r="AF1967" s="19" t="str">
        <f>VLOOKUP(C1967,'2021-22 School Level AAFTE'!C:N,12,FALSE)</f>
        <v>No</v>
      </c>
    </row>
    <row r="1968" spans="1:284" s="5" customFormat="1">
      <c r="A1968" s="97" t="s">
        <v>2438</v>
      </c>
      <c r="B1968" s="97" t="s">
        <v>1292</v>
      </c>
      <c r="C1968" s="95">
        <v>2040</v>
      </c>
      <c r="D1968" s="95" t="s">
        <v>1293</v>
      </c>
      <c r="E1968" s="129">
        <f>VLOOKUP($C1968,'2021-22 School Level AAFTE'!$C:$Z,11,FALSE)</f>
        <v>0.39773333333333333</v>
      </c>
      <c r="F1968" s="129" t="str">
        <f>VLOOKUP($C1968,'2021-22 School Level AAFTE'!$C:$Z,8,FALSE)</f>
        <v>No</v>
      </c>
      <c r="G1968" s="129" t="str">
        <f>VLOOKUP($C1968,'2021-22 School Level AAFTE'!$C:$Z,12,FALSE)</f>
        <v>Yes</v>
      </c>
      <c r="H1968" s="127">
        <f>VLOOKUP($C1968,'2021-22 School Level AAFTE'!$C:$I,7,FALSE)</f>
        <v>20.86</v>
      </c>
      <c r="I1968" s="112">
        <f>IFERROR(IF(OR(G1968="yes",F1968= "yes"),VLOOKUP(C1968,Summary!$B:$J,6,0),0),0)</f>
        <v>0</v>
      </c>
      <c r="J1968" s="111">
        <f t="shared" si="378"/>
        <v>20.86</v>
      </c>
      <c r="K1968" s="91">
        <f>VLOOKUP($A1968,'2022-23 Salary &amp; Benefits'!$A:$I,3,FALSE)</f>
        <v>1.03</v>
      </c>
      <c r="L1968" s="91">
        <f>VLOOKUP($A1968,'2022-23 Salary &amp; Benefits'!$A:$I,4,FALSE)</f>
        <v>1.03</v>
      </c>
      <c r="M1968" s="101">
        <f t="shared" si="373"/>
        <v>20.86</v>
      </c>
      <c r="N1968" s="24">
        <v>15</v>
      </c>
      <c r="O1968" s="26">
        <f t="shared" si="376"/>
        <v>1.3906666666666667</v>
      </c>
      <c r="P1968" s="24">
        <v>1.1000000000000001</v>
      </c>
      <c r="Q1968" s="24">
        <v>36</v>
      </c>
      <c r="R1968" s="27">
        <f t="shared" si="377"/>
        <v>55.070400000000006</v>
      </c>
      <c r="S1968" s="102">
        <f t="shared" si="379"/>
        <v>6.0999999999999999E-2</v>
      </c>
      <c r="T1968" s="21">
        <f>VLOOKUP($A1968,'2022-23 Salary &amp; Benefits'!$A:$I,5,FALSE)</f>
        <v>68937</v>
      </c>
      <c r="U1968" s="21">
        <f>VLOOKUP($A1968,'2022-23 Salary &amp; Benefits'!$A:$I,6,FALSE)</f>
        <v>72728</v>
      </c>
      <c r="V1968" s="22">
        <f t="shared" si="380"/>
        <v>4331.3100000000004</v>
      </c>
      <c r="W1968" s="22">
        <f t="shared" si="381"/>
        <v>238.1899999999996</v>
      </c>
      <c r="X1968" s="22">
        <f>'2022-23 Salary &amp; Benefits'!$G$6</f>
        <v>12558.24</v>
      </c>
      <c r="Y1968" s="23">
        <f>'2022-23 Salary &amp; Benefits'!$H$6</f>
        <v>0.2298</v>
      </c>
      <c r="Z1968" s="23">
        <f>'2022-23 Salary &amp; Benefits'!$I$6</f>
        <v>0.22339999999999999</v>
      </c>
      <c r="AA1968" s="22">
        <f t="shared" si="382"/>
        <v>1814.6</v>
      </c>
      <c r="AB1968" s="22">
        <f t="shared" si="383"/>
        <v>76.16</v>
      </c>
      <c r="AC1968" s="22">
        <f t="shared" si="384"/>
        <v>17.010000000000002</v>
      </c>
      <c r="AD1968" s="22">
        <f t="shared" si="374"/>
        <v>93.17</v>
      </c>
      <c r="AE1968" s="22">
        <f t="shared" si="375"/>
        <v>6477.2699999999995</v>
      </c>
      <c r="AF1968" s="19" t="str">
        <f>VLOOKUP(C1968,'2021-22 School Level AAFTE'!C:N,12,FALSE)</f>
        <v>Yes</v>
      </c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  <c r="IR1968" s="3"/>
      <c r="IS1968" s="3"/>
      <c r="IT1968" s="3"/>
      <c r="IU1968" s="3"/>
      <c r="IV1968" s="3"/>
      <c r="IW1968" s="3"/>
      <c r="IX1968" s="3"/>
      <c r="IY1968" s="3"/>
      <c r="IZ1968" s="3"/>
      <c r="JA1968" s="3"/>
      <c r="JB1968" s="3"/>
      <c r="JC1968" s="3"/>
      <c r="JD1968" s="3"/>
      <c r="JE1968" s="3"/>
      <c r="JF1968" s="3"/>
      <c r="JG1968" s="3"/>
      <c r="JH1968" s="3"/>
      <c r="JI1968" s="3"/>
      <c r="JJ1968" s="3"/>
      <c r="JK1968" s="3"/>
      <c r="JL1968" s="3"/>
      <c r="JM1968" s="3"/>
      <c r="JN1968" s="3"/>
      <c r="JO1968" s="3"/>
      <c r="JP1968" s="3"/>
      <c r="JQ1968" s="3"/>
      <c r="JR1968" s="3"/>
      <c r="JS1968" s="3"/>
      <c r="JT1968" s="3"/>
      <c r="JU1968" s="3"/>
      <c r="JV1968" s="3"/>
      <c r="JW1968" s="3"/>
      <c r="JX1968" s="3"/>
    </row>
    <row r="1969" spans="1:32" s="5" customFormat="1">
      <c r="A1969" s="97" t="s">
        <v>2438</v>
      </c>
      <c r="B1969" s="97" t="s">
        <v>1292</v>
      </c>
      <c r="C1969" s="95">
        <v>2237</v>
      </c>
      <c r="D1969" s="95" t="s">
        <v>1294</v>
      </c>
      <c r="E1969" s="129">
        <f>VLOOKUP($C1969,'2021-22 School Level AAFTE'!$C:$Z,11,FALSE)</f>
        <v>0.24296666666666666</v>
      </c>
      <c r="F1969" s="129" t="str">
        <f>VLOOKUP($C1969,'2021-22 School Level AAFTE'!$C:$Z,8,FALSE)</f>
        <v>No</v>
      </c>
      <c r="G1969" s="129" t="str">
        <f>VLOOKUP($C1969,'2021-22 School Level AAFTE'!$C:$Z,12,FALSE)</f>
        <v>No</v>
      </c>
      <c r="H1969" s="127">
        <f>VLOOKUP($C1969,'2021-22 School Level AAFTE'!$C:$I,7,FALSE)</f>
        <v>718.31</v>
      </c>
      <c r="I1969" s="112">
        <f>IFERROR(IF(OR(G1969="yes",F1969= "yes"),VLOOKUP(C1969,Summary!$B:$J,6,0),0),0)</f>
        <v>0</v>
      </c>
      <c r="J1969" s="111">
        <f t="shared" si="378"/>
        <v>0</v>
      </c>
      <c r="K1969" s="91">
        <f>VLOOKUP($A1969,'2022-23 Salary &amp; Benefits'!$A:$I,3,FALSE)</f>
        <v>1.03</v>
      </c>
      <c r="L1969" s="91">
        <f>VLOOKUP($A1969,'2022-23 Salary &amp; Benefits'!$A:$I,4,FALSE)</f>
        <v>1.03</v>
      </c>
      <c r="M1969" s="101">
        <f t="shared" si="373"/>
        <v>0</v>
      </c>
      <c r="N1969" s="24">
        <v>15</v>
      </c>
      <c r="O1969" s="26">
        <f t="shared" si="376"/>
        <v>0</v>
      </c>
      <c r="P1969" s="24">
        <v>1.1000000000000001</v>
      </c>
      <c r="Q1969" s="24">
        <v>36</v>
      </c>
      <c r="R1969" s="27">
        <f t="shared" si="377"/>
        <v>0</v>
      </c>
      <c r="S1969" s="102">
        <f t="shared" si="379"/>
        <v>0</v>
      </c>
      <c r="T1969" s="21">
        <f>VLOOKUP($A1969,'2022-23 Salary &amp; Benefits'!$A:$I,5,FALSE)</f>
        <v>68937</v>
      </c>
      <c r="U1969" s="21">
        <f>VLOOKUP($A1969,'2022-23 Salary &amp; Benefits'!$A:$I,6,FALSE)</f>
        <v>72728</v>
      </c>
      <c r="V1969" s="22">
        <f t="shared" si="380"/>
        <v>0</v>
      </c>
      <c r="W1969" s="22">
        <f t="shared" si="381"/>
        <v>0</v>
      </c>
      <c r="X1969" s="22">
        <f>'2022-23 Salary &amp; Benefits'!$G$6</f>
        <v>12558.24</v>
      </c>
      <c r="Y1969" s="23">
        <f>'2022-23 Salary &amp; Benefits'!$H$6</f>
        <v>0.2298</v>
      </c>
      <c r="Z1969" s="23">
        <f>'2022-23 Salary &amp; Benefits'!$I$6</f>
        <v>0.22339999999999999</v>
      </c>
      <c r="AA1969" s="22">
        <f t="shared" si="382"/>
        <v>0</v>
      </c>
      <c r="AB1969" s="22">
        <f t="shared" si="383"/>
        <v>0</v>
      </c>
      <c r="AC1969" s="22">
        <f t="shared" si="384"/>
        <v>0</v>
      </c>
      <c r="AD1969" s="22">
        <f t="shared" si="374"/>
        <v>0</v>
      </c>
      <c r="AE1969" s="22">
        <f t="shared" si="375"/>
        <v>0</v>
      </c>
      <c r="AF1969" s="19" t="str">
        <f>VLOOKUP(C1969,'2021-22 School Level AAFTE'!C:N,12,FALSE)</f>
        <v>No</v>
      </c>
    </row>
    <row r="1970" spans="1:32" s="5" customFormat="1">
      <c r="A1970" s="97" t="s">
        <v>2438</v>
      </c>
      <c r="B1970" s="97" t="s">
        <v>1292</v>
      </c>
      <c r="C1970" s="95">
        <v>3446</v>
      </c>
      <c r="D1970" s="95" t="s">
        <v>1295</v>
      </c>
      <c r="E1970" s="129">
        <f>VLOOKUP($C1970,'2021-22 School Level AAFTE'!$C:$Z,11,FALSE)</f>
        <v>0.31783333333333336</v>
      </c>
      <c r="F1970" s="129" t="str">
        <f>VLOOKUP($C1970,'2021-22 School Level AAFTE'!$C:$Z,8,FALSE)</f>
        <v>No</v>
      </c>
      <c r="G1970" s="129" t="str">
        <f>VLOOKUP($C1970,'2021-22 School Level AAFTE'!$C:$Z,12,FALSE)</f>
        <v>No</v>
      </c>
      <c r="H1970" s="127">
        <f>VLOOKUP($C1970,'2021-22 School Level AAFTE'!$C:$I,7,FALSE)</f>
        <v>364.45</v>
      </c>
      <c r="I1970" s="112">
        <f>IFERROR(IF(OR(G1970="yes",F1970= "yes"),VLOOKUP(C1970,Summary!$B:$J,6,0),0),0)</f>
        <v>0</v>
      </c>
      <c r="J1970" s="111">
        <f t="shared" si="378"/>
        <v>0</v>
      </c>
      <c r="K1970" s="91">
        <f>VLOOKUP($A1970,'2022-23 Salary &amp; Benefits'!$A:$I,3,FALSE)</f>
        <v>1.03</v>
      </c>
      <c r="L1970" s="91">
        <f>VLOOKUP($A1970,'2022-23 Salary &amp; Benefits'!$A:$I,4,FALSE)</f>
        <v>1.03</v>
      </c>
      <c r="M1970" s="101">
        <f t="shared" si="373"/>
        <v>0</v>
      </c>
      <c r="N1970" s="24">
        <v>15</v>
      </c>
      <c r="O1970" s="26">
        <f t="shared" si="376"/>
        <v>0</v>
      </c>
      <c r="P1970" s="24">
        <v>1.1000000000000001</v>
      </c>
      <c r="Q1970" s="24">
        <v>36</v>
      </c>
      <c r="R1970" s="27">
        <f t="shared" si="377"/>
        <v>0</v>
      </c>
      <c r="S1970" s="102">
        <f t="shared" si="379"/>
        <v>0</v>
      </c>
      <c r="T1970" s="21">
        <f>VLOOKUP($A1970,'2022-23 Salary &amp; Benefits'!$A:$I,5,FALSE)</f>
        <v>68937</v>
      </c>
      <c r="U1970" s="21">
        <f>VLOOKUP($A1970,'2022-23 Salary &amp; Benefits'!$A:$I,6,FALSE)</f>
        <v>72728</v>
      </c>
      <c r="V1970" s="22">
        <f t="shared" si="380"/>
        <v>0</v>
      </c>
      <c r="W1970" s="22">
        <f t="shared" si="381"/>
        <v>0</v>
      </c>
      <c r="X1970" s="22">
        <f>'2022-23 Salary &amp; Benefits'!$G$6</f>
        <v>12558.24</v>
      </c>
      <c r="Y1970" s="23">
        <f>'2022-23 Salary &amp; Benefits'!$H$6</f>
        <v>0.2298</v>
      </c>
      <c r="Z1970" s="23">
        <f>'2022-23 Salary &amp; Benefits'!$I$6</f>
        <v>0.22339999999999999</v>
      </c>
      <c r="AA1970" s="22">
        <f t="shared" si="382"/>
        <v>0</v>
      </c>
      <c r="AB1970" s="22">
        <f t="shared" si="383"/>
        <v>0</v>
      </c>
      <c r="AC1970" s="22">
        <f t="shared" si="384"/>
        <v>0</v>
      </c>
      <c r="AD1970" s="22">
        <f t="shared" si="374"/>
        <v>0</v>
      </c>
      <c r="AE1970" s="22">
        <f t="shared" si="375"/>
        <v>0</v>
      </c>
      <c r="AF1970" s="19" t="str">
        <f>VLOOKUP(C1970,'2021-22 School Level AAFTE'!C:N,12,FALSE)</f>
        <v>No</v>
      </c>
    </row>
    <row r="1971" spans="1:32" s="5" customFormat="1">
      <c r="A1971" s="97" t="s">
        <v>2438</v>
      </c>
      <c r="B1971" s="97" t="s">
        <v>1292</v>
      </c>
      <c r="C1971" s="95">
        <v>3827</v>
      </c>
      <c r="D1971" s="95" t="s">
        <v>1296</v>
      </c>
      <c r="E1971" s="129">
        <f>VLOOKUP($C1971,'2021-22 School Level AAFTE'!$C:$Z,11,FALSE)</f>
        <v>0.2659333333333333</v>
      </c>
      <c r="F1971" s="129" t="str">
        <f>VLOOKUP($C1971,'2021-22 School Level AAFTE'!$C:$Z,8,FALSE)</f>
        <v>No</v>
      </c>
      <c r="G1971" s="129" t="str">
        <f>VLOOKUP($C1971,'2021-22 School Level AAFTE'!$C:$Z,12,FALSE)</f>
        <v>No</v>
      </c>
      <c r="H1971" s="127">
        <f>VLOOKUP($C1971,'2021-22 School Level AAFTE'!$C:$I,7,FALSE)</f>
        <v>444.72</v>
      </c>
      <c r="I1971" s="112">
        <f>IFERROR(IF(OR(G1971="yes",F1971= "yes"),VLOOKUP(C1971,Summary!$B:$J,6,0),0),0)</f>
        <v>0</v>
      </c>
      <c r="J1971" s="111">
        <f t="shared" si="378"/>
        <v>0</v>
      </c>
      <c r="K1971" s="91">
        <f>VLOOKUP($A1971,'2022-23 Salary &amp; Benefits'!$A:$I,3,FALSE)</f>
        <v>1.03</v>
      </c>
      <c r="L1971" s="91">
        <f>VLOOKUP($A1971,'2022-23 Salary &amp; Benefits'!$A:$I,4,FALSE)</f>
        <v>1.03</v>
      </c>
      <c r="M1971" s="101">
        <f t="shared" si="373"/>
        <v>0</v>
      </c>
      <c r="N1971" s="24">
        <v>15</v>
      </c>
      <c r="O1971" s="26">
        <f t="shared" si="376"/>
        <v>0</v>
      </c>
      <c r="P1971" s="24">
        <v>1.1000000000000001</v>
      </c>
      <c r="Q1971" s="24">
        <v>36</v>
      </c>
      <c r="R1971" s="27">
        <f t="shared" si="377"/>
        <v>0</v>
      </c>
      <c r="S1971" s="102">
        <f t="shared" si="379"/>
        <v>0</v>
      </c>
      <c r="T1971" s="21">
        <f>VLOOKUP($A1971,'2022-23 Salary &amp; Benefits'!$A:$I,5,FALSE)</f>
        <v>68937</v>
      </c>
      <c r="U1971" s="21">
        <f>VLOOKUP($A1971,'2022-23 Salary &amp; Benefits'!$A:$I,6,FALSE)</f>
        <v>72728</v>
      </c>
      <c r="V1971" s="22">
        <f t="shared" si="380"/>
        <v>0</v>
      </c>
      <c r="W1971" s="22">
        <f t="shared" si="381"/>
        <v>0</v>
      </c>
      <c r="X1971" s="22">
        <f>'2022-23 Salary &amp; Benefits'!$G$6</f>
        <v>12558.24</v>
      </c>
      <c r="Y1971" s="23">
        <f>'2022-23 Salary &amp; Benefits'!$H$6</f>
        <v>0.2298</v>
      </c>
      <c r="Z1971" s="23">
        <f>'2022-23 Salary &amp; Benefits'!$I$6</f>
        <v>0.22339999999999999</v>
      </c>
      <c r="AA1971" s="22">
        <f t="shared" si="382"/>
        <v>0</v>
      </c>
      <c r="AB1971" s="22">
        <f t="shared" si="383"/>
        <v>0</v>
      </c>
      <c r="AC1971" s="22">
        <f t="shared" si="384"/>
        <v>0</v>
      </c>
      <c r="AD1971" s="22">
        <f t="shared" si="374"/>
        <v>0</v>
      </c>
      <c r="AE1971" s="22">
        <f t="shared" si="375"/>
        <v>0</v>
      </c>
      <c r="AF1971" s="19" t="str">
        <f>VLOOKUP(C1971,'2021-22 School Level AAFTE'!C:N,12,FALSE)</f>
        <v>No</v>
      </c>
    </row>
    <row r="1972" spans="1:32" s="5" customFormat="1">
      <c r="A1972" s="97" t="s">
        <v>2438</v>
      </c>
      <c r="B1972" s="97" t="s">
        <v>1292</v>
      </c>
      <c r="C1972" s="95">
        <v>4131</v>
      </c>
      <c r="D1972" s="95" t="s">
        <v>1297</v>
      </c>
      <c r="E1972" s="129">
        <f>VLOOKUP($C1972,'2021-22 School Level AAFTE'!$C:$Z,11,FALSE)</f>
        <v>0.2135</v>
      </c>
      <c r="F1972" s="129" t="str">
        <f>VLOOKUP($C1972,'2021-22 School Level AAFTE'!$C:$Z,8,FALSE)</f>
        <v>No</v>
      </c>
      <c r="G1972" s="129" t="str">
        <f>VLOOKUP($C1972,'2021-22 School Level AAFTE'!$C:$Z,12,FALSE)</f>
        <v>No</v>
      </c>
      <c r="H1972" s="127">
        <f>VLOOKUP($C1972,'2021-22 School Level AAFTE'!$C:$I,7,FALSE)</f>
        <v>948.08999999999992</v>
      </c>
      <c r="I1972" s="112">
        <f>IFERROR(IF(OR(G1972="yes",F1972= "yes"),VLOOKUP(C1972,Summary!$B:$J,6,0),0),0)</f>
        <v>0</v>
      </c>
      <c r="J1972" s="111">
        <f t="shared" si="378"/>
        <v>0</v>
      </c>
      <c r="K1972" s="91">
        <f>VLOOKUP($A1972,'2022-23 Salary &amp; Benefits'!$A:$I,3,FALSE)</f>
        <v>1.03</v>
      </c>
      <c r="L1972" s="91">
        <f>VLOOKUP($A1972,'2022-23 Salary &amp; Benefits'!$A:$I,4,FALSE)</f>
        <v>1.03</v>
      </c>
      <c r="M1972" s="101">
        <f t="shared" si="373"/>
        <v>0</v>
      </c>
      <c r="N1972" s="24">
        <v>15</v>
      </c>
      <c r="O1972" s="26">
        <f t="shared" si="376"/>
        <v>0</v>
      </c>
      <c r="P1972" s="24">
        <v>1.1000000000000001</v>
      </c>
      <c r="Q1972" s="24">
        <v>36</v>
      </c>
      <c r="R1972" s="27">
        <f t="shared" si="377"/>
        <v>0</v>
      </c>
      <c r="S1972" s="102">
        <f t="shared" si="379"/>
        <v>0</v>
      </c>
      <c r="T1972" s="21">
        <f>VLOOKUP($A1972,'2022-23 Salary &amp; Benefits'!$A:$I,5,FALSE)</f>
        <v>68937</v>
      </c>
      <c r="U1972" s="21">
        <f>VLOOKUP($A1972,'2022-23 Salary &amp; Benefits'!$A:$I,6,FALSE)</f>
        <v>72728</v>
      </c>
      <c r="V1972" s="22">
        <f t="shared" si="380"/>
        <v>0</v>
      </c>
      <c r="W1972" s="22">
        <f t="shared" si="381"/>
        <v>0</v>
      </c>
      <c r="X1972" s="22">
        <f>'2022-23 Salary &amp; Benefits'!$G$6</f>
        <v>12558.24</v>
      </c>
      <c r="Y1972" s="23">
        <f>'2022-23 Salary &amp; Benefits'!$H$6</f>
        <v>0.2298</v>
      </c>
      <c r="Z1972" s="23">
        <f>'2022-23 Salary &amp; Benefits'!$I$6</f>
        <v>0.22339999999999999</v>
      </c>
      <c r="AA1972" s="22">
        <f t="shared" si="382"/>
        <v>0</v>
      </c>
      <c r="AB1972" s="22">
        <f t="shared" si="383"/>
        <v>0</v>
      </c>
      <c r="AC1972" s="22">
        <f t="shared" si="384"/>
        <v>0</v>
      </c>
      <c r="AD1972" s="22">
        <f t="shared" si="374"/>
        <v>0</v>
      </c>
      <c r="AE1972" s="22">
        <f t="shared" si="375"/>
        <v>0</v>
      </c>
      <c r="AF1972" s="19" t="str">
        <f>VLOOKUP(C1972,'2021-22 School Level AAFTE'!C:N,12,FALSE)</f>
        <v>No</v>
      </c>
    </row>
    <row r="1973" spans="1:32" s="5" customFormat="1">
      <c r="A1973" s="97" t="s">
        <v>2438</v>
      </c>
      <c r="B1973" s="97" t="s">
        <v>1292</v>
      </c>
      <c r="C1973" s="95">
        <v>4562</v>
      </c>
      <c r="D1973" s="95" t="s">
        <v>1298</v>
      </c>
      <c r="E1973" s="129">
        <f>VLOOKUP($C1973,'2021-22 School Level AAFTE'!$C:$Z,11,FALSE)</f>
        <v>0.16839999999999999</v>
      </c>
      <c r="F1973" s="129" t="str">
        <f>VLOOKUP($C1973,'2021-22 School Level AAFTE'!$C:$Z,8,FALSE)</f>
        <v>No</v>
      </c>
      <c r="G1973" s="129" t="str">
        <f>VLOOKUP($C1973,'2021-22 School Level AAFTE'!$C:$Z,12,FALSE)</f>
        <v>No</v>
      </c>
      <c r="H1973" s="127">
        <f>VLOOKUP($C1973,'2021-22 School Level AAFTE'!$C:$I,7,FALSE)</f>
        <v>548.34</v>
      </c>
      <c r="I1973" s="112">
        <f>IFERROR(IF(OR(G1973="yes",F1973= "yes"),VLOOKUP(C1973,Summary!$B:$J,6,0),0),0)</f>
        <v>0</v>
      </c>
      <c r="J1973" s="111">
        <f t="shared" si="378"/>
        <v>0</v>
      </c>
      <c r="K1973" s="91">
        <f>VLOOKUP($A1973,'2022-23 Salary &amp; Benefits'!$A:$I,3,FALSE)</f>
        <v>1.03</v>
      </c>
      <c r="L1973" s="91">
        <f>VLOOKUP($A1973,'2022-23 Salary &amp; Benefits'!$A:$I,4,FALSE)</f>
        <v>1.03</v>
      </c>
      <c r="M1973" s="101">
        <f t="shared" si="373"/>
        <v>0</v>
      </c>
      <c r="N1973" s="24">
        <v>15</v>
      </c>
      <c r="O1973" s="26">
        <f t="shared" si="376"/>
        <v>0</v>
      </c>
      <c r="P1973" s="24">
        <v>1.1000000000000001</v>
      </c>
      <c r="Q1973" s="24">
        <v>36</v>
      </c>
      <c r="R1973" s="27">
        <f t="shared" si="377"/>
        <v>0</v>
      </c>
      <c r="S1973" s="102">
        <f t="shared" si="379"/>
        <v>0</v>
      </c>
      <c r="T1973" s="21">
        <f>VLOOKUP($A1973,'2022-23 Salary &amp; Benefits'!$A:$I,5,FALSE)</f>
        <v>68937</v>
      </c>
      <c r="U1973" s="21">
        <f>VLOOKUP($A1973,'2022-23 Salary &amp; Benefits'!$A:$I,6,FALSE)</f>
        <v>72728</v>
      </c>
      <c r="V1973" s="22">
        <f t="shared" si="380"/>
        <v>0</v>
      </c>
      <c r="W1973" s="22">
        <f t="shared" si="381"/>
        <v>0</v>
      </c>
      <c r="X1973" s="22">
        <f>'2022-23 Salary &amp; Benefits'!$G$6</f>
        <v>12558.24</v>
      </c>
      <c r="Y1973" s="23">
        <f>'2022-23 Salary &amp; Benefits'!$H$6</f>
        <v>0.2298</v>
      </c>
      <c r="Z1973" s="23">
        <f>'2022-23 Salary &amp; Benefits'!$I$6</f>
        <v>0.22339999999999999</v>
      </c>
      <c r="AA1973" s="22">
        <f t="shared" si="382"/>
        <v>0</v>
      </c>
      <c r="AB1973" s="22">
        <f t="shared" si="383"/>
        <v>0</v>
      </c>
      <c r="AC1973" s="22">
        <f t="shared" si="384"/>
        <v>0</v>
      </c>
      <c r="AD1973" s="22">
        <f t="shared" si="374"/>
        <v>0</v>
      </c>
      <c r="AE1973" s="22">
        <f t="shared" si="375"/>
        <v>0</v>
      </c>
      <c r="AF1973" s="19" t="str">
        <f>VLOOKUP(C1973,'2021-22 School Level AAFTE'!C:N,12,FALSE)</f>
        <v>No</v>
      </c>
    </row>
    <row r="1974" spans="1:32" s="5" customFormat="1">
      <c r="A1974" s="97" t="s">
        <v>2438</v>
      </c>
      <c r="B1974" s="97" t="s">
        <v>1292</v>
      </c>
      <c r="C1974" s="95">
        <v>5527</v>
      </c>
      <c r="D1974" s="95" t="s">
        <v>2811</v>
      </c>
      <c r="E1974" s="129">
        <f>VLOOKUP($C1974,'2021-22 School Level AAFTE'!$C:$Z,11,FALSE)</f>
        <v>0.58946666666666669</v>
      </c>
      <c r="F1974" s="129" t="str">
        <f>VLOOKUP($C1974,'2021-22 School Level AAFTE'!$C:$Z,8,FALSE)</f>
        <v>Yes</v>
      </c>
      <c r="G1974" s="129" t="str">
        <f>VLOOKUP($C1974,'2021-22 School Level AAFTE'!$C:$Z,12,FALSE)</f>
        <v>No</v>
      </c>
      <c r="H1974" s="127">
        <f>VLOOKUP($C1974,'2021-22 School Level AAFTE'!$C:$I,7,FALSE)</f>
        <v>14.71</v>
      </c>
      <c r="I1974" s="112">
        <f>IFERROR(IF(OR(G1974="yes",F1974= "yes"),VLOOKUP(C1974,Summary!$B:$J,6,0),0),0)</f>
        <v>0</v>
      </c>
      <c r="J1974" s="111">
        <f t="shared" si="378"/>
        <v>14.71</v>
      </c>
      <c r="K1974" s="91">
        <f>VLOOKUP($A1974,'2022-23 Salary &amp; Benefits'!$A:$I,3,FALSE)</f>
        <v>1.03</v>
      </c>
      <c r="L1974" s="91">
        <f>VLOOKUP($A1974,'2022-23 Salary &amp; Benefits'!$A:$I,4,FALSE)</f>
        <v>1.03</v>
      </c>
      <c r="M1974" s="101">
        <f t="shared" si="373"/>
        <v>14.71</v>
      </c>
      <c r="N1974" s="24">
        <v>15</v>
      </c>
      <c r="O1974" s="26">
        <f t="shared" si="376"/>
        <v>0.98066666666666669</v>
      </c>
      <c r="P1974" s="24">
        <v>1.1000000000000001</v>
      </c>
      <c r="Q1974" s="24">
        <v>36</v>
      </c>
      <c r="R1974" s="27">
        <f t="shared" si="377"/>
        <v>38.834400000000009</v>
      </c>
      <c r="S1974" s="102">
        <f t="shared" si="379"/>
        <v>4.2999999999999997E-2</v>
      </c>
      <c r="T1974" s="21">
        <f>VLOOKUP($A1974,'2022-23 Salary &amp; Benefits'!$A:$I,5,FALSE)</f>
        <v>68937</v>
      </c>
      <c r="U1974" s="21">
        <f>VLOOKUP($A1974,'2022-23 Salary &amp; Benefits'!$A:$I,6,FALSE)</f>
        <v>72728</v>
      </c>
      <c r="V1974" s="22">
        <f t="shared" si="380"/>
        <v>3053.22</v>
      </c>
      <c r="W1974" s="22">
        <f t="shared" si="381"/>
        <v>167.90000000000009</v>
      </c>
      <c r="X1974" s="22">
        <f>'2022-23 Salary &amp; Benefits'!$G$6</f>
        <v>12558.24</v>
      </c>
      <c r="Y1974" s="23">
        <f>'2022-23 Salary &amp; Benefits'!$H$6</f>
        <v>0.2298</v>
      </c>
      <c r="Z1974" s="23">
        <f>'2022-23 Salary &amp; Benefits'!$I$6</f>
        <v>0.22339999999999999</v>
      </c>
      <c r="AA1974" s="22">
        <f t="shared" si="382"/>
        <v>1279.1400000000001</v>
      </c>
      <c r="AB1974" s="22">
        <f t="shared" si="383"/>
        <v>53.69</v>
      </c>
      <c r="AC1974" s="22">
        <f t="shared" si="384"/>
        <v>11.99</v>
      </c>
      <c r="AD1974" s="22">
        <f t="shared" si="374"/>
        <v>65.679999999999993</v>
      </c>
      <c r="AE1974" s="22">
        <f t="shared" si="375"/>
        <v>4565.9400000000005</v>
      </c>
      <c r="AF1974" s="19" t="str">
        <f>VLOOKUP(C1974,'2021-22 School Level AAFTE'!C:N,12,FALSE)</f>
        <v>No</v>
      </c>
    </row>
    <row r="1975" spans="1:32" s="5" customFormat="1">
      <c r="A1975" s="97" t="s">
        <v>2438</v>
      </c>
      <c r="B1975" s="97" t="s">
        <v>1292</v>
      </c>
      <c r="C1975" s="95">
        <v>5709</v>
      </c>
      <c r="D1975" s="95" t="s">
        <v>3049</v>
      </c>
      <c r="E1975" s="129">
        <f>VLOOKUP($C1975,'2021-22 School Level AAFTE'!$C:$Z,11,FALSE)</f>
        <v>0.32350000000000001</v>
      </c>
      <c r="F1975" s="129" t="str">
        <f>VLOOKUP($C1975,'2021-22 School Level AAFTE'!$C:$Z,8,FALSE)</f>
        <v>No</v>
      </c>
      <c r="G1975" s="129" t="str">
        <f>VLOOKUP($C1975,'2021-22 School Level AAFTE'!$C:$Z,12,FALSE)</f>
        <v>No</v>
      </c>
      <c r="H1975" s="127">
        <f>VLOOKUP($C1975,'2021-22 School Level AAFTE'!$C:$I,7,FALSE)</f>
        <v>65.02</v>
      </c>
      <c r="I1975" s="112">
        <f>IFERROR(IF(OR(G1975="yes",F1975= "yes"),VLOOKUP(C1975,Summary!$B:$J,6,0),0),0)</f>
        <v>0</v>
      </c>
      <c r="J1975" s="111">
        <f t="shared" si="378"/>
        <v>0</v>
      </c>
      <c r="K1975" s="91">
        <f>VLOOKUP($A1975,'2022-23 Salary &amp; Benefits'!$A:$I,3,FALSE)</f>
        <v>1.03</v>
      </c>
      <c r="L1975" s="91">
        <f>VLOOKUP($A1975,'2022-23 Salary &amp; Benefits'!$A:$I,4,FALSE)</f>
        <v>1.03</v>
      </c>
      <c r="M1975" s="101">
        <f t="shared" si="373"/>
        <v>0</v>
      </c>
      <c r="N1975" s="24">
        <v>15</v>
      </c>
      <c r="O1975" s="26">
        <f t="shared" si="376"/>
        <v>0</v>
      </c>
      <c r="P1975" s="24">
        <v>1.1000000000000001</v>
      </c>
      <c r="Q1975" s="24">
        <v>36</v>
      </c>
      <c r="R1975" s="27">
        <f t="shared" si="377"/>
        <v>0</v>
      </c>
      <c r="S1975" s="102">
        <f t="shared" si="379"/>
        <v>0</v>
      </c>
      <c r="T1975" s="21">
        <f>VLOOKUP($A1975,'2022-23 Salary &amp; Benefits'!$A:$I,5,FALSE)</f>
        <v>68937</v>
      </c>
      <c r="U1975" s="21">
        <f>VLOOKUP($A1975,'2022-23 Salary &amp; Benefits'!$A:$I,6,FALSE)</f>
        <v>72728</v>
      </c>
      <c r="V1975" s="22">
        <f t="shared" si="380"/>
        <v>0</v>
      </c>
      <c r="W1975" s="22">
        <f t="shared" si="381"/>
        <v>0</v>
      </c>
      <c r="X1975" s="22">
        <f>'2022-23 Salary &amp; Benefits'!$G$6</f>
        <v>12558.24</v>
      </c>
      <c r="Y1975" s="23">
        <f>'2022-23 Salary &amp; Benefits'!$H$6</f>
        <v>0.2298</v>
      </c>
      <c r="Z1975" s="23">
        <f>'2022-23 Salary &amp; Benefits'!$I$6</f>
        <v>0.22339999999999999</v>
      </c>
      <c r="AA1975" s="22">
        <f t="shared" si="382"/>
        <v>0</v>
      </c>
      <c r="AB1975" s="22">
        <f t="shared" si="383"/>
        <v>0</v>
      </c>
      <c r="AC1975" s="22">
        <f t="shared" si="384"/>
        <v>0</v>
      </c>
      <c r="AD1975" s="22">
        <f t="shared" si="374"/>
        <v>0</v>
      </c>
      <c r="AE1975" s="22">
        <f t="shared" si="375"/>
        <v>0</v>
      </c>
      <c r="AF1975" s="19" t="str">
        <f>VLOOKUP(C1975,'2021-22 School Level AAFTE'!C:N,12,FALSE)</f>
        <v>No</v>
      </c>
    </row>
    <row r="1976" spans="1:32" s="5" customFormat="1">
      <c r="A1976" s="97" t="s">
        <v>2547</v>
      </c>
      <c r="B1976" s="97" t="s">
        <v>2150</v>
      </c>
      <c r="C1976" s="95">
        <v>2115</v>
      </c>
      <c r="D1976" s="95" t="s">
        <v>2151</v>
      </c>
      <c r="E1976" s="129">
        <f>VLOOKUP($C1976,'2021-22 School Level AAFTE'!$C:$Z,11,FALSE)</f>
        <v>0</v>
      </c>
      <c r="F1976" s="129" t="str">
        <f>VLOOKUP($C1976,'2021-22 School Level AAFTE'!$C:$Z,8,FALSE)</f>
        <v>No</v>
      </c>
      <c r="G1976" s="129" t="str">
        <f>VLOOKUP($C1976,'2021-22 School Level AAFTE'!$C:$Z,12,FALSE)</f>
        <v>No</v>
      </c>
      <c r="H1976" s="127">
        <f>VLOOKUP($C1976,'2021-22 School Level AAFTE'!$C:$I,7,FALSE)</f>
        <v>38.71</v>
      </c>
      <c r="I1976" s="112">
        <f>IFERROR(IF(OR(G1976="yes",F1976= "yes"),VLOOKUP(C1976,Summary!$B:$J,6,0),0),0)</f>
        <v>0</v>
      </c>
      <c r="J1976" s="111">
        <f t="shared" si="378"/>
        <v>0</v>
      </c>
      <c r="K1976" s="91">
        <f>VLOOKUP($A1976,'2022-23 Salary &amp; Benefits'!$A:$I,3,FALSE)</f>
        <v>1</v>
      </c>
      <c r="L1976" s="91">
        <f>VLOOKUP($A1976,'2022-23 Salary &amp; Benefits'!$A:$I,4,FALSE)</f>
        <v>1</v>
      </c>
      <c r="M1976" s="101">
        <f t="shared" si="373"/>
        <v>0</v>
      </c>
      <c r="N1976" s="24">
        <v>15</v>
      </c>
      <c r="O1976" s="26">
        <f t="shared" si="376"/>
        <v>0</v>
      </c>
      <c r="P1976" s="24">
        <v>1.1000000000000001</v>
      </c>
      <c r="Q1976" s="24">
        <v>36</v>
      </c>
      <c r="R1976" s="27">
        <f t="shared" si="377"/>
        <v>0</v>
      </c>
      <c r="S1976" s="102">
        <f t="shared" si="379"/>
        <v>0</v>
      </c>
      <c r="T1976" s="21">
        <f>VLOOKUP($A1976,'2022-23 Salary &amp; Benefits'!$A:$I,5,FALSE)</f>
        <v>68937</v>
      </c>
      <c r="U1976" s="21">
        <f>VLOOKUP($A1976,'2022-23 Salary &amp; Benefits'!$A:$I,6,FALSE)</f>
        <v>72728</v>
      </c>
      <c r="V1976" s="22">
        <f t="shared" si="380"/>
        <v>0</v>
      </c>
      <c r="W1976" s="22">
        <f t="shared" si="381"/>
        <v>0</v>
      </c>
      <c r="X1976" s="22">
        <f>'2022-23 Salary &amp; Benefits'!$G$6</f>
        <v>12558.24</v>
      </c>
      <c r="Y1976" s="23">
        <f>'2022-23 Salary &amp; Benefits'!$H$6</f>
        <v>0.2298</v>
      </c>
      <c r="Z1976" s="23">
        <f>'2022-23 Salary &amp; Benefits'!$I$6</f>
        <v>0.22339999999999999</v>
      </c>
      <c r="AA1976" s="22">
        <f t="shared" si="382"/>
        <v>0</v>
      </c>
      <c r="AB1976" s="22">
        <f t="shared" si="383"/>
        <v>0</v>
      </c>
      <c r="AC1976" s="22">
        <f t="shared" si="384"/>
        <v>0</v>
      </c>
      <c r="AD1976" s="22">
        <f t="shared" si="374"/>
        <v>0</v>
      </c>
      <c r="AE1976" s="22">
        <f t="shared" si="375"/>
        <v>0</v>
      </c>
      <c r="AF1976" s="19" t="str">
        <f>VLOOKUP(C1976,'2021-22 School Level AAFTE'!C:N,12,FALSE)</f>
        <v>No</v>
      </c>
    </row>
    <row r="1977" spans="1:32" s="5" customFormat="1">
      <c r="A1977" s="97" t="s">
        <v>2471</v>
      </c>
      <c r="B1977" s="97" t="s">
        <v>1591</v>
      </c>
      <c r="C1977" s="95">
        <v>2682</v>
      </c>
      <c r="D1977" s="95" t="s">
        <v>767</v>
      </c>
      <c r="E1977" s="129">
        <f>VLOOKUP($C1977,'2021-22 School Level AAFTE'!$C:$Z,11,FALSE)</f>
        <v>0.52879999999999994</v>
      </c>
      <c r="F1977" s="129" t="str">
        <f>VLOOKUP($C1977,'2021-22 School Level AAFTE'!$C:$Z,8,FALSE)</f>
        <v>Yes</v>
      </c>
      <c r="G1977" s="129" t="str">
        <f>VLOOKUP($C1977,'2021-22 School Level AAFTE'!$C:$Z,12,FALSE)</f>
        <v>No</v>
      </c>
      <c r="H1977" s="127">
        <f>VLOOKUP($C1977,'2021-22 School Level AAFTE'!$C:$I,7,FALSE)</f>
        <v>136.86000000000001</v>
      </c>
      <c r="I1977" s="112">
        <f>IFERROR(IF(OR(G1977="yes",F1977= "yes"),VLOOKUP(C1977,Summary!$B:$J,6,0),0),0)</f>
        <v>0</v>
      </c>
      <c r="J1977" s="111">
        <f t="shared" si="378"/>
        <v>136.86000000000001</v>
      </c>
      <c r="K1977" s="91">
        <f>VLOOKUP($A1977,'2022-23 Salary &amp; Benefits'!$A:$I,3,FALSE)</f>
        <v>1</v>
      </c>
      <c r="L1977" s="91">
        <f>VLOOKUP($A1977,'2022-23 Salary &amp; Benefits'!$A:$I,4,FALSE)</f>
        <v>1</v>
      </c>
      <c r="M1977" s="101">
        <f t="shared" si="373"/>
        <v>136.86000000000001</v>
      </c>
      <c r="N1977" s="24">
        <v>15</v>
      </c>
      <c r="O1977" s="26">
        <f t="shared" si="376"/>
        <v>9.1240000000000006</v>
      </c>
      <c r="P1977" s="24">
        <v>1.1000000000000001</v>
      </c>
      <c r="Q1977" s="24">
        <v>36</v>
      </c>
      <c r="R1977" s="27">
        <f t="shared" si="377"/>
        <v>361.31040000000007</v>
      </c>
      <c r="S1977" s="102">
        <f t="shared" si="379"/>
        <v>0.40100000000000002</v>
      </c>
      <c r="T1977" s="21">
        <f>VLOOKUP($A1977,'2022-23 Salary &amp; Benefits'!$A:$I,5,FALSE)</f>
        <v>68937</v>
      </c>
      <c r="U1977" s="21">
        <f>VLOOKUP($A1977,'2022-23 Salary &amp; Benefits'!$A:$I,6,FALSE)</f>
        <v>72728</v>
      </c>
      <c r="V1977" s="22">
        <f t="shared" si="380"/>
        <v>27643.74</v>
      </c>
      <c r="W1977" s="22">
        <f t="shared" si="381"/>
        <v>1520.1899999999987</v>
      </c>
      <c r="X1977" s="22">
        <f>'2022-23 Salary &amp; Benefits'!$G$6</f>
        <v>12558.24</v>
      </c>
      <c r="Y1977" s="23">
        <f>'2022-23 Salary &amp; Benefits'!$H$6</f>
        <v>0.2298</v>
      </c>
      <c r="Z1977" s="23">
        <f>'2022-23 Salary &amp; Benefits'!$I$6</f>
        <v>0.22339999999999999</v>
      </c>
      <c r="AA1977" s="22">
        <f t="shared" si="382"/>
        <v>11728</v>
      </c>
      <c r="AB1977" s="22">
        <f t="shared" si="383"/>
        <v>486.07</v>
      </c>
      <c r="AC1977" s="22">
        <f t="shared" si="384"/>
        <v>108.59</v>
      </c>
      <c r="AD1977" s="22">
        <f t="shared" si="374"/>
        <v>594.66</v>
      </c>
      <c r="AE1977" s="22">
        <f t="shared" si="375"/>
        <v>41486.590000000011</v>
      </c>
      <c r="AF1977" s="19" t="str">
        <f>VLOOKUP(C1977,'2021-22 School Level AAFTE'!C:N,12,FALSE)</f>
        <v>No</v>
      </c>
    </row>
    <row r="1978" spans="1:32" s="5" customFormat="1">
      <c r="A1978" s="97" t="s">
        <v>2471</v>
      </c>
      <c r="B1978" s="97" t="s">
        <v>1591</v>
      </c>
      <c r="C1978" s="95">
        <v>2882</v>
      </c>
      <c r="D1978" s="95" t="s">
        <v>937</v>
      </c>
      <c r="E1978" s="129">
        <f>VLOOKUP($C1978,'2021-22 School Level AAFTE'!$C:$Z,11,FALSE)</f>
        <v>0.51993333333333325</v>
      </c>
      <c r="F1978" s="129" t="str">
        <f>VLOOKUP($C1978,'2021-22 School Level AAFTE'!$C:$Z,8,FALSE)</f>
        <v>Yes</v>
      </c>
      <c r="G1978" s="129" t="str">
        <f>VLOOKUP($C1978,'2021-22 School Level AAFTE'!$C:$Z,12,FALSE)</f>
        <v>No</v>
      </c>
      <c r="H1978" s="127">
        <f>VLOOKUP($C1978,'2021-22 School Level AAFTE'!$C:$I,7,FALSE)</f>
        <v>201.87</v>
      </c>
      <c r="I1978" s="112">
        <f>IFERROR(IF(OR(G1978="yes",F1978= "yes"),VLOOKUP(C1978,Summary!$B:$J,6,0),0),0)</f>
        <v>0</v>
      </c>
      <c r="J1978" s="111">
        <f t="shared" si="378"/>
        <v>201.87</v>
      </c>
      <c r="K1978" s="91">
        <f>VLOOKUP($A1978,'2022-23 Salary &amp; Benefits'!$A:$I,3,FALSE)</f>
        <v>1</v>
      </c>
      <c r="L1978" s="91">
        <f>VLOOKUP($A1978,'2022-23 Salary &amp; Benefits'!$A:$I,4,FALSE)</f>
        <v>1</v>
      </c>
      <c r="M1978" s="39">
        <f t="shared" si="373"/>
        <v>201.87</v>
      </c>
      <c r="N1978" s="24">
        <v>15</v>
      </c>
      <c r="O1978" s="26">
        <f t="shared" si="376"/>
        <v>13.458</v>
      </c>
      <c r="P1978" s="24">
        <v>1.1000000000000001</v>
      </c>
      <c r="Q1978" s="24">
        <v>36</v>
      </c>
      <c r="R1978" s="27">
        <f t="shared" si="377"/>
        <v>532.93680000000006</v>
      </c>
      <c r="S1978" s="102">
        <f t="shared" si="379"/>
        <v>0.59199999999999997</v>
      </c>
      <c r="T1978" s="21">
        <f>VLOOKUP($A1978,'2022-23 Salary &amp; Benefits'!$A:$I,5,FALSE)</f>
        <v>68937</v>
      </c>
      <c r="U1978" s="21">
        <f>VLOOKUP($A1978,'2022-23 Salary &amp; Benefits'!$A:$I,6,FALSE)</f>
        <v>72728</v>
      </c>
      <c r="V1978" s="22">
        <f t="shared" si="380"/>
        <v>40810.699999999997</v>
      </c>
      <c r="W1978" s="22">
        <f t="shared" si="381"/>
        <v>2244.2800000000061</v>
      </c>
      <c r="X1978" s="22">
        <f>'2022-23 Salary &amp; Benefits'!$G$6</f>
        <v>12558.24</v>
      </c>
      <c r="Y1978" s="23">
        <f>'2022-23 Salary &amp; Benefits'!$H$6</f>
        <v>0.2298</v>
      </c>
      <c r="Z1978" s="23">
        <f>'2022-23 Salary &amp; Benefits'!$I$6</f>
        <v>0.22339999999999999</v>
      </c>
      <c r="AA1978" s="22">
        <f t="shared" si="382"/>
        <v>17314.150000000001</v>
      </c>
      <c r="AB1978" s="22">
        <f t="shared" si="383"/>
        <v>717.58</v>
      </c>
      <c r="AC1978" s="22">
        <f t="shared" si="384"/>
        <v>160.31</v>
      </c>
      <c r="AD1978" s="22">
        <f t="shared" si="374"/>
        <v>877.8900000000001</v>
      </c>
      <c r="AE1978" s="22">
        <f t="shared" si="375"/>
        <v>61247.020000000004</v>
      </c>
      <c r="AF1978" s="19" t="str">
        <f>VLOOKUP(C1978,'2021-22 School Level AAFTE'!C:N,12,FALSE)</f>
        <v>No</v>
      </c>
    </row>
    <row r="1979" spans="1:32" s="5" customFormat="1">
      <c r="A1979" s="97" t="s">
        <v>2471</v>
      </c>
      <c r="B1979" s="97" t="s">
        <v>1591</v>
      </c>
      <c r="C1979" s="95">
        <v>3119</v>
      </c>
      <c r="D1979" s="95" t="s">
        <v>1592</v>
      </c>
      <c r="E1979" s="129">
        <f>VLOOKUP($C1979,'2021-22 School Level AAFTE'!$C:$Z,11,FALSE)</f>
        <v>0.50206666666666666</v>
      </c>
      <c r="F1979" s="129" t="str">
        <f>VLOOKUP($C1979,'2021-22 School Level AAFTE'!$C:$Z,8,FALSE)</f>
        <v>Yes</v>
      </c>
      <c r="G1979" s="129" t="str">
        <f>VLOOKUP($C1979,'2021-22 School Level AAFTE'!$C:$Z,12,FALSE)</f>
        <v>No</v>
      </c>
      <c r="H1979" s="127">
        <f>VLOOKUP($C1979,'2021-22 School Level AAFTE'!$C:$I,7,FALSE)</f>
        <v>241.67</v>
      </c>
      <c r="I1979" s="112">
        <f>IFERROR(IF(OR(G1979="yes",F1979= "yes"),VLOOKUP(C1979,Summary!$B:$J,6,0),0),0)</f>
        <v>0</v>
      </c>
      <c r="J1979" s="111">
        <f t="shared" si="378"/>
        <v>241.67</v>
      </c>
      <c r="K1979" s="91">
        <f>VLOOKUP($A1979,'2022-23 Salary &amp; Benefits'!$A:$I,3,FALSE)</f>
        <v>1</v>
      </c>
      <c r="L1979" s="91">
        <f>VLOOKUP($A1979,'2022-23 Salary &amp; Benefits'!$A:$I,4,FALSE)</f>
        <v>1</v>
      </c>
      <c r="M1979" s="39">
        <f t="shared" si="373"/>
        <v>241.67</v>
      </c>
      <c r="N1979" s="24">
        <v>15</v>
      </c>
      <c r="O1979" s="26">
        <f t="shared" si="376"/>
        <v>16.111333333333331</v>
      </c>
      <c r="P1979" s="24">
        <v>1.1000000000000001</v>
      </c>
      <c r="Q1979" s="24">
        <v>36</v>
      </c>
      <c r="R1979" s="27">
        <f t="shared" si="377"/>
        <v>638.00879999999995</v>
      </c>
      <c r="S1979" s="102">
        <f t="shared" si="379"/>
        <v>0.70899999999999996</v>
      </c>
      <c r="T1979" s="21">
        <f>VLOOKUP($A1979,'2022-23 Salary &amp; Benefits'!$A:$I,5,FALSE)</f>
        <v>68937</v>
      </c>
      <c r="U1979" s="21">
        <f>VLOOKUP($A1979,'2022-23 Salary &amp; Benefits'!$A:$I,6,FALSE)</f>
        <v>72728</v>
      </c>
      <c r="V1979" s="22">
        <f t="shared" si="380"/>
        <v>48876.33</v>
      </c>
      <c r="W1979" s="22">
        <f t="shared" si="381"/>
        <v>2687.8199999999997</v>
      </c>
      <c r="X1979" s="22">
        <f>'2022-23 Salary &amp; Benefits'!$G$6</f>
        <v>12558.24</v>
      </c>
      <c r="Y1979" s="23">
        <f>'2022-23 Salary &amp; Benefits'!$H$6</f>
        <v>0.2298</v>
      </c>
      <c r="Z1979" s="23">
        <f>'2022-23 Salary &amp; Benefits'!$I$6</f>
        <v>0.22339999999999999</v>
      </c>
      <c r="AA1979" s="22">
        <f t="shared" si="382"/>
        <v>20736.03</v>
      </c>
      <c r="AB1979" s="22">
        <f t="shared" si="383"/>
        <v>859.4</v>
      </c>
      <c r="AC1979" s="22">
        <f t="shared" si="384"/>
        <v>191.99</v>
      </c>
      <c r="AD1979" s="22">
        <f t="shared" si="374"/>
        <v>1051.3899999999999</v>
      </c>
      <c r="AE1979" s="22">
        <f t="shared" si="375"/>
        <v>73351.569999999992</v>
      </c>
      <c r="AF1979" s="19" t="str">
        <f>VLOOKUP(C1979,'2021-22 School Level AAFTE'!C:N,12,FALSE)</f>
        <v>No</v>
      </c>
    </row>
    <row r="1980" spans="1:32" s="5" customFormat="1">
      <c r="A1980" s="97" t="s">
        <v>2471</v>
      </c>
      <c r="B1980" s="97" t="s">
        <v>1591</v>
      </c>
      <c r="C1980" s="95">
        <v>3800</v>
      </c>
      <c r="D1980" s="95" t="s">
        <v>1593</v>
      </c>
      <c r="E1980" s="129">
        <f>VLOOKUP($C1980,'2021-22 School Level AAFTE'!$C:$Z,11,FALSE)</f>
        <v>0.53159999999999996</v>
      </c>
      <c r="F1980" s="129" t="str">
        <f>VLOOKUP($C1980,'2021-22 School Level AAFTE'!$C:$Z,8,FALSE)</f>
        <v>Yes</v>
      </c>
      <c r="G1980" s="129" t="str">
        <f>VLOOKUP($C1980,'2021-22 School Level AAFTE'!$C:$Z,12,FALSE)</f>
        <v>No</v>
      </c>
      <c r="H1980" s="127">
        <f>VLOOKUP($C1980,'2021-22 School Level AAFTE'!$C:$I,7,FALSE)</f>
        <v>201.03</v>
      </c>
      <c r="I1980" s="112">
        <f>IFERROR(IF(OR(G1980="yes",F1980= "yes"),VLOOKUP(C1980,Summary!$B:$J,6,0),0),0)</f>
        <v>0</v>
      </c>
      <c r="J1980" s="111">
        <f t="shared" si="378"/>
        <v>201.03</v>
      </c>
      <c r="K1980" s="91">
        <f>VLOOKUP($A1980,'2022-23 Salary &amp; Benefits'!$A:$I,3,FALSE)</f>
        <v>1</v>
      </c>
      <c r="L1980" s="91">
        <f>VLOOKUP($A1980,'2022-23 Salary &amp; Benefits'!$A:$I,4,FALSE)</f>
        <v>1</v>
      </c>
      <c r="M1980" s="39">
        <f t="shared" ref="M1980:M2039" si="385">IF(I1980&gt;0,I1980,J1980)</f>
        <v>201.03</v>
      </c>
      <c r="N1980" s="24">
        <v>15</v>
      </c>
      <c r="O1980" s="26">
        <f t="shared" si="376"/>
        <v>13.401999999999999</v>
      </c>
      <c r="P1980" s="24">
        <v>1.1000000000000001</v>
      </c>
      <c r="Q1980" s="24">
        <v>36</v>
      </c>
      <c r="R1980" s="27">
        <f t="shared" si="377"/>
        <v>530.7192</v>
      </c>
      <c r="S1980" s="102">
        <f t="shared" si="379"/>
        <v>0.59</v>
      </c>
      <c r="T1980" s="21">
        <f>VLOOKUP($A1980,'2022-23 Salary &amp; Benefits'!$A:$I,5,FALSE)</f>
        <v>68937</v>
      </c>
      <c r="U1980" s="21">
        <f>VLOOKUP($A1980,'2022-23 Salary &amp; Benefits'!$A:$I,6,FALSE)</f>
        <v>72728</v>
      </c>
      <c r="V1980" s="22">
        <f t="shared" si="380"/>
        <v>40672.83</v>
      </c>
      <c r="W1980" s="22">
        <f t="shared" si="381"/>
        <v>2236.6899999999951</v>
      </c>
      <c r="X1980" s="22">
        <f>'2022-23 Salary &amp; Benefits'!$G$6</f>
        <v>12558.24</v>
      </c>
      <c r="Y1980" s="23">
        <f>'2022-23 Salary &amp; Benefits'!$H$6</f>
        <v>0.2298</v>
      </c>
      <c r="Z1980" s="23">
        <f>'2022-23 Salary &amp; Benefits'!$I$6</f>
        <v>0.22339999999999999</v>
      </c>
      <c r="AA1980" s="22">
        <f t="shared" si="382"/>
        <v>17255.650000000001</v>
      </c>
      <c r="AB1980" s="22">
        <f t="shared" si="383"/>
        <v>715.16</v>
      </c>
      <c r="AC1980" s="22">
        <f t="shared" si="384"/>
        <v>159.77000000000001</v>
      </c>
      <c r="AD1980" s="22">
        <f t="shared" ref="AD1980:AD2039" si="386">SUM(AB1980:AC1980)</f>
        <v>874.93</v>
      </c>
      <c r="AE1980" s="22">
        <f t="shared" ref="AE1980:AE2039" si="387">SUM(AA1980,V1980:W1980,AD1980)</f>
        <v>61040.1</v>
      </c>
      <c r="AF1980" s="19" t="str">
        <f>VLOOKUP(C1980,'2021-22 School Level AAFTE'!C:N,12,FALSE)</f>
        <v>No</v>
      </c>
    </row>
    <row r="1981" spans="1:32" s="5" customFormat="1">
      <c r="A1981" s="97" t="s">
        <v>2482</v>
      </c>
      <c r="B1981" s="97" t="s">
        <v>1746</v>
      </c>
      <c r="C1981" s="95">
        <v>2105</v>
      </c>
      <c r="D1981" s="95" t="s">
        <v>1747</v>
      </c>
      <c r="E1981" s="129">
        <f>VLOOKUP($C1981,'2021-22 School Level AAFTE'!$C:$Z,11,FALSE)</f>
        <v>0.5583999999999999</v>
      </c>
      <c r="F1981" s="129" t="str">
        <f>VLOOKUP($C1981,'2021-22 School Level AAFTE'!$C:$Z,8,FALSE)</f>
        <v>Yes</v>
      </c>
      <c r="G1981" s="129" t="str">
        <f>VLOOKUP($C1981,'2021-22 School Level AAFTE'!$C:$Z,12,FALSE)</f>
        <v>No</v>
      </c>
      <c r="H1981" s="127">
        <f>VLOOKUP($C1981,'2021-22 School Level AAFTE'!$C:$I,7,FALSE)</f>
        <v>422.24</v>
      </c>
      <c r="I1981" s="112">
        <f>IFERROR(IF(OR(G1981="yes",F1981= "yes"),VLOOKUP(C1981,Summary!$B:$J,6,0),0),0)</f>
        <v>0</v>
      </c>
      <c r="J1981" s="111">
        <f t="shared" si="378"/>
        <v>422.24</v>
      </c>
      <c r="K1981" s="91">
        <f>VLOOKUP($A1981,'2022-23 Salary &amp; Benefits'!$A:$I,3,FALSE)</f>
        <v>1.18</v>
      </c>
      <c r="L1981" s="91">
        <f>VLOOKUP($A1981,'2022-23 Salary &amp; Benefits'!$A:$I,4,FALSE)</f>
        <v>1.18</v>
      </c>
      <c r="M1981" s="39">
        <f t="shared" si="385"/>
        <v>422.24</v>
      </c>
      <c r="N1981" s="24">
        <v>15</v>
      </c>
      <c r="O1981" s="26">
        <f t="shared" si="376"/>
        <v>28.149333333333335</v>
      </c>
      <c r="P1981" s="24">
        <v>1.1000000000000001</v>
      </c>
      <c r="Q1981" s="24">
        <v>36</v>
      </c>
      <c r="R1981" s="27">
        <f t="shared" si="377"/>
        <v>1114.7136</v>
      </c>
      <c r="S1981" s="102">
        <f t="shared" si="379"/>
        <v>1.2390000000000001</v>
      </c>
      <c r="T1981" s="21">
        <f>VLOOKUP($A1981,'2022-23 Salary &amp; Benefits'!$A:$I,5,FALSE)</f>
        <v>68937</v>
      </c>
      <c r="U1981" s="21">
        <f>VLOOKUP($A1981,'2022-23 Salary &amp; Benefits'!$A:$I,6,FALSE)</f>
        <v>72728</v>
      </c>
      <c r="V1981" s="22">
        <f t="shared" si="380"/>
        <v>100787.27</v>
      </c>
      <c r="W1981" s="22">
        <f t="shared" si="381"/>
        <v>5542.5199999999895</v>
      </c>
      <c r="X1981" s="22">
        <f>'2022-23 Salary &amp; Benefits'!$G$6</f>
        <v>12558.24</v>
      </c>
      <c r="Y1981" s="23">
        <f>'2022-23 Salary &amp; Benefits'!$H$6</f>
        <v>0.2298</v>
      </c>
      <c r="Z1981" s="23">
        <f>'2022-23 Salary &amp; Benefits'!$I$6</f>
        <v>0.22339999999999999</v>
      </c>
      <c r="AA1981" s="22">
        <f t="shared" si="382"/>
        <v>39958.769999999997</v>
      </c>
      <c r="AB1981" s="22">
        <f t="shared" si="383"/>
        <v>1772.16</v>
      </c>
      <c r="AC1981" s="22">
        <f t="shared" si="384"/>
        <v>395.9</v>
      </c>
      <c r="AD1981" s="22">
        <f t="shared" si="386"/>
        <v>2168.06</v>
      </c>
      <c r="AE1981" s="22">
        <f t="shared" si="387"/>
        <v>148456.62</v>
      </c>
      <c r="AF1981" s="19" t="str">
        <f>VLOOKUP(C1981,'2021-22 School Level AAFTE'!C:N,12,FALSE)</f>
        <v>No</v>
      </c>
    </row>
    <row r="1982" spans="1:32" s="5" customFormat="1">
      <c r="A1982" s="97" t="s">
        <v>2482</v>
      </c>
      <c r="B1982" s="97" t="s">
        <v>1746</v>
      </c>
      <c r="C1982" s="95">
        <v>2229</v>
      </c>
      <c r="D1982" s="95" t="s">
        <v>1748</v>
      </c>
      <c r="E1982" s="129">
        <f>VLOOKUP($C1982,'2021-22 School Level AAFTE'!$C:$Z,11,FALSE)</f>
        <v>0.52823333333333344</v>
      </c>
      <c r="F1982" s="129" t="str">
        <f>VLOOKUP($C1982,'2021-22 School Level AAFTE'!$C:$Z,8,FALSE)</f>
        <v>Yes</v>
      </c>
      <c r="G1982" s="129" t="str">
        <f>VLOOKUP($C1982,'2021-22 School Level AAFTE'!$C:$Z,12,FALSE)</f>
        <v>No</v>
      </c>
      <c r="H1982" s="127">
        <f>VLOOKUP($C1982,'2021-22 School Level AAFTE'!$C:$I,7,FALSE)</f>
        <v>561.20000000000005</v>
      </c>
      <c r="I1982" s="112">
        <f>IFERROR(IF(OR(G1982="yes",F1982= "yes"),VLOOKUP(C1982,Summary!$B:$J,6,0),0),0)</f>
        <v>0</v>
      </c>
      <c r="J1982" s="111">
        <f t="shared" si="378"/>
        <v>561.20000000000005</v>
      </c>
      <c r="K1982" s="91">
        <f>VLOOKUP($A1982,'2022-23 Salary &amp; Benefits'!$A:$I,3,FALSE)</f>
        <v>1.18</v>
      </c>
      <c r="L1982" s="91">
        <f>VLOOKUP($A1982,'2022-23 Salary &amp; Benefits'!$A:$I,4,FALSE)</f>
        <v>1.18</v>
      </c>
      <c r="M1982" s="101">
        <f t="shared" si="385"/>
        <v>561.20000000000005</v>
      </c>
      <c r="N1982" s="24">
        <v>15</v>
      </c>
      <c r="O1982" s="26">
        <f t="shared" si="376"/>
        <v>37.413333333333334</v>
      </c>
      <c r="P1982" s="24">
        <v>1.1000000000000001</v>
      </c>
      <c r="Q1982" s="24">
        <v>36</v>
      </c>
      <c r="R1982" s="27">
        <f t="shared" si="377"/>
        <v>1481.5680000000002</v>
      </c>
      <c r="S1982" s="102">
        <f t="shared" si="379"/>
        <v>1.6459999999999999</v>
      </c>
      <c r="T1982" s="21">
        <f>VLOOKUP($A1982,'2022-23 Salary &amp; Benefits'!$A:$I,5,FALSE)</f>
        <v>68937</v>
      </c>
      <c r="U1982" s="21">
        <f>VLOOKUP($A1982,'2022-23 Salary &amp; Benefits'!$A:$I,6,FALSE)</f>
        <v>72728</v>
      </c>
      <c r="V1982" s="22">
        <f t="shared" si="380"/>
        <v>133894.96</v>
      </c>
      <c r="W1982" s="22">
        <f t="shared" si="381"/>
        <v>7363.1800000000221</v>
      </c>
      <c r="X1982" s="22">
        <f>'2022-23 Salary &amp; Benefits'!$G$6</f>
        <v>12558.24</v>
      </c>
      <c r="Y1982" s="23">
        <f>'2022-23 Salary &amp; Benefits'!$H$6</f>
        <v>0.2298</v>
      </c>
      <c r="Z1982" s="23">
        <f>'2022-23 Salary &amp; Benefits'!$I$6</f>
        <v>0.22339999999999999</v>
      </c>
      <c r="AA1982" s="22">
        <f t="shared" si="382"/>
        <v>53084.86</v>
      </c>
      <c r="AB1982" s="22">
        <f t="shared" si="383"/>
        <v>2354.3000000000002</v>
      </c>
      <c r="AC1982" s="22">
        <f t="shared" si="384"/>
        <v>525.95000000000005</v>
      </c>
      <c r="AD1982" s="22">
        <f t="shared" si="386"/>
        <v>2880.25</v>
      </c>
      <c r="AE1982" s="22">
        <f t="shared" si="387"/>
        <v>197223.25000000003</v>
      </c>
      <c r="AF1982" s="19" t="str">
        <f>VLOOKUP(C1982,'2021-22 School Level AAFTE'!C:N,12,FALSE)</f>
        <v>No</v>
      </c>
    </row>
    <row r="1983" spans="1:32" s="5" customFormat="1">
      <c r="A1983" s="97" t="s">
        <v>2482</v>
      </c>
      <c r="B1983" s="97" t="s">
        <v>1746</v>
      </c>
      <c r="C1983" s="95">
        <v>4274</v>
      </c>
      <c r="D1983" s="95" t="s">
        <v>1749</v>
      </c>
      <c r="E1983" s="129">
        <f>VLOOKUP($C1983,'2021-22 School Level AAFTE'!$C:$Z,11,FALSE)</f>
        <v>0.50396666666666667</v>
      </c>
      <c r="F1983" s="129" t="str">
        <f>VLOOKUP($C1983,'2021-22 School Level AAFTE'!$C:$Z,8,FALSE)</f>
        <v>Yes</v>
      </c>
      <c r="G1983" s="129" t="str">
        <f>VLOOKUP($C1983,'2021-22 School Level AAFTE'!$C:$Z,12,FALSE)</f>
        <v>No</v>
      </c>
      <c r="H1983" s="127">
        <f>VLOOKUP($C1983,'2021-22 School Level AAFTE'!$C:$I,7,FALSE)</f>
        <v>516.04999999999995</v>
      </c>
      <c r="I1983" s="112">
        <f>IFERROR(IF(OR(G1983="yes",F1983= "yes"),VLOOKUP(C1983,Summary!$B:$J,6,0),0),0)</f>
        <v>0</v>
      </c>
      <c r="J1983" s="111">
        <f t="shared" si="378"/>
        <v>516.04999999999995</v>
      </c>
      <c r="K1983" s="91">
        <f>VLOOKUP($A1983,'2022-23 Salary &amp; Benefits'!$A:$I,3,FALSE)</f>
        <v>1.18</v>
      </c>
      <c r="L1983" s="91">
        <f>VLOOKUP($A1983,'2022-23 Salary &amp; Benefits'!$A:$I,4,FALSE)</f>
        <v>1.18</v>
      </c>
      <c r="M1983" s="101">
        <f t="shared" si="385"/>
        <v>516.04999999999995</v>
      </c>
      <c r="N1983" s="24">
        <v>15</v>
      </c>
      <c r="O1983" s="26">
        <f t="shared" si="376"/>
        <v>34.403333333333329</v>
      </c>
      <c r="P1983" s="24">
        <v>1.1000000000000001</v>
      </c>
      <c r="Q1983" s="24">
        <v>36</v>
      </c>
      <c r="R1983" s="27">
        <f t="shared" si="377"/>
        <v>1362.3719999999998</v>
      </c>
      <c r="S1983" s="102">
        <f t="shared" si="379"/>
        <v>1.514</v>
      </c>
      <c r="T1983" s="21">
        <f>VLOOKUP($A1983,'2022-23 Salary &amp; Benefits'!$A:$I,5,FALSE)</f>
        <v>68937</v>
      </c>
      <c r="U1983" s="21">
        <f>VLOOKUP($A1983,'2022-23 Salary &amp; Benefits'!$A:$I,6,FALSE)</f>
        <v>72728</v>
      </c>
      <c r="V1983" s="22">
        <f t="shared" si="380"/>
        <v>123157.33</v>
      </c>
      <c r="W1983" s="22">
        <f t="shared" si="381"/>
        <v>6772.6999999999971</v>
      </c>
      <c r="X1983" s="22">
        <f>'2022-23 Salary &amp; Benefits'!$G$6</f>
        <v>12558.24</v>
      </c>
      <c r="Y1983" s="23">
        <f>'2022-23 Salary &amp; Benefits'!$H$6</f>
        <v>0.2298</v>
      </c>
      <c r="Z1983" s="23">
        <f>'2022-23 Salary &amp; Benefits'!$I$6</f>
        <v>0.22339999999999999</v>
      </c>
      <c r="AA1983" s="22">
        <f t="shared" si="382"/>
        <v>48827.75</v>
      </c>
      <c r="AB1983" s="22">
        <f t="shared" si="383"/>
        <v>2165.5</v>
      </c>
      <c r="AC1983" s="22">
        <f t="shared" si="384"/>
        <v>483.77</v>
      </c>
      <c r="AD1983" s="22">
        <f t="shared" si="386"/>
        <v>2649.27</v>
      </c>
      <c r="AE1983" s="22">
        <f t="shared" si="387"/>
        <v>181407.05000000002</v>
      </c>
      <c r="AF1983" s="19" t="str">
        <f>VLOOKUP(C1983,'2021-22 School Level AAFTE'!C:N,12,FALSE)</f>
        <v>No</v>
      </c>
    </row>
    <row r="1984" spans="1:32" s="5" customFormat="1">
      <c r="A1984" s="97" t="s">
        <v>2482</v>
      </c>
      <c r="B1984" s="97" t="s">
        <v>1746</v>
      </c>
      <c r="C1984" s="95">
        <v>4399</v>
      </c>
      <c r="D1984" s="95" t="s">
        <v>1750</v>
      </c>
      <c r="E1984" s="129">
        <f>VLOOKUP($C1984,'2021-22 School Level AAFTE'!$C:$Z,11,FALSE)</f>
        <v>0.63200000000000001</v>
      </c>
      <c r="F1984" s="129" t="str">
        <f>VLOOKUP($C1984,'2021-22 School Level AAFTE'!$C:$Z,8,FALSE)</f>
        <v>Yes</v>
      </c>
      <c r="G1984" s="129" t="str">
        <f>VLOOKUP($C1984,'2021-22 School Level AAFTE'!$C:$Z,12,FALSE)</f>
        <v>No</v>
      </c>
      <c r="H1984" s="127">
        <f>VLOOKUP($C1984,'2021-22 School Level AAFTE'!$C:$I,7,FALSE)</f>
        <v>332.14</v>
      </c>
      <c r="I1984" s="112">
        <f>IFERROR(IF(OR(G1984="yes",F1984= "yes"),VLOOKUP(C1984,Summary!$B:$J,6,0),0),0)</f>
        <v>0</v>
      </c>
      <c r="J1984" s="111">
        <f t="shared" si="378"/>
        <v>332.14</v>
      </c>
      <c r="K1984" s="91">
        <f>VLOOKUP($A1984,'2022-23 Salary &amp; Benefits'!$A:$I,3,FALSE)</f>
        <v>1.18</v>
      </c>
      <c r="L1984" s="91">
        <f>VLOOKUP($A1984,'2022-23 Salary &amp; Benefits'!$A:$I,4,FALSE)</f>
        <v>1.18</v>
      </c>
      <c r="M1984" s="101">
        <f t="shared" si="385"/>
        <v>332.14</v>
      </c>
      <c r="N1984" s="24">
        <v>15</v>
      </c>
      <c r="O1984" s="26">
        <f t="shared" si="376"/>
        <v>22.142666666666667</v>
      </c>
      <c r="P1984" s="24">
        <v>1.1000000000000001</v>
      </c>
      <c r="Q1984" s="24">
        <v>36</v>
      </c>
      <c r="R1984" s="27">
        <f t="shared" si="377"/>
        <v>876.84960000000001</v>
      </c>
      <c r="S1984" s="102">
        <f t="shared" si="379"/>
        <v>0.97399999999999998</v>
      </c>
      <c r="T1984" s="21">
        <f>VLOOKUP($A1984,'2022-23 Salary &amp; Benefits'!$A:$I,5,FALSE)</f>
        <v>68937</v>
      </c>
      <c r="U1984" s="21">
        <f>VLOOKUP($A1984,'2022-23 Salary &amp; Benefits'!$A:$I,6,FALSE)</f>
        <v>72728</v>
      </c>
      <c r="V1984" s="22">
        <f t="shared" si="380"/>
        <v>79230.67</v>
      </c>
      <c r="W1984" s="22">
        <f t="shared" si="381"/>
        <v>4357.070000000007</v>
      </c>
      <c r="X1984" s="22">
        <f>'2022-23 Salary &amp; Benefits'!$G$6</f>
        <v>12558.24</v>
      </c>
      <c r="Y1984" s="23">
        <f>'2022-23 Salary &amp; Benefits'!$H$6</f>
        <v>0.2298</v>
      </c>
      <c r="Z1984" s="23">
        <f>'2022-23 Salary &amp; Benefits'!$I$6</f>
        <v>0.22339999999999999</v>
      </c>
      <c r="AA1984" s="22">
        <f t="shared" si="382"/>
        <v>31412.3</v>
      </c>
      <c r="AB1984" s="22">
        <f t="shared" si="383"/>
        <v>1393.13</v>
      </c>
      <c r="AC1984" s="22">
        <f t="shared" si="384"/>
        <v>311.23</v>
      </c>
      <c r="AD1984" s="22">
        <f t="shared" si="386"/>
        <v>1704.3600000000001</v>
      </c>
      <c r="AE1984" s="22">
        <f t="shared" si="387"/>
        <v>116704.40000000001</v>
      </c>
      <c r="AF1984" s="19" t="str">
        <f>VLOOKUP(C1984,'2021-22 School Level AAFTE'!C:N,12,FALSE)</f>
        <v>No</v>
      </c>
    </row>
    <row r="1985" spans="1:284" s="5" customFormat="1">
      <c r="A1985" s="97" t="s">
        <v>2482</v>
      </c>
      <c r="B1985" s="97" t="s">
        <v>1746</v>
      </c>
      <c r="C1985" s="95">
        <v>5114</v>
      </c>
      <c r="D1985" s="95" t="s">
        <v>2738</v>
      </c>
      <c r="E1985" s="129">
        <f>VLOOKUP($C1985,'2021-22 School Level AAFTE'!$C:$Z,11,FALSE)</f>
        <v>0.33766666666666673</v>
      </c>
      <c r="F1985" s="129" t="str">
        <f>VLOOKUP($C1985,'2021-22 School Level AAFTE'!$C:$Z,8,FALSE)</f>
        <v>No</v>
      </c>
      <c r="G1985" s="129" t="str">
        <f>VLOOKUP($C1985,'2021-22 School Level AAFTE'!$C:$Z,12,FALSE)</f>
        <v>No</v>
      </c>
      <c r="H1985" s="127">
        <f>VLOOKUP($C1985,'2021-22 School Level AAFTE'!$C:$I,7,FALSE)</f>
        <v>18.920000000000002</v>
      </c>
      <c r="I1985" s="112">
        <f>IFERROR(IF(OR(G1985="yes",F1985= "yes"),VLOOKUP(C1985,Summary!$B:$J,6,0),0),0)</f>
        <v>0</v>
      </c>
      <c r="J1985" s="111">
        <f t="shared" si="378"/>
        <v>0</v>
      </c>
      <c r="K1985" s="91">
        <f>VLOOKUP($A1985,'2022-23 Salary &amp; Benefits'!$A:$I,3,FALSE)</f>
        <v>1.18</v>
      </c>
      <c r="L1985" s="91">
        <f>VLOOKUP($A1985,'2022-23 Salary &amp; Benefits'!$A:$I,4,FALSE)</f>
        <v>1.18</v>
      </c>
      <c r="M1985" s="39">
        <f t="shared" si="385"/>
        <v>0</v>
      </c>
      <c r="N1985" s="24">
        <v>15</v>
      </c>
      <c r="O1985" s="26">
        <f t="shared" si="376"/>
        <v>0</v>
      </c>
      <c r="P1985" s="24">
        <v>1.1000000000000001</v>
      </c>
      <c r="Q1985" s="24">
        <v>36</v>
      </c>
      <c r="R1985" s="27">
        <f t="shared" si="377"/>
        <v>0</v>
      </c>
      <c r="S1985" s="102">
        <f t="shared" si="379"/>
        <v>0</v>
      </c>
      <c r="T1985" s="21">
        <f>VLOOKUP($A1985,'2022-23 Salary &amp; Benefits'!$A:$I,5,FALSE)</f>
        <v>68937</v>
      </c>
      <c r="U1985" s="21">
        <f>VLOOKUP($A1985,'2022-23 Salary &amp; Benefits'!$A:$I,6,FALSE)</f>
        <v>72728</v>
      </c>
      <c r="V1985" s="22">
        <f t="shared" si="380"/>
        <v>0</v>
      </c>
      <c r="W1985" s="22">
        <f t="shared" si="381"/>
        <v>0</v>
      </c>
      <c r="X1985" s="22">
        <f>'2022-23 Salary &amp; Benefits'!$G$6</f>
        <v>12558.24</v>
      </c>
      <c r="Y1985" s="23">
        <f>'2022-23 Salary &amp; Benefits'!$H$6</f>
        <v>0.2298</v>
      </c>
      <c r="Z1985" s="23">
        <f>'2022-23 Salary &amp; Benefits'!$I$6</f>
        <v>0.22339999999999999</v>
      </c>
      <c r="AA1985" s="22">
        <f t="shared" si="382"/>
        <v>0</v>
      </c>
      <c r="AB1985" s="22">
        <f t="shared" si="383"/>
        <v>0</v>
      </c>
      <c r="AC1985" s="22">
        <f t="shared" si="384"/>
        <v>0</v>
      </c>
      <c r="AD1985" s="22">
        <f t="shared" si="386"/>
        <v>0</v>
      </c>
      <c r="AE1985" s="22">
        <f t="shared" si="387"/>
        <v>0</v>
      </c>
      <c r="AF1985" s="19" t="str">
        <f>VLOOKUP(C1985,'2021-22 School Level AAFTE'!C:N,12,FALSE)</f>
        <v>No</v>
      </c>
    </row>
    <row r="1986" spans="1:284" s="5" customFormat="1">
      <c r="A1986" s="97" t="s">
        <v>2482</v>
      </c>
      <c r="B1986" s="97" t="s">
        <v>1746</v>
      </c>
      <c r="C1986" s="95">
        <v>5329</v>
      </c>
      <c r="D1986" s="95" t="s">
        <v>1751</v>
      </c>
      <c r="E1986" s="129">
        <f>VLOOKUP($C1986,'2021-22 School Level AAFTE'!$C:$Z,11,FALSE)</f>
        <v>0.36310000000000003</v>
      </c>
      <c r="F1986" s="129" t="str">
        <f>VLOOKUP($C1986,'2021-22 School Level AAFTE'!$C:$Z,8,FALSE)</f>
        <v>No</v>
      </c>
      <c r="G1986" s="129" t="str">
        <f>VLOOKUP($C1986,'2021-22 School Level AAFTE'!$C:$Z,12,FALSE)</f>
        <v>No</v>
      </c>
      <c r="H1986" s="127">
        <f>VLOOKUP($C1986,'2021-22 School Level AAFTE'!$C:$I,7,FALSE)</f>
        <v>14.43</v>
      </c>
      <c r="I1986" s="112">
        <f>IFERROR(IF(OR(G1986="yes",F1986= "yes"),VLOOKUP(C1986,Summary!$B:$J,6,0),0),0)</f>
        <v>0</v>
      </c>
      <c r="J1986" s="111">
        <f t="shared" si="378"/>
        <v>0</v>
      </c>
      <c r="K1986" s="91">
        <f>VLOOKUP($A1986,'2022-23 Salary &amp; Benefits'!$A:$I,3,FALSE)</f>
        <v>1.18</v>
      </c>
      <c r="L1986" s="91">
        <f>VLOOKUP($A1986,'2022-23 Salary &amp; Benefits'!$A:$I,4,FALSE)</f>
        <v>1.18</v>
      </c>
      <c r="M1986" s="101">
        <f t="shared" si="385"/>
        <v>0</v>
      </c>
      <c r="N1986" s="24">
        <v>15</v>
      </c>
      <c r="O1986" s="26">
        <f t="shared" si="376"/>
        <v>0</v>
      </c>
      <c r="P1986" s="24">
        <v>1.1000000000000001</v>
      </c>
      <c r="Q1986" s="24">
        <v>36</v>
      </c>
      <c r="R1986" s="27">
        <f t="shared" si="377"/>
        <v>0</v>
      </c>
      <c r="S1986" s="102">
        <f t="shared" si="379"/>
        <v>0</v>
      </c>
      <c r="T1986" s="21">
        <f>VLOOKUP($A1986,'2022-23 Salary &amp; Benefits'!$A:$I,5,FALSE)</f>
        <v>68937</v>
      </c>
      <c r="U1986" s="21">
        <f>VLOOKUP($A1986,'2022-23 Salary &amp; Benefits'!$A:$I,6,FALSE)</f>
        <v>72728</v>
      </c>
      <c r="V1986" s="22">
        <f t="shared" si="380"/>
        <v>0</v>
      </c>
      <c r="W1986" s="22">
        <f t="shared" si="381"/>
        <v>0</v>
      </c>
      <c r="X1986" s="22">
        <f>'2022-23 Salary &amp; Benefits'!$G$6</f>
        <v>12558.24</v>
      </c>
      <c r="Y1986" s="23">
        <f>'2022-23 Salary &amp; Benefits'!$H$6</f>
        <v>0.2298</v>
      </c>
      <c r="Z1986" s="23">
        <f>'2022-23 Salary &amp; Benefits'!$I$6</f>
        <v>0.22339999999999999</v>
      </c>
      <c r="AA1986" s="22">
        <f t="shared" si="382"/>
        <v>0</v>
      </c>
      <c r="AB1986" s="22">
        <f t="shared" si="383"/>
        <v>0</v>
      </c>
      <c r="AC1986" s="22">
        <f t="shared" si="384"/>
        <v>0</v>
      </c>
      <c r="AD1986" s="22">
        <f t="shared" si="386"/>
        <v>0</v>
      </c>
      <c r="AE1986" s="22">
        <f t="shared" si="387"/>
        <v>0</v>
      </c>
      <c r="AF1986" s="19" t="str">
        <f>VLOOKUP(C1986,'2021-22 School Level AAFTE'!C:N,12,FALSE)</f>
        <v>No</v>
      </c>
    </row>
    <row r="1987" spans="1:284" s="5" customFormat="1">
      <c r="A1987" s="97" t="s">
        <v>2482</v>
      </c>
      <c r="B1987" s="97" t="s">
        <v>1746</v>
      </c>
      <c r="C1987" s="95">
        <v>5641</v>
      </c>
      <c r="D1987" s="95" t="s">
        <v>2934</v>
      </c>
      <c r="E1987" s="129">
        <f>VLOOKUP($C1987,'2021-22 School Level AAFTE'!$C:$Z,11,FALSE)</f>
        <v>0.51575000000000004</v>
      </c>
      <c r="F1987" s="129" t="str">
        <f>VLOOKUP($C1987,'2021-22 School Level AAFTE'!$C:$Z,8,FALSE)</f>
        <v>Yes</v>
      </c>
      <c r="G1987" s="129" t="str">
        <f>VLOOKUP($C1987,'2021-22 School Level AAFTE'!$C:$Z,12,FALSE)</f>
        <v>No</v>
      </c>
      <c r="H1987" s="127">
        <f>VLOOKUP($C1987,'2021-22 School Level AAFTE'!$C:$I,7,FALSE)</f>
        <v>24.03</v>
      </c>
      <c r="I1987" s="112">
        <f>IFERROR(IF(OR(G1987="yes",F1987= "yes"),VLOOKUP(C1987,Summary!$B:$J,6,0),0),0)</f>
        <v>0</v>
      </c>
      <c r="J1987" s="111">
        <f t="shared" si="378"/>
        <v>24.03</v>
      </c>
      <c r="K1987" s="91">
        <f>VLOOKUP($A1987,'2022-23 Salary &amp; Benefits'!$A:$I,3,FALSE)</f>
        <v>1.18</v>
      </c>
      <c r="L1987" s="91">
        <f>VLOOKUP($A1987,'2022-23 Salary &amp; Benefits'!$A:$I,4,FALSE)</f>
        <v>1.18</v>
      </c>
      <c r="M1987" s="39">
        <f t="shared" si="385"/>
        <v>24.03</v>
      </c>
      <c r="N1987" s="24">
        <v>15</v>
      </c>
      <c r="O1987" s="26">
        <f t="shared" si="376"/>
        <v>1.6020000000000001</v>
      </c>
      <c r="P1987" s="24">
        <v>1.1000000000000001</v>
      </c>
      <c r="Q1987" s="24">
        <v>36</v>
      </c>
      <c r="R1987" s="27">
        <f t="shared" si="377"/>
        <v>63.439200000000007</v>
      </c>
      <c r="S1987" s="102">
        <f t="shared" si="379"/>
        <v>7.0000000000000007E-2</v>
      </c>
      <c r="T1987" s="21">
        <f>VLOOKUP($A1987,'2022-23 Salary &amp; Benefits'!$A:$I,5,FALSE)</f>
        <v>68937</v>
      </c>
      <c r="U1987" s="21">
        <f>VLOOKUP($A1987,'2022-23 Salary &amp; Benefits'!$A:$I,6,FALSE)</f>
        <v>72728</v>
      </c>
      <c r="V1987" s="22">
        <f t="shared" si="380"/>
        <v>5694.2</v>
      </c>
      <c r="W1987" s="22">
        <f t="shared" si="381"/>
        <v>313.13000000000011</v>
      </c>
      <c r="X1987" s="22">
        <f>'2022-23 Salary &amp; Benefits'!$G$6</f>
        <v>12558.24</v>
      </c>
      <c r="Y1987" s="23">
        <f>'2022-23 Salary &amp; Benefits'!$H$6</f>
        <v>0.2298</v>
      </c>
      <c r="Z1987" s="23">
        <f>'2022-23 Salary &amp; Benefits'!$I$6</f>
        <v>0.22339999999999999</v>
      </c>
      <c r="AA1987" s="22">
        <f t="shared" si="382"/>
        <v>2257.56</v>
      </c>
      <c r="AB1987" s="22">
        <f t="shared" si="383"/>
        <v>100.12</v>
      </c>
      <c r="AC1987" s="22">
        <f t="shared" si="384"/>
        <v>22.37</v>
      </c>
      <c r="AD1987" s="22">
        <f t="shared" si="386"/>
        <v>122.49000000000001</v>
      </c>
      <c r="AE1987" s="22">
        <f t="shared" si="387"/>
        <v>8387.3799999999992</v>
      </c>
      <c r="AF1987" s="19" t="str">
        <f>VLOOKUP(C1987,'2021-22 School Level AAFTE'!C:N,12,FALSE)</f>
        <v>No</v>
      </c>
    </row>
    <row r="1988" spans="1:284" s="5" customFormat="1">
      <c r="A1988" s="97" t="s">
        <v>2482</v>
      </c>
      <c r="B1988" s="97" t="s">
        <v>1746</v>
      </c>
      <c r="C1988" s="95">
        <v>5642</v>
      </c>
      <c r="D1988" s="95" t="s">
        <v>2935</v>
      </c>
      <c r="E1988" s="129">
        <f>VLOOKUP($C1988,'2021-22 School Level AAFTE'!$C:$Z,11,FALSE)</f>
        <v>0.50350000000000006</v>
      </c>
      <c r="F1988" s="129" t="str">
        <f>VLOOKUP($C1988,'2021-22 School Level AAFTE'!$C:$Z,8,FALSE)</f>
        <v>Yes</v>
      </c>
      <c r="G1988" s="129" t="str">
        <f>VLOOKUP($C1988,'2021-22 School Level AAFTE'!$C:$Z,12,FALSE)</f>
        <v>No</v>
      </c>
      <c r="H1988" s="127">
        <f>VLOOKUP($C1988,'2021-22 School Level AAFTE'!$C:$I,7,FALSE)</f>
        <v>47.71</v>
      </c>
      <c r="I1988" s="112">
        <f>IFERROR(IF(OR(G1988="yes",F1988= "yes"),VLOOKUP(C1988,Summary!$B:$J,6,0),0),0)</f>
        <v>0</v>
      </c>
      <c r="J1988" s="111">
        <f t="shared" si="378"/>
        <v>47.71</v>
      </c>
      <c r="K1988" s="91">
        <f>VLOOKUP($A1988,'2022-23 Salary &amp; Benefits'!$A:$I,3,FALSE)</f>
        <v>1.18</v>
      </c>
      <c r="L1988" s="91">
        <f>VLOOKUP($A1988,'2022-23 Salary &amp; Benefits'!$A:$I,4,FALSE)</f>
        <v>1.18</v>
      </c>
      <c r="M1988" s="39">
        <f t="shared" si="385"/>
        <v>47.71</v>
      </c>
      <c r="N1988" s="24">
        <v>15</v>
      </c>
      <c r="O1988" s="26">
        <f t="shared" si="376"/>
        <v>3.1806666666666668</v>
      </c>
      <c r="P1988" s="24">
        <v>1.1000000000000001</v>
      </c>
      <c r="Q1988" s="24">
        <v>36</v>
      </c>
      <c r="R1988" s="27">
        <f t="shared" si="377"/>
        <v>125.95440000000002</v>
      </c>
      <c r="S1988" s="102">
        <f t="shared" si="379"/>
        <v>0.14000000000000001</v>
      </c>
      <c r="T1988" s="21">
        <f>VLOOKUP($A1988,'2022-23 Salary &amp; Benefits'!$A:$I,5,FALSE)</f>
        <v>68937</v>
      </c>
      <c r="U1988" s="21">
        <f>VLOOKUP($A1988,'2022-23 Salary &amp; Benefits'!$A:$I,6,FALSE)</f>
        <v>72728</v>
      </c>
      <c r="V1988" s="22">
        <f t="shared" si="380"/>
        <v>11388.39</v>
      </c>
      <c r="W1988" s="22">
        <f t="shared" si="381"/>
        <v>626.28000000000065</v>
      </c>
      <c r="X1988" s="22">
        <f>'2022-23 Salary &amp; Benefits'!$G$6</f>
        <v>12558.24</v>
      </c>
      <c r="Y1988" s="23">
        <f>'2022-23 Salary &amp; Benefits'!$H$6</f>
        <v>0.2298</v>
      </c>
      <c r="Z1988" s="23">
        <f>'2022-23 Salary &amp; Benefits'!$I$6</f>
        <v>0.22339999999999999</v>
      </c>
      <c r="AA1988" s="22">
        <f t="shared" si="382"/>
        <v>4515.12</v>
      </c>
      <c r="AB1988" s="22">
        <f t="shared" si="383"/>
        <v>200.24</v>
      </c>
      <c r="AC1988" s="22">
        <f t="shared" si="384"/>
        <v>44.73</v>
      </c>
      <c r="AD1988" s="22">
        <f t="shared" si="386"/>
        <v>244.97</v>
      </c>
      <c r="AE1988" s="22">
        <f t="shared" si="387"/>
        <v>16774.760000000002</v>
      </c>
      <c r="AF1988" s="19" t="str">
        <f>VLOOKUP(C1988,'2021-22 School Level AAFTE'!C:N,12,FALSE)</f>
        <v>No</v>
      </c>
    </row>
    <row r="1989" spans="1:284" s="5" customFormat="1">
      <c r="A1989" s="97" t="s">
        <v>2586</v>
      </c>
      <c r="B1989" s="97" t="s">
        <v>2709</v>
      </c>
      <c r="C1989" s="95">
        <v>5469</v>
      </c>
      <c r="D1989" s="95" t="s">
        <v>2709</v>
      </c>
      <c r="E1989" s="129">
        <f>VLOOKUP($C1989,'2021-22 School Level AAFTE'!$C:$Z,11,FALSE)</f>
        <v>0.45423333333333332</v>
      </c>
      <c r="F1989" s="129" t="str">
        <f>VLOOKUP($C1989,'2021-22 School Level AAFTE'!$C:$Z,8,FALSE)</f>
        <v>No</v>
      </c>
      <c r="G1989" s="129" t="str">
        <f>VLOOKUP($C1989,'2021-22 School Level AAFTE'!$C:$Z,12,FALSE)</f>
        <v>Yes</v>
      </c>
      <c r="H1989" s="127">
        <f>VLOOKUP($C1989,'2021-22 School Level AAFTE'!$C:$I,7,FALSE)</f>
        <v>460.91</v>
      </c>
      <c r="I1989" s="112">
        <f>IFERROR(IF(OR(G1989="yes",F1989= "yes"),VLOOKUP(C1989,Summary!$B:$J,6,0),0),0)</f>
        <v>0</v>
      </c>
      <c r="J1989" s="111">
        <f t="shared" si="378"/>
        <v>460.91</v>
      </c>
      <c r="K1989" s="91">
        <f>VLOOKUP($A1989,'2022-23 Salary &amp; Benefits'!$A:$I,3,FALSE)</f>
        <v>1.18</v>
      </c>
      <c r="L1989" s="91">
        <f>VLOOKUP($A1989,'2022-23 Salary &amp; Benefits'!$A:$I,4,FALSE)</f>
        <v>1.18</v>
      </c>
      <c r="M1989" s="39">
        <f t="shared" si="385"/>
        <v>460.91</v>
      </c>
      <c r="N1989" s="24">
        <v>15</v>
      </c>
      <c r="O1989" s="26">
        <f t="shared" si="376"/>
        <v>30.727333333333334</v>
      </c>
      <c r="P1989" s="24">
        <v>1.1000000000000001</v>
      </c>
      <c r="Q1989" s="24">
        <v>36</v>
      </c>
      <c r="R1989" s="27">
        <f t="shared" si="377"/>
        <v>1216.8024000000003</v>
      </c>
      <c r="S1989" s="102">
        <f t="shared" si="379"/>
        <v>1.3520000000000001</v>
      </c>
      <c r="T1989" s="21">
        <f>VLOOKUP($A1989,'2022-23 Salary &amp; Benefits'!$A:$I,5,FALSE)</f>
        <v>68937</v>
      </c>
      <c r="U1989" s="21">
        <f>VLOOKUP($A1989,'2022-23 Salary &amp; Benefits'!$A:$I,6,FALSE)</f>
        <v>72728</v>
      </c>
      <c r="V1989" s="22">
        <f t="shared" si="380"/>
        <v>109979.33</v>
      </c>
      <c r="W1989" s="22">
        <f t="shared" si="381"/>
        <v>6048.0099999999948</v>
      </c>
      <c r="X1989" s="22">
        <f>'2022-23 Salary &amp; Benefits'!$G$6</f>
        <v>12558.24</v>
      </c>
      <c r="Y1989" s="23">
        <f>'2022-23 Salary &amp; Benefits'!$H$6</f>
        <v>0.2298</v>
      </c>
      <c r="Z1989" s="23">
        <f>'2022-23 Salary &amp; Benefits'!$I$6</f>
        <v>0.22339999999999999</v>
      </c>
      <c r="AA1989" s="22">
        <f t="shared" si="382"/>
        <v>43603.12</v>
      </c>
      <c r="AB1989" s="22">
        <f t="shared" si="383"/>
        <v>1933.79</v>
      </c>
      <c r="AC1989" s="22">
        <f t="shared" si="384"/>
        <v>432.01</v>
      </c>
      <c r="AD1989" s="22">
        <f t="shared" si="386"/>
        <v>2365.8000000000002</v>
      </c>
      <c r="AE1989" s="22">
        <f t="shared" si="387"/>
        <v>161996.26</v>
      </c>
      <c r="AF1989" s="19" t="str">
        <f>VLOOKUP(C1989,'2021-22 School Level AAFTE'!C:N,12,FALSE)</f>
        <v>Yes</v>
      </c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  <c r="IU1989" s="3"/>
      <c r="IV1989" s="3"/>
      <c r="IW1989" s="3"/>
      <c r="IX1989" s="3"/>
      <c r="IY1989" s="3"/>
      <c r="IZ1989" s="3"/>
      <c r="JA1989" s="3"/>
      <c r="JB1989" s="3"/>
      <c r="JC1989" s="3"/>
      <c r="JD1989" s="3"/>
      <c r="JE1989" s="3"/>
      <c r="JF1989" s="3"/>
      <c r="JG1989" s="3"/>
      <c r="JH1989" s="3"/>
      <c r="JI1989" s="3"/>
      <c r="JJ1989" s="3"/>
      <c r="JK1989" s="3"/>
      <c r="JL1989" s="3"/>
      <c r="JM1989" s="3"/>
      <c r="JN1989" s="3"/>
      <c r="JO1989" s="3"/>
      <c r="JP1989" s="3"/>
      <c r="JQ1989" s="3"/>
      <c r="JR1989" s="3"/>
      <c r="JS1989" s="3"/>
      <c r="JT1989" s="3"/>
      <c r="JU1989" s="3"/>
      <c r="JV1989" s="3"/>
      <c r="JW1989" s="3"/>
      <c r="JX1989" s="3"/>
    </row>
    <row r="1990" spans="1:284" s="5" customFormat="1">
      <c r="A1990" s="97" t="s">
        <v>2453</v>
      </c>
      <c r="B1990" s="97" t="s">
        <v>1522</v>
      </c>
      <c r="C1990" s="95">
        <v>5376</v>
      </c>
      <c r="D1990" s="95" t="s">
        <v>1522</v>
      </c>
      <c r="E1990" s="129">
        <f>VLOOKUP($C1990,'2021-22 School Level AAFTE'!$C:$Z,11,FALSE)</f>
        <v>0.61599999999999999</v>
      </c>
      <c r="F1990" s="129" t="str">
        <f>VLOOKUP($C1990,'2021-22 School Level AAFTE'!$C:$Z,8,FALSE)</f>
        <v>Yes</v>
      </c>
      <c r="G1990" s="129" t="str">
        <f>VLOOKUP($C1990,'2021-22 School Level AAFTE'!$C:$Z,12,FALSE)</f>
        <v>No</v>
      </c>
      <c r="H1990" s="127">
        <f>VLOOKUP($C1990,'2021-22 School Level AAFTE'!$C:$I,7,FALSE)</f>
        <v>177.43</v>
      </c>
      <c r="I1990" s="112">
        <f>IFERROR(IF(OR(G1990="yes",F1990= "yes"),VLOOKUP(C1990,Summary!$B:$J,6,0),0),0)</f>
        <v>0</v>
      </c>
      <c r="J1990" s="111">
        <f t="shared" si="378"/>
        <v>177.43</v>
      </c>
      <c r="K1990" s="91">
        <f>VLOOKUP($A1990,'2022-23 Salary &amp; Benefits'!$A:$I,3,FALSE)</f>
        <v>1.1200000000000001</v>
      </c>
      <c r="L1990" s="91">
        <f>VLOOKUP($A1990,'2022-23 Salary &amp; Benefits'!$A:$I,4,FALSE)</f>
        <v>1.1200000000000001</v>
      </c>
      <c r="M1990" s="101">
        <f t="shared" si="385"/>
        <v>177.43</v>
      </c>
      <c r="N1990" s="24">
        <v>15</v>
      </c>
      <c r="O1990" s="26">
        <f t="shared" si="376"/>
        <v>11.828666666666667</v>
      </c>
      <c r="P1990" s="24">
        <v>1.1000000000000001</v>
      </c>
      <c r="Q1990" s="24">
        <v>36</v>
      </c>
      <c r="R1990" s="27">
        <f t="shared" si="377"/>
        <v>468.41520000000003</v>
      </c>
      <c r="S1990" s="102">
        <f t="shared" si="379"/>
        <v>0.52</v>
      </c>
      <c r="T1990" s="21">
        <f>VLOOKUP($A1990,'2022-23 Salary &amp; Benefits'!$A:$I,5,FALSE)</f>
        <v>68937</v>
      </c>
      <c r="U1990" s="21">
        <f>VLOOKUP($A1990,'2022-23 Salary &amp; Benefits'!$A:$I,6,FALSE)</f>
        <v>72728</v>
      </c>
      <c r="V1990" s="22">
        <f t="shared" si="380"/>
        <v>40148.910000000003</v>
      </c>
      <c r="W1990" s="22">
        <f t="shared" si="381"/>
        <v>2207.8799999999974</v>
      </c>
      <c r="X1990" s="22">
        <f>'2022-23 Salary &amp; Benefits'!$G$6</f>
        <v>12558.24</v>
      </c>
      <c r="Y1990" s="23">
        <f>'2022-23 Salary &amp; Benefits'!$H$6</f>
        <v>0.2298</v>
      </c>
      <c r="Z1990" s="23">
        <f>'2022-23 Salary &amp; Benefits'!$I$6</f>
        <v>0.22339999999999999</v>
      </c>
      <c r="AA1990" s="22">
        <f t="shared" si="382"/>
        <v>16249.74</v>
      </c>
      <c r="AB1990" s="22">
        <f t="shared" si="383"/>
        <v>705.95</v>
      </c>
      <c r="AC1990" s="22">
        <f t="shared" si="384"/>
        <v>157.71</v>
      </c>
      <c r="AD1990" s="22">
        <f t="shared" si="386"/>
        <v>863.66000000000008</v>
      </c>
      <c r="AE1990" s="22">
        <f t="shared" si="387"/>
        <v>59470.19</v>
      </c>
      <c r="AF1990" s="19" t="str">
        <f>VLOOKUP(C1990,'2021-22 School Level AAFTE'!C:N,12,FALSE)</f>
        <v>No</v>
      </c>
    </row>
    <row r="1991" spans="1:284" s="5" customFormat="1">
      <c r="A1991" s="97" t="s">
        <v>2367</v>
      </c>
      <c r="B1991" s="97" t="s">
        <v>1011</v>
      </c>
      <c r="C1991" s="95">
        <v>5375</v>
      </c>
      <c r="D1991" s="95" t="s">
        <v>1011</v>
      </c>
      <c r="E1991" s="129">
        <f>VLOOKUP($C1991,'2021-22 School Level AAFTE'!$C:$Z,11,FALSE)</f>
        <v>0.32493333333333335</v>
      </c>
      <c r="F1991" s="129" t="str">
        <f>VLOOKUP($C1991,'2021-22 School Level AAFTE'!$C:$Z,8,FALSE)</f>
        <v>No</v>
      </c>
      <c r="G1991" s="129" t="str">
        <f>VLOOKUP($C1991,'2021-22 School Level AAFTE'!$C:$Z,12,FALSE)</f>
        <v>No</v>
      </c>
      <c r="H1991" s="127">
        <f>VLOOKUP($C1991,'2021-22 School Level AAFTE'!$C:$I,7,FALSE)</f>
        <v>304.95</v>
      </c>
      <c r="I1991" s="112">
        <f>IFERROR(IF(OR(G1991="yes",F1991= "yes"),VLOOKUP(C1991,Summary!$B:$J,6,0),0),0)</f>
        <v>0</v>
      </c>
      <c r="J1991" s="111">
        <f t="shared" si="378"/>
        <v>0</v>
      </c>
      <c r="K1991" s="91">
        <f>VLOOKUP($A1991,'2022-23 Salary &amp; Benefits'!$A:$I,3,FALSE)</f>
        <v>1.18</v>
      </c>
      <c r="L1991" s="91">
        <f>VLOOKUP($A1991,'2022-23 Salary &amp; Benefits'!$A:$I,4,FALSE)</f>
        <v>1.18</v>
      </c>
      <c r="M1991" s="101">
        <f t="shared" si="385"/>
        <v>0</v>
      </c>
      <c r="N1991" s="24">
        <v>15</v>
      </c>
      <c r="O1991" s="26">
        <f t="shared" si="376"/>
        <v>0</v>
      </c>
      <c r="P1991" s="24">
        <v>1.1000000000000001</v>
      </c>
      <c r="Q1991" s="24">
        <v>36</v>
      </c>
      <c r="R1991" s="27">
        <f t="shared" si="377"/>
        <v>0</v>
      </c>
      <c r="S1991" s="102">
        <f t="shared" si="379"/>
        <v>0</v>
      </c>
      <c r="T1991" s="21">
        <f>VLOOKUP($A1991,'2022-23 Salary &amp; Benefits'!$A:$I,5,FALSE)</f>
        <v>68937</v>
      </c>
      <c r="U1991" s="21">
        <f>VLOOKUP($A1991,'2022-23 Salary &amp; Benefits'!$A:$I,6,FALSE)</f>
        <v>72728</v>
      </c>
      <c r="V1991" s="22">
        <f t="shared" si="380"/>
        <v>0</v>
      </c>
      <c r="W1991" s="22">
        <f t="shared" si="381"/>
        <v>0</v>
      </c>
      <c r="X1991" s="22">
        <f>'2022-23 Salary &amp; Benefits'!$G$6</f>
        <v>12558.24</v>
      </c>
      <c r="Y1991" s="23">
        <f>'2022-23 Salary &amp; Benefits'!$H$6</f>
        <v>0.2298</v>
      </c>
      <c r="Z1991" s="23">
        <f>'2022-23 Salary &amp; Benefits'!$I$6</f>
        <v>0.22339999999999999</v>
      </c>
      <c r="AA1991" s="22">
        <f t="shared" si="382"/>
        <v>0</v>
      </c>
      <c r="AB1991" s="22">
        <f t="shared" si="383"/>
        <v>0</v>
      </c>
      <c r="AC1991" s="22">
        <f t="shared" si="384"/>
        <v>0</v>
      </c>
      <c r="AD1991" s="22">
        <f t="shared" si="386"/>
        <v>0</v>
      </c>
      <c r="AE1991" s="22">
        <f t="shared" si="387"/>
        <v>0</v>
      </c>
      <c r="AF1991" s="19" t="str">
        <f>VLOOKUP(C1991,'2021-22 School Level AAFTE'!C:N,12,FALSE)</f>
        <v>No</v>
      </c>
    </row>
    <row r="1992" spans="1:284" s="5" customFormat="1">
      <c r="A1992" s="97" t="s">
        <v>2509</v>
      </c>
      <c r="B1992" s="97" t="s">
        <v>1945</v>
      </c>
      <c r="C1992" s="95">
        <v>4394</v>
      </c>
      <c r="D1992" s="95" t="s">
        <v>1946</v>
      </c>
      <c r="E1992" s="129">
        <f>VLOOKUP($C1992,'2021-22 School Level AAFTE'!$C:$Z,11,FALSE)</f>
        <v>0.7782</v>
      </c>
      <c r="F1992" s="129" t="str">
        <f>VLOOKUP($C1992,'2021-22 School Level AAFTE'!$C:$Z,8,FALSE)</f>
        <v>Yes</v>
      </c>
      <c r="G1992" s="129" t="str">
        <f>VLOOKUP($C1992,'2021-22 School Level AAFTE'!$C:$Z,12,FALSE)</f>
        <v>No</v>
      </c>
      <c r="H1992" s="127">
        <f>VLOOKUP($C1992,'2021-22 School Level AAFTE'!$C:$I,7,FALSE)</f>
        <v>70.98</v>
      </c>
      <c r="I1992" s="112">
        <f>IFERROR(IF(OR(G1992="yes",F1992= "yes"),VLOOKUP(C1992,Summary!$B:$J,6,0),0),0)</f>
        <v>0</v>
      </c>
      <c r="J1992" s="111">
        <f t="shared" si="378"/>
        <v>70.98</v>
      </c>
      <c r="K1992" s="91">
        <f>VLOOKUP($A1992,'2022-23 Salary &amp; Benefits'!$A:$I,3,FALSE)</f>
        <v>1</v>
      </c>
      <c r="L1992" s="91">
        <f>VLOOKUP($A1992,'2022-23 Salary &amp; Benefits'!$A:$I,4,FALSE)</f>
        <v>1</v>
      </c>
      <c r="M1992" s="101">
        <f t="shared" si="385"/>
        <v>70.98</v>
      </c>
      <c r="N1992" s="24">
        <v>15</v>
      </c>
      <c r="O1992" s="26">
        <f t="shared" si="376"/>
        <v>4.7320000000000002</v>
      </c>
      <c r="P1992" s="24">
        <v>1.1000000000000001</v>
      </c>
      <c r="Q1992" s="24">
        <v>36</v>
      </c>
      <c r="R1992" s="27">
        <f t="shared" si="377"/>
        <v>187.38720000000001</v>
      </c>
      <c r="S1992" s="102">
        <f t="shared" si="379"/>
        <v>0.20799999999999999</v>
      </c>
      <c r="T1992" s="21">
        <f>VLOOKUP($A1992,'2022-23 Salary &amp; Benefits'!$A:$I,5,FALSE)</f>
        <v>68937</v>
      </c>
      <c r="U1992" s="21">
        <f>VLOOKUP($A1992,'2022-23 Salary &amp; Benefits'!$A:$I,6,FALSE)</f>
        <v>72728</v>
      </c>
      <c r="V1992" s="22">
        <f t="shared" si="380"/>
        <v>14338.9</v>
      </c>
      <c r="W1992" s="22">
        <f t="shared" si="381"/>
        <v>788.52000000000044</v>
      </c>
      <c r="X1992" s="22">
        <f>'2022-23 Salary &amp; Benefits'!$G$6</f>
        <v>12558.24</v>
      </c>
      <c r="Y1992" s="23">
        <f>'2022-23 Salary &amp; Benefits'!$H$6</f>
        <v>0.2298</v>
      </c>
      <c r="Z1992" s="23">
        <f>'2022-23 Salary &amp; Benefits'!$I$6</f>
        <v>0.22339999999999999</v>
      </c>
      <c r="AA1992" s="22">
        <f t="shared" si="382"/>
        <v>6083.35</v>
      </c>
      <c r="AB1992" s="22">
        <f t="shared" si="383"/>
        <v>252.12</v>
      </c>
      <c r="AC1992" s="22">
        <f t="shared" si="384"/>
        <v>56.32</v>
      </c>
      <c r="AD1992" s="22">
        <f t="shared" si="386"/>
        <v>308.44</v>
      </c>
      <c r="AE1992" s="22">
        <f t="shared" si="387"/>
        <v>21519.21</v>
      </c>
      <c r="AF1992" s="19" t="str">
        <f>VLOOKUP(C1992,'2021-22 School Level AAFTE'!C:N,12,FALSE)</f>
        <v>No</v>
      </c>
    </row>
    <row r="1993" spans="1:284" s="5" customFormat="1">
      <c r="A1993" s="97" t="s">
        <v>2443</v>
      </c>
      <c r="B1993" s="97" t="s">
        <v>1396</v>
      </c>
      <c r="C1993" s="95">
        <v>2875</v>
      </c>
      <c r="D1993" s="95" t="s">
        <v>1397</v>
      </c>
      <c r="E1993" s="129">
        <f>VLOOKUP($C1993,'2021-22 School Level AAFTE'!$C:$Z,11,FALSE)</f>
        <v>0.26573333333333332</v>
      </c>
      <c r="F1993" s="129" t="str">
        <f>VLOOKUP($C1993,'2021-22 School Level AAFTE'!$C:$Z,8,FALSE)</f>
        <v>No</v>
      </c>
      <c r="G1993" s="129" t="str">
        <f>VLOOKUP($C1993,'2021-22 School Level AAFTE'!$C:$Z,12,FALSE)</f>
        <v>No</v>
      </c>
      <c r="H1993" s="127">
        <f>VLOOKUP($C1993,'2021-22 School Level AAFTE'!$C:$I,7,FALSE)</f>
        <v>574.91999999999996</v>
      </c>
      <c r="I1993" s="112">
        <f>IFERROR(IF(OR(G1993="yes",F1993= "yes"),VLOOKUP(C1993,Summary!$B:$J,6,0),0),0)</f>
        <v>0</v>
      </c>
      <c r="J1993" s="111">
        <f t="shared" si="378"/>
        <v>0</v>
      </c>
      <c r="K1993" s="91">
        <f>VLOOKUP($A1993,'2022-23 Salary &amp; Benefits'!$A:$I,3,FALSE)</f>
        <v>1.1200000000000001</v>
      </c>
      <c r="L1993" s="91">
        <f>VLOOKUP($A1993,'2022-23 Salary &amp; Benefits'!$A:$I,4,FALSE)</f>
        <v>1.1200000000000001</v>
      </c>
      <c r="M1993" s="101">
        <f t="shared" si="385"/>
        <v>0</v>
      </c>
      <c r="N1993" s="24">
        <v>15</v>
      </c>
      <c r="O1993" s="26">
        <f t="shared" si="376"/>
        <v>0</v>
      </c>
      <c r="P1993" s="24">
        <v>1.1000000000000001</v>
      </c>
      <c r="Q1993" s="24">
        <v>36</v>
      </c>
      <c r="R1993" s="27">
        <f t="shared" si="377"/>
        <v>0</v>
      </c>
      <c r="S1993" s="102">
        <f t="shared" si="379"/>
        <v>0</v>
      </c>
      <c r="T1993" s="21">
        <f>VLOOKUP($A1993,'2022-23 Salary &amp; Benefits'!$A:$I,5,FALSE)</f>
        <v>68937</v>
      </c>
      <c r="U1993" s="21">
        <f>VLOOKUP($A1993,'2022-23 Salary &amp; Benefits'!$A:$I,6,FALSE)</f>
        <v>72728</v>
      </c>
      <c r="V1993" s="22">
        <f t="shared" si="380"/>
        <v>0</v>
      </c>
      <c r="W1993" s="22">
        <f t="shared" si="381"/>
        <v>0</v>
      </c>
      <c r="X1993" s="22">
        <f>'2022-23 Salary &amp; Benefits'!$G$6</f>
        <v>12558.24</v>
      </c>
      <c r="Y1993" s="23">
        <f>'2022-23 Salary &amp; Benefits'!$H$6</f>
        <v>0.2298</v>
      </c>
      <c r="Z1993" s="23">
        <f>'2022-23 Salary &amp; Benefits'!$I$6</f>
        <v>0.22339999999999999</v>
      </c>
      <c r="AA1993" s="22">
        <f t="shared" si="382"/>
        <v>0</v>
      </c>
      <c r="AB1993" s="22">
        <f t="shared" si="383"/>
        <v>0</v>
      </c>
      <c r="AC1993" s="22">
        <f t="shared" si="384"/>
        <v>0</v>
      </c>
      <c r="AD1993" s="22">
        <f t="shared" si="386"/>
        <v>0</v>
      </c>
      <c r="AE1993" s="22">
        <f t="shared" si="387"/>
        <v>0</v>
      </c>
      <c r="AF1993" s="19" t="str">
        <f>VLOOKUP(C1993,'2021-22 School Level AAFTE'!C:N,12,FALSE)</f>
        <v>No</v>
      </c>
    </row>
    <row r="1994" spans="1:284" s="5" customFormat="1">
      <c r="A1994" s="97" t="s">
        <v>2443</v>
      </c>
      <c r="B1994" s="97" t="s">
        <v>1396</v>
      </c>
      <c r="C1994" s="95">
        <v>3247</v>
      </c>
      <c r="D1994" s="95" t="s">
        <v>1398</v>
      </c>
      <c r="E1994" s="129">
        <f>VLOOKUP($C1994,'2021-22 School Level AAFTE'!$C:$Z,11,FALSE)</f>
        <v>0.27489999999999998</v>
      </c>
      <c r="F1994" s="129" t="str">
        <f>VLOOKUP($C1994,'2021-22 School Level AAFTE'!$C:$Z,8,FALSE)</f>
        <v>No</v>
      </c>
      <c r="G1994" s="129" t="str">
        <f>VLOOKUP($C1994,'2021-22 School Level AAFTE'!$C:$Z,12,FALSE)</f>
        <v>No</v>
      </c>
      <c r="H1994" s="127">
        <f>VLOOKUP($C1994,'2021-22 School Level AAFTE'!$C:$I,7,FALSE)</f>
        <v>1688.52</v>
      </c>
      <c r="I1994" s="112">
        <f>IFERROR(IF(OR(G1994="yes",F1994= "yes"),VLOOKUP(C1994,Summary!$B:$J,6,0),0),0)</f>
        <v>0</v>
      </c>
      <c r="J1994" s="111">
        <f t="shared" si="378"/>
        <v>0</v>
      </c>
      <c r="K1994" s="91">
        <f>VLOOKUP($A1994,'2022-23 Salary &amp; Benefits'!$A:$I,3,FALSE)</f>
        <v>1.1200000000000001</v>
      </c>
      <c r="L1994" s="91">
        <f>VLOOKUP($A1994,'2022-23 Salary &amp; Benefits'!$A:$I,4,FALSE)</f>
        <v>1.1200000000000001</v>
      </c>
      <c r="M1994" s="101">
        <f t="shared" si="385"/>
        <v>0</v>
      </c>
      <c r="N1994" s="24">
        <v>15</v>
      </c>
      <c r="O1994" s="26">
        <f t="shared" ref="O1994:O2057" si="388">IF(M1994="no",0,M1994/N1994)</f>
        <v>0</v>
      </c>
      <c r="P1994" s="24">
        <v>1.1000000000000001</v>
      </c>
      <c r="Q1994" s="24">
        <v>36</v>
      </c>
      <c r="R1994" s="27">
        <f t="shared" ref="R1994:R2057" si="389">IF(M1994="no",0,O1994*P1994*Q1994)</f>
        <v>0</v>
      </c>
      <c r="S1994" s="102">
        <f t="shared" si="379"/>
        <v>0</v>
      </c>
      <c r="T1994" s="21">
        <f>VLOOKUP($A1994,'2022-23 Salary &amp; Benefits'!$A:$I,5,FALSE)</f>
        <v>68937</v>
      </c>
      <c r="U1994" s="21">
        <f>VLOOKUP($A1994,'2022-23 Salary &amp; Benefits'!$A:$I,6,FALSE)</f>
        <v>72728</v>
      </c>
      <c r="V1994" s="22">
        <f t="shared" si="380"/>
        <v>0</v>
      </c>
      <c r="W1994" s="22">
        <f t="shared" si="381"/>
        <v>0</v>
      </c>
      <c r="X1994" s="22">
        <f>'2022-23 Salary &amp; Benefits'!$G$6</f>
        <v>12558.24</v>
      </c>
      <c r="Y1994" s="23">
        <f>'2022-23 Salary &amp; Benefits'!$H$6</f>
        <v>0.2298</v>
      </c>
      <c r="Z1994" s="23">
        <f>'2022-23 Salary &amp; Benefits'!$I$6</f>
        <v>0.22339999999999999</v>
      </c>
      <c r="AA1994" s="22">
        <f t="shared" si="382"/>
        <v>0</v>
      </c>
      <c r="AB1994" s="22">
        <f t="shared" si="383"/>
        <v>0</v>
      </c>
      <c r="AC1994" s="22">
        <f t="shared" si="384"/>
        <v>0</v>
      </c>
      <c r="AD1994" s="22">
        <f t="shared" si="386"/>
        <v>0</v>
      </c>
      <c r="AE1994" s="22">
        <f t="shared" si="387"/>
        <v>0</v>
      </c>
      <c r="AF1994" s="19" t="str">
        <f>VLOOKUP(C1994,'2021-22 School Level AAFTE'!C:N,12,FALSE)</f>
        <v>No</v>
      </c>
    </row>
    <row r="1995" spans="1:284" s="5" customFormat="1">
      <c r="A1995" s="97" t="s">
        <v>2443</v>
      </c>
      <c r="B1995" s="97" t="s">
        <v>1396</v>
      </c>
      <c r="C1995" s="95">
        <v>3349</v>
      </c>
      <c r="D1995" s="95" t="s">
        <v>1399</v>
      </c>
      <c r="E1995" s="129">
        <f>VLOOKUP($C1995,'2021-22 School Level AAFTE'!$C:$Z,11,FALSE)</f>
        <v>0.27289999999999998</v>
      </c>
      <c r="F1995" s="129" t="str">
        <f>VLOOKUP($C1995,'2021-22 School Level AAFTE'!$C:$Z,8,FALSE)</f>
        <v>No</v>
      </c>
      <c r="G1995" s="129" t="str">
        <f>VLOOKUP($C1995,'2021-22 School Level AAFTE'!$C:$Z,12,FALSE)</f>
        <v>No</v>
      </c>
      <c r="H1995" s="127">
        <f>VLOOKUP($C1995,'2021-22 School Level AAFTE'!$C:$I,7,FALSE)</f>
        <v>441.93</v>
      </c>
      <c r="I1995" s="112">
        <f>IFERROR(IF(OR(G1995="yes",F1995= "yes"),VLOOKUP(C1995,Summary!$B:$J,6,0),0),0)</f>
        <v>0</v>
      </c>
      <c r="J1995" s="111">
        <f t="shared" ref="J1995:J2058" si="390">IF(OR(G1995="yes",F1995= "yes"), H1995,0)</f>
        <v>0</v>
      </c>
      <c r="K1995" s="91">
        <f>VLOOKUP($A1995,'2022-23 Salary &amp; Benefits'!$A:$I,3,FALSE)</f>
        <v>1.1200000000000001</v>
      </c>
      <c r="L1995" s="91">
        <f>VLOOKUP($A1995,'2022-23 Salary &amp; Benefits'!$A:$I,4,FALSE)</f>
        <v>1.1200000000000001</v>
      </c>
      <c r="M1995" s="101">
        <f t="shared" si="385"/>
        <v>0</v>
      </c>
      <c r="N1995" s="24">
        <v>15</v>
      </c>
      <c r="O1995" s="26">
        <f t="shared" si="388"/>
        <v>0</v>
      </c>
      <c r="P1995" s="24">
        <v>1.1000000000000001</v>
      </c>
      <c r="Q1995" s="24">
        <v>36</v>
      </c>
      <c r="R1995" s="27">
        <f t="shared" si="389"/>
        <v>0</v>
      </c>
      <c r="S1995" s="102">
        <f t="shared" ref="S1995:S2058" si="391">ROUND(IF(M1995="no",0,R1995/900),3)</f>
        <v>0</v>
      </c>
      <c r="T1995" s="21">
        <f>VLOOKUP($A1995,'2022-23 Salary &amp; Benefits'!$A:$I,5,FALSE)</f>
        <v>68937</v>
      </c>
      <c r="U1995" s="21">
        <f>VLOOKUP($A1995,'2022-23 Salary &amp; Benefits'!$A:$I,6,FALSE)</f>
        <v>72728</v>
      </c>
      <c r="V1995" s="22">
        <f t="shared" ref="V1995:V2058" si="392">ROUND($K1995*$T1995*$S1995,2)</f>
        <v>0</v>
      </c>
      <c r="W1995" s="22">
        <f t="shared" ref="W1995:W2058" si="393">ROUND($L1995*$U1995*$S1995,2)-V1995</f>
        <v>0</v>
      </c>
      <c r="X1995" s="22">
        <f>'2022-23 Salary &amp; Benefits'!$G$6</f>
        <v>12558.24</v>
      </c>
      <c r="Y1995" s="23">
        <f>'2022-23 Salary &amp; Benefits'!$H$6</f>
        <v>0.2298</v>
      </c>
      <c r="Z1995" s="23">
        <f>'2022-23 Salary &amp; Benefits'!$I$6</f>
        <v>0.22339999999999999</v>
      </c>
      <c r="AA1995" s="22">
        <f t="shared" ref="AA1995:AA2058" si="394">ROUND(V1995*Y1995+W1995*Z1995+S1995*X1995,2)</f>
        <v>0</v>
      </c>
      <c r="AB1995" s="22">
        <f t="shared" ref="AB1995:AB2058" si="395">ROUND(($U1995*$L1995*$S1995/180*3),2)</f>
        <v>0</v>
      </c>
      <c r="AC1995" s="22">
        <f t="shared" ref="AC1995:AC2058" si="396">ROUND(AB1995*Z1995,2)</f>
        <v>0</v>
      </c>
      <c r="AD1995" s="22">
        <f t="shared" si="386"/>
        <v>0</v>
      </c>
      <c r="AE1995" s="22">
        <f t="shared" si="387"/>
        <v>0</v>
      </c>
      <c r="AF1995" s="19" t="str">
        <f>VLOOKUP(C1995,'2021-22 School Level AAFTE'!C:N,12,FALSE)</f>
        <v>No</v>
      </c>
    </row>
    <row r="1996" spans="1:284" s="5" customFormat="1">
      <c r="A1996" s="97" t="s">
        <v>2443</v>
      </c>
      <c r="B1996" s="97" t="s">
        <v>1396</v>
      </c>
      <c r="C1996" s="95">
        <v>3399</v>
      </c>
      <c r="D1996" s="95" t="s">
        <v>1400</v>
      </c>
      <c r="E1996" s="129">
        <f>VLOOKUP($C1996,'2021-22 School Level AAFTE'!$C:$Z,11,FALSE)</f>
        <v>0.15523333333333333</v>
      </c>
      <c r="F1996" s="129" t="str">
        <f>VLOOKUP($C1996,'2021-22 School Level AAFTE'!$C:$Z,8,FALSE)</f>
        <v>No</v>
      </c>
      <c r="G1996" s="129" t="str">
        <f>VLOOKUP($C1996,'2021-22 School Level AAFTE'!$C:$Z,12,FALSE)</f>
        <v>No</v>
      </c>
      <c r="H1996" s="127">
        <f>VLOOKUP($C1996,'2021-22 School Level AAFTE'!$C:$I,7,FALSE)</f>
        <v>597.65</v>
      </c>
      <c r="I1996" s="112">
        <f>IFERROR(IF(OR(G1996="yes",F1996= "yes"),VLOOKUP(C1996,Summary!$B:$J,6,0),0),0)</f>
        <v>0</v>
      </c>
      <c r="J1996" s="111">
        <f t="shared" si="390"/>
        <v>0</v>
      </c>
      <c r="K1996" s="91">
        <f>VLOOKUP($A1996,'2022-23 Salary &amp; Benefits'!$A:$I,3,FALSE)</f>
        <v>1.1200000000000001</v>
      </c>
      <c r="L1996" s="91">
        <f>VLOOKUP($A1996,'2022-23 Salary &amp; Benefits'!$A:$I,4,FALSE)</f>
        <v>1.1200000000000001</v>
      </c>
      <c r="M1996" s="101">
        <f t="shared" si="385"/>
        <v>0</v>
      </c>
      <c r="N1996" s="24">
        <v>15</v>
      </c>
      <c r="O1996" s="26">
        <f t="shared" si="388"/>
        <v>0</v>
      </c>
      <c r="P1996" s="24">
        <v>1.1000000000000001</v>
      </c>
      <c r="Q1996" s="24">
        <v>36</v>
      </c>
      <c r="R1996" s="27">
        <f t="shared" si="389"/>
        <v>0</v>
      </c>
      <c r="S1996" s="102">
        <f t="shared" si="391"/>
        <v>0</v>
      </c>
      <c r="T1996" s="21">
        <f>VLOOKUP($A1996,'2022-23 Salary &amp; Benefits'!$A:$I,5,FALSE)</f>
        <v>68937</v>
      </c>
      <c r="U1996" s="21">
        <f>VLOOKUP($A1996,'2022-23 Salary &amp; Benefits'!$A:$I,6,FALSE)</f>
        <v>72728</v>
      </c>
      <c r="V1996" s="22">
        <f t="shared" si="392"/>
        <v>0</v>
      </c>
      <c r="W1996" s="22">
        <f t="shared" si="393"/>
        <v>0</v>
      </c>
      <c r="X1996" s="22">
        <f>'2022-23 Salary &amp; Benefits'!$G$6</f>
        <v>12558.24</v>
      </c>
      <c r="Y1996" s="23">
        <f>'2022-23 Salary &amp; Benefits'!$H$6</f>
        <v>0.2298</v>
      </c>
      <c r="Z1996" s="23">
        <f>'2022-23 Salary &amp; Benefits'!$I$6</f>
        <v>0.22339999999999999</v>
      </c>
      <c r="AA1996" s="22">
        <f t="shared" si="394"/>
        <v>0</v>
      </c>
      <c r="AB1996" s="22">
        <f t="shared" si="395"/>
        <v>0</v>
      </c>
      <c r="AC1996" s="22">
        <f t="shared" si="396"/>
        <v>0</v>
      </c>
      <c r="AD1996" s="22">
        <f t="shared" si="386"/>
        <v>0</v>
      </c>
      <c r="AE1996" s="22">
        <f t="shared" si="387"/>
        <v>0</v>
      </c>
      <c r="AF1996" s="19" t="str">
        <f>VLOOKUP(C1996,'2021-22 School Level AAFTE'!C:N,12,FALSE)</f>
        <v>No</v>
      </c>
    </row>
    <row r="1997" spans="1:284" s="5" customFormat="1">
      <c r="A1997" s="97" t="s">
        <v>2443</v>
      </c>
      <c r="B1997" s="97" t="s">
        <v>1396</v>
      </c>
      <c r="C1997" s="95">
        <v>3499</v>
      </c>
      <c r="D1997" s="95" t="s">
        <v>1401</v>
      </c>
      <c r="E1997" s="129">
        <f>VLOOKUP($C1997,'2021-22 School Level AAFTE'!$C:$Z,11,FALSE)</f>
        <v>0.40093333333333331</v>
      </c>
      <c r="F1997" s="129" t="str">
        <f>VLOOKUP($C1997,'2021-22 School Level AAFTE'!$C:$Z,8,FALSE)</f>
        <v>No</v>
      </c>
      <c r="G1997" s="129" t="str">
        <f>VLOOKUP($C1997,'2021-22 School Level AAFTE'!$C:$Z,12,FALSE)</f>
        <v>No</v>
      </c>
      <c r="H1997" s="127">
        <f>VLOOKUP($C1997,'2021-22 School Level AAFTE'!$C:$I,7,FALSE)</f>
        <v>702.52</v>
      </c>
      <c r="I1997" s="112">
        <f>IFERROR(IF(OR(G1997="yes",F1997= "yes"),VLOOKUP(C1997,Summary!$B:$J,6,0),0),0)</f>
        <v>0</v>
      </c>
      <c r="J1997" s="111">
        <f t="shared" si="390"/>
        <v>0</v>
      </c>
      <c r="K1997" s="91">
        <f>VLOOKUP($A1997,'2022-23 Salary &amp; Benefits'!$A:$I,3,FALSE)</f>
        <v>1.1200000000000001</v>
      </c>
      <c r="L1997" s="91">
        <f>VLOOKUP($A1997,'2022-23 Salary &amp; Benefits'!$A:$I,4,FALSE)</f>
        <v>1.1200000000000001</v>
      </c>
      <c r="M1997" s="101">
        <f t="shared" si="385"/>
        <v>0</v>
      </c>
      <c r="N1997" s="24">
        <v>15</v>
      </c>
      <c r="O1997" s="26">
        <f t="shared" si="388"/>
        <v>0</v>
      </c>
      <c r="P1997" s="24">
        <v>1.1000000000000001</v>
      </c>
      <c r="Q1997" s="24">
        <v>36</v>
      </c>
      <c r="R1997" s="27">
        <f t="shared" si="389"/>
        <v>0</v>
      </c>
      <c r="S1997" s="102">
        <f t="shared" si="391"/>
        <v>0</v>
      </c>
      <c r="T1997" s="21">
        <f>VLOOKUP($A1997,'2022-23 Salary &amp; Benefits'!$A:$I,5,FALSE)</f>
        <v>68937</v>
      </c>
      <c r="U1997" s="21">
        <f>VLOOKUP($A1997,'2022-23 Salary &amp; Benefits'!$A:$I,6,FALSE)</f>
        <v>72728</v>
      </c>
      <c r="V1997" s="22">
        <f t="shared" si="392"/>
        <v>0</v>
      </c>
      <c r="W1997" s="22">
        <f t="shared" si="393"/>
        <v>0</v>
      </c>
      <c r="X1997" s="22">
        <f>'2022-23 Salary &amp; Benefits'!$G$6</f>
        <v>12558.24</v>
      </c>
      <c r="Y1997" s="23">
        <f>'2022-23 Salary &amp; Benefits'!$H$6</f>
        <v>0.2298</v>
      </c>
      <c r="Z1997" s="23">
        <f>'2022-23 Salary &amp; Benefits'!$I$6</f>
        <v>0.22339999999999999</v>
      </c>
      <c r="AA1997" s="22">
        <f t="shared" si="394"/>
        <v>0</v>
      </c>
      <c r="AB1997" s="22">
        <f t="shared" si="395"/>
        <v>0</v>
      </c>
      <c r="AC1997" s="22">
        <f t="shared" si="396"/>
        <v>0</v>
      </c>
      <c r="AD1997" s="22">
        <f t="shared" si="386"/>
        <v>0</v>
      </c>
      <c r="AE1997" s="22">
        <f t="shared" si="387"/>
        <v>0</v>
      </c>
      <c r="AF1997" s="19" t="str">
        <f>VLOOKUP(C1997,'2021-22 School Level AAFTE'!C:N,12,FALSE)</f>
        <v>No</v>
      </c>
    </row>
    <row r="1998" spans="1:284" s="5" customFormat="1">
      <c r="A1998" s="97" t="s">
        <v>2443</v>
      </c>
      <c r="B1998" s="97" t="s">
        <v>1396</v>
      </c>
      <c r="C1998" s="95">
        <v>4132</v>
      </c>
      <c r="D1998" s="95" t="s">
        <v>1402</v>
      </c>
      <c r="E1998" s="129">
        <f>VLOOKUP($C1998,'2021-22 School Level AAFTE'!$C:$Z,11,FALSE)</f>
        <v>0.31126666666666664</v>
      </c>
      <c r="F1998" s="129" t="str">
        <f>VLOOKUP($C1998,'2021-22 School Level AAFTE'!$C:$Z,8,FALSE)</f>
        <v>No</v>
      </c>
      <c r="G1998" s="129" t="str">
        <f>VLOOKUP($C1998,'2021-22 School Level AAFTE'!$C:$Z,12,FALSE)</f>
        <v>No</v>
      </c>
      <c r="H1998" s="127">
        <f>VLOOKUP($C1998,'2021-22 School Level AAFTE'!$C:$I,7,FALSE)</f>
        <v>726.51</v>
      </c>
      <c r="I1998" s="112">
        <f>IFERROR(IF(OR(G1998="yes",F1998= "yes"),VLOOKUP(C1998,Summary!$B:$J,6,0),0),0)</f>
        <v>0</v>
      </c>
      <c r="J1998" s="111">
        <f t="shared" si="390"/>
        <v>0</v>
      </c>
      <c r="K1998" s="91">
        <f>VLOOKUP($A1998,'2022-23 Salary &amp; Benefits'!$A:$I,3,FALSE)</f>
        <v>1.1200000000000001</v>
      </c>
      <c r="L1998" s="91">
        <f>VLOOKUP($A1998,'2022-23 Salary &amp; Benefits'!$A:$I,4,FALSE)</f>
        <v>1.1200000000000001</v>
      </c>
      <c r="M1998" s="39">
        <f t="shared" si="385"/>
        <v>0</v>
      </c>
      <c r="N1998" s="24">
        <v>15</v>
      </c>
      <c r="O1998" s="26">
        <f t="shared" si="388"/>
        <v>0</v>
      </c>
      <c r="P1998" s="24">
        <v>1.1000000000000001</v>
      </c>
      <c r="Q1998" s="24">
        <v>36</v>
      </c>
      <c r="R1998" s="27">
        <f t="shared" si="389"/>
        <v>0</v>
      </c>
      <c r="S1998" s="102">
        <f t="shared" si="391"/>
        <v>0</v>
      </c>
      <c r="T1998" s="21">
        <f>VLOOKUP($A1998,'2022-23 Salary &amp; Benefits'!$A:$I,5,FALSE)</f>
        <v>68937</v>
      </c>
      <c r="U1998" s="21">
        <f>VLOOKUP($A1998,'2022-23 Salary &amp; Benefits'!$A:$I,6,FALSE)</f>
        <v>72728</v>
      </c>
      <c r="V1998" s="22">
        <f t="shared" si="392"/>
        <v>0</v>
      </c>
      <c r="W1998" s="22">
        <f t="shared" si="393"/>
        <v>0</v>
      </c>
      <c r="X1998" s="22">
        <f>'2022-23 Salary &amp; Benefits'!$G$6</f>
        <v>12558.24</v>
      </c>
      <c r="Y1998" s="23">
        <f>'2022-23 Salary &amp; Benefits'!$H$6</f>
        <v>0.2298</v>
      </c>
      <c r="Z1998" s="23">
        <f>'2022-23 Salary &amp; Benefits'!$I$6</f>
        <v>0.22339999999999999</v>
      </c>
      <c r="AA1998" s="22">
        <f t="shared" si="394"/>
        <v>0</v>
      </c>
      <c r="AB1998" s="22">
        <f t="shared" si="395"/>
        <v>0</v>
      </c>
      <c r="AC1998" s="22">
        <f t="shared" si="396"/>
        <v>0</v>
      </c>
      <c r="AD1998" s="22">
        <f t="shared" si="386"/>
        <v>0</v>
      </c>
      <c r="AE1998" s="22">
        <f t="shared" si="387"/>
        <v>0</v>
      </c>
      <c r="AF1998" s="19" t="str">
        <f>VLOOKUP(C1998,'2021-22 School Level AAFTE'!C:N,12,FALSE)</f>
        <v>No</v>
      </c>
    </row>
    <row r="1999" spans="1:284" s="5" customFormat="1">
      <c r="A1999" s="97" t="s">
        <v>2443</v>
      </c>
      <c r="B1999" s="97" t="s">
        <v>1396</v>
      </c>
      <c r="C1999" s="95">
        <v>4166</v>
      </c>
      <c r="D1999" s="95" t="s">
        <v>1403</v>
      </c>
      <c r="E1999" s="129">
        <f>VLOOKUP($C1999,'2021-22 School Level AAFTE'!$C:$Z,11,FALSE)</f>
        <v>0.21246666666666666</v>
      </c>
      <c r="F1999" s="129" t="str">
        <f>VLOOKUP($C1999,'2021-22 School Level AAFTE'!$C:$Z,8,FALSE)</f>
        <v>No</v>
      </c>
      <c r="G1999" s="129" t="str">
        <f>VLOOKUP($C1999,'2021-22 School Level AAFTE'!$C:$Z,12,FALSE)</f>
        <v>No</v>
      </c>
      <c r="H1999" s="127">
        <f>VLOOKUP($C1999,'2021-22 School Level AAFTE'!$C:$I,7,FALSE)</f>
        <v>515.9</v>
      </c>
      <c r="I1999" s="112">
        <f>IFERROR(IF(OR(G1999="yes",F1999= "yes"),VLOOKUP(C1999,Summary!$B:$J,6,0),0),0)</f>
        <v>0</v>
      </c>
      <c r="J1999" s="111">
        <f t="shared" si="390"/>
        <v>0</v>
      </c>
      <c r="K1999" s="91">
        <f>VLOOKUP($A1999,'2022-23 Salary &amp; Benefits'!$A:$I,3,FALSE)</f>
        <v>1.1200000000000001</v>
      </c>
      <c r="L1999" s="91">
        <f>VLOOKUP($A1999,'2022-23 Salary &amp; Benefits'!$A:$I,4,FALSE)</f>
        <v>1.1200000000000001</v>
      </c>
      <c r="M1999" s="39">
        <f t="shared" si="385"/>
        <v>0</v>
      </c>
      <c r="N1999" s="24">
        <v>15</v>
      </c>
      <c r="O1999" s="26">
        <f t="shared" si="388"/>
        <v>0</v>
      </c>
      <c r="P1999" s="24">
        <v>1.1000000000000001</v>
      </c>
      <c r="Q1999" s="24">
        <v>36</v>
      </c>
      <c r="R1999" s="27">
        <f t="shared" si="389"/>
        <v>0</v>
      </c>
      <c r="S1999" s="102">
        <f t="shared" si="391"/>
        <v>0</v>
      </c>
      <c r="T1999" s="21">
        <f>VLOOKUP($A1999,'2022-23 Salary &amp; Benefits'!$A:$I,5,FALSE)</f>
        <v>68937</v>
      </c>
      <c r="U1999" s="21">
        <f>VLOOKUP($A1999,'2022-23 Salary &amp; Benefits'!$A:$I,6,FALSE)</f>
        <v>72728</v>
      </c>
      <c r="V1999" s="22">
        <f t="shared" si="392"/>
        <v>0</v>
      </c>
      <c r="W1999" s="22">
        <f t="shared" si="393"/>
        <v>0</v>
      </c>
      <c r="X1999" s="22">
        <f>'2022-23 Salary &amp; Benefits'!$G$6</f>
        <v>12558.24</v>
      </c>
      <c r="Y1999" s="23">
        <f>'2022-23 Salary &amp; Benefits'!$H$6</f>
        <v>0.2298</v>
      </c>
      <c r="Z1999" s="23">
        <f>'2022-23 Salary &amp; Benefits'!$I$6</f>
        <v>0.22339999999999999</v>
      </c>
      <c r="AA1999" s="22">
        <f t="shared" si="394"/>
        <v>0</v>
      </c>
      <c r="AB1999" s="22">
        <f t="shared" si="395"/>
        <v>0</v>
      </c>
      <c r="AC1999" s="22">
        <f t="shared" si="396"/>
        <v>0</v>
      </c>
      <c r="AD1999" s="22">
        <f t="shared" si="386"/>
        <v>0</v>
      </c>
      <c r="AE1999" s="22">
        <f t="shared" si="387"/>
        <v>0</v>
      </c>
      <c r="AF1999" s="19" t="str">
        <f>VLOOKUP(C1999,'2021-22 School Level AAFTE'!C:N,12,FALSE)</f>
        <v>No</v>
      </c>
    </row>
    <row r="2000" spans="1:284" s="5" customFormat="1">
      <c r="A2000" s="97" t="s">
        <v>2443</v>
      </c>
      <c r="B2000" s="97" t="s">
        <v>1396</v>
      </c>
      <c r="C2000" s="95">
        <v>4250</v>
      </c>
      <c r="D2000" s="95" t="s">
        <v>1404</v>
      </c>
      <c r="E2000" s="129">
        <f>VLOOKUP($C2000,'2021-22 School Level AAFTE'!$C:$Z,11,FALSE)</f>
        <v>0.2825333333333333</v>
      </c>
      <c r="F2000" s="129" t="str">
        <f>VLOOKUP($C2000,'2021-22 School Level AAFTE'!$C:$Z,8,FALSE)</f>
        <v>No</v>
      </c>
      <c r="G2000" s="129" t="str">
        <f>VLOOKUP($C2000,'2021-22 School Level AAFTE'!$C:$Z,12,FALSE)</f>
        <v>No</v>
      </c>
      <c r="H2000" s="127">
        <f>VLOOKUP($C2000,'2021-22 School Level AAFTE'!$C:$I,7,FALSE)</f>
        <v>517.71</v>
      </c>
      <c r="I2000" s="112">
        <f>IFERROR(IF(OR(G2000="yes",F2000= "yes"),VLOOKUP(C2000,Summary!$B:$J,6,0),0),0)</f>
        <v>0</v>
      </c>
      <c r="J2000" s="111">
        <f t="shared" si="390"/>
        <v>0</v>
      </c>
      <c r="K2000" s="91">
        <f>VLOOKUP($A2000,'2022-23 Salary &amp; Benefits'!$A:$I,3,FALSE)</f>
        <v>1.1200000000000001</v>
      </c>
      <c r="L2000" s="91">
        <f>VLOOKUP($A2000,'2022-23 Salary &amp; Benefits'!$A:$I,4,FALSE)</f>
        <v>1.1200000000000001</v>
      </c>
      <c r="M2000" s="101">
        <f t="shared" si="385"/>
        <v>0</v>
      </c>
      <c r="N2000" s="24">
        <v>15</v>
      </c>
      <c r="O2000" s="26">
        <f t="shared" si="388"/>
        <v>0</v>
      </c>
      <c r="P2000" s="24">
        <v>1.1000000000000001</v>
      </c>
      <c r="Q2000" s="24">
        <v>36</v>
      </c>
      <c r="R2000" s="27">
        <f t="shared" si="389"/>
        <v>0</v>
      </c>
      <c r="S2000" s="102">
        <f t="shared" si="391"/>
        <v>0</v>
      </c>
      <c r="T2000" s="21">
        <f>VLOOKUP($A2000,'2022-23 Salary &amp; Benefits'!$A:$I,5,FALSE)</f>
        <v>68937</v>
      </c>
      <c r="U2000" s="21">
        <f>VLOOKUP($A2000,'2022-23 Salary &amp; Benefits'!$A:$I,6,FALSE)</f>
        <v>72728</v>
      </c>
      <c r="V2000" s="22">
        <f t="shared" si="392"/>
        <v>0</v>
      </c>
      <c r="W2000" s="22">
        <f t="shared" si="393"/>
        <v>0</v>
      </c>
      <c r="X2000" s="22">
        <f>'2022-23 Salary &amp; Benefits'!$G$6</f>
        <v>12558.24</v>
      </c>
      <c r="Y2000" s="23">
        <f>'2022-23 Salary &amp; Benefits'!$H$6</f>
        <v>0.2298</v>
      </c>
      <c r="Z2000" s="23">
        <f>'2022-23 Salary &amp; Benefits'!$I$6</f>
        <v>0.22339999999999999</v>
      </c>
      <c r="AA2000" s="22">
        <f t="shared" si="394"/>
        <v>0</v>
      </c>
      <c r="AB2000" s="22">
        <f t="shared" si="395"/>
        <v>0</v>
      </c>
      <c r="AC2000" s="22">
        <f t="shared" si="396"/>
        <v>0</v>
      </c>
      <c r="AD2000" s="22">
        <f t="shared" si="386"/>
        <v>0</v>
      </c>
      <c r="AE2000" s="22">
        <f t="shared" si="387"/>
        <v>0</v>
      </c>
      <c r="AF2000" s="19" t="str">
        <f>VLOOKUP(C2000,'2021-22 School Level AAFTE'!C:N,12,FALSE)</f>
        <v>No</v>
      </c>
    </row>
    <row r="2001" spans="1:32" s="5" customFormat="1">
      <c r="A2001" s="97" t="s">
        <v>2443</v>
      </c>
      <c r="B2001" s="97" t="s">
        <v>1396</v>
      </c>
      <c r="C2001" s="95">
        <v>4402</v>
      </c>
      <c r="D2001" s="95" t="s">
        <v>1405</v>
      </c>
      <c r="E2001" s="129">
        <f>VLOOKUP($C2001,'2021-22 School Level AAFTE'!$C:$Z,11,FALSE)</f>
        <v>0.42943333333333333</v>
      </c>
      <c r="F2001" s="129" t="str">
        <f>VLOOKUP($C2001,'2021-22 School Level AAFTE'!$C:$Z,8,FALSE)</f>
        <v>No</v>
      </c>
      <c r="G2001" s="129" t="str">
        <f>VLOOKUP($C2001,'2021-22 School Level AAFTE'!$C:$Z,12,FALSE)</f>
        <v>No</v>
      </c>
      <c r="H2001" s="127">
        <f>VLOOKUP($C2001,'2021-22 School Level AAFTE'!$C:$I,7,FALSE)</f>
        <v>434.86</v>
      </c>
      <c r="I2001" s="112">
        <f>IFERROR(IF(OR(G2001="yes",F2001= "yes"),VLOOKUP(C2001,Summary!$B:$J,6,0),0),0)</f>
        <v>0</v>
      </c>
      <c r="J2001" s="111">
        <f t="shared" si="390"/>
        <v>0</v>
      </c>
      <c r="K2001" s="91">
        <f>VLOOKUP($A2001,'2022-23 Salary &amp; Benefits'!$A:$I,3,FALSE)</f>
        <v>1.1200000000000001</v>
      </c>
      <c r="L2001" s="91">
        <f>VLOOKUP($A2001,'2022-23 Salary &amp; Benefits'!$A:$I,4,FALSE)</f>
        <v>1.1200000000000001</v>
      </c>
      <c r="M2001" s="101">
        <f t="shared" si="385"/>
        <v>0</v>
      </c>
      <c r="N2001" s="24">
        <v>15</v>
      </c>
      <c r="O2001" s="26">
        <f t="shared" si="388"/>
        <v>0</v>
      </c>
      <c r="P2001" s="24">
        <v>1.1000000000000001</v>
      </c>
      <c r="Q2001" s="24">
        <v>36</v>
      </c>
      <c r="R2001" s="27">
        <f t="shared" si="389"/>
        <v>0</v>
      </c>
      <c r="S2001" s="102">
        <f t="shared" si="391"/>
        <v>0</v>
      </c>
      <c r="T2001" s="21">
        <f>VLOOKUP($A2001,'2022-23 Salary &amp; Benefits'!$A:$I,5,FALSE)</f>
        <v>68937</v>
      </c>
      <c r="U2001" s="21">
        <f>VLOOKUP($A2001,'2022-23 Salary &amp; Benefits'!$A:$I,6,FALSE)</f>
        <v>72728</v>
      </c>
      <c r="V2001" s="22">
        <f t="shared" si="392"/>
        <v>0</v>
      </c>
      <c r="W2001" s="22">
        <f t="shared" si="393"/>
        <v>0</v>
      </c>
      <c r="X2001" s="22">
        <f>'2022-23 Salary &amp; Benefits'!$G$6</f>
        <v>12558.24</v>
      </c>
      <c r="Y2001" s="23">
        <f>'2022-23 Salary &amp; Benefits'!$H$6</f>
        <v>0.2298</v>
      </c>
      <c r="Z2001" s="23">
        <f>'2022-23 Salary &amp; Benefits'!$I$6</f>
        <v>0.22339999999999999</v>
      </c>
      <c r="AA2001" s="22">
        <f t="shared" si="394"/>
        <v>0</v>
      </c>
      <c r="AB2001" s="22">
        <f t="shared" si="395"/>
        <v>0</v>
      </c>
      <c r="AC2001" s="22">
        <f t="shared" si="396"/>
        <v>0</v>
      </c>
      <c r="AD2001" s="22">
        <f t="shared" si="386"/>
        <v>0</v>
      </c>
      <c r="AE2001" s="22">
        <f t="shared" si="387"/>
        <v>0</v>
      </c>
      <c r="AF2001" s="19" t="str">
        <f>VLOOKUP(C2001,'2021-22 School Level AAFTE'!C:N,12,FALSE)</f>
        <v>No</v>
      </c>
    </row>
    <row r="2002" spans="1:32" s="5" customFormat="1">
      <c r="A2002" s="97" t="s">
        <v>2443</v>
      </c>
      <c r="B2002" s="97" t="s">
        <v>1396</v>
      </c>
      <c r="C2002" s="95">
        <v>4435</v>
      </c>
      <c r="D2002" s="95" t="s">
        <v>1406</v>
      </c>
      <c r="E2002" s="129">
        <f>VLOOKUP($C2002,'2021-22 School Level AAFTE'!$C:$Z,11,FALSE)</f>
        <v>0.30269999999999997</v>
      </c>
      <c r="F2002" s="129" t="str">
        <f>VLOOKUP($C2002,'2021-22 School Level AAFTE'!$C:$Z,8,FALSE)</f>
        <v>No</v>
      </c>
      <c r="G2002" s="129" t="str">
        <f>VLOOKUP($C2002,'2021-22 School Level AAFTE'!$C:$Z,12,FALSE)</f>
        <v>No</v>
      </c>
      <c r="H2002" s="127">
        <f>VLOOKUP($C2002,'2021-22 School Level AAFTE'!$C:$I,7,FALSE)</f>
        <v>391.05</v>
      </c>
      <c r="I2002" s="112">
        <f>IFERROR(IF(OR(G2002="yes",F2002= "yes"),VLOOKUP(C2002,Summary!$B:$J,6,0),0),0)</f>
        <v>0</v>
      </c>
      <c r="J2002" s="111">
        <f t="shared" si="390"/>
        <v>0</v>
      </c>
      <c r="K2002" s="91">
        <f>VLOOKUP($A2002,'2022-23 Salary &amp; Benefits'!$A:$I,3,FALSE)</f>
        <v>1.1200000000000001</v>
      </c>
      <c r="L2002" s="91">
        <f>VLOOKUP($A2002,'2022-23 Salary &amp; Benefits'!$A:$I,4,FALSE)</f>
        <v>1.1200000000000001</v>
      </c>
      <c r="M2002" s="101">
        <f t="shared" si="385"/>
        <v>0</v>
      </c>
      <c r="N2002" s="24">
        <v>15</v>
      </c>
      <c r="O2002" s="26">
        <f t="shared" si="388"/>
        <v>0</v>
      </c>
      <c r="P2002" s="24">
        <v>1.1000000000000001</v>
      </c>
      <c r="Q2002" s="24">
        <v>36</v>
      </c>
      <c r="R2002" s="27">
        <f t="shared" si="389"/>
        <v>0</v>
      </c>
      <c r="S2002" s="102">
        <f t="shared" si="391"/>
        <v>0</v>
      </c>
      <c r="T2002" s="21">
        <f>VLOOKUP($A2002,'2022-23 Salary &amp; Benefits'!$A:$I,5,FALSE)</f>
        <v>68937</v>
      </c>
      <c r="U2002" s="21">
        <f>VLOOKUP($A2002,'2022-23 Salary &amp; Benefits'!$A:$I,6,FALSE)</f>
        <v>72728</v>
      </c>
      <c r="V2002" s="22">
        <f t="shared" si="392"/>
        <v>0</v>
      </c>
      <c r="W2002" s="22">
        <f t="shared" si="393"/>
        <v>0</v>
      </c>
      <c r="X2002" s="22">
        <f>'2022-23 Salary &amp; Benefits'!$G$6</f>
        <v>12558.24</v>
      </c>
      <c r="Y2002" s="23">
        <f>'2022-23 Salary &amp; Benefits'!$H$6</f>
        <v>0.2298</v>
      </c>
      <c r="Z2002" s="23">
        <f>'2022-23 Salary &amp; Benefits'!$I$6</f>
        <v>0.22339999999999999</v>
      </c>
      <c r="AA2002" s="22">
        <f t="shared" si="394"/>
        <v>0</v>
      </c>
      <c r="AB2002" s="22">
        <f t="shared" si="395"/>
        <v>0</v>
      </c>
      <c r="AC2002" s="22">
        <f t="shared" si="396"/>
        <v>0</v>
      </c>
      <c r="AD2002" s="22">
        <f t="shared" si="386"/>
        <v>0</v>
      </c>
      <c r="AE2002" s="22">
        <f t="shared" si="387"/>
        <v>0</v>
      </c>
      <c r="AF2002" s="19" t="str">
        <f>VLOOKUP(C2002,'2021-22 School Level AAFTE'!C:N,12,FALSE)</f>
        <v>No</v>
      </c>
    </row>
    <row r="2003" spans="1:32" s="5" customFormat="1">
      <c r="A2003" s="97" t="s">
        <v>2443</v>
      </c>
      <c r="B2003" s="97" t="s">
        <v>1396</v>
      </c>
      <c r="C2003" s="95">
        <v>4502</v>
      </c>
      <c r="D2003" s="95" t="s">
        <v>1026</v>
      </c>
      <c r="E2003" s="129">
        <f>VLOOKUP($C2003,'2021-22 School Level AAFTE'!$C:$Z,11,FALSE)</f>
        <v>0.26186666666666669</v>
      </c>
      <c r="F2003" s="129" t="str">
        <f>VLOOKUP($C2003,'2021-22 School Level AAFTE'!$C:$Z,8,FALSE)</f>
        <v>No</v>
      </c>
      <c r="G2003" s="129" t="str">
        <f>VLOOKUP($C2003,'2021-22 School Level AAFTE'!$C:$Z,12,FALSE)</f>
        <v>No</v>
      </c>
      <c r="H2003" s="127">
        <f>VLOOKUP($C2003,'2021-22 School Level AAFTE'!$C:$I,7,FALSE)</f>
        <v>863.49</v>
      </c>
      <c r="I2003" s="112">
        <f>IFERROR(IF(OR(G2003="yes",F2003= "yes"),VLOOKUP(C2003,Summary!$B:$J,6,0),0),0)</f>
        <v>0</v>
      </c>
      <c r="J2003" s="111">
        <f t="shared" si="390"/>
        <v>0</v>
      </c>
      <c r="K2003" s="91">
        <f>VLOOKUP($A2003,'2022-23 Salary &amp; Benefits'!$A:$I,3,FALSE)</f>
        <v>1.1200000000000001</v>
      </c>
      <c r="L2003" s="91">
        <f>VLOOKUP($A2003,'2022-23 Salary &amp; Benefits'!$A:$I,4,FALSE)</f>
        <v>1.1200000000000001</v>
      </c>
      <c r="M2003" s="101">
        <f t="shared" si="385"/>
        <v>0</v>
      </c>
      <c r="N2003" s="24">
        <v>15</v>
      </c>
      <c r="O2003" s="26">
        <f t="shared" si="388"/>
        <v>0</v>
      </c>
      <c r="P2003" s="24">
        <v>1.1000000000000001</v>
      </c>
      <c r="Q2003" s="24">
        <v>36</v>
      </c>
      <c r="R2003" s="27">
        <f t="shared" si="389"/>
        <v>0</v>
      </c>
      <c r="S2003" s="102">
        <f t="shared" si="391"/>
        <v>0</v>
      </c>
      <c r="T2003" s="21">
        <f>VLOOKUP($A2003,'2022-23 Salary &amp; Benefits'!$A:$I,5,FALSE)</f>
        <v>68937</v>
      </c>
      <c r="U2003" s="21">
        <f>VLOOKUP($A2003,'2022-23 Salary &amp; Benefits'!$A:$I,6,FALSE)</f>
        <v>72728</v>
      </c>
      <c r="V2003" s="22">
        <f t="shared" si="392"/>
        <v>0</v>
      </c>
      <c r="W2003" s="22">
        <f t="shared" si="393"/>
        <v>0</v>
      </c>
      <c r="X2003" s="22">
        <f>'2022-23 Salary &amp; Benefits'!$G$6</f>
        <v>12558.24</v>
      </c>
      <c r="Y2003" s="23">
        <f>'2022-23 Salary &amp; Benefits'!$H$6</f>
        <v>0.2298</v>
      </c>
      <c r="Z2003" s="23">
        <f>'2022-23 Salary &amp; Benefits'!$I$6</f>
        <v>0.22339999999999999</v>
      </c>
      <c r="AA2003" s="22">
        <f t="shared" si="394"/>
        <v>0</v>
      </c>
      <c r="AB2003" s="22">
        <f t="shared" si="395"/>
        <v>0</v>
      </c>
      <c r="AC2003" s="22">
        <f t="shared" si="396"/>
        <v>0</v>
      </c>
      <c r="AD2003" s="22">
        <f t="shared" si="386"/>
        <v>0</v>
      </c>
      <c r="AE2003" s="22">
        <f t="shared" si="387"/>
        <v>0</v>
      </c>
      <c r="AF2003" s="19" t="str">
        <f>VLOOKUP(C2003,'2021-22 School Level AAFTE'!C:N,12,FALSE)</f>
        <v>No</v>
      </c>
    </row>
    <row r="2004" spans="1:32" s="5" customFormat="1">
      <c r="A2004" s="97" t="s">
        <v>2443</v>
      </c>
      <c r="B2004" s="97" t="s">
        <v>1396</v>
      </c>
      <c r="C2004" s="95">
        <v>4541</v>
      </c>
      <c r="D2004" s="95" t="s">
        <v>1407</v>
      </c>
      <c r="E2004" s="129">
        <f>VLOOKUP($C2004,'2021-22 School Level AAFTE'!$C:$Z,11,FALSE)</f>
        <v>0.54336666666666666</v>
      </c>
      <c r="F2004" s="129" t="str">
        <f>VLOOKUP($C2004,'2021-22 School Level AAFTE'!$C:$Z,8,FALSE)</f>
        <v>Yes</v>
      </c>
      <c r="G2004" s="129" t="str">
        <f>VLOOKUP($C2004,'2021-22 School Level AAFTE'!$C:$Z,12,FALSE)</f>
        <v>No</v>
      </c>
      <c r="H2004" s="127">
        <f>VLOOKUP($C2004,'2021-22 School Level AAFTE'!$C:$I,7,FALSE)</f>
        <v>422.18</v>
      </c>
      <c r="I2004" s="112">
        <f>IFERROR(IF(OR(G2004="yes",F2004= "yes"),VLOOKUP(C2004,Summary!$B:$J,6,0),0),0)</f>
        <v>0</v>
      </c>
      <c r="J2004" s="111">
        <f t="shared" si="390"/>
        <v>422.18</v>
      </c>
      <c r="K2004" s="91">
        <f>VLOOKUP($A2004,'2022-23 Salary &amp; Benefits'!$A:$I,3,FALSE)</f>
        <v>1.1200000000000001</v>
      </c>
      <c r="L2004" s="91">
        <f>VLOOKUP($A2004,'2022-23 Salary &amp; Benefits'!$A:$I,4,FALSE)</f>
        <v>1.1200000000000001</v>
      </c>
      <c r="M2004" s="101">
        <f t="shared" si="385"/>
        <v>422.18</v>
      </c>
      <c r="N2004" s="24">
        <v>15</v>
      </c>
      <c r="O2004" s="26">
        <f t="shared" si="388"/>
        <v>28.145333333333333</v>
      </c>
      <c r="P2004" s="24">
        <v>1.1000000000000001</v>
      </c>
      <c r="Q2004" s="24">
        <v>36</v>
      </c>
      <c r="R2004" s="27">
        <f t="shared" si="389"/>
        <v>1114.5552000000002</v>
      </c>
      <c r="S2004" s="102">
        <f t="shared" si="391"/>
        <v>1.238</v>
      </c>
      <c r="T2004" s="21">
        <f>VLOOKUP($A2004,'2022-23 Salary &amp; Benefits'!$A:$I,5,FALSE)</f>
        <v>68937</v>
      </c>
      <c r="U2004" s="21">
        <f>VLOOKUP($A2004,'2022-23 Salary &amp; Benefits'!$A:$I,6,FALSE)</f>
        <v>72728</v>
      </c>
      <c r="V2004" s="22">
        <f t="shared" si="392"/>
        <v>95585.29</v>
      </c>
      <c r="W2004" s="22">
        <f t="shared" si="393"/>
        <v>5256.4500000000116</v>
      </c>
      <c r="X2004" s="22">
        <f>'2022-23 Salary &amp; Benefits'!$G$6</f>
        <v>12558.24</v>
      </c>
      <c r="Y2004" s="23">
        <f>'2022-23 Salary &amp; Benefits'!$H$6</f>
        <v>0.2298</v>
      </c>
      <c r="Z2004" s="23">
        <f>'2022-23 Salary &amp; Benefits'!$I$6</f>
        <v>0.22339999999999999</v>
      </c>
      <c r="AA2004" s="22">
        <f t="shared" si="394"/>
        <v>38686.89</v>
      </c>
      <c r="AB2004" s="22">
        <f t="shared" si="395"/>
        <v>1680.7</v>
      </c>
      <c r="AC2004" s="22">
        <f t="shared" si="396"/>
        <v>375.47</v>
      </c>
      <c r="AD2004" s="22">
        <f t="shared" si="386"/>
        <v>2056.17</v>
      </c>
      <c r="AE2004" s="22">
        <f t="shared" si="387"/>
        <v>141584.80000000002</v>
      </c>
      <c r="AF2004" s="19" t="str">
        <f>VLOOKUP(C2004,'2021-22 School Level AAFTE'!C:N,12,FALSE)</f>
        <v>No</v>
      </c>
    </row>
    <row r="2005" spans="1:32" s="5" customFormat="1">
      <c r="A2005" s="97" t="s">
        <v>2443</v>
      </c>
      <c r="B2005" s="97" t="s">
        <v>1396</v>
      </c>
      <c r="C2005" s="95">
        <v>4585</v>
      </c>
      <c r="D2005" s="95" t="s">
        <v>1408</v>
      </c>
      <c r="E2005" s="129">
        <f>VLOOKUP($C2005,'2021-22 School Level AAFTE'!$C:$Z,11,FALSE)</f>
        <v>0.27246666666666669</v>
      </c>
      <c r="F2005" s="129" t="str">
        <f>VLOOKUP($C2005,'2021-22 School Level AAFTE'!$C:$Z,8,FALSE)</f>
        <v>No</v>
      </c>
      <c r="G2005" s="129" t="str">
        <f>VLOOKUP($C2005,'2021-22 School Level AAFTE'!$C:$Z,12,FALSE)</f>
        <v>No</v>
      </c>
      <c r="H2005" s="127">
        <f>VLOOKUP($C2005,'2021-22 School Level AAFTE'!$C:$I,7,FALSE)</f>
        <v>1574.49</v>
      </c>
      <c r="I2005" s="112">
        <f>IFERROR(IF(OR(G2005="yes",F2005= "yes"),VLOOKUP(C2005,Summary!$B:$J,6,0),0),0)</f>
        <v>0</v>
      </c>
      <c r="J2005" s="111">
        <f t="shared" si="390"/>
        <v>0</v>
      </c>
      <c r="K2005" s="91">
        <f>VLOOKUP($A2005,'2022-23 Salary &amp; Benefits'!$A:$I,3,FALSE)</f>
        <v>1.1200000000000001</v>
      </c>
      <c r="L2005" s="91">
        <f>VLOOKUP($A2005,'2022-23 Salary &amp; Benefits'!$A:$I,4,FALSE)</f>
        <v>1.1200000000000001</v>
      </c>
      <c r="M2005" s="101">
        <f t="shared" si="385"/>
        <v>0</v>
      </c>
      <c r="N2005" s="24">
        <v>15</v>
      </c>
      <c r="O2005" s="26">
        <f t="shared" si="388"/>
        <v>0</v>
      </c>
      <c r="P2005" s="24">
        <v>1.1000000000000001</v>
      </c>
      <c r="Q2005" s="24">
        <v>36</v>
      </c>
      <c r="R2005" s="27">
        <f t="shared" si="389"/>
        <v>0</v>
      </c>
      <c r="S2005" s="102">
        <f t="shared" si="391"/>
        <v>0</v>
      </c>
      <c r="T2005" s="21">
        <f>VLOOKUP($A2005,'2022-23 Salary &amp; Benefits'!$A:$I,5,FALSE)</f>
        <v>68937</v>
      </c>
      <c r="U2005" s="21">
        <f>VLOOKUP($A2005,'2022-23 Salary &amp; Benefits'!$A:$I,6,FALSE)</f>
        <v>72728</v>
      </c>
      <c r="V2005" s="22">
        <f t="shared" si="392"/>
        <v>0</v>
      </c>
      <c r="W2005" s="22">
        <f t="shared" si="393"/>
        <v>0</v>
      </c>
      <c r="X2005" s="22">
        <f>'2022-23 Salary &amp; Benefits'!$G$6</f>
        <v>12558.24</v>
      </c>
      <c r="Y2005" s="23">
        <f>'2022-23 Salary &amp; Benefits'!$H$6</f>
        <v>0.2298</v>
      </c>
      <c r="Z2005" s="23">
        <f>'2022-23 Salary &amp; Benefits'!$I$6</f>
        <v>0.22339999999999999</v>
      </c>
      <c r="AA2005" s="22">
        <f t="shared" si="394"/>
        <v>0</v>
      </c>
      <c r="AB2005" s="22">
        <f t="shared" si="395"/>
        <v>0</v>
      </c>
      <c r="AC2005" s="22">
        <f t="shared" si="396"/>
        <v>0</v>
      </c>
      <c r="AD2005" s="22">
        <f t="shared" si="386"/>
        <v>0</v>
      </c>
      <c r="AE2005" s="22">
        <f t="shared" si="387"/>
        <v>0</v>
      </c>
      <c r="AF2005" s="19" t="str">
        <f>VLOOKUP(C2005,'2021-22 School Level AAFTE'!C:N,12,FALSE)</f>
        <v>No</v>
      </c>
    </row>
    <row r="2006" spans="1:32" s="5" customFormat="1">
      <c r="A2006" s="97" t="s">
        <v>2443</v>
      </c>
      <c r="B2006" s="97" t="s">
        <v>1396</v>
      </c>
      <c r="C2006" s="95">
        <v>5524</v>
      </c>
      <c r="D2006" s="95" t="s">
        <v>2936</v>
      </c>
      <c r="E2006" s="129">
        <f>VLOOKUP($C2006,'2021-22 School Level AAFTE'!$C:$Z,11,FALSE)</f>
        <v>7.5999999999999998E-2</v>
      </c>
      <c r="F2006" s="129" t="str">
        <f>VLOOKUP($C2006,'2021-22 School Level AAFTE'!$C:$Z,8,FALSE)</f>
        <v>No</v>
      </c>
      <c r="G2006" s="129" t="str">
        <f>VLOOKUP($C2006,'2021-22 School Level AAFTE'!$C:$Z,12,FALSE)</f>
        <v>No</v>
      </c>
      <c r="H2006" s="127">
        <f>VLOOKUP($C2006,'2021-22 School Level AAFTE'!$C:$I,7,FALSE)</f>
        <v>422.83</v>
      </c>
      <c r="I2006" s="112">
        <f>IFERROR(IF(OR(G2006="yes",F2006= "yes"),VLOOKUP(C2006,Summary!$B:$J,6,0),0),0)</f>
        <v>0</v>
      </c>
      <c r="J2006" s="111">
        <f t="shared" si="390"/>
        <v>0</v>
      </c>
      <c r="K2006" s="91">
        <f>VLOOKUP($A2006,'2022-23 Salary &amp; Benefits'!$A:$I,3,FALSE)</f>
        <v>1.1200000000000001</v>
      </c>
      <c r="L2006" s="91">
        <f>VLOOKUP($A2006,'2022-23 Salary &amp; Benefits'!$A:$I,4,FALSE)</f>
        <v>1.1200000000000001</v>
      </c>
      <c r="M2006" s="101">
        <f t="shared" si="385"/>
        <v>0</v>
      </c>
      <c r="N2006" s="24">
        <v>15</v>
      </c>
      <c r="O2006" s="26">
        <f t="shared" si="388"/>
        <v>0</v>
      </c>
      <c r="P2006" s="24">
        <v>1.1000000000000001</v>
      </c>
      <c r="Q2006" s="24">
        <v>36</v>
      </c>
      <c r="R2006" s="27">
        <f t="shared" si="389"/>
        <v>0</v>
      </c>
      <c r="S2006" s="102">
        <f t="shared" si="391"/>
        <v>0</v>
      </c>
      <c r="T2006" s="21">
        <f>VLOOKUP($A2006,'2022-23 Salary &amp; Benefits'!$A:$I,5,FALSE)</f>
        <v>68937</v>
      </c>
      <c r="U2006" s="21">
        <f>VLOOKUP($A2006,'2022-23 Salary &amp; Benefits'!$A:$I,6,FALSE)</f>
        <v>72728</v>
      </c>
      <c r="V2006" s="22">
        <f t="shared" si="392"/>
        <v>0</v>
      </c>
      <c r="W2006" s="22">
        <f t="shared" si="393"/>
        <v>0</v>
      </c>
      <c r="X2006" s="22">
        <f>'2022-23 Salary &amp; Benefits'!$G$6</f>
        <v>12558.24</v>
      </c>
      <c r="Y2006" s="23">
        <f>'2022-23 Salary &amp; Benefits'!$H$6</f>
        <v>0.2298</v>
      </c>
      <c r="Z2006" s="23">
        <f>'2022-23 Salary &amp; Benefits'!$I$6</f>
        <v>0.22339999999999999</v>
      </c>
      <c r="AA2006" s="22">
        <f t="shared" si="394"/>
        <v>0</v>
      </c>
      <c r="AB2006" s="22">
        <f t="shared" si="395"/>
        <v>0</v>
      </c>
      <c r="AC2006" s="22">
        <f t="shared" si="396"/>
        <v>0</v>
      </c>
      <c r="AD2006" s="22">
        <f t="shared" si="386"/>
        <v>0</v>
      </c>
      <c r="AE2006" s="22">
        <f t="shared" si="387"/>
        <v>0</v>
      </c>
      <c r="AF2006" s="19" t="str">
        <f>VLOOKUP(C2006,'2021-22 School Level AAFTE'!C:N,12,FALSE)</f>
        <v>No</v>
      </c>
    </row>
    <row r="2007" spans="1:32" s="5" customFormat="1">
      <c r="A2007" s="97" t="s">
        <v>2560</v>
      </c>
      <c r="B2007" s="97" t="s">
        <v>2212</v>
      </c>
      <c r="C2007" s="95">
        <v>2469</v>
      </c>
      <c r="D2007" s="95" t="s">
        <v>2213</v>
      </c>
      <c r="E2007" s="129">
        <f>VLOOKUP($C2007,'2021-22 School Level AAFTE'!$C:$Z,11,FALSE)</f>
        <v>0.77033333333333331</v>
      </c>
      <c r="F2007" s="129" t="str">
        <f>VLOOKUP($C2007,'2021-22 School Level AAFTE'!$C:$Z,8,FALSE)</f>
        <v>Yes</v>
      </c>
      <c r="G2007" s="129" t="str">
        <f>VLOOKUP($C2007,'2021-22 School Level AAFTE'!$C:$Z,12,FALSE)</f>
        <v>No</v>
      </c>
      <c r="H2007" s="127">
        <f>VLOOKUP($C2007,'2021-22 School Level AAFTE'!$C:$I,7,FALSE)</f>
        <v>441.57</v>
      </c>
      <c r="I2007" s="112">
        <f>IFERROR(IF(OR(G2007="yes",F2007= "yes"),VLOOKUP(C2007,Summary!$B:$J,6,0),0),0)</f>
        <v>0</v>
      </c>
      <c r="J2007" s="111">
        <f t="shared" si="390"/>
        <v>441.57</v>
      </c>
      <c r="K2007" s="91">
        <f>VLOOKUP($A2007,'2022-23 Salary &amp; Benefits'!$A:$I,3,FALSE)</f>
        <v>1</v>
      </c>
      <c r="L2007" s="91">
        <f>VLOOKUP($A2007,'2022-23 Salary &amp; Benefits'!$A:$I,4,FALSE)</f>
        <v>1</v>
      </c>
      <c r="M2007" s="101">
        <f t="shared" si="385"/>
        <v>441.57</v>
      </c>
      <c r="N2007" s="24">
        <v>15</v>
      </c>
      <c r="O2007" s="26">
        <f t="shared" si="388"/>
        <v>29.437999999999999</v>
      </c>
      <c r="P2007" s="24">
        <v>1.1000000000000001</v>
      </c>
      <c r="Q2007" s="24">
        <v>36</v>
      </c>
      <c r="R2007" s="27">
        <f t="shared" si="389"/>
        <v>1165.7447999999999</v>
      </c>
      <c r="S2007" s="102">
        <f t="shared" si="391"/>
        <v>1.2949999999999999</v>
      </c>
      <c r="T2007" s="21">
        <f>VLOOKUP($A2007,'2022-23 Salary &amp; Benefits'!$A:$I,5,FALSE)</f>
        <v>68937</v>
      </c>
      <c r="U2007" s="21">
        <f>VLOOKUP($A2007,'2022-23 Salary &amp; Benefits'!$A:$I,6,FALSE)</f>
        <v>72728</v>
      </c>
      <c r="V2007" s="22">
        <f t="shared" si="392"/>
        <v>89273.42</v>
      </c>
      <c r="W2007" s="22">
        <f t="shared" si="393"/>
        <v>4909.3399999999965</v>
      </c>
      <c r="X2007" s="22">
        <f>'2022-23 Salary &amp; Benefits'!$G$6</f>
        <v>12558.24</v>
      </c>
      <c r="Y2007" s="23">
        <f>'2022-23 Salary &amp; Benefits'!$H$6</f>
        <v>0.2298</v>
      </c>
      <c r="Z2007" s="23">
        <f>'2022-23 Salary &amp; Benefits'!$I$6</f>
        <v>0.22339999999999999</v>
      </c>
      <c r="AA2007" s="22">
        <f t="shared" si="394"/>
        <v>37874.699999999997</v>
      </c>
      <c r="AB2007" s="22">
        <f t="shared" si="395"/>
        <v>1569.71</v>
      </c>
      <c r="AC2007" s="22">
        <f t="shared" si="396"/>
        <v>350.67</v>
      </c>
      <c r="AD2007" s="22">
        <f t="shared" si="386"/>
        <v>1920.38</v>
      </c>
      <c r="AE2007" s="22">
        <f t="shared" si="387"/>
        <v>133977.84</v>
      </c>
      <c r="AF2007" s="19" t="str">
        <f>VLOOKUP(C2007,'2021-22 School Level AAFTE'!C:N,12,FALSE)</f>
        <v>No</v>
      </c>
    </row>
    <row r="2008" spans="1:32" s="5" customFormat="1">
      <c r="A2008" s="97" t="s">
        <v>2560</v>
      </c>
      <c r="B2008" s="97" t="s">
        <v>2212</v>
      </c>
      <c r="C2008" s="95">
        <v>2717</v>
      </c>
      <c r="D2008" s="95" t="s">
        <v>186</v>
      </c>
      <c r="E2008" s="129">
        <f>VLOOKUP($C2008,'2021-22 School Level AAFTE'!$C:$Z,11,FALSE)</f>
        <v>0.79543333333333333</v>
      </c>
      <c r="F2008" s="129" t="str">
        <f>VLOOKUP($C2008,'2021-22 School Level AAFTE'!$C:$Z,8,FALSE)</f>
        <v>Yes</v>
      </c>
      <c r="G2008" s="129" t="str">
        <f>VLOOKUP($C2008,'2021-22 School Level AAFTE'!$C:$Z,12,FALSE)</f>
        <v>No</v>
      </c>
      <c r="H2008" s="127">
        <f>VLOOKUP($C2008,'2021-22 School Level AAFTE'!$C:$I,7,FALSE)</f>
        <v>640.86</v>
      </c>
      <c r="I2008" s="112">
        <f>IFERROR(IF(OR(G2008="yes",F2008= "yes"),VLOOKUP(C2008,Summary!$B:$J,6,0),0),0)</f>
        <v>0</v>
      </c>
      <c r="J2008" s="111">
        <f t="shared" si="390"/>
        <v>640.86</v>
      </c>
      <c r="K2008" s="91">
        <f>VLOOKUP($A2008,'2022-23 Salary &amp; Benefits'!$A:$I,3,FALSE)</f>
        <v>1</v>
      </c>
      <c r="L2008" s="91">
        <f>VLOOKUP($A2008,'2022-23 Salary &amp; Benefits'!$A:$I,4,FALSE)</f>
        <v>1</v>
      </c>
      <c r="M2008" s="101">
        <f t="shared" si="385"/>
        <v>640.86</v>
      </c>
      <c r="N2008" s="24">
        <v>15</v>
      </c>
      <c r="O2008" s="26">
        <f t="shared" si="388"/>
        <v>42.724000000000004</v>
      </c>
      <c r="P2008" s="24">
        <v>1.1000000000000001</v>
      </c>
      <c r="Q2008" s="24">
        <v>36</v>
      </c>
      <c r="R2008" s="27">
        <f t="shared" si="389"/>
        <v>1691.8704000000002</v>
      </c>
      <c r="S2008" s="102">
        <f t="shared" si="391"/>
        <v>1.88</v>
      </c>
      <c r="T2008" s="21">
        <f>VLOOKUP($A2008,'2022-23 Salary &amp; Benefits'!$A:$I,5,FALSE)</f>
        <v>68937</v>
      </c>
      <c r="U2008" s="21">
        <f>VLOOKUP($A2008,'2022-23 Salary &amp; Benefits'!$A:$I,6,FALSE)</f>
        <v>72728</v>
      </c>
      <c r="V2008" s="22">
        <f t="shared" si="392"/>
        <v>129601.56</v>
      </c>
      <c r="W2008" s="22">
        <f t="shared" si="393"/>
        <v>7127.0800000000163</v>
      </c>
      <c r="X2008" s="22">
        <f>'2022-23 Salary &amp; Benefits'!$G$6</f>
        <v>12558.24</v>
      </c>
      <c r="Y2008" s="23">
        <f>'2022-23 Salary &amp; Benefits'!$H$6</f>
        <v>0.2298</v>
      </c>
      <c r="Z2008" s="23">
        <f>'2022-23 Salary &amp; Benefits'!$I$6</f>
        <v>0.22339999999999999</v>
      </c>
      <c r="AA2008" s="22">
        <f t="shared" si="394"/>
        <v>54984.12</v>
      </c>
      <c r="AB2008" s="22">
        <f t="shared" si="395"/>
        <v>2278.81</v>
      </c>
      <c r="AC2008" s="22">
        <f t="shared" si="396"/>
        <v>509.09</v>
      </c>
      <c r="AD2008" s="22">
        <f t="shared" si="386"/>
        <v>2787.9</v>
      </c>
      <c r="AE2008" s="22">
        <f t="shared" si="387"/>
        <v>194500.66</v>
      </c>
      <c r="AF2008" s="19" t="str">
        <f>VLOOKUP(C2008,'2021-22 School Level AAFTE'!C:N,12,FALSE)</f>
        <v>No</v>
      </c>
    </row>
    <row r="2009" spans="1:32" s="5" customFormat="1">
      <c r="A2009" s="97" t="s">
        <v>2560</v>
      </c>
      <c r="B2009" s="97" t="s">
        <v>2212</v>
      </c>
      <c r="C2009" s="95">
        <v>2959</v>
      </c>
      <c r="D2009" s="95" t="s">
        <v>2214</v>
      </c>
      <c r="E2009" s="129">
        <f>VLOOKUP($C2009,'2021-22 School Level AAFTE'!$C:$Z,11,FALSE)</f>
        <v>0.72483333333333333</v>
      </c>
      <c r="F2009" s="129" t="str">
        <f>VLOOKUP($C2009,'2021-22 School Level AAFTE'!$C:$Z,8,FALSE)</f>
        <v>Yes</v>
      </c>
      <c r="G2009" s="129" t="str">
        <f>VLOOKUP($C2009,'2021-22 School Level AAFTE'!$C:$Z,12,FALSE)</f>
        <v>No</v>
      </c>
      <c r="H2009" s="127">
        <f>VLOOKUP($C2009,'2021-22 School Level AAFTE'!$C:$I,7,FALSE)</f>
        <v>2136.38</v>
      </c>
      <c r="I2009" s="112">
        <f>IFERROR(IF(OR(G2009="yes",F2009= "yes"),VLOOKUP(C2009,Summary!$B:$J,6,0),0),0)</f>
        <v>0</v>
      </c>
      <c r="J2009" s="111">
        <f t="shared" si="390"/>
        <v>2136.38</v>
      </c>
      <c r="K2009" s="91">
        <f>VLOOKUP($A2009,'2022-23 Salary &amp; Benefits'!$A:$I,3,FALSE)</f>
        <v>1</v>
      </c>
      <c r="L2009" s="91">
        <f>VLOOKUP($A2009,'2022-23 Salary &amp; Benefits'!$A:$I,4,FALSE)</f>
        <v>1</v>
      </c>
      <c r="M2009" s="101">
        <f t="shared" si="385"/>
        <v>2136.38</v>
      </c>
      <c r="N2009" s="24">
        <v>15</v>
      </c>
      <c r="O2009" s="26">
        <f t="shared" si="388"/>
        <v>142.42533333333333</v>
      </c>
      <c r="P2009" s="24">
        <v>1.1000000000000001</v>
      </c>
      <c r="Q2009" s="24">
        <v>36</v>
      </c>
      <c r="R2009" s="27">
        <f t="shared" si="389"/>
        <v>5640.0432000000001</v>
      </c>
      <c r="S2009" s="102">
        <f t="shared" si="391"/>
        <v>6.2670000000000003</v>
      </c>
      <c r="T2009" s="21">
        <f>VLOOKUP($A2009,'2022-23 Salary &amp; Benefits'!$A:$I,5,FALSE)</f>
        <v>68937</v>
      </c>
      <c r="U2009" s="21">
        <f>VLOOKUP($A2009,'2022-23 Salary &amp; Benefits'!$A:$I,6,FALSE)</f>
        <v>72728</v>
      </c>
      <c r="V2009" s="22">
        <f t="shared" si="392"/>
        <v>432028.18</v>
      </c>
      <c r="W2009" s="22">
        <f t="shared" si="393"/>
        <v>23758.200000000012</v>
      </c>
      <c r="X2009" s="22">
        <f>'2022-23 Salary &amp; Benefits'!$G$6</f>
        <v>12558.24</v>
      </c>
      <c r="Y2009" s="23">
        <f>'2022-23 Salary &amp; Benefits'!$H$6</f>
        <v>0.2298</v>
      </c>
      <c r="Z2009" s="23">
        <f>'2022-23 Salary &amp; Benefits'!$I$6</f>
        <v>0.22339999999999999</v>
      </c>
      <c r="AA2009" s="22">
        <f t="shared" si="394"/>
        <v>183290.15</v>
      </c>
      <c r="AB2009" s="22">
        <f t="shared" si="395"/>
        <v>7596.44</v>
      </c>
      <c r="AC2009" s="22">
        <f t="shared" si="396"/>
        <v>1697.04</v>
      </c>
      <c r="AD2009" s="22">
        <f t="shared" si="386"/>
        <v>9293.48</v>
      </c>
      <c r="AE2009" s="22">
        <f t="shared" si="387"/>
        <v>648370.01</v>
      </c>
      <c r="AF2009" s="19" t="str">
        <f>VLOOKUP(C2009,'2021-22 School Level AAFTE'!C:N,12,FALSE)</f>
        <v>No</v>
      </c>
    </row>
    <row r="2010" spans="1:32" s="5" customFormat="1">
      <c r="A2010" s="97" t="s">
        <v>2560</v>
      </c>
      <c r="B2010" s="97" t="s">
        <v>2212</v>
      </c>
      <c r="C2010" s="95">
        <v>3313</v>
      </c>
      <c r="D2010" s="95" t="s">
        <v>2215</v>
      </c>
      <c r="E2010" s="129">
        <f>VLOOKUP($C2010,'2021-22 School Level AAFTE'!$C:$Z,11,FALSE)</f>
        <v>0.75236666666666663</v>
      </c>
      <c r="F2010" s="129" t="str">
        <f>VLOOKUP($C2010,'2021-22 School Level AAFTE'!$C:$Z,8,FALSE)</f>
        <v>Yes</v>
      </c>
      <c r="G2010" s="129" t="str">
        <f>VLOOKUP($C2010,'2021-22 School Level AAFTE'!$C:$Z,12,FALSE)</f>
        <v>No</v>
      </c>
      <c r="H2010" s="127">
        <f>VLOOKUP($C2010,'2021-22 School Level AAFTE'!$C:$I,7,FALSE)</f>
        <v>886.98</v>
      </c>
      <c r="I2010" s="112">
        <f>IFERROR(IF(OR(G2010="yes",F2010= "yes"),VLOOKUP(C2010,Summary!$B:$J,6,0),0),0)</f>
        <v>0</v>
      </c>
      <c r="J2010" s="111">
        <f t="shared" si="390"/>
        <v>886.98</v>
      </c>
      <c r="K2010" s="91">
        <f>VLOOKUP($A2010,'2022-23 Salary &amp; Benefits'!$A:$I,3,FALSE)</f>
        <v>1</v>
      </c>
      <c r="L2010" s="91">
        <f>VLOOKUP($A2010,'2022-23 Salary &amp; Benefits'!$A:$I,4,FALSE)</f>
        <v>1</v>
      </c>
      <c r="M2010" s="101">
        <f t="shared" si="385"/>
        <v>886.98</v>
      </c>
      <c r="N2010" s="24">
        <v>15</v>
      </c>
      <c r="O2010" s="26">
        <f t="shared" si="388"/>
        <v>59.131999999999998</v>
      </c>
      <c r="P2010" s="24">
        <v>1.1000000000000001</v>
      </c>
      <c r="Q2010" s="24">
        <v>36</v>
      </c>
      <c r="R2010" s="27">
        <f t="shared" si="389"/>
        <v>2341.6272000000004</v>
      </c>
      <c r="S2010" s="102">
        <f t="shared" si="391"/>
        <v>2.6019999999999999</v>
      </c>
      <c r="T2010" s="21">
        <f>VLOOKUP($A2010,'2022-23 Salary &amp; Benefits'!$A:$I,5,FALSE)</f>
        <v>68937</v>
      </c>
      <c r="U2010" s="21">
        <f>VLOOKUP($A2010,'2022-23 Salary &amp; Benefits'!$A:$I,6,FALSE)</f>
        <v>72728</v>
      </c>
      <c r="V2010" s="22">
        <f t="shared" si="392"/>
        <v>179374.07</v>
      </c>
      <c r="W2010" s="22">
        <f t="shared" si="393"/>
        <v>9864.1900000000023</v>
      </c>
      <c r="X2010" s="22">
        <f>'2022-23 Salary &amp; Benefits'!$G$6</f>
        <v>12558.24</v>
      </c>
      <c r="Y2010" s="23">
        <f>'2022-23 Salary &amp; Benefits'!$H$6</f>
        <v>0.2298</v>
      </c>
      <c r="Z2010" s="23">
        <f>'2022-23 Salary &amp; Benefits'!$I$6</f>
        <v>0.22339999999999999</v>
      </c>
      <c r="AA2010" s="22">
        <f t="shared" si="394"/>
        <v>76100.36</v>
      </c>
      <c r="AB2010" s="22">
        <f t="shared" si="395"/>
        <v>3153.97</v>
      </c>
      <c r="AC2010" s="22">
        <f t="shared" si="396"/>
        <v>704.6</v>
      </c>
      <c r="AD2010" s="22">
        <f t="shared" si="386"/>
        <v>3858.5699999999997</v>
      </c>
      <c r="AE2010" s="22">
        <f t="shared" si="387"/>
        <v>269197.19</v>
      </c>
      <c r="AF2010" s="19" t="str">
        <f>VLOOKUP(C2010,'2021-22 School Level AAFTE'!C:N,12,FALSE)</f>
        <v>No</v>
      </c>
    </row>
    <row r="2011" spans="1:32" s="5" customFormat="1">
      <c r="A2011" s="97" t="s">
        <v>2560</v>
      </c>
      <c r="B2011" s="97" t="s">
        <v>2212</v>
      </c>
      <c r="C2011" s="95">
        <v>4000</v>
      </c>
      <c r="D2011" s="95" t="s">
        <v>2216</v>
      </c>
      <c r="E2011" s="129">
        <f>VLOOKUP($C2011,'2021-22 School Level AAFTE'!$C:$Z,11,FALSE)</f>
        <v>0.79030000000000011</v>
      </c>
      <c r="F2011" s="129" t="str">
        <f>VLOOKUP($C2011,'2021-22 School Level AAFTE'!$C:$Z,8,FALSE)</f>
        <v>Yes</v>
      </c>
      <c r="G2011" s="129" t="str">
        <f>VLOOKUP($C2011,'2021-22 School Level AAFTE'!$C:$Z,12,FALSE)</f>
        <v>No</v>
      </c>
      <c r="H2011" s="127">
        <f>VLOOKUP($C2011,'2021-22 School Level AAFTE'!$C:$I,7,FALSE)</f>
        <v>587.19000000000005</v>
      </c>
      <c r="I2011" s="112">
        <f>IFERROR(IF(OR(G2011="yes",F2011= "yes"),VLOOKUP(C2011,Summary!$B:$J,6,0),0),0)</f>
        <v>0</v>
      </c>
      <c r="J2011" s="111">
        <f t="shared" si="390"/>
        <v>587.19000000000005</v>
      </c>
      <c r="K2011" s="91">
        <f>VLOOKUP($A2011,'2022-23 Salary &amp; Benefits'!$A:$I,3,FALSE)</f>
        <v>1</v>
      </c>
      <c r="L2011" s="91">
        <f>VLOOKUP($A2011,'2022-23 Salary &amp; Benefits'!$A:$I,4,FALSE)</f>
        <v>1</v>
      </c>
      <c r="M2011" s="101">
        <f t="shared" si="385"/>
        <v>587.19000000000005</v>
      </c>
      <c r="N2011" s="24">
        <v>15</v>
      </c>
      <c r="O2011" s="26">
        <f t="shared" si="388"/>
        <v>39.146000000000001</v>
      </c>
      <c r="P2011" s="24">
        <v>1.1000000000000001</v>
      </c>
      <c r="Q2011" s="24">
        <v>36</v>
      </c>
      <c r="R2011" s="27">
        <f t="shared" si="389"/>
        <v>1550.1816000000001</v>
      </c>
      <c r="S2011" s="102">
        <f t="shared" si="391"/>
        <v>1.722</v>
      </c>
      <c r="T2011" s="21">
        <f>VLOOKUP($A2011,'2022-23 Salary &amp; Benefits'!$A:$I,5,FALSE)</f>
        <v>68937</v>
      </c>
      <c r="U2011" s="21">
        <f>VLOOKUP($A2011,'2022-23 Salary &amp; Benefits'!$A:$I,6,FALSE)</f>
        <v>72728</v>
      </c>
      <c r="V2011" s="22">
        <f t="shared" si="392"/>
        <v>118709.51</v>
      </c>
      <c r="W2011" s="22">
        <f t="shared" si="393"/>
        <v>6528.1100000000006</v>
      </c>
      <c r="X2011" s="22">
        <f>'2022-23 Salary &amp; Benefits'!$G$6</f>
        <v>12558.24</v>
      </c>
      <c r="Y2011" s="23">
        <f>'2022-23 Salary &amp; Benefits'!$H$6</f>
        <v>0.2298</v>
      </c>
      <c r="Z2011" s="23">
        <f>'2022-23 Salary &amp; Benefits'!$I$6</f>
        <v>0.22339999999999999</v>
      </c>
      <c r="AA2011" s="22">
        <f t="shared" si="394"/>
        <v>50363.11</v>
      </c>
      <c r="AB2011" s="22">
        <f t="shared" si="395"/>
        <v>2087.29</v>
      </c>
      <c r="AC2011" s="22">
        <f t="shared" si="396"/>
        <v>466.3</v>
      </c>
      <c r="AD2011" s="22">
        <f t="shared" si="386"/>
        <v>2553.59</v>
      </c>
      <c r="AE2011" s="22">
        <f t="shared" si="387"/>
        <v>178154.31999999998</v>
      </c>
      <c r="AF2011" s="19" t="str">
        <f>VLOOKUP(C2011,'2021-22 School Level AAFTE'!C:N,12,FALSE)</f>
        <v>No</v>
      </c>
    </row>
    <row r="2012" spans="1:32" s="5" customFormat="1">
      <c r="A2012" s="97" t="s">
        <v>2560</v>
      </c>
      <c r="B2012" s="97" t="s">
        <v>2212</v>
      </c>
      <c r="C2012" s="95">
        <v>4497</v>
      </c>
      <c r="D2012" s="95" t="s">
        <v>244</v>
      </c>
      <c r="E2012" s="129">
        <f>VLOOKUP($C2012,'2021-22 School Level AAFTE'!$C:$Z,11,FALSE)</f>
        <v>0.77366666666666661</v>
      </c>
      <c r="F2012" s="129" t="str">
        <f>VLOOKUP($C2012,'2021-22 School Level AAFTE'!$C:$Z,8,FALSE)</f>
        <v>Yes</v>
      </c>
      <c r="G2012" s="129" t="str">
        <f>VLOOKUP($C2012,'2021-22 School Level AAFTE'!$C:$Z,12,FALSE)</f>
        <v>No</v>
      </c>
      <c r="H2012" s="127">
        <f>VLOOKUP($C2012,'2021-22 School Level AAFTE'!$C:$I,7,FALSE)</f>
        <v>594.71</v>
      </c>
      <c r="I2012" s="112">
        <f>IFERROR(IF(OR(G2012="yes",F2012= "yes"),VLOOKUP(C2012,Summary!$B:$J,6,0),0),0)</f>
        <v>0</v>
      </c>
      <c r="J2012" s="111">
        <f t="shared" si="390"/>
        <v>594.71</v>
      </c>
      <c r="K2012" s="91">
        <f>VLOOKUP($A2012,'2022-23 Salary &amp; Benefits'!$A:$I,3,FALSE)</f>
        <v>1</v>
      </c>
      <c r="L2012" s="91">
        <f>VLOOKUP($A2012,'2022-23 Salary &amp; Benefits'!$A:$I,4,FALSE)</f>
        <v>1</v>
      </c>
      <c r="M2012" s="101">
        <f t="shared" si="385"/>
        <v>594.71</v>
      </c>
      <c r="N2012" s="24">
        <v>15</v>
      </c>
      <c r="O2012" s="26">
        <f t="shared" si="388"/>
        <v>39.647333333333336</v>
      </c>
      <c r="P2012" s="24">
        <v>1.1000000000000001</v>
      </c>
      <c r="Q2012" s="24">
        <v>36</v>
      </c>
      <c r="R2012" s="27">
        <f t="shared" si="389"/>
        <v>1570.0344000000002</v>
      </c>
      <c r="S2012" s="102">
        <f t="shared" si="391"/>
        <v>1.744</v>
      </c>
      <c r="T2012" s="21">
        <f>VLOOKUP($A2012,'2022-23 Salary &amp; Benefits'!$A:$I,5,FALSE)</f>
        <v>68937</v>
      </c>
      <c r="U2012" s="21">
        <f>VLOOKUP($A2012,'2022-23 Salary &amp; Benefits'!$A:$I,6,FALSE)</f>
        <v>72728</v>
      </c>
      <c r="V2012" s="22">
        <f t="shared" si="392"/>
        <v>120226.13</v>
      </c>
      <c r="W2012" s="22">
        <f t="shared" si="393"/>
        <v>6611.5</v>
      </c>
      <c r="X2012" s="22">
        <f>'2022-23 Salary &amp; Benefits'!$G$6</f>
        <v>12558.24</v>
      </c>
      <c r="Y2012" s="23">
        <f>'2022-23 Salary &amp; Benefits'!$H$6</f>
        <v>0.2298</v>
      </c>
      <c r="Z2012" s="23">
        <f>'2022-23 Salary &amp; Benefits'!$I$6</f>
        <v>0.22339999999999999</v>
      </c>
      <c r="AA2012" s="22">
        <f t="shared" si="394"/>
        <v>51006.54</v>
      </c>
      <c r="AB2012" s="22">
        <f t="shared" si="395"/>
        <v>2113.96</v>
      </c>
      <c r="AC2012" s="22">
        <f t="shared" si="396"/>
        <v>472.26</v>
      </c>
      <c r="AD2012" s="22">
        <f t="shared" si="386"/>
        <v>2586.2200000000003</v>
      </c>
      <c r="AE2012" s="22">
        <f t="shared" si="387"/>
        <v>180430.39</v>
      </c>
      <c r="AF2012" s="19" t="str">
        <f>VLOOKUP(C2012,'2021-22 School Level AAFTE'!C:N,12,FALSE)</f>
        <v>No</v>
      </c>
    </row>
    <row r="2013" spans="1:32" s="5" customFormat="1">
      <c r="A2013" s="97" t="s">
        <v>2560</v>
      </c>
      <c r="B2013" s="97" t="s">
        <v>2212</v>
      </c>
      <c r="C2013" s="95">
        <v>5049</v>
      </c>
      <c r="D2013" s="95" t="s">
        <v>2217</v>
      </c>
      <c r="E2013" s="129">
        <f>VLOOKUP($C2013,'2021-22 School Level AAFTE'!$C:$Z,11,FALSE)</f>
        <v>0.78806666666666658</v>
      </c>
      <c r="F2013" s="129" t="str">
        <f>VLOOKUP($C2013,'2021-22 School Level AAFTE'!$C:$Z,8,FALSE)</f>
        <v>Yes</v>
      </c>
      <c r="G2013" s="129" t="str">
        <f>VLOOKUP($C2013,'2021-22 School Level AAFTE'!$C:$Z,12,FALSE)</f>
        <v>No</v>
      </c>
      <c r="H2013" s="127">
        <f>VLOOKUP($C2013,'2021-22 School Level AAFTE'!$C:$I,7,FALSE)</f>
        <v>692.25</v>
      </c>
      <c r="I2013" s="112">
        <f>IFERROR(IF(OR(G2013="yes",F2013= "yes"),VLOOKUP(C2013,Summary!$B:$J,6,0),0),0)</f>
        <v>0</v>
      </c>
      <c r="J2013" s="111">
        <f t="shared" si="390"/>
        <v>692.25</v>
      </c>
      <c r="K2013" s="91">
        <f>VLOOKUP($A2013,'2022-23 Salary &amp; Benefits'!$A:$I,3,FALSE)</f>
        <v>1</v>
      </c>
      <c r="L2013" s="91">
        <f>VLOOKUP($A2013,'2022-23 Salary &amp; Benefits'!$A:$I,4,FALSE)</f>
        <v>1</v>
      </c>
      <c r="M2013" s="39">
        <f t="shared" si="385"/>
        <v>692.25</v>
      </c>
      <c r="N2013" s="24">
        <v>15</v>
      </c>
      <c r="O2013" s="26">
        <f t="shared" si="388"/>
        <v>46.15</v>
      </c>
      <c r="P2013" s="24">
        <v>1.1000000000000001</v>
      </c>
      <c r="Q2013" s="24">
        <v>36</v>
      </c>
      <c r="R2013" s="27">
        <f t="shared" si="389"/>
        <v>1827.54</v>
      </c>
      <c r="S2013" s="102">
        <f t="shared" si="391"/>
        <v>2.0310000000000001</v>
      </c>
      <c r="T2013" s="21">
        <f>VLOOKUP($A2013,'2022-23 Salary &amp; Benefits'!$A:$I,5,FALSE)</f>
        <v>68937</v>
      </c>
      <c r="U2013" s="21">
        <f>VLOOKUP($A2013,'2022-23 Salary &amp; Benefits'!$A:$I,6,FALSE)</f>
        <v>72728</v>
      </c>
      <c r="V2013" s="22">
        <f t="shared" si="392"/>
        <v>140011.04999999999</v>
      </c>
      <c r="W2013" s="22">
        <f t="shared" si="393"/>
        <v>7699.5200000000186</v>
      </c>
      <c r="X2013" s="22">
        <f>'2022-23 Salary &amp; Benefits'!$G$6</f>
        <v>12558.24</v>
      </c>
      <c r="Y2013" s="23">
        <f>'2022-23 Salary &amp; Benefits'!$H$6</f>
        <v>0.2298</v>
      </c>
      <c r="Z2013" s="23">
        <f>'2022-23 Salary &amp; Benefits'!$I$6</f>
        <v>0.22339999999999999</v>
      </c>
      <c r="AA2013" s="22">
        <f t="shared" si="394"/>
        <v>59400.4</v>
      </c>
      <c r="AB2013" s="22">
        <f t="shared" si="395"/>
        <v>2461.84</v>
      </c>
      <c r="AC2013" s="22">
        <f t="shared" si="396"/>
        <v>549.98</v>
      </c>
      <c r="AD2013" s="22">
        <f t="shared" si="386"/>
        <v>3011.82</v>
      </c>
      <c r="AE2013" s="22">
        <f t="shared" si="387"/>
        <v>210122.79</v>
      </c>
      <c r="AF2013" s="19" t="str">
        <f>VLOOKUP(C2013,'2021-22 School Level AAFTE'!C:N,12,FALSE)</f>
        <v>No</v>
      </c>
    </row>
    <row r="2014" spans="1:32" s="5" customFormat="1">
      <c r="A2014" s="97" t="s">
        <v>2560</v>
      </c>
      <c r="B2014" s="97" t="s">
        <v>2212</v>
      </c>
      <c r="C2014" s="95">
        <v>5137</v>
      </c>
      <c r="D2014" s="95" t="s">
        <v>2218</v>
      </c>
      <c r="E2014" s="129">
        <f>VLOOKUP($C2014,'2021-22 School Level AAFTE'!$C:$Z,11,FALSE)</f>
        <v>0.79979999999999996</v>
      </c>
      <c r="F2014" s="129" t="str">
        <f>VLOOKUP($C2014,'2021-22 School Level AAFTE'!$C:$Z,8,FALSE)</f>
        <v>Yes</v>
      </c>
      <c r="G2014" s="129" t="str">
        <f>VLOOKUP($C2014,'2021-22 School Level AAFTE'!$C:$Z,12,FALSE)</f>
        <v>No</v>
      </c>
      <c r="H2014" s="127">
        <f>VLOOKUP($C2014,'2021-22 School Level AAFTE'!$C:$I,7,FALSE)</f>
        <v>458.43</v>
      </c>
      <c r="I2014" s="112">
        <f>IFERROR(IF(OR(G2014="yes",F2014= "yes"),VLOOKUP(C2014,Summary!$B:$J,6,0),0),0)</f>
        <v>0</v>
      </c>
      <c r="J2014" s="111">
        <f t="shared" si="390"/>
        <v>458.43</v>
      </c>
      <c r="K2014" s="91">
        <f>VLOOKUP($A2014,'2022-23 Salary &amp; Benefits'!$A:$I,3,FALSE)</f>
        <v>1</v>
      </c>
      <c r="L2014" s="91">
        <f>VLOOKUP($A2014,'2022-23 Salary &amp; Benefits'!$A:$I,4,FALSE)</f>
        <v>1</v>
      </c>
      <c r="M2014" s="39">
        <f t="shared" si="385"/>
        <v>458.43</v>
      </c>
      <c r="N2014" s="24">
        <v>15</v>
      </c>
      <c r="O2014" s="26">
        <f t="shared" si="388"/>
        <v>30.562000000000001</v>
      </c>
      <c r="P2014" s="24">
        <v>1.1000000000000001</v>
      </c>
      <c r="Q2014" s="24">
        <v>36</v>
      </c>
      <c r="R2014" s="27">
        <f t="shared" si="389"/>
        <v>1210.2552000000001</v>
      </c>
      <c r="S2014" s="102">
        <f t="shared" si="391"/>
        <v>1.345</v>
      </c>
      <c r="T2014" s="21">
        <f>VLOOKUP($A2014,'2022-23 Salary &amp; Benefits'!$A:$I,5,FALSE)</f>
        <v>68937</v>
      </c>
      <c r="U2014" s="21">
        <f>VLOOKUP($A2014,'2022-23 Salary &amp; Benefits'!$A:$I,6,FALSE)</f>
        <v>72728</v>
      </c>
      <c r="V2014" s="22">
        <f t="shared" si="392"/>
        <v>92720.27</v>
      </c>
      <c r="W2014" s="22">
        <f t="shared" si="393"/>
        <v>5098.8899999999994</v>
      </c>
      <c r="X2014" s="22">
        <f>'2022-23 Salary &amp; Benefits'!$G$6</f>
        <v>12558.24</v>
      </c>
      <c r="Y2014" s="23">
        <f>'2022-23 Salary &amp; Benefits'!$H$6</f>
        <v>0.2298</v>
      </c>
      <c r="Z2014" s="23">
        <f>'2022-23 Salary &amp; Benefits'!$I$6</f>
        <v>0.22339999999999999</v>
      </c>
      <c r="AA2014" s="22">
        <f t="shared" si="394"/>
        <v>39337.040000000001</v>
      </c>
      <c r="AB2014" s="22">
        <f t="shared" si="395"/>
        <v>1630.32</v>
      </c>
      <c r="AC2014" s="22">
        <f t="shared" si="396"/>
        <v>364.21</v>
      </c>
      <c r="AD2014" s="22">
        <f t="shared" si="386"/>
        <v>1994.53</v>
      </c>
      <c r="AE2014" s="22">
        <f t="shared" si="387"/>
        <v>139150.73000000001</v>
      </c>
      <c r="AF2014" s="19" t="str">
        <f>VLOOKUP(C2014,'2021-22 School Level AAFTE'!C:N,12,FALSE)</f>
        <v>No</v>
      </c>
    </row>
    <row r="2015" spans="1:32" s="5" customFormat="1">
      <c r="A2015" s="97" t="s">
        <v>2560</v>
      </c>
      <c r="B2015" s="97" t="s">
        <v>2212</v>
      </c>
      <c r="C2015" s="95">
        <v>5352</v>
      </c>
      <c r="D2015" s="95" t="s">
        <v>2219</v>
      </c>
      <c r="E2015" s="129">
        <f>VLOOKUP($C2015,'2021-22 School Level AAFTE'!$C:$Z,11,FALSE)</f>
        <v>0.79126666666666667</v>
      </c>
      <c r="F2015" s="129" t="str">
        <f>VLOOKUP($C2015,'2021-22 School Level AAFTE'!$C:$Z,8,FALSE)</f>
        <v>Yes</v>
      </c>
      <c r="G2015" s="129" t="str">
        <f>VLOOKUP($C2015,'2021-22 School Level AAFTE'!$C:$Z,12,FALSE)</f>
        <v>No</v>
      </c>
      <c r="H2015" s="127">
        <f>VLOOKUP($C2015,'2021-22 School Level AAFTE'!$C:$I,7,FALSE)</f>
        <v>4.1399999999999997</v>
      </c>
      <c r="I2015" s="112">
        <f>IFERROR(IF(OR(G2015="yes",F2015= "yes"),VLOOKUP(C2015,Summary!$B:$J,6,0),0),0)</f>
        <v>0</v>
      </c>
      <c r="J2015" s="111">
        <f t="shared" si="390"/>
        <v>4.1399999999999997</v>
      </c>
      <c r="K2015" s="91">
        <f>VLOOKUP($A2015,'2022-23 Salary &amp; Benefits'!$A:$I,3,FALSE)</f>
        <v>1</v>
      </c>
      <c r="L2015" s="91">
        <f>VLOOKUP($A2015,'2022-23 Salary &amp; Benefits'!$A:$I,4,FALSE)</f>
        <v>1</v>
      </c>
      <c r="M2015" s="101">
        <f t="shared" si="385"/>
        <v>4.1399999999999997</v>
      </c>
      <c r="N2015" s="24">
        <v>15</v>
      </c>
      <c r="O2015" s="26">
        <f t="shared" si="388"/>
        <v>0.27599999999999997</v>
      </c>
      <c r="P2015" s="24">
        <v>1.1000000000000001</v>
      </c>
      <c r="Q2015" s="24">
        <v>36</v>
      </c>
      <c r="R2015" s="27">
        <f t="shared" si="389"/>
        <v>10.929599999999999</v>
      </c>
      <c r="S2015" s="102">
        <f t="shared" si="391"/>
        <v>1.2E-2</v>
      </c>
      <c r="T2015" s="21">
        <f>VLOOKUP($A2015,'2022-23 Salary &amp; Benefits'!$A:$I,5,FALSE)</f>
        <v>68937</v>
      </c>
      <c r="U2015" s="21">
        <f>VLOOKUP($A2015,'2022-23 Salary &amp; Benefits'!$A:$I,6,FALSE)</f>
        <v>72728</v>
      </c>
      <c r="V2015" s="22">
        <f t="shared" si="392"/>
        <v>827.24</v>
      </c>
      <c r="W2015" s="22">
        <f t="shared" si="393"/>
        <v>45.5</v>
      </c>
      <c r="X2015" s="22">
        <f>'2022-23 Salary &amp; Benefits'!$G$6</f>
        <v>12558.24</v>
      </c>
      <c r="Y2015" s="23">
        <f>'2022-23 Salary &amp; Benefits'!$H$6</f>
        <v>0.2298</v>
      </c>
      <c r="Z2015" s="23">
        <f>'2022-23 Salary &amp; Benefits'!$I$6</f>
        <v>0.22339999999999999</v>
      </c>
      <c r="AA2015" s="22">
        <f t="shared" si="394"/>
        <v>350.96</v>
      </c>
      <c r="AB2015" s="22">
        <f t="shared" si="395"/>
        <v>14.55</v>
      </c>
      <c r="AC2015" s="22">
        <f t="shared" si="396"/>
        <v>3.25</v>
      </c>
      <c r="AD2015" s="22">
        <f t="shared" si="386"/>
        <v>17.8</v>
      </c>
      <c r="AE2015" s="22">
        <f t="shared" si="387"/>
        <v>1241.5</v>
      </c>
      <c r="AF2015" s="19" t="str">
        <f>VLOOKUP(C2015,'2021-22 School Level AAFTE'!C:N,12,FALSE)</f>
        <v>No</v>
      </c>
    </row>
    <row r="2016" spans="1:32" s="5" customFormat="1">
      <c r="A2016" s="97" t="s">
        <v>2376</v>
      </c>
      <c r="B2016" s="97" t="s">
        <v>1081</v>
      </c>
      <c r="C2016" s="95">
        <v>5319</v>
      </c>
      <c r="D2016" s="95" t="s">
        <v>1082</v>
      </c>
      <c r="E2016" s="129">
        <f>VLOOKUP($C2016,'2021-22 School Level AAFTE'!$C:$Z,11,FALSE)</f>
        <v>0.63726666666666665</v>
      </c>
      <c r="F2016" s="129" t="str">
        <f>VLOOKUP($C2016,'2021-22 School Level AAFTE'!$C:$Z,8,FALSE)</f>
        <v>Yes</v>
      </c>
      <c r="G2016" s="129" t="str">
        <f>VLOOKUP($C2016,'2021-22 School Level AAFTE'!$C:$Z,12,FALSE)</f>
        <v>No</v>
      </c>
      <c r="H2016" s="127">
        <f>VLOOKUP($C2016,'2021-22 School Level AAFTE'!$C:$I,7,FALSE)</f>
        <v>86</v>
      </c>
      <c r="I2016" s="112">
        <f>IFERROR(IF(OR(G2016="yes",F2016= "yes"),VLOOKUP(C2016,Summary!$B:$J,6,0),0),0)</f>
        <v>0</v>
      </c>
      <c r="J2016" s="111">
        <f t="shared" si="390"/>
        <v>86</v>
      </c>
      <c r="K2016" s="91">
        <f>VLOOKUP($A2016,'2022-23 Salary &amp; Benefits'!$A:$I,3,FALSE)</f>
        <v>1.18</v>
      </c>
      <c r="L2016" s="91">
        <f>VLOOKUP($A2016,'2022-23 Salary &amp; Benefits'!$A:$I,4,FALSE)</f>
        <v>1.18</v>
      </c>
      <c r="M2016" s="101">
        <f t="shared" si="385"/>
        <v>86</v>
      </c>
      <c r="N2016" s="24">
        <v>15</v>
      </c>
      <c r="O2016" s="26">
        <f t="shared" si="388"/>
        <v>5.7333333333333334</v>
      </c>
      <c r="P2016" s="24">
        <v>1.1000000000000001</v>
      </c>
      <c r="Q2016" s="24">
        <v>36</v>
      </c>
      <c r="R2016" s="27">
        <f t="shared" si="389"/>
        <v>227.04000000000002</v>
      </c>
      <c r="S2016" s="102">
        <f t="shared" si="391"/>
        <v>0.252</v>
      </c>
      <c r="T2016" s="21">
        <f>VLOOKUP($A2016,'2022-23 Salary &amp; Benefits'!$A:$I,5,FALSE)</f>
        <v>68937</v>
      </c>
      <c r="U2016" s="21">
        <f>VLOOKUP($A2016,'2022-23 Salary &amp; Benefits'!$A:$I,6,FALSE)</f>
        <v>72728</v>
      </c>
      <c r="V2016" s="22">
        <f t="shared" si="392"/>
        <v>20499.11</v>
      </c>
      <c r="W2016" s="22">
        <f t="shared" si="393"/>
        <v>1127.2900000000009</v>
      </c>
      <c r="X2016" s="22">
        <f>'2022-23 Salary &amp; Benefits'!$G$6</f>
        <v>12558.24</v>
      </c>
      <c r="Y2016" s="23">
        <f>'2022-23 Salary &amp; Benefits'!$H$6</f>
        <v>0.2298</v>
      </c>
      <c r="Z2016" s="23">
        <f>'2022-23 Salary &amp; Benefits'!$I$6</f>
        <v>0.22339999999999999</v>
      </c>
      <c r="AA2016" s="22">
        <f t="shared" si="394"/>
        <v>8127.21</v>
      </c>
      <c r="AB2016" s="22">
        <f t="shared" si="395"/>
        <v>360.44</v>
      </c>
      <c r="AC2016" s="22">
        <f t="shared" si="396"/>
        <v>80.52</v>
      </c>
      <c r="AD2016" s="22">
        <f t="shared" si="386"/>
        <v>440.96</v>
      </c>
      <c r="AE2016" s="22">
        <f t="shared" si="387"/>
        <v>30194.57</v>
      </c>
      <c r="AF2016" s="19" t="str">
        <f>VLOOKUP(C2016,'2021-22 School Level AAFTE'!C:N,12,FALSE)</f>
        <v>No</v>
      </c>
    </row>
    <row r="2017" spans="1:32" s="5" customFormat="1">
      <c r="A2017" s="97" t="s">
        <v>2440</v>
      </c>
      <c r="B2017" s="97" t="s">
        <v>1330</v>
      </c>
      <c r="C2017" s="95">
        <v>1514</v>
      </c>
      <c r="D2017" s="95" t="s">
        <v>3074</v>
      </c>
      <c r="E2017" s="129">
        <f>VLOOKUP($C2017,'2021-22 School Level AAFTE'!$C:$Z,11,FALSE)</f>
        <v>0</v>
      </c>
      <c r="F2017" s="129" t="str">
        <f>VLOOKUP($C2017,'2021-22 School Level AAFTE'!$C:$Z,8,FALSE)</f>
        <v>No</v>
      </c>
      <c r="G2017" s="129" t="str">
        <f>VLOOKUP($C2017,'2021-22 School Level AAFTE'!$C:$Z,12,FALSE)</f>
        <v>No</v>
      </c>
      <c r="H2017" s="127">
        <f>VLOOKUP($C2017,'2021-22 School Level AAFTE'!$C:$I,7,FALSE)</f>
        <v>7.17</v>
      </c>
      <c r="I2017" s="112">
        <f>IFERROR(IF(OR(G2017="yes",F2017= "yes"),VLOOKUP(C2017,Summary!$B:$J,6,0),0),0)</f>
        <v>0</v>
      </c>
      <c r="J2017" s="111">
        <f t="shared" si="390"/>
        <v>0</v>
      </c>
      <c r="K2017" s="91">
        <f>VLOOKUP($A2017,'2022-23 Salary &amp; Benefits'!$A:$I,3,FALSE)</f>
        <v>1.1200000000000001</v>
      </c>
      <c r="L2017" s="91">
        <f>VLOOKUP($A2017,'2022-23 Salary &amp; Benefits'!$A:$I,4,FALSE)</f>
        <v>1.1200000000000001</v>
      </c>
      <c r="M2017" s="101">
        <f t="shared" si="385"/>
        <v>0</v>
      </c>
      <c r="N2017" s="24">
        <v>15</v>
      </c>
      <c r="O2017" s="26">
        <f t="shared" si="388"/>
        <v>0</v>
      </c>
      <c r="P2017" s="24">
        <v>1.1000000000000001</v>
      </c>
      <c r="Q2017" s="24">
        <v>36</v>
      </c>
      <c r="R2017" s="27">
        <f t="shared" si="389"/>
        <v>0</v>
      </c>
      <c r="S2017" s="102">
        <f t="shared" si="391"/>
        <v>0</v>
      </c>
      <c r="T2017" s="21">
        <f>VLOOKUP($A2017,'2022-23 Salary &amp; Benefits'!$A:$I,5,FALSE)</f>
        <v>68937</v>
      </c>
      <c r="U2017" s="21">
        <f>VLOOKUP($A2017,'2022-23 Salary &amp; Benefits'!$A:$I,6,FALSE)</f>
        <v>72728</v>
      </c>
      <c r="V2017" s="22">
        <f t="shared" si="392"/>
        <v>0</v>
      </c>
      <c r="W2017" s="22">
        <f t="shared" si="393"/>
        <v>0</v>
      </c>
      <c r="X2017" s="22">
        <f>'2022-23 Salary &amp; Benefits'!$G$6</f>
        <v>12558.24</v>
      </c>
      <c r="Y2017" s="23">
        <f>'2022-23 Salary &amp; Benefits'!$H$6</f>
        <v>0.2298</v>
      </c>
      <c r="Z2017" s="23">
        <f>'2022-23 Salary &amp; Benefits'!$I$6</f>
        <v>0.22339999999999999</v>
      </c>
      <c r="AA2017" s="22">
        <f t="shared" si="394"/>
        <v>0</v>
      </c>
      <c r="AB2017" s="22">
        <f t="shared" si="395"/>
        <v>0</v>
      </c>
      <c r="AC2017" s="22">
        <f t="shared" si="396"/>
        <v>0</v>
      </c>
      <c r="AD2017" s="22">
        <f t="shared" si="386"/>
        <v>0</v>
      </c>
      <c r="AE2017" s="22">
        <f t="shared" si="387"/>
        <v>0</v>
      </c>
      <c r="AF2017" s="19" t="str">
        <f>VLOOKUP(C2017,'2021-22 School Level AAFTE'!C:N,12,FALSE)</f>
        <v>No</v>
      </c>
    </row>
    <row r="2018" spans="1:32" s="5" customFormat="1">
      <c r="A2018" s="97" t="s">
        <v>2440</v>
      </c>
      <c r="B2018" s="97" t="s">
        <v>1330</v>
      </c>
      <c r="C2018" s="95">
        <v>1585</v>
      </c>
      <c r="D2018" s="95" t="s">
        <v>2739</v>
      </c>
      <c r="E2018" s="129">
        <f>VLOOKUP($C2018,'2021-22 School Level AAFTE'!$C:$Z,11,FALSE)</f>
        <v>0.61293333333333333</v>
      </c>
      <c r="F2018" s="129" t="str">
        <f>VLOOKUP($C2018,'2021-22 School Level AAFTE'!$C:$Z,8,FALSE)</f>
        <v>Yes</v>
      </c>
      <c r="G2018" s="129" t="str">
        <f>VLOOKUP($C2018,'2021-22 School Level AAFTE'!$C:$Z,12,FALSE)</f>
        <v>No</v>
      </c>
      <c r="H2018" s="127">
        <f>VLOOKUP($C2018,'2021-22 School Level AAFTE'!$C:$I,7,FALSE)</f>
        <v>53.17</v>
      </c>
      <c r="I2018" s="112">
        <f>IFERROR(IF(OR(G2018="yes",F2018= "yes"),VLOOKUP(C2018,Summary!$B:$J,6,0),0),0)</f>
        <v>0</v>
      </c>
      <c r="J2018" s="111">
        <f t="shared" si="390"/>
        <v>53.17</v>
      </c>
      <c r="K2018" s="91">
        <f>VLOOKUP($A2018,'2022-23 Salary &amp; Benefits'!$A:$I,3,FALSE)</f>
        <v>1.1200000000000001</v>
      </c>
      <c r="L2018" s="91">
        <f>VLOOKUP($A2018,'2022-23 Salary &amp; Benefits'!$A:$I,4,FALSE)</f>
        <v>1.1200000000000001</v>
      </c>
      <c r="M2018" s="39">
        <f t="shared" si="385"/>
        <v>53.17</v>
      </c>
      <c r="N2018" s="24">
        <v>15</v>
      </c>
      <c r="O2018" s="26">
        <f t="shared" si="388"/>
        <v>3.5446666666666666</v>
      </c>
      <c r="P2018" s="24">
        <v>1.1000000000000001</v>
      </c>
      <c r="Q2018" s="24">
        <v>36</v>
      </c>
      <c r="R2018" s="27">
        <f t="shared" si="389"/>
        <v>140.36880000000002</v>
      </c>
      <c r="S2018" s="102">
        <f t="shared" si="391"/>
        <v>0.156</v>
      </c>
      <c r="T2018" s="21">
        <f>VLOOKUP($A2018,'2022-23 Salary &amp; Benefits'!$A:$I,5,FALSE)</f>
        <v>68937</v>
      </c>
      <c r="U2018" s="21">
        <f>VLOOKUP($A2018,'2022-23 Salary &amp; Benefits'!$A:$I,6,FALSE)</f>
        <v>72728</v>
      </c>
      <c r="V2018" s="22">
        <f t="shared" si="392"/>
        <v>12044.67</v>
      </c>
      <c r="W2018" s="22">
        <f t="shared" si="393"/>
        <v>662.3700000000008</v>
      </c>
      <c r="X2018" s="22">
        <f>'2022-23 Salary &amp; Benefits'!$G$6</f>
        <v>12558.24</v>
      </c>
      <c r="Y2018" s="23">
        <f>'2022-23 Salary &amp; Benefits'!$H$6</f>
        <v>0.2298</v>
      </c>
      <c r="Z2018" s="23">
        <f>'2022-23 Salary &amp; Benefits'!$I$6</f>
        <v>0.22339999999999999</v>
      </c>
      <c r="AA2018" s="22">
        <f t="shared" si="394"/>
        <v>4874.92</v>
      </c>
      <c r="AB2018" s="22">
        <f t="shared" si="395"/>
        <v>211.78</v>
      </c>
      <c r="AC2018" s="22">
        <f t="shared" si="396"/>
        <v>47.31</v>
      </c>
      <c r="AD2018" s="22">
        <f t="shared" si="386"/>
        <v>259.09000000000003</v>
      </c>
      <c r="AE2018" s="22">
        <f t="shared" si="387"/>
        <v>17841.05</v>
      </c>
      <c r="AF2018" s="19" t="str">
        <f>VLOOKUP(C2018,'2021-22 School Level AAFTE'!C:N,12,FALSE)</f>
        <v>No</v>
      </c>
    </row>
    <row r="2019" spans="1:32" s="5" customFormat="1">
      <c r="A2019" s="97" t="s">
        <v>2440</v>
      </c>
      <c r="B2019" s="97" t="s">
        <v>1330</v>
      </c>
      <c r="C2019" s="95">
        <v>1860</v>
      </c>
      <c r="D2019" s="95" t="s">
        <v>1331</v>
      </c>
      <c r="E2019" s="129">
        <f>VLOOKUP($C2019,'2021-22 School Level AAFTE'!$C:$Z,11,FALSE)</f>
        <v>0.42020000000000007</v>
      </c>
      <c r="F2019" s="129" t="str">
        <f>VLOOKUP($C2019,'2021-22 School Level AAFTE'!$C:$Z,8,FALSE)</f>
        <v>No</v>
      </c>
      <c r="G2019" s="129" t="str">
        <f>VLOOKUP($C2019,'2021-22 School Level AAFTE'!$C:$Z,12,FALSE)</f>
        <v>No</v>
      </c>
      <c r="H2019" s="127">
        <f>VLOOKUP($C2019,'2021-22 School Level AAFTE'!$C:$I,7,FALSE)</f>
        <v>589.86</v>
      </c>
      <c r="I2019" s="112">
        <f>IFERROR(IF(OR(G2019="yes",F2019= "yes"),VLOOKUP(C2019,Summary!$B:$J,6,0),0),0)</f>
        <v>0</v>
      </c>
      <c r="J2019" s="111">
        <f t="shared" si="390"/>
        <v>0</v>
      </c>
      <c r="K2019" s="91">
        <f>VLOOKUP($A2019,'2022-23 Salary &amp; Benefits'!$A:$I,3,FALSE)</f>
        <v>1.1200000000000001</v>
      </c>
      <c r="L2019" s="91">
        <f>VLOOKUP($A2019,'2022-23 Salary &amp; Benefits'!$A:$I,4,FALSE)</f>
        <v>1.1200000000000001</v>
      </c>
      <c r="M2019" s="101">
        <f t="shared" si="385"/>
        <v>0</v>
      </c>
      <c r="N2019" s="24">
        <v>15</v>
      </c>
      <c r="O2019" s="26">
        <f t="shared" si="388"/>
        <v>0</v>
      </c>
      <c r="P2019" s="24">
        <v>1.1000000000000001</v>
      </c>
      <c r="Q2019" s="24">
        <v>36</v>
      </c>
      <c r="R2019" s="27">
        <f t="shared" si="389"/>
        <v>0</v>
      </c>
      <c r="S2019" s="102">
        <f t="shared" si="391"/>
        <v>0</v>
      </c>
      <c r="T2019" s="21">
        <f>VLOOKUP($A2019,'2022-23 Salary &amp; Benefits'!$A:$I,5,FALSE)</f>
        <v>68937</v>
      </c>
      <c r="U2019" s="21">
        <f>VLOOKUP($A2019,'2022-23 Salary &amp; Benefits'!$A:$I,6,FALSE)</f>
        <v>72728</v>
      </c>
      <c r="V2019" s="22">
        <f t="shared" si="392"/>
        <v>0</v>
      </c>
      <c r="W2019" s="22">
        <f t="shared" si="393"/>
        <v>0</v>
      </c>
      <c r="X2019" s="22">
        <f>'2022-23 Salary &amp; Benefits'!$G$6</f>
        <v>12558.24</v>
      </c>
      <c r="Y2019" s="23">
        <f>'2022-23 Salary &amp; Benefits'!$H$6</f>
        <v>0.2298</v>
      </c>
      <c r="Z2019" s="23">
        <f>'2022-23 Salary &amp; Benefits'!$I$6</f>
        <v>0.22339999999999999</v>
      </c>
      <c r="AA2019" s="22">
        <f t="shared" si="394"/>
        <v>0</v>
      </c>
      <c r="AB2019" s="22">
        <f t="shared" si="395"/>
        <v>0</v>
      </c>
      <c r="AC2019" s="22">
        <f t="shared" si="396"/>
        <v>0</v>
      </c>
      <c r="AD2019" s="22">
        <f t="shared" si="386"/>
        <v>0</v>
      </c>
      <c r="AE2019" s="22">
        <f t="shared" si="387"/>
        <v>0</v>
      </c>
      <c r="AF2019" s="19" t="str">
        <f>VLOOKUP(C2019,'2021-22 School Level AAFTE'!C:N,12,FALSE)</f>
        <v>No</v>
      </c>
    </row>
    <row r="2020" spans="1:32" s="5" customFormat="1">
      <c r="A2020" s="97" t="s">
        <v>2440</v>
      </c>
      <c r="B2020" s="97" t="s">
        <v>1330</v>
      </c>
      <c r="C2020" s="95">
        <v>2036</v>
      </c>
      <c r="D2020" s="95" t="s">
        <v>1332</v>
      </c>
      <c r="E2020" s="129">
        <f>VLOOKUP($C2020,'2021-22 School Level AAFTE'!$C:$Z,11,FALSE)</f>
        <v>0.69853333333333334</v>
      </c>
      <c r="F2020" s="129" t="str">
        <f>VLOOKUP($C2020,'2021-22 School Level AAFTE'!$C:$Z,8,FALSE)</f>
        <v>Yes</v>
      </c>
      <c r="G2020" s="129" t="str">
        <f>VLOOKUP($C2020,'2021-22 School Level AAFTE'!$C:$Z,12,FALSE)</f>
        <v>No</v>
      </c>
      <c r="H2020" s="127">
        <f>VLOOKUP($C2020,'2021-22 School Level AAFTE'!$C:$I,7,FALSE)</f>
        <v>241.43</v>
      </c>
      <c r="I2020" s="112">
        <f>IFERROR(IF(OR(G2020="yes",F2020= "yes"),VLOOKUP(C2020,Summary!$B:$J,6,0),0),0)</f>
        <v>0</v>
      </c>
      <c r="J2020" s="111">
        <f t="shared" si="390"/>
        <v>241.43</v>
      </c>
      <c r="K2020" s="91">
        <f>VLOOKUP($A2020,'2022-23 Salary &amp; Benefits'!$A:$I,3,FALSE)</f>
        <v>1.1200000000000001</v>
      </c>
      <c r="L2020" s="91">
        <f>VLOOKUP($A2020,'2022-23 Salary &amp; Benefits'!$A:$I,4,FALSE)</f>
        <v>1.1200000000000001</v>
      </c>
      <c r="M2020" s="101">
        <f t="shared" si="385"/>
        <v>241.43</v>
      </c>
      <c r="N2020" s="24">
        <v>15</v>
      </c>
      <c r="O2020" s="26">
        <f t="shared" si="388"/>
        <v>16.095333333333333</v>
      </c>
      <c r="P2020" s="24">
        <v>1.1000000000000001</v>
      </c>
      <c r="Q2020" s="24">
        <v>36</v>
      </c>
      <c r="R2020" s="27">
        <f t="shared" si="389"/>
        <v>637.37520000000006</v>
      </c>
      <c r="S2020" s="102">
        <f t="shared" si="391"/>
        <v>0.70799999999999996</v>
      </c>
      <c r="T2020" s="21">
        <f>VLOOKUP($A2020,'2022-23 Salary &amp; Benefits'!$A:$I,5,FALSE)</f>
        <v>68937</v>
      </c>
      <c r="U2020" s="21">
        <f>VLOOKUP($A2020,'2022-23 Salary &amp; Benefits'!$A:$I,6,FALSE)</f>
        <v>72728</v>
      </c>
      <c r="V2020" s="22">
        <f t="shared" si="392"/>
        <v>54664.28</v>
      </c>
      <c r="W2020" s="22">
        <f t="shared" si="393"/>
        <v>3006.1100000000006</v>
      </c>
      <c r="X2020" s="22">
        <f>'2022-23 Salary &amp; Benefits'!$G$6</f>
        <v>12558.24</v>
      </c>
      <c r="Y2020" s="23">
        <f>'2022-23 Salary &amp; Benefits'!$H$6</f>
        <v>0.2298</v>
      </c>
      <c r="Z2020" s="23">
        <f>'2022-23 Salary &amp; Benefits'!$I$6</f>
        <v>0.22339999999999999</v>
      </c>
      <c r="AA2020" s="22">
        <f t="shared" si="394"/>
        <v>22124.65</v>
      </c>
      <c r="AB2020" s="22">
        <f t="shared" si="395"/>
        <v>961.17</v>
      </c>
      <c r="AC2020" s="22">
        <f t="shared" si="396"/>
        <v>214.73</v>
      </c>
      <c r="AD2020" s="22">
        <f t="shared" si="386"/>
        <v>1175.8999999999999</v>
      </c>
      <c r="AE2020" s="22">
        <f t="shared" si="387"/>
        <v>80970.939999999988</v>
      </c>
      <c r="AF2020" s="19" t="str">
        <f>VLOOKUP(C2020,'2021-22 School Level AAFTE'!C:N,12,FALSE)</f>
        <v>No</v>
      </c>
    </row>
    <row r="2021" spans="1:32" s="5" customFormat="1">
      <c r="A2021" s="97" t="s">
        <v>2440</v>
      </c>
      <c r="B2021" s="97" t="s">
        <v>1330</v>
      </c>
      <c r="C2021" s="95">
        <v>2083</v>
      </c>
      <c r="D2021" s="95" t="s">
        <v>186</v>
      </c>
      <c r="E2021" s="129">
        <f>VLOOKUP($C2021,'2021-22 School Level AAFTE'!$C:$Z,11,FALSE)</f>
        <v>0.18733333333333335</v>
      </c>
      <c r="F2021" s="129" t="str">
        <f>VLOOKUP($C2021,'2021-22 School Level AAFTE'!$C:$Z,8,FALSE)</f>
        <v>No</v>
      </c>
      <c r="G2021" s="129" t="str">
        <f>VLOOKUP($C2021,'2021-22 School Level AAFTE'!$C:$Z,12,FALSE)</f>
        <v>No</v>
      </c>
      <c r="H2021" s="127">
        <f>VLOOKUP($C2021,'2021-22 School Level AAFTE'!$C:$I,7,FALSE)</f>
        <v>335.26</v>
      </c>
      <c r="I2021" s="112">
        <f>IFERROR(IF(OR(G2021="yes",F2021= "yes"),VLOOKUP(C2021,Summary!$B:$J,6,0),0),0)</f>
        <v>0</v>
      </c>
      <c r="J2021" s="111">
        <f t="shared" si="390"/>
        <v>0</v>
      </c>
      <c r="K2021" s="91">
        <f>VLOOKUP($A2021,'2022-23 Salary &amp; Benefits'!$A:$I,3,FALSE)</f>
        <v>1.1200000000000001</v>
      </c>
      <c r="L2021" s="91">
        <f>VLOOKUP($A2021,'2022-23 Salary &amp; Benefits'!$A:$I,4,FALSE)</f>
        <v>1.1200000000000001</v>
      </c>
      <c r="M2021" s="101">
        <f t="shared" si="385"/>
        <v>0</v>
      </c>
      <c r="N2021" s="24">
        <v>15</v>
      </c>
      <c r="O2021" s="26">
        <f t="shared" si="388"/>
        <v>0</v>
      </c>
      <c r="P2021" s="24">
        <v>1.1000000000000001</v>
      </c>
      <c r="Q2021" s="24">
        <v>36</v>
      </c>
      <c r="R2021" s="27">
        <f t="shared" si="389"/>
        <v>0</v>
      </c>
      <c r="S2021" s="102">
        <f t="shared" si="391"/>
        <v>0</v>
      </c>
      <c r="T2021" s="21">
        <f>VLOOKUP($A2021,'2022-23 Salary &amp; Benefits'!$A:$I,5,FALSE)</f>
        <v>68937</v>
      </c>
      <c r="U2021" s="21">
        <f>VLOOKUP($A2021,'2022-23 Salary &amp; Benefits'!$A:$I,6,FALSE)</f>
        <v>72728</v>
      </c>
      <c r="V2021" s="22">
        <f t="shared" si="392"/>
        <v>0</v>
      </c>
      <c r="W2021" s="22">
        <f t="shared" si="393"/>
        <v>0</v>
      </c>
      <c r="X2021" s="22">
        <f>'2022-23 Salary &amp; Benefits'!$G$6</f>
        <v>12558.24</v>
      </c>
      <c r="Y2021" s="23">
        <f>'2022-23 Salary &amp; Benefits'!$H$6</f>
        <v>0.2298</v>
      </c>
      <c r="Z2021" s="23">
        <f>'2022-23 Salary &amp; Benefits'!$I$6</f>
        <v>0.22339999999999999</v>
      </c>
      <c r="AA2021" s="22">
        <f t="shared" si="394"/>
        <v>0</v>
      </c>
      <c r="AB2021" s="22">
        <f t="shared" si="395"/>
        <v>0</v>
      </c>
      <c r="AC2021" s="22">
        <f t="shared" si="396"/>
        <v>0</v>
      </c>
      <c r="AD2021" s="22">
        <f t="shared" si="386"/>
        <v>0</v>
      </c>
      <c r="AE2021" s="22">
        <f t="shared" si="387"/>
        <v>0</v>
      </c>
      <c r="AF2021" s="19" t="str">
        <f>VLOOKUP(C2021,'2021-22 School Level AAFTE'!C:N,12,FALSE)</f>
        <v>No</v>
      </c>
    </row>
    <row r="2022" spans="1:32" s="5" customFormat="1">
      <c r="A2022" s="97" t="s">
        <v>2440</v>
      </c>
      <c r="B2022" s="97" t="s">
        <v>1330</v>
      </c>
      <c r="C2022" s="95">
        <v>2084</v>
      </c>
      <c r="D2022" s="95" t="s">
        <v>1333</v>
      </c>
      <c r="E2022" s="129">
        <f>VLOOKUP($C2022,'2021-22 School Level AAFTE'!$C:$Z,11,FALSE)</f>
        <v>0.32540000000000002</v>
      </c>
      <c r="F2022" s="129" t="str">
        <f>VLOOKUP($C2022,'2021-22 School Level AAFTE'!$C:$Z,8,FALSE)</f>
        <v>No</v>
      </c>
      <c r="G2022" s="129" t="str">
        <f>VLOOKUP($C2022,'2021-22 School Level AAFTE'!$C:$Z,12,FALSE)</f>
        <v>No</v>
      </c>
      <c r="H2022" s="127">
        <f>VLOOKUP($C2022,'2021-22 School Level AAFTE'!$C:$I,7,FALSE)</f>
        <v>1513.06</v>
      </c>
      <c r="I2022" s="112">
        <f>IFERROR(IF(OR(G2022="yes",F2022= "yes"),VLOOKUP(C2022,Summary!$B:$J,6,0),0),0)</f>
        <v>0</v>
      </c>
      <c r="J2022" s="111">
        <f t="shared" si="390"/>
        <v>0</v>
      </c>
      <c r="K2022" s="91">
        <f>VLOOKUP($A2022,'2022-23 Salary &amp; Benefits'!$A:$I,3,FALSE)</f>
        <v>1.1200000000000001</v>
      </c>
      <c r="L2022" s="91">
        <f>VLOOKUP($A2022,'2022-23 Salary &amp; Benefits'!$A:$I,4,FALSE)</f>
        <v>1.1200000000000001</v>
      </c>
      <c r="M2022" s="101">
        <f t="shared" si="385"/>
        <v>0</v>
      </c>
      <c r="N2022" s="24">
        <v>15</v>
      </c>
      <c r="O2022" s="26">
        <f t="shared" si="388"/>
        <v>0</v>
      </c>
      <c r="P2022" s="24">
        <v>1.1000000000000001</v>
      </c>
      <c r="Q2022" s="24">
        <v>36</v>
      </c>
      <c r="R2022" s="27">
        <f t="shared" si="389"/>
        <v>0</v>
      </c>
      <c r="S2022" s="102">
        <f t="shared" si="391"/>
        <v>0</v>
      </c>
      <c r="T2022" s="21">
        <f>VLOOKUP($A2022,'2022-23 Salary &amp; Benefits'!$A:$I,5,FALSE)</f>
        <v>68937</v>
      </c>
      <c r="U2022" s="21">
        <f>VLOOKUP($A2022,'2022-23 Salary &amp; Benefits'!$A:$I,6,FALSE)</f>
        <v>72728</v>
      </c>
      <c r="V2022" s="22">
        <f t="shared" si="392"/>
        <v>0</v>
      </c>
      <c r="W2022" s="22">
        <f t="shared" si="393"/>
        <v>0</v>
      </c>
      <c r="X2022" s="22">
        <f>'2022-23 Salary &amp; Benefits'!$G$6</f>
        <v>12558.24</v>
      </c>
      <c r="Y2022" s="23">
        <f>'2022-23 Salary &amp; Benefits'!$H$6</f>
        <v>0.2298</v>
      </c>
      <c r="Z2022" s="23">
        <f>'2022-23 Salary &amp; Benefits'!$I$6</f>
        <v>0.22339999999999999</v>
      </c>
      <c r="AA2022" s="22">
        <f t="shared" si="394"/>
        <v>0</v>
      </c>
      <c r="AB2022" s="22">
        <f t="shared" si="395"/>
        <v>0</v>
      </c>
      <c r="AC2022" s="22">
        <f t="shared" si="396"/>
        <v>0</v>
      </c>
      <c r="AD2022" s="22">
        <f t="shared" si="386"/>
        <v>0</v>
      </c>
      <c r="AE2022" s="22">
        <f t="shared" si="387"/>
        <v>0</v>
      </c>
      <c r="AF2022" s="19" t="str">
        <f>VLOOKUP(C2022,'2021-22 School Level AAFTE'!C:N,12,FALSE)</f>
        <v>No</v>
      </c>
    </row>
    <row r="2023" spans="1:32" s="5" customFormat="1">
      <c r="A2023" s="97" t="s">
        <v>2440</v>
      </c>
      <c r="B2023" s="97" t="s">
        <v>1330</v>
      </c>
      <c r="C2023" s="95">
        <v>2094</v>
      </c>
      <c r="D2023" s="95" t="s">
        <v>1334</v>
      </c>
      <c r="E2023" s="129">
        <f>VLOOKUP($C2023,'2021-22 School Level AAFTE'!$C:$Z,11,FALSE)</f>
        <v>0.71196666666666675</v>
      </c>
      <c r="F2023" s="129" t="str">
        <f>VLOOKUP($C2023,'2021-22 School Level AAFTE'!$C:$Z,8,FALSE)</f>
        <v>Yes</v>
      </c>
      <c r="G2023" s="129" t="str">
        <f>VLOOKUP($C2023,'2021-22 School Level AAFTE'!$C:$Z,12,FALSE)</f>
        <v>No</v>
      </c>
      <c r="H2023" s="127">
        <f>VLOOKUP($C2023,'2021-22 School Level AAFTE'!$C:$I,7,FALSE)</f>
        <v>475.57</v>
      </c>
      <c r="I2023" s="112">
        <f>IFERROR(IF(OR(G2023="yes",F2023= "yes"),VLOOKUP(C2023,Summary!$B:$J,6,0),0),0)</f>
        <v>0</v>
      </c>
      <c r="J2023" s="111">
        <f t="shared" si="390"/>
        <v>475.57</v>
      </c>
      <c r="K2023" s="91">
        <f>VLOOKUP($A2023,'2022-23 Salary &amp; Benefits'!$A:$I,3,FALSE)</f>
        <v>1.1200000000000001</v>
      </c>
      <c r="L2023" s="91">
        <f>VLOOKUP($A2023,'2022-23 Salary &amp; Benefits'!$A:$I,4,FALSE)</f>
        <v>1.1200000000000001</v>
      </c>
      <c r="M2023" s="101">
        <f t="shared" si="385"/>
        <v>475.57</v>
      </c>
      <c r="N2023" s="24">
        <v>15</v>
      </c>
      <c r="O2023" s="26">
        <f t="shared" si="388"/>
        <v>31.704666666666665</v>
      </c>
      <c r="P2023" s="24">
        <v>1.1000000000000001</v>
      </c>
      <c r="Q2023" s="24">
        <v>36</v>
      </c>
      <c r="R2023" s="27">
        <f t="shared" si="389"/>
        <v>1255.5047999999999</v>
      </c>
      <c r="S2023" s="102">
        <f t="shared" si="391"/>
        <v>1.395</v>
      </c>
      <c r="T2023" s="21">
        <f>VLOOKUP($A2023,'2022-23 Salary &amp; Benefits'!$A:$I,5,FALSE)</f>
        <v>68937</v>
      </c>
      <c r="U2023" s="21">
        <f>VLOOKUP($A2023,'2022-23 Salary &amp; Benefits'!$A:$I,6,FALSE)</f>
        <v>72728</v>
      </c>
      <c r="V2023" s="22">
        <f t="shared" si="392"/>
        <v>107707.17</v>
      </c>
      <c r="W2023" s="22">
        <f t="shared" si="393"/>
        <v>5923.0599999999977</v>
      </c>
      <c r="X2023" s="22">
        <f>'2022-23 Salary &amp; Benefits'!$G$6</f>
        <v>12558.24</v>
      </c>
      <c r="Y2023" s="23">
        <f>'2022-23 Salary &amp; Benefits'!$H$6</f>
        <v>0.2298</v>
      </c>
      <c r="Z2023" s="23">
        <f>'2022-23 Salary &amp; Benefits'!$I$6</f>
        <v>0.22339999999999999</v>
      </c>
      <c r="AA2023" s="22">
        <f t="shared" si="394"/>
        <v>43593.06</v>
      </c>
      <c r="AB2023" s="22">
        <f t="shared" si="395"/>
        <v>1893.84</v>
      </c>
      <c r="AC2023" s="22">
        <f t="shared" si="396"/>
        <v>423.08</v>
      </c>
      <c r="AD2023" s="22">
        <f t="shared" si="386"/>
        <v>2316.92</v>
      </c>
      <c r="AE2023" s="22">
        <f t="shared" si="387"/>
        <v>159540.21</v>
      </c>
      <c r="AF2023" s="19" t="str">
        <f>VLOOKUP(C2023,'2021-22 School Level AAFTE'!C:N,12,FALSE)</f>
        <v>No</v>
      </c>
    </row>
    <row r="2024" spans="1:32" s="5" customFormat="1">
      <c r="A2024" s="97" t="s">
        <v>2440</v>
      </c>
      <c r="B2024" s="97" t="s">
        <v>1330</v>
      </c>
      <c r="C2024" s="95">
        <v>2103</v>
      </c>
      <c r="D2024" s="95" t="s">
        <v>1335</v>
      </c>
      <c r="E2024" s="129">
        <f>VLOOKUP($C2024,'2021-22 School Level AAFTE'!$C:$Z,11,FALSE)</f>
        <v>0.40160000000000001</v>
      </c>
      <c r="F2024" s="129" t="str">
        <f>VLOOKUP($C2024,'2021-22 School Level AAFTE'!$C:$Z,8,FALSE)</f>
        <v>No</v>
      </c>
      <c r="G2024" s="129" t="str">
        <f>VLOOKUP($C2024,'2021-22 School Level AAFTE'!$C:$Z,12,FALSE)</f>
        <v>No</v>
      </c>
      <c r="H2024" s="127">
        <f>VLOOKUP($C2024,'2021-22 School Level AAFTE'!$C:$I,7,FALSE)</f>
        <v>269.14</v>
      </c>
      <c r="I2024" s="112">
        <f>IFERROR(IF(OR(G2024="yes",F2024= "yes"),VLOOKUP(C2024,Summary!$B:$J,6,0),0),0)</f>
        <v>0</v>
      </c>
      <c r="J2024" s="111">
        <f t="shared" si="390"/>
        <v>0</v>
      </c>
      <c r="K2024" s="91">
        <f>VLOOKUP($A2024,'2022-23 Salary &amp; Benefits'!$A:$I,3,FALSE)</f>
        <v>1.1200000000000001</v>
      </c>
      <c r="L2024" s="91">
        <f>VLOOKUP($A2024,'2022-23 Salary &amp; Benefits'!$A:$I,4,FALSE)</f>
        <v>1.1200000000000001</v>
      </c>
      <c r="M2024" s="101">
        <f t="shared" si="385"/>
        <v>0</v>
      </c>
      <c r="N2024" s="24">
        <v>15</v>
      </c>
      <c r="O2024" s="26">
        <f t="shared" si="388"/>
        <v>0</v>
      </c>
      <c r="P2024" s="24">
        <v>1.1000000000000001</v>
      </c>
      <c r="Q2024" s="24">
        <v>36</v>
      </c>
      <c r="R2024" s="27">
        <f t="shared" si="389"/>
        <v>0</v>
      </c>
      <c r="S2024" s="102">
        <f t="shared" si="391"/>
        <v>0</v>
      </c>
      <c r="T2024" s="21">
        <f>VLOOKUP($A2024,'2022-23 Salary &amp; Benefits'!$A:$I,5,FALSE)</f>
        <v>68937</v>
      </c>
      <c r="U2024" s="21">
        <f>VLOOKUP($A2024,'2022-23 Salary &amp; Benefits'!$A:$I,6,FALSE)</f>
        <v>72728</v>
      </c>
      <c r="V2024" s="22">
        <f t="shared" si="392"/>
        <v>0</v>
      </c>
      <c r="W2024" s="22">
        <f t="shared" si="393"/>
        <v>0</v>
      </c>
      <c r="X2024" s="22">
        <f>'2022-23 Salary &amp; Benefits'!$G$6</f>
        <v>12558.24</v>
      </c>
      <c r="Y2024" s="23">
        <f>'2022-23 Salary &amp; Benefits'!$H$6</f>
        <v>0.2298</v>
      </c>
      <c r="Z2024" s="23">
        <f>'2022-23 Salary &amp; Benefits'!$I$6</f>
        <v>0.22339999999999999</v>
      </c>
      <c r="AA2024" s="22">
        <f t="shared" si="394"/>
        <v>0</v>
      </c>
      <c r="AB2024" s="22">
        <f t="shared" si="395"/>
        <v>0</v>
      </c>
      <c r="AC2024" s="22">
        <f t="shared" si="396"/>
        <v>0</v>
      </c>
      <c r="AD2024" s="22">
        <f t="shared" si="386"/>
        <v>0</v>
      </c>
      <c r="AE2024" s="22">
        <f t="shared" si="387"/>
        <v>0</v>
      </c>
      <c r="AF2024" s="19" t="str">
        <f>VLOOKUP(C2024,'2021-22 School Level AAFTE'!C:N,12,FALSE)</f>
        <v>No</v>
      </c>
    </row>
    <row r="2025" spans="1:32" s="5" customFormat="1">
      <c r="A2025" s="97" t="s">
        <v>2440</v>
      </c>
      <c r="B2025" s="97" t="s">
        <v>1330</v>
      </c>
      <c r="C2025" s="95">
        <v>2148</v>
      </c>
      <c r="D2025" s="95" t="s">
        <v>1336</v>
      </c>
      <c r="E2025" s="129">
        <f>VLOOKUP($C2025,'2021-22 School Level AAFTE'!$C:$Z,11,FALSE)</f>
        <v>0.69476666666666664</v>
      </c>
      <c r="F2025" s="129" t="str">
        <f>VLOOKUP($C2025,'2021-22 School Level AAFTE'!$C:$Z,8,FALSE)</f>
        <v>Yes</v>
      </c>
      <c r="G2025" s="129" t="str">
        <f>VLOOKUP($C2025,'2021-22 School Level AAFTE'!$C:$Z,12,FALSE)</f>
        <v>No</v>
      </c>
      <c r="H2025" s="127">
        <f>VLOOKUP($C2025,'2021-22 School Level AAFTE'!$C:$I,7,FALSE)</f>
        <v>223</v>
      </c>
      <c r="I2025" s="112">
        <f>IFERROR(IF(OR(G2025="yes",F2025= "yes"),VLOOKUP(C2025,Summary!$B:$J,6,0),0),0)</f>
        <v>0</v>
      </c>
      <c r="J2025" s="111">
        <f t="shared" si="390"/>
        <v>223</v>
      </c>
      <c r="K2025" s="91">
        <f>VLOOKUP($A2025,'2022-23 Salary &amp; Benefits'!$A:$I,3,FALSE)</f>
        <v>1.1200000000000001</v>
      </c>
      <c r="L2025" s="91">
        <f>VLOOKUP($A2025,'2022-23 Salary &amp; Benefits'!$A:$I,4,FALSE)</f>
        <v>1.1200000000000001</v>
      </c>
      <c r="M2025" s="39">
        <f t="shared" si="385"/>
        <v>223</v>
      </c>
      <c r="N2025" s="24">
        <v>15</v>
      </c>
      <c r="O2025" s="26">
        <f t="shared" si="388"/>
        <v>14.866666666666667</v>
      </c>
      <c r="P2025" s="24">
        <v>1.1000000000000001</v>
      </c>
      <c r="Q2025" s="24">
        <v>36</v>
      </c>
      <c r="R2025" s="27">
        <f t="shared" si="389"/>
        <v>588.72</v>
      </c>
      <c r="S2025" s="102">
        <f t="shared" si="391"/>
        <v>0.65400000000000003</v>
      </c>
      <c r="T2025" s="21">
        <f>VLOOKUP($A2025,'2022-23 Salary &amp; Benefits'!$A:$I,5,FALSE)</f>
        <v>68937</v>
      </c>
      <c r="U2025" s="21">
        <f>VLOOKUP($A2025,'2022-23 Salary &amp; Benefits'!$A:$I,6,FALSE)</f>
        <v>72728</v>
      </c>
      <c r="V2025" s="22">
        <f t="shared" si="392"/>
        <v>50494.97</v>
      </c>
      <c r="W2025" s="22">
        <f t="shared" si="393"/>
        <v>2776.8399999999965</v>
      </c>
      <c r="X2025" s="22">
        <f>'2022-23 Salary &amp; Benefits'!$G$6</f>
        <v>12558.24</v>
      </c>
      <c r="Y2025" s="23">
        <f>'2022-23 Salary &amp; Benefits'!$H$6</f>
        <v>0.2298</v>
      </c>
      <c r="Z2025" s="23">
        <f>'2022-23 Salary &amp; Benefits'!$I$6</f>
        <v>0.22339999999999999</v>
      </c>
      <c r="AA2025" s="22">
        <f t="shared" si="394"/>
        <v>20437.18</v>
      </c>
      <c r="AB2025" s="22">
        <f t="shared" si="395"/>
        <v>887.86</v>
      </c>
      <c r="AC2025" s="22">
        <f t="shared" si="396"/>
        <v>198.35</v>
      </c>
      <c r="AD2025" s="22">
        <f t="shared" si="386"/>
        <v>1086.21</v>
      </c>
      <c r="AE2025" s="22">
        <f t="shared" si="387"/>
        <v>74795.199999999997</v>
      </c>
      <c r="AF2025" s="19" t="str">
        <f>VLOOKUP(C2025,'2021-22 School Level AAFTE'!C:N,12,FALSE)</f>
        <v>No</v>
      </c>
    </row>
    <row r="2026" spans="1:32" s="5" customFormat="1">
      <c r="A2026" s="97" t="s">
        <v>2440</v>
      </c>
      <c r="B2026" s="97" t="s">
        <v>1330</v>
      </c>
      <c r="C2026" s="95">
        <v>2167</v>
      </c>
      <c r="D2026" s="95" t="s">
        <v>1337</v>
      </c>
      <c r="E2026" s="129">
        <f>VLOOKUP($C2026,'2021-22 School Level AAFTE'!$C:$Z,11,FALSE)</f>
        <v>0.67249999999999999</v>
      </c>
      <c r="F2026" s="129" t="str">
        <f>VLOOKUP($C2026,'2021-22 School Level AAFTE'!$C:$Z,8,FALSE)</f>
        <v>Yes</v>
      </c>
      <c r="G2026" s="129" t="str">
        <f>VLOOKUP($C2026,'2021-22 School Level AAFTE'!$C:$Z,12,FALSE)</f>
        <v>No</v>
      </c>
      <c r="H2026" s="127">
        <f>VLOOKUP($C2026,'2021-22 School Level AAFTE'!$C:$I,7,FALSE)</f>
        <v>244.43</v>
      </c>
      <c r="I2026" s="112">
        <f>IFERROR(IF(OR(G2026="yes",F2026= "yes"),VLOOKUP(C2026,Summary!$B:$J,6,0),0),0)</f>
        <v>0</v>
      </c>
      <c r="J2026" s="111">
        <f t="shared" si="390"/>
        <v>244.43</v>
      </c>
      <c r="K2026" s="91">
        <f>VLOOKUP($A2026,'2022-23 Salary &amp; Benefits'!$A:$I,3,FALSE)</f>
        <v>1.1200000000000001</v>
      </c>
      <c r="L2026" s="91">
        <f>VLOOKUP($A2026,'2022-23 Salary &amp; Benefits'!$A:$I,4,FALSE)</f>
        <v>1.1200000000000001</v>
      </c>
      <c r="M2026" s="101">
        <f t="shared" si="385"/>
        <v>244.43</v>
      </c>
      <c r="N2026" s="24">
        <v>15</v>
      </c>
      <c r="O2026" s="26">
        <f t="shared" si="388"/>
        <v>16.295333333333335</v>
      </c>
      <c r="P2026" s="24">
        <v>1.1000000000000001</v>
      </c>
      <c r="Q2026" s="24">
        <v>36</v>
      </c>
      <c r="R2026" s="27">
        <f t="shared" si="389"/>
        <v>645.29520000000014</v>
      </c>
      <c r="S2026" s="102">
        <f t="shared" si="391"/>
        <v>0.71699999999999997</v>
      </c>
      <c r="T2026" s="21">
        <f>VLOOKUP($A2026,'2022-23 Salary &amp; Benefits'!$A:$I,5,FALSE)</f>
        <v>68937</v>
      </c>
      <c r="U2026" s="21">
        <f>VLOOKUP($A2026,'2022-23 Salary &amp; Benefits'!$A:$I,6,FALSE)</f>
        <v>72728</v>
      </c>
      <c r="V2026" s="22">
        <f t="shared" si="392"/>
        <v>55359.17</v>
      </c>
      <c r="W2026" s="22">
        <f t="shared" si="393"/>
        <v>3044.3199999999997</v>
      </c>
      <c r="X2026" s="22">
        <f>'2022-23 Salary &amp; Benefits'!$G$6</f>
        <v>12558.24</v>
      </c>
      <c r="Y2026" s="23">
        <f>'2022-23 Salary &amp; Benefits'!$H$6</f>
        <v>0.2298</v>
      </c>
      <c r="Z2026" s="23">
        <f>'2022-23 Salary &amp; Benefits'!$I$6</f>
        <v>0.22339999999999999</v>
      </c>
      <c r="AA2026" s="22">
        <f t="shared" si="394"/>
        <v>22405.9</v>
      </c>
      <c r="AB2026" s="22">
        <f t="shared" si="395"/>
        <v>973.39</v>
      </c>
      <c r="AC2026" s="22">
        <f t="shared" si="396"/>
        <v>217.46</v>
      </c>
      <c r="AD2026" s="22">
        <f t="shared" si="386"/>
        <v>1190.8499999999999</v>
      </c>
      <c r="AE2026" s="22">
        <f t="shared" si="387"/>
        <v>82000.24000000002</v>
      </c>
      <c r="AF2026" s="19" t="str">
        <f>VLOOKUP(C2026,'2021-22 School Level AAFTE'!C:N,12,FALSE)</f>
        <v>No</v>
      </c>
    </row>
    <row r="2027" spans="1:32" s="5" customFormat="1">
      <c r="A2027" s="97" t="s">
        <v>2440</v>
      </c>
      <c r="B2027" s="97" t="s">
        <v>1330</v>
      </c>
      <c r="C2027" s="95">
        <v>2168</v>
      </c>
      <c r="D2027" s="95" t="s">
        <v>1338</v>
      </c>
      <c r="E2027" s="129">
        <f>VLOOKUP($C2027,'2021-22 School Level AAFTE'!$C:$Z,11,FALSE)</f>
        <v>0.7019333333333333</v>
      </c>
      <c r="F2027" s="129" t="str">
        <f>VLOOKUP($C2027,'2021-22 School Level AAFTE'!$C:$Z,8,FALSE)</f>
        <v>Yes</v>
      </c>
      <c r="G2027" s="129" t="str">
        <f>VLOOKUP($C2027,'2021-22 School Level AAFTE'!$C:$Z,12,FALSE)</f>
        <v>No</v>
      </c>
      <c r="H2027" s="127">
        <f>VLOOKUP($C2027,'2021-22 School Level AAFTE'!$C:$I,7,FALSE)</f>
        <v>412.14</v>
      </c>
      <c r="I2027" s="112">
        <f>IFERROR(IF(OR(G2027="yes",F2027= "yes"),VLOOKUP(C2027,Summary!$B:$J,6,0),0),0)</f>
        <v>0</v>
      </c>
      <c r="J2027" s="111">
        <f t="shared" si="390"/>
        <v>412.14</v>
      </c>
      <c r="K2027" s="91">
        <f>VLOOKUP($A2027,'2022-23 Salary &amp; Benefits'!$A:$I,3,FALSE)</f>
        <v>1.1200000000000001</v>
      </c>
      <c r="L2027" s="91">
        <f>VLOOKUP($A2027,'2022-23 Salary &amp; Benefits'!$A:$I,4,FALSE)</f>
        <v>1.1200000000000001</v>
      </c>
      <c r="M2027" s="101">
        <f t="shared" si="385"/>
        <v>412.14</v>
      </c>
      <c r="N2027" s="24">
        <v>15</v>
      </c>
      <c r="O2027" s="26">
        <f t="shared" si="388"/>
        <v>27.475999999999999</v>
      </c>
      <c r="P2027" s="24">
        <v>1.1000000000000001</v>
      </c>
      <c r="Q2027" s="24">
        <v>36</v>
      </c>
      <c r="R2027" s="27">
        <f t="shared" si="389"/>
        <v>1088.0496000000001</v>
      </c>
      <c r="S2027" s="102">
        <f t="shared" si="391"/>
        <v>1.2090000000000001</v>
      </c>
      <c r="T2027" s="21">
        <f>VLOOKUP($A2027,'2022-23 Salary &amp; Benefits'!$A:$I,5,FALSE)</f>
        <v>68937</v>
      </c>
      <c r="U2027" s="21">
        <f>VLOOKUP($A2027,'2022-23 Salary &amp; Benefits'!$A:$I,6,FALSE)</f>
        <v>72728</v>
      </c>
      <c r="V2027" s="22">
        <f t="shared" si="392"/>
        <v>93346.21</v>
      </c>
      <c r="W2027" s="22">
        <f t="shared" si="393"/>
        <v>5133.3199999999924</v>
      </c>
      <c r="X2027" s="22">
        <f>'2022-23 Salary &amp; Benefits'!$G$6</f>
        <v>12558.24</v>
      </c>
      <c r="Y2027" s="23">
        <f>'2022-23 Salary &amp; Benefits'!$H$6</f>
        <v>0.2298</v>
      </c>
      <c r="Z2027" s="23">
        <f>'2022-23 Salary &amp; Benefits'!$I$6</f>
        <v>0.22339999999999999</v>
      </c>
      <c r="AA2027" s="22">
        <f t="shared" si="394"/>
        <v>37780.65</v>
      </c>
      <c r="AB2027" s="22">
        <f t="shared" si="395"/>
        <v>1641.33</v>
      </c>
      <c r="AC2027" s="22">
        <f t="shared" si="396"/>
        <v>366.67</v>
      </c>
      <c r="AD2027" s="22">
        <f t="shared" si="386"/>
        <v>2008</v>
      </c>
      <c r="AE2027" s="22">
        <f t="shared" si="387"/>
        <v>138268.18</v>
      </c>
      <c r="AF2027" s="19" t="str">
        <f>VLOOKUP(C2027,'2021-22 School Level AAFTE'!C:N,12,FALSE)</f>
        <v>No</v>
      </c>
    </row>
    <row r="2028" spans="1:32" s="5" customFormat="1">
      <c r="A2028" s="97" t="s">
        <v>2440</v>
      </c>
      <c r="B2028" s="97" t="s">
        <v>1330</v>
      </c>
      <c r="C2028" s="95">
        <v>2169</v>
      </c>
      <c r="D2028" s="95" t="s">
        <v>1339</v>
      </c>
      <c r="E2028" s="129">
        <f>VLOOKUP($C2028,'2021-22 School Level AAFTE'!$C:$Z,11,FALSE)</f>
        <v>0.30696666666666667</v>
      </c>
      <c r="F2028" s="129" t="str">
        <f>VLOOKUP($C2028,'2021-22 School Level AAFTE'!$C:$Z,8,FALSE)</f>
        <v>No</v>
      </c>
      <c r="G2028" s="129" t="str">
        <f>VLOOKUP($C2028,'2021-22 School Level AAFTE'!$C:$Z,12,FALSE)</f>
        <v>No</v>
      </c>
      <c r="H2028" s="127">
        <f>VLOOKUP($C2028,'2021-22 School Level AAFTE'!$C:$I,7,FALSE)</f>
        <v>323.57</v>
      </c>
      <c r="I2028" s="112">
        <f>IFERROR(IF(OR(G2028="yes",F2028= "yes"),VLOOKUP(C2028,Summary!$B:$J,6,0),0),0)</f>
        <v>0</v>
      </c>
      <c r="J2028" s="111">
        <f t="shared" si="390"/>
        <v>0</v>
      </c>
      <c r="K2028" s="91">
        <f>VLOOKUP($A2028,'2022-23 Salary &amp; Benefits'!$A:$I,3,FALSE)</f>
        <v>1.1200000000000001</v>
      </c>
      <c r="L2028" s="91">
        <f>VLOOKUP($A2028,'2022-23 Salary &amp; Benefits'!$A:$I,4,FALSE)</f>
        <v>1.1200000000000001</v>
      </c>
      <c r="M2028" s="101">
        <f t="shared" si="385"/>
        <v>0</v>
      </c>
      <c r="N2028" s="24">
        <v>15</v>
      </c>
      <c r="O2028" s="26">
        <f t="shared" si="388"/>
        <v>0</v>
      </c>
      <c r="P2028" s="24">
        <v>1.1000000000000001</v>
      </c>
      <c r="Q2028" s="24">
        <v>36</v>
      </c>
      <c r="R2028" s="27">
        <f t="shared" si="389"/>
        <v>0</v>
      </c>
      <c r="S2028" s="102">
        <f t="shared" si="391"/>
        <v>0</v>
      </c>
      <c r="T2028" s="21">
        <f>VLOOKUP($A2028,'2022-23 Salary &amp; Benefits'!$A:$I,5,FALSE)</f>
        <v>68937</v>
      </c>
      <c r="U2028" s="21">
        <f>VLOOKUP($A2028,'2022-23 Salary &amp; Benefits'!$A:$I,6,FALSE)</f>
        <v>72728</v>
      </c>
      <c r="V2028" s="22">
        <f t="shared" si="392"/>
        <v>0</v>
      </c>
      <c r="W2028" s="22">
        <f t="shared" si="393"/>
        <v>0</v>
      </c>
      <c r="X2028" s="22">
        <f>'2022-23 Salary &amp; Benefits'!$G$6</f>
        <v>12558.24</v>
      </c>
      <c r="Y2028" s="23">
        <f>'2022-23 Salary &amp; Benefits'!$H$6</f>
        <v>0.2298</v>
      </c>
      <c r="Z2028" s="23">
        <f>'2022-23 Salary &amp; Benefits'!$I$6</f>
        <v>0.22339999999999999</v>
      </c>
      <c r="AA2028" s="22">
        <f t="shared" si="394"/>
        <v>0</v>
      </c>
      <c r="AB2028" s="22">
        <f t="shared" si="395"/>
        <v>0</v>
      </c>
      <c r="AC2028" s="22">
        <f t="shared" si="396"/>
        <v>0</v>
      </c>
      <c r="AD2028" s="22">
        <f t="shared" si="386"/>
        <v>0</v>
      </c>
      <c r="AE2028" s="22">
        <f t="shared" si="387"/>
        <v>0</v>
      </c>
      <c r="AF2028" s="19" t="str">
        <f>VLOOKUP(C2028,'2021-22 School Level AAFTE'!C:N,12,FALSE)</f>
        <v>No</v>
      </c>
    </row>
    <row r="2029" spans="1:32" s="5" customFormat="1">
      <c r="A2029" s="97" t="s">
        <v>2440</v>
      </c>
      <c r="B2029" s="97" t="s">
        <v>1330</v>
      </c>
      <c r="C2029" s="95">
        <v>2215</v>
      </c>
      <c r="D2029" s="95" t="s">
        <v>1340</v>
      </c>
      <c r="E2029" s="129">
        <f>VLOOKUP($C2029,'2021-22 School Level AAFTE'!$C:$Z,11,FALSE)</f>
        <v>0.73669999999999991</v>
      </c>
      <c r="F2029" s="129" t="str">
        <f>VLOOKUP($C2029,'2021-22 School Level AAFTE'!$C:$Z,8,FALSE)</f>
        <v>Yes</v>
      </c>
      <c r="G2029" s="129" t="str">
        <f>VLOOKUP($C2029,'2021-22 School Level AAFTE'!$C:$Z,12,FALSE)</f>
        <v>No</v>
      </c>
      <c r="H2029" s="127">
        <f>VLOOKUP($C2029,'2021-22 School Level AAFTE'!$C:$I,7,FALSE)</f>
        <v>1568.76</v>
      </c>
      <c r="I2029" s="112">
        <f>IFERROR(IF(OR(G2029="yes",F2029= "yes"),VLOOKUP(C2029,Summary!$B:$J,6,0),0),0)</f>
        <v>0</v>
      </c>
      <c r="J2029" s="111">
        <f t="shared" si="390"/>
        <v>1568.76</v>
      </c>
      <c r="K2029" s="91">
        <f>VLOOKUP($A2029,'2022-23 Salary &amp; Benefits'!$A:$I,3,FALSE)</f>
        <v>1.1200000000000001</v>
      </c>
      <c r="L2029" s="91">
        <f>VLOOKUP($A2029,'2022-23 Salary &amp; Benefits'!$A:$I,4,FALSE)</f>
        <v>1.1200000000000001</v>
      </c>
      <c r="M2029" s="101">
        <f t="shared" si="385"/>
        <v>1568.76</v>
      </c>
      <c r="N2029" s="24">
        <v>15</v>
      </c>
      <c r="O2029" s="26">
        <f t="shared" si="388"/>
        <v>104.584</v>
      </c>
      <c r="P2029" s="24">
        <v>1.1000000000000001</v>
      </c>
      <c r="Q2029" s="24">
        <v>36</v>
      </c>
      <c r="R2029" s="27">
        <f t="shared" si="389"/>
        <v>4141.5264000000006</v>
      </c>
      <c r="S2029" s="102">
        <f t="shared" si="391"/>
        <v>4.6020000000000003</v>
      </c>
      <c r="T2029" s="21">
        <f>VLOOKUP($A2029,'2022-23 Salary &amp; Benefits'!$A:$I,5,FALSE)</f>
        <v>68937</v>
      </c>
      <c r="U2029" s="21">
        <f>VLOOKUP($A2029,'2022-23 Salary &amp; Benefits'!$A:$I,6,FALSE)</f>
        <v>72728</v>
      </c>
      <c r="V2029" s="22">
        <f t="shared" si="392"/>
        <v>355317.84</v>
      </c>
      <c r="W2029" s="22">
        <f t="shared" si="393"/>
        <v>19539.729999999981</v>
      </c>
      <c r="X2029" s="22">
        <f>'2022-23 Salary &amp; Benefits'!$G$6</f>
        <v>12558.24</v>
      </c>
      <c r="Y2029" s="23">
        <f>'2022-23 Salary &amp; Benefits'!$H$6</f>
        <v>0.2298</v>
      </c>
      <c r="Z2029" s="23">
        <f>'2022-23 Salary &amp; Benefits'!$I$6</f>
        <v>0.22339999999999999</v>
      </c>
      <c r="AA2029" s="22">
        <f t="shared" si="394"/>
        <v>143810.23999999999</v>
      </c>
      <c r="AB2029" s="22">
        <f t="shared" si="395"/>
        <v>6247.63</v>
      </c>
      <c r="AC2029" s="22">
        <f t="shared" si="396"/>
        <v>1395.72</v>
      </c>
      <c r="AD2029" s="22">
        <f t="shared" si="386"/>
        <v>7643.35</v>
      </c>
      <c r="AE2029" s="22">
        <f t="shared" si="387"/>
        <v>526311.16</v>
      </c>
      <c r="AF2029" s="19" t="str">
        <f>VLOOKUP(C2029,'2021-22 School Level AAFTE'!C:N,12,FALSE)</f>
        <v>No</v>
      </c>
    </row>
    <row r="2030" spans="1:32" s="5" customFormat="1">
      <c r="A2030" s="97" t="s">
        <v>2440</v>
      </c>
      <c r="B2030" s="97" t="s">
        <v>1330</v>
      </c>
      <c r="C2030" s="95">
        <v>2247</v>
      </c>
      <c r="D2030" s="95" t="s">
        <v>1341</v>
      </c>
      <c r="E2030" s="129">
        <f>VLOOKUP($C2030,'2021-22 School Level AAFTE'!$C:$Z,11,FALSE)</f>
        <v>0.49793333333333334</v>
      </c>
      <c r="F2030" s="129" t="str">
        <f>VLOOKUP($C2030,'2021-22 School Level AAFTE'!$C:$Z,8,FALSE)</f>
        <v>Yes</v>
      </c>
      <c r="G2030" s="129" t="str">
        <f>VLOOKUP($C2030,'2021-22 School Level AAFTE'!$C:$Z,12,FALSE)</f>
        <v>No</v>
      </c>
      <c r="H2030" s="127">
        <f>VLOOKUP($C2030,'2021-22 School Level AAFTE'!$C:$I,7,FALSE)</f>
        <v>327.16000000000003</v>
      </c>
      <c r="I2030" s="112">
        <f>IFERROR(IF(OR(G2030="yes",F2030= "yes"),VLOOKUP(C2030,Summary!$B:$J,6,0),0),0)</f>
        <v>0</v>
      </c>
      <c r="J2030" s="111">
        <f t="shared" si="390"/>
        <v>327.16000000000003</v>
      </c>
      <c r="K2030" s="91">
        <f>VLOOKUP($A2030,'2022-23 Salary &amp; Benefits'!$A:$I,3,FALSE)</f>
        <v>1.1200000000000001</v>
      </c>
      <c r="L2030" s="91">
        <f>VLOOKUP($A2030,'2022-23 Salary &amp; Benefits'!$A:$I,4,FALSE)</f>
        <v>1.1200000000000001</v>
      </c>
      <c r="M2030" s="39">
        <f t="shared" si="385"/>
        <v>327.16000000000003</v>
      </c>
      <c r="N2030" s="24">
        <v>15</v>
      </c>
      <c r="O2030" s="26">
        <f t="shared" si="388"/>
        <v>21.81066666666667</v>
      </c>
      <c r="P2030" s="24">
        <v>1.1000000000000001</v>
      </c>
      <c r="Q2030" s="24">
        <v>36</v>
      </c>
      <c r="R2030" s="27">
        <f t="shared" si="389"/>
        <v>863.70240000000024</v>
      </c>
      <c r="S2030" s="102">
        <f t="shared" si="391"/>
        <v>0.96</v>
      </c>
      <c r="T2030" s="21">
        <f>VLOOKUP($A2030,'2022-23 Salary &amp; Benefits'!$A:$I,5,FALSE)</f>
        <v>68937</v>
      </c>
      <c r="U2030" s="21">
        <f>VLOOKUP($A2030,'2022-23 Salary &amp; Benefits'!$A:$I,6,FALSE)</f>
        <v>72728</v>
      </c>
      <c r="V2030" s="22">
        <f t="shared" si="392"/>
        <v>74121.06</v>
      </c>
      <c r="W2030" s="22">
        <f t="shared" si="393"/>
        <v>4076.0899999999965</v>
      </c>
      <c r="X2030" s="22">
        <f>'2022-23 Salary &amp; Benefits'!$G$6</f>
        <v>12558.24</v>
      </c>
      <c r="Y2030" s="23">
        <f>'2022-23 Salary &amp; Benefits'!$H$6</f>
        <v>0.2298</v>
      </c>
      <c r="Z2030" s="23">
        <f>'2022-23 Salary &amp; Benefits'!$I$6</f>
        <v>0.22339999999999999</v>
      </c>
      <c r="AA2030" s="22">
        <f t="shared" si="394"/>
        <v>29999.53</v>
      </c>
      <c r="AB2030" s="22">
        <f t="shared" si="395"/>
        <v>1303.29</v>
      </c>
      <c r="AC2030" s="22">
        <f t="shared" si="396"/>
        <v>291.14999999999998</v>
      </c>
      <c r="AD2030" s="22">
        <f t="shared" si="386"/>
        <v>1594.44</v>
      </c>
      <c r="AE2030" s="22">
        <f t="shared" si="387"/>
        <v>109791.12</v>
      </c>
      <c r="AF2030" s="19" t="str">
        <f>VLOOKUP(C2030,'2021-22 School Level AAFTE'!C:N,12,FALSE)</f>
        <v>No</v>
      </c>
    </row>
    <row r="2031" spans="1:32" s="5" customFormat="1">
      <c r="A2031" s="97" t="s">
        <v>2440</v>
      </c>
      <c r="B2031" s="97" t="s">
        <v>1330</v>
      </c>
      <c r="C2031" s="95">
        <v>2252</v>
      </c>
      <c r="D2031" s="95" t="s">
        <v>1342</v>
      </c>
      <c r="E2031" s="129">
        <f>VLOOKUP($C2031,'2021-22 School Level AAFTE'!$C:$Z,11,FALSE)</f>
        <v>0.71283333333333332</v>
      </c>
      <c r="F2031" s="129" t="str">
        <f>VLOOKUP($C2031,'2021-22 School Level AAFTE'!$C:$Z,8,FALSE)</f>
        <v>Yes</v>
      </c>
      <c r="G2031" s="129" t="str">
        <f>VLOOKUP($C2031,'2021-22 School Level AAFTE'!$C:$Z,12,FALSE)</f>
        <v>No</v>
      </c>
      <c r="H2031" s="127">
        <f>VLOOKUP($C2031,'2021-22 School Level AAFTE'!$C:$I,7,FALSE)</f>
        <v>391.71</v>
      </c>
      <c r="I2031" s="112">
        <f>IFERROR(IF(OR(G2031="yes",F2031= "yes"),VLOOKUP(C2031,Summary!$B:$J,6,0),0),0)</f>
        <v>0</v>
      </c>
      <c r="J2031" s="111">
        <f t="shared" si="390"/>
        <v>391.71</v>
      </c>
      <c r="K2031" s="91">
        <f>VLOOKUP($A2031,'2022-23 Salary &amp; Benefits'!$A:$I,3,FALSE)</f>
        <v>1.1200000000000001</v>
      </c>
      <c r="L2031" s="91">
        <f>VLOOKUP($A2031,'2022-23 Salary &amp; Benefits'!$A:$I,4,FALSE)</f>
        <v>1.1200000000000001</v>
      </c>
      <c r="M2031" s="39">
        <f t="shared" si="385"/>
        <v>391.71</v>
      </c>
      <c r="N2031" s="24">
        <v>15</v>
      </c>
      <c r="O2031" s="26">
        <f t="shared" si="388"/>
        <v>26.113999999999997</v>
      </c>
      <c r="P2031" s="24">
        <v>1.1000000000000001</v>
      </c>
      <c r="Q2031" s="24">
        <v>36</v>
      </c>
      <c r="R2031" s="27">
        <f t="shared" si="389"/>
        <v>1034.1143999999999</v>
      </c>
      <c r="S2031" s="102">
        <f t="shared" si="391"/>
        <v>1.149</v>
      </c>
      <c r="T2031" s="21">
        <f>VLOOKUP($A2031,'2022-23 Salary &amp; Benefits'!$A:$I,5,FALSE)</f>
        <v>68937</v>
      </c>
      <c r="U2031" s="21">
        <f>VLOOKUP($A2031,'2022-23 Salary &amp; Benefits'!$A:$I,6,FALSE)</f>
        <v>72728</v>
      </c>
      <c r="V2031" s="22">
        <f t="shared" si="392"/>
        <v>88713.65</v>
      </c>
      <c r="W2031" s="22">
        <f t="shared" si="393"/>
        <v>4878.5600000000122</v>
      </c>
      <c r="X2031" s="22">
        <f>'2022-23 Salary &amp; Benefits'!$G$6</f>
        <v>12558.24</v>
      </c>
      <c r="Y2031" s="23">
        <f>'2022-23 Salary &amp; Benefits'!$H$6</f>
        <v>0.2298</v>
      </c>
      <c r="Z2031" s="23">
        <f>'2022-23 Salary &amp; Benefits'!$I$6</f>
        <v>0.22339999999999999</v>
      </c>
      <c r="AA2031" s="22">
        <f t="shared" si="394"/>
        <v>35905.68</v>
      </c>
      <c r="AB2031" s="22">
        <f t="shared" si="395"/>
        <v>1559.87</v>
      </c>
      <c r="AC2031" s="22">
        <f t="shared" si="396"/>
        <v>348.47</v>
      </c>
      <c r="AD2031" s="22">
        <f t="shared" si="386"/>
        <v>1908.34</v>
      </c>
      <c r="AE2031" s="22">
        <f t="shared" si="387"/>
        <v>131406.23000000001</v>
      </c>
      <c r="AF2031" s="19" t="str">
        <f>VLOOKUP(C2031,'2021-22 School Level AAFTE'!C:N,12,FALSE)</f>
        <v>No</v>
      </c>
    </row>
    <row r="2032" spans="1:32" s="5" customFormat="1">
      <c r="A2032" s="97" t="s">
        <v>2440</v>
      </c>
      <c r="B2032" s="97" t="s">
        <v>1330</v>
      </c>
      <c r="C2032" s="95">
        <v>2275</v>
      </c>
      <c r="D2032" s="95" t="s">
        <v>1343</v>
      </c>
      <c r="E2032" s="129">
        <f>VLOOKUP($C2032,'2021-22 School Level AAFTE'!$C:$Z,11,FALSE)</f>
        <v>0.8042666666666668</v>
      </c>
      <c r="F2032" s="129" t="str">
        <f>VLOOKUP($C2032,'2021-22 School Level AAFTE'!$C:$Z,8,FALSE)</f>
        <v>Yes</v>
      </c>
      <c r="G2032" s="129" t="str">
        <f>VLOOKUP($C2032,'2021-22 School Level AAFTE'!$C:$Z,12,FALSE)</f>
        <v>No</v>
      </c>
      <c r="H2032" s="127">
        <f>VLOOKUP($C2032,'2021-22 School Level AAFTE'!$C:$I,7,FALSE)</f>
        <v>222.57</v>
      </c>
      <c r="I2032" s="112">
        <f>IFERROR(IF(OR(G2032="yes",F2032= "yes"),VLOOKUP(C2032,Summary!$B:$J,6,0),0),0)</f>
        <v>0</v>
      </c>
      <c r="J2032" s="111">
        <f t="shared" si="390"/>
        <v>222.57</v>
      </c>
      <c r="K2032" s="91">
        <f>VLOOKUP($A2032,'2022-23 Salary &amp; Benefits'!$A:$I,3,FALSE)</f>
        <v>1.1200000000000001</v>
      </c>
      <c r="L2032" s="91">
        <f>VLOOKUP($A2032,'2022-23 Salary &amp; Benefits'!$A:$I,4,FALSE)</f>
        <v>1.1200000000000001</v>
      </c>
      <c r="M2032" s="39">
        <f t="shared" si="385"/>
        <v>222.57</v>
      </c>
      <c r="N2032" s="24">
        <v>15</v>
      </c>
      <c r="O2032" s="26">
        <f t="shared" si="388"/>
        <v>14.837999999999999</v>
      </c>
      <c r="P2032" s="24">
        <v>1.1000000000000001</v>
      </c>
      <c r="Q2032" s="24">
        <v>36</v>
      </c>
      <c r="R2032" s="27">
        <f t="shared" si="389"/>
        <v>587.58479999999997</v>
      </c>
      <c r="S2032" s="102">
        <f t="shared" si="391"/>
        <v>0.65300000000000002</v>
      </c>
      <c r="T2032" s="21">
        <f>VLOOKUP($A2032,'2022-23 Salary &amp; Benefits'!$A:$I,5,FALSE)</f>
        <v>68937</v>
      </c>
      <c r="U2032" s="21">
        <f>VLOOKUP($A2032,'2022-23 Salary &amp; Benefits'!$A:$I,6,FALSE)</f>
        <v>72728</v>
      </c>
      <c r="V2032" s="22">
        <f t="shared" si="392"/>
        <v>50417.760000000002</v>
      </c>
      <c r="W2032" s="22">
        <f t="shared" si="393"/>
        <v>2772.5899999999965</v>
      </c>
      <c r="X2032" s="22">
        <f>'2022-23 Salary &amp; Benefits'!$G$6</f>
        <v>12558.24</v>
      </c>
      <c r="Y2032" s="23">
        <f>'2022-23 Salary &amp; Benefits'!$H$6</f>
        <v>0.2298</v>
      </c>
      <c r="Z2032" s="23">
        <f>'2022-23 Salary &amp; Benefits'!$I$6</f>
        <v>0.22339999999999999</v>
      </c>
      <c r="AA2032" s="22">
        <f t="shared" si="394"/>
        <v>20405.93</v>
      </c>
      <c r="AB2032" s="22">
        <f t="shared" si="395"/>
        <v>886.51</v>
      </c>
      <c r="AC2032" s="22">
        <f t="shared" si="396"/>
        <v>198.05</v>
      </c>
      <c r="AD2032" s="22">
        <f t="shared" si="386"/>
        <v>1084.56</v>
      </c>
      <c r="AE2032" s="22">
        <f t="shared" si="387"/>
        <v>74680.84</v>
      </c>
      <c r="AF2032" s="19" t="str">
        <f>VLOOKUP(C2032,'2021-22 School Level AAFTE'!C:N,12,FALSE)</f>
        <v>No</v>
      </c>
    </row>
    <row r="2033" spans="1:32" s="5" customFormat="1">
      <c r="A2033" s="97" t="s">
        <v>2440</v>
      </c>
      <c r="B2033" s="97" t="s">
        <v>1330</v>
      </c>
      <c r="C2033" s="95">
        <v>2336</v>
      </c>
      <c r="D2033" s="95" t="s">
        <v>1344</v>
      </c>
      <c r="E2033" s="129">
        <f>VLOOKUP($C2033,'2021-22 School Level AAFTE'!$C:$Z,11,FALSE)</f>
        <v>0.65963333333333329</v>
      </c>
      <c r="F2033" s="129" t="str">
        <f>VLOOKUP($C2033,'2021-22 School Level AAFTE'!$C:$Z,8,FALSE)</f>
        <v>Yes</v>
      </c>
      <c r="G2033" s="129" t="str">
        <f>VLOOKUP($C2033,'2021-22 School Level AAFTE'!$C:$Z,12,FALSE)</f>
        <v>No</v>
      </c>
      <c r="H2033" s="127">
        <f>VLOOKUP($C2033,'2021-22 School Level AAFTE'!$C:$I,7,FALSE)</f>
        <v>299.43</v>
      </c>
      <c r="I2033" s="112">
        <f>IFERROR(IF(OR(G2033="yes",F2033= "yes"),VLOOKUP(C2033,Summary!$B:$J,6,0),0),0)</f>
        <v>0</v>
      </c>
      <c r="J2033" s="111">
        <f t="shared" si="390"/>
        <v>299.43</v>
      </c>
      <c r="K2033" s="91">
        <f>VLOOKUP($A2033,'2022-23 Salary &amp; Benefits'!$A:$I,3,FALSE)</f>
        <v>1.1200000000000001</v>
      </c>
      <c r="L2033" s="91">
        <f>VLOOKUP($A2033,'2022-23 Salary &amp; Benefits'!$A:$I,4,FALSE)</f>
        <v>1.1200000000000001</v>
      </c>
      <c r="M2033" s="39">
        <f t="shared" si="385"/>
        <v>299.43</v>
      </c>
      <c r="N2033" s="24">
        <v>15</v>
      </c>
      <c r="O2033" s="26">
        <f t="shared" si="388"/>
        <v>19.962</v>
      </c>
      <c r="P2033" s="24">
        <v>1.1000000000000001</v>
      </c>
      <c r="Q2033" s="24">
        <v>36</v>
      </c>
      <c r="R2033" s="27">
        <f t="shared" si="389"/>
        <v>790.49520000000007</v>
      </c>
      <c r="S2033" s="102">
        <f t="shared" si="391"/>
        <v>0.878</v>
      </c>
      <c r="T2033" s="21">
        <f>VLOOKUP($A2033,'2022-23 Salary &amp; Benefits'!$A:$I,5,FALSE)</f>
        <v>68937</v>
      </c>
      <c r="U2033" s="21">
        <f>VLOOKUP($A2033,'2022-23 Salary &amp; Benefits'!$A:$I,6,FALSE)</f>
        <v>72728</v>
      </c>
      <c r="V2033" s="22">
        <f t="shared" si="392"/>
        <v>67789.89</v>
      </c>
      <c r="W2033" s="22">
        <f t="shared" si="393"/>
        <v>3727.9199999999983</v>
      </c>
      <c r="X2033" s="22">
        <f>'2022-23 Salary &amp; Benefits'!$G$6</f>
        <v>12558.24</v>
      </c>
      <c r="Y2033" s="23">
        <f>'2022-23 Salary &amp; Benefits'!$H$6</f>
        <v>0.2298</v>
      </c>
      <c r="Z2033" s="23">
        <f>'2022-23 Salary &amp; Benefits'!$I$6</f>
        <v>0.22339999999999999</v>
      </c>
      <c r="AA2033" s="22">
        <f t="shared" si="394"/>
        <v>27437.07</v>
      </c>
      <c r="AB2033" s="22">
        <f t="shared" si="395"/>
        <v>1191.96</v>
      </c>
      <c r="AC2033" s="22">
        <f t="shared" si="396"/>
        <v>266.27999999999997</v>
      </c>
      <c r="AD2033" s="22">
        <f t="shared" si="386"/>
        <v>1458.24</v>
      </c>
      <c r="AE2033" s="22">
        <f t="shared" si="387"/>
        <v>100413.12</v>
      </c>
      <c r="AF2033" s="19" t="str">
        <f>VLOOKUP(C2033,'2021-22 School Level AAFTE'!C:N,12,FALSE)</f>
        <v>No</v>
      </c>
    </row>
    <row r="2034" spans="1:32" s="5" customFormat="1">
      <c r="A2034" s="97" t="s">
        <v>2440</v>
      </c>
      <c r="B2034" s="97" t="s">
        <v>1330</v>
      </c>
      <c r="C2034" s="95">
        <v>2338</v>
      </c>
      <c r="D2034" s="95" t="s">
        <v>1345</v>
      </c>
      <c r="E2034" s="129">
        <f>VLOOKUP($C2034,'2021-22 School Level AAFTE'!$C:$Z,11,FALSE)</f>
        <v>0.6277666666666667</v>
      </c>
      <c r="F2034" s="129" t="str">
        <f>VLOOKUP($C2034,'2021-22 School Level AAFTE'!$C:$Z,8,FALSE)</f>
        <v>Yes</v>
      </c>
      <c r="G2034" s="129" t="str">
        <f>VLOOKUP($C2034,'2021-22 School Level AAFTE'!$C:$Z,12,FALSE)</f>
        <v>No</v>
      </c>
      <c r="H2034" s="127">
        <f>VLOOKUP($C2034,'2021-22 School Level AAFTE'!$C:$I,7,FALSE)</f>
        <v>544.9</v>
      </c>
      <c r="I2034" s="112">
        <f>IFERROR(IF(OR(G2034="yes",F2034= "yes"),VLOOKUP(C2034,Summary!$B:$J,6,0),0),0)</f>
        <v>0</v>
      </c>
      <c r="J2034" s="111">
        <f t="shared" si="390"/>
        <v>544.9</v>
      </c>
      <c r="K2034" s="91">
        <f>VLOOKUP($A2034,'2022-23 Salary &amp; Benefits'!$A:$I,3,FALSE)</f>
        <v>1.1200000000000001</v>
      </c>
      <c r="L2034" s="91">
        <f>VLOOKUP($A2034,'2022-23 Salary &amp; Benefits'!$A:$I,4,FALSE)</f>
        <v>1.1200000000000001</v>
      </c>
      <c r="M2034" s="101">
        <f t="shared" si="385"/>
        <v>544.9</v>
      </c>
      <c r="N2034" s="24">
        <v>15</v>
      </c>
      <c r="O2034" s="26">
        <f t="shared" si="388"/>
        <v>36.326666666666668</v>
      </c>
      <c r="P2034" s="24">
        <v>1.1000000000000001</v>
      </c>
      <c r="Q2034" s="24">
        <v>36</v>
      </c>
      <c r="R2034" s="27">
        <f t="shared" si="389"/>
        <v>1438.5360000000003</v>
      </c>
      <c r="S2034" s="102">
        <f t="shared" si="391"/>
        <v>1.5980000000000001</v>
      </c>
      <c r="T2034" s="21">
        <f>VLOOKUP($A2034,'2022-23 Salary &amp; Benefits'!$A:$I,5,FALSE)</f>
        <v>68937</v>
      </c>
      <c r="U2034" s="21">
        <f>VLOOKUP($A2034,'2022-23 Salary &amp; Benefits'!$A:$I,6,FALSE)</f>
        <v>72728</v>
      </c>
      <c r="V2034" s="22">
        <f t="shared" si="392"/>
        <v>123380.69</v>
      </c>
      <c r="W2034" s="22">
        <f t="shared" si="393"/>
        <v>6784.9799999999959</v>
      </c>
      <c r="X2034" s="22">
        <f>'2022-23 Salary &amp; Benefits'!$G$6</f>
        <v>12558.24</v>
      </c>
      <c r="Y2034" s="23">
        <f>'2022-23 Salary &amp; Benefits'!$H$6</f>
        <v>0.2298</v>
      </c>
      <c r="Z2034" s="23">
        <f>'2022-23 Salary &amp; Benefits'!$I$6</f>
        <v>0.22339999999999999</v>
      </c>
      <c r="AA2034" s="22">
        <f t="shared" si="394"/>
        <v>49936.71</v>
      </c>
      <c r="AB2034" s="22">
        <f t="shared" si="395"/>
        <v>2169.4299999999998</v>
      </c>
      <c r="AC2034" s="22">
        <f t="shared" si="396"/>
        <v>484.65</v>
      </c>
      <c r="AD2034" s="22">
        <f t="shared" si="386"/>
        <v>2654.08</v>
      </c>
      <c r="AE2034" s="22">
        <f t="shared" si="387"/>
        <v>182756.46</v>
      </c>
      <c r="AF2034" s="19" t="str">
        <f>VLOOKUP(C2034,'2021-22 School Level AAFTE'!C:N,12,FALSE)</f>
        <v>No</v>
      </c>
    </row>
    <row r="2035" spans="1:32" s="5" customFormat="1">
      <c r="A2035" s="97" t="s">
        <v>2440</v>
      </c>
      <c r="B2035" s="97" t="s">
        <v>1330</v>
      </c>
      <c r="C2035" s="95">
        <v>2358</v>
      </c>
      <c r="D2035" s="95" t="s">
        <v>1346</v>
      </c>
      <c r="E2035" s="129">
        <f>VLOOKUP($C2035,'2021-22 School Level AAFTE'!$C:$Z,11,FALSE)</f>
        <v>0.66576666666666662</v>
      </c>
      <c r="F2035" s="129" t="str">
        <f>VLOOKUP($C2035,'2021-22 School Level AAFTE'!$C:$Z,8,FALSE)</f>
        <v>Yes</v>
      </c>
      <c r="G2035" s="129" t="str">
        <f>VLOOKUP($C2035,'2021-22 School Level AAFTE'!$C:$Z,12,FALSE)</f>
        <v>No</v>
      </c>
      <c r="H2035" s="127">
        <f>VLOOKUP($C2035,'2021-22 School Level AAFTE'!$C:$I,7,FALSE)</f>
        <v>300.70999999999998</v>
      </c>
      <c r="I2035" s="112">
        <f>IFERROR(IF(OR(G2035="yes",F2035= "yes"),VLOOKUP(C2035,Summary!$B:$J,6,0),0),0)</f>
        <v>0</v>
      </c>
      <c r="J2035" s="111">
        <f t="shared" si="390"/>
        <v>300.70999999999998</v>
      </c>
      <c r="K2035" s="91">
        <f>VLOOKUP($A2035,'2022-23 Salary &amp; Benefits'!$A:$I,3,FALSE)</f>
        <v>1.1200000000000001</v>
      </c>
      <c r="L2035" s="91">
        <f>VLOOKUP($A2035,'2022-23 Salary &amp; Benefits'!$A:$I,4,FALSE)</f>
        <v>1.1200000000000001</v>
      </c>
      <c r="M2035" s="101">
        <f t="shared" si="385"/>
        <v>300.70999999999998</v>
      </c>
      <c r="N2035" s="24">
        <v>15</v>
      </c>
      <c r="O2035" s="26">
        <f t="shared" si="388"/>
        <v>20.047333333333331</v>
      </c>
      <c r="P2035" s="24">
        <v>1.1000000000000001</v>
      </c>
      <c r="Q2035" s="24">
        <v>36</v>
      </c>
      <c r="R2035" s="27">
        <f t="shared" si="389"/>
        <v>793.87439999999992</v>
      </c>
      <c r="S2035" s="102">
        <f t="shared" si="391"/>
        <v>0.88200000000000001</v>
      </c>
      <c r="T2035" s="21">
        <f>VLOOKUP($A2035,'2022-23 Salary &amp; Benefits'!$A:$I,5,FALSE)</f>
        <v>68937</v>
      </c>
      <c r="U2035" s="21">
        <f>VLOOKUP($A2035,'2022-23 Salary &amp; Benefits'!$A:$I,6,FALSE)</f>
        <v>72728</v>
      </c>
      <c r="V2035" s="22">
        <f t="shared" si="392"/>
        <v>68098.73</v>
      </c>
      <c r="W2035" s="22">
        <f t="shared" si="393"/>
        <v>3744.9000000000087</v>
      </c>
      <c r="X2035" s="22">
        <f>'2022-23 Salary &amp; Benefits'!$G$6</f>
        <v>12558.24</v>
      </c>
      <c r="Y2035" s="23">
        <f>'2022-23 Salary &amp; Benefits'!$H$6</f>
        <v>0.2298</v>
      </c>
      <c r="Z2035" s="23">
        <f>'2022-23 Salary &amp; Benefits'!$I$6</f>
        <v>0.22339999999999999</v>
      </c>
      <c r="AA2035" s="22">
        <f t="shared" si="394"/>
        <v>27562.07</v>
      </c>
      <c r="AB2035" s="22">
        <f t="shared" si="395"/>
        <v>1197.3900000000001</v>
      </c>
      <c r="AC2035" s="22">
        <f t="shared" si="396"/>
        <v>267.5</v>
      </c>
      <c r="AD2035" s="22">
        <f t="shared" si="386"/>
        <v>1464.89</v>
      </c>
      <c r="AE2035" s="22">
        <f t="shared" si="387"/>
        <v>100870.59</v>
      </c>
      <c r="AF2035" s="19" t="str">
        <f>VLOOKUP(C2035,'2021-22 School Level AAFTE'!C:N,12,FALSE)</f>
        <v>No</v>
      </c>
    </row>
    <row r="2036" spans="1:32" s="5" customFormat="1">
      <c r="A2036" s="97" t="s">
        <v>2440</v>
      </c>
      <c r="B2036" s="97" t="s">
        <v>1330</v>
      </c>
      <c r="C2036" s="95">
        <v>2359</v>
      </c>
      <c r="D2036" s="95" t="s">
        <v>1347</v>
      </c>
      <c r="E2036" s="129">
        <f>VLOOKUP($C2036,'2021-22 School Level AAFTE'!$C:$Z,11,FALSE)</f>
        <v>0.71363333333333323</v>
      </c>
      <c r="F2036" s="129" t="str">
        <f>VLOOKUP($C2036,'2021-22 School Level AAFTE'!$C:$Z,8,FALSE)</f>
        <v>Yes</v>
      </c>
      <c r="G2036" s="129" t="str">
        <f>VLOOKUP($C2036,'2021-22 School Level AAFTE'!$C:$Z,12,FALSE)</f>
        <v>No</v>
      </c>
      <c r="H2036" s="127">
        <f>VLOOKUP($C2036,'2021-22 School Level AAFTE'!$C:$I,7,FALSE)</f>
        <v>611.59</v>
      </c>
      <c r="I2036" s="112">
        <f>IFERROR(IF(OR(G2036="yes",F2036= "yes"),VLOOKUP(C2036,Summary!$B:$J,6,0),0),0)</f>
        <v>0</v>
      </c>
      <c r="J2036" s="111">
        <f t="shared" si="390"/>
        <v>611.59</v>
      </c>
      <c r="K2036" s="91">
        <f>VLOOKUP($A2036,'2022-23 Salary &amp; Benefits'!$A:$I,3,FALSE)</f>
        <v>1.1200000000000001</v>
      </c>
      <c r="L2036" s="91">
        <f>VLOOKUP($A2036,'2022-23 Salary &amp; Benefits'!$A:$I,4,FALSE)</f>
        <v>1.1200000000000001</v>
      </c>
      <c r="M2036" s="101">
        <f t="shared" si="385"/>
        <v>611.59</v>
      </c>
      <c r="N2036" s="24">
        <v>15</v>
      </c>
      <c r="O2036" s="26">
        <f t="shared" si="388"/>
        <v>40.772666666666666</v>
      </c>
      <c r="P2036" s="24">
        <v>1.1000000000000001</v>
      </c>
      <c r="Q2036" s="24">
        <v>36</v>
      </c>
      <c r="R2036" s="27">
        <f t="shared" si="389"/>
        <v>1614.5976000000003</v>
      </c>
      <c r="S2036" s="102">
        <f t="shared" si="391"/>
        <v>1.794</v>
      </c>
      <c r="T2036" s="21">
        <f>VLOOKUP($A2036,'2022-23 Salary &amp; Benefits'!$A:$I,5,FALSE)</f>
        <v>68937</v>
      </c>
      <c r="U2036" s="21">
        <f>VLOOKUP($A2036,'2022-23 Salary &amp; Benefits'!$A:$I,6,FALSE)</f>
        <v>72728</v>
      </c>
      <c r="V2036" s="22">
        <f t="shared" si="392"/>
        <v>138513.74</v>
      </c>
      <c r="W2036" s="22">
        <f t="shared" si="393"/>
        <v>7617.1800000000221</v>
      </c>
      <c r="X2036" s="22">
        <f>'2022-23 Salary &amp; Benefits'!$G$6</f>
        <v>12558.24</v>
      </c>
      <c r="Y2036" s="23">
        <f>'2022-23 Salary &amp; Benefits'!$H$6</f>
        <v>0.2298</v>
      </c>
      <c r="Z2036" s="23">
        <f>'2022-23 Salary &amp; Benefits'!$I$6</f>
        <v>0.22339999999999999</v>
      </c>
      <c r="AA2036" s="22">
        <f t="shared" si="394"/>
        <v>56061.62</v>
      </c>
      <c r="AB2036" s="22">
        <f t="shared" si="395"/>
        <v>2435.52</v>
      </c>
      <c r="AC2036" s="22">
        <f t="shared" si="396"/>
        <v>544.1</v>
      </c>
      <c r="AD2036" s="22">
        <f t="shared" si="386"/>
        <v>2979.62</v>
      </c>
      <c r="AE2036" s="22">
        <f t="shared" si="387"/>
        <v>205172.16</v>
      </c>
      <c r="AF2036" s="19" t="str">
        <f>VLOOKUP(C2036,'2021-22 School Level AAFTE'!C:N,12,FALSE)</f>
        <v>No</v>
      </c>
    </row>
    <row r="2037" spans="1:32" s="5" customFormat="1">
      <c r="A2037" s="97" t="s">
        <v>2440</v>
      </c>
      <c r="B2037" s="97" t="s">
        <v>1330</v>
      </c>
      <c r="C2037" s="95">
        <v>2376</v>
      </c>
      <c r="D2037" s="95" t="s">
        <v>1348</v>
      </c>
      <c r="E2037" s="129">
        <f>VLOOKUP($C2037,'2021-22 School Level AAFTE'!$C:$Z,11,FALSE)</f>
        <v>0.27579999999999999</v>
      </c>
      <c r="F2037" s="129" t="str">
        <f>VLOOKUP($C2037,'2021-22 School Level AAFTE'!$C:$Z,8,FALSE)</f>
        <v>No</v>
      </c>
      <c r="G2037" s="129" t="str">
        <f>VLOOKUP($C2037,'2021-22 School Level AAFTE'!$C:$Z,12,FALSE)</f>
        <v>No</v>
      </c>
      <c r="H2037" s="127">
        <f>VLOOKUP($C2037,'2021-22 School Level AAFTE'!$C:$I,7,FALSE)</f>
        <v>684.23</v>
      </c>
      <c r="I2037" s="112">
        <f>IFERROR(IF(OR(G2037="yes",F2037= "yes"),VLOOKUP(C2037,Summary!$B:$J,6,0),0),0)</f>
        <v>0</v>
      </c>
      <c r="J2037" s="111">
        <f t="shared" si="390"/>
        <v>0</v>
      </c>
      <c r="K2037" s="91">
        <f>VLOOKUP($A2037,'2022-23 Salary &amp; Benefits'!$A:$I,3,FALSE)</f>
        <v>1.1200000000000001</v>
      </c>
      <c r="L2037" s="91">
        <f>VLOOKUP($A2037,'2022-23 Salary &amp; Benefits'!$A:$I,4,FALSE)</f>
        <v>1.1200000000000001</v>
      </c>
      <c r="M2037" s="101">
        <f t="shared" si="385"/>
        <v>0</v>
      </c>
      <c r="N2037" s="24">
        <v>15</v>
      </c>
      <c r="O2037" s="26">
        <f t="shared" si="388"/>
        <v>0</v>
      </c>
      <c r="P2037" s="24">
        <v>1.1000000000000001</v>
      </c>
      <c r="Q2037" s="24">
        <v>36</v>
      </c>
      <c r="R2037" s="27">
        <f t="shared" si="389"/>
        <v>0</v>
      </c>
      <c r="S2037" s="102">
        <f t="shared" si="391"/>
        <v>0</v>
      </c>
      <c r="T2037" s="21">
        <f>VLOOKUP($A2037,'2022-23 Salary &amp; Benefits'!$A:$I,5,FALSE)</f>
        <v>68937</v>
      </c>
      <c r="U2037" s="21">
        <f>VLOOKUP($A2037,'2022-23 Salary &amp; Benefits'!$A:$I,6,FALSE)</f>
        <v>72728</v>
      </c>
      <c r="V2037" s="22">
        <f t="shared" si="392"/>
        <v>0</v>
      </c>
      <c r="W2037" s="22">
        <f t="shared" si="393"/>
        <v>0</v>
      </c>
      <c r="X2037" s="22">
        <f>'2022-23 Salary &amp; Benefits'!$G$6</f>
        <v>12558.24</v>
      </c>
      <c r="Y2037" s="23">
        <f>'2022-23 Salary &amp; Benefits'!$H$6</f>
        <v>0.2298</v>
      </c>
      <c r="Z2037" s="23">
        <f>'2022-23 Salary &amp; Benefits'!$I$6</f>
        <v>0.22339999999999999</v>
      </c>
      <c r="AA2037" s="22">
        <f t="shared" si="394"/>
        <v>0</v>
      </c>
      <c r="AB2037" s="22">
        <f t="shared" si="395"/>
        <v>0</v>
      </c>
      <c r="AC2037" s="22">
        <f t="shared" si="396"/>
        <v>0</v>
      </c>
      <c r="AD2037" s="22">
        <f t="shared" si="386"/>
        <v>0</v>
      </c>
      <c r="AE2037" s="22">
        <f t="shared" si="387"/>
        <v>0</v>
      </c>
      <c r="AF2037" s="19" t="str">
        <f>VLOOKUP(C2037,'2021-22 School Level AAFTE'!C:N,12,FALSE)</f>
        <v>No</v>
      </c>
    </row>
    <row r="2038" spans="1:32" s="5" customFormat="1">
      <c r="A2038" s="97" t="s">
        <v>2440</v>
      </c>
      <c r="B2038" s="97" t="s">
        <v>1330</v>
      </c>
      <c r="C2038" s="95">
        <v>2377</v>
      </c>
      <c r="D2038" s="95" t="s">
        <v>1349</v>
      </c>
      <c r="E2038" s="129">
        <f>VLOOKUP($C2038,'2021-22 School Level AAFTE'!$C:$Z,11,FALSE)</f>
        <v>0.78286666666666671</v>
      </c>
      <c r="F2038" s="129" t="str">
        <f>VLOOKUP($C2038,'2021-22 School Level AAFTE'!$C:$Z,8,FALSE)</f>
        <v>Yes</v>
      </c>
      <c r="G2038" s="129" t="str">
        <f>VLOOKUP($C2038,'2021-22 School Level AAFTE'!$C:$Z,12,FALSE)</f>
        <v>No</v>
      </c>
      <c r="H2038" s="127">
        <f>VLOOKUP($C2038,'2021-22 School Level AAFTE'!$C:$I,7,FALSE)</f>
        <v>542.88</v>
      </c>
      <c r="I2038" s="112">
        <f>IFERROR(IF(OR(G2038="yes",F2038= "yes"),VLOOKUP(C2038,Summary!$B:$J,6,0),0),0)</f>
        <v>0</v>
      </c>
      <c r="J2038" s="111">
        <f t="shared" si="390"/>
        <v>542.88</v>
      </c>
      <c r="K2038" s="91">
        <f>VLOOKUP($A2038,'2022-23 Salary &amp; Benefits'!$A:$I,3,FALSE)</f>
        <v>1.1200000000000001</v>
      </c>
      <c r="L2038" s="91">
        <f>VLOOKUP($A2038,'2022-23 Salary &amp; Benefits'!$A:$I,4,FALSE)</f>
        <v>1.1200000000000001</v>
      </c>
      <c r="M2038" s="101">
        <f t="shared" si="385"/>
        <v>542.88</v>
      </c>
      <c r="N2038" s="24">
        <v>15</v>
      </c>
      <c r="O2038" s="26">
        <f t="shared" si="388"/>
        <v>36.192</v>
      </c>
      <c r="P2038" s="24">
        <v>1.1000000000000001</v>
      </c>
      <c r="Q2038" s="24">
        <v>36</v>
      </c>
      <c r="R2038" s="27">
        <f t="shared" si="389"/>
        <v>1433.2032000000002</v>
      </c>
      <c r="S2038" s="102">
        <f t="shared" si="391"/>
        <v>1.5920000000000001</v>
      </c>
      <c r="T2038" s="21">
        <f>VLOOKUP($A2038,'2022-23 Salary &amp; Benefits'!$A:$I,5,FALSE)</f>
        <v>68937</v>
      </c>
      <c r="U2038" s="21">
        <f>VLOOKUP($A2038,'2022-23 Salary &amp; Benefits'!$A:$I,6,FALSE)</f>
        <v>72728</v>
      </c>
      <c r="V2038" s="22">
        <f t="shared" si="392"/>
        <v>122917.43</v>
      </c>
      <c r="W2038" s="22">
        <f t="shared" si="393"/>
        <v>6759.5</v>
      </c>
      <c r="X2038" s="22">
        <f>'2022-23 Salary &amp; Benefits'!$G$6</f>
        <v>12558.24</v>
      </c>
      <c r="Y2038" s="23">
        <f>'2022-23 Salary &amp; Benefits'!$H$6</f>
        <v>0.2298</v>
      </c>
      <c r="Z2038" s="23">
        <f>'2022-23 Salary &amp; Benefits'!$I$6</f>
        <v>0.22339999999999999</v>
      </c>
      <c r="AA2038" s="22">
        <f t="shared" si="394"/>
        <v>49749.22</v>
      </c>
      <c r="AB2038" s="22">
        <f t="shared" si="395"/>
        <v>2161.2800000000002</v>
      </c>
      <c r="AC2038" s="22">
        <f t="shared" si="396"/>
        <v>482.83</v>
      </c>
      <c r="AD2038" s="22">
        <f t="shared" si="386"/>
        <v>2644.11</v>
      </c>
      <c r="AE2038" s="22">
        <f t="shared" si="387"/>
        <v>182070.25999999998</v>
      </c>
      <c r="AF2038" s="19" t="str">
        <f>VLOOKUP(C2038,'2021-22 School Level AAFTE'!C:N,12,FALSE)</f>
        <v>No</v>
      </c>
    </row>
    <row r="2039" spans="1:32" s="5" customFormat="1">
      <c r="A2039" s="97" t="s">
        <v>2440</v>
      </c>
      <c r="B2039" s="97" t="s">
        <v>1330</v>
      </c>
      <c r="C2039" s="95">
        <v>2746</v>
      </c>
      <c r="D2039" s="95" t="s">
        <v>1350</v>
      </c>
      <c r="E2039" s="129">
        <f>VLOOKUP($C2039,'2021-22 School Level AAFTE'!$C:$Z,11,FALSE)</f>
        <v>0.37623333333333336</v>
      </c>
      <c r="F2039" s="129" t="str">
        <f>VLOOKUP($C2039,'2021-22 School Level AAFTE'!$C:$Z,8,FALSE)</f>
        <v>No</v>
      </c>
      <c r="G2039" s="129" t="str">
        <f>VLOOKUP($C2039,'2021-22 School Level AAFTE'!$C:$Z,12,FALSE)</f>
        <v>No</v>
      </c>
      <c r="H2039" s="127">
        <f>VLOOKUP($C2039,'2021-22 School Level AAFTE'!$C:$I,7,FALSE)</f>
        <v>427.84</v>
      </c>
      <c r="I2039" s="112">
        <f>IFERROR(IF(OR(G2039="yes",F2039= "yes"),VLOOKUP(C2039,Summary!$B:$J,6,0),0),0)</f>
        <v>0</v>
      </c>
      <c r="J2039" s="111">
        <f t="shared" si="390"/>
        <v>0</v>
      </c>
      <c r="K2039" s="91">
        <f>VLOOKUP($A2039,'2022-23 Salary &amp; Benefits'!$A:$I,3,FALSE)</f>
        <v>1.1200000000000001</v>
      </c>
      <c r="L2039" s="91">
        <f>VLOOKUP($A2039,'2022-23 Salary &amp; Benefits'!$A:$I,4,FALSE)</f>
        <v>1.1200000000000001</v>
      </c>
      <c r="M2039" s="39">
        <f t="shared" si="385"/>
        <v>0</v>
      </c>
      <c r="N2039" s="24">
        <v>15</v>
      </c>
      <c r="O2039" s="26">
        <f t="shared" si="388"/>
        <v>0</v>
      </c>
      <c r="P2039" s="24">
        <v>1.1000000000000001</v>
      </c>
      <c r="Q2039" s="24">
        <v>36</v>
      </c>
      <c r="R2039" s="27">
        <f t="shared" si="389"/>
        <v>0</v>
      </c>
      <c r="S2039" s="102">
        <f t="shared" si="391"/>
        <v>0</v>
      </c>
      <c r="T2039" s="21">
        <f>VLOOKUP($A2039,'2022-23 Salary &amp; Benefits'!$A:$I,5,FALSE)</f>
        <v>68937</v>
      </c>
      <c r="U2039" s="21">
        <f>VLOOKUP($A2039,'2022-23 Salary &amp; Benefits'!$A:$I,6,FALSE)</f>
        <v>72728</v>
      </c>
      <c r="V2039" s="22">
        <f t="shared" si="392"/>
        <v>0</v>
      </c>
      <c r="W2039" s="22">
        <f t="shared" si="393"/>
        <v>0</v>
      </c>
      <c r="X2039" s="22">
        <f>'2022-23 Salary &amp; Benefits'!$G$6</f>
        <v>12558.24</v>
      </c>
      <c r="Y2039" s="23">
        <f>'2022-23 Salary &amp; Benefits'!$H$6</f>
        <v>0.2298</v>
      </c>
      <c r="Z2039" s="23">
        <f>'2022-23 Salary &amp; Benefits'!$I$6</f>
        <v>0.22339999999999999</v>
      </c>
      <c r="AA2039" s="22">
        <f t="shared" si="394"/>
        <v>0</v>
      </c>
      <c r="AB2039" s="22">
        <f t="shared" si="395"/>
        <v>0</v>
      </c>
      <c r="AC2039" s="22">
        <f t="shared" si="396"/>
        <v>0</v>
      </c>
      <c r="AD2039" s="22">
        <f t="shared" si="386"/>
        <v>0</v>
      </c>
      <c r="AE2039" s="22">
        <f t="shared" si="387"/>
        <v>0</v>
      </c>
      <c r="AF2039" s="19" t="str">
        <f>VLOOKUP(C2039,'2021-22 School Level AAFTE'!C:N,12,FALSE)</f>
        <v>No</v>
      </c>
    </row>
    <row r="2040" spans="1:32" s="5" customFormat="1">
      <c r="A2040" s="97" t="s">
        <v>2440</v>
      </c>
      <c r="B2040" s="97" t="s">
        <v>1330</v>
      </c>
      <c r="C2040" s="95">
        <v>2747</v>
      </c>
      <c r="D2040" s="95" t="s">
        <v>1351</v>
      </c>
      <c r="E2040" s="129">
        <f>VLOOKUP($C2040,'2021-22 School Level AAFTE'!$C:$Z,11,FALSE)</f>
        <v>0.4239</v>
      </c>
      <c r="F2040" s="129" t="str">
        <f>VLOOKUP($C2040,'2021-22 School Level AAFTE'!$C:$Z,8,FALSE)</f>
        <v>No</v>
      </c>
      <c r="G2040" s="129" t="str">
        <f>VLOOKUP($C2040,'2021-22 School Level AAFTE'!$C:$Z,12,FALSE)</f>
        <v>No</v>
      </c>
      <c r="H2040" s="127">
        <f>VLOOKUP($C2040,'2021-22 School Level AAFTE'!$C:$I,7,FALSE)</f>
        <v>226.71</v>
      </c>
      <c r="I2040" s="112">
        <f>IFERROR(IF(OR(G2040="yes",F2040= "yes"),VLOOKUP(C2040,Summary!$B:$J,6,0),0),0)</f>
        <v>0</v>
      </c>
      <c r="J2040" s="111">
        <f t="shared" si="390"/>
        <v>0</v>
      </c>
      <c r="K2040" s="91">
        <f>VLOOKUP($A2040,'2022-23 Salary &amp; Benefits'!$A:$I,3,FALSE)</f>
        <v>1.1200000000000001</v>
      </c>
      <c r="L2040" s="91">
        <f>VLOOKUP($A2040,'2022-23 Salary &amp; Benefits'!$A:$I,4,FALSE)</f>
        <v>1.1200000000000001</v>
      </c>
      <c r="M2040" s="101">
        <f t="shared" ref="M2040:M2103" si="397">IF(I2040&gt;0,I2040,J2040)</f>
        <v>0</v>
      </c>
      <c r="N2040" s="24">
        <v>15</v>
      </c>
      <c r="O2040" s="26">
        <f t="shared" si="388"/>
        <v>0</v>
      </c>
      <c r="P2040" s="24">
        <v>1.1000000000000001</v>
      </c>
      <c r="Q2040" s="24">
        <v>36</v>
      </c>
      <c r="R2040" s="27">
        <f t="shared" si="389"/>
        <v>0</v>
      </c>
      <c r="S2040" s="102">
        <f t="shared" si="391"/>
        <v>0</v>
      </c>
      <c r="T2040" s="21">
        <f>VLOOKUP($A2040,'2022-23 Salary &amp; Benefits'!$A:$I,5,FALSE)</f>
        <v>68937</v>
      </c>
      <c r="U2040" s="21">
        <f>VLOOKUP($A2040,'2022-23 Salary &amp; Benefits'!$A:$I,6,FALSE)</f>
        <v>72728</v>
      </c>
      <c r="V2040" s="22">
        <f t="shared" si="392"/>
        <v>0</v>
      </c>
      <c r="W2040" s="22">
        <f t="shared" si="393"/>
        <v>0</v>
      </c>
      <c r="X2040" s="22">
        <f>'2022-23 Salary &amp; Benefits'!$G$6</f>
        <v>12558.24</v>
      </c>
      <c r="Y2040" s="23">
        <f>'2022-23 Salary &amp; Benefits'!$H$6</f>
        <v>0.2298</v>
      </c>
      <c r="Z2040" s="23">
        <f>'2022-23 Salary &amp; Benefits'!$I$6</f>
        <v>0.22339999999999999</v>
      </c>
      <c r="AA2040" s="22">
        <f t="shared" si="394"/>
        <v>0</v>
      </c>
      <c r="AB2040" s="22">
        <f t="shared" si="395"/>
        <v>0</v>
      </c>
      <c r="AC2040" s="22">
        <f t="shared" si="396"/>
        <v>0</v>
      </c>
      <c r="AD2040" s="22">
        <f t="shared" ref="AD2040:AD2103" si="398">SUM(AB2040:AC2040)</f>
        <v>0</v>
      </c>
      <c r="AE2040" s="22">
        <f t="shared" ref="AE2040:AE2103" si="399">SUM(AA2040,V2040:W2040,AD2040)</f>
        <v>0</v>
      </c>
      <c r="AF2040" s="19" t="str">
        <f>VLOOKUP(C2040,'2021-22 School Level AAFTE'!C:N,12,FALSE)</f>
        <v>No</v>
      </c>
    </row>
    <row r="2041" spans="1:32" s="5" customFormat="1">
      <c r="A2041" s="97" t="s">
        <v>2440</v>
      </c>
      <c r="B2041" s="97" t="s">
        <v>1330</v>
      </c>
      <c r="C2041" s="95">
        <v>2771</v>
      </c>
      <c r="D2041" s="95" t="s">
        <v>1352</v>
      </c>
      <c r="E2041" s="129">
        <f>VLOOKUP($C2041,'2021-22 School Level AAFTE'!$C:$Z,11,FALSE)</f>
        <v>0.82043333333333335</v>
      </c>
      <c r="F2041" s="129" t="str">
        <f>VLOOKUP($C2041,'2021-22 School Level AAFTE'!$C:$Z,8,FALSE)</f>
        <v>Yes</v>
      </c>
      <c r="G2041" s="129" t="str">
        <f>VLOOKUP($C2041,'2021-22 School Level AAFTE'!$C:$Z,12,FALSE)</f>
        <v>No</v>
      </c>
      <c r="H2041" s="127">
        <f>VLOOKUP($C2041,'2021-22 School Level AAFTE'!$C:$I,7,FALSE)</f>
        <v>342.14</v>
      </c>
      <c r="I2041" s="112">
        <f>IFERROR(IF(OR(G2041="yes",F2041= "yes"),VLOOKUP(C2041,Summary!$B:$J,6,0),0),0)</f>
        <v>0</v>
      </c>
      <c r="J2041" s="111">
        <f t="shared" si="390"/>
        <v>342.14</v>
      </c>
      <c r="K2041" s="91">
        <f>VLOOKUP($A2041,'2022-23 Salary &amp; Benefits'!$A:$I,3,FALSE)</f>
        <v>1.1200000000000001</v>
      </c>
      <c r="L2041" s="91">
        <f>VLOOKUP($A2041,'2022-23 Salary &amp; Benefits'!$A:$I,4,FALSE)</f>
        <v>1.1200000000000001</v>
      </c>
      <c r="M2041" s="39">
        <f t="shared" si="397"/>
        <v>342.14</v>
      </c>
      <c r="N2041" s="24">
        <v>15</v>
      </c>
      <c r="O2041" s="26">
        <f t="shared" si="388"/>
        <v>22.809333333333331</v>
      </c>
      <c r="P2041" s="24">
        <v>1.1000000000000001</v>
      </c>
      <c r="Q2041" s="24">
        <v>36</v>
      </c>
      <c r="R2041" s="27">
        <f t="shared" si="389"/>
        <v>903.24959999999987</v>
      </c>
      <c r="S2041" s="102">
        <f t="shared" si="391"/>
        <v>1.004</v>
      </c>
      <c r="T2041" s="21">
        <f>VLOOKUP($A2041,'2022-23 Salary &amp; Benefits'!$A:$I,5,FALSE)</f>
        <v>68937</v>
      </c>
      <c r="U2041" s="21">
        <f>VLOOKUP($A2041,'2022-23 Salary &amp; Benefits'!$A:$I,6,FALSE)</f>
        <v>72728</v>
      </c>
      <c r="V2041" s="22">
        <f t="shared" si="392"/>
        <v>77518.28</v>
      </c>
      <c r="W2041" s="22">
        <f t="shared" si="393"/>
        <v>4262.8999999999942</v>
      </c>
      <c r="X2041" s="22">
        <f>'2022-23 Salary &amp; Benefits'!$G$6</f>
        <v>12558.24</v>
      </c>
      <c r="Y2041" s="23">
        <f>'2022-23 Salary &amp; Benefits'!$H$6</f>
        <v>0.2298</v>
      </c>
      <c r="Z2041" s="23">
        <f>'2022-23 Salary &amp; Benefits'!$I$6</f>
        <v>0.22339999999999999</v>
      </c>
      <c r="AA2041" s="22">
        <f t="shared" si="394"/>
        <v>31374.51</v>
      </c>
      <c r="AB2041" s="22">
        <f t="shared" si="395"/>
        <v>1363.02</v>
      </c>
      <c r="AC2041" s="22">
        <f t="shared" si="396"/>
        <v>304.5</v>
      </c>
      <c r="AD2041" s="22">
        <f t="shared" si="398"/>
        <v>1667.52</v>
      </c>
      <c r="AE2041" s="22">
        <f t="shared" si="399"/>
        <v>114823.20999999999</v>
      </c>
      <c r="AF2041" s="19" t="str">
        <f>VLOOKUP(C2041,'2021-22 School Level AAFTE'!C:N,12,FALSE)</f>
        <v>No</v>
      </c>
    </row>
    <row r="2042" spans="1:32" s="5" customFormat="1">
      <c r="A2042" s="97" t="s">
        <v>2440</v>
      </c>
      <c r="B2042" s="97" t="s">
        <v>1330</v>
      </c>
      <c r="C2042" s="95">
        <v>2772</v>
      </c>
      <c r="D2042" s="95" t="s">
        <v>1353</v>
      </c>
      <c r="E2042" s="129">
        <f>VLOOKUP($C2042,'2021-22 School Level AAFTE'!$C:$Z,11,FALSE)</f>
        <v>0.61886666666666668</v>
      </c>
      <c r="F2042" s="129" t="str">
        <f>VLOOKUP($C2042,'2021-22 School Level AAFTE'!$C:$Z,8,FALSE)</f>
        <v>Yes</v>
      </c>
      <c r="G2042" s="129" t="str">
        <f>VLOOKUP($C2042,'2021-22 School Level AAFTE'!$C:$Z,12,FALSE)</f>
        <v>No</v>
      </c>
      <c r="H2042" s="127">
        <f>VLOOKUP($C2042,'2021-22 School Level AAFTE'!$C:$I,7,FALSE)</f>
        <v>317.14999999999998</v>
      </c>
      <c r="I2042" s="112">
        <f>IFERROR(IF(OR(G2042="yes",F2042= "yes"),VLOOKUP(C2042,Summary!$B:$J,6,0),0),0)</f>
        <v>0</v>
      </c>
      <c r="J2042" s="111">
        <f t="shared" si="390"/>
        <v>317.14999999999998</v>
      </c>
      <c r="K2042" s="91">
        <f>VLOOKUP($A2042,'2022-23 Salary &amp; Benefits'!$A:$I,3,FALSE)</f>
        <v>1.1200000000000001</v>
      </c>
      <c r="L2042" s="91">
        <f>VLOOKUP($A2042,'2022-23 Salary &amp; Benefits'!$A:$I,4,FALSE)</f>
        <v>1.1200000000000001</v>
      </c>
      <c r="M2042" s="101">
        <f t="shared" si="397"/>
        <v>317.14999999999998</v>
      </c>
      <c r="N2042" s="24">
        <v>15</v>
      </c>
      <c r="O2042" s="26">
        <f t="shared" si="388"/>
        <v>21.143333333333331</v>
      </c>
      <c r="P2042" s="24">
        <v>1.1000000000000001</v>
      </c>
      <c r="Q2042" s="24">
        <v>36</v>
      </c>
      <c r="R2042" s="27">
        <f t="shared" si="389"/>
        <v>837.27599999999995</v>
      </c>
      <c r="S2042" s="102">
        <f t="shared" si="391"/>
        <v>0.93</v>
      </c>
      <c r="T2042" s="21">
        <f>VLOOKUP($A2042,'2022-23 Salary &amp; Benefits'!$A:$I,5,FALSE)</f>
        <v>68937</v>
      </c>
      <c r="U2042" s="21">
        <f>VLOOKUP($A2042,'2022-23 Salary &amp; Benefits'!$A:$I,6,FALSE)</f>
        <v>72728</v>
      </c>
      <c r="V2042" s="22">
        <f t="shared" si="392"/>
        <v>71804.78</v>
      </c>
      <c r="W2042" s="22">
        <f t="shared" si="393"/>
        <v>3948.6999999999971</v>
      </c>
      <c r="X2042" s="22">
        <f>'2022-23 Salary &amp; Benefits'!$G$6</f>
        <v>12558.24</v>
      </c>
      <c r="Y2042" s="23">
        <f>'2022-23 Salary &amp; Benefits'!$H$6</f>
        <v>0.2298</v>
      </c>
      <c r="Z2042" s="23">
        <f>'2022-23 Salary &amp; Benefits'!$I$6</f>
        <v>0.22339999999999999</v>
      </c>
      <c r="AA2042" s="22">
        <f t="shared" si="394"/>
        <v>29062.04</v>
      </c>
      <c r="AB2042" s="22">
        <f t="shared" si="395"/>
        <v>1262.56</v>
      </c>
      <c r="AC2042" s="22">
        <f t="shared" si="396"/>
        <v>282.06</v>
      </c>
      <c r="AD2042" s="22">
        <f t="shared" si="398"/>
        <v>1544.62</v>
      </c>
      <c r="AE2042" s="22">
        <f t="shared" si="399"/>
        <v>106360.14</v>
      </c>
      <c r="AF2042" s="19" t="str">
        <f>VLOOKUP(C2042,'2021-22 School Level AAFTE'!C:N,12,FALSE)</f>
        <v>No</v>
      </c>
    </row>
    <row r="2043" spans="1:32" s="5" customFormat="1">
      <c r="A2043" s="97" t="s">
        <v>2440</v>
      </c>
      <c r="B2043" s="97" t="s">
        <v>1330</v>
      </c>
      <c r="C2043" s="95">
        <v>2805</v>
      </c>
      <c r="D2043" s="95" t="s">
        <v>1354</v>
      </c>
      <c r="E2043" s="129">
        <f>VLOOKUP($C2043,'2021-22 School Level AAFTE'!$C:$Z,11,FALSE)</f>
        <v>0.19566666666666666</v>
      </c>
      <c r="F2043" s="129" t="str">
        <f>VLOOKUP($C2043,'2021-22 School Level AAFTE'!$C:$Z,8,FALSE)</f>
        <v>No</v>
      </c>
      <c r="G2043" s="129" t="str">
        <f>VLOOKUP($C2043,'2021-22 School Level AAFTE'!$C:$Z,12,FALSE)</f>
        <v>No</v>
      </c>
      <c r="H2043" s="127">
        <f>VLOOKUP($C2043,'2021-22 School Level AAFTE'!$C:$I,7,FALSE)</f>
        <v>326.7</v>
      </c>
      <c r="I2043" s="112">
        <f>IFERROR(IF(OR(G2043="yes",F2043= "yes"),VLOOKUP(C2043,Summary!$B:$J,6,0),0),0)</f>
        <v>0</v>
      </c>
      <c r="J2043" s="111">
        <f t="shared" si="390"/>
        <v>0</v>
      </c>
      <c r="K2043" s="91">
        <f>VLOOKUP($A2043,'2022-23 Salary &amp; Benefits'!$A:$I,3,FALSE)</f>
        <v>1.1200000000000001</v>
      </c>
      <c r="L2043" s="91">
        <f>VLOOKUP($A2043,'2022-23 Salary &amp; Benefits'!$A:$I,4,FALSE)</f>
        <v>1.1200000000000001</v>
      </c>
      <c r="M2043" s="39">
        <f t="shared" si="397"/>
        <v>0</v>
      </c>
      <c r="N2043" s="24">
        <v>15</v>
      </c>
      <c r="O2043" s="26">
        <f t="shared" si="388"/>
        <v>0</v>
      </c>
      <c r="P2043" s="24">
        <v>1.1000000000000001</v>
      </c>
      <c r="Q2043" s="24">
        <v>36</v>
      </c>
      <c r="R2043" s="27">
        <f t="shared" si="389"/>
        <v>0</v>
      </c>
      <c r="S2043" s="102">
        <f t="shared" si="391"/>
        <v>0</v>
      </c>
      <c r="T2043" s="21">
        <f>VLOOKUP($A2043,'2022-23 Salary &amp; Benefits'!$A:$I,5,FALSE)</f>
        <v>68937</v>
      </c>
      <c r="U2043" s="21">
        <f>VLOOKUP($A2043,'2022-23 Salary &amp; Benefits'!$A:$I,6,FALSE)</f>
        <v>72728</v>
      </c>
      <c r="V2043" s="22">
        <f t="shared" si="392"/>
        <v>0</v>
      </c>
      <c r="W2043" s="22">
        <f t="shared" si="393"/>
        <v>0</v>
      </c>
      <c r="X2043" s="22">
        <f>'2022-23 Salary &amp; Benefits'!$G$6</f>
        <v>12558.24</v>
      </c>
      <c r="Y2043" s="23">
        <f>'2022-23 Salary &amp; Benefits'!$H$6</f>
        <v>0.2298</v>
      </c>
      <c r="Z2043" s="23">
        <f>'2022-23 Salary &amp; Benefits'!$I$6</f>
        <v>0.22339999999999999</v>
      </c>
      <c r="AA2043" s="22">
        <f t="shared" si="394"/>
        <v>0</v>
      </c>
      <c r="AB2043" s="22">
        <f t="shared" si="395"/>
        <v>0</v>
      </c>
      <c r="AC2043" s="22">
        <f t="shared" si="396"/>
        <v>0</v>
      </c>
      <c r="AD2043" s="22">
        <f t="shared" si="398"/>
        <v>0</v>
      </c>
      <c r="AE2043" s="22">
        <f t="shared" si="399"/>
        <v>0</v>
      </c>
      <c r="AF2043" s="19" t="str">
        <f>VLOOKUP(C2043,'2021-22 School Level AAFTE'!C:N,12,FALSE)</f>
        <v>No</v>
      </c>
    </row>
    <row r="2044" spans="1:32" s="5" customFormat="1">
      <c r="A2044" s="97" t="s">
        <v>2440</v>
      </c>
      <c r="B2044" s="97" t="s">
        <v>1330</v>
      </c>
      <c r="C2044" s="95">
        <v>2806</v>
      </c>
      <c r="D2044" s="95" t="s">
        <v>1355</v>
      </c>
      <c r="E2044" s="129">
        <f>VLOOKUP($C2044,'2021-22 School Level AAFTE'!$C:$Z,11,FALSE)</f>
        <v>0.7651</v>
      </c>
      <c r="F2044" s="129" t="str">
        <f>VLOOKUP($C2044,'2021-22 School Level AAFTE'!$C:$Z,8,FALSE)</f>
        <v>Yes</v>
      </c>
      <c r="G2044" s="129" t="str">
        <f>VLOOKUP($C2044,'2021-22 School Level AAFTE'!$C:$Z,12,FALSE)</f>
        <v>No</v>
      </c>
      <c r="H2044" s="127">
        <f>VLOOKUP($C2044,'2021-22 School Level AAFTE'!$C:$I,7,FALSE)</f>
        <v>341</v>
      </c>
      <c r="I2044" s="112">
        <f>IFERROR(IF(OR(G2044="yes",F2044= "yes"),VLOOKUP(C2044,Summary!$B:$J,6,0),0),0)</f>
        <v>0</v>
      </c>
      <c r="J2044" s="111">
        <f t="shared" si="390"/>
        <v>341</v>
      </c>
      <c r="K2044" s="91">
        <f>VLOOKUP($A2044,'2022-23 Salary &amp; Benefits'!$A:$I,3,FALSE)</f>
        <v>1.1200000000000001</v>
      </c>
      <c r="L2044" s="91">
        <f>VLOOKUP($A2044,'2022-23 Salary &amp; Benefits'!$A:$I,4,FALSE)</f>
        <v>1.1200000000000001</v>
      </c>
      <c r="M2044" s="101">
        <f t="shared" si="397"/>
        <v>341</v>
      </c>
      <c r="N2044" s="24">
        <v>15</v>
      </c>
      <c r="O2044" s="26">
        <f t="shared" si="388"/>
        <v>22.733333333333334</v>
      </c>
      <c r="P2044" s="24">
        <v>1.1000000000000001</v>
      </c>
      <c r="Q2044" s="24">
        <v>36</v>
      </c>
      <c r="R2044" s="27">
        <f t="shared" si="389"/>
        <v>900.24000000000012</v>
      </c>
      <c r="S2044" s="102">
        <f t="shared" si="391"/>
        <v>1</v>
      </c>
      <c r="T2044" s="21">
        <f>VLOOKUP($A2044,'2022-23 Salary &amp; Benefits'!$A:$I,5,FALSE)</f>
        <v>68937</v>
      </c>
      <c r="U2044" s="21">
        <f>VLOOKUP($A2044,'2022-23 Salary &amp; Benefits'!$A:$I,6,FALSE)</f>
        <v>72728</v>
      </c>
      <c r="V2044" s="22">
        <f t="shared" si="392"/>
        <v>77209.440000000002</v>
      </c>
      <c r="W2044" s="22">
        <f t="shared" si="393"/>
        <v>4245.9199999999983</v>
      </c>
      <c r="X2044" s="22">
        <f>'2022-23 Salary &amp; Benefits'!$G$6</f>
        <v>12558.24</v>
      </c>
      <c r="Y2044" s="23">
        <f>'2022-23 Salary &amp; Benefits'!$H$6</f>
        <v>0.2298</v>
      </c>
      <c r="Z2044" s="23">
        <f>'2022-23 Salary &amp; Benefits'!$I$6</f>
        <v>0.22339999999999999</v>
      </c>
      <c r="AA2044" s="22">
        <f t="shared" si="394"/>
        <v>31249.51</v>
      </c>
      <c r="AB2044" s="22">
        <f t="shared" si="395"/>
        <v>1357.59</v>
      </c>
      <c r="AC2044" s="22">
        <f t="shared" si="396"/>
        <v>303.29000000000002</v>
      </c>
      <c r="AD2044" s="22">
        <f t="shared" si="398"/>
        <v>1660.8799999999999</v>
      </c>
      <c r="AE2044" s="22">
        <f t="shared" si="399"/>
        <v>114365.75</v>
      </c>
      <c r="AF2044" s="19" t="str">
        <f>VLOOKUP(C2044,'2021-22 School Level AAFTE'!C:N,12,FALSE)</f>
        <v>No</v>
      </c>
    </row>
    <row r="2045" spans="1:32" s="5" customFormat="1">
      <c r="A2045" s="97" t="s">
        <v>2440</v>
      </c>
      <c r="B2045" s="97" t="s">
        <v>1330</v>
      </c>
      <c r="C2045" s="95">
        <v>2871</v>
      </c>
      <c r="D2045" s="95" t="s">
        <v>1356</v>
      </c>
      <c r="E2045" s="129">
        <f>VLOOKUP($C2045,'2021-22 School Level AAFTE'!$C:$Z,11,FALSE)</f>
        <v>0.71966666666666679</v>
      </c>
      <c r="F2045" s="129" t="str">
        <f>VLOOKUP($C2045,'2021-22 School Level AAFTE'!$C:$Z,8,FALSE)</f>
        <v>Yes</v>
      </c>
      <c r="G2045" s="129" t="str">
        <f>VLOOKUP($C2045,'2021-22 School Level AAFTE'!$C:$Z,12,FALSE)</f>
        <v>No</v>
      </c>
      <c r="H2045" s="127">
        <f>VLOOKUP($C2045,'2021-22 School Level AAFTE'!$C:$I,7,FALSE)</f>
        <v>361.3</v>
      </c>
      <c r="I2045" s="112">
        <f>IFERROR(IF(OR(G2045="yes",F2045= "yes"),VLOOKUP(C2045,Summary!$B:$J,6,0),0),0)</f>
        <v>0</v>
      </c>
      <c r="J2045" s="111">
        <f t="shared" si="390"/>
        <v>361.3</v>
      </c>
      <c r="K2045" s="91">
        <f>VLOOKUP($A2045,'2022-23 Salary &amp; Benefits'!$A:$I,3,FALSE)</f>
        <v>1.1200000000000001</v>
      </c>
      <c r="L2045" s="91">
        <f>VLOOKUP($A2045,'2022-23 Salary &amp; Benefits'!$A:$I,4,FALSE)</f>
        <v>1.1200000000000001</v>
      </c>
      <c r="M2045" s="101">
        <f t="shared" si="397"/>
        <v>361.3</v>
      </c>
      <c r="N2045" s="24">
        <v>15</v>
      </c>
      <c r="O2045" s="26">
        <f t="shared" si="388"/>
        <v>24.086666666666666</v>
      </c>
      <c r="P2045" s="24">
        <v>1.1000000000000001</v>
      </c>
      <c r="Q2045" s="24">
        <v>36</v>
      </c>
      <c r="R2045" s="27">
        <f t="shared" si="389"/>
        <v>953.83200000000011</v>
      </c>
      <c r="S2045" s="102">
        <f t="shared" si="391"/>
        <v>1.06</v>
      </c>
      <c r="T2045" s="21">
        <f>VLOOKUP($A2045,'2022-23 Salary &amp; Benefits'!$A:$I,5,FALSE)</f>
        <v>68937</v>
      </c>
      <c r="U2045" s="21">
        <f>VLOOKUP($A2045,'2022-23 Salary &amp; Benefits'!$A:$I,6,FALSE)</f>
        <v>72728</v>
      </c>
      <c r="V2045" s="22">
        <f t="shared" si="392"/>
        <v>81842.009999999995</v>
      </c>
      <c r="W2045" s="22">
        <f t="shared" si="393"/>
        <v>4500.6699999999983</v>
      </c>
      <c r="X2045" s="22">
        <f>'2022-23 Salary &amp; Benefits'!$G$6</f>
        <v>12558.24</v>
      </c>
      <c r="Y2045" s="23">
        <f>'2022-23 Salary &amp; Benefits'!$H$6</f>
        <v>0.2298</v>
      </c>
      <c r="Z2045" s="23">
        <f>'2022-23 Salary &amp; Benefits'!$I$6</f>
        <v>0.22339999999999999</v>
      </c>
      <c r="AA2045" s="22">
        <f t="shared" si="394"/>
        <v>33124.480000000003</v>
      </c>
      <c r="AB2045" s="22">
        <f t="shared" si="395"/>
        <v>1439.04</v>
      </c>
      <c r="AC2045" s="22">
        <f t="shared" si="396"/>
        <v>321.48</v>
      </c>
      <c r="AD2045" s="22">
        <f t="shared" si="398"/>
        <v>1760.52</v>
      </c>
      <c r="AE2045" s="22">
        <f t="shared" si="399"/>
        <v>121227.68</v>
      </c>
      <c r="AF2045" s="19" t="str">
        <f>VLOOKUP(C2045,'2021-22 School Level AAFTE'!C:N,12,FALSE)</f>
        <v>No</v>
      </c>
    </row>
    <row r="2046" spans="1:32" s="5" customFormat="1">
      <c r="A2046" s="97" t="s">
        <v>2440</v>
      </c>
      <c r="B2046" s="97" t="s">
        <v>1330</v>
      </c>
      <c r="C2046" s="95">
        <v>2872</v>
      </c>
      <c r="D2046" s="95" t="s">
        <v>1357</v>
      </c>
      <c r="E2046" s="129">
        <f>VLOOKUP($C2046,'2021-22 School Level AAFTE'!$C:$Z,11,FALSE)</f>
        <v>0.17166666666666666</v>
      </c>
      <c r="F2046" s="129" t="str">
        <f>VLOOKUP($C2046,'2021-22 School Level AAFTE'!$C:$Z,8,FALSE)</f>
        <v>No</v>
      </c>
      <c r="G2046" s="129" t="str">
        <f>VLOOKUP($C2046,'2021-22 School Level AAFTE'!$C:$Z,12,FALSE)</f>
        <v>No</v>
      </c>
      <c r="H2046" s="127">
        <f>VLOOKUP($C2046,'2021-22 School Level AAFTE'!$C:$I,7,FALSE)</f>
        <v>392.81</v>
      </c>
      <c r="I2046" s="112">
        <f>IFERROR(IF(OR(G2046="yes",F2046= "yes"),VLOOKUP(C2046,Summary!$B:$J,6,0),0),0)</f>
        <v>0</v>
      </c>
      <c r="J2046" s="111">
        <f t="shared" si="390"/>
        <v>0</v>
      </c>
      <c r="K2046" s="91">
        <f>VLOOKUP($A2046,'2022-23 Salary &amp; Benefits'!$A:$I,3,FALSE)</f>
        <v>1.1200000000000001</v>
      </c>
      <c r="L2046" s="91">
        <f>VLOOKUP($A2046,'2022-23 Salary &amp; Benefits'!$A:$I,4,FALSE)</f>
        <v>1.1200000000000001</v>
      </c>
      <c r="M2046" s="101">
        <f t="shared" si="397"/>
        <v>0</v>
      </c>
      <c r="N2046" s="24">
        <v>15</v>
      </c>
      <c r="O2046" s="26">
        <f t="shared" si="388"/>
        <v>0</v>
      </c>
      <c r="P2046" s="24">
        <v>1.1000000000000001</v>
      </c>
      <c r="Q2046" s="24">
        <v>36</v>
      </c>
      <c r="R2046" s="27">
        <f t="shared" si="389"/>
        <v>0</v>
      </c>
      <c r="S2046" s="102">
        <f t="shared" si="391"/>
        <v>0</v>
      </c>
      <c r="T2046" s="21">
        <f>VLOOKUP($A2046,'2022-23 Salary &amp; Benefits'!$A:$I,5,FALSE)</f>
        <v>68937</v>
      </c>
      <c r="U2046" s="21">
        <f>VLOOKUP($A2046,'2022-23 Salary &amp; Benefits'!$A:$I,6,FALSE)</f>
        <v>72728</v>
      </c>
      <c r="V2046" s="22">
        <f t="shared" si="392"/>
        <v>0</v>
      </c>
      <c r="W2046" s="22">
        <f t="shared" si="393"/>
        <v>0</v>
      </c>
      <c r="X2046" s="22">
        <f>'2022-23 Salary &amp; Benefits'!$G$6</f>
        <v>12558.24</v>
      </c>
      <c r="Y2046" s="23">
        <f>'2022-23 Salary &amp; Benefits'!$H$6</f>
        <v>0.2298</v>
      </c>
      <c r="Z2046" s="23">
        <f>'2022-23 Salary &amp; Benefits'!$I$6</f>
        <v>0.22339999999999999</v>
      </c>
      <c r="AA2046" s="22">
        <f t="shared" si="394"/>
        <v>0</v>
      </c>
      <c r="AB2046" s="22">
        <f t="shared" si="395"/>
        <v>0</v>
      </c>
      <c r="AC2046" s="22">
        <f t="shared" si="396"/>
        <v>0</v>
      </c>
      <c r="AD2046" s="22">
        <f t="shared" si="398"/>
        <v>0</v>
      </c>
      <c r="AE2046" s="22">
        <f t="shared" si="399"/>
        <v>0</v>
      </c>
      <c r="AF2046" s="19" t="str">
        <f>VLOOKUP(C2046,'2021-22 School Level AAFTE'!C:N,12,FALSE)</f>
        <v>No</v>
      </c>
    </row>
    <row r="2047" spans="1:32" s="5" customFormat="1">
      <c r="A2047" s="97" t="s">
        <v>2440</v>
      </c>
      <c r="B2047" s="97" t="s">
        <v>1330</v>
      </c>
      <c r="C2047" s="95">
        <v>2874</v>
      </c>
      <c r="D2047" s="95" t="s">
        <v>1358</v>
      </c>
      <c r="E2047" s="129">
        <f>VLOOKUP($C2047,'2021-22 School Level AAFTE'!$C:$Z,11,FALSE)</f>
        <v>0.71609999999999996</v>
      </c>
      <c r="F2047" s="129" t="str">
        <f>VLOOKUP($C2047,'2021-22 School Level AAFTE'!$C:$Z,8,FALSE)</f>
        <v>Yes</v>
      </c>
      <c r="G2047" s="129" t="str">
        <f>VLOOKUP($C2047,'2021-22 School Level AAFTE'!$C:$Z,12,FALSE)</f>
        <v>No</v>
      </c>
      <c r="H2047" s="127">
        <f>VLOOKUP($C2047,'2021-22 School Level AAFTE'!$C:$I,7,FALSE)</f>
        <v>274.86</v>
      </c>
      <c r="I2047" s="112">
        <f>IFERROR(IF(OR(G2047="yes",F2047= "yes"),VLOOKUP(C2047,Summary!$B:$J,6,0),0),0)</f>
        <v>0</v>
      </c>
      <c r="J2047" s="111">
        <f t="shared" si="390"/>
        <v>274.86</v>
      </c>
      <c r="K2047" s="91">
        <f>VLOOKUP($A2047,'2022-23 Salary &amp; Benefits'!$A:$I,3,FALSE)</f>
        <v>1.1200000000000001</v>
      </c>
      <c r="L2047" s="91">
        <f>VLOOKUP($A2047,'2022-23 Salary &amp; Benefits'!$A:$I,4,FALSE)</f>
        <v>1.1200000000000001</v>
      </c>
      <c r="M2047" s="101">
        <f t="shared" si="397"/>
        <v>274.86</v>
      </c>
      <c r="N2047" s="24">
        <v>15</v>
      </c>
      <c r="O2047" s="26">
        <f t="shared" si="388"/>
        <v>18.324000000000002</v>
      </c>
      <c r="P2047" s="24">
        <v>1.1000000000000001</v>
      </c>
      <c r="Q2047" s="24">
        <v>36</v>
      </c>
      <c r="R2047" s="27">
        <f t="shared" si="389"/>
        <v>725.63040000000024</v>
      </c>
      <c r="S2047" s="102">
        <f t="shared" si="391"/>
        <v>0.80600000000000005</v>
      </c>
      <c r="T2047" s="21">
        <f>VLOOKUP($A2047,'2022-23 Salary &amp; Benefits'!$A:$I,5,FALSE)</f>
        <v>68937</v>
      </c>
      <c r="U2047" s="21">
        <f>VLOOKUP($A2047,'2022-23 Salary &amp; Benefits'!$A:$I,6,FALSE)</f>
        <v>72728</v>
      </c>
      <c r="V2047" s="22">
        <f t="shared" si="392"/>
        <v>62230.81</v>
      </c>
      <c r="W2047" s="22">
        <f t="shared" si="393"/>
        <v>3422.2100000000064</v>
      </c>
      <c r="X2047" s="22">
        <f>'2022-23 Salary &amp; Benefits'!$G$6</f>
        <v>12558.24</v>
      </c>
      <c r="Y2047" s="23">
        <f>'2022-23 Salary &amp; Benefits'!$H$6</f>
        <v>0.2298</v>
      </c>
      <c r="Z2047" s="23">
        <f>'2022-23 Salary &amp; Benefits'!$I$6</f>
        <v>0.22339999999999999</v>
      </c>
      <c r="AA2047" s="22">
        <f t="shared" si="394"/>
        <v>25187.1</v>
      </c>
      <c r="AB2047" s="22">
        <f t="shared" si="395"/>
        <v>1094.22</v>
      </c>
      <c r="AC2047" s="22">
        <f t="shared" si="396"/>
        <v>244.45</v>
      </c>
      <c r="AD2047" s="22">
        <f t="shared" si="398"/>
        <v>1338.67</v>
      </c>
      <c r="AE2047" s="22">
        <f t="shared" si="399"/>
        <v>92178.790000000008</v>
      </c>
      <c r="AF2047" s="19" t="str">
        <f>VLOOKUP(C2047,'2021-22 School Level AAFTE'!C:N,12,FALSE)</f>
        <v>No</v>
      </c>
    </row>
    <row r="2048" spans="1:32" s="5" customFormat="1">
      <c r="A2048" s="97" t="s">
        <v>2440</v>
      </c>
      <c r="B2048" s="97" t="s">
        <v>1330</v>
      </c>
      <c r="C2048" s="95">
        <v>2938</v>
      </c>
      <c r="D2048" s="95" t="s">
        <v>1359</v>
      </c>
      <c r="E2048" s="129">
        <f>VLOOKUP($C2048,'2021-22 School Level AAFTE'!$C:$Z,11,FALSE)</f>
        <v>0.12243333333333332</v>
      </c>
      <c r="F2048" s="129" t="str">
        <f>VLOOKUP($C2048,'2021-22 School Level AAFTE'!$C:$Z,8,FALSE)</f>
        <v>No</v>
      </c>
      <c r="G2048" s="129" t="str">
        <f>VLOOKUP($C2048,'2021-22 School Level AAFTE'!$C:$Z,12,FALSE)</f>
        <v>No</v>
      </c>
      <c r="H2048" s="127">
        <f>VLOOKUP($C2048,'2021-22 School Level AAFTE'!$C:$I,7,FALSE)</f>
        <v>426.71</v>
      </c>
      <c r="I2048" s="112">
        <f>IFERROR(IF(OR(G2048="yes",F2048= "yes"),VLOOKUP(C2048,Summary!$B:$J,6,0),0),0)</f>
        <v>0</v>
      </c>
      <c r="J2048" s="111">
        <f t="shared" si="390"/>
        <v>0</v>
      </c>
      <c r="K2048" s="91">
        <f>VLOOKUP($A2048,'2022-23 Salary &amp; Benefits'!$A:$I,3,FALSE)</f>
        <v>1.1200000000000001</v>
      </c>
      <c r="L2048" s="91">
        <f>VLOOKUP($A2048,'2022-23 Salary &amp; Benefits'!$A:$I,4,FALSE)</f>
        <v>1.1200000000000001</v>
      </c>
      <c r="M2048" s="101">
        <f t="shared" si="397"/>
        <v>0</v>
      </c>
      <c r="N2048" s="24">
        <v>15</v>
      </c>
      <c r="O2048" s="26">
        <f t="shared" si="388"/>
        <v>0</v>
      </c>
      <c r="P2048" s="24">
        <v>1.1000000000000001</v>
      </c>
      <c r="Q2048" s="24">
        <v>36</v>
      </c>
      <c r="R2048" s="27">
        <f t="shared" si="389"/>
        <v>0</v>
      </c>
      <c r="S2048" s="102">
        <f t="shared" si="391"/>
        <v>0</v>
      </c>
      <c r="T2048" s="21">
        <f>VLOOKUP($A2048,'2022-23 Salary &amp; Benefits'!$A:$I,5,FALSE)</f>
        <v>68937</v>
      </c>
      <c r="U2048" s="21">
        <f>VLOOKUP($A2048,'2022-23 Salary &amp; Benefits'!$A:$I,6,FALSE)</f>
        <v>72728</v>
      </c>
      <c r="V2048" s="22">
        <f t="shared" si="392"/>
        <v>0</v>
      </c>
      <c r="W2048" s="22">
        <f t="shared" si="393"/>
        <v>0</v>
      </c>
      <c r="X2048" s="22">
        <f>'2022-23 Salary &amp; Benefits'!$G$6</f>
        <v>12558.24</v>
      </c>
      <c r="Y2048" s="23">
        <f>'2022-23 Salary &amp; Benefits'!$H$6</f>
        <v>0.2298</v>
      </c>
      <c r="Z2048" s="23">
        <f>'2022-23 Salary &amp; Benefits'!$I$6</f>
        <v>0.22339999999999999</v>
      </c>
      <c r="AA2048" s="22">
        <f t="shared" si="394"/>
        <v>0</v>
      </c>
      <c r="AB2048" s="22">
        <f t="shared" si="395"/>
        <v>0</v>
      </c>
      <c r="AC2048" s="22">
        <f t="shared" si="396"/>
        <v>0</v>
      </c>
      <c r="AD2048" s="22">
        <f t="shared" si="398"/>
        <v>0</v>
      </c>
      <c r="AE2048" s="22">
        <f t="shared" si="399"/>
        <v>0</v>
      </c>
      <c r="AF2048" s="19" t="str">
        <f>VLOOKUP(C2048,'2021-22 School Level AAFTE'!C:N,12,FALSE)</f>
        <v>No</v>
      </c>
    </row>
    <row r="2049" spans="1:32" s="5" customFormat="1">
      <c r="A2049" s="97" t="s">
        <v>2440</v>
      </c>
      <c r="B2049" s="97" t="s">
        <v>1330</v>
      </c>
      <c r="C2049" s="95">
        <v>2939</v>
      </c>
      <c r="D2049" s="95" t="s">
        <v>1360</v>
      </c>
      <c r="E2049" s="129">
        <f>VLOOKUP($C2049,'2021-22 School Level AAFTE'!$C:$Z,11,FALSE)</f>
        <v>0.63103333333333333</v>
      </c>
      <c r="F2049" s="129" t="str">
        <f>VLOOKUP($C2049,'2021-22 School Level AAFTE'!$C:$Z,8,FALSE)</f>
        <v>Yes</v>
      </c>
      <c r="G2049" s="129" t="str">
        <f>VLOOKUP($C2049,'2021-22 School Level AAFTE'!$C:$Z,12,FALSE)</f>
        <v>No</v>
      </c>
      <c r="H2049" s="127">
        <f>VLOOKUP($C2049,'2021-22 School Level AAFTE'!$C:$I,7,FALSE)</f>
        <v>319.73</v>
      </c>
      <c r="I2049" s="112">
        <f>IFERROR(IF(OR(G2049="yes",F2049= "yes"),VLOOKUP(C2049,Summary!$B:$J,6,0),0),0)</f>
        <v>0</v>
      </c>
      <c r="J2049" s="111">
        <f t="shared" si="390"/>
        <v>319.73</v>
      </c>
      <c r="K2049" s="91">
        <f>VLOOKUP($A2049,'2022-23 Salary &amp; Benefits'!$A:$I,3,FALSE)</f>
        <v>1.1200000000000001</v>
      </c>
      <c r="L2049" s="91">
        <f>VLOOKUP($A2049,'2022-23 Salary &amp; Benefits'!$A:$I,4,FALSE)</f>
        <v>1.1200000000000001</v>
      </c>
      <c r="M2049" s="101">
        <f t="shared" si="397"/>
        <v>319.73</v>
      </c>
      <c r="N2049" s="24">
        <v>15</v>
      </c>
      <c r="O2049" s="26">
        <f t="shared" si="388"/>
        <v>21.315333333333335</v>
      </c>
      <c r="P2049" s="24">
        <v>1.1000000000000001</v>
      </c>
      <c r="Q2049" s="24">
        <v>36</v>
      </c>
      <c r="R2049" s="27">
        <f t="shared" si="389"/>
        <v>844.08720000000017</v>
      </c>
      <c r="S2049" s="102">
        <f t="shared" si="391"/>
        <v>0.93799999999999994</v>
      </c>
      <c r="T2049" s="21">
        <f>VLOOKUP($A2049,'2022-23 Salary &amp; Benefits'!$A:$I,5,FALSE)</f>
        <v>68937</v>
      </c>
      <c r="U2049" s="21">
        <f>VLOOKUP($A2049,'2022-23 Salary &amp; Benefits'!$A:$I,6,FALSE)</f>
        <v>72728</v>
      </c>
      <c r="V2049" s="22">
        <f t="shared" si="392"/>
        <v>72422.45</v>
      </c>
      <c r="W2049" s="22">
        <f t="shared" si="393"/>
        <v>3982.6800000000076</v>
      </c>
      <c r="X2049" s="22">
        <f>'2022-23 Salary &amp; Benefits'!$G$6</f>
        <v>12558.24</v>
      </c>
      <c r="Y2049" s="23">
        <f>'2022-23 Salary &amp; Benefits'!$H$6</f>
        <v>0.2298</v>
      </c>
      <c r="Z2049" s="23">
        <f>'2022-23 Salary &amp; Benefits'!$I$6</f>
        <v>0.22339999999999999</v>
      </c>
      <c r="AA2049" s="22">
        <f t="shared" si="394"/>
        <v>29312.04</v>
      </c>
      <c r="AB2049" s="22">
        <f t="shared" si="395"/>
        <v>1273.42</v>
      </c>
      <c r="AC2049" s="22">
        <f t="shared" si="396"/>
        <v>284.48</v>
      </c>
      <c r="AD2049" s="22">
        <f t="shared" si="398"/>
        <v>1557.9</v>
      </c>
      <c r="AE2049" s="22">
        <f t="shared" si="399"/>
        <v>107275.06999999999</v>
      </c>
      <c r="AF2049" s="19" t="str">
        <f>VLOOKUP(C2049,'2021-22 School Level AAFTE'!C:N,12,FALSE)</f>
        <v>No</v>
      </c>
    </row>
    <row r="2050" spans="1:32" s="5" customFormat="1">
      <c r="A2050" s="97" t="s">
        <v>2440</v>
      </c>
      <c r="B2050" s="97" t="s">
        <v>1330</v>
      </c>
      <c r="C2050" s="95">
        <v>2940</v>
      </c>
      <c r="D2050" s="95" t="s">
        <v>1361</v>
      </c>
      <c r="E2050" s="129">
        <f>VLOOKUP($C2050,'2021-22 School Level AAFTE'!$C:$Z,11,FALSE)</f>
        <v>0.71826666666666672</v>
      </c>
      <c r="F2050" s="129" t="str">
        <f>VLOOKUP($C2050,'2021-22 School Level AAFTE'!$C:$Z,8,FALSE)</f>
        <v>Yes</v>
      </c>
      <c r="G2050" s="129" t="str">
        <f>VLOOKUP($C2050,'2021-22 School Level AAFTE'!$C:$Z,12,FALSE)</f>
        <v>No</v>
      </c>
      <c r="H2050" s="127">
        <f>VLOOKUP($C2050,'2021-22 School Level AAFTE'!$C:$I,7,FALSE)</f>
        <v>357.87</v>
      </c>
      <c r="I2050" s="112">
        <f>IFERROR(IF(OR(G2050="yes",F2050= "yes"),VLOOKUP(C2050,Summary!$B:$J,6,0),0),0)</f>
        <v>0</v>
      </c>
      <c r="J2050" s="111">
        <f t="shared" si="390"/>
        <v>357.87</v>
      </c>
      <c r="K2050" s="91">
        <f>VLOOKUP($A2050,'2022-23 Salary &amp; Benefits'!$A:$I,3,FALSE)</f>
        <v>1.1200000000000001</v>
      </c>
      <c r="L2050" s="91">
        <f>VLOOKUP($A2050,'2022-23 Salary &amp; Benefits'!$A:$I,4,FALSE)</f>
        <v>1.1200000000000001</v>
      </c>
      <c r="M2050" s="39">
        <f t="shared" si="397"/>
        <v>357.87</v>
      </c>
      <c r="N2050" s="24">
        <v>15</v>
      </c>
      <c r="O2050" s="26">
        <f t="shared" si="388"/>
        <v>23.858000000000001</v>
      </c>
      <c r="P2050" s="24">
        <v>1.1000000000000001</v>
      </c>
      <c r="Q2050" s="24">
        <v>36</v>
      </c>
      <c r="R2050" s="27">
        <f t="shared" si="389"/>
        <v>944.77680000000009</v>
      </c>
      <c r="S2050" s="102">
        <f t="shared" si="391"/>
        <v>1.05</v>
      </c>
      <c r="T2050" s="21">
        <f>VLOOKUP($A2050,'2022-23 Salary &amp; Benefits'!$A:$I,5,FALSE)</f>
        <v>68937</v>
      </c>
      <c r="U2050" s="21">
        <f>VLOOKUP($A2050,'2022-23 Salary &amp; Benefits'!$A:$I,6,FALSE)</f>
        <v>72728</v>
      </c>
      <c r="V2050" s="22">
        <f t="shared" si="392"/>
        <v>81069.91</v>
      </c>
      <c r="W2050" s="22">
        <f t="shared" si="393"/>
        <v>4458.2200000000012</v>
      </c>
      <c r="X2050" s="22">
        <f>'2022-23 Salary &amp; Benefits'!$G$6</f>
        <v>12558.24</v>
      </c>
      <c r="Y2050" s="23">
        <f>'2022-23 Salary &amp; Benefits'!$H$6</f>
        <v>0.2298</v>
      </c>
      <c r="Z2050" s="23">
        <f>'2022-23 Salary &amp; Benefits'!$I$6</f>
        <v>0.22339999999999999</v>
      </c>
      <c r="AA2050" s="22">
        <f t="shared" si="394"/>
        <v>32811.980000000003</v>
      </c>
      <c r="AB2050" s="22">
        <f t="shared" si="395"/>
        <v>1425.47</v>
      </c>
      <c r="AC2050" s="22">
        <f t="shared" si="396"/>
        <v>318.45</v>
      </c>
      <c r="AD2050" s="22">
        <f t="shared" si="398"/>
        <v>1743.92</v>
      </c>
      <c r="AE2050" s="22">
        <f t="shared" si="399"/>
        <v>120084.03000000001</v>
      </c>
      <c r="AF2050" s="19" t="str">
        <f>VLOOKUP(C2050,'2021-22 School Level AAFTE'!C:N,12,FALSE)</f>
        <v>No</v>
      </c>
    </row>
    <row r="2051" spans="1:32" s="5" customFormat="1">
      <c r="A2051" s="97" t="s">
        <v>2440</v>
      </c>
      <c r="B2051" s="97" t="s">
        <v>1330</v>
      </c>
      <c r="C2051" s="95">
        <v>2941</v>
      </c>
      <c r="D2051" s="95" t="s">
        <v>1362</v>
      </c>
      <c r="E2051" s="129">
        <f>VLOOKUP($C2051,'2021-22 School Level AAFTE'!$C:$Z,11,FALSE)</f>
        <v>0.65249999999999997</v>
      </c>
      <c r="F2051" s="129" t="str">
        <f>VLOOKUP($C2051,'2021-22 School Level AAFTE'!$C:$Z,8,FALSE)</f>
        <v>Yes</v>
      </c>
      <c r="G2051" s="129" t="str">
        <f>VLOOKUP($C2051,'2021-22 School Level AAFTE'!$C:$Z,12,FALSE)</f>
        <v>No</v>
      </c>
      <c r="H2051" s="127">
        <f>VLOOKUP($C2051,'2021-22 School Level AAFTE'!$C:$I,7,FALSE)</f>
        <v>307.29000000000002</v>
      </c>
      <c r="I2051" s="112">
        <f>IFERROR(IF(OR(G2051="yes",F2051= "yes"),VLOOKUP(C2051,Summary!$B:$J,6,0),0),0)</f>
        <v>0</v>
      </c>
      <c r="J2051" s="111">
        <f t="shared" si="390"/>
        <v>307.29000000000002</v>
      </c>
      <c r="K2051" s="91">
        <f>VLOOKUP($A2051,'2022-23 Salary &amp; Benefits'!$A:$I,3,FALSE)</f>
        <v>1.1200000000000001</v>
      </c>
      <c r="L2051" s="91">
        <f>VLOOKUP($A2051,'2022-23 Salary &amp; Benefits'!$A:$I,4,FALSE)</f>
        <v>1.1200000000000001</v>
      </c>
      <c r="M2051" s="101">
        <f t="shared" si="397"/>
        <v>307.29000000000002</v>
      </c>
      <c r="N2051" s="24">
        <v>15</v>
      </c>
      <c r="O2051" s="26">
        <f t="shared" si="388"/>
        <v>20.486000000000001</v>
      </c>
      <c r="P2051" s="24">
        <v>1.1000000000000001</v>
      </c>
      <c r="Q2051" s="24">
        <v>36</v>
      </c>
      <c r="R2051" s="27">
        <f t="shared" si="389"/>
        <v>811.24560000000008</v>
      </c>
      <c r="S2051" s="102">
        <f t="shared" si="391"/>
        <v>0.90100000000000002</v>
      </c>
      <c r="T2051" s="21">
        <f>VLOOKUP($A2051,'2022-23 Salary &amp; Benefits'!$A:$I,5,FALSE)</f>
        <v>68937</v>
      </c>
      <c r="U2051" s="21">
        <f>VLOOKUP($A2051,'2022-23 Salary &amp; Benefits'!$A:$I,6,FALSE)</f>
        <v>72728</v>
      </c>
      <c r="V2051" s="22">
        <f t="shared" si="392"/>
        <v>69565.710000000006</v>
      </c>
      <c r="W2051" s="22">
        <f t="shared" si="393"/>
        <v>3825.5699999999924</v>
      </c>
      <c r="X2051" s="22">
        <f>'2022-23 Salary &amp; Benefits'!$G$6</f>
        <v>12558.24</v>
      </c>
      <c r="Y2051" s="23">
        <f>'2022-23 Salary &amp; Benefits'!$H$6</f>
        <v>0.2298</v>
      </c>
      <c r="Z2051" s="23">
        <f>'2022-23 Salary &amp; Benefits'!$I$6</f>
        <v>0.22339999999999999</v>
      </c>
      <c r="AA2051" s="22">
        <f t="shared" si="394"/>
        <v>28155.81</v>
      </c>
      <c r="AB2051" s="22">
        <f t="shared" si="395"/>
        <v>1223.19</v>
      </c>
      <c r="AC2051" s="22">
        <f t="shared" si="396"/>
        <v>273.26</v>
      </c>
      <c r="AD2051" s="22">
        <f t="shared" si="398"/>
        <v>1496.45</v>
      </c>
      <c r="AE2051" s="22">
        <f t="shared" si="399"/>
        <v>103043.54</v>
      </c>
      <c r="AF2051" s="19" t="str">
        <f>VLOOKUP(C2051,'2021-22 School Level AAFTE'!C:N,12,FALSE)</f>
        <v>No</v>
      </c>
    </row>
    <row r="2052" spans="1:32" s="5" customFormat="1">
      <c r="A2052" s="97" t="s">
        <v>2440</v>
      </c>
      <c r="B2052" s="97" t="s">
        <v>1330</v>
      </c>
      <c r="C2052" s="95">
        <v>3053</v>
      </c>
      <c r="D2052" s="95" t="s">
        <v>1363</v>
      </c>
      <c r="E2052" s="129">
        <f>VLOOKUP($C2052,'2021-22 School Level AAFTE'!$C:$Z,11,FALSE)</f>
        <v>0.30236666666666667</v>
      </c>
      <c r="F2052" s="129" t="str">
        <f>VLOOKUP($C2052,'2021-22 School Level AAFTE'!$C:$Z,8,FALSE)</f>
        <v>No</v>
      </c>
      <c r="G2052" s="129" t="str">
        <f>VLOOKUP($C2052,'2021-22 School Level AAFTE'!$C:$Z,12,FALSE)</f>
        <v>No</v>
      </c>
      <c r="H2052" s="127">
        <f>VLOOKUP($C2052,'2021-22 School Level AAFTE'!$C:$I,7,FALSE)</f>
        <v>316.35000000000002</v>
      </c>
      <c r="I2052" s="112">
        <f>IFERROR(IF(OR(G2052="yes",F2052= "yes"),VLOOKUP(C2052,Summary!$B:$J,6,0),0),0)</f>
        <v>0</v>
      </c>
      <c r="J2052" s="111">
        <f t="shared" si="390"/>
        <v>0</v>
      </c>
      <c r="K2052" s="91">
        <f>VLOOKUP($A2052,'2022-23 Salary &amp; Benefits'!$A:$I,3,FALSE)</f>
        <v>1.1200000000000001</v>
      </c>
      <c r="L2052" s="91">
        <f>VLOOKUP($A2052,'2022-23 Salary &amp; Benefits'!$A:$I,4,FALSE)</f>
        <v>1.1200000000000001</v>
      </c>
      <c r="M2052" s="101">
        <f t="shared" si="397"/>
        <v>0</v>
      </c>
      <c r="N2052" s="24">
        <v>15</v>
      </c>
      <c r="O2052" s="26">
        <f t="shared" si="388"/>
        <v>0</v>
      </c>
      <c r="P2052" s="24">
        <v>1.1000000000000001</v>
      </c>
      <c r="Q2052" s="24">
        <v>36</v>
      </c>
      <c r="R2052" s="27">
        <f t="shared" si="389"/>
        <v>0</v>
      </c>
      <c r="S2052" s="102">
        <f t="shared" si="391"/>
        <v>0</v>
      </c>
      <c r="T2052" s="21">
        <f>VLOOKUP($A2052,'2022-23 Salary &amp; Benefits'!$A:$I,5,FALSE)</f>
        <v>68937</v>
      </c>
      <c r="U2052" s="21">
        <f>VLOOKUP($A2052,'2022-23 Salary &amp; Benefits'!$A:$I,6,FALSE)</f>
        <v>72728</v>
      </c>
      <c r="V2052" s="22">
        <f t="shared" si="392"/>
        <v>0</v>
      </c>
      <c r="W2052" s="22">
        <f t="shared" si="393"/>
        <v>0</v>
      </c>
      <c r="X2052" s="22">
        <f>'2022-23 Salary &amp; Benefits'!$G$6</f>
        <v>12558.24</v>
      </c>
      <c r="Y2052" s="23">
        <f>'2022-23 Salary &amp; Benefits'!$H$6</f>
        <v>0.2298</v>
      </c>
      <c r="Z2052" s="23">
        <f>'2022-23 Salary &amp; Benefits'!$I$6</f>
        <v>0.22339999999999999</v>
      </c>
      <c r="AA2052" s="22">
        <f t="shared" si="394"/>
        <v>0</v>
      </c>
      <c r="AB2052" s="22">
        <f t="shared" si="395"/>
        <v>0</v>
      </c>
      <c r="AC2052" s="22">
        <f t="shared" si="396"/>
        <v>0</v>
      </c>
      <c r="AD2052" s="22">
        <f t="shared" si="398"/>
        <v>0</v>
      </c>
      <c r="AE2052" s="22">
        <f t="shared" si="399"/>
        <v>0</v>
      </c>
      <c r="AF2052" s="19" t="str">
        <f>VLOOKUP(C2052,'2021-22 School Level AAFTE'!C:N,12,FALSE)</f>
        <v>No</v>
      </c>
    </row>
    <row r="2053" spans="1:32" s="5" customFormat="1">
      <c r="A2053" s="97" t="s">
        <v>2440</v>
      </c>
      <c r="B2053" s="97" t="s">
        <v>1330</v>
      </c>
      <c r="C2053" s="95">
        <v>3054</v>
      </c>
      <c r="D2053" s="95" t="s">
        <v>1364</v>
      </c>
      <c r="E2053" s="129">
        <f>VLOOKUP($C2053,'2021-22 School Level AAFTE'!$C:$Z,11,FALSE)</f>
        <v>0.72473333333333334</v>
      </c>
      <c r="F2053" s="129" t="str">
        <f>VLOOKUP($C2053,'2021-22 School Level AAFTE'!$C:$Z,8,FALSE)</f>
        <v>Yes</v>
      </c>
      <c r="G2053" s="129" t="str">
        <f>VLOOKUP($C2053,'2021-22 School Level AAFTE'!$C:$Z,12,FALSE)</f>
        <v>No</v>
      </c>
      <c r="H2053" s="127">
        <f>VLOOKUP($C2053,'2021-22 School Level AAFTE'!$C:$I,7,FALSE)</f>
        <v>691.09</v>
      </c>
      <c r="I2053" s="112">
        <f>IFERROR(IF(OR(G2053="yes",F2053= "yes"),VLOOKUP(C2053,Summary!$B:$J,6,0),0),0)</f>
        <v>0</v>
      </c>
      <c r="J2053" s="111">
        <f t="shared" si="390"/>
        <v>691.09</v>
      </c>
      <c r="K2053" s="91">
        <f>VLOOKUP($A2053,'2022-23 Salary &amp; Benefits'!$A:$I,3,FALSE)</f>
        <v>1.1200000000000001</v>
      </c>
      <c r="L2053" s="91">
        <f>VLOOKUP($A2053,'2022-23 Salary &amp; Benefits'!$A:$I,4,FALSE)</f>
        <v>1.1200000000000001</v>
      </c>
      <c r="M2053" s="101">
        <f t="shared" si="397"/>
        <v>691.09</v>
      </c>
      <c r="N2053" s="24">
        <v>15</v>
      </c>
      <c r="O2053" s="26">
        <f t="shared" si="388"/>
        <v>46.07266666666667</v>
      </c>
      <c r="P2053" s="24">
        <v>1.1000000000000001</v>
      </c>
      <c r="Q2053" s="24">
        <v>36</v>
      </c>
      <c r="R2053" s="27">
        <f t="shared" si="389"/>
        <v>1824.4776000000002</v>
      </c>
      <c r="S2053" s="102">
        <f t="shared" si="391"/>
        <v>2.0270000000000001</v>
      </c>
      <c r="T2053" s="21">
        <f>VLOOKUP($A2053,'2022-23 Salary &amp; Benefits'!$A:$I,5,FALSE)</f>
        <v>68937</v>
      </c>
      <c r="U2053" s="21">
        <f>VLOOKUP($A2053,'2022-23 Salary &amp; Benefits'!$A:$I,6,FALSE)</f>
        <v>72728</v>
      </c>
      <c r="V2053" s="22">
        <f t="shared" si="392"/>
        <v>156503.53</v>
      </c>
      <c r="W2053" s="22">
        <f t="shared" si="393"/>
        <v>8606.4800000000105</v>
      </c>
      <c r="X2053" s="22">
        <f>'2022-23 Salary &amp; Benefits'!$G$6</f>
        <v>12558.24</v>
      </c>
      <c r="Y2053" s="23">
        <f>'2022-23 Salary &amp; Benefits'!$H$6</f>
        <v>0.2298</v>
      </c>
      <c r="Z2053" s="23">
        <f>'2022-23 Salary &amp; Benefits'!$I$6</f>
        <v>0.22339999999999999</v>
      </c>
      <c r="AA2053" s="22">
        <f t="shared" si="394"/>
        <v>63342.75</v>
      </c>
      <c r="AB2053" s="22">
        <f t="shared" si="395"/>
        <v>2751.83</v>
      </c>
      <c r="AC2053" s="22">
        <f t="shared" si="396"/>
        <v>614.76</v>
      </c>
      <c r="AD2053" s="22">
        <f t="shared" si="398"/>
        <v>3366.59</v>
      </c>
      <c r="AE2053" s="22">
        <f t="shared" si="399"/>
        <v>231819.35</v>
      </c>
      <c r="AF2053" s="19" t="str">
        <f>VLOOKUP(C2053,'2021-22 School Level AAFTE'!C:N,12,FALSE)</f>
        <v>No</v>
      </c>
    </row>
    <row r="2054" spans="1:32" s="5" customFormat="1">
      <c r="A2054" s="97" t="s">
        <v>2440</v>
      </c>
      <c r="B2054" s="97" t="s">
        <v>1330</v>
      </c>
      <c r="C2054" s="95">
        <v>3116</v>
      </c>
      <c r="D2054" s="95" t="s">
        <v>1365</v>
      </c>
      <c r="E2054" s="129">
        <f>VLOOKUP($C2054,'2021-22 School Level AAFTE'!$C:$Z,11,FALSE)</f>
        <v>0.52426666666666666</v>
      </c>
      <c r="F2054" s="129" t="str">
        <f>VLOOKUP($C2054,'2021-22 School Level AAFTE'!$C:$Z,8,FALSE)</f>
        <v>Yes</v>
      </c>
      <c r="G2054" s="129" t="str">
        <f>VLOOKUP($C2054,'2021-22 School Level AAFTE'!$C:$Z,12,FALSE)</f>
        <v>No</v>
      </c>
      <c r="H2054" s="127">
        <f>VLOOKUP($C2054,'2021-22 School Level AAFTE'!$C:$I,7,FALSE)</f>
        <v>363.59</v>
      </c>
      <c r="I2054" s="112">
        <f>IFERROR(IF(OR(G2054="yes",F2054= "yes"),VLOOKUP(C2054,Summary!$B:$J,6,0),0),0)</f>
        <v>0</v>
      </c>
      <c r="J2054" s="111">
        <f t="shared" si="390"/>
        <v>363.59</v>
      </c>
      <c r="K2054" s="91">
        <f>VLOOKUP($A2054,'2022-23 Salary &amp; Benefits'!$A:$I,3,FALSE)</f>
        <v>1.1200000000000001</v>
      </c>
      <c r="L2054" s="91">
        <f>VLOOKUP($A2054,'2022-23 Salary &amp; Benefits'!$A:$I,4,FALSE)</f>
        <v>1.1200000000000001</v>
      </c>
      <c r="M2054" s="39">
        <f t="shared" si="397"/>
        <v>363.59</v>
      </c>
      <c r="N2054" s="24">
        <v>15</v>
      </c>
      <c r="O2054" s="26">
        <f t="shared" si="388"/>
        <v>24.239333333333331</v>
      </c>
      <c r="P2054" s="24">
        <v>1.1000000000000001</v>
      </c>
      <c r="Q2054" s="24">
        <v>36</v>
      </c>
      <c r="R2054" s="27">
        <f t="shared" si="389"/>
        <v>959.87759999999992</v>
      </c>
      <c r="S2054" s="102">
        <f t="shared" si="391"/>
        <v>1.0669999999999999</v>
      </c>
      <c r="T2054" s="21">
        <f>VLOOKUP($A2054,'2022-23 Salary &amp; Benefits'!$A:$I,5,FALSE)</f>
        <v>68937</v>
      </c>
      <c r="U2054" s="21">
        <f>VLOOKUP($A2054,'2022-23 Salary &amp; Benefits'!$A:$I,6,FALSE)</f>
        <v>72728</v>
      </c>
      <c r="V2054" s="22">
        <f t="shared" si="392"/>
        <v>82382.47</v>
      </c>
      <c r="W2054" s="22">
        <f t="shared" si="393"/>
        <v>4530.3999999999942</v>
      </c>
      <c r="X2054" s="22">
        <f>'2022-23 Salary &amp; Benefits'!$G$6</f>
        <v>12558.24</v>
      </c>
      <c r="Y2054" s="23">
        <f>'2022-23 Salary &amp; Benefits'!$H$6</f>
        <v>0.2298</v>
      </c>
      <c r="Z2054" s="23">
        <f>'2022-23 Salary &amp; Benefits'!$I$6</f>
        <v>0.22339999999999999</v>
      </c>
      <c r="AA2054" s="22">
        <f t="shared" si="394"/>
        <v>33343.230000000003</v>
      </c>
      <c r="AB2054" s="22">
        <f t="shared" si="395"/>
        <v>1448.55</v>
      </c>
      <c r="AC2054" s="22">
        <f t="shared" si="396"/>
        <v>323.61</v>
      </c>
      <c r="AD2054" s="22">
        <f t="shared" si="398"/>
        <v>1772.1599999999999</v>
      </c>
      <c r="AE2054" s="22">
        <f t="shared" si="399"/>
        <v>122028.26000000001</v>
      </c>
      <c r="AF2054" s="19" t="str">
        <f>VLOOKUP(C2054,'2021-22 School Level AAFTE'!C:N,12,FALSE)</f>
        <v>No</v>
      </c>
    </row>
    <row r="2055" spans="1:32" s="5" customFormat="1">
      <c r="A2055" s="97" t="s">
        <v>2440</v>
      </c>
      <c r="B2055" s="97" t="s">
        <v>1330</v>
      </c>
      <c r="C2055" s="95">
        <v>3244</v>
      </c>
      <c r="D2055" s="95" t="s">
        <v>1366</v>
      </c>
      <c r="E2055" s="129">
        <f>VLOOKUP($C2055,'2021-22 School Level AAFTE'!$C:$Z,11,FALSE)</f>
        <v>0.35923333333333335</v>
      </c>
      <c r="F2055" s="129" t="str">
        <f>VLOOKUP($C2055,'2021-22 School Level AAFTE'!$C:$Z,8,FALSE)</f>
        <v>No</v>
      </c>
      <c r="G2055" s="129" t="str">
        <f>VLOOKUP($C2055,'2021-22 School Level AAFTE'!$C:$Z,12,FALSE)</f>
        <v>No</v>
      </c>
      <c r="H2055" s="127">
        <f>VLOOKUP($C2055,'2021-22 School Level AAFTE'!$C:$I,7,FALSE)</f>
        <v>634.62</v>
      </c>
      <c r="I2055" s="112">
        <f>IFERROR(IF(OR(G2055="yes",F2055= "yes"),VLOOKUP(C2055,Summary!$B:$J,6,0),0),0)</f>
        <v>0</v>
      </c>
      <c r="J2055" s="111">
        <f t="shared" si="390"/>
        <v>0</v>
      </c>
      <c r="K2055" s="91">
        <f>VLOOKUP($A2055,'2022-23 Salary &amp; Benefits'!$A:$I,3,FALSE)</f>
        <v>1.1200000000000001</v>
      </c>
      <c r="L2055" s="91">
        <f>VLOOKUP($A2055,'2022-23 Salary &amp; Benefits'!$A:$I,4,FALSE)</f>
        <v>1.1200000000000001</v>
      </c>
      <c r="M2055" s="101">
        <f t="shared" si="397"/>
        <v>0</v>
      </c>
      <c r="N2055" s="24">
        <v>15</v>
      </c>
      <c r="O2055" s="26">
        <f t="shared" si="388"/>
        <v>0</v>
      </c>
      <c r="P2055" s="24">
        <v>1.1000000000000001</v>
      </c>
      <c r="Q2055" s="24">
        <v>36</v>
      </c>
      <c r="R2055" s="27">
        <f t="shared" si="389"/>
        <v>0</v>
      </c>
      <c r="S2055" s="102">
        <f t="shared" si="391"/>
        <v>0</v>
      </c>
      <c r="T2055" s="21">
        <f>VLOOKUP($A2055,'2022-23 Salary &amp; Benefits'!$A:$I,5,FALSE)</f>
        <v>68937</v>
      </c>
      <c r="U2055" s="21">
        <f>VLOOKUP($A2055,'2022-23 Salary &amp; Benefits'!$A:$I,6,FALSE)</f>
        <v>72728</v>
      </c>
      <c r="V2055" s="22">
        <f t="shared" si="392"/>
        <v>0</v>
      </c>
      <c r="W2055" s="22">
        <f t="shared" si="393"/>
        <v>0</v>
      </c>
      <c r="X2055" s="22">
        <f>'2022-23 Salary &amp; Benefits'!$G$6</f>
        <v>12558.24</v>
      </c>
      <c r="Y2055" s="23">
        <f>'2022-23 Salary &amp; Benefits'!$H$6</f>
        <v>0.2298</v>
      </c>
      <c r="Z2055" s="23">
        <f>'2022-23 Salary &amp; Benefits'!$I$6</f>
        <v>0.22339999999999999</v>
      </c>
      <c r="AA2055" s="22">
        <f t="shared" si="394"/>
        <v>0</v>
      </c>
      <c r="AB2055" s="22">
        <f t="shared" si="395"/>
        <v>0</v>
      </c>
      <c r="AC2055" s="22">
        <f t="shared" si="396"/>
        <v>0</v>
      </c>
      <c r="AD2055" s="22">
        <f t="shared" si="398"/>
        <v>0</v>
      </c>
      <c r="AE2055" s="22">
        <f t="shared" si="399"/>
        <v>0</v>
      </c>
      <c r="AF2055" s="19" t="str">
        <f>VLOOKUP(C2055,'2021-22 School Level AAFTE'!C:N,12,FALSE)</f>
        <v>No</v>
      </c>
    </row>
    <row r="2056" spans="1:32" s="5" customFormat="1">
      <c r="A2056" s="97" t="s">
        <v>2440</v>
      </c>
      <c r="B2056" s="97" t="s">
        <v>1330</v>
      </c>
      <c r="C2056" s="95">
        <v>3246</v>
      </c>
      <c r="D2056" s="95" t="s">
        <v>1367</v>
      </c>
      <c r="E2056" s="129">
        <f>VLOOKUP($C2056,'2021-22 School Level AAFTE'!$C:$Z,11,FALSE)</f>
        <v>0.4173</v>
      </c>
      <c r="F2056" s="129" t="str">
        <f>VLOOKUP($C2056,'2021-22 School Level AAFTE'!$C:$Z,8,FALSE)</f>
        <v>No</v>
      </c>
      <c r="G2056" s="129" t="str">
        <f>VLOOKUP($C2056,'2021-22 School Level AAFTE'!$C:$Z,12,FALSE)</f>
        <v>No</v>
      </c>
      <c r="H2056" s="127">
        <f>VLOOKUP($C2056,'2021-22 School Level AAFTE'!$C:$I,7,FALSE)</f>
        <v>1103.1200000000001</v>
      </c>
      <c r="I2056" s="112">
        <f>IFERROR(IF(OR(G2056="yes",F2056= "yes"),VLOOKUP(C2056,Summary!$B:$J,6,0),0),0)</f>
        <v>0</v>
      </c>
      <c r="J2056" s="111">
        <f t="shared" si="390"/>
        <v>0</v>
      </c>
      <c r="K2056" s="91">
        <f>VLOOKUP($A2056,'2022-23 Salary &amp; Benefits'!$A:$I,3,FALSE)</f>
        <v>1.1200000000000001</v>
      </c>
      <c r="L2056" s="91">
        <f>VLOOKUP($A2056,'2022-23 Salary &amp; Benefits'!$A:$I,4,FALSE)</f>
        <v>1.1200000000000001</v>
      </c>
      <c r="M2056" s="101">
        <f t="shared" si="397"/>
        <v>0</v>
      </c>
      <c r="N2056" s="24">
        <v>15</v>
      </c>
      <c r="O2056" s="26">
        <f t="shared" si="388"/>
        <v>0</v>
      </c>
      <c r="P2056" s="24">
        <v>1.1000000000000001</v>
      </c>
      <c r="Q2056" s="24">
        <v>36</v>
      </c>
      <c r="R2056" s="27">
        <f t="shared" si="389"/>
        <v>0</v>
      </c>
      <c r="S2056" s="102">
        <f t="shared" si="391"/>
        <v>0</v>
      </c>
      <c r="T2056" s="21">
        <f>VLOOKUP($A2056,'2022-23 Salary &amp; Benefits'!$A:$I,5,FALSE)</f>
        <v>68937</v>
      </c>
      <c r="U2056" s="21">
        <f>VLOOKUP($A2056,'2022-23 Salary &amp; Benefits'!$A:$I,6,FALSE)</f>
        <v>72728</v>
      </c>
      <c r="V2056" s="22">
        <f t="shared" si="392"/>
        <v>0</v>
      </c>
      <c r="W2056" s="22">
        <f t="shared" si="393"/>
        <v>0</v>
      </c>
      <c r="X2056" s="22">
        <f>'2022-23 Salary &amp; Benefits'!$G$6</f>
        <v>12558.24</v>
      </c>
      <c r="Y2056" s="23">
        <f>'2022-23 Salary &amp; Benefits'!$H$6</f>
        <v>0.2298</v>
      </c>
      <c r="Z2056" s="23">
        <f>'2022-23 Salary &amp; Benefits'!$I$6</f>
        <v>0.22339999999999999</v>
      </c>
      <c r="AA2056" s="22">
        <f t="shared" si="394"/>
        <v>0</v>
      </c>
      <c r="AB2056" s="22">
        <f t="shared" si="395"/>
        <v>0</v>
      </c>
      <c r="AC2056" s="22">
        <f t="shared" si="396"/>
        <v>0</v>
      </c>
      <c r="AD2056" s="22">
        <f t="shared" si="398"/>
        <v>0</v>
      </c>
      <c r="AE2056" s="22">
        <f t="shared" si="399"/>
        <v>0</v>
      </c>
      <c r="AF2056" s="19" t="str">
        <f>VLOOKUP(C2056,'2021-22 School Level AAFTE'!C:N,12,FALSE)</f>
        <v>No</v>
      </c>
    </row>
    <row r="2057" spans="1:32" s="5" customFormat="1">
      <c r="A2057" s="97" t="s">
        <v>2440</v>
      </c>
      <c r="B2057" s="97" t="s">
        <v>1330</v>
      </c>
      <c r="C2057" s="95">
        <v>3397</v>
      </c>
      <c r="D2057" s="95" t="s">
        <v>1368</v>
      </c>
      <c r="E2057" s="129">
        <f>VLOOKUP($C2057,'2021-22 School Level AAFTE'!$C:$Z,11,FALSE)</f>
        <v>0.44203333333333333</v>
      </c>
      <c r="F2057" s="129" t="str">
        <f>VLOOKUP($C2057,'2021-22 School Level AAFTE'!$C:$Z,8,FALSE)</f>
        <v>No</v>
      </c>
      <c r="G2057" s="129" t="str">
        <f>VLOOKUP($C2057,'2021-22 School Level AAFTE'!$C:$Z,12,FALSE)</f>
        <v>No</v>
      </c>
      <c r="H2057" s="127">
        <f>VLOOKUP($C2057,'2021-22 School Level AAFTE'!$C:$I,7,FALSE)</f>
        <v>212.71</v>
      </c>
      <c r="I2057" s="112">
        <f>IFERROR(IF(OR(G2057="yes",F2057= "yes"),VLOOKUP(C2057,Summary!$B:$J,6,0),0),0)</f>
        <v>0</v>
      </c>
      <c r="J2057" s="111">
        <f t="shared" si="390"/>
        <v>0</v>
      </c>
      <c r="K2057" s="91">
        <f>VLOOKUP($A2057,'2022-23 Salary &amp; Benefits'!$A:$I,3,FALSE)</f>
        <v>1.1200000000000001</v>
      </c>
      <c r="L2057" s="91">
        <f>VLOOKUP($A2057,'2022-23 Salary &amp; Benefits'!$A:$I,4,FALSE)</f>
        <v>1.1200000000000001</v>
      </c>
      <c r="M2057" s="101">
        <f t="shared" si="397"/>
        <v>0</v>
      </c>
      <c r="N2057" s="24">
        <v>15</v>
      </c>
      <c r="O2057" s="26">
        <f t="shared" si="388"/>
        <v>0</v>
      </c>
      <c r="P2057" s="24">
        <v>1.1000000000000001</v>
      </c>
      <c r="Q2057" s="24">
        <v>36</v>
      </c>
      <c r="R2057" s="27">
        <f t="shared" si="389"/>
        <v>0</v>
      </c>
      <c r="S2057" s="102">
        <f t="shared" si="391"/>
        <v>0</v>
      </c>
      <c r="T2057" s="21">
        <f>VLOOKUP($A2057,'2022-23 Salary &amp; Benefits'!$A:$I,5,FALSE)</f>
        <v>68937</v>
      </c>
      <c r="U2057" s="21">
        <f>VLOOKUP($A2057,'2022-23 Salary &amp; Benefits'!$A:$I,6,FALSE)</f>
        <v>72728</v>
      </c>
      <c r="V2057" s="22">
        <f t="shared" si="392"/>
        <v>0</v>
      </c>
      <c r="W2057" s="22">
        <f t="shared" si="393"/>
        <v>0</v>
      </c>
      <c r="X2057" s="22">
        <f>'2022-23 Salary &amp; Benefits'!$G$6</f>
        <v>12558.24</v>
      </c>
      <c r="Y2057" s="23">
        <f>'2022-23 Salary &amp; Benefits'!$H$6</f>
        <v>0.2298</v>
      </c>
      <c r="Z2057" s="23">
        <f>'2022-23 Salary &amp; Benefits'!$I$6</f>
        <v>0.22339999999999999</v>
      </c>
      <c r="AA2057" s="22">
        <f t="shared" si="394"/>
        <v>0</v>
      </c>
      <c r="AB2057" s="22">
        <f t="shared" si="395"/>
        <v>0</v>
      </c>
      <c r="AC2057" s="22">
        <f t="shared" si="396"/>
        <v>0</v>
      </c>
      <c r="AD2057" s="22">
        <f t="shared" si="398"/>
        <v>0</v>
      </c>
      <c r="AE2057" s="22">
        <f t="shared" si="399"/>
        <v>0</v>
      </c>
      <c r="AF2057" s="19" t="str">
        <f>VLOOKUP(C2057,'2021-22 School Level AAFTE'!C:N,12,FALSE)</f>
        <v>No</v>
      </c>
    </row>
    <row r="2058" spans="1:32" s="5" customFormat="1">
      <c r="A2058" s="97" t="s">
        <v>2440</v>
      </c>
      <c r="B2058" s="97" t="s">
        <v>1330</v>
      </c>
      <c r="C2058" s="95">
        <v>3398</v>
      </c>
      <c r="D2058" s="95" t="s">
        <v>1369</v>
      </c>
      <c r="E2058" s="129">
        <f>VLOOKUP($C2058,'2021-22 School Level AAFTE'!$C:$Z,11,FALSE)</f>
        <v>0.67886666666666662</v>
      </c>
      <c r="F2058" s="129" t="str">
        <f>VLOOKUP($C2058,'2021-22 School Level AAFTE'!$C:$Z,8,FALSE)</f>
        <v>Yes</v>
      </c>
      <c r="G2058" s="129" t="str">
        <f>VLOOKUP($C2058,'2021-22 School Level AAFTE'!$C:$Z,12,FALSE)</f>
        <v>No</v>
      </c>
      <c r="H2058" s="127">
        <f>VLOOKUP($C2058,'2021-22 School Level AAFTE'!$C:$I,7,FALSE)</f>
        <v>1328.89</v>
      </c>
      <c r="I2058" s="112">
        <f>IFERROR(IF(OR(G2058="yes",F2058= "yes"),VLOOKUP(C2058,Summary!$B:$J,6,0),0),0)</f>
        <v>0</v>
      </c>
      <c r="J2058" s="111">
        <f t="shared" si="390"/>
        <v>1328.89</v>
      </c>
      <c r="K2058" s="91">
        <f>VLOOKUP($A2058,'2022-23 Salary &amp; Benefits'!$A:$I,3,FALSE)</f>
        <v>1.1200000000000001</v>
      </c>
      <c r="L2058" s="91">
        <f>VLOOKUP($A2058,'2022-23 Salary &amp; Benefits'!$A:$I,4,FALSE)</f>
        <v>1.1200000000000001</v>
      </c>
      <c r="M2058" s="101">
        <f t="shared" si="397"/>
        <v>1328.89</v>
      </c>
      <c r="N2058" s="24">
        <v>15</v>
      </c>
      <c r="O2058" s="26">
        <f t="shared" ref="O2058:O2121" si="400">IF(M2058="no",0,M2058/N2058)</f>
        <v>88.592666666666673</v>
      </c>
      <c r="P2058" s="24">
        <v>1.1000000000000001</v>
      </c>
      <c r="Q2058" s="24">
        <v>36</v>
      </c>
      <c r="R2058" s="27">
        <f t="shared" ref="R2058:R2121" si="401">IF(M2058="no",0,O2058*P2058*Q2058)</f>
        <v>3508.2696000000005</v>
      </c>
      <c r="S2058" s="102">
        <f t="shared" si="391"/>
        <v>3.8980000000000001</v>
      </c>
      <c r="T2058" s="21">
        <f>VLOOKUP($A2058,'2022-23 Salary &amp; Benefits'!$A:$I,5,FALSE)</f>
        <v>68937</v>
      </c>
      <c r="U2058" s="21">
        <f>VLOOKUP($A2058,'2022-23 Salary &amp; Benefits'!$A:$I,6,FALSE)</f>
        <v>72728</v>
      </c>
      <c r="V2058" s="22">
        <f t="shared" si="392"/>
        <v>300962.40000000002</v>
      </c>
      <c r="W2058" s="22">
        <f t="shared" si="393"/>
        <v>16550.589999999967</v>
      </c>
      <c r="X2058" s="22">
        <f>'2022-23 Salary &amp; Benefits'!$G$6</f>
        <v>12558.24</v>
      </c>
      <c r="Y2058" s="23">
        <f>'2022-23 Salary &amp; Benefits'!$H$6</f>
        <v>0.2298</v>
      </c>
      <c r="Z2058" s="23">
        <f>'2022-23 Salary &amp; Benefits'!$I$6</f>
        <v>0.22339999999999999</v>
      </c>
      <c r="AA2058" s="22">
        <f t="shared" si="394"/>
        <v>121810.58</v>
      </c>
      <c r="AB2058" s="22">
        <f t="shared" si="395"/>
        <v>5291.88</v>
      </c>
      <c r="AC2058" s="22">
        <f t="shared" si="396"/>
        <v>1182.21</v>
      </c>
      <c r="AD2058" s="22">
        <f t="shared" si="398"/>
        <v>6474.09</v>
      </c>
      <c r="AE2058" s="22">
        <f t="shared" si="399"/>
        <v>445797.66000000003</v>
      </c>
      <c r="AF2058" s="19" t="str">
        <f>VLOOKUP(C2058,'2021-22 School Level AAFTE'!C:N,12,FALSE)</f>
        <v>No</v>
      </c>
    </row>
    <row r="2059" spans="1:32" s="5" customFormat="1">
      <c r="A2059" s="97" t="s">
        <v>2440</v>
      </c>
      <c r="B2059" s="97" t="s">
        <v>1330</v>
      </c>
      <c r="C2059" s="95">
        <v>3448</v>
      </c>
      <c r="D2059" s="95" t="s">
        <v>1370</v>
      </c>
      <c r="E2059" s="129">
        <f>VLOOKUP($C2059,'2021-22 School Level AAFTE'!$C:$Z,11,FALSE)</f>
        <v>0.51919999999999999</v>
      </c>
      <c r="F2059" s="129" t="str">
        <f>VLOOKUP($C2059,'2021-22 School Level AAFTE'!$C:$Z,8,FALSE)</f>
        <v>Yes</v>
      </c>
      <c r="G2059" s="129" t="str">
        <f>VLOOKUP($C2059,'2021-22 School Level AAFTE'!$C:$Z,12,FALSE)</f>
        <v>No</v>
      </c>
      <c r="H2059" s="127">
        <f>VLOOKUP($C2059,'2021-22 School Level AAFTE'!$C:$I,7,FALSE)</f>
        <v>528.48</v>
      </c>
      <c r="I2059" s="112">
        <f>IFERROR(IF(OR(G2059="yes",F2059= "yes"),VLOOKUP(C2059,Summary!$B:$J,6,0),0),0)</f>
        <v>0</v>
      </c>
      <c r="J2059" s="111">
        <f t="shared" ref="J2059:J2122" si="402">IF(OR(G2059="yes",F2059= "yes"), H2059,0)</f>
        <v>528.48</v>
      </c>
      <c r="K2059" s="91">
        <f>VLOOKUP($A2059,'2022-23 Salary &amp; Benefits'!$A:$I,3,FALSE)</f>
        <v>1.1200000000000001</v>
      </c>
      <c r="L2059" s="91">
        <f>VLOOKUP($A2059,'2022-23 Salary &amp; Benefits'!$A:$I,4,FALSE)</f>
        <v>1.1200000000000001</v>
      </c>
      <c r="M2059" s="39">
        <f t="shared" si="397"/>
        <v>528.48</v>
      </c>
      <c r="N2059" s="24">
        <v>15</v>
      </c>
      <c r="O2059" s="26">
        <f t="shared" si="400"/>
        <v>35.231999999999999</v>
      </c>
      <c r="P2059" s="24">
        <v>1.1000000000000001</v>
      </c>
      <c r="Q2059" s="24">
        <v>36</v>
      </c>
      <c r="R2059" s="27">
        <f t="shared" si="401"/>
        <v>1395.1872000000001</v>
      </c>
      <c r="S2059" s="102">
        <f t="shared" ref="S2059:S2122" si="403">ROUND(IF(M2059="no",0,R2059/900),3)</f>
        <v>1.55</v>
      </c>
      <c r="T2059" s="21">
        <f>VLOOKUP($A2059,'2022-23 Salary &amp; Benefits'!$A:$I,5,FALSE)</f>
        <v>68937</v>
      </c>
      <c r="U2059" s="21">
        <f>VLOOKUP($A2059,'2022-23 Salary &amp; Benefits'!$A:$I,6,FALSE)</f>
        <v>72728</v>
      </c>
      <c r="V2059" s="22">
        <f t="shared" ref="V2059:V2122" si="404">ROUND($K2059*$T2059*$S2059,2)</f>
        <v>119674.63</v>
      </c>
      <c r="W2059" s="22">
        <f t="shared" ref="W2059:W2122" si="405">ROUND($L2059*$U2059*$S2059,2)-V2059</f>
        <v>6581.179999999993</v>
      </c>
      <c r="X2059" s="22">
        <f>'2022-23 Salary &amp; Benefits'!$G$6</f>
        <v>12558.24</v>
      </c>
      <c r="Y2059" s="23">
        <f>'2022-23 Salary &amp; Benefits'!$H$6</f>
        <v>0.2298</v>
      </c>
      <c r="Z2059" s="23">
        <f>'2022-23 Salary &amp; Benefits'!$I$6</f>
        <v>0.22339999999999999</v>
      </c>
      <c r="AA2059" s="22">
        <f t="shared" ref="AA2059:AA2122" si="406">ROUND(V2059*Y2059+W2059*Z2059+S2059*X2059,2)</f>
        <v>48436.74</v>
      </c>
      <c r="AB2059" s="22">
        <f t="shared" ref="AB2059:AB2122" si="407">ROUND(($U2059*$L2059*$S2059/180*3),2)</f>
        <v>2104.2600000000002</v>
      </c>
      <c r="AC2059" s="22">
        <f t="shared" ref="AC2059:AC2122" si="408">ROUND(AB2059*Z2059,2)</f>
        <v>470.09</v>
      </c>
      <c r="AD2059" s="22">
        <f t="shared" si="398"/>
        <v>2574.3500000000004</v>
      </c>
      <c r="AE2059" s="22">
        <f t="shared" si="399"/>
        <v>177266.9</v>
      </c>
      <c r="AF2059" s="19" t="str">
        <f>VLOOKUP(C2059,'2021-22 School Level AAFTE'!C:N,12,FALSE)</f>
        <v>No</v>
      </c>
    </row>
    <row r="2060" spans="1:32" s="5" customFormat="1">
      <c r="A2060" s="97" t="s">
        <v>2440</v>
      </c>
      <c r="B2060" s="97" t="s">
        <v>1330</v>
      </c>
      <c r="C2060" s="95">
        <v>3449</v>
      </c>
      <c r="D2060" s="95" t="s">
        <v>1371</v>
      </c>
      <c r="E2060" s="129">
        <f>VLOOKUP($C2060,'2021-22 School Level AAFTE'!$C:$Z,11,FALSE)</f>
        <v>0.71626666666666672</v>
      </c>
      <c r="F2060" s="129" t="str">
        <f>VLOOKUP($C2060,'2021-22 School Level AAFTE'!$C:$Z,8,FALSE)</f>
        <v>Yes</v>
      </c>
      <c r="G2060" s="129" t="str">
        <f>VLOOKUP($C2060,'2021-22 School Level AAFTE'!$C:$Z,12,FALSE)</f>
        <v>No</v>
      </c>
      <c r="H2060" s="127">
        <f>VLOOKUP($C2060,'2021-22 School Level AAFTE'!$C:$I,7,FALSE)</f>
        <v>368.71</v>
      </c>
      <c r="I2060" s="112">
        <f>IFERROR(IF(OR(G2060="yes",F2060= "yes"),VLOOKUP(C2060,Summary!$B:$J,6,0),0),0)</f>
        <v>0</v>
      </c>
      <c r="J2060" s="111">
        <f t="shared" si="402"/>
        <v>368.71</v>
      </c>
      <c r="K2060" s="91">
        <f>VLOOKUP($A2060,'2022-23 Salary &amp; Benefits'!$A:$I,3,FALSE)</f>
        <v>1.1200000000000001</v>
      </c>
      <c r="L2060" s="91">
        <f>VLOOKUP($A2060,'2022-23 Salary &amp; Benefits'!$A:$I,4,FALSE)</f>
        <v>1.1200000000000001</v>
      </c>
      <c r="M2060" s="101">
        <f t="shared" si="397"/>
        <v>368.71</v>
      </c>
      <c r="N2060" s="24">
        <v>15</v>
      </c>
      <c r="O2060" s="26">
        <f t="shared" si="400"/>
        <v>24.580666666666666</v>
      </c>
      <c r="P2060" s="24">
        <v>1.1000000000000001</v>
      </c>
      <c r="Q2060" s="24">
        <v>36</v>
      </c>
      <c r="R2060" s="27">
        <f t="shared" si="401"/>
        <v>973.39440000000002</v>
      </c>
      <c r="S2060" s="102">
        <f t="shared" si="403"/>
        <v>1.0820000000000001</v>
      </c>
      <c r="T2060" s="21">
        <f>VLOOKUP($A2060,'2022-23 Salary &amp; Benefits'!$A:$I,5,FALSE)</f>
        <v>68937</v>
      </c>
      <c r="U2060" s="21">
        <f>VLOOKUP($A2060,'2022-23 Salary &amp; Benefits'!$A:$I,6,FALSE)</f>
        <v>72728</v>
      </c>
      <c r="V2060" s="22">
        <f t="shared" si="404"/>
        <v>83540.61</v>
      </c>
      <c r="W2060" s="22">
        <f t="shared" si="405"/>
        <v>4594.0899999999965</v>
      </c>
      <c r="X2060" s="22">
        <f>'2022-23 Salary &amp; Benefits'!$G$6</f>
        <v>12558.24</v>
      </c>
      <c r="Y2060" s="23">
        <f>'2022-23 Salary &amp; Benefits'!$H$6</f>
        <v>0.2298</v>
      </c>
      <c r="Z2060" s="23">
        <f>'2022-23 Salary &amp; Benefits'!$I$6</f>
        <v>0.22339999999999999</v>
      </c>
      <c r="AA2060" s="22">
        <f t="shared" si="406"/>
        <v>33811.97</v>
      </c>
      <c r="AB2060" s="22">
        <f t="shared" si="407"/>
        <v>1468.91</v>
      </c>
      <c r="AC2060" s="22">
        <f t="shared" si="408"/>
        <v>328.15</v>
      </c>
      <c r="AD2060" s="22">
        <f t="shared" si="398"/>
        <v>1797.06</v>
      </c>
      <c r="AE2060" s="22">
        <f t="shared" si="399"/>
        <v>123743.73</v>
      </c>
      <c r="AF2060" s="19" t="str">
        <f>VLOOKUP(C2060,'2021-22 School Level AAFTE'!C:N,12,FALSE)</f>
        <v>No</v>
      </c>
    </row>
    <row r="2061" spans="1:32" s="5" customFormat="1">
      <c r="A2061" s="97" t="s">
        <v>2440</v>
      </c>
      <c r="B2061" s="97" t="s">
        <v>1330</v>
      </c>
      <c r="C2061" s="95">
        <v>3452</v>
      </c>
      <c r="D2061" s="95" t="s">
        <v>1372</v>
      </c>
      <c r="E2061" s="129">
        <f>VLOOKUP($C2061,'2021-22 School Level AAFTE'!$C:$Z,11,FALSE)</f>
        <v>0.50026666666666664</v>
      </c>
      <c r="F2061" s="129" t="str">
        <f>VLOOKUP($C2061,'2021-22 School Level AAFTE'!$C:$Z,8,FALSE)</f>
        <v>Yes</v>
      </c>
      <c r="G2061" s="129" t="str">
        <f>VLOOKUP($C2061,'2021-22 School Level AAFTE'!$C:$Z,12,FALSE)</f>
        <v>No</v>
      </c>
      <c r="H2061" s="127">
        <f>VLOOKUP($C2061,'2021-22 School Level AAFTE'!$C:$I,7,FALSE)</f>
        <v>280.70999999999998</v>
      </c>
      <c r="I2061" s="112">
        <f>IFERROR(IF(OR(G2061="yes",F2061= "yes"),VLOOKUP(C2061,Summary!$B:$J,6,0),0),0)</f>
        <v>0</v>
      </c>
      <c r="J2061" s="111">
        <f t="shared" si="402"/>
        <v>280.70999999999998</v>
      </c>
      <c r="K2061" s="91">
        <f>VLOOKUP($A2061,'2022-23 Salary &amp; Benefits'!$A:$I,3,FALSE)</f>
        <v>1.1200000000000001</v>
      </c>
      <c r="L2061" s="91">
        <f>VLOOKUP($A2061,'2022-23 Salary &amp; Benefits'!$A:$I,4,FALSE)</f>
        <v>1.1200000000000001</v>
      </c>
      <c r="M2061" s="39">
        <f t="shared" si="397"/>
        <v>280.70999999999998</v>
      </c>
      <c r="N2061" s="24">
        <v>15</v>
      </c>
      <c r="O2061" s="26">
        <f t="shared" si="400"/>
        <v>18.713999999999999</v>
      </c>
      <c r="P2061" s="24">
        <v>1.1000000000000001</v>
      </c>
      <c r="Q2061" s="24">
        <v>36</v>
      </c>
      <c r="R2061" s="27">
        <f t="shared" si="401"/>
        <v>741.07439999999997</v>
      </c>
      <c r="S2061" s="102">
        <f t="shared" si="403"/>
        <v>0.82299999999999995</v>
      </c>
      <c r="T2061" s="21">
        <f>VLOOKUP($A2061,'2022-23 Salary &amp; Benefits'!$A:$I,5,FALSE)</f>
        <v>68937</v>
      </c>
      <c r="U2061" s="21">
        <f>VLOOKUP($A2061,'2022-23 Salary &amp; Benefits'!$A:$I,6,FALSE)</f>
        <v>72728</v>
      </c>
      <c r="V2061" s="22">
        <f t="shared" si="404"/>
        <v>63543.37</v>
      </c>
      <c r="W2061" s="22">
        <f t="shared" si="405"/>
        <v>3494.3899999999921</v>
      </c>
      <c r="X2061" s="22">
        <f>'2022-23 Salary &amp; Benefits'!$G$6</f>
        <v>12558.24</v>
      </c>
      <c r="Y2061" s="23">
        <f>'2022-23 Salary &amp; Benefits'!$H$6</f>
        <v>0.2298</v>
      </c>
      <c r="Z2061" s="23">
        <f>'2022-23 Salary &amp; Benefits'!$I$6</f>
        <v>0.22339999999999999</v>
      </c>
      <c r="AA2061" s="22">
        <f t="shared" si="406"/>
        <v>25718.34</v>
      </c>
      <c r="AB2061" s="22">
        <f t="shared" si="407"/>
        <v>1117.3</v>
      </c>
      <c r="AC2061" s="22">
        <f t="shared" si="408"/>
        <v>249.6</v>
      </c>
      <c r="AD2061" s="22">
        <f t="shared" si="398"/>
        <v>1366.8999999999999</v>
      </c>
      <c r="AE2061" s="22">
        <f t="shared" si="399"/>
        <v>94123</v>
      </c>
      <c r="AF2061" s="19" t="str">
        <f>VLOOKUP(C2061,'2021-22 School Level AAFTE'!C:N,12,FALSE)</f>
        <v>No</v>
      </c>
    </row>
    <row r="2062" spans="1:32" s="5" customFormat="1">
      <c r="A2062" s="97" t="s">
        <v>2440</v>
      </c>
      <c r="B2062" s="97" t="s">
        <v>1330</v>
      </c>
      <c r="C2062" s="95">
        <v>3453</v>
      </c>
      <c r="D2062" s="95" t="s">
        <v>1373</v>
      </c>
      <c r="E2062" s="129">
        <f>VLOOKUP($C2062,'2021-22 School Level AAFTE'!$C:$Z,11,FALSE)</f>
        <v>0.83253333333333324</v>
      </c>
      <c r="F2062" s="129" t="str">
        <f>VLOOKUP($C2062,'2021-22 School Level AAFTE'!$C:$Z,8,FALSE)</f>
        <v>Yes</v>
      </c>
      <c r="G2062" s="129" t="str">
        <f>VLOOKUP($C2062,'2021-22 School Level AAFTE'!$C:$Z,12,FALSE)</f>
        <v>No</v>
      </c>
      <c r="H2062" s="127">
        <f>VLOOKUP($C2062,'2021-22 School Level AAFTE'!$C:$I,7,FALSE)</f>
        <v>358.43</v>
      </c>
      <c r="I2062" s="112">
        <f>IFERROR(IF(OR(G2062="yes",F2062= "yes"),VLOOKUP(C2062,Summary!$B:$J,6,0),0),0)</f>
        <v>0</v>
      </c>
      <c r="J2062" s="111">
        <f t="shared" si="402"/>
        <v>358.43</v>
      </c>
      <c r="K2062" s="91">
        <f>VLOOKUP($A2062,'2022-23 Salary &amp; Benefits'!$A:$I,3,FALSE)</f>
        <v>1.1200000000000001</v>
      </c>
      <c r="L2062" s="91">
        <f>VLOOKUP($A2062,'2022-23 Salary &amp; Benefits'!$A:$I,4,FALSE)</f>
        <v>1.1200000000000001</v>
      </c>
      <c r="M2062" s="101">
        <f t="shared" si="397"/>
        <v>358.43</v>
      </c>
      <c r="N2062" s="24">
        <v>15</v>
      </c>
      <c r="O2062" s="26">
        <f t="shared" si="400"/>
        <v>23.895333333333333</v>
      </c>
      <c r="P2062" s="24">
        <v>1.1000000000000001</v>
      </c>
      <c r="Q2062" s="24">
        <v>36</v>
      </c>
      <c r="R2062" s="27">
        <f t="shared" si="401"/>
        <v>946.25520000000006</v>
      </c>
      <c r="S2062" s="102">
        <f t="shared" si="403"/>
        <v>1.0509999999999999</v>
      </c>
      <c r="T2062" s="21">
        <f>VLOOKUP($A2062,'2022-23 Salary &amp; Benefits'!$A:$I,5,FALSE)</f>
        <v>68937</v>
      </c>
      <c r="U2062" s="21">
        <f>VLOOKUP($A2062,'2022-23 Salary &amp; Benefits'!$A:$I,6,FALSE)</f>
        <v>72728</v>
      </c>
      <c r="V2062" s="22">
        <f t="shared" si="404"/>
        <v>81147.12</v>
      </c>
      <c r="W2062" s="22">
        <f t="shared" si="405"/>
        <v>4462.4600000000064</v>
      </c>
      <c r="X2062" s="22">
        <f>'2022-23 Salary &amp; Benefits'!$G$6</f>
        <v>12558.24</v>
      </c>
      <c r="Y2062" s="23">
        <f>'2022-23 Salary &amp; Benefits'!$H$6</f>
        <v>0.2298</v>
      </c>
      <c r="Z2062" s="23">
        <f>'2022-23 Salary &amp; Benefits'!$I$6</f>
        <v>0.22339999999999999</v>
      </c>
      <c r="AA2062" s="22">
        <f t="shared" si="406"/>
        <v>32843.230000000003</v>
      </c>
      <c r="AB2062" s="22">
        <f t="shared" si="407"/>
        <v>1426.83</v>
      </c>
      <c r="AC2062" s="22">
        <f t="shared" si="408"/>
        <v>318.75</v>
      </c>
      <c r="AD2062" s="22">
        <f t="shared" si="398"/>
        <v>1745.58</v>
      </c>
      <c r="AE2062" s="22">
        <f t="shared" si="399"/>
        <v>120198.39000000001</v>
      </c>
      <c r="AF2062" s="19" t="str">
        <f>VLOOKUP(C2062,'2021-22 School Level AAFTE'!C:N,12,FALSE)</f>
        <v>No</v>
      </c>
    </row>
    <row r="2063" spans="1:32" s="5" customFormat="1">
      <c r="A2063" s="97" t="s">
        <v>2440</v>
      </c>
      <c r="B2063" s="97" t="s">
        <v>1330</v>
      </c>
      <c r="C2063" s="95">
        <v>3498</v>
      </c>
      <c r="D2063" s="95" t="s">
        <v>1374</v>
      </c>
      <c r="E2063" s="129">
        <f>VLOOKUP($C2063,'2021-22 School Level AAFTE'!$C:$Z,11,FALSE)</f>
        <v>0.53563333333333329</v>
      </c>
      <c r="F2063" s="129" t="str">
        <f>VLOOKUP($C2063,'2021-22 School Level AAFTE'!$C:$Z,8,FALSE)</f>
        <v>Yes</v>
      </c>
      <c r="G2063" s="129" t="str">
        <f>VLOOKUP($C2063,'2021-22 School Level AAFTE'!$C:$Z,12,FALSE)</f>
        <v>No</v>
      </c>
      <c r="H2063" s="127">
        <f>VLOOKUP($C2063,'2021-22 School Level AAFTE'!$C:$I,7,FALSE)</f>
        <v>281.87</v>
      </c>
      <c r="I2063" s="112">
        <f>IFERROR(IF(OR(G2063="yes",F2063= "yes"),VLOOKUP(C2063,Summary!$B:$J,6,0),0),0)</f>
        <v>0</v>
      </c>
      <c r="J2063" s="111">
        <f t="shared" si="402"/>
        <v>281.87</v>
      </c>
      <c r="K2063" s="91">
        <f>VLOOKUP($A2063,'2022-23 Salary &amp; Benefits'!$A:$I,3,FALSE)</f>
        <v>1.1200000000000001</v>
      </c>
      <c r="L2063" s="91">
        <f>VLOOKUP($A2063,'2022-23 Salary &amp; Benefits'!$A:$I,4,FALSE)</f>
        <v>1.1200000000000001</v>
      </c>
      <c r="M2063" s="101">
        <f t="shared" si="397"/>
        <v>281.87</v>
      </c>
      <c r="N2063" s="24">
        <v>15</v>
      </c>
      <c r="O2063" s="26">
        <f t="shared" si="400"/>
        <v>18.791333333333334</v>
      </c>
      <c r="P2063" s="24">
        <v>1.1000000000000001</v>
      </c>
      <c r="Q2063" s="24">
        <v>36</v>
      </c>
      <c r="R2063" s="27">
        <f t="shared" si="401"/>
        <v>744.13680000000011</v>
      </c>
      <c r="S2063" s="102">
        <f t="shared" si="403"/>
        <v>0.82699999999999996</v>
      </c>
      <c r="T2063" s="21">
        <f>VLOOKUP($A2063,'2022-23 Salary &amp; Benefits'!$A:$I,5,FALSE)</f>
        <v>68937</v>
      </c>
      <c r="U2063" s="21">
        <f>VLOOKUP($A2063,'2022-23 Salary &amp; Benefits'!$A:$I,6,FALSE)</f>
        <v>72728</v>
      </c>
      <c r="V2063" s="22">
        <f t="shared" si="404"/>
        <v>63852.21</v>
      </c>
      <c r="W2063" s="22">
        <f t="shared" si="405"/>
        <v>3511.3700000000026</v>
      </c>
      <c r="X2063" s="22">
        <f>'2022-23 Salary &amp; Benefits'!$G$6</f>
        <v>12558.24</v>
      </c>
      <c r="Y2063" s="23">
        <f>'2022-23 Salary &amp; Benefits'!$H$6</f>
        <v>0.2298</v>
      </c>
      <c r="Z2063" s="23">
        <f>'2022-23 Salary &amp; Benefits'!$I$6</f>
        <v>0.22339999999999999</v>
      </c>
      <c r="AA2063" s="22">
        <f t="shared" si="406"/>
        <v>25843.34</v>
      </c>
      <c r="AB2063" s="22">
        <f t="shared" si="407"/>
        <v>1122.73</v>
      </c>
      <c r="AC2063" s="22">
        <f t="shared" si="408"/>
        <v>250.82</v>
      </c>
      <c r="AD2063" s="22">
        <f t="shared" si="398"/>
        <v>1373.55</v>
      </c>
      <c r="AE2063" s="22">
        <f t="shared" si="399"/>
        <v>94580.470000000016</v>
      </c>
      <c r="AF2063" s="19" t="str">
        <f>VLOOKUP(C2063,'2021-22 School Level AAFTE'!C:N,12,FALSE)</f>
        <v>No</v>
      </c>
    </row>
    <row r="2064" spans="1:32" s="5" customFormat="1">
      <c r="A2064" s="97" t="s">
        <v>2440</v>
      </c>
      <c r="B2064" s="97" t="s">
        <v>1330</v>
      </c>
      <c r="C2064" s="95">
        <v>3646</v>
      </c>
      <c r="D2064" s="95" t="s">
        <v>1375</v>
      </c>
      <c r="E2064" s="129">
        <f>VLOOKUP($C2064,'2021-22 School Level AAFTE'!$C:$Z,11,FALSE)</f>
        <v>0.69799999999999995</v>
      </c>
      <c r="F2064" s="129" t="str">
        <f>VLOOKUP($C2064,'2021-22 School Level AAFTE'!$C:$Z,8,FALSE)</f>
        <v>Yes</v>
      </c>
      <c r="G2064" s="129" t="str">
        <f>VLOOKUP($C2064,'2021-22 School Level AAFTE'!$C:$Z,12,FALSE)</f>
        <v>No</v>
      </c>
      <c r="H2064" s="127">
        <f>VLOOKUP($C2064,'2021-22 School Level AAFTE'!$C:$I,7,FALSE)</f>
        <v>383.71</v>
      </c>
      <c r="I2064" s="112">
        <f>IFERROR(IF(OR(G2064="yes",F2064= "yes"),VLOOKUP(C2064,Summary!$B:$J,6,0),0),0)</f>
        <v>0</v>
      </c>
      <c r="J2064" s="111">
        <f t="shared" si="402"/>
        <v>383.71</v>
      </c>
      <c r="K2064" s="91">
        <f>VLOOKUP($A2064,'2022-23 Salary &amp; Benefits'!$A:$I,3,FALSE)</f>
        <v>1.1200000000000001</v>
      </c>
      <c r="L2064" s="91">
        <f>VLOOKUP($A2064,'2022-23 Salary &amp; Benefits'!$A:$I,4,FALSE)</f>
        <v>1.1200000000000001</v>
      </c>
      <c r="M2064" s="101">
        <f t="shared" si="397"/>
        <v>383.71</v>
      </c>
      <c r="N2064" s="24">
        <v>15</v>
      </c>
      <c r="O2064" s="26">
        <f t="shared" si="400"/>
        <v>25.580666666666666</v>
      </c>
      <c r="P2064" s="24">
        <v>1.1000000000000001</v>
      </c>
      <c r="Q2064" s="24">
        <v>36</v>
      </c>
      <c r="R2064" s="27">
        <f t="shared" si="401"/>
        <v>1012.9944</v>
      </c>
      <c r="S2064" s="102">
        <f t="shared" si="403"/>
        <v>1.1259999999999999</v>
      </c>
      <c r="T2064" s="21">
        <f>VLOOKUP($A2064,'2022-23 Salary &amp; Benefits'!$A:$I,5,FALSE)</f>
        <v>68937</v>
      </c>
      <c r="U2064" s="21">
        <f>VLOOKUP($A2064,'2022-23 Salary &amp; Benefits'!$A:$I,6,FALSE)</f>
        <v>72728</v>
      </c>
      <c r="V2064" s="22">
        <f t="shared" si="404"/>
        <v>86937.83</v>
      </c>
      <c r="W2064" s="22">
        <f t="shared" si="405"/>
        <v>4780.9100000000035</v>
      </c>
      <c r="X2064" s="22">
        <f>'2022-23 Salary &amp; Benefits'!$G$6</f>
        <v>12558.24</v>
      </c>
      <c r="Y2064" s="23">
        <f>'2022-23 Salary &amp; Benefits'!$H$6</f>
        <v>0.2298</v>
      </c>
      <c r="Z2064" s="23">
        <f>'2022-23 Salary &amp; Benefits'!$I$6</f>
        <v>0.22339999999999999</v>
      </c>
      <c r="AA2064" s="22">
        <f t="shared" si="406"/>
        <v>35186.949999999997</v>
      </c>
      <c r="AB2064" s="22">
        <f t="shared" si="407"/>
        <v>1528.65</v>
      </c>
      <c r="AC2064" s="22">
        <f t="shared" si="408"/>
        <v>341.5</v>
      </c>
      <c r="AD2064" s="22">
        <f t="shared" si="398"/>
        <v>1870.15</v>
      </c>
      <c r="AE2064" s="22">
        <f t="shared" si="399"/>
        <v>128775.84</v>
      </c>
      <c r="AF2064" s="19" t="str">
        <f>VLOOKUP(C2064,'2021-22 School Level AAFTE'!C:N,12,FALSE)</f>
        <v>No</v>
      </c>
    </row>
    <row r="2065" spans="1:32" s="5" customFormat="1">
      <c r="A2065" s="97" t="s">
        <v>2440</v>
      </c>
      <c r="B2065" s="97" t="s">
        <v>1330</v>
      </c>
      <c r="C2065" s="95">
        <v>3880</v>
      </c>
      <c r="D2065" s="95" t="s">
        <v>1376</v>
      </c>
      <c r="E2065" s="129">
        <f>VLOOKUP($C2065,'2021-22 School Level AAFTE'!$C:$Z,11,FALSE)</f>
        <v>0.70913333333333328</v>
      </c>
      <c r="F2065" s="129" t="str">
        <f>VLOOKUP($C2065,'2021-22 School Level AAFTE'!$C:$Z,8,FALSE)</f>
        <v>Yes</v>
      </c>
      <c r="G2065" s="129" t="str">
        <f>VLOOKUP($C2065,'2021-22 School Level AAFTE'!$C:$Z,12,FALSE)</f>
        <v>No</v>
      </c>
      <c r="H2065" s="127">
        <f>VLOOKUP($C2065,'2021-22 School Level AAFTE'!$C:$I,7,FALSE)</f>
        <v>588.22</v>
      </c>
      <c r="I2065" s="112">
        <f>IFERROR(IF(OR(G2065="yes",F2065= "yes"),VLOOKUP(C2065,Summary!$B:$J,6,0),0),0)</f>
        <v>0</v>
      </c>
      <c r="J2065" s="111">
        <f t="shared" si="402"/>
        <v>588.22</v>
      </c>
      <c r="K2065" s="91">
        <f>VLOOKUP($A2065,'2022-23 Salary &amp; Benefits'!$A:$I,3,FALSE)</f>
        <v>1.1200000000000001</v>
      </c>
      <c r="L2065" s="91">
        <f>VLOOKUP($A2065,'2022-23 Salary &amp; Benefits'!$A:$I,4,FALSE)</f>
        <v>1.1200000000000001</v>
      </c>
      <c r="M2065" s="101">
        <f t="shared" si="397"/>
        <v>588.22</v>
      </c>
      <c r="N2065" s="24">
        <v>15</v>
      </c>
      <c r="O2065" s="26">
        <f t="shared" si="400"/>
        <v>39.214666666666666</v>
      </c>
      <c r="P2065" s="24">
        <v>1.1000000000000001</v>
      </c>
      <c r="Q2065" s="24">
        <v>36</v>
      </c>
      <c r="R2065" s="27">
        <f t="shared" si="401"/>
        <v>1552.9007999999999</v>
      </c>
      <c r="S2065" s="102">
        <f t="shared" si="403"/>
        <v>1.7250000000000001</v>
      </c>
      <c r="T2065" s="21">
        <f>VLOOKUP($A2065,'2022-23 Salary &amp; Benefits'!$A:$I,5,FALSE)</f>
        <v>68937</v>
      </c>
      <c r="U2065" s="21">
        <f>VLOOKUP($A2065,'2022-23 Salary &amp; Benefits'!$A:$I,6,FALSE)</f>
        <v>72728</v>
      </c>
      <c r="V2065" s="22">
        <f t="shared" si="404"/>
        <v>133186.28</v>
      </c>
      <c r="W2065" s="22">
        <f t="shared" si="405"/>
        <v>7324.2200000000012</v>
      </c>
      <c r="X2065" s="22">
        <f>'2022-23 Salary &amp; Benefits'!$G$6</f>
        <v>12558.24</v>
      </c>
      <c r="Y2065" s="23">
        <f>'2022-23 Salary &amp; Benefits'!$H$6</f>
        <v>0.2298</v>
      </c>
      <c r="Z2065" s="23">
        <f>'2022-23 Salary &amp; Benefits'!$I$6</f>
        <v>0.22339999999999999</v>
      </c>
      <c r="AA2065" s="22">
        <f t="shared" si="406"/>
        <v>53905.4</v>
      </c>
      <c r="AB2065" s="22">
        <f t="shared" si="407"/>
        <v>2341.84</v>
      </c>
      <c r="AC2065" s="22">
        <f t="shared" si="408"/>
        <v>523.16999999999996</v>
      </c>
      <c r="AD2065" s="22">
        <f t="shared" si="398"/>
        <v>2865.01</v>
      </c>
      <c r="AE2065" s="22">
        <f t="shared" si="399"/>
        <v>197280.91</v>
      </c>
      <c r="AF2065" s="19" t="str">
        <f>VLOOKUP(C2065,'2021-22 School Level AAFTE'!C:N,12,FALSE)</f>
        <v>No</v>
      </c>
    </row>
    <row r="2066" spans="1:32" s="5" customFormat="1">
      <c r="A2066" s="97" t="s">
        <v>2440</v>
      </c>
      <c r="B2066" s="97" t="s">
        <v>1330</v>
      </c>
      <c r="C2066" s="95">
        <v>4109</v>
      </c>
      <c r="D2066" s="95" t="s">
        <v>1377</v>
      </c>
      <c r="E2066" s="129">
        <f>VLOOKUP($C2066,'2021-22 School Level AAFTE'!$C:$Z,11,FALSE)</f>
        <v>0.81510000000000005</v>
      </c>
      <c r="F2066" s="129" t="str">
        <f>VLOOKUP($C2066,'2021-22 School Level AAFTE'!$C:$Z,8,FALSE)</f>
        <v>Yes</v>
      </c>
      <c r="G2066" s="129" t="str">
        <f>VLOOKUP($C2066,'2021-22 School Level AAFTE'!$C:$Z,12,FALSE)</f>
        <v>No</v>
      </c>
      <c r="H2066" s="127">
        <f>VLOOKUP($C2066,'2021-22 School Level AAFTE'!$C:$I,7,FALSE)</f>
        <v>111.22</v>
      </c>
      <c r="I2066" s="112">
        <f>IFERROR(IF(OR(G2066="yes",F2066= "yes"),VLOOKUP(C2066,Summary!$B:$J,6,0),0),0)</f>
        <v>0</v>
      </c>
      <c r="J2066" s="111">
        <f t="shared" si="402"/>
        <v>111.22</v>
      </c>
      <c r="K2066" s="91">
        <f>VLOOKUP($A2066,'2022-23 Salary &amp; Benefits'!$A:$I,3,FALSE)</f>
        <v>1.1200000000000001</v>
      </c>
      <c r="L2066" s="91">
        <f>VLOOKUP($A2066,'2022-23 Salary &amp; Benefits'!$A:$I,4,FALSE)</f>
        <v>1.1200000000000001</v>
      </c>
      <c r="M2066" s="101">
        <f t="shared" si="397"/>
        <v>111.22</v>
      </c>
      <c r="N2066" s="24">
        <v>15</v>
      </c>
      <c r="O2066" s="26">
        <f t="shared" si="400"/>
        <v>7.4146666666666663</v>
      </c>
      <c r="P2066" s="24">
        <v>1.1000000000000001</v>
      </c>
      <c r="Q2066" s="24">
        <v>36</v>
      </c>
      <c r="R2066" s="27">
        <f t="shared" si="401"/>
        <v>293.62079999999997</v>
      </c>
      <c r="S2066" s="102">
        <f t="shared" si="403"/>
        <v>0.32600000000000001</v>
      </c>
      <c r="T2066" s="21">
        <f>VLOOKUP($A2066,'2022-23 Salary &amp; Benefits'!$A:$I,5,FALSE)</f>
        <v>68937</v>
      </c>
      <c r="U2066" s="21">
        <f>VLOOKUP($A2066,'2022-23 Salary &amp; Benefits'!$A:$I,6,FALSE)</f>
        <v>72728</v>
      </c>
      <c r="V2066" s="22">
        <f t="shared" si="404"/>
        <v>25170.28</v>
      </c>
      <c r="W2066" s="22">
        <f t="shared" si="405"/>
        <v>1384.1700000000019</v>
      </c>
      <c r="X2066" s="22">
        <f>'2022-23 Salary &amp; Benefits'!$G$6</f>
        <v>12558.24</v>
      </c>
      <c r="Y2066" s="23">
        <f>'2022-23 Salary &amp; Benefits'!$H$6</f>
        <v>0.2298</v>
      </c>
      <c r="Z2066" s="23">
        <f>'2022-23 Salary &amp; Benefits'!$I$6</f>
        <v>0.22339999999999999</v>
      </c>
      <c r="AA2066" s="22">
        <f t="shared" si="406"/>
        <v>10187.34</v>
      </c>
      <c r="AB2066" s="22">
        <f t="shared" si="407"/>
        <v>442.57</v>
      </c>
      <c r="AC2066" s="22">
        <f t="shared" si="408"/>
        <v>98.87</v>
      </c>
      <c r="AD2066" s="22">
        <f t="shared" si="398"/>
        <v>541.44000000000005</v>
      </c>
      <c r="AE2066" s="22">
        <f t="shared" si="399"/>
        <v>37283.229999999996</v>
      </c>
      <c r="AF2066" s="19" t="str">
        <f>VLOOKUP(C2066,'2021-22 School Level AAFTE'!C:N,12,FALSE)</f>
        <v>No</v>
      </c>
    </row>
    <row r="2067" spans="1:32" s="5" customFormat="1">
      <c r="A2067" s="97" t="s">
        <v>2440</v>
      </c>
      <c r="B2067" s="97" t="s">
        <v>1330</v>
      </c>
      <c r="C2067" s="95">
        <v>4283</v>
      </c>
      <c r="D2067" s="95" t="s">
        <v>1378</v>
      </c>
      <c r="E2067" s="129">
        <f>VLOOKUP($C2067,'2021-22 School Level AAFTE'!$C:$Z,11,FALSE)</f>
        <v>0.74266666666666659</v>
      </c>
      <c r="F2067" s="129" t="str">
        <f>VLOOKUP($C2067,'2021-22 School Level AAFTE'!$C:$Z,8,FALSE)</f>
        <v>Yes</v>
      </c>
      <c r="G2067" s="129" t="str">
        <f>VLOOKUP($C2067,'2021-22 School Level AAFTE'!$C:$Z,12,FALSE)</f>
        <v>No</v>
      </c>
      <c r="H2067" s="127">
        <f>VLOOKUP($C2067,'2021-22 School Level AAFTE'!$C:$I,7,FALSE)</f>
        <v>19.690000000000001</v>
      </c>
      <c r="I2067" s="112">
        <f>IFERROR(IF(OR(G2067="yes",F2067= "yes"),VLOOKUP(C2067,Summary!$B:$J,6,0),0),0)</f>
        <v>0</v>
      </c>
      <c r="J2067" s="111">
        <f t="shared" si="402"/>
        <v>19.690000000000001</v>
      </c>
      <c r="K2067" s="91">
        <f>VLOOKUP($A2067,'2022-23 Salary &amp; Benefits'!$A:$I,3,FALSE)</f>
        <v>1.1200000000000001</v>
      </c>
      <c r="L2067" s="91">
        <f>VLOOKUP($A2067,'2022-23 Salary &amp; Benefits'!$A:$I,4,FALSE)</f>
        <v>1.1200000000000001</v>
      </c>
      <c r="M2067" s="101">
        <f t="shared" si="397"/>
        <v>19.690000000000001</v>
      </c>
      <c r="N2067" s="24">
        <v>15</v>
      </c>
      <c r="O2067" s="26">
        <f t="shared" si="400"/>
        <v>1.3126666666666666</v>
      </c>
      <c r="P2067" s="24">
        <v>1.1000000000000001</v>
      </c>
      <c r="Q2067" s="24">
        <v>36</v>
      </c>
      <c r="R2067" s="27">
        <f t="shared" si="401"/>
        <v>51.981600000000007</v>
      </c>
      <c r="S2067" s="102">
        <f t="shared" si="403"/>
        <v>5.8000000000000003E-2</v>
      </c>
      <c r="T2067" s="21">
        <f>VLOOKUP($A2067,'2022-23 Salary &amp; Benefits'!$A:$I,5,FALSE)</f>
        <v>68937</v>
      </c>
      <c r="U2067" s="21">
        <f>VLOOKUP($A2067,'2022-23 Salary &amp; Benefits'!$A:$I,6,FALSE)</f>
        <v>72728</v>
      </c>
      <c r="V2067" s="22">
        <f t="shared" si="404"/>
        <v>4478.1499999999996</v>
      </c>
      <c r="W2067" s="22">
        <f t="shared" si="405"/>
        <v>246.26000000000022</v>
      </c>
      <c r="X2067" s="22">
        <f>'2022-23 Salary &amp; Benefits'!$G$6</f>
        <v>12558.24</v>
      </c>
      <c r="Y2067" s="23">
        <f>'2022-23 Salary &amp; Benefits'!$H$6</f>
        <v>0.2298</v>
      </c>
      <c r="Z2067" s="23">
        <f>'2022-23 Salary &amp; Benefits'!$I$6</f>
        <v>0.22339999999999999</v>
      </c>
      <c r="AA2067" s="22">
        <f t="shared" si="406"/>
        <v>1812.47</v>
      </c>
      <c r="AB2067" s="22">
        <f t="shared" si="407"/>
        <v>78.739999999999995</v>
      </c>
      <c r="AC2067" s="22">
        <f t="shared" si="408"/>
        <v>17.59</v>
      </c>
      <c r="AD2067" s="22">
        <f t="shared" si="398"/>
        <v>96.33</v>
      </c>
      <c r="AE2067" s="22">
        <f t="shared" si="399"/>
        <v>6633.21</v>
      </c>
      <c r="AF2067" s="19" t="str">
        <f>VLOOKUP(C2067,'2021-22 School Level AAFTE'!C:N,12,FALSE)</f>
        <v>No</v>
      </c>
    </row>
    <row r="2068" spans="1:32" s="5" customFormat="1">
      <c r="A2068" s="97" t="s">
        <v>2440</v>
      </c>
      <c r="B2068" s="97" t="s">
        <v>1330</v>
      </c>
      <c r="C2068" s="95">
        <v>4537</v>
      </c>
      <c r="D2068" s="95" t="s">
        <v>1379</v>
      </c>
      <c r="E2068" s="129">
        <f>VLOOKUP($C2068,'2021-22 School Level AAFTE'!$C:$Z,11,FALSE)</f>
        <v>0.35003333333333336</v>
      </c>
      <c r="F2068" s="129" t="str">
        <f>VLOOKUP($C2068,'2021-22 School Level AAFTE'!$C:$Z,8,FALSE)</f>
        <v>No</v>
      </c>
      <c r="G2068" s="129" t="str">
        <f>VLOOKUP($C2068,'2021-22 School Level AAFTE'!$C:$Z,12,FALSE)</f>
        <v>No</v>
      </c>
      <c r="H2068" s="127">
        <f>VLOOKUP($C2068,'2021-22 School Level AAFTE'!$C:$I,7,FALSE)</f>
        <v>387.14</v>
      </c>
      <c r="I2068" s="112">
        <f>IFERROR(IF(OR(G2068="yes",F2068= "yes"),VLOOKUP(C2068,Summary!$B:$J,6,0),0),0)</f>
        <v>0</v>
      </c>
      <c r="J2068" s="111">
        <f t="shared" si="402"/>
        <v>0</v>
      </c>
      <c r="K2068" s="91">
        <f>VLOOKUP($A2068,'2022-23 Salary &amp; Benefits'!$A:$I,3,FALSE)</f>
        <v>1.1200000000000001</v>
      </c>
      <c r="L2068" s="91">
        <f>VLOOKUP($A2068,'2022-23 Salary &amp; Benefits'!$A:$I,4,FALSE)</f>
        <v>1.1200000000000001</v>
      </c>
      <c r="M2068" s="101">
        <f t="shared" si="397"/>
        <v>0</v>
      </c>
      <c r="N2068" s="24">
        <v>15</v>
      </c>
      <c r="O2068" s="26">
        <f t="shared" si="400"/>
        <v>0</v>
      </c>
      <c r="P2068" s="24">
        <v>1.1000000000000001</v>
      </c>
      <c r="Q2068" s="24">
        <v>36</v>
      </c>
      <c r="R2068" s="27">
        <f t="shared" si="401"/>
        <v>0</v>
      </c>
      <c r="S2068" s="102">
        <f t="shared" si="403"/>
        <v>0</v>
      </c>
      <c r="T2068" s="21">
        <f>VLOOKUP($A2068,'2022-23 Salary &amp; Benefits'!$A:$I,5,FALSE)</f>
        <v>68937</v>
      </c>
      <c r="U2068" s="21">
        <f>VLOOKUP($A2068,'2022-23 Salary &amp; Benefits'!$A:$I,6,FALSE)</f>
        <v>72728</v>
      </c>
      <c r="V2068" s="22">
        <f t="shared" si="404"/>
        <v>0</v>
      </c>
      <c r="W2068" s="22">
        <f t="shared" si="405"/>
        <v>0</v>
      </c>
      <c r="X2068" s="22">
        <f>'2022-23 Salary &amp; Benefits'!$G$6</f>
        <v>12558.24</v>
      </c>
      <c r="Y2068" s="23">
        <f>'2022-23 Salary &amp; Benefits'!$H$6</f>
        <v>0.2298</v>
      </c>
      <c r="Z2068" s="23">
        <f>'2022-23 Salary &amp; Benefits'!$I$6</f>
        <v>0.22339999999999999</v>
      </c>
      <c r="AA2068" s="22">
        <f t="shared" si="406"/>
        <v>0</v>
      </c>
      <c r="AB2068" s="22">
        <f t="shared" si="407"/>
        <v>0</v>
      </c>
      <c r="AC2068" s="22">
        <f t="shared" si="408"/>
        <v>0</v>
      </c>
      <c r="AD2068" s="22">
        <f t="shared" si="398"/>
        <v>0</v>
      </c>
      <c r="AE2068" s="22">
        <f t="shared" si="399"/>
        <v>0</v>
      </c>
      <c r="AF2068" s="19" t="str">
        <f>VLOOKUP(C2068,'2021-22 School Level AAFTE'!C:N,12,FALSE)</f>
        <v>No</v>
      </c>
    </row>
    <row r="2069" spans="1:32" s="5" customFormat="1">
      <c r="A2069" s="97" t="s">
        <v>2440</v>
      </c>
      <c r="B2069" s="97" t="s">
        <v>1330</v>
      </c>
      <c r="C2069" s="95">
        <v>4575</v>
      </c>
      <c r="D2069" s="95" t="s">
        <v>1380</v>
      </c>
      <c r="E2069" s="129">
        <f>VLOOKUP($C2069,'2021-22 School Level AAFTE'!$C:$Z,11,FALSE)</f>
        <v>0.75436666666666674</v>
      </c>
      <c r="F2069" s="129" t="str">
        <f>VLOOKUP($C2069,'2021-22 School Level AAFTE'!$C:$Z,8,FALSE)</f>
        <v>Yes</v>
      </c>
      <c r="G2069" s="129" t="str">
        <f>VLOOKUP($C2069,'2021-22 School Level AAFTE'!$C:$Z,12,FALSE)</f>
        <v>No</v>
      </c>
      <c r="H2069" s="127">
        <f>VLOOKUP($C2069,'2021-22 School Level AAFTE'!$C:$I,7,FALSE)</f>
        <v>493.57</v>
      </c>
      <c r="I2069" s="112">
        <f>IFERROR(IF(OR(G2069="yes",F2069= "yes"),VLOOKUP(C2069,Summary!$B:$J,6,0),0),0)</f>
        <v>0</v>
      </c>
      <c r="J2069" s="111">
        <f t="shared" si="402"/>
        <v>493.57</v>
      </c>
      <c r="K2069" s="91">
        <f>VLOOKUP($A2069,'2022-23 Salary &amp; Benefits'!$A:$I,3,FALSE)</f>
        <v>1.1200000000000001</v>
      </c>
      <c r="L2069" s="91">
        <f>VLOOKUP($A2069,'2022-23 Salary &amp; Benefits'!$A:$I,4,FALSE)</f>
        <v>1.1200000000000001</v>
      </c>
      <c r="M2069" s="101">
        <f t="shared" si="397"/>
        <v>493.57</v>
      </c>
      <c r="N2069" s="24">
        <v>15</v>
      </c>
      <c r="O2069" s="26">
        <f t="shared" si="400"/>
        <v>32.904666666666664</v>
      </c>
      <c r="P2069" s="24">
        <v>1.1000000000000001</v>
      </c>
      <c r="Q2069" s="24">
        <v>36</v>
      </c>
      <c r="R2069" s="27">
        <f t="shared" si="401"/>
        <v>1303.0247999999999</v>
      </c>
      <c r="S2069" s="102">
        <f t="shared" si="403"/>
        <v>1.448</v>
      </c>
      <c r="T2069" s="21">
        <f>VLOOKUP($A2069,'2022-23 Salary &amp; Benefits'!$A:$I,5,FALSE)</f>
        <v>68937</v>
      </c>
      <c r="U2069" s="21">
        <f>VLOOKUP($A2069,'2022-23 Salary &amp; Benefits'!$A:$I,6,FALSE)</f>
        <v>72728</v>
      </c>
      <c r="V2069" s="22">
        <f t="shared" si="404"/>
        <v>111799.27</v>
      </c>
      <c r="W2069" s="22">
        <f t="shared" si="405"/>
        <v>6148.0899999999965</v>
      </c>
      <c r="X2069" s="22">
        <f>'2022-23 Salary &amp; Benefits'!$G$6</f>
        <v>12558.24</v>
      </c>
      <c r="Y2069" s="23">
        <f>'2022-23 Salary &amp; Benefits'!$H$6</f>
        <v>0.2298</v>
      </c>
      <c r="Z2069" s="23">
        <f>'2022-23 Salary &amp; Benefits'!$I$6</f>
        <v>0.22339999999999999</v>
      </c>
      <c r="AA2069" s="22">
        <f t="shared" si="406"/>
        <v>45249.29</v>
      </c>
      <c r="AB2069" s="22">
        <f t="shared" si="407"/>
        <v>1965.79</v>
      </c>
      <c r="AC2069" s="22">
        <f t="shared" si="408"/>
        <v>439.16</v>
      </c>
      <c r="AD2069" s="22">
        <f t="shared" si="398"/>
        <v>2404.9499999999998</v>
      </c>
      <c r="AE2069" s="22">
        <f t="shared" si="399"/>
        <v>165601.60000000001</v>
      </c>
      <c r="AF2069" s="19" t="str">
        <f>VLOOKUP(C2069,'2021-22 School Level AAFTE'!C:N,12,FALSE)</f>
        <v>No</v>
      </c>
    </row>
    <row r="2070" spans="1:32" s="5" customFormat="1">
      <c r="A2070" s="97" t="s">
        <v>2440</v>
      </c>
      <c r="B2070" s="97" t="s">
        <v>1330</v>
      </c>
      <c r="C2070" s="95">
        <v>5066</v>
      </c>
      <c r="D2070" s="95" t="s">
        <v>1381</v>
      </c>
      <c r="E2070" s="129">
        <f>VLOOKUP($C2070,'2021-22 School Level AAFTE'!$C:$Z,11,FALSE)</f>
        <v>0.69373333333333331</v>
      </c>
      <c r="F2070" s="129" t="str">
        <f>VLOOKUP($C2070,'2021-22 School Level AAFTE'!$C:$Z,8,FALSE)</f>
        <v>Yes</v>
      </c>
      <c r="G2070" s="129" t="str">
        <f>VLOOKUP($C2070,'2021-22 School Level AAFTE'!$C:$Z,12,FALSE)</f>
        <v>No</v>
      </c>
      <c r="H2070" s="127">
        <f>VLOOKUP($C2070,'2021-22 School Level AAFTE'!$C:$I,7,FALSE)</f>
        <v>411.71</v>
      </c>
      <c r="I2070" s="112">
        <f>IFERROR(IF(OR(G2070="yes",F2070= "yes"),VLOOKUP(C2070,Summary!$B:$J,6,0),0),0)</f>
        <v>0</v>
      </c>
      <c r="J2070" s="111">
        <f t="shared" si="402"/>
        <v>411.71</v>
      </c>
      <c r="K2070" s="91">
        <f>VLOOKUP($A2070,'2022-23 Salary &amp; Benefits'!$A:$I,3,FALSE)</f>
        <v>1.1200000000000001</v>
      </c>
      <c r="L2070" s="91">
        <f>VLOOKUP($A2070,'2022-23 Salary &amp; Benefits'!$A:$I,4,FALSE)</f>
        <v>1.1200000000000001</v>
      </c>
      <c r="M2070" s="101">
        <f t="shared" si="397"/>
        <v>411.71</v>
      </c>
      <c r="N2070" s="24">
        <v>15</v>
      </c>
      <c r="O2070" s="26">
        <f t="shared" si="400"/>
        <v>27.447333333333333</v>
      </c>
      <c r="P2070" s="24">
        <v>1.1000000000000001</v>
      </c>
      <c r="Q2070" s="24">
        <v>36</v>
      </c>
      <c r="R2070" s="27">
        <f t="shared" si="401"/>
        <v>1086.9144000000001</v>
      </c>
      <c r="S2070" s="102">
        <f t="shared" si="403"/>
        <v>1.208</v>
      </c>
      <c r="T2070" s="21">
        <f>VLOOKUP($A2070,'2022-23 Salary &amp; Benefits'!$A:$I,5,FALSE)</f>
        <v>68937</v>
      </c>
      <c r="U2070" s="21">
        <f>VLOOKUP($A2070,'2022-23 Salary &amp; Benefits'!$A:$I,6,FALSE)</f>
        <v>72728</v>
      </c>
      <c r="V2070" s="22">
        <f t="shared" si="404"/>
        <v>93269</v>
      </c>
      <c r="W2070" s="22">
        <f t="shared" si="405"/>
        <v>5129.070000000007</v>
      </c>
      <c r="X2070" s="22">
        <f>'2022-23 Salary &amp; Benefits'!$G$6</f>
        <v>12558.24</v>
      </c>
      <c r="Y2070" s="23">
        <f>'2022-23 Salary &amp; Benefits'!$H$6</f>
        <v>0.2298</v>
      </c>
      <c r="Z2070" s="23">
        <f>'2022-23 Salary &amp; Benefits'!$I$6</f>
        <v>0.22339999999999999</v>
      </c>
      <c r="AA2070" s="22">
        <f t="shared" si="406"/>
        <v>37749.4</v>
      </c>
      <c r="AB2070" s="22">
        <f t="shared" si="407"/>
        <v>1639.97</v>
      </c>
      <c r="AC2070" s="22">
        <f t="shared" si="408"/>
        <v>366.37</v>
      </c>
      <c r="AD2070" s="22">
        <f t="shared" si="398"/>
        <v>2006.3400000000001</v>
      </c>
      <c r="AE2070" s="22">
        <f t="shared" si="399"/>
        <v>138153.81</v>
      </c>
      <c r="AF2070" s="19" t="str">
        <f>VLOOKUP(C2070,'2021-22 School Level AAFTE'!C:N,12,FALSE)</f>
        <v>No</v>
      </c>
    </row>
    <row r="2071" spans="1:32" s="5" customFormat="1">
      <c r="A2071" s="97" t="s">
        <v>2440</v>
      </c>
      <c r="B2071" s="97" t="s">
        <v>1330</v>
      </c>
      <c r="C2071" s="95">
        <v>5169</v>
      </c>
      <c r="D2071" s="95" t="s">
        <v>1382</v>
      </c>
      <c r="E2071" s="129">
        <f>VLOOKUP($C2071,'2021-22 School Level AAFTE'!$C:$Z,11,FALSE)</f>
        <v>0.36610000000000004</v>
      </c>
      <c r="F2071" s="129" t="str">
        <f>VLOOKUP($C2071,'2021-22 School Level AAFTE'!$C:$Z,8,FALSE)</f>
        <v>No</v>
      </c>
      <c r="G2071" s="129" t="str">
        <f>VLOOKUP($C2071,'2021-22 School Level AAFTE'!$C:$Z,12,FALSE)</f>
        <v>No</v>
      </c>
      <c r="H2071" s="127">
        <f>VLOOKUP($C2071,'2021-22 School Level AAFTE'!$C:$I,7,FALSE)</f>
        <v>573.16</v>
      </c>
      <c r="I2071" s="112">
        <f>IFERROR(IF(OR(G2071="yes",F2071= "yes"),VLOOKUP(C2071,Summary!$B:$J,6,0),0),0)</f>
        <v>0</v>
      </c>
      <c r="J2071" s="111">
        <f t="shared" si="402"/>
        <v>0</v>
      </c>
      <c r="K2071" s="91">
        <f>VLOOKUP($A2071,'2022-23 Salary &amp; Benefits'!$A:$I,3,FALSE)</f>
        <v>1.1200000000000001</v>
      </c>
      <c r="L2071" s="91">
        <f>VLOOKUP($A2071,'2022-23 Salary &amp; Benefits'!$A:$I,4,FALSE)</f>
        <v>1.1200000000000001</v>
      </c>
      <c r="M2071" s="101">
        <f t="shared" si="397"/>
        <v>0</v>
      </c>
      <c r="N2071" s="24">
        <v>15</v>
      </c>
      <c r="O2071" s="26">
        <f t="shared" si="400"/>
        <v>0</v>
      </c>
      <c r="P2071" s="24">
        <v>1.1000000000000001</v>
      </c>
      <c r="Q2071" s="24">
        <v>36</v>
      </c>
      <c r="R2071" s="27">
        <f t="shared" si="401"/>
        <v>0</v>
      </c>
      <c r="S2071" s="102">
        <f t="shared" si="403"/>
        <v>0</v>
      </c>
      <c r="T2071" s="21">
        <f>VLOOKUP($A2071,'2022-23 Salary &amp; Benefits'!$A:$I,5,FALSE)</f>
        <v>68937</v>
      </c>
      <c r="U2071" s="21">
        <f>VLOOKUP($A2071,'2022-23 Salary &amp; Benefits'!$A:$I,6,FALSE)</f>
        <v>72728</v>
      </c>
      <c r="V2071" s="22">
        <f t="shared" si="404"/>
        <v>0</v>
      </c>
      <c r="W2071" s="22">
        <f t="shared" si="405"/>
        <v>0</v>
      </c>
      <c r="X2071" s="22">
        <f>'2022-23 Salary &amp; Benefits'!$G$6</f>
        <v>12558.24</v>
      </c>
      <c r="Y2071" s="23">
        <f>'2022-23 Salary &amp; Benefits'!$H$6</f>
        <v>0.2298</v>
      </c>
      <c r="Z2071" s="23">
        <f>'2022-23 Salary &amp; Benefits'!$I$6</f>
        <v>0.22339999999999999</v>
      </c>
      <c r="AA2071" s="22">
        <f t="shared" si="406"/>
        <v>0</v>
      </c>
      <c r="AB2071" s="22">
        <f t="shared" si="407"/>
        <v>0</v>
      </c>
      <c r="AC2071" s="22">
        <f t="shared" si="408"/>
        <v>0</v>
      </c>
      <c r="AD2071" s="22">
        <f t="shared" si="398"/>
        <v>0</v>
      </c>
      <c r="AE2071" s="22">
        <f t="shared" si="399"/>
        <v>0</v>
      </c>
      <c r="AF2071" s="19" t="str">
        <f>VLOOKUP(C2071,'2021-22 School Level AAFTE'!C:N,12,FALSE)</f>
        <v>No</v>
      </c>
    </row>
    <row r="2072" spans="1:32" s="5" customFormat="1">
      <c r="A2072" s="97" t="s">
        <v>2440</v>
      </c>
      <c r="B2072" s="97" t="s">
        <v>1330</v>
      </c>
      <c r="C2072" s="95">
        <v>5170</v>
      </c>
      <c r="D2072" s="95" t="s">
        <v>1383</v>
      </c>
      <c r="E2072" s="129">
        <f>VLOOKUP($C2072,'2021-22 School Level AAFTE'!$C:$Z,11,FALSE)</f>
        <v>0.82333333333333325</v>
      </c>
      <c r="F2072" s="129" t="str">
        <f>VLOOKUP($C2072,'2021-22 School Level AAFTE'!$C:$Z,8,FALSE)</f>
        <v>Yes</v>
      </c>
      <c r="G2072" s="129" t="str">
        <f>VLOOKUP($C2072,'2021-22 School Level AAFTE'!$C:$Z,12,FALSE)</f>
        <v>No</v>
      </c>
      <c r="H2072" s="127">
        <f>VLOOKUP($C2072,'2021-22 School Level AAFTE'!$C:$I,7,FALSE)</f>
        <v>616.34</v>
      </c>
      <c r="I2072" s="112">
        <f>IFERROR(IF(OR(G2072="yes",F2072= "yes"),VLOOKUP(C2072,Summary!$B:$J,6,0),0),0)</f>
        <v>0</v>
      </c>
      <c r="J2072" s="111">
        <f t="shared" si="402"/>
        <v>616.34</v>
      </c>
      <c r="K2072" s="91">
        <f>VLOOKUP($A2072,'2022-23 Salary &amp; Benefits'!$A:$I,3,FALSE)</f>
        <v>1.1200000000000001</v>
      </c>
      <c r="L2072" s="91">
        <f>VLOOKUP($A2072,'2022-23 Salary &amp; Benefits'!$A:$I,4,FALSE)</f>
        <v>1.1200000000000001</v>
      </c>
      <c r="M2072" s="101">
        <f t="shared" si="397"/>
        <v>616.34</v>
      </c>
      <c r="N2072" s="24">
        <v>15</v>
      </c>
      <c r="O2072" s="26">
        <f t="shared" si="400"/>
        <v>41.089333333333336</v>
      </c>
      <c r="P2072" s="24">
        <v>1.1000000000000001</v>
      </c>
      <c r="Q2072" s="24">
        <v>36</v>
      </c>
      <c r="R2072" s="27">
        <f t="shared" si="401"/>
        <v>1627.1376000000002</v>
      </c>
      <c r="S2072" s="102">
        <f t="shared" si="403"/>
        <v>1.8080000000000001</v>
      </c>
      <c r="T2072" s="21">
        <f>VLOOKUP($A2072,'2022-23 Salary &amp; Benefits'!$A:$I,5,FALSE)</f>
        <v>68937</v>
      </c>
      <c r="U2072" s="21">
        <f>VLOOKUP($A2072,'2022-23 Salary &amp; Benefits'!$A:$I,6,FALSE)</f>
        <v>72728</v>
      </c>
      <c r="V2072" s="22">
        <f t="shared" si="404"/>
        <v>139594.67000000001</v>
      </c>
      <c r="W2072" s="22">
        <f t="shared" si="405"/>
        <v>7676.6199999999953</v>
      </c>
      <c r="X2072" s="22">
        <f>'2022-23 Salary &amp; Benefits'!$G$6</f>
        <v>12558.24</v>
      </c>
      <c r="Y2072" s="23">
        <f>'2022-23 Salary &amp; Benefits'!$H$6</f>
        <v>0.2298</v>
      </c>
      <c r="Z2072" s="23">
        <f>'2022-23 Salary &amp; Benefits'!$I$6</f>
        <v>0.22339999999999999</v>
      </c>
      <c r="AA2072" s="22">
        <f t="shared" si="406"/>
        <v>56499.11</v>
      </c>
      <c r="AB2072" s="22">
        <f t="shared" si="407"/>
        <v>2454.52</v>
      </c>
      <c r="AC2072" s="22">
        <f t="shared" si="408"/>
        <v>548.34</v>
      </c>
      <c r="AD2072" s="22">
        <f t="shared" si="398"/>
        <v>3002.86</v>
      </c>
      <c r="AE2072" s="22">
        <f t="shared" si="399"/>
        <v>206773.26</v>
      </c>
      <c r="AF2072" s="19" t="str">
        <f>VLOOKUP(C2072,'2021-22 School Level AAFTE'!C:N,12,FALSE)</f>
        <v>No</v>
      </c>
    </row>
    <row r="2073" spans="1:32" s="5" customFormat="1">
      <c r="A2073" s="56" t="s">
        <v>2440</v>
      </c>
      <c r="B2073" s="97" t="s">
        <v>1330</v>
      </c>
      <c r="C2073" s="95">
        <v>5307</v>
      </c>
      <c r="D2073" s="56" t="s">
        <v>2938</v>
      </c>
      <c r="E2073" s="129">
        <f>VLOOKUP($C2073,'2021-22 School Level AAFTE'!$C:$Z,11,FALSE)</f>
        <v>0.43576666666666669</v>
      </c>
      <c r="F2073" s="129" t="str">
        <f>VLOOKUP($C2073,'2021-22 School Level AAFTE'!$C:$Z,8,FALSE)</f>
        <v>No</v>
      </c>
      <c r="G2073" s="129" t="str">
        <f>VLOOKUP($C2073,'2021-22 School Level AAFTE'!$C:$Z,12,FALSE)</f>
        <v>No</v>
      </c>
      <c r="H2073" s="127">
        <f>VLOOKUP($C2073,'2021-22 School Level AAFTE'!$C:$I,7,FALSE)</f>
        <v>248.98</v>
      </c>
      <c r="I2073" s="112">
        <f>IFERROR(IF(OR(G2073="yes",F2073= "yes"),VLOOKUP(C2073,Summary!$B:$J,6,0),0),0)</f>
        <v>0</v>
      </c>
      <c r="J2073" s="111">
        <f t="shared" si="402"/>
        <v>0</v>
      </c>
      <c r="K2073" s="91">
        <f>VLOOKUP($A2073,'2022-23 Salary &amp; Benefits'!$A:$I,3,FALSE)</f>
        <v>1.1200000000000001</v>
      </c>
      <c r="L2073" s="91">
        <f>VLOOKUP($A2073,'2022-23 Salary &amp; Benefits'!$A:$I,4,FALSE)</f>
        <v>1.1200000000000001</v>
      </c>
      <c r="M2073" s="101">
        <f t="shared" si="397"/>
        <v>0</v>
      </c>
      <c r="N2073" s="24">
        <v>15</v>
      </c>
      <c r="O2073" s="26">
        <f t="shared" si="400"/>
        <v>0</v>
      </c>
      <c r="P2073" s="24">
        <v>1.1000000000000001</v>
      </c>
      <c r="Q2073" s="24">
        <v>36</v>
      </c>
      <c r="R2073" s="27">
        <f t="shared" si="401"/>
        <v>0</v>
      </c>
      <c r="S2073" s="102">
        <f t="shared" si="403"/>
        <v>0</v>
      </c>
      <c r="T2073" s="21">
        <f>VLOOKUP($A2073,'2022-23 Salary &amp; Benefits'!$A:$I,5,FALSE)</f>
        <v>68937</v>
      </c>
      <c r="U2073" s="21">
        <f>VLOOKUP($A2073,'2022-23 Salary &amp; Benefits'!$A:$I,6,FALSE)</f>
        <v>72728</v>
      </c>
      <c r="V2073" s="22">
        <f t="shared" si="404"/>
        <v>0</v>
      </c>
      <c r="W2073" s="22">
        <f t="shared" si="405"/>
        <v>0</v>
      </c>
      <c r="X2073" s="22">
        <f>'2022-23 Salary &amp; Benefits'!$G$6</f>
        <v>12558.24</v>
      </c>
      <c r="Y2073" s="23">
        <f>'2022-23 Salary &amp; Benefits'!$H$6</f>
        <v>0.2298</v>
      </c>
      <c r="Z2073" s="23">
        <f>'2022-23 Salary &amp; Benefits'!$I$6</f>
        <v>0.22339999999999999</v>
      </c>
      <c r="AA2073" s="22">
        <f t="shared" si="406"/>
        <v>0</v>
      </c>
      <c r="AB2073" s="22">
        <f t="shared" si="407"/>
        <v>0</v>
      </c>
      <c r="AC2073" s="22">
        <f t="shared" si="408"/>
        <v>0</v>
      </c>
      <c r="AD2073" s="22">
        <f t="shared" si="398"/>
        <v>0</v>
      </c>
      <c r="AE2073" s="22">
        <f t="shared" si="399"/>
        <v>0</v>
      </c>
      <c r="AF2073" s="19" t="str">
        <f>VLOOKUP(C2073,'2021-22 School Level AAFTE'!C:N,12,FALSE)</f>
        <v>No</v>
      </c>
    </row>
    <row r="2074" spans="1:32" s="5" customFormat="1">
      <c r="A2074" s="97" t="s">
        <v>2440</v>
      </c>
      <c r="B2074" s="97" t="s">
        <v>1330</v>
      </c>
      <c r="C2074" s="95">
        <v>5458</v>
      </c>
      <c r="D2074" s="95" t="s">
        <v>1384</v>
      </c>
      <c r="E2074" s="129">
        <f>VLOOKUP($C2074,'2021-22 School Level AAFTE'!$C:$Z,11,FALSE)</f>
        <v>0.4012</v>
      </c>
      <c r="F2074" s="129" t="str">
        <f>VLOOKUP($C2074,'2021-22 School Level AAFTE'!$C:$Z,8,FALSE)</f>
        <v>No</v>
      </c>
      <c r="G2074" s="129" t="str">
        <f>VLOOKUP($C2074,'2021-22 School Level AAFTE'!$C:$Z,12,FALSE)</f>
        <v>No</v>
      </c>
      <c r="H2074" s="127">
        <f>VLOOKUP($C2074,'2021-22 School Level AAFTE'!$C:$I,7,FALSE)</f>
        <v>391.05</v>
      </c>
      <c r="I2074" s="112">
        <f>IFERROR(IF(OR(G2074="yes",F2074= "yes"),VLOOKUP(C2074,Summary!$B:$J,6,0),0),0)</f>
        <v>0</v>
      </c>
      <c r="J2074" s="111">
        <f t="shared" si="402"/>
        <v>0</v>
      </c>
      <c r="K2074" s="91">
        <f>VLOOKUP($A2074,'2022-23 Salary &amp; Benefits'!$A:$I,3,FALSE)</f>
        <v>1.1200000000000001</v>
      </c>
      <c r="L2074" s="91">
        <f>VLOOKUP($A2074,'2022-23 Salary &amp; Benefits'!$A:$I,4,FALSE)</f>
        <v>1.1200000000000001</v>
      </c>
      <c r="M2074" s="101">
        <f t="shared" si="397"/>
        <v>0</v>
      </c>
      <c r="N2074" s="24">
        <v>15</v>
      </c>
      <c r="O2074" s="26">
        <f t="shared" si="400"/>
        <v>0</v>
      </c>
      <c r="P2074" s="24">
        <v>1.1000000000000001</v>
      </c>
      <c r="Q2074" s="24">
        <v>36</v>
      </c>
      <c r="R2074" s="27">
        <f t="shared" si="401"/>
        <v>0</v>
      </c>
      <c r="S2074" s="102">
        <f t="shared" si="403"/>
        <v>0</v>
      </c>
      <c r="T2074" s="21">
        <f>VLOOKUP($A2074,'2022-23 Salary &amp; Benefits'!$A:$I,5,FALSE)</f>
        <v>68937</v>
      </c>
      <c r="U2074" s="21">
        <f>VLOOKUP($A2074,'2022-23 Salary &amp; Benefits'!$A:$I,6,FALSE)</f>
        <v>72728</v>
      </c>
      <c r="V2074" s="22">
        <f t="shared" si="404"/>
        <v>0</v>
      </c>
      <c r="W2074" s="22">
        <f t="shared" si="405"/>
        <v>0</v>
      </c>
      <c r="X2074" s="22">
        <f>'2022-23 Salary &amp; Benefits'!$G$6</f>
        <v>12558.24</v>
      </c>
      <c r="Y2074" s="23">
        <f>'2022-23 Salary &amp; Benefits'!$H$6</f>
        <v>0.2298</v>
      </c>
      <c r="Z2074" s="23">
        <f>'2022-23 Salary &amp; Benefits'!$I$6</f>
        <v>0.22339999999999999</v>
      </c>
      <c r="AA2074" s="22">
        <f t="shared" si="406"/>
        <v>0</v>
      </c>
      <c r="AB2074" s="22">
        <f t="shared" si="407"/>
        <v>0</v>
      </c>
      <c r="AC2074" s="22">
        <f t="shared" si="408"/>
        <v>0</v>
      </c>
      <c r="AD2074" s="22">
        <f t="shared" si="398"/>
        <v>0</v>
      </c>
      <c r="AE2074" s="22">
        <f t="shared" si="399"/>
        <v>0</v>
      </c>
      <c r="AF2074" s="19" t="str">
        <f>VLOOKUP(C2074,'2021-22 School Level AAFTE'!C:N,12,FALSE)</f>
        <v>No</v>
      </c>
    </row>
    <row r="2075" spans="1:32" s="5" customFormat="1">
      <c r="A2075" s="97" t="s">
        <v>2440</v>
      </c>
      <c r="B2075" s="97" t="s">
        <v>1330</v>
      </c>
      <c r="C2075" s="95">
        <v>5627</v>
      </c>
      <c r="D2075" s="95" t="s">
        <v>2937</v>
      </c>
      <c r="E2075" s="129">
        <f>VLOOKUP($C2075,'2021-22 School Level AAFTE'!$C:$Z,11,FALSE)</f>
        <v>0.42025000000000001</v>
      </c>
      <c r="F2075" s="129" t="str">
        <f>VLOOKUP($C2075,'2021-22 School Level AAFTE'!$C:$Z,8,FALSE)</f>
        <v>No</v>
      </c>
      <c r="G2075" s="129" t="str">
        <f>VLOOKUP($C2075,'2021-22 School Level AAFTE'!$C:$Z,12,FALSE)</f>
        <v>No</v>
      </c>
      <c r="H2075" s="127">
        <f>VLOOKUP($C2075,'2021-22 School Level AAFTE'!$C:$I,7,FALSE)</f>
        <v>118.89</v>
      </c>
      <c r="I2075" s="112">
        <f>IFERROR(IF(OR(G2075="yes",F2075= "yes"),VLOOKUP(C2075,Summary!$B:$J,6,0),0),0)</f>
        <v>0</v>
      </c>
      <c r="J2075" s="111">
        <f t="shared" si="402"/>
        <v>0</v>
      </c>
      <c r="K2075" s="91">
        <f>VLOOKUP($A2075,'2022-23 Salary &amp; Benefits'!$A:$I,3,FALSE)</f>
        <v>1.1200000000000001</v>
      </c>
      <c r="L2075" s="91">
        <f>VLOOKUP($A2075,'2022-23 Salary &amp; Benefits'!$A:$I,4,FALSE)</f>
        <v>1.1200000000000001</v>
      </c>
      <c r="M2075" s="101">
        <f t="shared" si="397"/>
        <v>0</v>
      </c>
      <c r="N2075" s="24">
        <v>15</v>
      </c>
      <c r="O2075" s="26">
        <f t="shared" si="400"/>
        <v>0</v>
      </c>
      <c r="P2075" s="24">
        <v>1.1000000000000001</v>
      </c>
      <c r="Q2075" s="24">
        <v>36</v>
      </c>
      <c r="R2075" s="27">
        <f t="shared" si="401"/>
        <v>0</v>
      </c>
      <c r="S2075" s="102">
        <f t="shared" si="403"/>
        <v>0</v>
      </c>
      <c r="T2075" s="21">
        <f>VLOOKUP($A2075,'2022-23 Salary &amp; Benefits'!$A:$I,5,FALSE)</f>
        <v>68937</v>
      </c>
      <c r="U2075" s="21">
        <f>VLOOKUP($A2075,'2022-23 Salary &amp; Benefits'!$A:$I,6,FALSE)</f>
        <v>72728</v>
      </c>
      <c r="V2075" s="22">
        <f t="shared" si="404"/>
        <v>0</v>
      </c>
      <c r="W2075" s="22">
        <f t="shared" si="405"/>
        <v>0</v>
      </c>
      <c r="X2075" s="22">
        <f>'2022-23 Salary &amp; Benefits'!$G$6</f>
        <v>12558.24</v>
      </c>
      <c r="Y2075" s="23">
        <f>'2022-23 Salary &amp; Benefits'!$H$6</f>
        <v>0.2298</v>
      </c>
      <c r="Z2075" s="23">
        <f>'2022-23 Salary &amp; Benefits'!$I$6</f>
        <v>0.22339999999999999</v>
      </c>
      <c r="AA2075" s="22">
        <f t="shared" si="406"/>
        <v>0</v>
      </c>
      <c r="AB2075" s="22">
        <f t="shared" si="407"/>
        <v>0</v>
      </c>
      <c r="AC2075" s="22">
        <f t="shared" si="408"/>
        <v>0</v>
      </c>
      <c r="AD2075" s="22">
        <f t="shared" si="398"/>
        <v>0</v>
      </c>
      <c r="AE2075" s="22">
        <f t="shared" si="399"/>
        <v>0</v>
      </c>
      <c r="AF2075" s="19" t="str">
        <f>VLOOKUP(C2075,'2021-22 School Level AAFTE'!C:N,12,FALSE)</f>
        <v>No</v>
      </c>
    </row>
    <row r="2076" spans="1:32" s="5" customFormat="1">
      <c r="A2076" s="97" t="s">
        <v>2440</v>
      </c>
      <c r="B2076" s="97" t="s">
        <v>1330</v>
      </c>
      <c r="C2076" s="95">
        <v>5628</v>
      </c>
      <c r="D2076" s="95" t="s">
        <v>3051</v>
      </c>
      <c r="E2076" s="129">
        <f>VLOOKUP($C2076,'2021-22 School Level AAFTE'!$C:$Z,11,FALSE)</f>
        <v>0.67789999999999995</v>
      </c>
      <c r="F2076" s="129" t="str">
        <f>VLOOKUP($C2076,'2021-22 School Level AAFTE'!$C:$Z,8,FALSE)</f>
        <v>Yes</v>
      </c>
      <c r="G2076" s="129" t="str">
        <f>VLOOKUP($C2076,'2021-22 School Level AAFTE'!$C:$Z,12,FALSE)</f>
        <v>No</v>
      </c>
      <c r="H2076" s="127">
        <f>VLOOKUP($C2076,'2021-22 School Level AAFTE'!$C:$I,7,FALSE)</f>
        <v>1595.48</v>
      </c>
      <c r="I2076" s="112">
        <f>IFERROR(IF(OR(G2076="yes",F2076= "yes"),VLOOKUP(C2076,Summary!$B:$J,6,0),0),0)</f>
        <v>0</v>
      </c>
      <c r="J2076" s="111">
        <f t="shared" si="402"/>
        <v>1595.48</v>
      </c>
      <c r="K2076" s="91">
        <f>VLOOKUP($A2076,'2022-23 Salary &amp; Benefits'!$A:$I,3,FALSE)</f>
        <v>1.1200000000000001</v>
      </c>
      <c r="L2076" s="91">
        <f>VLOOKUP($A2076,'2022-23 Salary &amp; Benefits'!$A:$I,4,FALSE)</f>
        <v>1.1200000000000001</v>
      </c>
      <c r="M2076" s="101">
        <f t="shared" si="397"/>
        <v>1595.48</v>
      </c>
      <c r="N2076" s="24">
        <v>15</v>
      </c>
      <c r="O2076" s="26">
        <f t="shared" si="400"/>
        <v>106.36533333333334</v>
      </c>
      <c r="P2076" s="24">
        <v>1.1000000000000001</v>
      </c>
      <c r="Q2076" s="24">
        <v>36</v>
      </c>
      <c r="R2076" s="27">
        <f t="shared" si="401"/>
        <v>4212.0672000000004</v>
      </c>
      <c r="S2076" s="102">
        <f t="shared" si="403"/>
        <v>4.68</v>
      </c>
      <c r="T2076" s="21">
        <f>VLOOKUP($A2076,'2022-23 Salary &amp; Benefits'!$A:$I,5,FALSE)</f>
        <v>68937</v>
      </c>
      <c r="U2076" s="21">
        <f>VLOOKUP($A2076,'2022-23 Salary &amp; Benefits'!$A:$I,6,FALSE)</f>
        <v>72728</v>
      </c>
      <c r="V2076" s="22">
        <f t="shared" si="404"/>
        <v>361340.18</v>
      </c>
      <c r="W2076" s="22">
        <f t="shared" si="405"/>
        <v>19870.900000000023</v>
      </c>
      <c r="X2076" s="22">
        <f>'2022-23 Salary &amp; Benefits'!$G$6</f>
        <v>12558.24</v>
      </c>
      <c r="Y2076" s="23">
        <f>'2022-23 Salary &amp; Benefits'!$H$6</f>
        <v>0.2298</v>
      </c>
      <c r="Z2076" s="23">
        <f>'2022-23 Salary &amp; Benefits'!$I$6</f>
        <v>0.22339999999999999</v>
      </c>
      <c r="AA2076" s="22">
        <f t="shared" si="406"/>
        <v>146247.70000000001</v>
      </c>
      <c r="AB2076" s="22">
        <f t="shared" si="407"/>
        <v>6353.52</v>
      </c>
      <c r="AC2076" s="22">
        <f t="shared" si="408"/>
        <v>1419.38</v>
      </c>
      <c r="AD2076" s="22">
        <f t="shared" si="398"/>
        <v>7772.9000000000005</v>
      </c>
      <c r="AE2076" s="22">
        <f t="shared" si="399"/>
        <v>535231.68000000005</v>
      </c>
      <c r="AF2076" s="19" t="str">
        <f>VLOOKUP(C2076,'2021-22 School Level AAFTE'!C:N,12,FALSE)</f>
        <v>No</v>
      </c>
    </row>
    <row r="2077" spans="1:32" s="5" customFormat="1">
      <c r="A2077" s="97" t="s">
        <v>2440</v>
      </c>
      <c r="B2077" s="97" t="s">
        <v>1330</v>
      </c>
      <c r="C2077" s="95">
        <v>5697</v>
      </c>
      <c r="D2077" s="95" t="s">
        <v>3050</v>
      </c>
      <c r="E2077" s="129">
        <f>VLOOKUP($C2077,'2021-22 School Level AAFTE'!$C:$Z,11,FALSE)</f>
        <v>0.64190000000000003</v>
      </c>
      <c r="F2077" s="129" t="str">
        <f>VLOOKUP($C2077,'2021-22 School Level AAFTE'!$C:$Z,8,FALSE)</f>
        <v>Yes</v>
      </c>
      <c r="G2077" s="129" t="str">
        <f>VLOOKUP($C2077,'2021-22 School Level AAFTE'!$C:$Z,12,FALSE)</f>
        <v>No</v>
      </c>
      <c r="H2077" s="127">
        <f>VLOOKUP($C2077,'2021-22 School Level AAFTE'!$C:$I,7,FALSE)</f>
        <v>215.07</v>
      </c>
      <c r="I2077" s="112">
        <f>IFERROR(IF(OR(G2077="yes",F2077= "yes"),VLOOKUP(C2077,Summary!$B:$J,6,0),0),0)</f>
        <v>0</v>
      </c>
      <c r="J2077" s="111">
        <f t="shared" si="402"/>
        <v>215.07</v>
      </c>
      <c r="K2077" s="91">
        <f>VLOOKUP($A2077,'2022-23 Salary &amp; Benefits'!$A:$I,3,FALSE)</f>
        <v>1.1200000000000001</v>
      </c>
      <c r="L2077" s="91">
        <f>VLOOKUP($A2077,'2022-23 Salary &amp; Benefits'!$A:$I,4,FALSE)</f>
        <v>1.1200000000000001</v>
      </c>
      <c r="M2077" s="101">
        <f t="shared" si="397"/>
        <v>215.07</v>
      </c>
      <c r="N2077" s="24">
        <v>15</v>
      </c>
      <c r="O2077" s="26">
        <f t="shared" si="400"/>
        <v>14.337999999999999</v>
      </c>
      <c r="P2077" s="24">
        <v>1.1000000000000001</v>
      </c>
      <c r="Q2077" s="24">
        <v>36</v>
      </c>
      <c r="R2077" s="27">
        <f t="shared" si="401"/>
        <v>567.78480000000002</v>
      </c>
      <c r="S2077" s="102">
        <f t="shared" si="403"/>
        <v>0.63100000000000001</v>
      </c>
      <c r="T2077" s="21">
        <f>VLOOKUP($A2077,'2022-23 Salary &amp; Benefits'!$A:$I,5,FALSE)</f>
        <v>68937</v>
      </c>
      <c r="U2077" s="21">
        <f>VLOOKUP($A2077,'2022-23 Salary &amp; Benefits'!$A:$I,6,FALSE)</f>
        <v>72728</v>
      </c>
      <c r="V2077" s="22">
        <f t="shared" si="404"/>
        <v>48719.16</v>
      </c>
      <c r="W2077" s="22">
        <f t="shared" si="405"/>
        <v>2679.1699999999983</v>
      </c>
      <c r="X2077" s="22">
        <f>'2022-23 Salary &amp; Benefits'!$G$6</f>
        <v>12558.24</v>
      </c>
      <c r="Y2077" s="23">
        <f>'2022-23 Salary &amp; Benefits'!$H$6</f>
        <v>0.2298</v>
      </c>
      <c r="Z2077" s="23">
        <f>'2022-23 Salary &amp; Benefits'!$I$6</f>
        <v>0.22339999999999999</v>
      </c>
      <c r="AA2077" s="22">
        <f t="shared" si="406"/>
        <v>19718.439999999999</v>
      </c>
      <c r="AB2077" s="22">
        <f t="shared" si="407"/>
        <v>856.64</v>
      </c>
      <c r="AC2077" s="22">
        <f t="shared" si="408"/>
        <v>191.37</v>
      </c>
      <c r="AD2077" s="22">
        <f t="shared" si="398"/>
        <v>1048.01</v>
      </c>
      <c r="AE2077" s="22">
        <f t="shared" si="399"/>
        <v>72164.78</v>
      </c>
      <c r="AF2077" s="19" t="str">
        <f>VLOOKUP(C2077,'2021-22 School Level AAFTE'!C:N,12,FALSE)</f>
        <v>No</v>
      </c>
    </row>
    <row r="2078" spans="1:32" s="5" customFormat="1">
      <c r="A2078" s="97" t="s">
        <v>2333</v>
      </c>
      <c r="B2078" s="97" t="s">
        <v>497</v>
      </c>
      <c r="C2078" s="95">
        <v>3580</v>
      </c>
      <c r="D2078" s="95" t="s">
        <v>498</v>
      </c>
      <c r="E2078" s="129">
        <f>VLOOKUP($C2078,'2021-22 School Level AAFTE'!$C:$Z,11,FALSE)</f>
        <v>0.71323333333333327</v>
      </c>
      <c r="F2078" s="129" t="str">
        <f>VLOOKUP($C2078,'2021-22 School Level AAFTE'!$C:$Z,8,FALSE)</f>
        <v>Yes</v>
      </c>
      <c r="G2078" s="129" t="str">
        <f>VLOOKUP($C2078,'2021-22 School Level AAFTE'!$C:$Z,12,FALSE)</f>
        <v>No</v>
      </c>
      <c r="H2078" s="127">
        <f>VLOOKUP($C2078,'2021-22 School Level AAFTE'!$C:$I,7,FALSE)</f>
        <v>115.73</v>
      </c>
      <c r="I2078" s="112">
        <f>IFERROR(IF(OR(G2078="yes",F2078= "yes"),VLOOKUP(C2078,Summary!$B:$J,6,0),0),0)</f>
        <v>0</v>
      </c>
      <c r="J2078" s="111">
        <f t="shared" si="402"/>
        <v>115.73</v>
      </c>
      <c r="K2078" s="91">
        <f>VLOOKUP($A2078,'2022-23 Salary &amp; Benefits'!$A:$I,3,FALSE)</f>
        <v>1</v>
      </c>
      <c r="L2078" s="91">
        <f>VLOOKUP($A2078,'2022-23 Salary &amp; Benefits'!$A:$I,4,FALSE)</f>
        <v>1</v>
      </c>
      <c r="M2078" s="39">
        <f t="shared" si="397"/>
        <v>115.73</v>
      </c>
      <c r="N2078" s="24">
        <v>15</v>
      </c>
      <c r="O2078" s="26">
        <f t="shared" si="400"/>
        <v>7.7153333333333336</v>
      </c>
      <c r="P2078" s="24">
        <v>1.1000000000000001</v>
      </c>
      <c r="Q2078" s="24">
        <v>36</v>
      </c>
      <c r="R2078" s="27">
        <f t="shared" si="401"/>
        <v>305.52720000000005</v>
      </c>
      <c r="S2078" s="102">
        <f t="shared" si="403"/>
        <v>0.33900000000000002</v>
      </c>
      <c r="T2078" s="21">
        <f>VLOOKUP($A2078,'2022-23 Salary &amp; Benefits'!$A:$I,5,FALSE)</f>
        <v>68937</v>
      </c>
      <c r="U2078" s="21">
        <f>VLOOKUP($A2078,'2022-23 Salary &amp; Benefits'!$A:$I,6,FALSE)</f>
        <v>72728</v>
      </c>
      <c r="V2078" s="22">
        <f t="shared" si="404"/>
        <v>23369.64</v>
      </c>
      <c r="W2078" s="22">
        <f t="shared" si="405"/>
        <v>1285.1500000000015</v>
      </c>
      <c r="X2078" s="22">
        <f>'2022-23 Salary &amp; Benefits'!$G$6</f>
        <v>12558.24</v>
      </c>
      <c r="Y2078" s="23">
        <f>'2022-23 Salary &amp; Benefits'!$H$6</f>
        <v>0.2298</v>
      </c>
      <c r="Z2078" s="23">
        <f>'2022-23 Salary &amp; Benefits'!$I$6</f>
        <v>0.22339999999999999</v>
      </c>
      <c r="AA2078" s="22">
        <f t="shared" si="406"/>
        <v>9914.69</v>
      </c>
      <c r="AB2078" s="22">
        <f t="shared" si="407"/>
        <v>410.91</v>
      </c>
      <c r="AC2078" s="22">
        <f t="shared" si="408"/>
        <v>91.8</v>
      </c>
      <c r="AD2078" s="22">
        <f t="shared" si="398"/>
        <v>502.71000000000004</v>
      </c>
      <c r="AE2078" s="22">
        <f t="shared" si="399"/>
        <v>35072.19</v>
      </c>
      <c r="AF2078" s="19" t="str">
        <f>VLOOKUP(C2078,'2021-22 School Level AAFTE'!C:N,12,FALSE)</f>
        <v>No</v>
      </c>
    </row>
    <row r="2079" spans="1:32" s="5" customFormat="1">
      <c r="A2079" s="97" t="s">
        <v>2333</v>
      </c>
      <c r="B2079" s="97" t="s">
        <v>497</v>
      </c>
      <c r="C2079" s="95">
        <v>5032</v>
      </c>
      <c r="D2079" s="95" t="s">
        <v>499</v>
      </c>
      <c r="E2079" s="129">
        <f>VLOOKUP($C2079,'2021-22 School Level AAFTE'!$C:$Z,11,FALSE)</f>
        <v>0.65700000000000003</v>
      </c>
      <c r="F2079" s="129" t="str">
        <f>VLOOKUP($C2079,'2021-22 School Level AAFTE'!$C:$Z,8,FALSE)</f>
        <v>Yes</v>
      </c>
      <c r="G2079" s="129" t="str">
        <f>VLOOKUP($C2079,'2021-22 School Level AAFTE'!$C:$Z,12,FALSE)</f>
        <v>No</v>
      </c>
      <c r="H2079" s="127">
        <f>VLOOKUP($C2079,'2021-22 School Level AAFTE'!$C:$I,7,FALSE)</f>
        <v>41.86</v>
      </c>
      <c r="I2079" s="112">
        <f>IFERROR(IF(OR(G2079="yes",F2079= "yes"),VLOOKUP(C2079,Summary!$B:$J,6,0),0),0)</f>
        <v>0</v>
      </c>
      <c r="J2079" s="111">
        <f t="shared" si="402"/>
        <v>41.86</v>
      </c>
      <c r="K2079" s="91">
        <f>VLOOKUP($A2079,'2022-23 Salary &amp; Benefits'!$A:$I,3,FALSE)</f>
        <v>1</v>
      </c>
      <c r="L2079" s="91">
        <f>VLOOKUP($A2079,'2022-23 Salary &amp; Benefits'!$A:$I,4,FALSE)</f>
        <v>1</v>
      </c>
      <c r="M2079" s="101">
        <f t="shared" si="397"/>
        <v>41.86</v>
      </c>
      <c r="N2079" s="24">
        <v>15</v>
      </c>
      <c r="O2079" s="26">
        <f t="shared" si="400"/>
        <v>2.7906666666666666</v>
      </c>
      <c r="P2079" s="24">
        <v>1.1000000000000001</v>
      </c>
      <c r="Q2079" s="24">
        <v>36</v>
      </c>
      <c r="R2079" s="27">
        <f t="shared" si="401"/>
        <v>110.5104</v>
      </c>
      <c r="S2079" s="102">
        <f t="shared" si="403"/>
        <v>0.123</v>
      </c>
      <c r="T2079" s="21">
        <f>VLOOKUP($A2079,'2022-23 Salary &amp; Benefits'!$A:$I,5,FALSE)</f>
        <v>68937</v>
      </c>
      <c r="U2079" s="21">
        <f>VLOOKUP($A2079,'2022-23 Salary &amp; Benefits'!$A:$I,6,FALSE)</f>
        <v>72728</v>
      </c>
      <c r="V2079" s="22">
        <f t="shared" si="404"/>
        <v>8479.25</v>
      </c>
      <c r="W2079" s="22">
        <f t="shared" si="405"/>
        <v>466.29000000000087</v>
      </c>
      <c r="X2079" s="22">
        <f>'2022-23 Salary &amp; Benefits'!$G$6</f>
        <v>12558.24</v>
      </c>
      <c r="Y2079" s="23">
        <f>'2022-23 Salary &amp; Benefits'!$H$6</f>
        <v>0.2298</v>
      </c>
      <c r="Z2079" s="23">
        <f>'2022-23 Salary &amp; Benefits'!$I$6</f>
        <v>0.22339999999999999</v>
      </c>
      <c r="AA2079" s="22">
        <f t="shared" si="406"/>
        <v>3597.36</v>
      </c>
      <c r="AB2079" s="22">
        <f t="shared" si="407"/>
        <v>149.09</v>
      </c>
      <c r="AC2079" s="22">
        <f t="shared" si="408"/>
        <v>33.31</v>
      </c>
      <c r="AD2079" s="22">
        <f t="shared" si="398"/>
        <v>182.4</v>
      </c>
      <c r="AE2079" s="22">
        <f t="shared" si="399"/>
        <v>12725.300000000001</v>
      </c>
      <c r="AF2079" s="19" t="str">
        <f>VLOOKUP(C2079,'2021-22 School Level AAFTE'!C:N,12,FALSE)</f>
        <v>No</v>
      </c>
    </row>
    <row r="2080" spans="1:32" s="5" customFormat="1">
      <c r="A2080" s="97" t="s">
        <v>2360</v>
      </c>
      <c r="B2080" s="97" t="s">
        <v>826</v>
      </c>
      <c r="C2080" s="95">
        <v>2849</v>
      </c>
      <c r="D2080" s="95" t="s">
        <v>827</v>
      </c>
      <c r="E2080" s="129">
        <f>VLOOKUP($C2080,'2021-22 School Level AAFTE'!$C:$Z,11,FALSE)</f>
        <v>0.13133333333333333</v>
      </c>
      <c r="F2080" s="129" t="str">
        <f>VLOOKUP($C2080,'2021-22 School Level AAFTE'!$C:$Z,8,FALSE)</f>
        <v>No</v>
      </c>
      <c r="G2080" s="129" t="str">
        <f>VLOOKUP($C2080,'2021-22 School Level AAFTE'!$C:$Z,12,FALSE)</f>
        <v>No</v>
      </c>
      <c r="H2080" s="127">
        <f>VLOOKUP($C2080,'2021-22 School Level AAFTE'!$C:$I,7,FALSE)</f>
        <v>2651.3300000000004</v>
      </c>
      <c r="I2080" s="112">
        <f>IFERROR(IF(OR(G2080="yes",F2080= "yes"),VLOOKUP(C2080,Summary!$B:$J,6,0),0),0)</f>
        <v>0</v>
      </c>
      <c r="J2080" s="111">
        <f t="shared" si="402"/>
        <v>0</v>
      </c>
      <c r="K2080" s="91">
        <f>VLOOKUP($A2080,'2022-23 Salary &amp; Benefits'!$A:$I,3,FALSE)</f>
        <v>1.18</v>
      </c>
      <c r="L2080" s="91">
        <f>VLOOKUP($A2080,'2022-23 Salary &amp; Benefits'!$A:$I,4,FALSE)</f>
        <v>1.22</v>
      </c>
      <c r="M2080" s="101">
        <f t="shared" si="397"/>
        <v>0</v>
      </c>
      <c r="N2080" s="24">
        <v>15</v>
      </c>
      <c r="O2080" s="26">
        <f t="shared" si="400"/>
        <v>0</v>
      </c>
      <c r="P2080" s="24">
        <v>1.1000000000000001</v>
      </c>
      <c r="Q2080" s="24">
        <v>36</v>
      </c>
      <c r="R2080" s="27">
        <f t="shared" si="401"/>
        <v>0</v>
      </c>
      <c r="S2080" s="102">
        <f t="shared" si="403"/>
        <v>0</v>
      </c>
      <c r="T2080" s="21">
        <f>VLOOKUP($A2080,'2022-23 Salary &amp; Benefits'!$A:$I,5,FALSE)</f>
        <v>68937</v>
      </c>
      <c r="U2080" s="21">
        <f>VLOOKUP($A2080,'2022-23 Salary &amp; Benefits'!$A:$I,6,FALSE)</f>
        <v>72728</v>
      </c>
      <c r="V2080" s="22">
        <f t="shared" si="404"/>
        <v>0</v>
      </c>
      <c r="W2080" s="22">
        <f t="shared" si="405"/>
        <v>0</v>
      </c>
      <c r="X2080" s="22">
        <f>'2022-23 Salary &amp; Benefits'!$G$6</f>
        <v>12558.24</v>
      </c>
      <c r="Y2080" s="23">
        <f>'2022-23 Salary &amp; Benefits'!$H$6</f>
        <v>0.2298</v>
      </c>
      <c r="Z2080" s="23">
        <f>'2022-23 Salary &amp; Benefits'!$I$6</f>
        <v>0.22339999999999999</v>
      </c>
      <c r="AA2080" s="22">
        <f t="shared" si="406"/>
        <v>0</v>
      </c>
      <c r="AB2080" s="22">
        <f t="shared" si="407"/>
        <v>0</v>
      </c>
      <c r="AC2080" s="22">
        <f t="shared" si="408"/>
        <v>0</v>
      </c>
      <c r="AD2080" s="22">
        <f t="shared" si="398"/>
        <v>0</v>
      </c>
      <c r="AE2080" s="22">
        <f t="shared" si="399"/>
        <v>0</v>
      </c>
      <c r="AF2080" s="19" t="str">
        <f>VLOOKUP(C2080,'2021-22 School Level AAFTE'!C:N,12,FALSE)</f>
        <v>No</v>
      </c>
    </row>
    <row r="2081" spans="1:284" s="5" customFormat="1">
      <c r="A2081" s="97" t="s">
        <v>2360</v>
      </c>
      <c r="B2081" s="97" t="s">
        <v>826</v>
      </c>
      <c r="C2081" s="95">
        <v>3286</v>
      </c>
      <c r="D2081" s="95" t="s">
        <v>828</v>
      </c>
      <c r="E2081" s="129">
        <f>VLOOKUP($C2081,'2021-22 School Level AAFTE'!$C:$Z,11,FALSE)</f>
        <v>0.1255</v>
      </c>
      <c r="F2081" s="129" t="str">
        <f>VLOOKUP($C2081,'2021-22 School Level AAFTE'!$C:$Z,8,FALSE)</f>
        <v>No</v>
      </c>
      <c r="G2081" s="129" t="str">
        <f>VLOOKUP($C2081,'2021-22 School Level AAFTE'!$C:$Z,12,FALSE)</f>
        <v>No</v>
      </c>
      <c r="H2081" s="127">
        <f>VLOOKUP($C2081,'2021-22 School Level AAFTE'!$C:$I,7,FALSE)</f>
        <v>722.31</v>
      </c>
      <c r="I2081" s="112">
        <f>IFERROR(IF(OR(G2081="yes",F2081= "yes"),VLOOKUP(C2081,Summary!$B:$J,6,0),0),0)</f>
        <v>0</v>
      </c>
      <c r="J2081" s="111">
        <f t="shared" si="402"/>
        <v>0</v>
      </c>
      <c r="K2081" s="91">
        <f>VLOOKUP($A2081,'2022-23 Salary &amp; Benefits'!$A:$I,3,FALSE)</f>
        <v>1.18</v>
      </c>
      <c r="L2081" s="91">
        <f>VLOOKUP($A2081,'2022-23 Salary &amp; Benefits'!$A:$I,4,FALSE)</f>
        <v>1.22</v>
      </c>
      <c r="M2081" s="101">
        <f t="shared" si="397"/>
        <v>0</v>
      </c>
      <c r="N2081" s="24">
        <v>15</v>
      </c>
      <c r="O2081" s="26">
        <f t="shared" si="400"/>
        <v>0</v>
      </c>
      <c r="P2081" s="24">
        <v>1.1000000000000001</v>
      </c>
      <c r="Q2081" s="24">
        <v>36</v>
      </c>
      <c r="R2081" s="27">
        <f t="shared" si="401"/>
        <v>0</v>
      </c>
      <c r="S2081" s="102">
        <f t="shared" si="403"/>
        <v>0</v>
      </c>
      <c r="T2081" s="21">
        <f>VLOOKUP($A2081,'2022-23 Salary &amp; Benefits'!$A:$I,5,FALSE)</f>
        <v>68937</v>
      </c>
      <c r="U2081" s="21">
        <f>VLOOKUP($A2081,'2022-23 Salary &amp; Benefits'!$A:$I,6,FALSE)</f>
        <v>72728</v>
      </c>
      <c r="V2081" s="22">
        <f t="shared" si="404"/>
        <v>0</v>
      </c>
      <c r="W2081" s="22">
        <f t="shared" si="405"/>
        <v>0</v>
      </c>
      <c r="X2081" s="22">
        <f>'2022-23 Salary &amp; Benefits'!$G$6</f>
        <v>12558.24</v>
      </c>
      <c r="Y2081" s="23">
        <f>'2022-23 Salary &amp; Benefits'!$H$6</f>
        <v>0.2298</v>
      </c>
      <c r="Z2081" s="23">
        <f>'2022-23 Salary &amp; Benefits'!$I$6</f>
        <v>0.22339999999999999</v>
      </c>
      <c r="AA2081" s="22">
        <f t="shared" si="406"/>
        <v>0</v>
      </c>
      <c r="AB2081" s="22">
        <f t="shared" si="407"/>
        <v>0</v>
      </c>
      <c r="AC2081" s="22">
        <f t="shared" si="408"/>
        <v>0</v>
      </c>
      <c r="AD2081" s="22">
        <f t="shared" si="398"/>
        <v>0</v>
      </c>
      <c r="AE2081" s="22">
        <f t="shared" si="399"/>
        <v>0</v>
      </c>
      <c r="AF2081" s="19" t="str">
        <f>VLOOKUP(C2081,'2021-22 School Level AAFTE'!C:N,12,FALSE)</f>
        <v>No</v>
      </c>
    </row>
    <row r="2082" spans="1:284" s="5" customFormat="1">
      <c r="A2082" s="97" t="s">
        <v>2360</v>
      </c>
      <c r="B2082" s="97" t="s">
        <v>826</v>
      </c>
      <c r="C2082" s="95">
        <v>3341</v>
      </c>
      <c r="D2082" s="95" t="s">
        <v>2742</v>
      </c>
      <c r="E2082" s="129">
        <f>VLOOKUP($C2082,'2021-22 School Level AAFTE'!$C:$Z,11,FALSE)</f>
        <v>0.1087</v>
      </c>
      <c r="F2082" s="129" t="str">
        <f>VLOOKUP($C2082,'2021-22 School Level AAFTE'!$C:$Z,8,FALSE)</f>
        <v>No</v>
      </c>
      <c r="G2082" s="129" t="str">
        <f>VLOOKUP($C2082,'2021-22 School Level AAFTE'!$C:$Z,12,FALSE)</f>
        <v>No</v>
      </c>
      <c r="H2082" s="127">
        <f>VLOOKUP($C2082,'2021-22 School Level AAFTE'!$C:$I,7,FALSE)</f>
        <v>1109.98</v>
      </c>
      <c r="I2082" s="112">
        <f>IFERROR(IF(OR(G2082="yes",F2082= "yes"),VLOOKUP(C2082,Summary!$B:$J,6,0),0),0)</f>
        <v>0</v>
      </c>
      <c r="J2082" s="111">
        <f t="shared" si="402"/>
        <v>0</v>
      </c>
      <c r="K2082" s="91">
        <f>VLOOKUP($A2082,'2022-23 Salary &amp; Benefits'!$A:$I,3,FALSE)</f>
        <v>1.18</v>
      </c>
      <c r="L2082" s="91">
        <f>VLOOKUP($A2082,'2022-23 Salary &amp; Benefits'!$A:$I,4,FALSE)</f>
        <v>1.22</v>
      </c>
      <c r="M2082" s="39">
        <f t="shared" si="397"/>
        <v>0</v>
      </c>
      <c r="N2082" s="24">
        <v>15</v>
      </c>
      <c r="O2082" s="26">
        <f t="shared" si="400"/>
        <v>0</v>
      </c>
      <c r="P2082" s="24">
        <v>1.1000000000000001</v>
      </c>
      <c r="Q2082" s="24">
        <v>36</v>
      </c>
      <c r="R2082" s="27">
        <f t="shared" si="401"/>
        <v>0</v>
      </c>
      <c r="S2082" s="102">
        <f t="shared" si="403"/>
        <v>0</v>
      </c>
      <c r="T2082" s="21">
        <f>VLOOKUP($A2082,'2022-23 Salary &amp; Benefits'!$A:$I,5,FALSE)</f>
        <v>68937</v>
      </c>
      <c r="U2082" s="21">
        <f>VLOOKUP($A2082,'2022-23 Salary &amp; Benefits'!$A:$I,6,FALSE)</f>
        <v>72728</v>
      </c>
      <c r="V2082" s="22">
        <f t="shared" si="404"/>
        <v>0</v>
      </c>
      <c r="W2082" s="22">
        <f t="shared" si="405"/>
        <v>0</v>
      </c>
      <c r="X2082" s="22">
        <f>'2022-23 Salary &amp; Benefits'!$G$6</f>
        <v>12558.24</v>
      </c>
      <c r="Y2082" s="23">
        <f>'2022-23 Salary &amp; Benefits'!$H$6</f>
        <v>0.2298</v>
      </c>
      <c r="Z2082" s="23">
        <f>'2022-23 Salary &amp; Benefits'!$I$6</f>
        <v>0.22339999999999999</v>
      </c>
      <c r="AA2082" s="22">
        <f t="shared" si="406"/>
        <v>0</v>
      </c>
      <c r="AB2082" s="22">
        <f t="shared" si="407"/>
        <v>0</v>
      </c>
      <c r="AC2082" s="22">
        <f t="shared" si="408"/>
        <v>0</v>
      </c>
      <c r="AD2082" s="22">
        <f t="shared" si="398"/>
        <v>0</v>
      </c>
      <c r="AE2082" s="22">
        <f t="shared" si="399"/>
        <v>0</v>
      </c>
      <c r="AF2082" s="19" t="str">
        <f>VLOOKUP(C2082,'2021-22 School Level AAFTE'!C:N,12,FALSE)</f>
        <v>No</v>
      </c>
    </row>
    <row r="2083" spans="1:284" s="5" customFormat="1">
      <c r="A2083" s="97" t="s">
        <v>2360</v>
      </c>
      <c r="B2083" s="97" t="s">
        <v>826</v>
      </c>
      <c r="C2083" s="95">
        <v>3589</v>
      </c>
      <c r="D2083" s="95" t="s">
        <v>829</v>
      </c>
      <c r="E2083" s="129">
        <f>VLOOKUP($C2083,'2021-22 School Level AAFTE'!$C:$Z,11,FALSE)</f>
        <v>0.2698666666666667</v>
      </c>
      <c r="F2083" s="129" t="str">
        <f>VLOOKUP($C2083,'2021-22 School Level AAFTE'!$C:$Z,8,FALSE)</f>
        <v>No</v>
      </c>
      <c r="G2083" s="129" t="str">
        <f>VLOOKUP($C2083,'2021-22 School Level AAFTE'!$C:$Z,12,FALSE)</f>
        <v>No</v>
      </c>
      <c r="H2083" s="127">
        <f>VLOOKUP($C2083,'2021-22 School Level AAFTE'!$C:$I,7,FALSE)</f>
        <v>463.19</v>
      </c>
      <c r="I2083" s="112">
        <f>IFERROR(IF(OR(G2083="yes",F2083= "yes"),VLOOKUP(C2083,Summary!$B:$J,6,0),0),0)</f>
        <v>0</v>
      </c>
      <c r="J2083" s="111">
        <f t="shared" si="402"/>
        <v>0</v>
      </c>
      <c r="K2083" s="91">
        <f>VLOOKUP($A2083,'2022-23 Salary &amp; Benefits'!$A:$I,3,FALSE)</f>
        <v>1.18</v>
      </c>
      <c r="L2083" s="91">
        <f>VLOOKUP($A2083,'2022-23 Salary &amp; Benefits'!$A:$I,4,FALSE)</f>
        <v>1.22</v>
      </c>
      <c r="M2083" s="101">
        <f t="shared" si="397"/>
        <v>0</v>
      </c>
      <c r="N2083" s="24">
        <v>15</v>
      </c>
      <c r="O2083" s="26">
        <f t="shared" si="400"/>
        <v>0</v>
      </c>
      <c r="P2083" s="24">
        <v>1.1000000000000001</v>
      </c>
      <c r="Q2083" s="24">
        <v>36</v>
      </c>
      <c r="R2083" s="27">
        <f t="shared" si="401"/>
        <v>0</v>
      </c>
      <c r="S2083" s="102">
        <f t="shared" si="403"/>
        <v>0</v>
      </c>
      <c r="T2083" s="21">
        <f>VLOOKUP($A2083,'2022-23 Salary &amp; Benefits'!$A:$I,5,FALSE)</f>
        <v>68937</v>
      </c>
      <c r="U2083" s="21">
        <f>VLOOKUP($A2083,'2022-23 Salary &amp; Benefits'!$A:$I,6,FALSE)</f>
        <v>72728</v>
      </c>
      <c r="V2083" s="22">
        <f t="shared" si="404"/>
        <v>0</v>
      </c>
      <c r="W2083" s="22">
        <f t="shared" si="405"/>
        <v>0</v>
      </c>
      <c r="X2083" s="22">
        <f>'2022-23 Salary &amp; Benefits'!$G$6</f>
        <v>12558.24</v>
      </c>
      <c r="Y2083" s="23">
        <f>'2022-23 Salary &amp; Benefits'!$H$6</f>
        <v>0.2298</v>
      </c>
      <c r="Z2083" s="23">
        <f>'2022-23 Salary &amp; Benefits'!$I$6</f>
        <v>0.22339999999999999</v>
      </c>
      <c r="AA2083" s="22">
        <f t="shared" si="406"/>
        <v>0</v>
      </c>
      <c r="AB2083" s="22">
        <f t="shared" si="407"/>
        <v>0</v>
      </c>
      <c r="AC2083" s="22">
        <f t="shared" si="408"/>
        <v>0</v>
      </c>
      <c r="AD2083" s="22">
        <f t="shared" si="398"/>
        <v>0</v>
      </c>
      <c r="AE2083" s="22">
        <f t="shared" si="399"/>
        <v>0</v>
      </c>
      <c r="AF2083" s="19" t="str">
        <f>VLOOKUP(C2083,'2021-22 School Level AAFTE'!C:N,12,FALSE)</f>
        <v>No</v>
      </c>
    </row>
    <row r="2084" spans="1:284" s="5" customFormat="1">
      <c r="A2084" s="97" t="s">
        <v>2360</v>
      </c>
      <c r="B2084" s="97" t="s">
        <v>826</v>
      </c>
      <c r="C2084" s="95">
        <v>3937</v>
      </c>
      <c r="D2084" s="95" t="s">
        <v>2741</v>
      </c>
      <c r="E2084" s="129">
        <f>VLOOKUP($C2084,'2021-22 School Level AAFTE'!$C:$Z,11,FALSE)</f>
        <v>0.17166666666666666</v>
      </c>
      <c r="F2084" s="129" t="str">
        <f>VLOOKUP($C2084,'2021-22 School Level AAFTE'!$C:$Z,8,FALSE)</f>
        <v>No</v>
      </c>
      <c r="G2084" s="129" t="str">
        <f>VLOOKUP($C2084,'2021-22 School Level AAFTE'!$C:$Z,12,FALSE)</f>
        <v>No</v>
      </c>
      <c r="H2084" s="127">
        <f>VLOOKUP($C2084,'2021-22 School Level AAFTE'!$C:$I,7,FALSE)</f>
        <v>963.46</v>
      </c>
      <c r="I2084" s="112">
        <f>IFERROR(IF(OR(G2084="yes",F2084= "yes"),VLOOKUP(C2084,Summary!$B:$J,6,0),0),0)</f>
        <v>0</v>
      </c>
      <c r="J2084" s="111">
        <f t="shared" si="402"/>
        <v>0</v>
      </c>
      <c r="K2084" s="91">
        <f>VLOOKUP($A2084,'2022-23 Salary &amp; Benefits'!$A:$I,3,FALSE)</f>
        <v>1.18</v>
      </c>
      <c r="L2084" s="91">
        <f>VLOOKUP($A2084,'2022-23 Salary &amp; Benefits'!$A:$I,4,FALSE)</f>
        <v>1.22</v>
      </c>
      <c r="M2084" s="101">
        <f t="shared" si="397"/>
        <v>0</v>
      </c>
      <c r="N2084" s="24">
        <v>15</v>
      </c>
      <c r="O2084" s="26">
        <f t="shared" si="400"/>
        <v>0</v>
      </c>
      <c r="P2084" s="24">
        <v>1.1000000000000001</v>
      </c>
      <c r="Q2084" s="24">
        <v>36</v>
      </c>
      <c r="R2084" s="27">
        <f t="shared" si="401"/>
        <v>0</v>
      </c>
      <c r="S2084" s="102">
        <f t="shared" si="403"/>
        <v>0</v>
      </c>
      <c r="T2084" s="21">
        <f>VLOOKUP($A2084,'2022-23 Salary &amp; Benefits'!$A:$I,5,FALSE)</f>
        <v>68937</v>
      </c>
      <c r="U2084" s="21">
        <f>VLOOKUP($A2084,'2022-23 Salary &amp; Benefits'!$A:$I,6,FALSE)</f>
        <v>72728</v>
      </c>
      <c r="V2084" s="22">
        <f t="shared" si="404"/>
        <v>0</v>
      </c>
      <c r="W2084" s="22">
        <f t="shared" si="405"/>
        <v>0</v>
      </c>
      <c r="X2084" s="22">
        <f>'2022-23 Salary &amp; Benefits'!$G$6</f>
        <v>12558.24</v>
      </c>
      <c r="Y2084" s="23">
        <f>'2022-23 Salary &amp; Benefits'!$H$6</f>
        <v>0.2298</v>
      </c>
      <c r="Z2084" s="23">
        <f>'2022-23 Salary &amp; Benefits'!$I$6</f>
        <v>0.22339999999999999</v>
      </c>
      <c r="AA2084" s="22">
        <f t="shared" si="406"/>
        <v>0</v>
      </c>
      <c r="AB2084" s="22">
        <f t="shared" si="407"/>
        <v>0</v>
      </c>
      <c r="AC2084" s="22">
        <f t="shared" si="408"/>
        <v>0</v>
      </c>
      <c r="AD2084" s="22">
        <f t="shared" si="398"/>
        <v>0</v>
      </c>
      <c r="AE2084" s="22">
        <f t="shared" si="399"/>
        <v>0</v>
      </c>
      <c r="AF2084" s="19" t="str">
        <f>VLOOKUP(C2084,'2021-22 School Level AAFTE'!C:N,12,FALSE)</f>
        <v>No</v>
      </c>
    </row>
    <row r="2085" spans="1:284" s="5" customFormat="1">
      <c r="A2085" s="97" t="s">
        <v>2360</v>
      </c>
      <c r="B2085" s="97" t="s">
        <v>826</v>
      </c>
      <c r="C2085" s="95">
        <v>4415</v>
      </c>
      <c r="D2085" s="95" t="s">
        <v>830</v>
      </c>
      <c r="E2085" s="129">
        <f>VLOOKUP($C2085,'2021-22 School Level AAFTE'!$C:$Z,11,FALSE)</f>
        <v>9.6633333333333335E-2</v>
      </c>
      <c r="F2085" s="129" t="str">
        <f>VLOOKUP($C2085,'2021-22 School Level AAFTE'!$C:$Z,8,FALSE)</f>
        <v>No</v>
      </c>
      <c r="G2085" s="129" t="str">
        <f>VLOOKUP($C2085,'2021-22 School Level AAFTE'!$C:$Z,12,FALSE)</f>
        <v>No</v>
      </c>
      <c r="H2085" s="127">
        <f>VLOOKUP($C2085,'2021-22 School Level AAFTE'!$C:$I,7,FALSE)</f>
        <v>721.35</v>
      </c>
      <c r="I2085" s="112">
        <f>IFERROR(IF(OR(G2085="yes",F2085= "yes"),VLOOKUP(C2085,Summary!$B:$J,6,0),0),0)</f>
        <v>0</v>
      </c>
      <c r="J2085" s="111">
        <f t="shared" si="402"/>
        <v>0</v>
      </c>
      <c r="K2085" s="91">
        <f>VLOOKUP($A2085,'2022-23 Salary &amp; Benefits'!$A:$I,3,FALSE)</f>
        <v>1.18</v>
      </c>
      <c r="L2085" s="91">
        <f>VLOOKUP($A2085,'2022-23 Salary &amp; Benefits'!$A:$I,4,FALSE)</f>
        <v>1.22</v>
      </c>
      <c r="M2085" s="101">
        <f t="shared" si="397"/>
        <v>0</v>
      </c>
      <c r="N2085" s="24">
        <v>15</v>
      </c>
      <c r="O2085" s="26">
        <f t="shared" si="400"/>
        <v>0</v>
      </c>
      <c r="P2085" s="24">
        <v>1.1000000000000001</v>
      </c>
      <c r="Q2085" s="24">
        <v>36</v>
      </c>
      <c r="R2085" s="27">
        <f t="shared" si="401"/>
        <v>0</v>
      </c>
      <c r="S2085" s="102">
        <f t="shared" si="403"/>
        <v>0</v>
      </c>
      <c r="T2085" s="21">
        <f>VLOOKUP($A2085,'2022-23 Salary &amp; Benefits'!$A:$I,5,FALSE)</f>
        <v>68937</v>
      </c>
      <c r="U2085" s="21">
        <f>VLOOKUP($A2085,'2022-23 Salary &amp; Benefits'!$A:$I,6,FALSE)</f>
        <v>72728</v>
      </c>
      <c r="V2085" s="22">
        <f t="shared" si="404"/>
        <v>0</v>
      </c>
      <c r="W2085" s="22">
        <f t="shared" si="405"/>
        <v>0</v>
      </c>
      <c r="X2085" s="22">
        <f>'2022-23 Salary &amp; Benefits'!$G$6</f>
        <v>12558.24</v>
      </c>
      <c r="Y2085" s="23">
        <f>'2022-23 Salary &amp; Benefits'!$H$6</f>
        <v>0.2298</v>
      </c>
      <c r="Z2085" s="23">
        <f>'2022-23 Salary &amp; Benefits'!$I$6</f>
        <v>0.22339999999999999</v>
      </c>
      <c r="AA2085" s="22">
        <f t="shared" si="406"/>
        <v>0</v>
      </c>
      <c r="AB2085" s="22">
        <f t="shared" si="407"/>
        <v>0</v>
      </c>
      <c r="AC2085" s="22">
        <f t="shared" si="408"/>
        <v>0</v>
      </c>
      <c r="AD2085" s="22">
        <f t="shared" si="398"/>
        <v>0</v>
      </c>
      <c r="AE2085" s="22">
        <f t="shared" si="399"/>
        <v>0</v>
      </c>
      <c r="AF2085" s="19" t="str">
        <f>VLOOKUP(C2085,'2021-22 School Level AAFTE'!C:N,12,FALSE)</f>
        <v>No</v>
      </c>
    </row>
    <row r="2086" spans="1:284" s="5" customFormat="1">
      <c r="A2086" s="97" t="s">
        <v>2360</v>
      </c>
      <c r="B2086" s="97" t="s">
        <v>826</v>
      </c>
      <c r="C2086" s="95">
        <v>4453</v>
      </c>
      <c r="D2086" s="95" t="s">
        <v>831</v>
      </c>
      <c r="E2086" s="129">
        <f>VLOOKUP($C2086,'2021-22 School Level AAFTE'!$C:$Z,11,FALSE)</f>
        <v>0.12786666666666668</v>
      </c>
      <c r="F2086" s="129" t="str">
        <f>VLOOKUP($C2086,'2021-22 School Level AAFTE'!$C:$Z,8,FALSE)</f>
        <v>No</v>
      </c>
      <c r="G2086" s="129" t="str">
        <f>VLOOKUP($C2086,'2021-22 School Level AAFTE'!$C:$Z,12,FALSE)</f>
        <v>No</v>
      </c>
      <c r="H2086" s="127">
        <f>VLOOKUP($C2086,'2021-22 School Level AAFTE'!$C:$I,7,FALSE)</f>
        <v>758.21</v>
      </c>
      <c r="I2086" s="112">
        <f>IFERROR(IF(OR(G2086="yes",F2086= "yes"),VLOOKUP(C2086,Summary!$B:$J,6,0),0),0)</f>
        <v>0</v>
      </c>
      <c r="J2086" s="111">
        <f t="shared" si="402"/>
        <v>0</v>
      </c>
      <c r="K2086" s="91">
        <f>VLOOKUP($A2086,'2022-23 Salary &amp; Benefits'!$A:$I,3,FALSE)</f>
        <v>1.18</v>
      </c>
      <c r="L2086" s="91">
        <f>VLOOKUP($A2086,'2022-23 Salary &amp; Benefits'!$A:$I,4,FALSE)</f>
        <v>1.22</v>
      </c>
      <c r="M2086" s="101">
        <f t="shared" si="397"/>
        <v>0</v>
      </c>
      <c r="N2086" s="24">
        <v>15</v>
      </c>
      <c r="O2086" s="26">
        <f t="shared" si="400"/>
        <v>0</v>
      </c>
      <c r="P2086" s="24">
        <v>1.1000000000000001</v>
      </c>
      <c r="Q2086" s="24">
        <v>36</v>
      </c>
      <c r="R2086" s="27">
        <f t="shared" si="401"/>
        <v>0</v>
      </c>
      <c r="S2086" s="102">
        <f t="shared" si="403"/>
        <v>0</v>
      </c>
      <c r="T2086" s="21">
        <f>VLOOKUP($A2086,'2022-23 Salary &amp; Benefits'!$A:$I,5,FALSE)</f>
        <v>68937</v>
      </c>
      <c r="U2086" s="21">
        <f>VLOOKUP($A2086,'2022-23 Salary &amp; Benefits'!$A:$I,6,FALSE)</f>
        <v>72728</v>
      </c>
      <c r="V2086" s="22">
        <f t="shared" si="404"/>
        <v>0</v>
      </c>
      <c r="W2086" s="22">
        <f t="shared" si="405"/>
        <v>0</v>
      </c>
      <c r="X2086" s="22">
        <f>'2022-23 Salary &amp; Benefits'!$G$6</f>
        <v>12558.24</v>
      </c>
      <c r="Y2086" s="23">
        <f>'2022-23 Salary &amp; Benefits'!$H$6</f>
        <v>0.2298</v>
      </c>
      <c r="Z2086" s="23">
        <f>'2022-23 Salary &amp; Benefits'!$I$6</f>
        <v>0.22339999999999999</v>
      </c>
      <c r="AA2086" s="22">
        <f t="shared" si="406"/>
        <v>0</v>
      </c>
      <c r="AB2086" s="22">
        <f t="shared" si="407"/>
        <v>0</v>
      </c>
      <c r="AC2086" s="22">
        <f t="shared" si="408"/>
        <v>0</v>
      </c>
      <c r="AD2086" s="22">
        <f t="shared" si="398"/>
        <v>0</v>
      </c>
      <c r="AE2086" s="22">
        <f t="shared" si="399"/>
        <v>0</v>
      </c>
      <c r="AF2086" s="19" t="str">
        <f>VLOOKUP(C2086,'2021-22 School Level AAFTE'!C:N,12,FALSE)</f>
        <v>No</v>
      </c>
    </row>
    <row r="2087" spans="1:284" s="5" customFormat="1">
      <c r="A2087" s="97" t="s">
        <v>2360</v>
      </c>
      <c r="B2087" s="97" t="s">
        <v>826</v>
      </c>
      <c r="C2087" s="95">
        <v>5489</v>
      </c>
      <c r="D2087" s="95" t="s">
        <v>2740</v>
      </c>
      <c r="E2087" s="129">
        <f>VLOOKUP($C2087,'2021-22 School Level AAFTE'!$C:$Z,11,FALSE)</f>
        <v>9.6499999999999989E-2</v>
      </c>
      <c r="F2087" s="129" t="str">
        <f>VLOOKUP($C2087,'2021-22 School Level AAFTE'!$C:$Z,8,FALSE)</f>
        <v>No</v>
      </c>
      <c r="G2087" s="129" t="str">
        <f>VLOOKUP($C2087,'2021-22 School Level AAFTE'!$C:$Z,12,FALSE)</f>
        <v>No</v>
      </c>
      <c r="H2087" s="127">
        <f>VLOOKUP($C2087,'2021-22 School Level AAFTE'!$C:$I,7,FALSE)</f>
        <v>590.99</v>
      </c>
      <c r="I2087" s="112">
        <f>IFERROR(IF(OR(G2087="yes",F2087= "yes"),VLOOKUP(C2087,Summary!$B:$J,6,0),0),0)</f>
        <v>0</v>
      </c>
      <c r="J2087" s="111">
        <f t="shared" si="402"/>
        <v>0</v>
      </c>
      <c r="K2087" s="91">
        <f>VLOOKUP($A2087,'2022-23 Salary &amp; Benefits'!$A:$I,3,FALSE)</f>
        <v>1.18</v>
      </c>
      <c r="L2087" s="91">
        <f>VLOOKUP($A2087,'2022-23 Salary &amp; Benefits'!$A:$I,4,FALSE)</f>
        <v>1.22</v>
      </c>
      <c r="M2087" s="101">
        <f t="shared" si="397"/>
        <v>0</v>
      </c>
      <c r="N2087" s="24">
        <v>15</v>
      </c>
      <c r="O2087" s="26">
        <f t="shared" si="400"/>
        <v>0</v>
      </c>
      <c r="P2087" s="24">
        <v>1.1000000000000001</v>
      </c>
      <c r="Q2087" s="24">
        <v>36</v>
      </c>
      <c r="R2087" s="27">
        <f t="shared" si="401"/>
        <v>0</v>
      </c>
      <c r="S2087" s="102">
        <f t="shared" si="403"/>
        <v>0</v>
      </c>
      <c r="T2087" s="21">
        <f>VLOOKUP($A2087,'2022-23 Salary &amp; Benefits'!$A:$I,5,FALSE)</f>
        <v>68937</v>
      </c>
      <c r="U2087" s="21">
        <f>VLOOKUP($A2087,'2022-23 Salary &amp; Benefits'!$A:$I,6,FALSE)</f>
        <v>72728</v>
      </c>
      <c r="V2087" s="22">
        <f t="shared" si="404"/>
        <v>0</v>
      </c>
      <c r="W2087" s="22">
        <f t="shared" si="405"/>
        <v>0</v>
      </c>
      <c r="X2087" s="22">
        <f>'2022-23 Salary &amp; Benefits'!$G$6</f>
        <v>12558.24</v>
      </c>
      <c r="Y2087" s="23">
        <f>'2022-23 Salary &amp; Benefits'!$H$6</f>
        <v>0.2298</v>
      </c>
      <c r="Z2087" s="23">
        <f>'2022-23 Salary &amp; Benefits'!$I$6</f>
        <v>0.22339999999999999</v>
      </c>
      <c r="AA2087" s="22">
        <f t="shared" si="406"/>
        <v>0</v>
      </c>
      <c r="AB2087" s="22">
        <f t="shared" si="407"/>
        <v>0</v>
      </c>
      <c r="AC2087" s="22">
        <f t="shared" si="408"/>
        <v>0</v>
      </c>
      <c r="AD2087" s="22">
        <f t="shared" si="398"/>
        <v>0</v>
      </c>
      <c r="AE2087" s="22">
        <f t="shared" si="399"/>
        <v>0</v>
      </c>
      <c r="AF2087" s="19" t="str">
        <f>VLOOKUP(C2087,'2021-22 School Level AAFTE'!C:N,12,FALSE)</f>
        <v>No</v>
      </c>
    </row>
    <row r="2088" spans="1:284" s="5" customFormat="1">
      <c r="A2088" s="97" t="s">
        <v>2360</v>
      </c>
      <c r="B2088" s="97" t="s">
        <v>826</v>
      </c>
      <c r="C2088" s="95">
        <v>5490</v>
      </c>
      <c r="D2088" s="95" t="s">
        <v>2743</v>
      </c>
      <c r="E2088" s="129">
        <f>VLOOKUP($C2088,'2021-22 School Level AAFTE'!$C:$Z,11,FALSE)</f>
        <v>9.9100000000000008E-2</v>
      </c>
      <c r="F2088" s="129" t="str">
        <f>VLOOKUP($C2088,'2021-22 School Level AAFTE'!$C:$Z,8,FALSE)</f>
        <v>No</v>
      </c>
      <c r="G2088" s="129" t="str">
        <f>VLOOKUP($C2088,'2021-22 School Level AAFTE'!$C:$Z,12,FALSE)</f>
        <v>No</v>
      </c>
      <c r="H2088" s="127">
        <f>VLOOKUP($C2088,'2021-22 School Level AAFTE'!$C:$I,7,FALSE)</f>
        <v>674.12</v>
      </c>
      <c r="I2088" s="112">
        <f>IFERROR(IF(OR(G2088="yes",F2088= "yes"),VLOOKUP(C2088,Summary!$B:$J,6,0),0),0)</f>
        <v>0</v>
      </c>
      <c r="J2088" s="111">
        <f t="shared" si="402"/>
        <v>0</v>
      </c>
      <c r="K2088" s="91">
        <f>VLOOKUP($A2088,'2022-23 Salary &amp; Benefits'!$A:$I,3,FALSE)</f>
        <v>1.18</v>
      </c>
      <c r="L2088" s="91">
        <f>VLOOKUP($A2088,'2022-23 Salary &amp; Benefits'!$A:$I,4,FALSE)</f>
        <v>1.22</v>
      </c>
      <c r="M2088" s="101">
        <f t="shared" si="397"/>
        <v>0</v>
      </c>
      <c r="N2088" s="24">
        <v>15</v>
      </c>
      <c r="O2088" s="26">
        <f t="shared" si="400"/>
        <v>0</v>
      </c>
      <c r="P2088" s="24">
        <v>1.1000000000000001</v>
      </c>
      <c r="Q2088" s="24">
        <v>36</v>
      </c>
      <c r="R2088" s="27">
        <f t="shared" si="401"/>
        <v>0</v>
      </c>
      <c r="S2088" s="102">
        <f t="shared" si="403"/>
        <v>0</v>
      </c>
      <c r="T2088" s="21">
        <f>VLOOKUP($A2088,'2022-23 Salary &amp; Benefits'!$A:$I,5,FALSE)</f>
        <v>68937</v>
      </c>
      <c r="U2088" s="21">
        <f>VLOOKUP($A2088,'2022-23 Salary &amp; Benefits'!$A:$I,6,FALSE)</f>
        <v>72728</v>
      </c>
      <c r="V2088" s="22">
        <f t="shared" si="404"/>
        <v>0</v>
      </c>
      <c r="W2088" s="22">
        <f t="shared" si="405"/>
        <v>0</v>
      </c>
      <c r="X2088" s="22">
        <f>'2022-23 Salary &amp; Benefits'!$G$6</f>
        <v>12558.24</v>
      </c>
      <c r="Y2088" s="23">
        <f>'2022-23 Salary &amp; Benefits'!$H$6</f>
        <v>0.2298</v>
      </c>
      <c r="Z2088" s="23">
        <f>'2022-23 Salary &amp; Benefits'!$I$6</f>
        <v>0.22339999999999999</v>
      </c>
      <c r="AA2088" s="22">
        <f t="shared" si="406"/>
        <v>0</v>
      </c>
      <c r="AB2088" s="22">
        <f t="shared" si="407"/>
        <v>0</v>
      </c>
      <c r="AC2088" s="22">
        <f t="shared" si="408"/>
        <v>0</v>
      </c>
      <c r="AD2088" s="22">
        <f t="shared" si="398"/>
        <v>0</v>
      </c>
      <c r="AE2088" s="22">
        <f t="shared" si="399"/>
        <v>0</v>
      </c>
      <c r="AF2088" s="19" t="str">
        <f>VLOOKUP(C2088,'2021-22 School Level AAFTE'!C:N,12,FALSE)</f>
        <v>No</v>
      </c>
    </row>
    <row r="2089" spans="1:284" s="5" customFormat="1">
      <c r="A2089" s="97" t="s">
        <v>2360</v>
      </c>
      <c r="B2089" s="97" t="s">
        <v>826</v>
      </c>
      <c r="C2089" s="95">
        <v>5563</v>
      </c>
      <c r="D2089" s="95" t="s">
        <v>2841</v>
      </c>
      <c r="E2089" s="129">
        <f>VLOOKUP($C2089,'2021-22 School Level AAFTE'!$C:$Z,11,FALSE)</f>
        <v>0.34620000000000001</v>
      </c>
      <c r="F2089" s="129" t="str">
        <f>VLOOKUP($C2089,'2021-22 School Level AAFTE'!$C:$Z,8,FALSE)</f>
        <v>No</v>
      </c>
      <c r="G2089" s="129" t="str">
        <f>VLOOKUP($C2089,'2021-22 School Level AAFTE'!$C:$Z,12,FALSE)</f>
        <v>No</v>
      </c>
      <c r="H2089" s="127">
        <f>VLOOKUP($C2089,'2021-22 School Level AAFTE'!$C:$I,7,FALSE)</f>
        <v>16.45</v>
      </c>
      <c r="I2089" s="112">
        <f>IFERROR(IF(OR(G2089="yes",F2089= "yes"),VLOOKUP(C2089,Summary!$B:$J,6,0),0),0)</f>
        <v>0</v>
      </c>
      <c r="J2089" s="111">
        <f t="shared" si="402"/>
        <v>0</v>
      </c>
      <c r="K2089" s="91">
        <f>VLOOKUP($A2089,'2022-23 Salary &amp; Benefits'!$A:$I,3,FALSE)</f>
        <v>1.18</v>
      </c>
      <c r="L2089" s="91">
        <f>VLOOKUP($A2089,'2022-23 Salary &amp; Benefits'!$A:$I,4,FALSE)</f>
        <v>1.22</v>
      </c>
      <c r="M2089" s="101">
        <f t="shared" si="397"/>
        <v>0</v>
      </c>
      <c r="N2089" s="24">
        <v>15</v>
      </c>
      <c r="O2089" s="26">
        <f t="shared" si="400"/>
        <v>0</v>
      </c>
      <c r="P2089" s="24">
        <v>1.1000000000000001</v>
      </c>
      <c r="Q2089" s="24">
        <v>36</v>
      </c>
      <c r="R2089" s="27">
        <f t="shared" si="401"/>
        <v>0</v>
      </c>
      <c r="S2089" s="102">
        <f t="shared" si="403"/>
        <v>0</v>
      </c>
      <c r="T2089" s="21">
        <f>VLOOKUP($A2089,'2022-23 Salary &amp; Benefits'!$A:$I,5,FALSE)</f>
        <v>68937</v>
      </c>
      <c r="U2089" s="21">
        <f>VLOOKUP($A2089,'2022-23 Salary &amp; Benefits'!$A:$I,6,FALSE)</f>
        <v>72728</v>
      </c>
      <c r="V2089" s="22">
        <f t="shared" si="404"/>
        <v>0</v>
      </c>
      <c r="W2089" s="22">
        <f t="shared" si="405"/>
        <v>0</v>
      </c>
      <c r="X2089" s="22">
        <f>'2022-23 Salary &amp; Benefits'!$G$6</f>
        <v>12558.24</v>
      </c>
      <c r="Y2089" s="23">
        <f>'2022-23 Salary &amp; Benefits'!$H$6</f>
        <v>0.2298</v>
      </c>
      <c r="Z2089" s="23">
        <f>'2022-23 Salary &amp; Benefits'!$I$6</f>
        <v>0.22339999999999999</v>
      </c>
      <c r="AA2089" s="22">
        <f t="shared" si="406"/>
        <v>0</v>
      </c>
      <c r="AB2089" s="22">
        <f t="shared" si="407"/>
        <v>0</v>
      </c>
      <c r="AC2089" s="22">
        <f t="shared" si="408"/>
        <v>0</v>
      </c>
      <c r="AD2089" s="22">
        <f t="shared" si="398"/>
        <v>0</v>
      </c>
      <c r="AE2089" s="22">
        <f t="shared" si="399"/>
        <v>0</v>
      </c>
      <c r="AF2089" s="19" t="str">
        <f>VLOOKUP(C2089,'2021-22 School Level AAFTE'!C:N,12,FALSE)</f>
        <v>No</v>
      </c>
    </row>
    <row r="2090" spans="1:284" s="5" customFormat="1">
      <c r="A2090" s="97" t="s">
        <v>2542</v>
      </c>
      <c r="B2090" s="97" t="s">
        <v>2135</v>
      </c>
      <c r="C2090" s="95">
        <v>2052</v>
      </c>
      <c r="D2090" s="95" t="s">
        <v>2136</v>
      </c>
      <c r="E2090" s="129">
        <f>VLOOKUP($C2090,'2021-22 School Level AAFTE'!$C:$Z,11,FALSE)</f>
        <v>0.62273333333333325</v>
      </c>
      <c r="F2090" s="129" t="str">
        <f>VLOOKUP($C2090,'2021-22 School Level AAFTE'!$C:$Z,8,FALSE)</f>
        <v>Yes</v>
      </c>
      <c r="G2090" s="129" t="str">
        <f>VLOOKUP($C2090,'2021-22 School Level AAFTE'!$C:$Z,12,FALSE)</f>
        <v>No</v>
      </c>
      <c r="H2090" s="127">
        <f>VLOOKUP($C2090,'2021-22 School Level AAFTE'!$C:$I,7,FALSE)</f>
        <v>115.5</v>
      </c>
      <c r="I2090" s="112">
        <f>IFERROR(IF(OR(G2090="yes",F2090= "yes"),VLOOKUP(C2090,Summary!$B:$J,6,0),0),0)</f>
        <v>0</v>
      </c>
      <c r="J2090" s="111">
        <f t="shared" si="402"/>
        <v>115.5</v>
      </c>
      <c r="K2090" s="91">
        <f>VLOOKUP($A2090,'2022-23 Salary &amp; Benefits'!$A:$I,3,FALSE)</f>
        <v>1</v>
      </c>
      <c r="L2090" s="91">
        <f>VLOOKUP($A2090,'2022-23 Salary &amp; Benefits'!$A:$I,4,FALSE)</f>
        <v>1.04</v>
      </c>
      <c r="M2090" s="39">
        <f t="shared" si="397"/>
        <v>115.5</v>
      </c>
      <c r="N2090" s="24">
        <v>15</v>
      </c>
      <c r="O2090" s="26">
        <f t="shared" si="400"/>
        <v>7.7</v>
      </c>
      <c r="P2090" s="24">
        <v>1.1000000000000001</v>
      </c>
      <c r="Q2090" s="24">
        <v>36</v>
      </c>
      <c r="R2090" s="27">
        <f t="shared" si="401"/>
        <v>304.92</v>
      </c>
      <c r="S2090" s="102">
        <f t="shared" si="403"/>
        <v>0.33900000000000002</v>
      </c>
      <c r="T2090" s="21">
        <f>VLOOKUP($A2090,'2022-23 Salary &amp; Benefits'!$A:$I,5,FALSE)</f>
        <v>68937</v>
      </c>
      <c r="U2090" s="21">
        <f>VLOOKUP($A2090,'2022-23 Salary &amp; Benefits'!$A:$I,6,FALSE)</f>
        <v>72728</v>
      </c>
      <c r="V2090" s="22">
        <f t="shared" si="404"/>
        <v>23369.64</v>
      </c>
      <c r="W2090" s="22">
        <f t="shared" si="405"/>
        <v>2271.34</v>
      </c>
      <c r="X2090" s="22">
        <f>'2022-23 Salary &amp; Benefits'!$G$6</f>
        <v>12558.24</v>
      </c>
      <c r="Y2090" s="23">
        <f>'2022-23 Salary &amp; Benefits'!$H$6</f>
        <v>0.2298</v>
      </c>
      <c r="Z2090" s="23">
        <f>'2022-23 Salary &amp; Benefits'!$I$6</f>
        <v>0.22339999999999999</v>
      </c>
      <c r="AA2090" s="22">
        <f t="shared" si="406"/>
        <v>10135</v>
      </c>
      <c r="AB2090" s="22">
        <f t="shared" si="407"/>
        <v>427.35</v>
      </c>
      <c r="AC2090" s="22">
        <f t="shared" si="408"/>
        <v>95.47</v>
      </c>
      <c r="AD2090" s="22">
        <f t="shared" si="398"/>
        <v>522.82000000000005</v>
      </c>
      <c r="AE2090" s="22">
        <f t="shared" si="399"/>
        <v>36298.799999999996</v>
      </c>
      <c r="AF2090" s="19" t="str">
        <f>VLOOKUP(C2090,'2021-22 School Level AAFTE'!C:N,12,FALSE)</f>
        <v>No</v>
      </c>
    </row>
    <row r="2091" spans="1:284" s="5" customFormat="1">
      <c r="A2091" s="97" t="s">
        <v>2542</v>
      </c>
      <c r="B2091" s="97" t="s">
        <v>2135</v>
      </c>
      <c r="C2091" s="95">
        <v>3418</v>
      </c>
      <c r="D2091" s="95" t="s">
        <v>2137</v>
      </c>
      <c r="E2091" s="129">
        <f>VLOOKUP($C2091,'2021-22 School Level AAFTE'!$C:$Z,11,FALSE)</f>
        <v>0.67580000000000007</v>
      </c>
      <c r="F2091" s="129" t="str">
        <f>VLOOKUP($C2091,'2021-22 School Level AAFTE'!$C:$Z,8,FALSE)</f>
        <v>Yes</v>
      </c>
      <c r="G2091" s="129" t="str">
        <f>VLOOKUP($C2091,'2021-22 School Level AAFTE'!$C:$Z,12,FALSE)</f>
        <v>No</v>
      </c>
      <c r="H2091" s="127">
        <f>VLOOKUP($C2091,'2021-22 School Level AAFTE'!$C:$I,7,FALSE)</f>
        <v>75.58</v>
      </c>
      <c r="I2091" s="112">
        <f>IFERROR(IF(OR(G2091="yes",F2091= "yes"),VLOOKUP(C2091,Summary!$B:$J,6,0),0),0)</f>
        <v>0</v>
      </c>
      <c r="J2091" s="111">
        <f t="shared" si="402"/>
        <v>75.58</v>
      </c>
      <c r="K2091" s="91">
        <f>VLOOKUP($A2091,'2022-23 Salary &amp; Benefits'!$A:$I,3,FALSE)</f>
        <v>1</v>
      </c>
      <c r="L2091" s="91">
        <f>VLOOKUP($A2091,'2022-23 Salary &amp; Benefits'!$A:$I,4,FALSE)</f>
        <v>1.04</v>
      </c>
      <c r="M2091" s="101">
        <f t="shared" si="397"/>
        <v>75.58</v>
      </c>
      <c r="N2091" s="24">
        <v>15</v>
      </c>
      <c r="O2091" s="26">
        <f t="shared" si="400"/>
        <v>5.0386666666666668</v>
      </c>
      <c r="P2091" s="24">
        <v>1.1000000000000001</v>
      </c>
      <c r="Q2091" s="24">
        <v>36</v>
      </c>
      <c r="R2091" s="27">
        <f t="shared" si="401"/>
        <v>199.53120000000001</v>
      </c>
      <c r="S2091" s="102">
        <f t="shared" si="403"/>
        <v>0.222</v>
      </c>
      <c r="T2091" s="21">
        <f>VLOOKUP($A2091,'2022-23 Salary &amp; Benefits'!$A:$I,5,FALSE)</f>
        <v>68937</v>
      </c>
      <c r="U2091" s="21">
        <f>VLOOKUP($A2091,'2022-23 Salary &amp; Benefits'!$A:$I,6,FALSE)</f>
        <v>72728</v>
      </c>
      <c r="V2091" s="22">
        <f t="shared" si="404"/>
        <v>15304.01</v>
      </c>
      <c r="W2091" s="22">
        <f t="shared" si="405"/>
        <v>1487.4299999999985</v>
      </c>
      <c r="X2091" s="22">
        <f>'2022-23 Salary &amp; Benefits'!$G$6</f>
        <v>12558.24</v>
      </c>
      <c r="Y2091" s="23">
        <f>'2022-23 Salary &amp; Benefits'!$H$6</f>
        <v>0.2298</v>
      </c>
      <c r="Z2091" s="23">
        <f>'2022-23 Salary &amp; Benefits'!$I$6</f>
        <v>0.22339999999999999</v>
      </c>
      <c r="AA2091" s="22">
        <f t="shared" si="406"/>
        <v>6637.08</v>
      </c>
      <c r="AB2091" s="22">
        <f t="shared" si="407"/>
        <v>279.86</v>
      </c>
      <c r="AC2091" s="22">
        <f t="shared" si="408"/>
        <v>62.52</v>
      </c>
      <c r="AD2091" s="22">
        <f t="shared" si="398"/>
        <v>342.38</v>
      </c>
      <c r="AE2091" s="22">
        <f t="shared" si="399"/>
        <v>23770.899999999998</v>
      </c>
      <c r="AF2091" s="19" t="str">
        <f>VLOOKUP(C2091,'2021-22 School Level AAFTE'!C:N,12,FALSE)</f>
        <v>No</v>
      </c>
    </row>
    <row r="2092" spans="1:284" s="5" customFormat="1">
      <c r="A2092" s="97" t="s">
        <v>2522</v>
      </c>
      <c r="B2092" s="97" t="s">
        <v>2031</v>
      </c>
      <c r="C2092" s="95">
        <v>2457</v>
      </c>
      <c r="D2092" s="95" t="s">
        <v>723</v>
      </c>
      <c r="E2092" s="129">
        <f>VLOOKUP($C2092,'2021-22 School Level AAFTE'!$C:$Z,11,FALSE)</f>
        <v>0.49843333333333334</v>
      </c>
      <c r="F2092" s="129" t="str">
        <f>VLOOKUP($C2092,'2021-22 School Level AAFTE'!$C:$Z,8,FALSE)</f>
        <v>No</v>
      </c>
      <c r="G2092" s="129" t="str">
        <f>VLOOKUP($C2092,'2021-22 School Level AAFTE'!$C:$Z,12,FALSE)</f>
        <v>Yes</v>
      </c>
      <c r="H2092" s="127">
        <f>VLOOKUP($C2092,'2021-22 School Level AAFTE'!$C:$I,7,FALSE)</f>
        <v>268.36</v>
      </c>
      <c r="I2092" s="112">
        <f>IFERROR(IF(OR(G2092="yes",F2092= "yes"),VLOOKUP(C2092,Summary!$B:$J,6,0),0),0)</f>
        <v>0</v>
      </c>
      <c r="J2092" s="111">
        <f t="shared" si="402"/>
        <v>268.36</v>
      </c>
      <c r="K2092" s="91">
        <f>VLOOKUP($A2092,'2022-23 Salary &amp; Benefits'!$A:$I,3,FALSE)</f>
        <v>1</v>
      </c>
      <c r="L2092" s="91">
        <f>VLOOKUP($A2092,'2022-23 Salary &amp; Benefits'!$A:$I,4,FALSE)</f>
        <v>1</v>
      </c>
      <c r="M2092" s="39">
        <f t="shared" si="397"/>
        <v>268.36</v>
      </c>
      <c r="N2092" s="24">
        <v>15</v>
      </c>
      <c r="O2092" s="26">
        <f t="shared" si="400"/>
        <v>17.890666666666668</v>
      </c>
      <c r="P2092" s="24">
        <v>1.1000000000000001</v>
      </c>
      <c r="Q2092" s="24">
        <v>36</v>
      </c>
      <c r="R2092" s="27">
        <f t="shared" si="401"/>
        <v>708.47040000000004</v>
      </c>
      <c r="S2092" s="102">
        <f t="shared" si="403"/>
        <v>0.78700000000000003</v>
      </c>
      <c r="T2092" s="21">
        <f>VLOOKUP($A2092,'2022-23 Salary &amp; Benefits'!$A:$I,5,FALSE)</f>
        <v>68937</v>
      </c>
      <c r="U2092" s="21">
        <f>VLOOKUP($A2092,'2022-23 Salary &amp; Benefits'!$A:$I,6,FALSE)</f>
        <v>72728</v>
      </c>
      <c r="V2092" s="22">
        <f t="shared" si="404"/>
        <v>54253.42</v>
      </c>
      <c r="W2092" s="22">
        <f t="shared" si="405"/>
        <v>2983.5200000000041</v>
      </c>
      <c r="X2092" s="22">
        <f>'2022-23 Salary &amp; Benefits'!$G$6</f>
        <v>12558.24</v>
      </c>
      <c r="Y2092" s="23">
        <f>'2022-23 Salary &amp; Benefits'!$H$6</f>
        <v>0.2298</v>
      </c>
      <c r="Z2092" s="23">
        <f>'2022-23 Salary &amp; Benefits'!$I$6</f>
        <v>0.22339999999999999</v>
      </c>
      <c r="AA2092" s="22">
        <f t="shared" si="406"/>
        <v>23017.29</v>
      </c>
      <c r="AB2092" s="22">
        <f t="shared" si="407"/>
        <v>953.95</v>
      </c>
      <c r="AC2092" s="22">
        <f t="shared" si="408"/>
        <v>213.11</v>
      </c>
      <c r="AD2092" s="22">
        <f t="shared" si="398"/>
        <v>1167.06</v>
      </c>
      <c r="AE2092" s="22">
        <f t="shared" si="399"/>
        <v>81421.289999999994</v>
      </c>
      <c r="AF2092" s="19" t="str">
        <f>VLOOKUP(C2092,'2021-22 School Level AAFTE'!C:N,12,FALSE)</f>
        <v>Yes</v>
      </c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  <c r="IG2092" s="3"/>
      <c r="IH2092" s="3"/>
      <c r="II2092" s="3"/>
      <c r="IJ2092" s="3"/>
      <c r="IK2092" s="3"/>
      <c r="IL2092" s="3"/>
      <c r="IM2092" s="3"/>
      <c r="IN2092" s="3"/>
      <c r="IO2092" s="3"/>
      <c r="IP2092" s="3"/>
      <c r="IQ2092" s="3"/>
      <c r="IR2092" s="3"/>
      <c r="IS2092" s="3"/>
      <c r="IT2092" s="3"/>
      <c r="IU2092" s="3"/>
      <c r="IV2092" s="3"/>
      <c r="IW2092" s="3"/>
      <c r="IX2092" s="3"/>
      <c r="IY2092" s="3"/>
      <c r="IZ2092" s="3"/>
      <c r="JA2092" s="3"/>
      <c r="JB2092" s="3"/>
      <c r="JC2092" s="3"/>
      <c r="JD2092" s="3"/>
      <c r="JE2092" s="3"/>
      <c r="JF2092" s="3"/>
      <c r="JG2092" s="3"/>
      <c r="JH2092" s="3"/>
      <c r="JI2092" s="3"/>
      <c r="JJ2092" s="3"/>
      <c r="JK2092" s="3"/>
      <c r="JL2092" s="3"/>
      <c r="JM2092" s="3"/>
      <c r="JN2092" s="3"/>
      <c r="JO2092" s="3"/>
      <c r="JP2092" s="3"/>
      <c r="JQ2092" s="3"/>
      <c r="JR2092" s="3"/>
      <c r="JS2092" s="3"/>
      <c r="JT2092" s="3"/>
      <c r="JU2092" s="3"/>
      <c r="JV2092" s="3"/>
      <c r="JW2092" s="3"/>
      <c r="JX2092" s="3"/>
    </row>
    <row r="2093" spans="1:284" s="5" customFormat="1">
      <c r="A2093" s="97" t="s">
        <v>2522</v>
      </c>
      <c r="B2093" s="97" t="s">
        <v>2031</v>
      </c>
      <c r="C2093" s="95">
        <v>3509</v>
      </c>
      <c r="D2093" s="95" t="s">
        <v>2032</v>
      </c>
      <c r="E2093" s="129">
        <f>VLOOKUP($C2093,'2021-22 School Level AAFTE'!$C:$Z,11,FALSE)</f>
        <v>0.42516666666666669</v>
      </c>
      <c r="F2093" s="129" t="str">
        <f>VLOOKUP($C2093,'2021-22 School Level AAFTE'!$C:$Z,8,FALSE)</f>
        <v>No</v>
      </c>
      <c r="G2093" s="129" t="str">
        <f>VLOOKUP($C2093,'2021-22 School Level AAFTE'!$C:$Z,12,FALSE)</f>
        <v>No</v>
      </c>
      <c r="H2093" s="127">
        <f>VLOOKUP($C2093,'2021-22 School Level AAFTE'!$C:$I,7,FALSE)</f>
        <v>383.72</v>
      </c>
      <c r="I2093" s="112">
        <f>IFERROR(IF(OR(G2093="yes",F2093= "yes"),VLOOKUP(C2093,Summary!$B:$J,6,0),0),0)</f>
        <v>0</v>
      </c>
      <c r="J2093" s="111">
        <f t="shared" si="402"/>
        <v>0</v>
      </c>
      <c r="K2093" s="91">
        <f>VLOOKUP($A2093,'2022-23 Salary &amp; Benefits'!$A:$I,3,FALSE)</f>
        <v>1</v>
      </c>
      <c r="L2093" s="91">
        <f>VLOOKUP($A2093,'2022-23 Salary &amp; Benefits'!$A:$I,4,FALSE)</f>
        <v>1</v>
      </c>
      <c r="M2093" s="39">
        <f t="shared" si="397"/>
        <v>0</v>
      </c>
      <c r="N2093" s="24">
        <v>15</v>
      </c>
      <c r="O2093" s="26">
        <f t="shared" si="400"/>
        <v>0</v>
      </c>
      <c r="P2093" s="24">
        <v>1.1000000000000001</v>
      </c>
      <c r="Q2093" s="24">
        <v>36</v>
      </c>
      <c r="R2093" s="27">
        <f t="shared" si="401"/>
        <v>0</v>
      </c>
      <c r="S2093" s="102">
        <f t="shared" si="403"/>
        <v>0</v>
      </c>
      <c r="T2093" s="21">
        <f>VLOOKUP($A2093,'2022-23 Salary &amp; Benefits'!$A:$I,5,FALSE)</f>
        <v>68937</v>
      </c>
      <c r="U2093" s="21">
        <f>VLOOKUP($A2093,'2022-23 Salary &amp; Benefits'!$A:$I,6,FALSE)</f>
        <v>72728</v>
      </c>
      <c r="V2093" s="22">
        <f t="shared" si="404"/>
        <v>0</v>
      </c>
      <c r="W2093" s="22">
        <f t="shared" si="405"/>
        <v>0</v>
      </c>
      <c r="X2093" s="22">
        <f>'2022-23 Salary &amp; Benefits'!$G$6</f>
        <v>12558.24</v>
      </c>
      <c r="Y2093" s="23">
        <f>'2022-23 Salary &amp; Benefits'!$H$6</f>
        <v>0.2298</v>
      </c>
      <c r="Z2093" s="23">
        <f>'2022-23 Salary &amp; Benefits'!$I$6</f>
        <v>0.22339999999999999</v>
      </c>
      <c r="AA2093" s="22">
        <f t="shared" si="406"/>
        <v>0</v>
      </c>
      <c r="AB2093" s="22">
        <f t="shared" si="407"/>
        <v>0</v>
      </c>
      <c r="AC2093" s="22">
        <f t="shared" si="408"/>
        <v>0</v>
      </c>
      <c r="AD2093" s="22">
        <f t="shared" si="398"/>
        <v>0</v>
      </c>
      <c r="AE2093" s="22">
        <f t="shared" si="399"/>
        <v>0</v>
      </c>
      <c r="AF2093" s="19" t="str">
        <f>VLOOKUP(C2093,'2021-22 School Level AAFTE'!C:N,12,FALSE)</f>
        <v>No</v>
      </c>
    </row>
    <row r="2094" spans="1:284" s="5" customFormat="1">
      <c r="A2094" s="97" t="s">
        <v>2522</v>
      </c>
      <c r="B2094" s="97" t="s">
        <v>2031</v>
      </c>
      <c r="C2094" s="95">
        <v>3795</v>
      </c>
      <c r="D2094" s="95" t="s">
        <v>2033</v>
      </c>
      <c r="E2094" s="129">
        <f>VLOOKUP($C2094,'2021-22 School Level AAFTE'!$C:$Z,11,FALSE)</f>
        <v>0.50163333333333338</v>
      </c>
      <c r="F2094" s="129" t="str">
        <f>VLOOKUP($C2094,'2021-22 School Level AAFTE'!$C:$Z,8,FALSE)</f>
        <v>Yes</v>
      </c>
      <c r="G2094" s="129" t="str">
        <f>VLOOKUP($C2094,'2021-22 School Level AAFTE'!$C:$Z,12,FALSE)</f>
        <v>No</v>
      </c>
      <c r="H2094" s="127">
        <f>VLOOKUP($C2094,'2021-22 School Level AAFTE'!$C:$I,7,FALSE)</f>
        <v>298.94</v>
      </c>
      <c r="I2094" s="112">
        <f>IFERROR(IF(OR(G2094="yes",F2094= "yes"),VLOOKUP(C2094,Summary!$B:$J,6,0),0),0)</f>
        <v>0</v>
      </c>
      <c r="J2094" s="111">
        <f t="shared" si="402"/>
        <v>298.94</v>
      </c>
      <c r="K2094" s="91">
        <f>VLOOKUP($A2094,'2022-23 Salary &amp; Benefits'!$A:$I,3,FALSE)</f>
        <v>1</v>
      </c>
      <c r="L2094" s="91">
        <f>VLOOKUP($A2094,'2022-23 Salary &amp; Benefits'!$A:$I,4,FALSE)</f>
        <v>1</v>
      </c>
      <c r="M2094" s="101">
        <f t="shared" si="397"/>
        <v>298.94</v>
      </c>
      <c r="N2094" s="24">
        <v>15</v>
      </c>
      <c r="O2094" s="26">
        <f t="shared" si="400"/>
        <v>19.929333333333332</v>
      </c>
      <c r="P2094" s="24">
        <v>1.1000000000000001</v>
      </c>
      <c r="Q2094" s="24">
        <v>36</v>
      </c>
      <c r="R2094" s="27">
        <f t="shared" si="401"/>
        <v>789.20159999999998</v>
      </c>
      <c r="S2094" s="102">
        <f t="shared" si="403"/>
        <v>0.877</v>
      </c>
      <c r="T2094" s="21">
        <f>VLOOKUP($A2094,'2022-23 Salary &amp; Benefits'!$A:$I,5,FALSE)</f>
        <v>68937</v>
      </c>
      <c r="U2094" s="21">
        <f>VLOOKUP($A2094,'2022-23 Salary &amp; Benefits'!$A:$I,6,FALSE)</f>
        <v>72728</v>
      </c>
      <c r="V2094" s="22">
        <f t="shared" si="404"/>
        <v>60457.75</v>
      </c>
      <c r="W2094" s="22">
        <f t="shared" si="405"/>
        <v>3324.7099999999991</v>
      </c>
      <c r="X2094" s="22">
        <f>'2022-23 Salary &amp; Benefits'!$G$6</f>
        <v>12558.24</v>
      </c>
      <c r="Y2094" s="23">
        <f>'2022-23 Salary &amp; Benefits'!$H$6</f>
        <v>0.2298</v>
      </c>
      <c r="Z2094" s="23">
        <f>'2022-23 Salary &amp; Benefits'!$I$6</f>
        <v>0.22339999999999999</v>
      </c>
      <c r="AA2094" s="22">
        <f t="shared" si="406"/>
        <v>25649.51</v>
      </c>
      <c r="AB2094" s="22">
        <f t="shared" si="407"/>
        <v>1063.04</v>
      </c>
      <c r="AC2094" s="22">
        <f t="shared" si="408"/>
        <v>237.48</v>
      </c>
      <c r="AD2094" s="22">
        <f t="shared" si="398"/>
        <v>1300.52</v>
      </c>
      <c r="AE2094" s="22">
        <f t="shared" si="399"/>
        <v>90732.49</v>
      </c>
      <c r="AF2094" s="19" t="str">
        <f>VLOOKUP(C2094,'2021-22 School Level AAFTE'!C:N,12,FALSE)</f>
        <v>No</v>
      </c>
    </row>
    <row r="2095" spans="1:284" s="5" customFormat="1">
      <c r="A2095" s="97" t="s">
        <v>2522</v>
      </c>
      <c r="B2095" s="97" t="s">
        <v>2031</v>
      </c>
      <c r="C2095" s="95">
        <v>4238</v>
      </c>
      <c r="D2095" s="95" t="s">
        <v>2034</v>
      </c>
      <c r="E2095" s="129">
        <f>VLOOKUP($C2095,'2021-22 School Level AAFTE'!$C:$Z,11,FALSE)</f>
        <v>0.50326666666666664</v>
      </c>
      <c r="F2095" s="129" t="str">
        <f>VLOOKUP($C2095,'2021-22 School Level AAFTE'!$C:$Z,8,FALSE)</f>
        <v>Yes</v>
      </c>
      <c r="G2095" s="129" t="str">
        <f>VLOOKUP($C2095,'2021-22 School Level AAFTE'!$C:$Z,12,FALSE)</f>
        <v>No</v>
      </c>
      <c r="H2095" s="127">
        <f>VLOOKUP($C2095,'2021-22 School Level AAFTE'!$C:$I,7,FALSE)</f>
        <v>275.22000000000003</v>
      </c>
      <c r="I2095" s="112">
        <f>IFERROR(IF(OR(G2095="yes",F2095= "yes"),VLOOKUP(C2095,Summary!$B:$J,6,0),0),0)</f>
        <v>0</v>
      </c>
      <c r="J2095" s="111">
        <f t="shared" si="402"/>
        <v>275.22000000000003</v>
      </c>
      <c r="K2095" s="91">
        <f>VLOOKUP($A2095,'2022-23 Salary &amp; Benefits'!$A:$I,3,FALSE)</f>
        <v>1</v>
      </c>
      <c r="L2095" s="91">
        <f>VLOOKUP($A2095,'2022-23 Salary &amp; Benefits'!$A:$I,4,FALSE)</f>
        <v>1</v>
      </c>
      <c r="M2095" s="39">
        <f t="shared" si="397"/>
        <v>275.22000000000003</v>
      </c>
      <c r="N2095" s="24">
        <v>15</v>
      </c>
      <c r="O2095" s="26">
        <f t="shared" si="400"/>
        <v>18.348000000000003</v>
      </c>
      <c r="P2095" s="24">
        <v>1.1000000000000001</v>
      </c>
      <c r="Q2095" s="24">
        <v>36</v>
      </c>
      <c r="R2095" s="27">
        <f t="shared" si="401"/>
        <v>726.58080000000018</v>
      </c>
      <c r="S2095" s="102">
        <f t="shared" si="403"/>
        <v>0.80700000000000005</v>
      </c>
      <c r="T2095" s="21">
        <f>VLOOKUP($A2095,'2022-23 Salary &amp; Benefits'!$A:$I,5,FALSE)</f>
        <v>68937</v>
      </c>
      <c r="U2095" s="21">
        <f>VLOOKUP($A2095,'2022-23 Salary &amp; Benefits'!$A:$I,6,FALSE)</f>
        <v>72728</v>
      </c>
      <c r="V2095" s="22">
        <f t="shared" si="404"/>
        <v>55632.160000000003</v>
      </c>
      <c r="W2095" s="22">
        <f t="shared" si="405"/>
        <v>3059.3399999999965</v>
      </c>
      <c r="X2095" s="22">
        <f>'2022-23 Salary &amp; Benefits'!$G$6</f>
        <v>12558.24</v>
      </c>
      <c r="Y2095" s="23">
        <f>'2022-23 Salary &amp; Benefits'!$H$6</f>
        <v>0.2298</v>
      </c>
      <c r="Z2095" s="23">
        <f>'2022-23 Salary &amp; Benefits'!$I$6</f>
        <v>0.22339999999999999</v>
      </c>
      <c r="AA2095" s="22">
        <f t="shared" si="406"/>
        <v>23602.23</v>
      </c>
      <c r="AB2095" s="22">
        <f t="shared" si="407"/>
        <v>978.19</v>
      </c>
      <c r="AC2095" s="22">
        <f t="shared" si="408"/>
        <v>218.53</v>
      </c>
      <c r="AD2095" s="22">
        <f t="shared" si="398"/>
        <v>1196.72</v>
      </c>
      <c r="AE2095" s="22">
        <f t="shared" si="399"/>
        <v>83490.45</v>
      </c>
      <c r="AF2095" s="19" t="str">
        <f>VLOOKUP(C2095,'2021-22 School Level AAFTE'!C:N,12,FALSE)</f>
        <v>No</v>
      </c>
    </row>
    <row r="2096" spans="1:284" s="5" customFormat="1">
      <c r="A2096" s="97" t="s">
        <v>2379</v>
      </c>
      <c r="B2096" s="97" t="s">
        <v>1087</v>
      </c>
      <c r="C2096" s="95">
        <v>2514</v>
      </c>
      <c r="D2096" s="95" t="s">
        <v>1088</v>
      </c>
      <c r="E2096" s="129">
        <f>VLOOKUP($C2096,'2021-22 School Level AAFTE'!$C:$Z,11,FALSE)</f>
        <v>0.41343333333333332</v>
      </c>
      <c r="F2096" s="129" t="str">
        <f>VLOOKUP($C2096,'2021-22 School Level AAFTE'!$C:$Z,8,FALSE)</f>
        <v>No</v>
      </c>
      <c r="G2096" s="129" t="str">
        <f>VLOOKUP($C2096,'2021-22 School Level AAFTE'!$C:$Z,12,FALSE)</f>
        <v>No</v>
      </c>
      <c r="H2096" s="127">
        <f>VLOOKUP($C2096,'2021-22 School Level AAFTE'!$C:$I,7,FALSE)</f>
        <v>221.04</v>
      </c>
      <c r="I2096" s="112">
        <f>IFERROR(IF(OR(G2096="yes",F2096= "yes"),VLOOKUP(C2096,Summary!$B:$J,6,0),0),0)</f>
        <v>0</v>
      </c>
      <c r="J2096" s="111">
        <f t="shared" si="402"/>
        <v>0</v>
      </c>
      <c r="K2096" s="91">
        <f>VLOOKUP($A2096,'2022-23 Salary &amp; Benefits'!$A:$I,3,FALSE)</f>
        <v>1</v>
      </c>
      <c r="L2096" s="91">
        <f>VLOOKUP($A2096,'2022-23 Salary &amp; Benefits'!$A:$I,4,FALSE)</f>
        <v>1</v>
      </c>
      <c r="M2096" s="39">
        <f t="shared" si="397"/>
        <v>0</v>
      </c>
      <c r="N2096" s="24">
        <v>15</v>
      </c>
      <c r="O2096" s="26">
        <f t="shared" si="400"/>
        <v>0</v>
      </c>
      <c r="P2096" s="24">
        <v>1.1000000000000001</v>
      </c>
      <c r="Q2096" s="24">
        <v>36</v>
      </c>
      <c r="R2096" s="27">
        <f t="shared" si="401"/>
        <v>0</v>
      </c>
      <c r="S2096" s="102">
        <f t="shared" si="403"/>
        <v>0</v>
      </c>
      <c r="T2096" s="21">
        <f>VLOOKUP($A2096,'2022-23 Salary &amp; Benefits'!$A:$I,5,FALSE)</f>
        <v>68937</v>
      </c>
      <c r="U2096" s="21">
        <f>VLOOKUP($A2096,'2022-23 Salary &amp; Benefits'!$A:$I,6,FALSE)</f>
        <v>72728</v>
      </c>
      <c r="V2096" s="22">
        <f t="shared" si="404"/>
        <v>0</v>
      </c>
      <c r="W2096" s="22">
        <f t="shared" si="405"/>
        <v>0</v>
      </c>
      <c r="X2096" s="22">
        <f>'2022-23 Salary &amp; Benefits'!$G$6</f>
        <v>12558.24</v>
      </c>
      <c r="Y2096" s="23">
        <f>'2022-23 Salary &amp; Benefits'!$H$6</f>
        <v>0.2298</v>
      </c>
      <c r="Z2096" s="23">
        <f>'2022-23 Salary &amp; Benefits'!$I$6</f>
        <v>0.22339999999999999</v>
      </c>
      <c r="AA2096" s="22">
        <f t="shared" si="406"/>
        <v>0</v>
      </c>
      <c r="AB2096" s="22">
        <f t="shared" si="407"/>
        <v>0</v>
      </c>
      <c r="AC2096" s="22">
        <f t="shared" si="408"/>
        <v>0</v>
      </c>
      <c r="AD2096" s="22">
        <f t="shared" si="398"/>
        <v>0</v>
      </c>
      <c r="AE2096" s="22">
        <f t="shared" si="399"/>
        <v>0</v>
      </c>
      <c r="AF2096" s="19" t="str">
        <f>VLOOKUP(C2096,'2021-22 School Level AAFTE'!C:N,12,FALSE)</f>
        <v>No</v>
      </c>
    </row>
    <row r="2097" spans="1:284" s="5" customFormat="1">
      <c r="A2097" s="97" t="s">
        <v>2400</v>
      </c>
      <c r="B2097" s="97" t="s">
        <v>1155</v>
      </c>
      <c r="C2097" s="95">
        <v>2616</v>
      </c>
      <c r="D2097" s="95" t="s">
        <v>1156</v>
      </c>
      <c r="E2097" s="129">
        <f>VLOOKUP($C2097,'2021-22 School Level AAFTE'!$C:$Z,11,FALSE)</f>
        <v>0.47539999999999999</v>
      </c>
      <c r="F2097" s="129" t="str">
        <f>VLOOKUP($C2097,'2021-22 School Level AAFTE'!$C:$Z,8,FALSE)</f>
        <v>No</v>
      </c>
      <c r="G2097" s="129" t="str">
        <f>VLOOKUP($C2097,'2021-22 School Level AAFTE'!$C:$Z,12,FALSE)</f>
        <v>No</v>
      </c>
      <c r="H2097" s="127">
        <f>VLOOKUP($C2097,'2021-22 School Level AAFTE'!$C:$I,7,FALSE)</f>
        <v>203.26</v>
      </c>
      <c r="I2097" s="112">
        <f>IFERROR(IF(OR(G2097="yes",F2097= "yes"),VLOOKUP(C2097,Summary!$B:$J,6,0),0),0)</f>
        <v>0</v>
      </c>
      <c r="J2097" s="111">
        <f t="shared" si="402"/>
        <v>0</v>
      </c>
      <c r="K2097" s="91">
        <f>VLOOKUP($A2097,'2022-23 Salary &amp; Benefits'!$A:$I,3,FALSE)</f>
        <v>1</v>
      </c>
      <c r="L2097" s="91">
        <f>VLOOKUP($A2097,'2022-23 Salary &amp; Benefits'!$A:$I,4,FALSE)</f>
        <v>1.04</v>
      </c>
      <c r="M2097" s="39">
        <f t="shared" si="397"/>
        <v>0</v>
      </c>
      <c r="N2097" s="24">
        <v>15</v>
      </c>
      <c r="O2097" s="26">
        <f t="shared" si="400"/>
        <v>0</v>
      </c>
      <c r="P2097" s="24">
        <v>1.1000000000000001</v>
      </c>
      <c r="Q2097" s="24">
        <v>36</v>
      </c>
      <c r="R2097" s="27">
        <f t="shared" si="401"/>
        <v>0</v>
      </c>
      <c r="S2097" s="102">
        <f t="shared" si="403"/>
        <v>0</v>
      </c>
      <c r="T2097" s="21">
        <f>VLOOKUP($A2097,'2022-23 Salary &amp; Benefits'!$A:$I,5,FALSE)</f>
        <v>68937</v>
      </c>
      <c r="U2097" s="21">
        <f>VLOOKUP($A2097,'2022-23 Salary &amp; Benefits'!$A:$I,6,FALSE)</f>
        <v>72728</v>
      </c>
      <c r="V2097" s="22">
        <f t="shared" si="404"/>
        <v>0</v>
      </c>
      <c r="W2097" s="22">
        <f t="shared" si="405"/>
        <v>0</v>
      </c>
      <c r="X2097" s="22">
        <f>'2022-23 Salary &amp; Benefits'!$G$6</f>
        <v>12558.24</v>
      </c>
      <c r="Y2097" s="23">
        <f>'2022-23 Salary &amp; Benefits'!$H$6</f>
        <v>0.2298</v>
      </c>
      <c r="Z2097" s="23">
        <f>'2022-23 Salary &amp; Benefits'!$I$6</f>
        <v>0.22339999999999999</v>
      </c>
      <c r="AA2097" s="22">
        <f t="shared" si="406"/>
        <v>0</v>
      </c>
      <c r="AB2097" s="22">
        <f t="shared" si="407"/>
        <v>0</v>
      </c>
      <c r="AC2097" s="22">
        <f t="shared" si="408"/>
        <v>0</v>
      </c>
      <c r="AD2097" s="22">
        <f t="shared" si="398"/>
        <v>0</v>
      </c>
      <c r="AE2097" s="22">
        <f t="shared" si="399"/>
        <v>0</v>
      </c>
      <c r="AF2097" s="19" t="str">
        <f>VLOOKUP(C2097,'2021-22 School Level AAFTE'!C:N,12,FALSE)</f>
        <v>No</v>
      </c>
    </row>
    <row r="2098" spans="1:284" s="5" customFormat="1">
      <c r="A2098" s="97" t="s">
        <v>2400</v>
      </c>
      <c r="B2098" s="97" t="s">
        <v>1155</v>
      </c>
      <c r="C2098" s="95">
        <v>2998</v>
      </c>
      <c r="D2098" s="95" t="s">
        <v>1157</v>
      </c>
      <c r="E2098" s="129">
        <f>VLOOKUP($C2098,'2021-22 School Level AAFTE'!$C:$Z,11,FALSE)</f>
        <v>0.46209999999999996</v>
      </c>
      <c r="F2098" s="129" t="str">
        <f>VLOOKUP($C2098,'2021-22 School Level AAFTE'!$C:$Z,8,FALSE)</f>
        <v>No</v>
      </c>
      <c r="G2098" s="129" t="str">
        <f>VLOOKUP($C2098,'2021-22 School Level AAFTE'!$C:$Z,12,FALSE)</f>
        <v>Yes</v>
      </c>
      <c r="H2098" s="127">
        <f>VLOOKUP($C2098,'2021-22 School Level AAFTE'!$C:$I,7,FALSE)</f>
        <v>372.91</v>
      </c>
      <c r="I2098" s="112">
        <f>IFERROR(IF(OR(G2098="yes",F2098= "yes"),VLOOKUP(C2098,Summary!$B:$J,6,0),0),0)</f>
        <v>0</v>
      </c>
      <c r="J2098" s="111">
        <f t="shared" si="402"/>
        <v>372.91</v>
      </c>
      <c r="K2098" s="91">
        <f>VLOOKUP($A2098,'2022-23 Salary &amp; Benefits'!$A:$I,3,FALSE)</f>
        <v>1</v>
      </c>
      <c r="L2098" s="91">
        <f>VLOOKUP($A2098,'2022-23 Salary &amp; Benefits'!$A:$I,4,FALSE)</f>
        <v>1.04</v>
      </c>
      <c r="M2098" s="101">
        <f t="shared" si="397"/>
        <v>372.91</v>
      </c>
      <c r="N2098" s="24">
        <v>15</v>
      </c>
      <c r="O2098" s="26">
        <f t="shared" si="400"/>
        <v>24.860666666666667</v>
      </c>
      <c r="P2098" s="24">
        <v>1.1000000000000001</v>
      </c>
      <c r="Q2098" s="24">
        <v>36</v>
      </c>
      <c r="R2098" s="27">
        <f t="shared" si="401"/>
        <v>984.4824000000001</v>
      </c>
      <c r="S2098" s="102">
        <f t="shared" si="403"/>
        <v>1.0940000000000001</v>
      </c>
      <c r="T2098" s="21">
        <f>VLOOKUP($A2098,'2022-23 Salary &amp; Benefits'!$A:$I,5,FALSE)</f>
        <v>68937</v>
      </c>
      <c r="U2098" s="21">
        <f>VLOOKUP($A2098,'2022-23 Salary &amp; Benefits'!$A:$I,6,FALSE)</f>
        <v>72728</v>
      </c>
      <c r="V2098" s="22">
        <f t="shared" si="404"/>
        <v>75417.08</v>
      </c>
      <c r="W2098" s="22">
        <f t="shared" si="405"/>
        <v>7329.929999999993</v>
      </c>
      <c r="X2098" s="22">
        <f>'2022-23 Salary &amp; Benefits'!$G$6</f>
        <v>12558.24</v>
      </c>
      <c r="Y2098" s="23">
        <f>'2022-23 Salary &amp; Benefits'!$H$6</f>
        <v>0.2298</v>
      </c>
      <c r="Z2098" s="23">
        <f>'2022-23 Salary &amp; Benefits'!$I$6</f>
        <v>0.22339999999999999</v>
      </c>
      <c r="AA2098" s="22">
        <f t="shared" si="406"/>
        <v>32707.07</v>
      </c>
      <c r="AB2098" s="22">
        <f t="shared" si="407"/>
        <v>1379.12</v>
      </c>
      <c r="AC2098" s="22">
        <f t="shared" si="408"/>
        <v>308.10000000000002</v>
      </c>
      <c r="AD2098" s="22">
        <f t="shared" si="398"/>
        <v>1687.2199999999998</v>
      </c>
      <c r="AE2098" s="22">
        <f t="shared" si="399"/>
        <v>117141.29999999999</v>
      </c>
      <c r="AF2098" s="19" t="str">
        <f>VLOOKUP(C2098,'2021-22 School Level AAFTE'!C:N,12,FALSE)</f>
        <v>Yes</v>
      </c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  <c r="HC2098" s="3"/>
      <c r="HD2098" s="3"/>
      <c r="HE2098" s="3"/>
      <c r="HF2098" s="3"/>
      <c r="HG2098" s="3"/>
      <c r="HH2098" s="3"/>
      <c r="HI2098" s="3"/>
      <c r="HJ2098" s="3"/>
      <c r="HK2098" s="3"/>
      <c r="HL2098" s="3"/>
      <c r="HM2098" s="3"/>
      <c r="HN2098" s="3"/>
      <c r="HO2098" s="3"/>
      <c r="HP2098" s="3"/>
      <c r="HQ2098" s="3"/>
      <c r="HR2098" s="3"/>
      <c r="HS2098" s="3"/>
      <c r="HT2098" s="3"/>
      <c r="HU2098" s="3"/>
      <c r="HV2098" s="3"/>
      <c r="HW2098" s="3"/>
      <c r="HX2098" s="3"/>
      <c r="HY2098" s="3"/>
      <c r="HZ2098" s="3"/>
      <c r="IA2098" s="3"/>
      <c r="IB2098" s="3"/>
      <c r="IC2098" s="3"/>
      <c r="ID2098" s="3"/>
      <c r="IE2098" s="3"/>
      <c r="IF2098" s="3"/>
      <c r="IG2098" s="3"/>
      <c r="IH2098" s="3"/>
      <c r="II2098" s="3"/>
      <c r="IJ2098" s="3"/>
      <c r="IK2098" s="3"/>
      <c r="IL2098" s="3"/>
      <c r="IM2098" s="3"/>
      <c r="IN2098" s="3"/>
      <c r="IO2098" s="3"/>
      <c r="IP2098" s="3"/>
      <c r="IQ2098" s="3"/>
      <c r="IR2098" s="3"/>
      <c r="IS2098" s="3"/>
      <c r="IT2098" s="3"/>
      <c r="IU2098" s="3"/>
      <c r="IV2098" s="3"/>
      <c r="IW2098" s="3"/>
      <c r="IX2098" s="3"/>
      <c r="IY2098" s="3"/>
      <c r="IZ2098" s="3"/>
      <c r="JA2098" s="3"/>
      <c r="JB2098" s="3"/>
      <c r="JC2098" s="3"/>
      <c r="JD2098" s="3"/>
      <c r="JE2098" s="3"/>
      <c r="JF2098" s="3"/>
      <c r="JG2098" s="3"/>
      <c r="JH2098" s="3"/>
      <c r="JI2098" s="3"/>
      <c r="JJ2098" s="3"/>
      <c r="JK2098" s="3"/>
      <c r="JL2098" s="3"/>
      <c r="JM2098" s="3"/>
      <c r="JN2098" s="3"/>
      <c r="JO2098" s="3"/>
      <c r="JP2098" s="3"/>
      <c r="JQ2098" s="3"/>
      <c r="JR2098" s="3"/>
      <c r="JS2098" s="3"/>
      <c r="JT2098" s="3"/>
      <c r="JU2098" s="3"/>
      <c r="JV2098" s="3"/>
      <c r="JW2098" s="3"/>
      <c r="JX2098" s="3"/>
    </row>
    <row r="2099" spans="1:284" s="5" customFormat="1">
      <c r="A2099" s="97" t="s">
        <v>2400</v>
      </c>
      <c r="B2099" s="97" t="s">
        <v>1155</v>
      </c>
      <c r="C2099" s="95">
        <v>3977</v>
      </c>
      <c r="D2099" s="95" t="s">
        <v>1158</v>
      </c>
      <c r="E2099" s="129">
        <f>VLOOKUP($C2099,'2021-22 School Level AAFTE'!$C:$Z,11,FALSE)</f>
        <v>0.54206666666666659</v>
      </c>
      <c r="F2099" s="129" t="str">
        <f>VLOOKUP($C2099,'2021-22 School Level AAFTE'!$C:$Z,8,FALSE)</f>
        <v>Yes</v>
      </c>
      <c r="G2099" s="129" t="str">
        <f>VLOOKUP($C2099,'2021-22 School Level AAFTE'!$C:$Z,12,FALSE)</f>
        <v>No</v>
      </c>
      <c r="H2099" s="127">
        <f>VLOOKUP($C2099,'2021-22 School Level AAFTE'!$C:$I,7,FALSE)</f>
        <v>173.35</v>
      </c>
      <c r="I2099" s="112">
        <f>IFERROR(IF(OR(G2099="yes",F2099= "yes"),VLOOKUP(C2099,Summary!$B:$J,6,0),0),0)</f>
        <v>0</v>
      </c>
      <c r="J2099" s="111">
        <f t="shared" si="402"/>
        <v>173.35</v>
      </c>
      <c r="K2099" s="91">
        <f>VLOOKUP($A2099,'2022-23 Salary &amp; Benefits'!$A:$I,3,FALSE)</f>
        <v>1</v>
      </c>
      <c r="L2099" s="91">
        <f>VLOOKUP($A2099,'2022-23 Salary &amp; Benefits'!$A:$I,4,FALSE)</f>
        <v>1.04</v>
      </c>
      <c r="M2099" s="101">
        <f t="shared" si="397"/>
        <v>173.35</v>
      </c>
      <c r="N2099" s="24">
        <v>15</v>
      </c>
      <c r="O2099" s="26">
        <f t="shared" si="400"/>
        <v>11.556666666666667</v>
      </c>
      <c r="P2099" s="24">
        <v>1.1000000000000001</v>
      </c>
      <c r="Q2099" s="24">
        <v>36</v>
      </c>
      <c r="R2099" s="27">
        <f t="shared" si="401"/>
        <v>457.64400000000001</v>
      </c>
      <c r="S2099" s="102">
        <f t="shared" si="403"/>
        <v>0.50800000000000001</v>
      </c>
      <c r="T2099" s="21">
        <f>VLOOKUP($A2099,'2022-23 Salary &amp; Benefits'!$A:$I,5,FALSE)</f>
        <v>68937</v>
      </c>
      <c r="U2099" s="21">
        <f>VLOOKUP($A2099,'2022-23 Salary &amp; Benefits'!$A:$I,6,FALSE)</f>
        <v>72728</v>
      </c>
      <c r="V2099" s="22">
        <f t="shared" si="404"/>
        <v>35020</v>
      </c>
      <c r="W2099" s="22">
        <f t="shared" si="405"/>
        <v>3403.6600000000035</v>
      </c>
      <c r="X2099" s="22">
        <f>'2022-23 Salary &amp; Benefits'!$G$6</f>
        <v>12558.24</v>
      </c>
      <c r="Y2099" s="23">
        <f>'2022-23 Salary &amp; Benefits'!$H$6</f>
        <v>0.2298</v>
      </c>
      <c r="Z2099" s="23">
        <f>'2022-23 Salary &amp; Benefits'!$I$6</f>
        <v>0.22339999999999999</v>
      </c>
      <c r="AA2099" s="22">
        <f t="shared" si="406"/>
        <v>15187.56</v>
      </c>
      <c r="AB2099" s="22">
        <f t="shared" si="407"/>
        <v>640.39</v>
      </c>
      <c r="AC2099" s="22">
        <f t="shared" si="408"/>
        <v>143.06</v>
      </c>
      <c r="AD2099" s="22">
        <f t="shared" si="398"/>
        <v>783.45</v>
      </c>
      <c r="AE2099" s="22">
        <f t="shared" si="399"/>
        <v>54394.67</v>
      </c>
      <c r="AF2099" s="19" t="str">
        <f>VLOOKUP(C2099,'2021-22 School Level AAFTE'!C:N,12,FALSE)</f>
        <v>No</v>
      </c>
    </row>
    <row r="2100" spans="1:284" s="5" customFormat="1">
      <c r="A2100" s="97" t="s">
        <v>2400</v>
      </c>
      <c r="B2100" s="97" t="s">
        <v>1155</v>
      </c>
      <c r="C2100" s="95">
        <v>5190</v>
      </c>
      <c r="D2100" s="95" t="s">
        <v>1159</v>
      </c>
      <c r="E2100" s="129">
        <f>VLOOKUP($C2100,'2021-22 School Level AAFTE'!$C:$Z,11,FALSE)</f>
        <v>0.60196666666666665</v>
      </c>
      <c r="F2100" s="129" t="str">
        <f>VLOOKUP($C2100,'2021-22 School Level AAFTE'!$C:$Z,8,FALSE)</f>
        <v>Yes</v>
      </c>
      <c r="G2100" s="129" t="str">
        <f>VLOOKUP($C2100,'2021-22 School Level AAFTE'!$C:$Z,12,FALSE)</f>
        <v>No</v>
      </c>
      <c r="H2100" s="127">
        <f>VLOOKUP($C2100,'2021-22 School Level AAFTE'!$C:$I,7,FALSE)</f>
        <v>50.14</v>
      </c>
      <c r="I2100" s="112">
        <f>IFERROR(IF(OR(G2100="yes",F2100= "yes"),VLOOKUP(C2100,Summary!$B:$J,6,0),0),0)</f>
        <v>0</v>
      </c>
      <c r="J2100" s="111">
        <f t="shared" si="402"/>
        <v>50.14</v>
      </c>
      <c r="K2100" s="91">
        <f>VLOOKUP($A2100,'2022-23 Salary &amp; Benefits'!$A:$I,3,FALSE)</f>
        <v>1</v>
      </c>
      <c r="L2100" s="91">
        <f>VLOOKUP($A2100,'2022-23 Salary &amp; Benefits'!$A:$I,4,FALSE)</f>
        <v>1.04</v>
      </c>
      <c r="M2100" s="39">
        <f t="shared" si="397"/>
        <v>50.14</v>
      </c>
      <c r="N2100" s="24">
        <v>15</v>
      </c>
      <c r="O2100" s="26">
        <f t="shared" si="400"/>
        <v>3.3426666666666667</v>
      </c>
      <c r="P2100" s="24">
        <v>1.1000000000000001</v>
      </c>
      <c r="Q2100" s="24">
        <v>36</v>
      </c>
      <c r="R2100" s="27">
        <f t="shared" si="401"/>
        <v>132.36960000000002</v>
      </c>
      <c r="S2100" s="102">
        <f t="shared" si="403"/>
        <v>0.14699999999999999</v>
      </c>
      <c r="T2100" s="21">
        <f>VLOOKUP($A2100,'2022-23 Salary &amp; Benefits'!$A:$I,5,FALSE)</f>
        <v>68937</v>
      </c>
      <c r="U2100" s="21">
        <f>VLOOKUP($A2100,'2022-23 Salary &amp; Benefits'!$A:$I,6,FALSE)</f>
        <v>72728</v>
      </c>
      <c r="V2100" s="22">
        <f t="shared" si="404"/>
        <v>10133.74</v>
      </c>
      <c r="W2100" s="22">
        <f t="shared" si="405"/>
        <v>984.92000000000007</v>
      </c>
      <c r="X2100" s="22">
        <f>'2022-23 Salary &amp; Benefits'!$G$6</f>
        <v>12558.24</v>
      </c>
      <c r="Y2100" s="23">
        <f>'2022-23 Salary &amp; Benefits'!$H$6</f>
        <v>0.2298</v>
      </c>
      <c r="Z2100" s="23">
        <f>'2022-23 Salary &amp; Benefits'!$I$6</f>
        <v>0.22339999999999999</v>
      </c>
      <c r="AA2100" s="22">
        <f t="shared" si="406"/>
        <v>4394.83</v>
      </c>
      <c r="AB2100" s="22">
        <f t="shared" si="407"/>
        <v>185.31</v>
      </c>
      <c r="AC2100" s="22">
        <f t="shared" si="408"/>
        <v>41.4</v>
      </c>
      <c r="AD2100" s="22">
        <f t="shared" si="398"/>
        <v>226.71</v>
      </c>
      <c r="AE2100" s="22">
        <f t="shared" si="399"/>
        <v>15740.199999999999</v>
      </c>
      <c r="AF2100" s="19" t="str">
        <f>VLOOKUP(C2100,'2021-22 School Level AAFTE'!C:N,12,FALSE)</f>
        <v>No</v>
      </c>
    </row>
    <row r="2101" spans="1:284" s="5" customFormat="1">
      <c r="A2101" s="97" t="s">
        <v>2427</v>
      </c>
      <c r="B2101" s="97" t="s">
        <v>1254</v>
      </c>
      <c r="C2101" s="95">
        <v>2679</v>
      </c>
      <c r="D2101" s="95" t="s">
        <v>1255</v>
      </c>
      <c r="E2101" s="129">
        <f>VLOOKUP($C2101,'2021-22 School Level AAFTE'!$C:$Z,11,FALSE)</f>
        <v>0.73709999999999987</v>
      </c>
      <c r="F2101" s="129" t="str">
        <f>VLOOKUP($C2101,'2021-22 School Level AAFTE'!$C:$Z,8,FALSE)</f>
        <v>Yes</v>
      </c>
      <c r="G2101" s="129" t="str">
        <f>VLOOKUP($C2101,'2021-22 School Level AAFTE'!$C:$Z,12,FALSE)</f>
        <v>No</v>
      </c>
      <c r="H2101" s="127">
        <f>VLOOKUP($C2101,'2021-22 School Level AAFTE'!$C:$I,7,FALSE)</f>
        <v>336.4</v>
      </c>
      <c r="I2101" s="112">
        <f>IFERROR(IF(OR(G2101="yes",F2101= "yes"),VLOOKUP(C2101,Summary!$B:$J,6,0),0),0)</f>
        <v>0</v>
      </c>
      <c r="J2101" s="111">
        <f t="shared" si="402"/>
        <v>336.4</v>
      </c>
      <c r="K2101" s="91">
        <f>VLOOKUP($A2101,'2022-23 Salary &amp; Benefits'!$A:$I,3,FALSE)</f>
        <v>1</v>
      </c>
      <c r="L2101" s="91">
        <f>VLOOKUP($A2101,'2022-23 Salary &amp; Benefits'!$A:$I,4,FALSE)</f>
        <v>1</v>
      </c>
      <c r="M2101" s="101">
        <f t="shared" si="397"/>
        <v>336.4</v>
      </c>
      <c r="N2101" s="24">
        <v>15</v>
      </c>
      <c r="O2101" s="26">
        <f t="shared" si="400"/>
        <v>22.426666666666666</v>
      </c>
      <c r="P2101" s="24">
        <v>1.1000000000000001</v>
      </c>
      <c r="Q2101" s="24">
        <v>36</v>
      </c>
      <c r="R2101" s="27">
        <f t="shared" si="401"/>
        <v>888.096</v>
      </c>
      <c r="S2101" s="102">
        <f t="shared" si="403"/>
        <v>0.98699999999999999</v>
      </c>
      <c r="T2101" s="21">
        <f>VLOOKUP($A2101,'2022-23 Salary &amp; Benefits'!$A:$I,5,FALSE)</f>
        <v>68937</v>
      </c>
      <c r="U2101" s="21">
        <f>VLOOKUP($A2101,'2022-23 Salary &amp; Benefits'!$A:$I,6,FALSE)</f>
        <v>72728</v>
      </c>
      <c r="V2101" s="22">
        <f t="shared" si="404"/>
        <v>68040.820000000007</v>
      </c>
      <c r="W2101" s="22">
        <f t="shared" si="405"/>
        <v>3741.7199999999866</v>
      </c>
      <c r="X2101" s="22">
        <f>'2022-23 Salary &amp; Benefits'!$G$6</f>
        <v>12558.24</v>
      </c>
      <c r="Y2101" s="23">
        <f>'2022-23 Salary &amp; Benefits'!$H$6</f>
        <v>0.2298</v>
      </c>
      <c r="Z2101" s="23">
        <f>'2022-23 Salary &amp; Benefits'!$I$6</f>
        <v>0.22339999999999999</v>
      </c>
      <c r="AA2101" s="22">
        <f t="shared" si="406"/>
        <v>28866.66</v>
      </c>
      <c r="AB2101" s="22">
        <f t="shared" si="407"/>
        <v>1196.3800000000001</v>
      </c>
      <c r="AC2101" s="22">
        <f t="shared" si="408"/>
        <v>267.27</v>
      </c>
      <c r="AD2101" s="22">
        <f t="shared" si="398"/>
        <v>1463.65</v>
      </c>
      <c r="AE2101" s="22">
        <f t="shared" si="399"/>
        <v>102112.84999999999</v>
      </c>
      <c r="AF2101" s="19" t="str">
        <f>VLOOKUP(C2101,'2021-22 School Level AAFTE'!C:N,12,FALSE)</f>
        <v>No</v>
      </c>
    </row>
    <row r="2102" spans="1:284" s="5" customFormat="1">
      <c r="A2102" s="97" t="s">
        <v>2427</v>
      </c>
      <c r="B2102" s="97" t="s">
        <v>1254</v>
      </c>
      <c r="C2102" s="95">
        <v>3176</v>
      </c>
      <c r="D2102" s="95" t="s">
        <v>1256</v>
      </c>
      <c r="E2102" s="129">
        <f>VLOOKUP($C2102,'2021-22 School Level AAFTE'!$C:$Z,11,FALSE)</f>
        <v>0.73513333333333331</v>
      </c>
      <c r="F2102" s="129" t="str">
        <f>VLOOKUP($C2102,'2021-22 School Level AAFTE'!$C:$Z,8,FALSE)</f>
        <v>Yes</v>
      </c>
      <c r="G2102" s="129" t="str">
        <f>VLOOKUP($C2102,'2021-22 School Level AAFTE'!$C:$Z,12,FALSE)</f>
        <v>No</v>
      </c>
      <c r="H2102" s="127">
        <f>VLOOKUP($C2102,'2021-22 School Level AAFTE'!$C:$I,7,FALSE)</f>
        <v>411.29</v>
      </c>
      <c r="I2102" s="112">
        <f>IFERROR(IF(OR(G2102="yes",F2102= "yes"),VLOOKUP(C2102,Summary!$B:$J,6,0),0),0)</f>
        <v>0</v>
      </c>
      <c r="J2102" s="111">
        <f t="shared" si="402"/>
        <v>411.29</v>
      </c>
      <c r="K2102" s="91">
        <f>VLOOKUP($A2102,'2022-23 Salary &amp; Benefits'!$A:$I,3,FALSE)</f>
        <v>1</v>
      </c>
      <c r="L2102" s="91">
        <f>VLOOKUP($A2102,'2022-23 Salary &amp; Benefits'!$A:$I,4,FALSE)</f>
        <v>1</v>
      </c>
      <c r="M2102" s="101">
        <f t="shared" si="397"/>
        <v>411.29</v>
      </c>
      <c r="N2102" s="24">
        <v>15</v>
      </c>
      <c r="O2102" s="26">
        <f t="shared" si="400"/>
        <v>27.419333333333334</v>
      </c>
      <c r="P2102" s="24">
        <v>1.1000000000000001</v>
      </c>
      <c r="Q2102" s="24">
        <v>36</v>
      </c>
      <c r="R2102" s="27">
        <f t="shared" si="401"/>
        <v>1085.8056000000001</v>
      </c>
      <c r="S2102" s="102">
        <f t="shared" si="403"/>
        <v>1.206</v>
      </c>
      <c r="T2102" s="21">
        <f>VLOOKUP($A2102,'2022-23 Salary &amp; Benefits'!$A:$I,5,FALSE)</f>
        <v>68937</v>
      </c>
      <c r="U2102" s="21">
        <f>VLOOKUP($A2102,'2022-23 Salary &amp; Benefits'!$A:$I,6,FALSE)</f>
        <v>72728</v>
      </c>
      <c r="V2102" s="22">
        <f t="shared" si="404"/>
        <v>83138.02</v>
      </c>
      <c r="W2102" s="22">
        <f t="shared" si="405"/>
        <v>4571.9499999999971</v>
      </c>
      <c r="X2102" s="22">
        <f>'2022-23 Salary &amp; Benefits'!$G$6</f>
        <v>12558.24</v>
      </c>
      <c r="Y2102" s="23">
        <f>'2022-23 Salary &amp; Benefits'!$H$6</f>
        <v>0.2298</v>
      </c>
      <c r="Z2102" s="23">
        <f>'2022-23 Salary &amp; Benefits'!$I$6</f>
        <v>0.22339999999999999</v>
      </c>
      <c r="AA2102" s="22">
        <f t="shared" si="406"/>
        <v>35271.730000000003</v>
      </c>
      <c r="AB2102" s="22">
        <f t="shared" si="407"/>
        <v>1461.83</v>
      </c>
      <c r="AC2102" s="22">
        <f t="shared" si="408"/>
        <v>326.57</v>
      </c>
      <c r="AD2102" s="22">
        <f t="shared" si="398"/>
        <v>1788.3999999999999</v>
      </c>
      <c r="AE2102" s="22">
        <f t="shared" si="399"/>
        <v>124770.09999999999</v>
      </c>
      <c r="AF2102" s="19" t="str">
        <f>VLOOKUP(C2102,'2021-22 School Level AAFTE'!C:N,12,FALSE)</f>
        <v>No</v>
      </c>
    </row>
    <row r="2103" spans="1:284" s="5" customFormat="1">
      <c r="A2103" s="97" t="s">
        <v>2427</v>
      </c>
      <c r="B2103" s="97" t="s">
        <v>1254</v>
      </c>
      <c r="C2103" s="95">
        <v>4196</v>
      </c>
      <c r="D2103" s="95" t="s">
        <v>1257</v>
      </c>
      <c r="E2103" s="129">
        <f>VLOOKUP($C2103,'2021-22 School Level AAFTE'!$C:$Z,11,FALSE)</f>
        <v>0.75783333333333325</v>
      </c>
      <c r="F2103" s="129" t="str">
        <f>VLOOKUP($C2103,'2021-22 School Level AAFTE'!$C:$Z,8,FALSE)</f>
        <v>Yes</v>
      </c>
      <c r="G2103" s="129" t="str">
        <f>VLOOKUP($C2103,'2021-22 School Level AAFTE'!$C:$Z,12,FALSE)</f>
        <v>No</v>
      </c>
      <c r="H2103" s="127">
        <f>VLOOKUP($C2103,'2021-22 School Level AAFTE'!$C:$I,7,FALSE)</f>
        <v>252.62</v>
      </c>
      <c r="I2103" s="112">
        <f>IFERROR(IF(OR(G2103="yes",F2103= "yes"),VLOOKUP(C2103,Summary!$B:$J,6,0),0),0)</f>
        <v>0</v>
      </c>
      <c r="J2103" s="111">
        <f t="shared" si="402"/>
        <v>252.62</v>
      </c>
      <c r="K2103" s="91">
        <f>VLOOKUP($A2103,'2022-23 Salary &amp; Benefits'!$A:$I,3,FALSE)</f>
        <v>1</v>
      </c>
      <c r="L2103" s="91">
        <f>VLOOKUP($A2103,'2022-23 Salary &amp; Benefits'!$A:$I,4,FALSE)</f>
        <v>1</v>
      </c>
      <c r="M2103" s="101">
        <f t="shared" si="397"/>
        <v>252.62</v>
      </c>
      <c r="N2103" s="24">
        <v>15</v>
      </c>
      <c r="O2103" s="26">
        <f t="shared" si="400"/>
        <v>16.841333333333335</v>
      </c>
      <c r="P2103" s="24">
        <v>1.1000000000000001</v>
      </c>
      <c r="Q2103" s="24">
        <v>36</v>
      </c>
      <c r="R2103" s="27">
        <f t="shared" si="401"/>
        <v>666.91680000000008</v>
      </c>
      <c r="S2103" s="102">
        <f t="shared" si="403"/>
        <v>0.74099999999999999</v>
      </c>
      <c r="T2103" s="21">
        <f>VLOOKUP($A2103,'2022-23 Salary &amp; Benefits'!$A:$I,5,FALSE)</f>
        <v>68937</v>
      </c>
      <c r="U2103" s="21">
        <f>VLOOKUP($A2103,'2022-23 Salary &amp; Benefits'!$A:$I,6,FALSE)</f>
        <v>72728</v>
      </c>
      <c r="V2103" s="22">
        <f t="shared" si="404"/>
        <v>51082.32</v>
      </c>
      <c r="W2103" s="22">
        <f t="shared" si="405"/>
        <v>2809.1299999999974</v>
      </c>
      <c r="X2103" s="22">
        <f>'2022-23 Salary &amp; Benefits'!$G$6</f>
        <v>12558.24</v>
      </c>
      <c r="Y2103" s="23">
        <f>'2022-23 Salary &amp; Benefits'!$H$6</f>
        <v>0.2298</v>
      </c>
      <c r="Z2103" s="23">
        <f>'2022-23 Salary &amp; Benefits'!$I$6</f>
        <v>0.22339999999999999</v>
      </c>
      <c r="AA2103" s="22">
        <f t="shared" si="406"/>
        <v>21671.93</v>
      </c>
      <c r="AB2103" s="22">
        <f t="shared" si="407"/>
        <v>898.19</v>
      </c>
      <c r="AC2103" s="22">
        <f t="shared" si="408"/>
        <v>200.66</v>
      </c>
      <c r="AD2103" s="22">
        <f t="shared" si="398"/>
        <v>1098.8500000000001</v>
      </c>
      <c r="AE2103" s="22">
        <f t="shared" si="399"/>
        <v>76662.23000000001</v>
      </c>
      <c r="AF2103" s="19" t="str">
        <f>VLOOKUP(C2103,'2021-22 School Level AAFTE'!C:N,12,FALSE)</f>
        <v>No</v>
      </c>
    </row>
    <row r="2104" spans="1:284" s="5" customFormat="1">
      <c r="A2104" s="97" t="s">
        <v>2427</v>
      </c>
      <c r="B2104" s="97" t="s">
        <v>1254</v>
      </c>
      <c r="C2104" s="95">
        <v>5586</v>
      </c>
      <c r="D2104" s="95" t="s">
        <v>2831</v>
      </c>
      <c r="E2104" s="129">
        <f>VLOOKUP($C2104,'2021-22 School Level AAFTE'!$C:$Z,11,FALSE)</f>
        <v>0.70020000000000004</v>
      </c>
      <c r="F2104" s="129" t="str">
        <f>VLOOKUP($C2104,'2021-22 School Level AAFTE'!$C:$Z,8,FALSE)</f>
        <v>Yes</v>
      </c>
      <c r="G2104" s="129" t="str">
        <f>VLOOKUP($C2104,'2021-22 School Level AAFTE'!$C:$Z,12,FALSE)</f>
        <v>No</v>
      </c>
      <c r="H2104" s="127">
        <f>VLOOKUP($C2104,'2021-22 School Level AAFTE'!$C:$I,7,FALSE)</f>
        <v>23.52</v>
      </c>
      <c r="I2104" s="112">
        <f>IFERROR(IF(OR(G2104="yes",F2104= "yes"),VLOOKUP(C2104,Summary!$B:$J,6,0),0),0)</f>
        <v>0</v>
      </c>
      <c r="J2104" s="111">
        <f t="shared" si="402"/>
        <v>23.52</v>
      </c>
      <c r="K2104" s="91">
        <f>VLOOKUP($A2104,'2022-23 Salary &amp; Benefits'!$A:$I,3,FALSE)</f>
        <v>1</v>
      </c>
      <c r="L2104" s="91">
        <f>VLOOKUP($A2104,'2022-23 Salary &amp; Benefits'!$A:$I,4,FALSE)</f>
        <v>1</v>
      </c>
      <c r="M2104" s="101">
        <f t="shared" ref="M2104:M2163" si="409">IF(I2104&gt;0,I2104,J2104)</f>
        <v>23.52</v>
      </c>
      <c r="N2104" s="24">
        <v>15</v>
      </c>
      <c r="O2104" s="26">
        <f t="shared" si="400"/>
        <v>1.5680000000000001</v>
      </c>
      <c r="P2104" s="24">
        <v>1.1000000000000001</v>
      </c>
      <c r="Q2104" s="24">
        <v>36</v>
      </c>
      <c r="R2104" s="27">
        <f t="shared" si="401"/>
        <v>62.092800000000004</v>
      </c>
      <c r="S2104" s="102">
        <f t="shared" si="403"/>
        <v>6.9000000000000006E-2</v>
      </c>
      <c r="T2104" s="21">
        <f>VLOOKUP($A2104,'2022-23 Salary &amp; Benefits'!$A:$I,5,FALSE)</f>
        <v>68937</v>
      </c>
      <c r="U2104" s="21">
        <f>VLOOKUP($A2104,'2022-23 Salary &amp; Benefits'!$A:$I,6,FALSE)</f>
        <v>72728</v>
      </c>
      <c r="V2104" s="22">
        <f t="shared" si="404"/>
        <v>4756.6499999999996</v>
      </c>
      <c r="W2104" s="22">
        <f t="shared" si="405"/>
        <v>261.57999999999993</v>
      </c>
      <c r="X2104" s="22">
        <f>'2022-23 Salary &amp; Benefits'!$G$6</f>
        <v>12558.24</v>
      </c>
      <c r="Y2104" s="23">
        <f>'2022-23 Salary &amp; Benefits'!$H$6</f>
        <v>0.2298</v>
      </c>
      <c r="Z2104" s="23">
        <f>'2022-23 Salary &amp; Benefits'!$I$6</f>
        <v>0.22339999999999999</v>
      </c>
      <c r="AA2104" s="22">
        <f t="shared" si="406"/>
        <v>2018.03</v>
      </c>
      <c r="AB2104" s="22">
        <f t="shared" si="407"/>
        <v>83.64</v>
      </c>
      <c r="AC2104" s="22">
        <f t="shared" si="408"/>
        <v>18.690000000000001</v>
      </c>
      <c r="AD2104" s="22">
        <f t="shared" ref="AD2104:AD2163" si="410">SUM(AB2104:AC2104)</f>
        <v>102.33</v>
      </c>
      <c r="AE2104" s="22">
        <f t="shared" ref="AE2104:AE2163" si="411">SUM(AA2104,V2104:W2104,AD2104)</f>
        <v>7138.5899999999992</v>
      </c>
      <c r="AF2104" s="19" t="str">
        <f>VLOOKUP(C2104,'2021-22 School Level AAFTE'!C:N,12,FALSE)</f>
        <v>No</v>
      </c>
    </row>
    <row r="2105" spans="1:284" s="5" customFormat="1">
      <c r="A2105" s="97" t="s">
        <v>2427</v>
      </c>
      <c r="B2105" s="97" t="s">
        <v>1254</v>
      </c>
      <c r="C2105" s="95">
        <v>5587</v>
      </c>
      <c r="D2105" s="95" t="s">
        <v>2832</v>
      </c>
      <c r="E2105" s="129">
        <f>VLOOKUP($C2105,'2021-22 School Level AAFTE'!$C:$Z,11,FALSE)</f>
        <v>0.6545333333333333</v>
      </c>
      <c r="F2105" s="129" t="str">
        <f>VLOOKUP($C2105,'2021-22 School Level AAFTE'!$C:$Z,8,FALSE)</f>
        <v>Yes</v>
      </c>
      <c r="G2105" s="129" t="str">
        <f>VLOOKUP($C2105,'2021-22 School Level AAFTE'!$C:$Z,12,FALSE)</f>
        <v>No</v>
      </c>
      <c r="H2105" s="127">
        <f>VLOOKUP($C2105,'2021-22 School Level AAFTE'!$C:$I,7,FALSE)</f>
        <v>111.96</v>
      </c>
      <c r="I2105" s="112">
        <f>IFERROR(IF(OR(G2105="yes",F2105= "yes"),VLOOKUP(C2105,Summary!$B:$J,6,0),0),0)</f>
        <v>0</v>
      </c>
      <c r="J2105" s="111">
        <f t="shared" si="402"/>
        <v>111.96</v>
      </c>
      <c r="K2105" s="91">
        <f>VLOOKUP($A2105,'2022-23 Salary &amp; Benefits'!$A:$I,3,FALSE)</f>
        <v>1</v>
      </c>
      <c r="L2105" s="91">
        <f>VLOOKUP($A2105,'2022-23 Salary &amp; Benefits'!$A:$I,4,FALSE)</f>
        <v>1</v>
      </c>
      <c r="M2105" s="101">
        <f t="shared" si="409"/>
        <v>111.96</v>
      </c>
      <c r="N2105" s="24">
        <v>15</v>
      </c>
      <c r="O2105" s="26">
        <f t="shared" si="400"/>
        <v>7.4639999999999995</v>
      </c>
      <c r="P2105" s="24">
        <v>1.1000000000000001</v>
      </c>
      <c r="Q2105" s="24">
        <v>36</v>
      </c>
      <c r="R2105" s="27">
        <f t="shared" si="401"/>
        <v>295.57439999999997</v>
      </c>
      <c r="S2105" s="102">
        <f t="shared" si="403"/>
        <v>0.32800000000000001</v>
      </c>
      <c r="T2105" s="21">
        <f>VLOOKUP($A2105,'2022-23 Salary &amp; Benefits'!$A:$I,5,FALSE)</f>
        <v>68937</v>
      </c>
      <c r="U2105" s="21">
        <f>VLOOKUP($A2105,'2022-23 Salary &amp; Benefits'!$A:$I,6,FALSE)</f>
        <v>72728</v>
      </c>
      <c r="V2105" s="22">
        <f t="shared" si="404"/>
        <v>22611.34</v>
      </c>
      <c r="W2105" s="22">
        <f t="shared" si="405"/>
        <v>1243.4399999999987</v>
      </c>
      <c r="X2105" s="22">
        <f>'2022-23 Salary &amp; Benefits'!$G$6</f>
        <v>12558.24</v>
      </c>
      <c r="Y2105" s="23">
        <f>'2022-23 Salary &amp; Benefits'!$H$6</f>
        <v>0.2298</v>
      </c>
      <c r="Z2105" s="23">
        <f>'2022-23 Salary &amp; Benefits'!$I$6</f>
        <v>0.22339999999999999</v>
      </c>
      <c r="AA2105" s="22">
        <f t="shared" si="406"/>
        <v>9592.9699999999993</v>
      </c>
      <c r="AB2105" s="22">
        <f t="shared" si="407"/>
        <v>397.58</v>
      </c>
      <c r="AC2105" s="22">
        <f t="shared" si="408"/>
        <v>88.82</v>
      </c>
      <c r="AD2105" s="22">
        <f t="shared" si="410"/>
        <v>486.4</v>
      </c>
      <c r="AE2105" s="22">
        <f t="shared" si="411"/>
        <v>33934.15</v>
      </c>
      <c r="AF2105" s="19" t="str">
        <f>VLOOKUP(C2105,'2021-22 School Level AAFTE'!C:N,12,FALSE)</f>
        <v>No</v>
      </c>
    </row>
    <row r="2106" spans="1:284" s="5" customFormat="1">
      <c r="A2106" s="97" t="s">
        <v>2561</v>
      </c>
      <c r="B2106" s="97" t="s">
        <v>2220</v>
      </c>
      <c r="C2106" s="95">
        <v>1508</v>
      </c>
      <c r="D2106" s="95" t="s">
        <v>2221</v>
      </c>
      <c r="E2106" s="129">
        <f>VLOOKUP($C2106,'2021-22 School Level AAFTE'!$C:$Z,11,FALSE)</f>
        <v>0.90693333333333337</v>
      </c>
      <c r="F2106" s="129" t="str">
        <f>VLOOKUP($C2106,'2021-22 School Level AAFTE'!$C:$Z,8,FALSE)</f>
        <v>Yes</v>
      </c>
      <c r="G2106" s="129" t="str">
        <f>VLOOKUP($C2106,'2021-22 School Level AAFTE'!$C:$Z,12,FALSE)</f>
        <v>No</v>
      </c>
      <c r="H2106" s="127">
        <f>VLOOKUP($C2106,'2021-22 School Level AAFTE'!$C:$I,7,FALSE)</f>
        <v>279.32</v>
      </c>
      <c r="I2106" s="112">
        <f>IFERROR(IF(OR(G2106="yes",F2106= "yes"),VLOOKUP(C2106,Summary!$B:$J,6,0),0),0)</f>
        <v>0</v>
      </c>
      <c r="J2106" s="111">
        <f t="shared" si="402"/>
        <v>279.32</v>
      </c>
      <c r="K2106" s="91">
        <f>VLOOKUP($A2106,'2022-23 Salary &amp; Benefits'!$A:$I,3,FALSE)</f>
        <v>1</v>
      </c>
      <c r="L2106" s="91">
        <f>VLOOKUP($A2106,'2022-23 Salary &amp; Benefits'!$A:$I,4,FALSE)</f>
        <v>1</v>
      </c>
      <c r="M2106" s="101">
        <f t="shared" si="409"/>
        <v>279.32</v>
      </c>
      <c r="N2106" s="24">
        <v>15</v>
      </c>
      <c r="O2106" s="26">
        <f t="shared" si="400"/>
        <v>18.621333333333332</v>
      </c>
      <c r="P2106" s="24">
        <v>1.1000000000000001</v>
      </c>
      <c r="Q2106" s="24">
        <v>36</v>
      </c>
      <c r="R2106" s="27">
        <f t="shared" si="401"/>
        <v>737.40480000000002</v>
      </c>
      <c r="S2106" s="102">
        <f t="shared" si="403"/>
        <v>0.81899999999999995</v>
      </c>
      <c r="T2106" s="21">
        <f>VLOOKUP($A2106,'2022-23 Salary &amp; Benefits'!$A:$I,5,FALSE)</f>
        <v>68937</v>
      </c>
      <c r="U2106" s="21">
        <f>VLOOKUP($A2106,'2022-23 Salary &amp; Benefits'!$A:$I,6,FALSE)</f>
        <v>72728</v>
      </c>
      <c r="V2106" s="22">
        <f t="shared" si="404"/>
        <v>56459.4</v>
      </c>
      <c r="W2106" s="22">
        <f t="shared" si="405"/>
        <v>3104.8300000000017</v>
      </c>
      <c r="X2106" s="22">
        <f>'2022-23 Salary &amp; Benefits'!$G$6</f>
        <v>12558.24</v>
      </c>
      <c r="Y2106" s="23">
        <f>'2022-23 Salary &amp; Benefits'!$H$6</f>
        <v>0.2298</v>
      </c>
      <c r="Z2106" s="23">
        <f>'2022-23 Salary &amp; Benefits'!$I$6</f>
        <v>0.22339999999999999</v>
      </c>
      <c r="AA2106" s="22">
        <f t="shared" si="406"/>
        <v>23953.19</v>
      </c>
      <c r="AB2106" s="22">
        <f t="shared" si="407"/>
        <v>992.74</v>
      </c>
      <c r="AC2106" s="22">
        <f t="shared" si="408"/>
        <v>221.78</v>
      </c>
      <c r="AD2106" s="22">
        <f t="shared" si="410"/>
        <v>1214.52</v>
      </c>
      <c r="AE2106" s="22">
        <f t="shared" si="411"/>
        <v>84731.94</v>
      </c>
      <c r="AF2106" s="19" t="str">
        <f>VLOOKUP(C2106,'2021-22 School Level AAFTE'!C:N,12,FALSE)</f>
        <v>No</v>
      </c>
    </row>
    <row r="2107" spans="1:284" s="5" customFormat="1">
      <c r="A2107" s="97" t="s">
        <v>2561</v>
      </c>
      <c r="B2107" s="97" t="s">
        <v>2220</v>
      </c>
      <c r="C2107" s="95">
        <v>2264</v>
      </c>
      <c r="D2107" s="95" t="s">
        <v>2222</v>
      </c>
      <c r="E2107" s="129">
        <f>VLOOKUP($C2107,'2021-22 School Level AAFTE'!$C:$Z,11,FALSE)</f>
        <v>0.90180000000000005</v>
      </c>
      <c r="F2107" s="129" t="str">
        <f>VLOOKUP($C2107,'2021-22 School Level AAFTE'!$C:$Z,8,FALSE)</f>
        <v>Yes</v>
      </c>
      <c r="G2107" s="129" t="str">
        <f>VLOOKUP($C2107,'2021-22 School Level AAFTE'!$C:$Z,12,FALSE)</f>
        <v>No</v>
      </c>
      <c r="H2107" s="127">
        <f>VLOOKUP($C2107,'2021-22 School Level AAFTE'!$C:$I,7,FALSE)</f>
        <v>884.43</v>
      </c>
      <c r="I2107" s="112">
        <f>IFERROR(IF(OR(G2107="yes",F2107= "yes"),VLOOKUP(C2107,Summary!$B:$J,6,0),0),0)</f>
        <v>0</v>
      </c>
      <c r="J2107" s="111">
        <f t="shared" si="402"/>
        <v>884.43</v>
      </c>
      <c r="K2107" s="91">
        <f>VLOOKUP($A2107,'2022-23 Salary &amp; Benefits'!$A:$I,3,FALSE)</f>
        <v>1</v>
      </c>
      <c r="L2107" s="91">
        <f>VLOOKUP($A2107,'2022-23 Salary &amp; Benefits'!$A:$I,4,FALSE)</f>
        <v>1</v>
      </c>
      <c r="M2107" s="101">
        <f t="shared" si="409"/>
        <v>884.43</v>
      </c>
      <c r="N2107" s="24">
        <v>15</v>
      </c>
      <c r="O2107" s="26">
        <f t="shared" si="400"/>
        <v>58.961999999999996</v>
      </c>
      <c r="P2107" s="24">
        <v>1.1000000000000001</v>
      </c>
      <c r="Q2107" s="24">
        <v>36</v>
      </c>
      <c r="R2107" s="27">
        <f t="shared" si="401"/>
        <v>2334.8951999999999</v>
      </c>
      <c r="S2107" s="102">
        <f t="shared" si="403"/>
        <v>2.5939999999999999</v>
      </c>
      <c r="T2107" s="21">
        <f>VLOOKUP($A2107,'2022-23 Salary &amp; Benefits'!$A:$I,5,FALSE)</f>
        <v>68937</v>
      </c>
      <c r="U2107" s="21">
        <f>VLOOKUP($A2107,'2022-23 Salary &amp; Benefits'!$A:$I,6,FALSE)</f>
        <v>72728</v>
      </c>
      <c r="V2107" s="22">
        <f t="shared" si="404"/>
        <v>178822.58</v>
      </c>
      <c r="W2107" s="22">
        <f t="shared" si="405"/>
        <v>9833.8500000000058</v>
      </c>
      <c r="X2107" s="22">
        <f>'2022-23 Salary &amp; Benefits'!$G$6</f>
        <v>12558.24</v>
      </c>
      <c r="Y2107" s="23">
        <f>'2022-23 Salary &amp; Benefits'!$H$6</f>
        <v>0.2298</v>
      </c>
      <c r="Z2107" s="23">
        <f>'2022-23 Salary &amp; Benefits'!$I$6</f>
        <v>0.22339999999999999</v>
      </c>
      <c r="AA2107" s="22">
        <f t="shared" si="406"/>
        <v>75866.39</v>
      </c>
      <c r="AB2107" s="22">
        <f t="shared" si="407"/>
        <v>3144.27</v>
      </c>
      <c r="AC2107" s="22">
        <f t="shared" si="408"/>
        <v>702.43</v>
      </c>
      <c r="AD2107" s="22">
        <f t="shared" si="410"/>
        <v>3846.7</v>
      </c>
      <c r="AE2107" s="22">
        <f t="shared" si="411"/>
        <v>268369.51999999996</v>
      </c>
      <c r="AF2107" s="19" t="str">
        <f>VLOOKUP(C2107,'2021-22 School Level AAFTE'!C:N,12,FALSE)</f>
        <v>No</v>
      </c>
    </row>
    <row r="2108" spans="1:284" s="5" customFormat="1">
      <c r="A2108" s="97" t="s">
        <v>2561</v>
      </c>
      <c r="B2108" s="97" t="s">
        <v>2220</v>
      </c>
      <c r="C2108" s="95">
        <v>2608</v>
      </c>
      <c r="D2108" s="95" t="s">
        <v>1597</v>
      </c>
      <c r="E2108" s="129">
        <f>VLOOKUP($C2108,'2021-22 School Level AAFTE'!$C:$Z,11,FALSE)</f>
        <v>0.89496666666666658</v>
      </c>
      <c r="F2108" s="129" t="str">
        <f>VLOOKUP($C2108,'2021-22 School Level AAFTE'!$C:$Z,8,FALSE)</f>
        <v>Yes</v>
      </c>
      <c r="G2108" s="129" t="str">
        <f>VLOOKUP($C2108,'2021-22 School Level AAFTE'!$C:$Z,12,FALSE)</f>
        <v>No</v>
      </c>
      <c r="H2108" s="127">
        <f>VLOOKUP($C2108,'2021-22 School Level AAFTE'!$C:$I,7,FALSE)</f>
        <v>339.29</v>
      </c>
      <c r="I2108" s="112">
        <f>IFERROR(IF(OR(G2108="yes",F2108= "yes"),VLOOKUP(C2108,Summary!$B:$J,6,0),0),0)</f>
        <v>0</v>
      </c>
      <c r="J2108" s="111">
        <f t="shared" si="402"/>
        <v>339.29</v>
      </c>
      <c r="K2108" s="91">
        <f>VLOOKUP($A2108,'2022-23 Salary &amp; Benefits'!$A:$I,3,FALSE)</f>
        <v>1</v>
      </c>
      <c r="L2108" s="91">
        <f>VLOOKUP($A2108,'2022-23 Salary &amp; Benefits'!$A:$I,4,FALSE)</f>
        <v>1</v>
      </c>
      <c r="M2108" s="101">
        <f t="shared" si="409"/>
        <v>339.29</v>
      </c>
      <c r="N2108" s="24">
        <v>15</v>
      </c>
      <c r="O2108" s="26">
        <f t="shared" si="400"/>
        <v>22.619333333333334</v>
      </c>
      <c r="P2108" s="24">
        <v>1.1000000000000001</v>
      </c>
      <c r="Q2108" s="24">
        <v>36</v>
      </c>
      <c r="R2108" s="27">
        <f t="shared" si="401"/>
        <v>895.7256000000001</v>
      </c>
      <c r="S2108" s="102">
        <f t="shared" si="403"/>
        <v>0.995</v>
      </c>
      <c r="T2108" s="21">
        <f>VLOOKUP($A2108,'2022-23 Salary &amp; Benefits'!$A:$I,5,FALSE)</f>
        <v>68937</v>
      </c>
      <c r="U2108" s="21">
        <f>VLOOKUP($A2108,'2022-23 Salary &amp; Benefits'!$A:$I,6,FALSE)</f>
        <v>72728</v>
      </c>
      <c r="V2108" s="22">
        <f t="shared" si="404"/>
        <v>68592.320000000007</v>
      </c>
      <c r="W2108" s="22">
        <f t="shared" si="405"/>
        <v>3772.0399999999936</v>
      </c>
      <c r="X2108" s="22">
        <f>'2022-23 Salary &amp; Benefits'!$G$6</f>
        <v>12558.24</v>
      </c>
      <c r="Y2108" s="23">
        <f>'2022-23 Salary &amp; Benefits'!$H$6</f>
        <v>0.2298</v>
      </c>
      <c r="Z2108" s="23">
        <f>'2022-23 Salary &amp; Benefits'!$I$6</f>
        <v>0.22339999999999999</v>
      </c>
      <c r="AA2108" s="22">
        <f t="shared" si="406"/>
        <v>29100.639999999999</v>
      </c>
      <c r="AB2108" s="22">
        <f t="shared" si="407"/>
        <v>1206.07</v>
      </c>
      <c r="AC2108" s="22">
        <f t="shared" si="408"/>
        <v>269.44</v>
      </c>
      <c r="AD2108" s="22">
        <f t="shared" si="410"/>
        <v>1475.51</v>
      </c>
      <c r="AE2108" s="22">
        <f t="shared" si="411"/>
        <v>102940.51</v>
      </c>
      <c r="AF2108" s="19" t="str">
        <f>VLOOKUP(C2108,'2021-22 School Level AAFTE'!C:N,12,FALSE)</f>
        <v>No</v>
      </c>
    </row>
    <row r="2109" spans="1:284" s="5" customFormat="1">
      <c r="A2109" s="56" t="s">
        <v>2561</v>
      </c>
      <c r="B2109" s="97" t="s">
        <v>2220</v>
      </c>
      <c r="C2109" s="95">
        <v>2635</v>
      </c>
      <c r="D2109" s="56" t="s">
        <v>50</v>
      </c>
      <c r="E2109" s="129">
        <f>VLOOKUP($C2109,'2021-22 School Level AAFTE'!$C:$Z,11,FALSE)</f>
        <v>0.89740000000000009</v>
      </c>
      <c r="F2109" s="129" t="str">
        <f>VLOOKUP($C2109,'2021-22 School Level AAFTE'!$C:$Z,8,FALSE)</f>
        <v>Yes</v>
      </c>
      <c r="G2109" s="129" t="str">
        <f>VLOOKUP($C2109,'2021-22 School Level AAFTE'!$C:$Z,12,FALSE)</f>
        <v>No</v>
      </c>
      <c r="H2109" s="127">
        <f>VLOOKUP($C2109,'2021-22 School Level AAFTE'!$C:$I,7,FALSE)</f>
        <v>297.14</v>
      </c>
      <c r="I2109" s="112">
        <f>IFERROR(IF(OR(G2109="yes",F2109= "yes"),VLOOKUP(C2109,Summary!$B:$J,6,0),0),0)</f>
        <v>0</v>
      </c>
      <c r="J2109" s="111">
        <f t="shared" si="402"/>
        <v>297.14</v>
      </c>
      <c r="K2109" s="91">
        <f>VLOOKUP($A2109,'2022-23 Salary &amp; Benefits'!$A:$I,3,FALSE)</f>
        <v>1</v>
      </c>
      <c r="L2109" s="91">
        <f>VLOOKUP($A2109,'2022-23 Salary &amp; Benefits'!$A:$I,4,FALSE)</f>
        <v>1</v>
      </c>
      <c r="M2109" s="39">
        <f t="shared" si="409"/>
        <v>297.14</v>
      </c>
      <c r="N2109" s="24">
        <v>15</v>
      </c>
      <c r="O2109" s="26">
        <f t="shared" si="400"/>
        <v>19.809333333333331</v>
      </c>
      <c r="P2109" s="24">
        <v>1.1000000000000001</v>
      </c>
      <c r="Q2109" s="24">
        <v>36</v>
      </c>
      <c r="R2109" s="27">
        <f t="shared" si="401"/>
        <v>784.44960000000003</v>
      </c>
      <c r="S2109" s="102">
        <f t="shared" si="403"/>
        <v>0.872</v>
      </c>
      <c r="T2109" s="21">
        <f>VLOOKUP($A2109,'2022-23 Salary &amp; Benefits'!$A:$I,5,FALSE)</f>
        <v>68937</v>
      </c>
      <c r="U2109" s="21">
        <f>VLOOKUP($A2109,'2022-23 Salary &amp; Benefits'!$A:$I,6,FALSE)</f>
        <v>72728</v>
      </c>
      <c r="V2109" s="22">
        <f t="shared" si="404"/>
        <v>60113.06</v>
      </c>
      <c r="W2109" s="22">
        <f t="shared" si="405"/>
        <v>3305.760000000002</v>
      </c>
      <c r="X2109" s="22">
        <f>'2022-23 Salary &amp; Benefits'!$G$6</f>
        <v>12558.24</v>
      </c>
      <c r="Y2109" s="23">
        <f>'2022-23 Salary &amp; Benefits'!$H$6</f>
        <v>0.2298</v>
      </c>
      <c r="Z2109" s="23">
        <f>'2022-23 Salary &amp; Benefits'!$I$6</f>
        <v>0.22339999999999999</v>
      </c>
      <c r="AA2109" s="22">
        <f t="shared" si="406"/>
        <v>25503.27</v>
      </c>
      <c r="AB2109" s="22">
        <f t="shared" si="407"/>
        <v>1056.98</v>
      </c>
      <c r="AC2109" s="22">
        <f t="shared" si="408"/>
        <v>236.13</v>
      </c>
      <c r="AD2109" s="22">
        <f t="shared" si="410"/>
        <v>1293.1100000000001</v>
      </c>
      <c r="AE2109" s="22">
        <f t="shared" si="411"/>
        <v>90215.2</v>
      </c>
      <c r="AF2109" s="19" t="str">
        <f>VLOOKUP(C2109,'2021-22 School Level AAFTE'!C:N,12,FALSE)</f>
        <v>No</v>
      </c>
    </row>
    <row r="2110" spans="1:284" s="5" customFormat="1">
      <c r="A2110" s="97" t="s">
        <v>2561</v>
      </c>
      <c r="B2110" s="97" t="s">
        <v>2220</v>
      </c>
      <c r="C2110" s="95">
        <v>2900</v>
      </c>
      <c r="D2110" s="95" t="s">
        <v>2223</v>
      </c>
      <c r="E2110" s="129">
        <f>VLOOKUP($C2110,'2021-22 School Level AAFTE'!$C:$Z,11,FALSE)</f>
        <v>0.84249999999999992</v>
      </c>
      <c r="F2110" s="129" t="str">
        <f>VLOOKUP($C2110,'2021-22 School Level AAFTE'!$C:$Z,8,FALSE)</f>
        <v>Yes</v>
      </c>
      <c r="G2110" s="129" t="str">
        <f>VLOOKUP($C2110,'2021-22 School Level AAFTE'!$C:$Z,12,FALSE)</f>
        <v>No</v>
      </c>
      <c r="H2110" s="127">
        <f>VLOOKUP($C2110,'2021-22 School Level AAFTE'!$C:$I,7,FALSE)</f>
        <v>917.49</v>
      </c>
      <c r="I2110" s="112">
        <f>IFERROR(IF(OR(G2110="yes",F2110= "yes"),VLOOKUP(C2110,Summary!$B:$J,6,0),0),0)</f>
        <v>0</v>
      </c>
      <c r="J2110" s="111">
        <f t="shared" si="402"/>
        <v>917.49</v>
      </c>
      <c r="K2110" s="91">
        <f>VLOOKUP($A2110,'2022-23 Salary &amp; Benefits'!$A:$I,3,FALSE)</f>
        <v>1</v>
      </c>
      <c r="L2110" s="91">
        <f>VLOOKUP($A2110,'2022-23 Salary &amp; Benefits'!$A:$I,4,FALSE)</f>
        <v>1</v>
      </c>
      <c r="M2110" s="101">
        <f t="shared" si="409"/>
        <v>917.49</v>
      </c>
      <c r="N2110" s="24">
        <v>15</v>
      </c>
      <c r="O2110" s="26">
        <f t="shared" si="400"/>
        <v>61.166000000000004</v>
      </c>
      <c r="P2110" s="24">
        <v>1.1000000000000001</v>
      </c>
      <c r="Q2110" s="24">
        <v>36</v>
      </c>
      <c r="R2110" s="27">
        <f t="shared" si="401"/>
        <v>2422.1736000000005</v>
      </c>
      <c r="S2110" s="102">
        <f t="shared" si="403"/>
        <v>2.6909999999999998</v>
      </c>
      <c r="T2110" s="21">
        <f>VLOOKUP($A2110,'2022-23 Salary &amp; Benefits'!$A:$I,5,FALSE)</f>
        <v>68937</v>
      </c>
      <c r="U2110" s="21">
        <f>VLOOKUP($A2110,'2022-23 Salary &amp; Benefits'!$A:$I,6,FALSE)</f>
        <v>72728</v>
      </c>
      <c r="V2110" s="22">
        <f t="shared" si="404"/>
        <v>185509.47</v>
      </c>
      <c r="W2110" s="22">
        <f t="shared" si="405"/>
        <v>10201.579999999987</v>
      </c>
      <c r="X2110" s="22">
        <f>'2022-23 Salary &amp; Benefits'!$G$6</f>
        <v>12558.24</v>
      </c>
      <c r="Y2110" s="23">
        <f>'2022-23 Salary &amp; Benefits'!$H$6</f>
        <v>0.2298</v>
      </c>
      <c r="Z2110" s="23">
        <f>'2022-23 Salary &amp; Benefits'!$I$6</f>
        <v>0.22339999999999999</v>
      </c>
      <c r="AA2110" s="22">
        <f t="shared" si="406"/>
        <v>78703.33</v>
      </c>
      <c r="AB2110" s="22">
        <f t="shared" si="407"/>
        <v>3261.85</v>
      </c>
      <c r="AC2110" s="22">
        <f t="shared" si="408"/>
        <v>728.7</v>
      </c>
      <c r="AD2110" s="22">
        <f t="shared" si="410"/>
        <v>3990.55</v>
      </c>
      <c r="AE2110" s="22">
        <f t="shared" si="411"/>
        <v>278404.93</v>
      </c>
      <c r="AF2110" s="19" t="str">
        <f>VLOOKUP(C2110,'2021-22 School Level AAFTE'!C:N,12,FALSE)</f>
        <v>No</v>
      </c>
    </row>
    <row r="2111" spans="1:284" s="5" customFormat="1">
      <c r="A2111" s="97" t="s">
        <v>2561</v>
      </c>
      <c r="B2111" s="97" t="s">
        <v>2220</v>
      </c>
      <c r="C2111" s="95">
        <v>4106</v>
      </c>
      <c r="D2111" s="95" t="s">
        <v>2224</v>
      </c>
      <c r="E2111" s="129">
        <f>VLOOKUP($C2111,'2021-22 School Level AAFTE'!$C:$Z,11,FALSE)</f>
        <v>0.88616666666666666</v>
      </c>
      <c r="F2111" s="129" t="str">
        <f>VLOOKUP($C2111,'2021-22 School Level AAFTE'!$C:$Z,8,FALSE)</f>
        <v>Yes</v>
      </c>
      <c r="G2111" s="129" t="str">
        <f>VLOOKUP($C2111,'2021-22 School Level AAFTE'!$C:$Z,12,FALSE)</f>
        <v>No</v>
      </c>
      <c r="H2111" s="127">
        <f>VLOOKUP($C2111,'2021-22 School Level AAFTE'!$C:$I,7,FALSE)</f>
        <v>413.29</v>
      </c>
      <c r="I2111" s="112">
        <f>IFERROR(IF(OR(G2111="yes",F2111= "yes"),VLOOKUP(C2111,Summary!$B:$J,6,0),0),0)</f>
        <v>0</v>
      </c>
      <c r="J2111" s="111">
        <f t="shared" si="402"/>
        <v>413.29</v>
      </c>
      <c r="K2111" s="91">
        <f>VLOOKUP($A2111,'2022-23 Salary &amp; Benefits'!$A:$I,3,FALSE)</f>
        <v>1</v>
      </c>
      <c r="L2111" s="91">
        <f>VLOOKUP($A2111,'2022-23 Salary &amp; Benefits'!$A:$I,4,FALSE)</f>
        <v>1</v>
      </c>
      <c r="M2111" s="101">
        <f t="shared" si="409"/>
        <v>413.29</v>
      </c>
      <c r="N2111" s="24">
        <v>15</v>
      </c>
      <c r="O2111" s="26">
        <f t="shared" si="400"/>
        <v>27.552666666666667</v>
      </c>
      <c r="P2111" s="24">
        <v>1.1000000000000001</v>
      </c>
      <c r="Q2111" s="24">
        <v>36</v>
      </c>
      <c r="R2111" s="27">
        <f t="shared" si="401"/>
        <v>1091.0856000000001</v>
      </c>
      <c r="S2111" s="102">
        <f t="shared" si="403"/>
        <v>1.212</v>
      </c>
      <c r="T2111" s="21">
        <f>VLOOKUP($A2111,'2022-23 Salary &amp; Benefits'!$A:$I,5,FALSE)</f>
        <v>68937</v>
      </c>
      <c r="U2111" s="21">
        <f>VLOOKUP($A2111,'2022-23 Salary &amp; Benefits'!$A:$I,6,FALSE)</f>
        <v>72728</v>
      </c>
      <c r="V2111" s="22">
        <f t="shared" si="404"/>
        <v>83551.64</v>
      </c>
      <c r="W2111" s="22">
        <f t="shared" si="405"/>
        <v>4594.6999999999971</v>
      </c>
      <c r="X2111" s="22">
        <f>'2022-23 Salary &amp; Benefits'!$G$6</f>
        <v>12558.24</v>
      </c>
      <c r="Y2111" s="23">
        <f>'2022-23 Salary &amp; Benefits'!$H$6</f>
        <v>0.2298</v>
      </c>
      <c r="Z2111" s="23">
        <f>'2022-23 Salary &amp; Benefits'!$I$6</f>
        <v>0.22339999999999999</v>
      </c>
      <c r="AA2111" s="22">
        <f t="shared" si="406"/>
        <v>35447.21</v>
      </c>
      <c r="AB2111" s="22">
        <f t="shared" si="407"/>
        <v>1469.11</v>
      </c>
      <c r="AC2111" s="22">
        <f t="shared" si="408"/>
        <v>328.2</v>
      </c>
      <c r="AD2111" s="22">
        <f t="shared" si="410"/>
        <v>1797.31</v>
      </c>
      <c r="AE2111" s="22">
        <f t="shared" si="411"/>
        <v>125390.86</v>
      </c>
      <c r="AF2111" s="19" t="str">
        <f>VLOOKUP(C2111,'2021-22 School Level AAFTE'!C:N,12,FALSE)</f>
        <v>No</v>
      </c>
    </row>
    <row r="2112" spans="1:284" s="5" customFormat="1">
      <c r="A2112" s="97" t="s">
        <v>2561</v>
      </c>
      <c r="B2112" s="97" t="s">
        <v>2220</v>
      </c>
      <c r="C2112" s="95">
        <v>4588</v>
      </c>
      <c r="D2112" s="95" t="s">
        <v>2225</v>
      </c>
      <c r="E2112" s="129">
        <f>VLOOKUP($C2112,'2021-22 School Level AAFTE'!$C:$Z,11,FALSE)</f>
        <v>0.88553333333333339</v>
      </c>
      <c r="F2112" s="129" t="str">
        <f>VLOOKUP($C2112,'2021-22 School Level AAFTE'!$C:$Z,8,FALSE)</f>
        <v>Yes</v>
      </c>
      <c r="G2112" s="129" t="str">
        <f>VLOOKUP($C2112,'2021-22 School Level AAFTE'!$C:$Z,12,FALSE)</f>
        <v>No</v>
      </c>
      <c r="H2112" s="127">
        <f>VLOOKUP($C2112,'2021-22 School Level AAFTE'!$C:$I,7,FALSE)</f>
        <v>473.71</v>
      </c>
      <c r="I2112" s="112">
        <f>IFERROR(IF(OR(G2112="yes",F2112= "yes"),VLOOKUP(C2112,Summary!$B:$J,6,0),0),0)</f>
        <v>0</v>
      </c>
      <c r="J2112" s="111">
        <f t="shared" si="402"/>
        <v>473.71</v>
      </c>
      <c r="K2112" s="91">
        <f>VLOOKUP($A2112,'2022-23 Salary &amp; Benefits'!$A:$I,3,FALSE)</f>
        <v>1</v>
      </c>
      <c r="L2112" s="91">
        <f>VLOOKUP($A2112,'2022-23 Salary &amp; Benefits'!$A:$I,4,FALSE)</f>
        <v>1</v>
      </c>
      <c r="M2112" s="39">
        <f t="shared" si="409"/>
        <v>473.71</v>
      </c>
      <c r="N2112" s="24">
        <v>15</v>
      </c>
      <c r="O2112" s="26">
        <f t="shared" si="400"/>
        <v>31.580666666666666</v>
      </c>
      <c r="P2112" s="24">
        <v>1.1000000000000001</v>
      </c>
      <c r="Q2112" s="24">
        <v>36</v>
      </c>
      <c r="R2112" s="27">
        <f t="shared" si="401"/>
        <v>1250.5944000000002</v>
      </c>
      <c r="S2112" s="102">
        <f t="shared" si="403"/>
        <v>1.39</v>
      </c>
      <c r="T2112" s="21">
        <f>VLOOKUP($A2112,'2022-23 Salary &amp; Benefits'!$A:$I,5,FALSE)</f>
        <v>68937</v>
      </c>
      <c r="U2112" s="21">
        <f>VLOOKUP($A2112,'2022-23 Salary &amp; Benefits'!$A:$I,6,FALSE)</f>
        <v>72728</v>
      </c>
      <c r="V2112" s="22">
        <f t="shared" si="404"/>
        <v>95822.43</v>
      </c>
      <c r="W2112" s="22">
        <f t="shared" si="405"/>
        <v>5269.4900000000052</v>
      </c>
      <c r="X2112" s="22">
        <f>'2022-23 Salary &amp; Benefits'!$G$6</f>
        <v>12558.24</v>
      </c>
      <c r="Y2112" s="23">
        <f>'2022-23 Salary &amp; Benefits'!$H$6</f>
        <v>0.2298</v>
      </c>
      <c r="Z2112" s="23">
        <f>'2022-23 Salary &amp; Benefits'!$I$6</f>
        <v>0.22339999999999999</v>
      </c>
      <c r="AA2112" s="22">
        <f t="shared" si="406"/>
        <v>40653.15</v>
      </c>
      <c r="AB2112" s="22">
        <f t="shared" si="407"/>
        <v>1684.87</v>
      </c>
      <c r="AC2112" s="22">
        <f t="shared" si="408"/>
        <v>376.4</v>
      </c>
      <c r="AD2112" s="22">
        <f t="shared" si="410"/>
        <v>2061.27</v>
      </c>
      <c r="AE2112" s="22">
        <f t="shared" si="411"/>
        <v>143806.34</v>
      </c>
      <c r="AF2112" s="19" t="str">
        <f>VLOOKUP(C2112,'2021-22 School Level AAFTE'!C:N,12,FALSE)</f>
        <v>No</v>
      </c>
    </row>
    <row r="2113" spans="1:32" s="5" customFormat="1">
      <c r="A2113" s="97" t="s">
        <v>2561</v>
      </c>
      <c r="B2113" s="97" t="s">
        <v>2220</v>
      </c>
      <c r="C2113" s="95">
        <v>5262</v>
      </c>
      <c r="D2113" s="95" t="s">
        <v>2226</v>
      </c>
      <c r="E2113" s="129">
        <f>VLOOKUP($C2113,'2021-22 School Level AAFTE'!$C:$Z,11,FALSE)</f>
        <v>0.41323333333333334</v>
      </c>
      <c r="F2113" s="129" t="str">
        <f>VLOOKUP($C2113,'2021-22 School Level AAFTE'!$C:$Z,8,FALSE)</f>
        <v>No</v>
      </c>
      <c r="G2113" s="129" t="str">
        <f>VLOOKUP($C2113,'2021-22 School Level AAFTE'!$C:$Z,12,FALSE)</f>
        <v>No</v>
      </c>
      <c r="H2113" s="127">
        <f>VLOOKUP($C2113,'2021-22 School Level AAFTE'!$C:$I,7,FALSE)</f>
        <v>679.46</v>
      </c>
      <c r="I2113" s="112">
        <f>IFERROR(IF(OR(G2113="yes",F2113= "yes"),VLOOKUP(C2113,Summary!$B:$J,6,0),0),0)</f>
        <v>0</v>
      </c>
      <c r="J2113" s="111">
        <f t="shared" si="402"/>
        <v>0</v>
      </c>
      <c r="K2113" s="91">
        <f>VLOOKUP($A2113,'2022-23 Salary &amp; Benefits'!$A:$I,3,FALSE)</f>
        <v>1</v>
      </c>
      <c r="L2113" s="91">
        <f>VLOOKUP($A2113,'2022-23 Salary &amp; Benefits'!$A:$I,4,FALSE)</f>
        <v>1</v>
      </c>
      <c r="M2113" s="39">
        <f t="shared" si="409"/>
        <v>0</v>
      </c>
      <c r="N2113" s="24">
        <v>15</v>
      </c>
      <c r="O2113" s="26">
        <f t="shared" si="400"/>
        <v>0</v>
      </c>
      <c r="P2113" s="24">
        <v>1.1000000000000001</v>
      </c>
      <c r="Q2113" s="24">
        <v>36</v>
      </c>
      <c r="R2113" s="27">
        <f t="shared" si="401"/>
        <v>0</v>
      </c>
      <c r="S2113" s="102">
        <f t="shared" si="403"/>
        <v>0</v>
      </c>
      <c r="T2113" s="21">
        <f>VLOOKUP($A2113,'2022-23 Salary &amp; Benefits'!$A:$I,5,FALSE)</f>
        <v>68937</v>
      </c>
      <c r="U2113" s="21">
        <f>VLOOKUP($A2113,'2022-23 Salary &amp; Benefits'!$A:$I,6,FALSE)</f>
        <v>72728</v>
      </c>
      <c r="V2113" s="22">
        <f t="shared" si="404"/>
        <v>0</v>
      </c>
      <c r="W2113" s="22">
        <f t="shared" si="405"/>
        <v>0</v>
      </c>
      <c r="X2113" s="22">
        <f>'2022-23 Salary &amp; Benefits'!$G$6</f>
        <v>12558.24</v>
      </c>
      <c r="Y2113" s="23">
        <f>'2022-23 Salary &amp; Benefits'!$H$6</f>
        <v>0.2298</v>
      </c>
      <c r="Z2113" s="23">
        <f>'2022-23 Salary &amp; Benefits'!$I$6</f>
        <v>0.22339999999999999</v>
      </c>
      <c r="AA2113" s="22">
        <f t="shared" si="406"/>
        <v>0</v>
      </c>
      <c r="AB2113" s="22">
        <f t="shared" si="407"/>
        <v>0</v>
      </c>
      <c r="AC2113" s="22">
        <f t="shared" si="408"/>
        <v>0</v>
      </c>
      <c r="AD2113" s="22">
        <f t="shared" si="410"/>
        <v>0</v>
      </c>
      <c r="AE2113" s="22">
        <f t="shared" si="411"/>
        <v>0</v>
      </c>
      <c r="AF2113" s="19" t="str">
        <f>VLOOKUP(C2113,'2021-22 School Level AAFTE'!C:N,12,FALSE)</f>
        <v>No</v>
      </c>
    </row>
    <row r="2114" spans="1:32" s="5" customFormat="1">
      <c r="A2114" s="97" t="s">
        <v>2528</v>
      </c>
      <c r="B2114" s="97" t="s">
        <v>2053</v>
      </c>
      <c r="C2114" s="95">
        <v>2160</v>
      </c>
      <c r="D2114" s="95" t="s">
        <v>2054</v>
      </c>
      <c r="E2114" s="129">
        <f>VLOOKUP($C2114,'2021-22 School Level AAFTE'!$C:$Z,11,FALSE)</f>
        <v>0.51969999999999994</v>
      </c>
      <c r="F2114" s="129" t="str">
        <f>VLOOKUP($C2114,'2021-22 School Level AAFTE'!$C:$Z,8,FALSE)</f>
        <v>Yes</v>
      </c>
      <c r="G2114" s="129" t="str">
        <f>VLOOKUP($C2114,'2021-22 School Level AAFTE'!$C:$Z,12,FALSE)</f>
        <v>No</v>
      </c>
      <c r="H2114" s="127">
        <f>VLOOKUP($C2114,'2021-22 School Level AAFTE'!$C:$I,7,FALSE)</f>
        <v>202.21</v>
      </c>
      <c r="I2114" s="112">
        <f>IFERROR(IF(OR(G2114="yes",F2114= "yes"),VLOOKUP(C2114,Summary!$B:$J,6,0),0),0)</f>
        <v>0</v>
      </c>
      <c r="J2114" s="111">
        <f t="shared" si="402"/>
        <v>202.21</v>
      </c>
      <c r="K2114" s="91">
        <f>VLOOKUP($A2114,'2022-23 Salary &amp; Benefits'!$A:$I,3,FALSE)</f>
        <v>1</v>
      </c>
      <c r="L2114" s="91">
        <f>VLOOKUP($A2114,'2022-23 Salary &amp; Benefits'!$A:$I,4,FALSE)</f>
        <v>1</v>
      </c>
      <c r="M2114" s="39">
        <f t="shared" si="409"/>
        <v>202.21</v>
      </c>
      <c r="N2114" s="24">
        <v>15</v>
      </c>
      <c r="O2114" s="26">
        <f t="shared" si="400"/>
        <v>13.480666666666668</v>
      </c>
      <c r="P2114" s="24">
        <v>1.1000000000000001</v>
      </c>
      <c r="Q2114" s="24">
        <v>36</v>
      </c>
      <c r="R2114" s="27">
        <f t="shared" si="401"/>
        <v>533.83440000000007</v>
      </c>
      <c r="S2114" s="102">
        <f t="shared" si="403"/>
        <v>0.59299999999999997</v>
      </c>
      <c r="T2114" s="21">
        <f>VLOOKUP($A2114,'2022-23 Salary &amp; Benefits'!$A:$I,5,FALSE)</f>
        <v>68937</v>
      </c>
      <c r="U2114" s="21">
        <f>VLOOKUP($A2114,'2022-23 Salary &amp; Benefits'!$A:$I,6,FALSE)</f>
        <v>72728</v>
      </c>
      <c r="V2114" s="22">
        <f t="shared" si="404"/>
        <v>40879.64</v>
      </c>
      <c r="W2114" s="22">
        <f t="shared" si="405"/>
        <v>2248.0599999999977</v>
      </c>
      <c r="X2114" s="22">
        <f>'2022-23 Salary &amp; Benefits'!$G$6</f>
        <v>12558.24</v>
      </c>
      <c r="Y2114" s="23">
        <f>'2022-23 Salary &amp; Benefits'!$H$6</f>
        <v>0.2298</v>
      </c>
      <c r="Z2114" s="23">
        <f>'2022-23 Salary &amp; Benefits'!$I$6</f>
        <v>0.22339999999999999</v>
      </c>
      <c r="AA2114" s="22">
        <f t="shared" si="406"/>
        <v>17343.39</v>
      </c>
      <c r="AB2114" s="22">
        <f t="shared" si="407"/>
        <v>718.8</v>
      </c>
      <c r="AC2114" s="22">
        <f t="shared" si="408"/>
        <v>160.58000000000001</v>
      </c>
      <c r="AD2114" s="22">
        <f t="shared" si="410"/>
        <v>879.38</v>
      </c>
      <c r="AE2114" s="22">
        <f t="shared" si="411"/>
        <v>61350.469999999994</v>
      </c>
      <c r="AF2114" s="19" t="str">
        <f>VLOOKUP(C2114,'2021-22 School Level AAFTE'!C:N,12,FALSE)</f>
        <v>No</v>
      </c>
    </row>
    <row r="2115" spans="1:32" s="5" customFormat="1">
      <c r="A2115" s="97" t="s">
        <v>2296</v>
      </c>
      <c r="B2115" s="97" t="s">
        <v>311</v>
      </c>
      <c r="C2115" s="95">
        <v>2560</v>
      </c>
      <c r="D2115" s="95" t="s">
        <v>312</v>
      </c>
      <c r="E2115" s="129">
        <f>VLOOKUP($C2115,'2021-22 School Level AAFTE'!$C:$Z,11,FALSE)</f>
        <v>0.3479666666666667</v>
      </c>
      <c r="F2115" s="129" t="str">
        <f>VLOOKUP($C2115,'2021-22 School Level AAFTE'!$C:$Z,8,FALSE)</f>
        <v>No</v>
      </c>
      <c r="G2115" s="129" t="str">
        <f>VLOOKUP($C2115,'2021-22 School Level AAFTE'!$C:$Z,12,FALSE)</f>
        <v>No</v>
      </c>
      <c r="H2115" s="127">
        <f>VLOOKUP($C2115,'2021-22 School Level AAFTE'!$C:$I,7,FALSE)</f>
        <v>302.80999999999995</v>
      </c>
      <c r="I2115" s="112">
        <f>IFERROR(IF(OR(G2115="yes",F2115= "yes"),VLOOKUP(C2115,Summary!$B:$J,6,0),0),0)</f>
        <v>0</v>
      </c>
      <c r="J2115" s="111">
        <f t="shared" si="402"/>
        <v>0</v>
      </c>
      <c r="K2115" s="91">
        <f>VLOOKUP($A2115,'2022-23 Salary &amp; Benefits'!$A:$I,3,FALSE)</f>
        <v>1</v>
      </c>
      <c r="L2115" s="91">
        <f>VLOOKUP($A2115,'2022-23 Salary &amp; Benefits'!$A:$I,4,FALSE)</f>
        <v>1.04</v>
      </c>
      <c r="M2115" s="39">
        <f t="shared" si="409"/>
        <v>0</v>
      </c>
      <c r="N2115" s="24">
        <v>15</v>
      </c>
      <c r="O2115" s="26">
        <f t="shared" si="400"/>
        <v>0</v>
      </c>
      <c r="P2115" s="24">
        <v>1.1000000000000001</v>
      </c>
      <c r="Q2115" s="24">
        <v>36</v>
      </c>
      <c r="R2115" s="27">
        <f t="shared" si="401"/>
        <v>0</v>
      </c>
      <c r="S2115" s="102">
        <f t="shared" si="403"/>
        <v>0</v>
      </c>
      <c r="T2115" s="21">
        <f>VLOOKUP($A2115,'2022-23 Salary &amp; Benefits'!$A:$I,5,FALSE)</f>
        <v>68937</v>
      </c>
      <c r="U2115" s="21">
        <f>VLOOKUP($A2115,'2022-23 Salary &amp; Benefits'!$A:$I,6,FALSE)</f>
        <v>72728</v>
      </c>
      <c r="V2115" s="22">
        <f t="shared" si="404"/>
        <v>0</v>
      </c>
      <c r="W2115" s="22">
        <f t="shared" si="405"/>
        <v>0</v>
      </c>
      <c r="X2115" s="22">
        <f>'2022-23 Salary &amp; Benefits'!$G$6</f>
        <v>12558.24</v>
      </c>
      <c r="Y2115" s="23">
        <f>'2022-23 Salary &amp; Benefits'!$H$6</f>
        <v>0.2298</v>
      </c>
      <c r="Z2115" s="23">
        <f>'2022-23 Salary &amp; Benefits'!$I$6</f>
        <v>0.22339999999999999</v>
      </c>
      <c r="AA2115" s="22">
        <f t="shared" si="406"/>
        <v>0</v>
      </c>
      <c r="AB2115" s="22">
        <f t="shared" si="407"/>
        <v>0</v>
      </c>
      <c r="AC2115" s="22">
        <f t="shared" si="408"/>
        <v>0</v>
      </c>
      <c r="AD2115" s="22">
        <f t="shared" si="410"/>
        <v>0</v>
      </c>
      <c r="AE2115" s="22">
        <f t="shared" si="411"/>
        <v>0</v>
      </c>
      <c r="AF2115" s="19" t="str">
        <f>VLOOKUP(C2115,'2021-22 School Level AAFTE'!C:N,12,FALSE)</f>
        <v>No</v>
      </c>
    </row>
    <row r="2116" spans="1:32" s="5" customFormat="1">
      <c r="A2116" s="97" t="s">
        <v>2296</v>
      </c>
      <c r="B2116" s="97" t="s">
        <v>311</v>
      </c>
      <c r="C2116" s="95">
        <v>4264</v>
      </c>
      <c r="D2116" s="95" t="s">
        <v>313</v>
      </c>
      <c r="E2116" s="129">
        <f>VLOOKUP($C2116,'2021-22 School Level AAFTE'!$C:$Z,11,FALSE)</f>
        <v>0.4294</v>
      </c>
      <c r="F2116" s="129" t="str">
        <f>VLOOKUP($C2116,'2021-22 School Level AAFTE'!$C:$Z,8,FALSE)</f>
        <v>No</v>
      </c>
      <c r="G2116" s="129" t="str">
        <f>VLOOKUP($C2116,'2021-22 School Level AAFTE'!$C:$Z,12,FALSE)</f>
        <v>No</v>
      </c>
      <c r="H2116" s="127">
        <f>VLOOKUP($C2116,'2021-22 School Level AAFTE'!$C:$I,7,FALSE)</f>
        <v>391.14</v>
      </c>
      <c r="I2116" s="112">
        <f>IFERROR(IF(OR(G2116="yes",F2116= "yes"),VLOOKUP(C2116,Summary!$B:$J,6,0),0),0)</f>
        <v>0</v>
      </c>
      <c r="J2116" s="111">
        <f t="shared" si="402"/>
        <v>0</v>
      </c>
      <c r="K2116" s="91">
        <f>VLOOKUP($A2116,'2022-23 Salary &amp; Benefits'!$A:$I,3,FALSE)</f>
        <v>1</v>
      </c>
      <c r="L2116" s="91">
        <f>VLOOKUP($A2116,'2022-23 Salary &amp; Benefits'!$A:$I,4,FALSE)</f>
        <v>1.04</v>
      </c>
      <c r="M2116" s="39">
        <f t="shared" si="409"/>
        <v>0</v>
      </c>
      <c r="N2116" s="24">
        <v>15</v>
      </c>
      <c r="O2116" s="26">
        <f t="shared" si="400"/>
        <v>0</v>
      </c>
      <c r="P2116" s="24">
        <v>1.1000000000000001</v>
      </c>
      <c r="Q2116" s="24">
        <v>36</v>
      </c>
      <c r="R2116" s="27">
        <f t="shared" si="401"/>
        <v>0</v>
      </c>
      <c r="S2116" s="102">
        <f t="shared" si="403"/>
        <v>0</v>
      </c>
      <c r="T2116" s="21">
        <f>VLOOKUP($A2116,'2022-23 Salary &amp; Benefits'!$A:$I,5,FALSE)</f>
        <v>68937</v>
      </c>
      <c r="U2116" s="21">
        <f>VLOOKUP($A2116,'2022-23 Salary &amp; Benefits'!$A:$I,6,FALSE)</f>
        <v>72728</v>
      </c>
      <c r="V2116" s="22">
        <f t="shared" si="404"/>
        <v>0</v>
      </c>
      <c r="W2116" s="22">
        <f t="shared" si="405"/>
        <v>0</v>
      </c>
      <c r="X2116" s="22">
        <f>'2022-23 Salary &amp; Benefits'!$G$6</f>
        <v>12558.24</v>
      </c>
      <c r="Y2116" s="23">
        <f>'2022-23 Salary &amp; Benefits'!$H$6</f>
        <v>0.2298</v>
      </c>
      <c r="Z2116" s="23">
        <f>'2022-23 Salary &amp; Benefits'!$I$6</f>
        <v>0.22339999999999999</v>
      </c>
      <c r="AA2116" s="22">
        <f t="shared" si="406"/>
        <v>0</v>
      </c>
      <c r="AB2116" s="22">
        <f t="shared" si="407"/>
        <v>0</v>
      </c>
      <c r="AC2116" s="22">
        <f t="shared" si="408"/>
        <v>0</v>
      </c>
      <c r="AD2116" s="22">
        <f t="shared" si="410"/>
        <v>0</v>
      </c>
      <c r="AE2116" s="22">
        <f t="shared" si="411"/>
        <v>0</v>
      </c>
      <c r="AF2116" s="19" t="str">
        <f>VLOOKUP(C2116,'2021-22 School Level AAFTE'!C:N,12,FALSE)</f>
        <v>No</v>
      </c>
    </row>
    <row r="2117" spans="1:32" s="5" customFormat="1">
      <c r="A2117" s="97" t="s">
        <v>2386</v>
      </c>
      <c r="B2117" s="97" t="s">
        <v>1110</v>
      </c>
      <c r="C2117" s="95">
        <v>2676</v>
      </c>
      <c r="D2117" s="95" t="s">
        <v>1111</v>
      </c>
      <c r="E2117" s="129">
        <f>VLOOKUP($C2117,'2021-22 School Level AAFTE'!$C:$Z,11,FALSE)</f>
        <v>0</v>
      </c>
      <c r="F2117" s="129" t="str">
        <f>VLOOKUP($C2117,'2021-22 School Level AAFTE'!$C:$Z,8,FALSE)</f>
        <v>No</v>
      </c>
      <c r="G2117" s="129" t="str">
        <f>VLOOKUP($C2117,'2021-22 School Level AAFTE'!$C:$Z,12,FALSE)</f>
        <v>No</v>
      </c>
      <c r="H2117" s="127">
        <f>VLOOKUP($C2117,'2021-22 School Level AAFTE'!$C:$I,7,FALSE)</f>
        <v>127.01</v>
      </c>
      <c r="I2117" s="112">
        <f>IFERROR(IF(OR(G2117="yes",F2117= "yes"),VLOOKUP(C2117,Summary!$B:$J,6,0),0),0)</f>
        <v>0</v>
      </c>
      <c r="J2117" s="111">
        <f t="shared" si="402"/>
        <v>0</v>
      </c>
      <c r="K2117" s="91">
        <f>VLOOKUP($A2117,'2022-23 Salary &amp; Benefits'!$A:$I,3,FALSE)</f>
        <v>1</v>
      </c>
      <c r="L2117" s="91">
        <f>VLOOKUP($A2117,'2022-23 Salary &amp; Benefits'!$A:$I,4,FALSE)</f>
        <v>1</v>
      </c>
      <c r="M2117" s="39">
        <f t="shared" si="409"/>
        <v>0</v>
      </c>
      <c r="N2117" s="24">
        <v>15</v>
      </c>
      <c r="O2117" s="26">
        <f t="shared" si="400"/>
        <v>0</v>
      </c>
      <c r="P2117" s="24">
        <v>1.1000000000000001</v>
      </c>
      <c r="Q2117" s="24">
        <v>36</v>
      </c>
      <c r="R2117" s="27">
        <f t="shared" si="401"/>
        <v>0</v>
      </c>
      <c r="S2117" s="102">
        <f t="shared" si="403"/>
        <v>0</v>
      </c>
      <c r="T2117" s="21">
        <f>VLOOKUP($A2117,'2022-23 Salary &amp; Benefits'!$A:$I,5,FALSE)</f>
        <v>68937</v>
      </c>
      <c r="U2117" s="21">
        <f>VLOOKUP($A2117,'2022-23 Salary &amp; Benefits'!$A:$I,6,FALSE)</f>
        <v>72728</v>
      </c>
      <c r="V2117" s="22">
        <f t="shared" si="404"/>
        <v>0</v>
      </c>
      <c r="W2117" s="22">
        <f t="shared" si="405"/>
        <v>0</v>
      </c>
      <c r="X2117" s="22">
        <f>'2022-23 Salary &amp; Benefits'!$G$6</f>
        <v>12558.24</v>
      </c>
      <c r="Y2117" s="23">
        <f>'2022-23 Salary &amp; Benefits'!$H$6</f>
        <v>0.2298</v>
      </c>
      <c r="Z2117" s="23">
        <f>'2022-23 Salary &amp; Benefits'!$I$6</f>
        <v>0.22339999999999999</v>
      </c>
      <c r="AA2117" s="22">
        <f t="shared" si="406"/>
        <v>0</v>
      </c>
      <c r="AB2117" s="22">
        <f t="shared" si="407"/>
        <v>0</v>
      </c>
      <c r="AC2117" s="22">
        <f t="shared" si="408"/>
        <v>0</v>
      </c>
      <c r="AD2117" s="22">
        <f t="shared" si="410"/>
        <v>0</v>
      </c>
      <c r="AE2117" s="22">
        <f t="shared" si="411"/>
        <v>0</v>
      </c>
      <c r="AF2117" s="19" t="str">
        <f>VLOOKUP(C2117,'2021-22 School Level AAFTE'!C:N,12,FALSE)</f>
        <v>No</v>
      </c>
    </row>
    <row r="2118" spans="1:32" s="5" customFormat="1">
      <c r="A2118" s="97" t="s">
        <v>2386</v>
      </c>
      <c r="B2118" s="97" t="s">
        <v>1110</v>
      </c>
      <c r="C2118" s="95">
        <v>3062</v>
      </c>
      <c r="D2118" s="95" t="s">
        <v>1112</v>
      </c>
      <c r="E2118" s="129">
        <f>VLOOKUP($C2118,'2021-22 School Level AAFTE'!$C:$Z,11,FALSE)</f>
        <v>0</v>
      </c>
      <c r="F2118" s="129" t="str">
        <f>VLOOKUP($C2118,'2021-22 School Level AAFTE'!$C:$Z,8,FALSE)</f>
        <v>No</v>
      </c>
      <c r="G2118" s="129" t="str">
        <f>VLOOKUP($C2118,'2021-22 School Level AAFTE'!$C:$Z,12,FALSE)</f>
        <v>No</v>
      </c>
      <c r="H2118" s="127">
        <f>VLOOKUP($C2118,'2021-22 School Level AAFTE'!$C:$I,7,FALSE)</f>
        <v>62.14</v>
      </c>
      <c r="I2118" s="112">
        <f>IFERROR(IF(OR(G2118="yes",F2118= "yes"),VLOOKUP(C2118,Summary!$B:$J,6,0),0),0)</f>
        <v>0</v>
      </c>
      <c r="J2118" s="111">
        <f t="shared" si="402"/>
        <v>0</v>
      </c>
      <c r="K2118" s="91">
        <f>VLOOKUP($A2118,'2022-23 Salary &amp; Benefits'!$A:$I,3,FALSE)</f>
        <v>1</v>
      </c>
      <c r="L2118" s="91">
        <f>VLOOKUP($A2118,'2022-23 Salary &amp; Benefits'!$A:$I,4,FALSE)</f>
        <v>1</v>
      </c>
      <c r="M2118" s="39">
        <f t="shared" si="409"/>
        <v>0</v>
      </c>
      <c r="N2118" s="24">
        <v>15</v>
      </c>
      <c r="O2118" s="26">
        <f t="shared" si="400"/>
        <v>0</v>
      </c>
      <c r="P2118" s="24">
        <v>1.1000000000000001</v>
      </c>
      <c r="Q2118" s="24">
        <v>36</v>
      </c>
      <c r="R2118" s="27">
        <f t="shared" si="401"/>
        <v>0</v>
      </c>
      <c r="S2118" s="102">
        <f t="shared" si="403"/>
        <v>0</v>
      </c>
      <c r="T2118" s="21">
        <f>VLOOKUP($A2118,'2022-23 Salary &amp; Benefits'!$A:$I,5,FALSE)</f>
        <v>68937</v>
      </c>
      <c r="U2118" s="21">
        <f>VLOOKUP($A2118,'2022-23 Salary &amp; Benefits'!$A:$I,6,FALSE)</f>
        <v>72728</v>
      </c>
      <c r="V2118" s="22">
        <f t="shared" si="404"/>
        <v>0</v>
      </c>
      <c r="W2118" s="22">
        <f t="shared" si="405"/>
        <v>0</v>
      </c>
      <c r="X2118" s="22">
        <f>'2022-23 Salary &amp; Benefits'!$G$6</f>
        <v>12558.24</v>
      </c>
      <c r="Y2118" s="23">
        <f>'2022-23 Salary &amp; Benefits'!$H$6</f>
        <v>0.2298</v>
      </c>
      <c r="Z2118" s="23">
        <f>'2022-23 Salary &amp; Benefits'!$I$6</f>
        <v>0.22339999999999999</v>
      </c>
      <c r="AA2118" s="22">
        <f t="shared" si="406"/>
        <v>0</v>
      </c>
      <c r="AB2118" s="22">
        <f t="shared" si="407"/>
        <v>0</v>
      </c>
      <c r="AC2118" s="22">
        <f t="shared" si="408"/>
        <v>0</v>
      </c>
      <c r="AD2118" s="22">
        <f t="shared" si="410"/>
        <v>0</v>
      </c>
      <c r="AE2118" s="22">
        <f t="shared" si="411"/>
        <v>0</v>
      </c>
      <c r="AF2118" s="19" t="str">
        <f>VLOOKUP(C2118,'2021-22 School Level AAFTE'!C:N,12,FALSE)</f>
        <v>No</v>
      </c>
    </row>
    <row r="2119" spans="1:32" s="5" customFormat="1">
      <c r="A2119" s="97" t="s">
        <v>2357</v>
      </c>
      <c r="B2119" s="97" t="s">
        <v>792</v>
      </c>
      <c r="C2119" s="95">
        <v>2564</v>
      </c>
      <c r="D2119" s="95" t="s">
        <v>793</v>
      </c>
      <c r="E2119" s="129">
        <f>VLOOKUP($C2119,'2021-22 School Level AAFTE'!$C:$Z,11,FALSE)</f>
        <v>0.75446666666666662</v>
      </c>
      <c r="F2119" s="129" t="str">
        <f>VLOOKUP($C2119,'2021-22 School Level AAFTE'!$C:$Z,8,FALSE)</f>
        <v>Yes</v>
      </c>
      <c r="G2119" s="129" t="str">
        <f>VLOOKUP($C2119,'2021-22 School Level AAFTE'!$C:$Z,12,FALSE)</f>
        <v>No</v>
      </c>
      <c r="H2119" s="127">
        <f>VLOOKUP($C2119,'2021-22 School Level AAFTE'!$C:$I,7,FALSE)</f>
        <v>588.89</v>
      </c>
      <c r="I2119" s="112">
        <f>IFERROR(IF(OR(G2119="yes",F2119= "yes"),VLOOKUP(C2119,Summary!$B:$J,6,0),0),0)</f>
        <v>0</v>
      </c>
      <c r="J2119" s="111">
        <f t="shared" si="402"/>
        <v>588.89</v>
      </c>
      <c r="K2119" s="91">
        <f>VLOOKUP($A2119,'2022-23 Salary &amp; Benefits'!$A:$I,3,FALSE)</f>
        <v>1.18</v>
      </c>
      <c r="L2119" s="91">
        <f>VLOOKUP($A2119,'2022-23 Salary &amp; Benefits'!$A:$I,4,FALSE)</f>
        <v>1.18</v>
      </c>
      <c r="M2119" s="39">
        <f t="shared" si="409"/>
        <v>588.89</v>
      </c>
      <c r="N2119" s="24">
        <v>15</v>
      </c>
      <c r="O2119" s="26">
        <f t="shared" si="400"/>
        <v>39.259333333333331</v>
      </c>
      <c r="P2119" s="24">
        <v>1.1000000000000001</v>
      </c>
      <c r="Q2119" s="24">
        <v>36</v>
      </c>
      <c r="R2119" s="27">
        <f t="shared" si="401"/>
        <v>1554.6695999999999</v>
      </c>
      <c r="S2119" s="102">
        <f t="shared" si="403"/>
        <v>1.7270000000000001</v>
      </c>
      <c r="T2119" s="21">
        <f>VLOOKUP($A2119,'2022-23 Salary &amp; Benefits'!$A:$I,5,FALSE)</f>
        <v>68937</v>
      </c>
      <c r="U2119" s="21">
        <f>VLOOKUP($A2119,'2022-23 Salary &amp; Benefits'!$A:$I,6,FALSE)</f>
        <v>72728</v>
      </c>
      <c r="V2119" s="22">
        <f t="shared" si="404"/>
        <v>140483.95000000001</v>
      </c>
      <c r="W2119" s="22">
        <f t="shared" si="405"/>
        <v>7725.5299999999988</v>
      </c>
      <c r="X2119" s="22">
        <f>'2022-23 Salary &amp; Benefits'!$G$6</f>
        <v>12558.24</v>
      </c>
      <c r="Y2119" s="23">
        <f>'2022-23 Salary &amp; Benefits'!$H$6</f>
        <v>0.2298</v>
      </c>
      <c r="Z2119" s="23">
        <f>'2022-23 Salary &amp; Benefits'!$I$6</f>
        <v>0.22339999999999999</v>
      </c>
      <c r="AA2119" s="22">
        <f t="shared" si="406"/>
        <v>55697.18</v>
      </c>
      <c r="AB2119" s="22">
        <f t="shared" si="407"/>
        <v>2470.16</v>
      </c>
      <c r="AC2119" s="22">
        <f t="shared" si="408"/>
        <v>551.83000000000004</v>
      </c>
      <c r="AD2119" s="22">
        <f t="shared" si="410"/>
        <v>3021.99</v>
      </c>
      <c r="AE2119" s="22">
        <f t="shared" si="411"/>
        <v>206928.65</v>
      </c>
      <c r="AF2119" s="19" t="str">
        <f>VLOOKUP(C2119,'2021-22 School Level AAFTE'!C:N,12,FALSE)</f>
        <v>No</v>
      </c>
    </row>
    <row r="2120" spans="1:32" s="5" customFormat="1">
      <c r="A2120" s="97" t="s">
        <v>2357</v>
      </c>
      <c r="B2120" s="97" t="s">
        <v>792</v>
      </c>
      <c r="C2120" s="95">
        <v>2848</v>
      </c>
      <c r="D2120" s="95" t="s">
        <v>794</v>
      </c>
      <c r="E2120" s="129">
        <f>VLOOKUP($C2120,'2021-22 School Level AAFTE'!$C:$Z,11,FALSE)</f>
        <v>0.67896666666666672</v>
      </c>
      <c r="F2120" s="129" t="str">
        <f>VLOOKUP($C2120,'2021-22 School Level AAFTE'!$C:$Z,8,FALSE)</f>
        <v>Yes</v>
      </c>
      <c r="G2120" s="129" t="str">
        <f>VLOOKUP($C2120,'2021-22 School Level AAFTE'!$C:$Z,12,FALSE)</f>
        <v>No</v>
      </c>
      <c r="H2120" s="127">
        <f>VLOOKUP($C2120,'2021-22 School Level AAFTE'!$C:$I,7,FALSE)</f>
        <v>794.31999999999994</v>
      </c>
      <c r="I2120" s="112">
        <f>IFERROR(IF(OR(G2120="yes",F2120= "yes"),VLOOKUP(C2120,Summary!$B:$J,6,0),0),0)</f>
        <v>0</v>
      </c>
      <c r="J2120" s="111">
        <f t="shared" si="402"/>
        <v>794.31999999999994</v>
      </c>
      <c r="K2120" s="91">
        <f>VLOOKUP($A2120,'2022-23 Salary &amp; Benefits'!$A:$I,3,FALSE)</f>
        <v>1.18</v>
      </c>
      <c r="L2120" s="91">
        <f>VLOOKUP($A2120,'2022-23 Salary &amp; Benefits'!$A:$I,4,FALSE)</f>
        <v>1.18</v>
      </c>
      <c r="M2120" s="39">
        <f t="shared" si="409"/>
        <v>794.31999999999994</v>
      </c>
      <c r="N2120" s="24">
        <v>15</v>
      </c>
      <c r="O2120" s="26">
        <f t="shared" si="400"/>
        <v>52.954666666666661</v>
      </c>
      <c r="P2120" s="24">
        <v>1.1000000000000001</v>
      </c>
      <c r="Q2120" s="24">
        <v>36</v>
      </c>
      <c r="R2120" s="27">
        <f t="shared" si="401"/>
        <v>2097.0047999999997</v>
      </c>
      <c r="S2120" s="102">
        <f t="shared" si="403"/>
        <v>2.33</v>
      </c>
      <c r="T2120" s="21">
        <f>VLOOKUP($A2120,'2022-23 Salary &amp; Benefits'!$A:$I,5,FALSE)</f>
        <v>68937</v>
      </c>
      <c r="U2120" s="21">
        <f>VLOOKUP($A2120,'2022-23 Salary &amp; Benefits'!$A:$I,6,FALSE)</f>
        <v>72728</v>
      </c>
      <c r="V2120" s="22">
        <f t="shared" si="404"/>
        <v>189535.39</v>
      </c>
      <c r="W2120" s="22">
        <f t="shared" si="405"/>
        <v>10422.969999999972</v>
      </c>
      <c r="X2120" s="22">
        <f>'2022-23 Salary &amp; Benefits'!$G$6</f>
        <v>12558.24</v>
      </c>
      <c r="Y2120" s="23">
        <f>'2022-23 Salary &amp; Benefits'!$H$6</f>
        <v>0.2298</v>
      </c>
      <c r="Z2120" s="23">
        <f>'2022-23 Salary &amp; Benefits'!$I$6</f>
        <v>0.22339999999999999</v>
      </c>
      <c r="AA2120" s="22">
        <f t="shared" si="406"/>
        <v>75144.42</v>
      </c>
      <c r="AB2120" s="22">
        <f t="shared" si="407"/>
        <v>3332.64</v>
      </c>
      <c r="AC2120" s="22">
        <f t="shared" si="408"/>
        <v>744.51</v>
      </c>
      <c r="AD2120" s="22">
        <f t="shared" si="410"/>
        <v>4077.1499999999996</v>
      </c>
      <c r="AE2120" s="22">
        <f t="shared" si="411"/>
        <v>279179.93</v>
      </c>
      <c r="AF2120" s="19" t="str">
        <f>VLOOKUP(C2120,'2021-22 School Level AAFTE'!C:N,12,FALSE)</f>
        <v>No</v>
      </c>
    </row>
    <row r="2121" spans="1:32" s="5" customFormat="1">
      <c r="A2121" s="97" t="s">
        <v>2357</v>
      </c>
      <c r="B2121" s="97" t="s">
        <v>792</v>
      </c>
      <c r="C2121" s="95">
        <v>3226</v>
      </c>
      <c r="D2121" s="95" t="s">
        <v>795</v>
      </c>
      <c r="E2121" s="129">
        <f>VLOOKUP($C2121,'2021-22 School Level AAFTE'!$C:$Z,11,FALSE)</f>
        <v>0.80799999999999994</v>
      </c>
      <c r="F2121" s="129" t="str">
        <f>VLOOKUP($C2121,'2021-22 School Level AAFTE'!$C:$Z,8,FALSE)</f>
        <v>Yes</v>
      </c>
      <c r="G2121" s="129" t="str">
        <f>VLOOKUP($C2121,'2021-22 School Level AAFTE'!$C:$Z,12,FALSE)</f>
        <v>No</v>
      </c>
      <c r="H2121" s="127">
        <f>VLOOKUP($C2121,'2021-22 School Level AAFTE'!$C:$I,7,FALSE)</f>
        <v>393.29</v>
      </c>
      <c r="I2121" s="112">
        <f>IFERROR(IF(OR(G2121="yes",F2121= "yes"),VLOOKUP(C2121,Summary!$B:$J,6,0),0),0)</f>
        <v>0</v>
      </c>
      <c r="J2121" s="111">
        <f t="shared" si="402"/>
        <v>393.29</v>
      </c>
      <c r="K2121" s="91">
        <f>VLOOKUP($A2121,'2022-23 Salary &amp; Benefits'!$A:$I,3,FALSE)</f>
        <v>1.18</v>
      </c>
      <c r="L2121" s="91">
        <f>VLOOKUP($A2121,'2022-23 Salary &amp; Benefits'!$A:$I,4,FALSE)</f>
        <v>1.18</v>
      </c>
      <c r="M2121" s="101">
        <f t="shared" si="409"/>
        <v>393.29</v>
      </c>
      <c r="N2121" s="24">
        <v>15</v>
      </c>
      <c r="O2121" s="26">
        <f t="shared" si="400"/>
        <v>26.219333333333335</v>
      </c>
      <c r="P2121" s="24">
        <v>1.1000000000000001</v>
      </c>
      <c r="Q2121" s="24">
        <v>36</v>
      </c>
      <c r="R2121" s="27">
        <f t="shared" si="401"/>
        <v>1038.2856000000002</v>
      </c>
      <c r="S2121" s="102">
        <f t="shared" si="403"/>
        <v>1.1539999999999999</v>
      </c>
      <c r="T2121" s="21">
        <f>VLOOKUP($A2121,'2022-23 Salary &amp; Benefits'!$A:$I,5,FALSE)</f>
        <v>68937</v>
      </c>
      <c r="U2121" s="21">
        <f>VLOOKUP($A2121,'2022-23 Salary &amp; Benefits'!$A:$I,6,FALSE)</f>
        <v>72728</v>
      </c>
      <c r="V2121" s="22">
        <f t="shared" si="404"/>
        <v>93872.89</v>
      </c>
      <c r="W2121" s="22">
        <f t="shared" si="405"/>
        <v>5162.2799999999988</v>
      </c>
      <c r="X2121" s="22">
        <f>'2022-23 Salary &amp; Benefits'!$G$6</f>
        <v>12558.24</v>
      </c>
      <c r="Y2121" s="23">
        <f>'2022-23 Salary &amp; Benefits'!$H$6</f>
        <v>0.2298</v>
      </c>
      <c r="Z2121" s="23">
        <f>'2022-23 Salary &amp; Benefits'!$I$6</f>
        <v>0.22339999999999999</v>
      </c>
      <c r="AA2121" s="22">
        <f t="shared" si="406"/>
        <v>37217.449999999997</v>
      </c>
      <c r="AB2121" s="22">
        <f t="shared" si="407"/>
        <v>1650.59</v>
      </c>
      <c r="AC2121" s="22">
        <f t="shared" si="408"/>
        <v>368.74</v>
      </c>
      <c r="AD2121" s="22">
        <f t="shared" si="410"/>
        <v>2019.33</v>
      </c>
      <c r="AE2121" s="22">
        <f t="shared" si="411"/>
        <v>138271.94999999998</v>
      </c>
      <c r="AF2121" s="19" t="str">
        <f>VLOOKUP(C2121,'2021-22 School Level AAFTE'!C:N,12,FALSE)</f>
        <v>No</v>
      </c>
    </row>
    <row r="2122" spans="1:32" s="14" customFormat="1">
      <c r="A2122" s="97" t="s">
        <v>2357</v>
      </c>
      <c r="B2122" s="97" t="s">
        <v>792</v>
      </c>
      <c r="C2122" s="95">
        <v>3488</v>
      </c>
      <c r="D2122" s="95" t="s">
        <v>796</v>
      </c>
      <c r="E2122" s="129">
        <f>VLOOKUP($C2122,'2021-22 School Level AAFTE'!$C:$Z,11,FALSE)</f>
        <v>0.64143333333333341</v>
      </c>
      <c r="F2122" s="129" t="str">
        <f>VLOOKUP($C2122,'2021-22 School Level AAFTE'!$C:$Z,8,FALSE)</f>
        <v>Yes</v>
      </c>
      <c r="G2122" s="129" t="str">
        <f>VLOOKUP($C2122,'2021-22 School Level AAFTE'!$C:$Z,12,FALSE)</f>
        <v>No</v>
      </c>
      <c r="H2122" s="127">
        <f>VLOOKUP($C2122,'2021-22 School Level AAFTE'!$C:$I,7,FALSE)</f>
        <v>406.43</v>
      </c>
      <c r="I2122" s="112">
        <f>IFERROR(IF(OR(G2122="yes",F2122= "yes"),VLOOKUP(C2122,Summary!$B:$J,6,0),0),0)</f>
        <v>0</v>
      </c>
      <c r="J2122" s="111">
        <f t="shared" si="402"/>
        <v>406.43</v>
      </c>
      <c r="K2122" s="91">
        <f>VLOOKUP($A2122,'2022-23 Salary &amp; Benefits'!$A:$I,3,FALSE)</f>
        <v>1.18</v>
      </c>
      <c r="L2122" s="91">
        <f>VLOOKUP($A2122,'2022-23 Salary &amp; Benefits'!$A:$I,4,FALSE)</f>
        <v>1.18</v>
      </c>
      <c r="M2122" s="101">
        <f t="shared" si="409"/>
        <v>406.43</v>
      </c>
      <c r="N2122" s="24">
        <v>15</v>
      </c>
      <c r="O2122" s="26">
        <f t="shared" ref="O2122:O2185" si="412">IF(M2122="no",0,M2122/N2122)</f>
        <v>27.095333333333333</v>
      </c>
      <c r="P2122" s="24">
        <v>1.1000000000000001</v>
      </c>
      <c r="Q2122" s="24">
        <v>36</v>
      </c>
      <c r="R2122" s="27">
        <f t="shared" ref="R2122:R2185" si="413">IF(M2122="no",0,O2122*P2122*Q2122)</f>
        <v>1072.9752000000001</v>
      </c>
      <c r="S2122" s="102">
        <f t="shared" si="403"/>
        <v>1.1919999999999999</v>
      </c>
      <c r="T2122" s="21">
        <f>VLOOKUP($A2122,'2022-23 Salary &amp; Benefits'!$A:$I,5,FALSE)</f>
        <v>68937</v>
      </c>
      <c r="U2122" s="21">
        <f>VLOOKUP($A2122,'2022-23 Salary &amp; Benefits'!$A:$I,6,FALSE)</f>
        <v>72728</v>
      </c>
      <c r="V2122" s="22">
        <f t="shared" si="404"/>
        <v>96964.03</v>
      </c>
      <c r="W2122" s="22">
        <f t="shared" si="405"/>
        <v>5332.2700000000041</v>
      </c>
      <c r="X2122" s="22">
        <f>'2022-23 Salary &amp; Benefits'!$G$6</f>
        <v>12558.24</v>
      </c>
      <c r="Y2122" s="23">
        <f>'2022-23 Salary &amp; Benefits'!$H$6</f>
        <v>0.2298</v>
      </c>
      <c r="Z2122" s="23">
        <f>'2022-23 Salary &amp; Benefits'!$I$6</f>
        <v>0.22339999999999999</v>
      </c>
      <c r="AA2122" s="22">
        <f t="shared" si="406"/>
        <v>38442.99</v>
      </c>
      <c r="AB2122" s="22">
        <f t="shared" si="407"/>
        <v>1704.94</v>
      </c>
      <c r="AC2122" s="22">
        <f t="shared" si="408"/>
        <v>380.88</v>
      </c>
      <c r="AD2122" s="22">
        <f t="shared" si="410"/>
        <v>2085.8200000000002</v>
      </c>
      <c r="AE2122" s="22">
        <f t="shared" si="411"/>
        <v>142825.10999999999</v>
      </c>
      <c r="AF2122" s="19" t="str">
        <f>VLOOKUP(C2122,'2021-22 School Level AAFTE'!C:N,12,FALSE)</f>
        <v>No</v>
      </c>
    </row>
    <row r="2123" spans="1:32" s="5" customFormat="1">
      <c r="A2123" s="97" t="s">
        <v>2357</v>
      </c>
      <c r="B2123" s="97" t="s">
        <v>792</v>
      </c>
      <c r="C2123" s="95">
        <v>3635</v>
      </c>
      <c r="D2123" s="95" t="s">
        <v>797</v>
      </c>
      <c r="E2123" s="129">
        <f>VLOOKUP($C2123,'2021-22 School Level AAFTE'!$C:$Z,11,FALSE)</f>
        <v>0.81953333333333334</v>
      </c>
      <c r="F2123" s="129" t="str">
        <f>VLOOKUP($C2123,'2021-22 School Level AAFTE'!$C:$Z,8,FALSE)</f>
        <v>Yes</v>
      </c>
      <c r="G2123" s="129" t="str">
        <f>VLOOKUP($C2123,'2021-22 School Level AAFTE'!$C:$Z,12,FALSE)</f>
        <v>No</v>
      </c>
      <c r="H2123" s="127">
        <f>VLOOKUP($C2123,'2021-22 School Level AAFTE'!$C:$I,7,FALSE)</f>
        <v>338.14</v>
      </c>
      <c r="I2123" s="112">
        <f>IFERROR(IF(OR(G2123="yes",F2123= "yes"),VLOOKUP(C2123,Summary!$B:$J,6,0),0),0)</f>
        <v>0</v>
      </c>
      <c r="J2123" s="111">
        <f t="shared" ref="J2123:J2186" si="414">IF(OR(G2123="yes",F2123= "yes"), H2123,0)</f>
        <v>338.14</v>
      </c>
      <c r="K2123" s="91">
        <f>VLOOKUP($A2123,'2022-23 Salary &amp; Benefits'!$A:$I,3,FALSE)</f>
        <v>1.18</v>
      </c>
      <c r="L2123" s="91">
        <f>VLOOKUP($A2123,'2022-23 Salary &amp; Benefits'!$A:$I,4,FALSE)</f>
        <v>1.18</v>
      </c>
      <c r="M2123" s="101">
        <f t="shared" si="409"/>
        <v>338.14</v>
      </c>
      <c r="N2123" s="24">
        <v>15</v>
      </c>
      <c r="O2123" s="26">
        <f t="shared" si="412"/>
        <v>22.542666666666666</v>
      </c>
      <c r="P2123" s="24">
        <v>1.1000000000000001</v>
      </c>
      <c r="Q2123" s="24">
        <v>36</v>
      </c>
      <c r="R2123" s="27">
        <f t="shared" si="413"/>
        <v>892.68960000000004</v>
      </c>
      <c r="S2123" s="102">
        <f t="shared" ref="S2123:S2186" si="415">ROUND(IF(M2123="no",0,R2123/900),3)</f>
        <v>0.99199999999999999</v>
      </c>
      <c r="T2123" s="21">
        <f>VLOOKUP($A2123,'2022-23 Salary &amp; Benefits'!$A:$I,5,FALSE)</f>
        <v>68937</v>
      </c>
      <c r="U2123" s="21">
        <f>VLOOKUP($A2123,'2022-23 Salary &amp; Benefits'!$A:$I,6,FALSE)</f>
        <v>72728</v>
      </c>
      <c r="V2123" s="22">
        <f t="shared" ref="V2123:V2186" si="416">ROUND($K2123*$T2123*$S2123,2)</f>
        <v>80694.89</v>
      </c>
      <c r="W2123" s="22">
        <f t="shared" ref="W2123:W2186" si="417">ROUND($L2123*$U2123*$S2123,2)-V2123</f>
        <v>4437.6000000000058</v>
      </c>
      <c r="X2123" s="22">
        <f>'2022-23 Salary &amp; Benefits'!$G$6</f>
        <v>12558.24</v>
      </c>
      <c r="Y2123" s="23">
        <f>'2022-23 Salary &amp; Benefits'!$H$6</f>
        <v>0.2298</v>
      </c>
      <c r="Z2123" s="23">
        <f>'2022-23 Salary &amp; Benefits'!$I$6</f>
        <v>0.22339999999999999</v>
      </c>
      <c r="AA2123" s="22">
        <f t="shared" ref="AA2123:AA2186" si="418">ROUND(V2123*Y2123+W2123*Z2123+S2123*X2123,2)</f>
        <v>31992.82</v>
      </c>
      <c r="AB2123" s="22">
        <f t="shared" ref="AB2123:AB2186" si="419">ROUND(($U2123*$L2123*$S2123/180*3),2)</f>
        <v>1418.87</v>
      </c>
      <c r="AC2123" s="22">
        <f t="shared" ref="AC2123:AC2186" si="420">ROUND(AB2123*Z2123,2)</f>
        <v>316.98</v>
      </c>
      <c r="AD2123" s="22">
        <f t="shared" si="410"/>
        <v>1735.85</v>
      </c>
      <c r="AE2123" s="22">
        <f t="shared" si="411"/>
        <v>118861.16</v>
      </c>
      <c r="AF2123" s="19" t="str">
        <f>VLOOKUP(C2123,'2021-22 School Level AAFTE'!C:N,12,FALSE)</f>
        <v>No</v>
      </c>
    </row>
    <row r="2124" spans="1:32" s="5" customFormat="1">
      <c r="A2124" s="97" t="s">
        <v>2357</v>
      </c>
      <c r="B2124" s="97" t="s">
        <v>792</v>
      </c>
      <c r="C2124" s="95">
        <v>5284</v>
      </c>
      <c r="D2124" s="95" t="s">
        <v>3075</v>
      </c>
      <c r="E2124" s="129">
        <f>VLOOKUP($C2124,'2021-22 School Level AAFTE'!$C:$Z,11,FALSE)</f>
        <v>0</v>
      </c>
      <c r="F2124" s="129" t="str">
        <f>VLOOKUP($C2124,'2021-22 School Level AAFTE'!$C:$Z,8,FALSE)</f>
        <v>No</v>
      </c>
      <c r="G2124" s="129" t="str">
        <f>VLOOKUP($C2124,'2021-22 School Level AAFTE'!$C:$Z,12,FALSE)</f>
        <v>No</v>
      </c>
      <c r="H2124" s="127">
        <f>VLOOKUP($C2124,'2021-22 School Level AAFTE'!$C:$I,7,FALSE)</f>
        <v>0.14000000000000001</v>
      </c>
      <c r="I2124" s="112">
        <f>IFERROR(IF(OR(G2124="yes",F2124= "yes"),VLOOKUP(C2124,Summary!$B:$J,6,0),0),0)</f>
        <v>0</v>
      </c>
      <c r="J2124" s="111">
        <f t="shared" si="414"/>
        <v>0</v>
      </c>
      <c r="K2124" s="91">
        <f>VLOOKUP($A2124,'2022-23 Salary &amp; Benefits'!$A:$I,3,FALSE)</f>
        <v>1.18</v>
      </c>
      <c r="L2124" s="91">
        <f>VLOOKUP($A2124,'2022-23 Salary &amp; Benefits'!$A:$I,4,FALSE)</f>
        <v>1.18</v>
      </c>
      <c r="M2124" s="39">
        <f t="shared" si="409"/>
        <v>0</v>
      </c>
      <c r="N2124" s="24">
        <v>15</v>
      </c>
      <c r="O2124" s="26">
        <f t="shared" si="412"/>
        <v>0</v>
      </c>
      <c r="P2124" s="24">
        <v>1.1000000000000001</v>
      </c>
      <c r="Q2124" s="24">
        <v>36</v>
      </c>
      <c r="R2124" s="27">
        <f t="shared" si="413"/>
        <v>0</v>
      </c>
      <c r="S2124" s="102">
        <f t="shared" si="415"/>
        <v>0</v>
      </c>
      <c r="T2124" s="21">
        <f>VLOOKUP($A2124,'2022-23 Salary &amp; Benefits'!$A:$I,5,FALSE)</f>
        <v>68937</v>
      </c>
      <c r="U2124" s="21">
        <f>VLOOKUP($A2124,'2022-23 Salary &amp; Benefits'!$A:$I,6,FALSE)</f>
        <v>72728</v>
      </c>
      <c r="V2124" s="22">
        <f t="shared" si="416"/>
        <v>0</v>
      </c>
      <c r="W2124" s="22">
        <f t="shared" si="417"/>
        <v>0</v>
      </c>
      <c r="X2124" s="22">
        <f>'2022-23 Salary &amp; Benefits'!$G$6</f>
        <v>12558.24</v>
      </c>
      <c r="Y2124" s="23">
        <f>'2022-23 Salary &amp; Benefits'!$H$6</f>
        <v>0.2298</v>
      </c>
      <c r="Z2124" s="23">
        <f>'2022-23 Salary &amp; Benefits'!$I$6</f>
        <v>0.22339999999999999</v>
      </c>
      <c r="AA2124" s="22">
        <f t="shared" si="418"/>
        <v>0</v>
      </c>
      <c r="AB2124" s="22">
        <f t="shared" si="419"/>
        <v>0</v>
      </c>
      <c r="AC2124" s="22">
        <f t="shared" si="420"/>
        <v>0</v>
      </c>
      <c r="AD2124" s="22">
        <f t="shared" si="410"/>
        <v>0</v>
      </c>
      <c r="AE2124" s="22">
        <f t="shared" si="411"/>
        <v>0</v>
      </c>
      <c r="AF2124" s="19" t="str">
        <f>VLOOKUP(C2124,'2021-22 School Level AAFTE'!C:N,12,FALSE)</f>
        <v>No</v>
      </c>
    </row>
    <row r="2125" spans="1:32" s="5" customFormat="1">
      <c r="A2125" s="97" t="s">
        <v>2357</v>
      </c>
      <c r="B2125" s="97" t="s">
        <v>792</v>
      </c>
      <c r="C2125" s="95">
        <v>5315</v>
      </c>
      <c r="D2125" s="95" t="s">
        <v>2813</v>
      </c>
      <c r="E2125" s="129">
        <f>VLOOKUP($C2125,'2021-22 School Level AAFTE'!$C:$Z,11,FALSE)</f>
        <v>1</v>
      </c>
      <c r="F2125" s="129" t="str">
        <f>VLOOKUP($C2125,'2021-22 School Level AAFTE'!$C:$Z,8,FALSE)</f>
        <v>Yes</v>
      </c>
      <c r="G2125" s="129" t="str">
        <f>VLOOKUP($C2125,'2021-22 School Level AAFTE'!$C:$Z,12,FALSE)</f>
        <v>No</v>
      </c>
      <c r="H2125" s="127">
        <f>VLOOKUP($C2125,'2021-22 School Level AAFTE'!$C:$I,7,FALSE)</f>
        <v>0.43</v>
      </c>
      <c r="I2125" s="112">
        <f>IFERROR(IF(OR(G2125="yes",F2125= "yes"),VLOOKUP(C2125,Summary!$B:$J,6,0),0),0)</f>
        <v>0</v>
      </c>
      <c r="J2125" s="111">
        <f t="shared" si="414"/>
        <v>0.43</v>
      </c>
      <c r="K2125" s="91">
        <f>VLOOKUP($A2125,'2022-23 Salary &amp; Benefits'!$A:$I,3,FALSE)</f>
        <v>1.18</v>
      </c>
      <c r="L2125" s="91">
        <f>VLOOKUP($A2125,'2022-23 Salary &amp; Benefits'!$A:$I,4,FALSE)</f>
        <v>1.18</v>
      </c>
      <c r="M2125" s="101">
        <f t="shared" si="409"/>
        <v>0.43</v>
      </c>
      <c r="N2125" s="24">
        <v>15</v>
      </c>
      <c r="O2125" s="26">
        <f t="shared" si="412"/>
        <v>2.8666666666666667E-2</v>
      </c>
      <c r="P2125" s="24">
        <v>1.1000000000000001</v>
      </c>
      <c r="Q2125" s="24">
        <v>36</v>
      </c>
      <c r="R2125" s="27">
        <f t="shared" si="413"/>
        <v>1.1352000000000002</v>
      </c>
      <c r="S2125" s="102">
        <f t="shared" si="415"/>
        <v>1E-3</v>
      </c>
      <c r="T2125" s="21">
        <f>VLOOKUP($A2125,'2022-23 Salary &amp; Benefits'!$A:$I,5,FALSE)</f>
        <v>68937</v>
      </c>
      <c r="U2125" s="21">
        <f>VLOOKUP($A2125,'2022-23 Salary &amp; Benefits'!$A:$I,6,FALSE)</f>
        <v>72728</v>
      </c>
      <c r="V2125" s="22">
        <f t="shared" si="416"/>
        <v>81.349999999999994</v>
      </c>
      <c r="W2125" s="22">
        <f t="shared" si="417"/>
        <v>4.4699999999999989</v>
      </c>
      <c r="X2125" s="22">
        <f>'2022-23 Salary &amp; Benefits'!$G$6</f>
        <v>12558.24</v>
      </c>
      <c r="Y2125" s="23">
        <f>'2022-23 Salary &amp; Benefits'!$H$6</f>
        <v>0.2298</v>
      </c>
      <c r="Z2125" s="23">
        <f>'2022-23 Salary &amp; Benefits'!$I$6</f>
        <v>0.22339999999999999</v>
      </c>
      <c r="AA2125" s="22">
        <f t="shared" si="418"/>
        <v>32.25</v>
      </c>
      <c r="AB2125" s="22">
        <f t="shared" si="419"/>
        <v>1.43</v>
      </c>
      <c r="AC2125" s="22">
        <f t="shared" si="420"/>
        <v>0.32</v>
      </c>
      <c r="AD2125" s="22">
        <f t="shared" si="410"/>
        <v>1.75</v>
      </c>
      <c r="AE2125" s="22">
        <f t="shared" si="411"/>
        <v>119.82</v>
      </c>
      <c r="AF2125" s="19" t="str">
        <f>VLOOKUP(C2125,'2021-22 School Level AAFTE'!C:N,12,FALSE)</f>
        <v>No</v>
      </c>
    </row>
    <row r="2126" spans="1:32" s="5" customFormat="1">
      <c r="A2126" s="97" t="s">
        <v>2517</v>
      </c>
      <c r="B2126" s="97" t="s">
        <v>1995</v>
      </c>
      <c r="C2126" s="95">
        <v>1713</v>
      </c>
      <c r="D2126" s="95" t="s">
        <v>2939</v>
      </c>
      <c r="E2126" s="129">
        <f>VLOOKUP($C2126,'2021-22 School Level AAFTE'!$C:$Z,11,FALSE)</f>
        <v>0.48336666666666667</v>
      </c>
      <c r="F2126" s="129" t="str">
        <f>VLOOKUP($C2126,'2021-22 School Level AAFTE'!$C:$Z,8,FALSE)</f>
        <v>No</v>
      </c>
      <c r="G2126" s="129" t="str">
        <f>VLOOKUP($C2126,'2021-22 School Level AAFTE'!$C:$Z,12,FALSE)</f>
        <v>No</v>
      </c>
      <c r="H2126" s="127">
        <f>VLOOKUP($C2126,'2021-22 School Level AAFTE'!$C:$I,7,FALSE)</f>
        <v>102.97999999999999</v>
      </c>
      <c r="I2126" s="112">
        <f>IFERROR(IF(OR(G2126="yes",F2126= "yes"),VLOOKUP(C2126,Summary!$B:$J,6,0),0),0)</f>
        <v>0</v>
      </c>
      <c r="J2126" s="111">
        <f t="shared" si="414"/>
        <v>0</v>
      </c>
      <c r="K2126" s="91">
        <f>VLOOKUP($A2126,'2022-23 Salary &amp; Benefits'!$A:$I,3,FALSE)</f>
        <v>1</v>
      </c>
      <c r="L2126" s="91">
        <f>VLOOKUP($A2126,'2022-23 Salary &amp; Benefits'!$A:$I,4,FALSE)</f>
        <v>1</v>
      </c>
      <c r="M2126" s="39">
        <f t="shared" si="409"/>
        <v>0</v>
      </c>
      <c r="N2126" s="24">
        <v>15</v>
      </c>
      <c r="O2126" s="26">
        <f t="shared" si="412"/>
        <v>0</v>
      </c>
      <c r="P2126" s="24">
        <v>1.1000000000000001</v>
      </c>
      <c r="Q2126" s="24">
        <v>36</v>
      </c>
      <c r="R2126" s="27">
        <f t="shared" si="413"/>
        <v>0</v>
      </c>
      <c r="S2126" s="102">
        <f t="shared" si="415"/>
        <v>0</v>
      </c>
      <c r="T2126" s="21">
        <f>VLOOKUP($A2126,'2022-23 Salary &amp; Benefits'!$A:$I,5,FALSE)</f>
        <v>68937</v>
      </c>
      <c r="U2126" s="21">
        <f>VLOOKUP($A2126,'2022-23 Salary &amp; Benefits'!$A:$I,6,FALSE)</f>
        <v>72728</v>
      </c>
      <c r="V2126" s="22">
        <f t="shared" si="416"/>
        <v>0</v>
      </c>
      <c r="W2126" s="22">
        <f t="shared" si="417"/>
        <v>0</v>
      </c>
      <c r="X2126" s="22">
        <f>'2022-23 Salary &amp; Benefits'!$G$6</f>
        <v>12558.24</v>
      </c>
      <c r="Y2126" s="23">
        <f>'2022-23 Salary &amp; Benefits'!$H$6</f>
        <v>0.2298</v>
      </c>
      <c r="Z2126" s="23">
        <f>'2022-23 Salary &amp; Benefits'!$I$6</f>
        <v>0.22339999999999999</v>
      </c>
      <c r="AA2126" s="22">
        <f t="shared" si="418"/>
        <v>0</v>
      </c>
      <c r="AB2126" s="22">
        <f t="shared" si="419"/>
        <v>0</v>
      </c>
      <c r="AC2126" s="22">
        <f t="shared" si="420"/>
        <v>0</v>
      </c>
      <c r="AD2126" s="22">
        <f t="shared" si="410"/>
        <v>0</v>
      </c>
      <c r="AE2126" s="22">
        <f t="shared" si="411"/>
        <v>0</v>
      </c>
      <c r="AF2126" s="19" t="str">
        <f>VLOOKUP(C2126,'2021-22 School Level AAFTE'!C:N,12,FALSE)</f>
        <v>No</v>
      </c>
    </row>
    <row r="2127" spans="1:32" s="5" customFormat="1">
      <c r="A2127" s="97" t="s">
        <v>2517</v>
      </c>
      <c r="B2127" s="97" t="s">
        <v>1995</v>
      </c>
      <c r="C2127" s="95">
        <v>2552</v>
      </c>
      <c r="D2127" s="95" t="s">
        <v>1996</v>
      </c>
      <c r="E2127" s="129">
        <f>VLOOKUP($C2127,'2021-22 School Level AAFTE'!$C:$Z,11,FALSE)</f>
        <v>0.35503333333333331</v>
      </c>
      <c r="F2127" s="129" t="str">
        <f>VLOOKUP($C2127,'2021-22 School Level AAFTE'!$C:$Z,8,FALSE)</f>
        <v>No</v>
      </c>
      <c r="G2127" s="129" t="str">
        <f>VLOOKUP($C2127,'2021-22 School Level AAFTE'!$C:$Z,12,FALSE)</f>
        <v>No</v>
      </c>
      <c r="H2127" s="127">
        <f>VLOOKUP($C2127,'2021-22 School Level AAFTE'!$C:$I,7,FALSE)</f>
        <v>458.76</v>
      </c>
      <c r="I2127" s="112">
        <f>IFERROR(IF(OR(G2127="yes",F2127= "yes"),VLOOKUP(C2127,Summary!$B:$J,6,0),0),0)</f>
        <v>0</v>
      </c>
      <c r="J2127" s="111">
        <f t="shared" si="414"/>
        <v>0</v>
      </c>
      <c r="K2127" s="91">
        <f>VLOOKUP($A2127,'2022-23 Salary &amp; Benefits'!$A:$I,3,FALSE)</f>
        <v>1</v>
      </c>
      <c r="L2127" s="91">
        <f>VLOOKUP($A2127,'2022-23 Salary &amp; Benefits'!$A:$I,4,FALSE)</f>
        <v>1</v>
      </c>
      <c r="M2127" s="39">
        <f t="shared" si="409"/>
        <v>0</v>
      </c>
      <c r="N2127" s="24">
        <v>15</v>
      </c>
      <c r="O2127" s="26">
        <f t="shared" si="412"/>
        <v>0</v>
      </c>
      <c r="P2127" s="24">
        <v>1.1000000000000001</v>
      </c>
      <c r="Q2127" s="24">
        <v>36</v>
      </c>
      <c r="R2127" s="27">
        <f t="shared" si="413"/>
        <v>0</v>
      </c>
      <c r="S2127" s="102">
        <f t="shared" si="415"/>
        <v>0</v>
      </c>
      <c r="T2127" s="21">
        <f>VLOOKUP($A2127,'2022-23 Salary &amp; Benefits'!$A:$I,5,FALSE)</f>
        <v>68937</v>
      </c>
      <c r="U2127" s="21">
        <f>VLOOKUP($A2127,'2022-23 Salary &amp; Benefits'!$A:$I,6,FALSE)</f>
        <v>72728</v>
      </c>
      <c r="V2127" s="22">
        <f t="shared" si="416"/>
        <v>0</v>
      </c>
      <c r="W2127" s="22">
        <f t="shared" si="417"/>
        <v>0</v>
      </c>
      <c r="X2127" s="22">
        <f>'2022-23 Salary &amp; Benefits'!$G$6</f>
        <v>12558.24</v>
      </c>
      <c r="Y2127" s="23">
        <f>'2022-23 Salary &amp; Benefits'!$H$6</f>
        <v>0.2298</v>
      </c>
      <c r="Z2127" s="23">
        <f>'2022-23 Salary &amp; Benefits'!$I$6</f>
        <v>0.22339999999999999</v>
      </c>
      <c r="AA2127" s="22">
        <f t="shared" si="418"/>
        <v>0</v>
      </c>
      <c r="AB2127" s="22">
        <f t="shared" si="419"/>
        <v>0</v>
      </c>
      <c r="AC2127" s="22">
        <f t="shared" si="420"/>
        <v>0</v>
      </c>
      <c r="AD2127" s="22">
        <f t="shared" si="410"/>
        <v>0</v>
      </c>
      <c r="AE2127" s="22">
        <f t="shared" si="411"/>
        <v>0</v>
      </c>
      <c r="AF2127" s="19" t="str">
        <f>VLOOKUP(C2127,'2021-22 School Level AAFTE'!C:N,12,FALSE)</f>
        <v>No</v>
      </c>
    </row>
    <row r="2128" spans="1:32" s="5" customFormat="1">
      <c r="A2128" s="97" t="s">
        <v>2517</v>
      </c>
      <c r="B2128" s="97" t="s">
        <v>1995</v>
      </c>
      <c r="C2128" s="95">
        <v>2816</v>
      </c>
      <c r="D2128" s="95" t="s">
        <v>1997</v>
      </c>
      <c r="E2128" s="129">
        <f>VLOOKUP($C2128,'2021-22 School Level AAFTE'!$C:$Z,11,FALSE)</f>
        <v>0.32969999999999999</v>
      </c>
      <c r="F2128" s="129" t="str">
        <f>VLOOKUP($C2128,'2021-22 School Level AAFTE'!$C:$Z,8,FALSE)</f>
        <v>No</v>
      </c>
      <c r="G2128" s="129" t="str">
        <f>VLOOKUP($C2128,'2021-22 School Level AAFTE'!$C:$Z,12,FALSE)</f>
        <v>No</v>
      </c>
      <c r="H2128" s="127">
        <f>VLOOKUP($C2128,'2021-22 School Level AAFTE'!$C:$I,7,FALSE)</f>
        <v>326.29000000000002</v>
      </c>
      <c r="I2128" s="112">
        <f>IFERROR(IF(OR(G2128="yes",F2128= "yes"),VLOOKUP(C2128,Summary!$B:$J,6,0),0),0)</f>
        <v>0</v>
      </c>
      <c r="J2128" s="111">
        <f t="shared" si="414"/>
        <v>0</v>
      </c>
      <c r="K2128" s="91">
        <f>VLOOKUP($A2128,'2022-23 Salary &amp; Benefits'!$A:$I,3,FALSE)</f>
        <v>1</v>
      </c>
      <c r="L2128" s="91">
        <f>VLOOKUP($A2128,'2022-23 Salary &amp; Benefits'!$A:$I,4,FALSE)</f>
        <v>1</v>
      </c>
      <c r="M2128" s="39">
        <f t="shared" si="409"/>
        <v>0</v>
      </c>
      <c r="N2128" s="24">
        <v>15</v>
      </c>
      <c r="O2128" s="26">
        <f t="shared" si="412"/>
        <v>0</v>
      </c>
      <c r="P2128" s="24">
        <v>1.1000000000000001</v>
      </c>
      <c r="Q2128" s="24">
        <v>36</v>
      </c>
      <c r="R2128" s="27">
        <f t="shared" si="413"/>
        <v>0</v>
      </c>
      <c r="S2128" s="102">
        <f t="shared" si="415"/>
        <v>0</v>
      </c>
      <c r="T2128" s="21">
        <f>VLOOKUP($A2128,'2022-23 Salary &amp; Benefits'!$A:$I,5,FALSE)</f>
        <v>68937</v>
      </c>
      <c r="U2128" s="21">
        <f>VLOOKUP($A2128,'2022-23 Salary &amp; Benefits'!$A:$I,6,FALSE)</f>
        <v>72728</v>
      </c>
      <c r="V2128" s="22">
        <f t="shared" si="416"/>
        <v>0</v>
      </c>
      <c r="W2128" s="22">
        <f t="shared" si="417"/>
        <v>0</v>
      </c>
      <c r="X2128" s="22">
        <f>'2022-23 Salary &amp; Benefits'!$G$6</f>
        <v>12558.24</v>
      </c>
      <c r="Y2128" s="23">
        <f>'2022-23 Salary &amp; Benefits'!$H$6</f>
        <v>0.2298</v>
      </c>
      <c r="Z2128" s="23">
        <f>'2022-23 Salary &amp; Benefits'!$I$6</f>
        <v>0.22339999999999999</v>
      </c>
      <c r="AA2128" s="22">
        <f t="shared" si="418"/>
        <v>0</v>
      </c>
      <c r="AB2128" s="22">
        <f t="shared" si="419"/>
        <v>0</v>
      </c>
      <c r="AC2128" s="22">
        <f t="shared" si="420"/>
        <v>0</v>
      </c>
      <c r="AD2128" s="22">
        <f t="shared" si="410"/>
        <v>0</v>
      </c>
      <c r="AE2128" s="22">
        <f t="shared" si="411"/>
        <v>0</v>
      </c>
      <c r="AF2128" s="19" t="str">
        <f>VLOOKUP(C2128,'2021-22 School Level AAFTE'!C:N,12,FALSE)</f>
        <v>No</v>
      </c>
    </row>
    <row r="2129" spans="1:32" s="5" customFormat="1">
      <c r="A2129" s="97" t="s">
        <v>2517</v>
      </c>
      <c r="B2129" s="97" t="s">
        <v>1995</v>
      </c>
      <c r="C2129" s="95">
        <v>3199</v>
      </c>
      <c r="D2129" s="95" t="s">
        <v>1998</v>
      </c>
      <c r="E2129" s="129">
        <f>VLOOKUP($C2129,'2021-22 School Level AAFTE'!$C:$Z,11,FALSE)</f>
        <v>0.38373333333333332</v>
      </c>
      <c r="F2129" s="129" t="str">
        <f>VLOOKUP($C2129,'2021-22 School Level AAFTE'!$C:$Z,8,FALSE)</f>
        <v>No</v>
      </c>
      <c r="G2129" s="129" t="str">
        <f>VLOOKUP($C2129,'2021-22 School Level AAFTE'!$C:$Z,12,FALSE)</f>
        <v>No</v>
      </c>
      <c r="H2129" s="127">
        <f>VLOOKUP($C2129,'2021-22 School Level AAFTE'!$C:$I,7,FALSE)</f>
        <v>603.04</v>
      </c>
      <c r="I2129" s="112">
        <f>IFERROR(IF(OR(G2129="yes",F2129= "yes"),VLOOKUP(C2129,Summary!$B:$J,6,0),0),0)</f>
        <v>0</v>
      </c>
      <c r="J2129" s="111">
        <f t="shared" si="414"/>
        <v>0</v>
      </c>
      <c r="K2129" s="91">
        <f>VLOOKUP($A2129,'2022-23 Salary &amp; Benefits'!$A:$I,3,FALSE)</f>
        <v>1</v>
      </c>
      <c r="L2129" s="91">
        <f>VLOOKUP($A2129,'2022-23 Salary &amp; Benefits'!$A:$I,4,FALSE)</f>
        <v>1</v>
      </c>
      <c r="M2129" s="39">
        <f t="shared" si="409"/>
        <v>0</v>
      </c>
      <c r="N2129" s="24">
        <v>15</v>
      </c>
      <c r="O2129" s="26">
        <f t="shared" si="412"/>
        <v>0</v>
      </c>
      <c r="P2129" s="24">
        <v>1.1000000000000001</v>
      </c>
      <c r="Q2129" s="24">
        <v>36</v>
      </c>
      <c r="R2129" s="27">
        <f t="shared" si="413"/>
        <v>0</v>
      </c>
      <c r="S2129" s="102">
        <f t="shared" si="415"/>
        <v>0</v>
      </c>
      <c r="T2129" s="21">
        <f>VLOOKUP($A2129,'2022-23 Salary &amp; Benefits'!$A:$I,5,FALSE)</f>
        <v>68937</v>
      </c>
      <c r="U2129" s="21">
        <f>VLOOKUP($A2129,'2022-23 Salary &amp; Benefits'!$A:$I,6,FALSE)</f>
        <v>72728</v>
      </c>
      <c r="V2129" s="22">
        <f t="shared" si="416"/>
        <v>0</v>
      </c>
      <c r="W2129" s="22">
        <f t="shared" si="417"/>
        <v>0</v>
      </c>
      <c r="X2129" s="22">
        <f>'2022-23 Salary &amp; Benefits'!$G$6</f>
        <v>12558.24</v>
      </c>
      <c r="Y2129" s="23">
        <f>'2022-23 Salary &amp; Benefits'!$H$6</f>
        <v>0.2298</v>
      </c>
      <c r="Z2129" s="23">
        <f>'2022-23 Salary &amp; Benefits'!$I$6</f>
        <v>0.22339999999999999</v>
      </c>
      <c r="AA2129" s="22">
        <f t="shared" si="418"/>
        <v>0</v>
      </c>
      <c r="AB2129" s="22">
        <f t="shared" si="419"/>
        <v>0</v>
      </c>
      <c r="AC2129" s="22">
        <f t="shared" si="420"/>
        <v>0</v>
      </c>
      <c r="AD2129" s="22">
        <f t="shared" si="410"/>
        <v>0</v>
      </c>
      <c r="AE2129" s="22">
        <f t="shared" si="411"/>
        <v>0</v>
      </c>
      <c r="AF2129" s="19" t="str">
        <f>VLOOKUP(C2129,'2021-22 School Level AAFTE'!C:N,12,FALSE)</f>
        <v>No</v>
      </c>
    </row>
    <row r="2130" spans="1:32" s="5" customFormat="1">
      <c r="A2130" s="97" t="s">
        <v>2517</v>
      </c>
      <c r="B2130" s="97" t="s">
        <v>1995</v>
      </c>
      <c r="C2130" s="95">
        <v>3362</v>
      </c>
      <c r="D2130" s="95" t="s">
        <v>1999</v>
      </c>
      <c r="E2130" s="129">
        <f>VLOOKUP($C2130,'2021-22 School Level AAFTE'!$C:$Z,11,FALSE)</f>
        <v>0.26283333333333331</v>
      </c>
      <c r="F2130" s="129" t="str">
        <f>VLOOKUP($C2130,'2021-22 School Level AAFTE'!$C:$Z,8,FALSE)</f>
        <v>No</v>
      </c>
      <c r="G2130" s="129" t="str">
        <f>VLOOKUP($C2130,'2021-22 School Level AAFTE'!$C:$Z,12,FALSE)</f>
        <v>No</v>
      </c>
      <c r="H2130" s="127">
        <f>VLOOKUP($C2130,'2021-22 School Level AAFTE'!$C:$I,7,FALSE)</f>
        <v>1102.01</v>
      </c>
      <c r="I2130" s="112">
        <f>IFERROR(IF(OR(G2130="yes",F2130= "yes"),VLOOKUP(C2130,Summary!$B:$J,6,0),0),0)</f>
        <v>0</v>
      </c>
      <c r="J2130" s="111">
        <f t="shared" si="414"/>
        <v>0</v>
      </c>
      <c r="K2130" s="91">
        <f>VLOOKUP($A2130,'2022-23 Salary &amp; Benefits'!$A:$I,3,FALSE)</f>
        <v>1</v>
      </c>
      <c r="L2130" s="91">
        <f>VLOOKUP($A2130,'2022-23 Salary &amp; Benefits'!$A:$I,4,FALSE)</f>
        <v>1</v>
      </c>
      <c r="M2130" s="39">
        <f t="shared" si="409"/>
        <v>0</v>
      </c>
      <c r="N2130" s="24">
        <v>15</v>
      </c>
      <c r="O2130" s="26">
        <f t="shared" si="412"/>
        <v>0</v>
      </c>
      <c r="P2130" s="24">
        <v>1.1000000000000001</v>
      </c>
      <c r="Q2130" s="24">
        <v>36</v>
      </c>
      <c r="R2130" s="27">
        <f t="shared" si="413"/>
        <v>0</v>
      </c>
      <c r="S2130" s="102">
        <f t="shared" si="415"/>
        <v>0</v>
      </c>
      <c r="T2130" s="21">
        <f>VLOOKUP($A2130,'2022-23 Salary &amp; Benefits'!$A:$I,5,FALSE)</f>
        <v>68937</v>
      </c>
      <c r="U2130" s="21">
        <f>VLOOKUP($A2130,'2022-23 Salary &amp; Benefits'!$A:$I,6,FALSE)</f>
        <v>72728</v>
      </c>
      <c r="V2130" s="22">
        <f t="shared" si="416"/>
        <v>0</v>
      </c>
      <c r="W2130" s="22">
        <f t="shared" si="417"/>
        <v>0</v>
      </c>
      <c r="X2130" s="22">
        <f>'2022-23 Salary &amp; Benefits'!$G$6</f>
        <v>12558.24</v>
      </c>
      <c r="Y2130" s="23">
        <f>'2022-23 Salary &amp; Benefits'!$H$6</f>
        <v>0.2298</v>
      </c>
      <c r="Z2130" s="23">
        <f>'2022-23 Salary &amp; Benefits'!$I$6</f>
        <v>0.22339999999999999</v>
      </c>
      <c r="AA2130" s="22">
        <f t="shared" si="418"/>
        <v>0</v>
      </c>
      <c r="AB2130" s="22">
        <f t="shared" si="419"/>
        <v>0</v>
      </c>
      <c r="AC2130" s="22">
        <f t="shared" si="420"/>
        <v>0</v>
      </c>
      <c r="AD2130" s="22">
        <f t="shared" si="410"/>
        <v>0</v>
      </c>
      <c r="AE2130" s="22">
        <f t="shared" si="411"/>
        <v>0</v>
      </c>
      <c r="AF2130" s="19" t="str">
        <f>VLOOKUP(C2130,'2021-22 School Level AAFTE'!C:N,12,FALSE)</f>
        <v>No</v>
      </c>
    </row>
    <row r="2131" spans="1:32" s="5" customFormat="1">
      <c r="A2131" s="97" t="s">
        <v>2517</v>
      </c>
      <c r="B2131" s="97" t="s">
        <v>1995</v>
      </c>
      <c r="C2131" s="95">
        <v>3612</v>
      </c>
      <c r="D2131" s="95" t="s">
        <v>2000</v>
      </c>
      <c r="E2131" s="129">
        <f>VLOOKUP($C2131,'2021-22 School Level AAFTE'!$C:$Z,11,FALSE)</f>
        <v>0.32593333333333335</v>
      </c>
      <c r="F2131" s="129" t="str">
        <f>VLOOKUP($C2131,'2021-22 School Level AAFTE'!$C:$Z,8,FALSE)</f>
        <v>No</v>
      </c>
      <c r="G2131" s="129" t="str">
        <f>VLOOKUP($C2131,'2021-22 School Level AAFTE'!$C:$Z,12,FALSE)</f>
        <v>No</v>
      </c>
      <c r="H2131" s="127">
        <f>VLOOKUP($C2131,'2021-22 School Level AAFTE'!$C:$I,7,FALSE)</f>
        <v>587.95000000000005</v>
      </c>
      <c r="I2131" s="112">
        <f>IFERROR(IF(OR(G2131="yes",F2131= "yes"),VLOOKUP(C2131,Summary!$B:$J,6,0),0),0)</f>
        <v>0</v>
      </c>
      <c r="J2131" s="111">
        <f t="shared" si="414"/>
        <v>0</v>
      </c>
      <c r="K2131" s="91">
        <f>VLOOKUP($A2131,'2022-23 Salary &amp; Benefits'!$A:$I,3,FALSE)</f>
        <v>1</v>
      </c>
      <c r="L2131" s="91">
        <f>VLOOKUP($A2131,'2022-23 Salary &amp; Benefits'!$A:$I,4,FALSE)</f>
        <v>1</v>
      </c>
      <c r="M2131" s="39">
        <f t="shared" si="409"/>
        <v>0</v>
      </c>
      <c r="N2131" s="24">
        <v>15</v>
      </c>
      <c r="O2131" s="26">
        <f t="shared" si="412"/>
        <v>0</v>
      </c>
      <c r="P2131" s="24">
        <v>1.1000000000000001</v>
      </c>
      <c r="Q2131" s="24">
        <v>36</v>
      </c>
      <c r="R2131" s="27">
        <f t="shared" si="413"/>
        <v>0</v>
      </c>
      <c r="S2131" s="102">
        <f t="shared" si="415"/>
        <v>0</v>
      </c>
      <c r="T2131" s="21">
        <f>VLOOKUP($A2131,'2022-23 Salary &amp; Benefits'!$A:$I,5,FALSE)</f>
        <v>68937</v>
      </c>
      <c r="U2131" s="21">
        <f>VLOOKUP($A2131,'2022-23 Salary &amp; Benefits'!$A:$I,6,FALSE)</f>
        <v>72728</v>
      </c>
      <c r="V2131" s="22">
        <f t="shared" si="416"/>
        <v>0</v>
      </c>
      <c r="W2131" s="22">
        <f t="shared" si="417"/>
        <v>0</v>
      </c>
      <c r="X2131" s="22">
        <f>'2022-23 Salary &amp; Benefits'!$G$6</f>
        <v>12558.24</v>
      </c>
      <c r="Y2131" s="23">
        <f>'2022-23 Salary &amp; Benefits'!$H$6</f>
        <v>0.2298</v>
      </c>
      <c r="Z2131" s="23">
        <f>'2022-23 Salary &amp; Benefits'!$I$6</f>
        <v>0.22339999999999999</v>
      </c>
      <c r="AA2131" s="22">
        <f t="shared" si="418"/>
        <v>0</v>
      </c>
      <c r="AB2131" s="22">
        <f t="shared" si="419"/>
        <v>0</v>
      </c>
      <c r="AC2131" s="22">
        <f t="shared" si="420"/>
        <v>0</v>
      </c>
      <c r="AD2131" s="22">
        <f t="shared" si="410"/>
        <v>0</v>
      </c>
      <c r="AE2131" s="22">
        <f t="shared" si="411"/>
        <v>0</v>
      </c>
      <c r="AF2131" s="19" t="str">
        <f>VLOOKUP(C2131,'2021-22 School Level AAFTE'!C:N,12,FALSE)</f>
        <v>No</v>
      </c>
    </row>
    <row r="2132" spans="1:32" s="5" customFormat="1">
      <c r="A2132" s="97" t="s">
        <v>2517</v>
      </c>
      <c r="B2132" s="97" t="s">
        <v>1995</v>
      </c>
      <c r="C2132" s="95">
        <v>4205</v>
      </c>
      <c r="D2132" s="95" t="s">
        <v>2001</v>
      </c>
      <c r="E2132" s="129">
        <f>VLOOKUP($C2132,'2021-22 School Level AAFTE'!$C:$Z,11,FALSE)</f>
        <v>0.26909999999999995</v>
      </c>
      <c r="F2132" s="129" t="str">
        <f>VLOOKUP($C2132,'2021-22 School Level AAFTE'!$C:$Z,8,FALSE)</f>
        <v>No</v>
      </c>
      <c r="G2132" s="129" t="str">
        <f>VLOOKUP($C2132,'2021-22 School Level AAFTE'!$C:$Z,12,FALSE)</f>
        <v>No</v>
      </c>
      <c r="H2132" s="127">
        <f>VLOOKUP($C2132,'2021-22 School Level AAFTE'!$C:$I,7,FALSE)</f>
        <v>400.18</v>
      </c>
      <c r="I2132" s="112">
        <f>IFERROR(IF(OR(G2132="yes",F2132= "yes"),VLOOKUP(C2132,Summary!$B:$J,6,0),0),0)</f>
        <v>0</v>
      </c>
      <c r="J2132" s="111">
        <f t="shared" si="414"/>
        <v>0</v>
      </c>
      <c r="K2132" s="91">
        <f>VLOOKUP($A2132,'2022-23 Salary &amp; Benefits'!$A:$I,3,FALSE)</f>
        <v>1</v>
      </c>
      <c r="L2132" s="91">
        <f>VLOOKUP($A2132,'2022-23 Salary &amp; Benefits'!$A:$I,4,FALSE)</f>
        <v>1</v>
      </c>
      <c r="M2132" s="39">
        <f t="shared" si="409"/>
        <v>0</v>
      </c>
      <c r="N2132" s="24">
        <v>15</v>
      </c>
      <c r="O2132" s="26">
        <f t="shared" si="412"/>
        <v>0</v>
      </c>
      <c r="P2132" s="24">
        <v>1.1000000000000001</v>
      </c>
      <c r="Q2132" s="24">
        <v>36</v>
      </c>
      <c r="R2132" s="27">
        <f t="shared" si="413"/>
        <v>0</v>
      </c>
      <c r="S2132" s="102">
        <f t="shared" si="415"/>
        <v>0</v>
      </c>
      <c r="T2132" s="21">
        <f>VLOOKUP($A2132,'2022-23 Salary &amp; Benefits'!$A:$I,5,FALSE)</f>
        <v>68937</v>
      </c>
      <c r="U2132" s="21">
        <f>VLOOKUP($A2132,'2022-23 Salary &amp; Benefits'!$A:$I,6,FALSE)</f>
        <v>72728</v>
      </c>
      <c r="V2132" s="22">
        <f t="shared" si="416"/>
        <v>0</v>
      </c>
      <c r="W2132" s="22">
        <f t="shared" si="417"/>
        <v>0</v>
      </c>
      <c r="X2132" s="22">
        <f>'2022-23 Salary &amp; Benefits'!$G$6</f>
        <v>12558.24</v>
      </c>
      <c r="Y2132" s="23">
        <f>'2022-23 Salary &amp; Benefits'!$H$6</f>
        <v>0.2298</v>
      </c>
      <c r="Z2132" s="23">
        <f>'2022-23 Salary &amp; Benefits'!$I$6</f>
        <v>0.22339999999999999</v>
      </c>
      <c r="AA2132" s="22">
        <f t="shared" si="418"/>
        <v>0</v>
      </c>
      <c r="AB2132" s="22">
        <f t="shared" si="419"/>
        <v>0</v>
      </c>
      <c r="AC2132" s="22">
        <f t="shared" si="420"/>
        <v>0</v>
      </c>
      <c r="AD2132" s="22">
        <f t="shared" si="410"/>
        <v>0</v>
      </c>
      <c r="AE2132" s="22">
        <f t="shared" si="411"/>
        <v>0</v>
      </c>
      <c r="AF2132" s="19" t="str">
        <f>VLOOKUP(C2132,'2021-22 School Level AAFTE'!C:N,12,FALSE)</f>
        <v>No</v>
      </c>
    </row>
    <row r="2133" spans="1:32" s="5" customFormat="1">
      <c r="A2133" s="97" t="s">
        <v>2517</v>
      </c>
      <c r="B2133" s="97" t="s">
        <v>1995</v>
      </c>
      <c r="C2133" s="95">
        <v>4225</v>
      </c>
      <c r="D2133" s="95" t="s">
        <v>2744</v>
      </c>
      <c r="E2133" s="129">
        <f>VLOOKUP($C2133,'2021-22 School Level AAFTE'!$C:$Z,11,FALSE)</f>
        <v>0.19643333333333332</v>
      </c>
      <c r="F2133" s="129" t="str">
        <f>VLOOKUP($C2133,'2021-22 School Level AAFTE'!$C:$Z,8,FALSE)</f>
        <v>No</v>
      </c>
      <c r="G2133" s="129" t="str">
        <f>VLOOKUP($C2133,'2021-22 School Level AAFTE'!$C:$Z,12,FALSE)</f>
        <v>No</v>
      </c>
      <c r="H2133" s="127">
        <f>VLOOKUP($C2133,'2021-22 School Level AAFTE'!$C:$I,7,FALSE)</f>
        <v>297.57</v>
      </c>
      <c r="I2133" s="112">
        <f>IFERROR(IF(OR(G2133="yes",F2133= "yes"),VLOOKUP(C2133,Summary!$B:$J,6,0),0),0)</f>
        <v>0</v>
      </c>
      <c r="J2133" s="111">
        <f t="shared" si="414"/>
        <v>0</v>
      </c>
      <c r="K2133" s="91">
        <f>VLOOKUP($A2133,'2022-23 Salary &amp; Benefits'!$A:$I,3,FALSE)</f>
        <v>1</v>
      </c>
      <c r="L2133" s="91">
        <f>VLOOKUP($A2133,'2022-23 Salary &amp; Benefits'!$A:$I,4,FALSE)</f>
        <v>1</v>
      </c>
      <c r="M2133" s="39">
        <f t="shared" si="409"/>
        <v>0</v>
      </c>
      <c r="N2133" s="24">
        <v>15</v>
      </c>
      <c r="O2133" s="26">
        <f t="shared" si="412"/>
        <v>0</v>
      </c>
      <c r="P2133" s="24">
        <v>1.1000000000000001</v>
      </c>
      <c r="Q2133" s="24">
        <v>36</v>
      </c>
      <c r="R2133" s="27">
        <f t="shared" si="413"/>
        <v>0</v>
      </c>
      <c r="S2133" s="102">
        <f t="shared" si="415"/>
        <v>0</v>
      </c>
      <c r="T2133" s="21">
        <f>VLOOKUP($A2133,'2022-23 Salary &amp; Benefits'!$A:$I,5,FALSE)</f>
        <v>68937</v>
      </c>
      <c r="U2133" s="21">
        <f>VLOOKUP($A2133,'2022-23 Salary &amp; Benefits'!$A:$I,6,FALSE)</f>
        <v>72728</v>
      </c>
      <c r="V2133" s="22">
        <f t="shared" si="416"/>
        <v>0</v>
      </c>
      <c r="W2133" s="22">
        <f t="shared" si="417"/>
        <v>0</v>
      </c>
      <c r="X2133" s="22">
        <f>'2022-23 Salary &amp; Benefits'!$G$6</f>
        <v>12558.24</v>
      </c>
      <c r="Y2133" s="23">
        <f>'2022-23 Salary &amp; Benefits'!$H$6</f>
        <v>0.2298</v>
      </c>
      <c r="Z2133" s="23">
        <f>'2022-23 Salary &amp; Benefits'!$I$6</f>
        <v>0.22339999999999999</v>
      </c>
      <c r="AA2133" s="22">
        <f t="shared" si="418"/>
        <v>0</v>
      </c>
      <c r="AB2133" s="22">
        <f t="shared" si="419"/>
        <v>0</v>
      </c>
      <c r="AC2133" s="22">
        <f t="shared" si="420"/>
        <v>0</v>
      </c>
      <c r="AD2133" s="22">
        <f t="shared" si="410"/>
        <v>0</v>
      </c>
      <c r="AE2133" s="22">
        <f t="shared" si="411"/>
        <v>0</v>
      </c>
      <c r="AF2133" s="19" t="str">
        <f>VLOOKUP(C2133,'2021-22 School Level AAFTE'!C:N,12,FALSE)</f>
        <v>No</v>
      </c>
    </row>
    <row r="2134" spans="1:32" s="5" customFormat="1">
      <c r="A2134" s="97" t="s">
        <v>2517</v>
      </c>
      <c r="B2134" s="97" t="s">
        <v>1995</v>
      </c>
      <c r="C2134" s="95">
        <v>4365</v>
      </c>
      <c r="D2134" s="95" t="s">
        <v>2002</v>
      </c>
      <c r="E2134" s="129">
        <f>VLOOKUP($C2134,'2021-22 School Level AAFTE'!$C:$Z,11,FALSE)</f>
        <v>0.28183333333333332</v>
      </c>
      <c r="F2134" s="129" t="str">
        <f>VLOOKUP($C2134,'2021-22 School Level AAFTE'!$C:$Z,8,FALSE)</f>
        <v>No</v>
      </c>
      <c r="G2134" s="129" t="str">
        <f>VLOOKUP($C2134,'2021-22 School Level AAFTE'!$C:$Z,12,FALSE)</f>
        <v>No</v>
      </c>
      <c r="H2134" s="127">
        <f>VLOOKUP($C2134,'2021-22 School Level AAFTE'!$C:$I,7,FALSE)</f>
        <v>527.05999999999995</v>
      </c>
      <c r="I2134" s="112">
        <f>IFERROR(IF(OR(G2134="yes",F2134= "yes"),VLOOKUP(C2134,Summary!$B:$J,6,0),0),0)</f>
        <v>0</v>
      </c>
      <c r="J2134" s="111">
        <f t="shared" si="414"/>
        <v>0</v>
      </c>
      <c r="K2134" s="91">
        <f>VLOOKUP($A2134,'2022-23 Salary &amp; Benefits'!$A:$I,3,FALSE)</f>
        <v>1</v>
      </c>
      <c r="L2134" s="91">
        <f>VLOOKUP($A2134,'2022-23 Salary &amp; Benefits'!$A:$I,4,FALSE)</f>
        <v>1</v>
      </c>
      <c r="M2134" s="39">
        <f t="shared" si="409"/>
        <v>0</v>
      </c>
      <c r="N2134" s="24">
        <v>15</v>
      </c>
      <c r="O2134" s="26">
        <f t="shared" si="412"/>
        <v>0</v>
      </c>
      <c r="P2134" s="24">
        <v>1.1000000000000001</v>
      </c>
      <c r="Q2134" s="24">
        <v>36</v>
      </c>
      <c r="R2134" s="27">
        <f t="shared" si="413"/>
        <v>0</v>
      </c>
      <c r="S2134" s="102">
        <f t="shared" si="415"/>
        <v>0</v>
      </c>
      <c r="T2134" s="21">
        <f>VLOOKUP($A2134,'2022-23 Salary &amp; Benefits'!$A:$I,5,FALSE)</f>
        <v>68937</v>
      </c>
      <c r="U2134" s="21">
        <f>VLOOKUP($A2134,'2022-23 Salary &amp; Benefits'!$A:$I,6,FALSE)</f>
        <v>72728</v>
      </c>
      <c r="V2134" s="22">
        <f t="shared" si="416"/>
        <v>0</v>
      </c>
      <c r="W2134" s="22">
        <f t="shared" si="417"/>
        <v>0</v>
      </c>
      <c r="X2134" s="22">
        <f>'2022-23 Salary &amp; Benefits'!$G$6</f>
        <v>12558.24</v>
      </c>
      <c r="Y2134" s="23">
        <f>'2022-23 Salary &amp; Benefits'!$H$6</f>
        <v>0.2298</v>
      </c>
      <c r="Z2134" s="23">
        <f>'2022-23 Salary &amp; Benefits'!$I$6</f>
        <v>0.22339999999999999</v>
      </c>
      <c r="AA2134" s="22">
        <f t="shared" si="418"/>
        <v>0</v>
      </c>
      <c r="AB2134" s="22">
        <f t="shared" si="419"/>
        <v>0</v>
      </c>
      <c r="AC2134" s="22">
        <f t="shared" si="420"/>
        <v>0</v>
      </c>
      <c r="AD2134" s="22">
        <f t="shared" si="410"/>
        <v>0</v>
      </c>
      <c r="AE2134" s="22">
        <f t="shared" si="411"/>
        <v>0</v>
      </c>
      <c r="AF2134" s="19" t="str">
        <f>VLOOKUP(C2134,'2021-22 School Level AAFTE'!C:N,12,FALSE)</f>
        <v>No</v>
      </c>
    </row>
    <row r="2135" spans="1:32" s="5" customFormat="1">
      <c r="A2135" s="97" t="s">
        <v>2517</v>
      </c>
      <c r="B2135" s="97" t="s">
        <v>1995</v>
      </c>
      <c r="C2135" s="95">
        <v>4373</v>
      </c>
      <c r="D2135" s="95" t="s">
        <v>2003</v>
      </c>
      <c r="E2135" s="129">
        <f>VLOOKUP($C2135,'2021-22 School Level AAFTE'!$C:$Z,11,FALSE)</f>
        <v>0.2891333333333333</v>
      </c>
      <c r="F2135" s="129" t="str">
        <f>VLOOKUP($C2135,'2021-22 School Level AAFTE'!$C:$Z,8,FALSE)</f>
        <v>No</v>
      </c>
      <c r="G2135" s="129" t="str">
        <f>VLOOKUP($C2135,'2021-22 School Level AAFTE'!$C:$Z,12,FALSE)</f>
        <v>No</v>
      </c>
      <c r="H2135" s="127">
        <f>VLOOKUP($C2135,'2021-22 School Level AAFTE'!$C:$I,7,FALSE)</f>
        <v>366.3</v>
      </c>
      <c r="I2135" s="112">
        <f>IFERROR(IF(OR(G2135="yes",F2135= "yes"),VLOOKUP(C2135,Summary!$B:$J,6,0),0),0)</f>
        <v>0</v>
      </c>
      <c r="J2135" s="111">
        <f t="shared" si="414"/>
        <v>0</v>
      </c>
      <c r="K2135" s="91">
        <f>VLOOKUP($A2135,'2022-23 Salary &amp; Benefits'!$A:$I,3,FALSE)</f>
        <v>1</v>
      </c>
      <c r="L2135" s="91">
        <f>VLOOKUP($A2135,'2022-23 Salary &amp; Benefits'!$A:$I,4,FALSE)</f>
        <v>1</v>
      </c>
      <c r="M2135" s="39">
        <f t="shared" si="409"/>
        <v>0</v>
      </c>
      <c r="N2135" s="24">
        <v>15</v>
      </c>
      <c r="O2135" s="26">
        <f t="shared" si="412"/>
        <v>0</v>
      </c>
      <c r="P2135" s="24">
        <v>1.1000000000000001</v>
      </c>
      <c r="Q2135" s="24">
        <v>36</v>
      </c>
      <c r="R2135" s="27">
        <f t="shared" si="413"/>
        <v>0</v>
      </c>
      <c r="S2135" s="102">
        <f t="shared" si="415"/>
        <v>0</v>
      </c>
      <c r="T2135" s="21">
        <f>VLOOKUP($A2135,'2022-23 Salary &amp; Benefits'!$A:$I,5,FALSE)</f>
        <v>68937</v>
      </c>
      <c r="U2135" s="21">
        <f>VLOOKUP($A2135,'2022-23 Salary &amp; Benefits'!$A:$I,6,FALSE)</f>
        <v>72728</v>
      </c>
      <c r="V2135" s="22">
        <f t="shared" si="416"/>
        <v>0</v>
      </c>
      <c r="W2135" s="22">
        <f t="shared" si="417"/>
        <v>0</v>
      </c>
      <c r="X2135" s="22">
        <f>'2022-23 Salary &amp; Benefits'!$G$6</f>
        <v>12558.24</v>
      </c>
      <c r="Y2135" s="23">
        <f>'2022-23 Salary &amp; Benefits'!$H$6</f>
        <v>0.2298</v>
      </c>
      <c r="Z2135" s="23">
        <f>'2022-23 Salary &amp; Benefits'!$I$6</f>
        <v>0.22339999999999999</v>
      </c>
      <c r="AA2135" s="22">
        <f t="shared" si="418"/>
        <v>0</v>
      </c>
      <c r="AB2135" s="22">
        <f t="shared" si="419"/>
        <v>0</v>
      </c>
      <c r="AC2135" s="22">
        <f t="shared" si="420"/>
        <v>0</v>
      </c>
      <c r="AD2135" s="22">
        <f t="shared" si="410"/>
        <v>0</v>
      </c>
      <c r="AE2135" s="22">
        <f t="shared" si="411"/>
        <v>0</v>
      </c>
      <c r="AF2135" s="19" t="str">
        <f>VLOOKUP(C2135,'2021-22 School Level AAFTE'!C:N,12,FALSE)</f>
        <v>No</v>
      </c>
    </row>
    <row r="2136" spans="1:32" s="5" customFormat="1">
      <c r="A2136" s="97" t="s">
        <v>2517</v>
      </c>
      <c r="B2136" s="97" t="s">
        <v>1995</v>
      </c>
      <c r="C2136" s="95">
        <v>4452</v>
      </c>
      <c r="D2136" s="95" t="s">
        <v>2004</v>
      </c>
      <c r="E2136" s="129">
        <f>VLOOKUP($C2136,'2021-22 School Level AAFTE'!$C:$Z,11,FALSE)</f>
        <v>0.36020000000000002</v>
      </c>
      <c r="F2136" s="129" t="str">
        <f>VLOOKUP($C2136,'2021-22 School Level AAFTE'!$C:$Z,8,FALSE)</f>
        <v>No</v>
      </c>
      <c r="G2136" s="129" t="str">
        <f>VLOOKUP($C2136,'2021-22 School Level AAFTE'!$C:$Z,12,FALSE)</f>
        <v>No</v>
      </c>
      <c r="H2136" s="127">
        <f>VLOOKUP($C2136,'2021-22 School Level AAFTE'!$C:$I,7,FALSE)</f>
        <v>750.7</v>
      </c>
      <c r="I2136" s="112">
        <f>IFERROR(IF(OR(G2136="yes",F2136= "yes"),VLOOKUP(C2136,Summary!$B:$J,6,0),0),0)</f>
        <v>0</v>
      </c>
      <c r="J2136" s="111">
        <f t="shared" si="414"/>
        <v>0</v>
      </c>
      <c r="K2136" s="91">
        <f>VLOOKUP($A2136,'2022-23 Salary &amp; Benefits'!$A:$I,3,FALSE)</f>
        <v>1</v>
      </c>
      <c r="L2136" s="91">
        <f>VLOOKUP($A2136,'2022-23 Salary &amp; Benefits'!$A:$I,4,FALSE)</f>
        <v>1</v>
      </c>
      <c r="M2136" s="101">
        <f t="shared" si="409"/>
        <v>0</v>
      </c>
      <c r="N2136" s="24">
        <v>15</v>
      </c>
      <c r="O2136" s="26">
        <f t="shared" si="412"/>
        <v>0</v>
      </c>
      <c r="P2136" s="24">
        <v>1.1000000000000001</v>
      </c>
      <c r="Q2136" s="24">
        <v>36</v>
      </c>
      <c r="R2136" s="27">
        <f t="shared" si="413"/>
        <v>0</v>
      </c>
      <c r="S2136" s="102">
        <f t="shared" si="415"/>
        <v>0</v>
      </c>
      <c r="T2136" s="21">
        <f>VLOOKUP($A2136,'2022-23 Salary &amp; Benefits'!$A:$I,5,FALSE)</f>
        <v>68937</v>
      </c>
      <c r="U2136" s="21">
        <f>VLOOKUP($A2136,'2022-23 Salary &amp; Benefits'!$A:$I,6,FALSE)</f>
        <v>72728</v>
      </c>
      <c r="V2136" s="22">
        <f t="shared" si="416"/>
        <v>0</v>
      </c>
      <c r="W2136" s="22">
        <f t="shared" si="417"/>
        <v>0</v>
      </c>
      <c r="X2136" s="22">
        <f>'2022-23 Salary &amp; Benefits'!$G$6</f>
        <v>12558.24</v>
      </c>
      <c r="Y2136" s="23">
        <f>'2022-23 Salary &amp; Benefits'!$H$6</f>
        <v>0.2298</v>
      </c>
      <c r="Z2136" s="23">
        <f>'2022-23 Salary &amp; Benefits'!$I$6</f>
        <v>0.22339999999999999</v>
      </c>
      <c r="AA2136" s="22">
        <f t="shared" si="418"/>
        <v>0</v>
      </c>
      <c r="AB2136" s="22">
        <f t="shared" si="419"/>
        <v>0</v>
      </c>
      <c r="AC2136" s="22">
        <f t="shared" si="420"/>
        <v>0</v>
      </c>
      <c r="AD2136" s="22">
        <f t="shared" si="410"/>
        <v>0</v>
      </c>
      <c r="AE2136" s="22">
        <f t="shared" si="411"/>
        <v>0</v>
      </c>
      <c r="AF2136" s="19" t="str">
        <f>VLOOKUP(C2136,'2021-22 School Level AAFTE'!C:N,12,FALSE)</f>
        <v>No</v>
      </c>
    </row>
    <row r="2137" spans="1:32" s="5" customFormat="1">
      <c r="A2137" s="97" t="s">
        <v>2517</v>
      </c>
      <c r="B2137" s="97" t="s">
        <v>1995</v>
      </c>
      <c r="C2137" s="95">
        <v>4500</v>
      </c>
      <c r="D2137" s="95" t="s">
        <v>2005</v>
      </c>
      <c r="E2137" s="129">
        <f>VLOOKUP($C2137,'2021-22 School Level AAFTE'!$C:$Z,11,FALSE)</f>
        <v>0.27639999999999998</v>
      </c>
      <c r="F2137" s="129" t="str">
        <f>VLOOKUP($C2137,'2021-22 School Level AAFTE'!$C:$Z,8,FALSE)</f>
        <v>No</v>
      </c>
      <c r="G2137" s="129" t="str">
        <f>VLOOKUP($C2137,'2021-22 School Level AAFTE'!$C:$Z,12,FALSE)</f>
        <v>No</v>
      </c>
      <c r="H2137" s="127">
        <f>VLOOKUP($C2137,'2021-22 School Level AAFTE'!$C:$I,7,FALSE)</f>
        <v>820.96</v>
      </c>
      <c r="I2137" s="112">
        <f>IFERROR(IF(OR(G2137="yes",F2137= "yes"),VLOOKUP(C2137,Summary!$B:$J,6,0),0),0)</f>
        <v>0</v>
      </c>
      <c r="J2137" s="111">
        <f t="shared" si="414"/>
        <v>0</v>
      </c>
      <c r="K2137" s="91">
        <f>VLOOKUP($A2137,'2022-23 Salary &amp; Benefits'!$A:$I,3,FALSE)</f>
        <v>1</v>
      </c>
      <c r="L2137" s="91">
        <f>VLOOKUP($A2137,'2022-23 Salary &amp; Benefits'!$A:$I,4,FALSE)</f>
        <v>1</v>
      </c>
      <c r="M2137" s="39">
        <f t="shared" si="409"/>
        <v>0</v>
      </c>
      <c r="N2137" s="24">
        <v>15</v>
      </c>
      <c r="O2137" s="26">
        <f t="shared" si="412"/>
        <v>0</v>
      </c>
      <c r="P2137" s="24">
        <v>1.1000000000000001</v>
      </c>
      <c r="Q2137" s="24">
        <v>36</v>
      </c>
      <c r="R2137" s="27">
        <f t="shared" si="413"/>
        <v>0</v>
      </c>
      <c r="S2137" s="102">
        <f t="shared" si="415"/>
        <v>0</v>
      </c>
      <c r="T2137" s="21">
        <f>VLOOKUP($A2137,'2022-23 Salary &amp; Benefits'!$A:$I,5,FALSE)</f>
        <v>68937</v>
      </c>
      <c r="U2137" s="21">
        <f>VLOOKUP($A2137,'2022-23 Salary &amp; Benefits'!$A:$I,6,FALSE)</f>
        <v>72728</v>
      </c>
      <c r="V2137" s="22">
        <f t="shared" si="416"/>
        <v>0</v>
      </c>
      <c r="W2137" s="22">
        <f t="shared" si="417"/>
        <v>0</v>
      </c>
      <c r="X2137" s="22">
        <f>'2022-23 Salary &amp; Benefits'!$G$6</f>
        <v>12558.24</v>
      </c>
      <c r="Y2137" s="23">
        <f>'2022-23 Salary &amp; Benefits'!$H$6</f>
        <v>0.2298</v>
      </c>
      <c r="Z2137" s="23">
        <f>'2022-23 Salary &amp; Benefits'!$I$6</f>
        <v>0.22339999999999999</v>
      </c>
      <c r="AA2137" s="22">
        <f t="shared" si="418"/>
        <v>0</v>
      </c>
      <c r="AB2137" s="22">
        <f t="shared" si="419"/>
        <v>0</v>
      </c>
      <c r="AC2137" s="22">
        <f t="shared" si="420"/>
        <v>0</v>
      </c>
      <c r="AD2137" s="22">
        <f t="shared" si="410"/>
        <v>0</v>
      </c>
      <c r="AE2137" s="22">
        <f t="shared" si="411"/>
        <v>0</v>
      </c>
      <c r="AF2137" s="19" t="str">
        <f>VLOOKUP(C2137,'2021-22 School Level AAFTE'!C:N,12,FALSE)</f>
        <v>No</v>
      </c>
    </row>
    <row r="2138" spans="1:32" s="5" customFormat="1">
      <c r="A2138" s="97" t="s">
        <v>2517</v>
      </c>
      <c r="B2138" s="97" t="s">
        <v>1995</v>
      </c>
      <c r="C2138" s="95">
        <v>5014</v>
      </c>
      <c r="D2138" s="95" t="s">
        <v>2006</v>
      </c>
      <c r="E2138" s="129">
        <f>VLOOKUP($C2138,'2021-22 School Level AAFTE'!$C:$Z,11,FALSE)</f>
        <v>0.40156666666666668</v>
      </c>
      <c r="F2138" s="129" t="str">
        <f>VLOOKUP($C2138,'2021-22 School Level AAFTE'!$C:$Z,8,FALSE)</f>
        <v>No</v>
      </c>
      <c r="G2138" s="129" t="str">
        <f>VLOOKUP($C2138,'2021-22 School Level AAFTE'!$C:$Z,12,FALSE)</f>
        <v>No</v>
      </c>
      <c r="H2138" s="127">
        <f>VLOOKUP($C2138,'2021-22 School Level AAFTE'!$C:$I,7,FALSE)</f>
        <v>42.28</v>
      </c>
      <c r="I2138" s="112">
        <f>IFERROR(IF(OR(G2138="yes",F2138= "yes"),VLOOKUP(C2138,Summary!$B:$J,6,0),0),0)</f>
        <v>0</v>
      </c>
      <c r="J2138" s="111">
        <f t="shared" si="414"/>
        <v>0</v>
      </c>
      <c r="K2138" s="91">
        <f>VLOOKUP($A2138,'2022-23 Salary &amp; Benefits'!$A:$I,3,FALSE)</f>
        <v>1</v>
      </c>
      <c r="L2138" s="91">
        <f>VLOOKUP($A2138,'2022-23 Salary &amp; Benefits'!$A:$I,4,FALSE)</f>
        <v>1</v>
      </c>
      <c r="M2138" s="39">
        <f t="shared" si="409"/>
        <v>0</v>
      </c>
      <c r="N2138" s="24">
        <v>15</v>
      </c>
      <c r="O2138" s="26">
        <f t="shared" si="412"/>
        <v>0</v>
      </c>
      <c r="P2138" s="24">
        <v>1.1000000000000001</v>
      </c>
      <c r="Q2138" s="24">
        <v>36</v>
      </c>
      <c r="R2138" s="27">
        <f t="shared" si="413"/>
        <v>0</v>
      </c>
      <c r="S2138" s="102">
        <f t="shared" si="415"/>
        <v>0</v>
      </c>
      <c r="T2138" s="21">
        <f>VLOOKUP($A2138,'2022-23 Salary &amp; Benefits'!$A:$I,5,FALSE)</f>
        <v>68937</v>
      </c>
      <c r="U2138" s="21">
        <f>VLOOKUP($A2138,'2022-23 Salary &amp; Benefits'!$A:$I,6,FALSE)</f>
        <v>72728</v>
      </c>
      <c r="V2138" s="22">
        <f t="shared" si="416"/>
        <v>0</v>
      </c>
      <c r="W2138" s="22">
        <f t="shared" si="417"/>
        <v>0</v>
      </c>
      <c r="X2138" s="22">
        <f>'2022-23 Salary &amp; Benefits'!$G$6</f>
        <v>12558.24</v>
      </c>
      <c r="Y2138" s="23">
        <f>'2022-23 Salary &amp; Benefits'!$H$6</f>
        <v>0.2298</v>
      </c>
      <c r="Z2138" s="23">
        <f>'2022-23 Salary &amp; Benefits'!$I$6</f>
        <v>0.22339999999999999</v>
      </c>
      <c r="AA2138" s="22">
        <f t="shared" si="418"/>
        <v>0</v>
      </c>
      <c r="AB2138" s="22">
        <f t="shared" si="419"/>
        <v>0</v>
      </c>
      <c r="AC2138" s="22">
        <f t="shared" si="420"/>
        <v>0</v>
      </c>
      <c r="AD2138" s="22">
        <f t="shared" si="410"/>
        <v>0</v>
      </c>
      <c r="AE2138" s="22">
        <f t="shared" si="411"/>
        <v>0</v>
      </c>
      <c r="AF2138" s="19" t="str">
        <f>VLOOKUP(C2138,'2021-22 School Level AAFTE'!C:N,12,FALSE)</f>
        <v>No</v>
      </c>
    </row>
    <row r="2139" spans="1:32" s="5" customFormat="1">
      <c r="A2139" s="97" t="s">
        <v>2517</v>
      </c>
      <c r="B2139" s="97" t="s">
        <v>1995</v>
      </c>
      <c r="C2139" s="95">
        <v>5629</v>
      </c>
      <c r="D2139" s="95" t="s">
        <v>2940</v>
      </c>
      <c r="E2139" s="129">
        <f>VLOOKUP($C2139,'2021-22 School Level AAFTE'!$C:$Z,11,FALSE)</f>
        <v>0.31789999999999996</v>
      </c>
      <c r="F2139" s="129" t="str">
        <f>VLOOKUP($C2139,'2021-22 School Level AAFTE'!$C:$Z,8,FALSE)</f>
        <v>No</v>
      </c>
      <c r="G2139" s="129" t="str">
        <f>VLOOKUP($C2139,'2021-22 School Level AAFTE'!$C:$Z,12,FALSE)</f>
        <v>No</v>
      </c>
      <c r="H2139" s="127">
        <f>VLOOKUP($C2139,'2021-22 School Level AAFTE'!$C:$I,7,FALSE)</f>
        <v>255.28</v>
      </c>
      <c r="I2139" s="112">
        <f>IFERROR(IF(OR(G2139="yes",F2139= "yes"),VLOOKUP(C2139,Summary!$B:$J,6,0),0),0)</f>
        <v>0</v>
      </c>
      <c r="J2139" s="111">
        <f t="shared" si="414"/>
        <v>0</v>
      </c>
      <c r="K2139" s="91">
        <f>VLOOKUP($A2139,'2022-23 Salary &amp; Benefits'!$A:$I,3,FALSE)</f>
        <v>1</v>
      </c>
      <c r="L2139" s="91">
        <f>VLOOKUP($A2139,'2022-23 Salary &amp; Benefits'!$A:$I,4,FALSE)</f>
        <v>1</v>
      </c>
      <c r="M2139" s="39">
        <f t="shared" si="409"/>
        <v>0</v>
      </c>
      <c r="N2139" s="24">
        <v>15</v>
      </c>
      <c r="O2139" s="26">
        <f t="shared" si="412"/>
        <v>0</v>
      </c>
      <c r="P2139" s="24">
        <v>1.1000000000000001</v>
      </c>
      <c r="Q2139" s="24">
        <v>36</v>
      </c>
      <c r="R2139" s="27">
        <f t="shared" si="413"/>
        <v>0</v>
      </c>
      <c r="S2139" s="102">
        <f t="shared" si="415"/>
        <v>0</v>
      </c>
      <c r="T2139" s="21">
        <f>VLOOKUP($A2139,'2022-23 Salary &amp; Benefits'!$A:$I,5,FALSE)</f>
        <v>68937</v>
      </c>
      <c r="U2139" s="21">
        <f>VLOOKUP($A2139,'2022-23 Salary &amp; Benefits'!$A:$I,6,FALSE)</f>
        <v>72728</v>
      </c>
      <c r="V2139" s="22">
        <f t="shared" si="416"/>
        <v>0</v>
      </c>
      <c r="W2139" s="22">
        <f t="shared" si="417"/>
        <v>0</v>
      </c>
      <c r="X2139" s="22">
        <f>'2022-23 Salary &amp; Benefits'!$G$6</f>
        <v>12558.24</v>
      </c>
      <c r="Y2139" s="23">
        <f>'2022-23 Salary &amp; Benefits'!$H$6</f>
        <v>0.2298</v>
      </c>
      <c r="Z2139" s="23">
        <f>'2022-23 Salary &amp; Benefits'!$I$6</f>
        <v>0.22339999999999999</v>
      </c>
      <c r="AA2139" s="22">
        <f t="shared" si="418"/>
        <v>0</v>
      </c>
      <c r="AB2139" s="22">
        <f t="shared" si="419"/>
        <v>0</v>
      </c>
      <c r="AC2139" s="22">
        <f t="shared" si="420"/>
        <v>0</v>
      </c>
      <c r="AD2139" s="22">
        <f t="shared" si="410"/>
        <v>0</v>
      </c>
      <c r="AE2139" s="22">
        <f t="shared" si="411"/>
        <v>0</v>
      </c>
      <c r="AF2139" s="19" t="str">
        <f>VLOOKUP(C2139,'2021-22 School Level AAFTE'!C:N,12,FALSE)</f>
        <v>No</v>
      </c>
    </row>
    <row r="2140" spans="1:32" s="5" customFormat="1">
      <c r="A2140" s="97" t="s">
        <v>2553</v>
      </c>
      <c r="B2140" s="97" t="s">
        <v>2164</v>
      </c>
      <c r="C2140" s="95">
        <v>2714</v>
      </c>
      <c r="D2140" s="95" t="s">
        <v>2165</v>
      </c>
      <c r="E2140" s="129">
        <f>VLOOKUP($C2140,'2021-22 School Level AAFTE'!$C:$Z,11,FALSE)</f>
        <v>0.92356666666666654</v>
      </c>
      <c r="F2140" s="129" t="str">
        <f>VLOOKUP($C2140,'2021-22 School Level AAFTE'!$C:$Z,8,FALSE)</f>
        <v>Yes</v>
      </c>
      <c r="G2140" s="129" t="str">
        <f>VLOOKUP($C2140,'2021-22 School Level AAFTE'!$C:$Z,12,FALSE)</f>
        <v>No</v>
      </c>
      <c r="H2140" s="127">
        <f>VLOOKUP($C2140,'2021-22 School Level AAFTE'!$C:$I,7,FALSE)</f>
        <v>571.29999999999995</v>
      </c>
      <c r="I2140" s="112">
        <f>IFERROR(IF(OR(G2140="yes",F2140= "yes"),VLOOKUP(C2140,Summary!$B:$J,6,0),0),0)</f>
        <v>0</v>
      </c>
      <c r="J2140" s="111">
        <f t="shared" si="414"/>
        <v>571.29999999999995</v>
      </c>
      <c r="K2140" s="91">
        <f>VLOOKUP($A2140,'2022-23 Salary &amp; Benefits'!$A:$I,3,FALSE)</f>
        <v>1</v>
      </c>
      <c r="L2140" s="91">
        <f>VLOOKUP($A2140,'2022-23 Salary &amp; Benefits'!$A:$I,4,FALSE)</f>
        <v>1</v>
      </c>
      <c r="M2140" s="39">
        <f t="shared" si="409"/>
        <v>571.29999999999995</v>
      </c>
      <c r="N2140" s="24">
        <v>15</v>
      </c>
      <c r="O2140" s="26">
        <f t="shared" si="412"/>
        <v>38.086666666666666</v>
      </c>
      <c r="P2140" s="24">
        <v>1.1000000000000001</v>
      </c>
      <c r="Q2140" s="24">
        <v>36</v>
      </c>
      <c r="R2140" s="27">
        <f t="shared" si="413"/>
        <v>1508.232</v>
      </c>
      <c r="S2140" s="102">
        <f t="shared" si="415"/>
        <v>1.6759999999999999</v>
      </c>
      <c r="T2140" s="21">
        <f>VLOOKUP($A2140,'2022-23 Salary &amp; Benefits'!$A:$I,5,FALSE)</f>
        <v>68937</v>
      </c>
      <c r="U2140" s="21">
        <f>VLOOKUP($A2140,'2022-23 Salary &amp; Benefits'!$A:$I,6,FALSE)</f>
        <v>72728</v>
      </c>
      <c r="V2140" s="22">
        <f t="shared" si="416"/>
        <v>115538.41</v>
      </c>
      <c r="W2140" s="22">
        <f t="shared" si="417"/>
        <v>6353.7200000000012</v>
      </c>
      <c r="X2140" s="22">
        <f>'2022-23 Salary &amp; Benefits'!$G$6</f>
        <v>12558.24</v>
      </c>
      <c r="Y2140" s="23">
        <f>'2022-23 Salary &amp; Benefits'!$H$6</f>
        <v>0.2298</v>
      </c>
      <c r="Z2140" s="23">
        <f>'2022-23 Salary &amp; Benefits'!$I$6</f>
        <v>0.22339999999999999</v>
      </c>
      <c r="AA2140" s="22">
        <f t="shared" si="418"/>
        <v>49017.760000000002</v>
      </c>
      <c r="AB2140" s="22">
        <f t="shared" si="419"/>
        <v>2031.54</v>
      </c>
      <c r="AC2140" s="22">
        <f t="shared" si="420"/>
        <v>453.85</v>
      </c>
      <c r="AD2140" s="22">
        <f t="shared" si="410"/>
        <v>2485.39</v>
      </c>
      <c r="AE2140" s="22">
        <f t="shared" si="411"/>
        <v>173395.28000000003</v>
      </c>
      <c r="AF2140" s="19" t="str">
        <f>VLOOKUP(C2140,'2021-22 School Level AAFTE'!C:N,12,FALSE)</f>
        <v>No</v>
      </c>
    </row>
    <row r="2141" spans="1:32" s="5" customFormat="1">
      <c r="A2141" s="97" t="s">
        <v>2442</v>
      </c>
      <c r="B2141" s="97" t="s">
        <v>1387</v>
      </c>
      <c r="C2141" s="95">
        <v>2223</v>
      </c>
      <c r="D2141" s="95" t="s">
        <v>1388</v>
      </c>
      <c r="E2141" s="129">
        <f>VLOOKUP($C2141,'2021-22 School Level AAFTE'!$C:$Z,11,FALSE)</f>
        <v>0.39233333333333337</v>
      </c>
      <c r="F2141" s="129" t="str">
        <f>VLOOKUP($C2141,'2021-22 School Level AAFTE'!$C:$Z,8,FALSE)</f>
        <v>No</v>
      </c>
      <c r="G2141" s="129" t="str">
        <f>VLOOKUP($C2141,'2021-22 School Level AAFTE'!$C:$Z,12,FALSE)</f>
        <v>No</v>
      </c>
      <c r="H2141" s="127">
        <f>VLOOKUP($C2141,'2021-22 School Level AAFTE'!$C:$I,7,FALSE)</f>
        <v>466.2</v>
      </c>
      <c r="I2141" s="112">
        <f>IFERROR(IF(OR(G2141="yes",F2141= "yes"),VLOOKUP(C2141,Summary!$B:$J,6,0),0),0)</f>
        <v>0</v>
      </c>
      <c r="J2141" s="111">
        <f t="shared" si="414"/>
        <v>0</v>
      </c>
      <c r="K2141" s="91">
        <f>VLOOKUP($A2141,'2022-23 Salary &amp; Benefits'!$A:$I,3,FALSE)</f>
        <v>1.06</v>
      </c>
      <c r="L2141" s="91">
        <f>VLOOKUP($A2141,'2022-23 Salary &amp; Benefits'!$A:$I,4,FALSE)</f>
        <v>1.1000000000000001</v>
      </c>
      <c r="M2141" s="39">
        <f t="shared" si="409"/>
        <v>0</v>
      </c>
      <c r="N2141" s="24">
        <v>15</v>
      </c>
      <c r="O2141" s="26">
        <f t="shared" si="412"/>
        <v>0</v>
      </c>
      <c r="P2141" s="24">
        <v>1.1000000000000001</v>
      </c>
      <c r="Q2141" s="24">
        <v>36</v>
      </c>
      <c r="R2141" s="27">
        <f t="shared" si="413"/>
        <v>0</v>
      </c>
      <c r="S2141" s="102">
        <f t="shared" si="415"/>
        <v>0</v>
      </c>
      <c r="T2141" s="21">
        <f>VLOOKUP($A2141,'2022-23 Salary &amp; Benefits'!$A:$I,5,FALSE)</f>
        <v>68937</v>
      </c>
      <c r="U2141" s="21">
        <f>VLOOKUP($A2141,'2022-23 Salary &amp; Benefits'!$A:$I,6,FALSE)</f>
        <v>72728</v>
      </c>
      <c r="V2141" s="22">
        <f t="shared" si="416"/>
        <v>0</v>
      </c>
      <c r="W2141" s="22">
        <f t="shared" si="417"/>
        <v>0</v>
      </c>
      <c r="X2141" s="22">
        <f>'2022-23 Salary &amp; Benefits'!$G$6</f>
        <v>12558.24</v>
      </c>
      <c r="Y2141" s="23">
        <f>'2022-23 Salary &amp; Benefits'!$H$6</f>
        <v>0.2298</v>
      </c>
      <c r="Z2141" s="23">
        <f>'2022-23 Salary &amp; Benefits'!$I$6</f>
        <v>0.22339999999999999</v>
      </c>
      <c r="AA2141" s="22">
        <f t="shared" si="418"/>
        <v>0</v>
      </c>
      <c r="AB2141" s="22">
        <f t="shared" si="419"/>
        <v>0</v>
      </c>
      <c r="AC2141" s="22">
        <f t="shared" si="420"/>
        <v>0</v>
      </c>
      <c r="AD2141" s="22">
        <f t="shared" si="410"/>
        <v>0</v>
      </c>
      <c r="AE2141" s="22">
        <f t="shared" si="411"/>
        <v>0</v>
      </c>
      <c r="AF2141" s="19" t="str">
        <f>VLOOKUP(C2141,'2021-22 School Level AAFTE'!C:N,12,FALSE)</f>
        <v>No</v>
      </c>
    </row>
    <row r="2142" spans="1:32" s="5" customFormat="1">
      <c r="A2142" s="97" t="s">
        <v>2442</v>
      </c>
      <c r="B2142" s="97" t="s">
        <v>1387</v>
      </c>
      <c r="C2142" s="95">
        <v>3179</v>
      </c>
      <c r="D2142" s="95" t="s">
        <v>1389</v>
      </c>
      <c r="E2142" s="129">
        <f>VLOOKUP($C2142,'2021-22 School Level AAFTE'!$C:$Z,11,FALSE)</f>
        <v>0.35143333333333332</v>
      </c>
      <c r="F2142" s="129" t="str">
        <f>VLOOKUP($C2142,'2021-22 School Level AAFTE'!$C:$Z,8,FALSE)</f>
        <v>No</v>
      </c>
      <c r="G2142" s="129" t="str">
        <f>VLOOKUP($C2142,'2021-22 School Level AAFTE'!$C:$Z,12,FALSE)</f>
        <v>No</v>
      </c>
      <c r="H2142" s="127">
        <f>VLOOKUP($C2142,'2021-22 School Level AAFTE'!$C:$I,7,FALSE)</f>
        <v>843.07</v>
      </c>
      <c r="I2142" s="112">
        <f>IFERROR(IF(OR(G2142="yes",F2142= "yes"),VLOOKUP(C2142,Summary!$B:$J,6,0),0),0)</f>
        <v>0</v>
      </c>
      <c r="J2142" s="111">
        <f t="shared" si="414"/>
        <v>0</v>
      </c>
      <c r="K2142" s="91">
        <f>VLOOKUP($A2142,'2022-23 Salary &amp; Benefits'!$A:$I,3,FALSE)</f>
        <v>1.06</v>
      </c>
      <c r="L2142" s="91">
        <f>VLOOKUP($A2142,'2022-23 Salary &amp; Benefits'!$A:$I,4,FALSE)</f>
        <v>1.1000000000000001</v>
      </c>
      <c r="M2142" s="101">
        <f t="shared" si="409"/>
        <v>0</v>
      </c>
      <c r="N2142" s="24">
        <v>15</v>
      </c>
      <c r="O2142" s="26">
        <f t="shared" si="412"/>
        <v>0</v>
      </c>
      <c r="P2142" s="24">
        <v>1.1000000000000001</v>
      </c>
      <c r="Q2142" s="24">
        <v>36</v>
      </c>
      <c r="R2142" s="27">
        <f t="shared" si="413"/>
        <v>0</v>
      </c>
      <c r="S2142" s="102">
        <f t="shared" si="415"/>
        <v>0</v>
      </c>
      <c r="T2142" s="21">
        <f>VLOOKUP($A2142,'2022-23 Salary &amp; Benefits'!$A:$I,5,FALSE)</f>
        <v>68937</v>
      </c>
      <c r="U2142" s="21">
        <f>VLOOKUP($A2142,'2022-23 Salary &amp; Benefits'!$A:$I,6,FALSE)</f>
        <v>72728</v>
      </c>
      <c r="V2142" s="22">
        <f t="shared" si="416"/>
        <v>0</v>
      </c>
      <c r="W2142" s="22">
        <f t="shared" si="417"/>
        <v>0</v>
      </c>
      <c r="X2142" s="22">
        <f>'2022-23 Salary &amp; Benefits'!$G$6</f>
        <v>12558.24</v>
      </c>
      <c r="Y2142" s="23">
        <f>'2022-23 Salary &amp; Benefits'!$H$6</f>
        <v>0.2298</v>
      </c>
      <c r="Z2142" s="23">
        <f>'2022-23 Salary &amp; Benefits'!$I$6</f>
        <v>0.22339999999999999</v>
      </c>
      <c r="AA2142" s="22">
        <f t="shared" si="418"/>
        <v>0</v>
      </c>
      <c r="AB2142" s="22">
        <f t="shared" si="419"/>
        <v>0</v>
      </c>
      <c r="AC2142" s="22">
        <f t="shared" si="420"/>
        <v>0</v>
      </c>
      <c r="AD2142" s="22">
        <f t="shared" si="410"/>
        <v>0</v>
      </c>
      <c r="AE2142" s="22">
        <f t="shared" si="411"/>
        <v>0</v>
      </c>
      <c r="AF2142" s="19" t="str">
        <f>VLOOKUP(C2142,'2021-22 School Level AAFTE'!C:N,12,FALSE)</f>
        <v>No</v>
      </c>
    </row>
    <row r="2143" spans="1:32" s="5" customFormat="1">
      <c r="A2143" s="97" t="s">
        <v>2442</v>
      </c>
      <c r="B2143" s="97" t="s">
        <v>1387</v>
      </c>
      <c r="C2143" s="95">
        <v>3296</v>
      </c>
      <c r="D2143" s="95" t="s">
        <v>1390</v>
      </c>
      <c r="E2143" s="129">
        <f>VLOOKUP($C2143,'2021-22 School Level AAFTE'!$C:$Z,11,FALSE)</f>
        <v>0.36600000000000005</v>
      </c>
      <c r="F2143" s="129" t="str">
        <f>VLOOKUP($C2143,'2021-22 School Level AAFTE'!$C:$Z,8,FALSE)</f>
        <v>No</v>
      </c>
      <c r="G2143" s="129" t="str">
        <f>VLOOKUP($C2143,'2021-22 School Level AAFTE'!$C:$Z,12,FALSE)</f>
        <v>No</v>
      </c>
      <c r="H2143" s="127">
        <f>VLOOKUP($C2143,'2021-22 School Level AAFTE'!$C:$I,7,FALSE)</f>
        <v>673.84</v>
      </c>
      <c r="I2143" s="112">
        <f>IFERROR(IF(OR(G2143="yes",F2143= "yes"),VLOOKUP(C2143,Summary!$B:$J,6,0),0),0)</f>
        <v>0</v>
      </c>
      <c r="J2143" s="111">
        <f t="shared" si="414"/>
        <v>0</v>
      </c>
      <c r="K2143" s="91">
        <f>VLOOKUP($A2143,'2022-23 Salary &amp; Benefits'!$A:$I,3,FALSE)</f>
        <v>1.06</v>
      </c>
      <c r="L2143" s="91">
        <f>VLOOKUP($A2143,'2022-23 Salary &amp; Benefits'!$A:$I,4,FALSE)</f>
        <v>1.1000000000000001</v>
      </c>
      <c r="M2143" s="39">
        <f t="shared" si="409"/>
        <v>0</v>
      </c>
      <c r="N2143" s="24">
        <v>15</v>
      </c>
      <c r="O2143" s="26">
        <f t="shared" si="412"/>
        <v>0</v>
      </c>
      <c r="P2143" s="24">
        <v>1.1000000000000001</v>
      </c>
      <c r="Q2143" s="24">
        <v>36</v>
      </c>
      <c r="R2143" s="27">
        <f t="shared" si="413"/>
        <v>0</v>
      </c>
      <c r="S2143" s="102">
        <f t="shared" si="415"/>
        <v>0</v>
      </c>
      <c r="T2143" s="21">
        <f>VLOOKUP($A2143,'2022-23 Salary &amp; Benefits'!$A:$I,5,FALSE)</f>
        <v>68937</v>
      </c>
      <c r="U2143" s="21">
        <f>VLOOKUP($A2143,'2022-23 Salary &amp; Benefits'!$A:$I,6,FALSE)</f>
        <v>72728</v>
      </c>
      <c r="V2143" s="22">
        <f t="shared" si="416"/>
        <v>0</v>
      </c>
      <c r="W2143" s="22">
        <f t="shared" si="417"/>
        <v>0</v>
      </c>
      <c r="X2143" s="22">
        <f>'2022-23 Salary &amp; Benefits'!$G$6</f>
        <v>12558.24</v>
      </c>
      <c r="Y2143" s="23">
        <f>'2022-23 Salary &amp; Benefits'!$H$6</f>
        <v>0.2298</v>
      </c>
      <c r="Z2143" s="23">
        <f>'2022-23 Salary &amp; Benefits'!$I$6</f>
        <v>0.22339999999999999</v>
      </c>
      <c r="AA2143" s="22">
        <f t="shared" si="418"/>
        <v>0</v>
      </c>
      <c r="AB2143" s="22">
        <f t="shared" si="419"/>
        <v>0</v>
      </c>
      <c r="AC2143" s="22">
        <f t="shared" si="420"/>
        <v>0</v>
      </c>
      <c r="AD2143" s="22">
        <f t="shared" si="410"/>
        <v>0</v>
      </c>
      <c r="AE2143" s="22">
        <f t="shared" si="411"/>
        <v>0</v>
      </c>
      <c r="AF2143" s="19" t="str">
        <f>VLOOKUP(C2143,'2021-22 School Level AAFTE'!C:N,12,FALSE)</f>
        <v>No</v>
      </c>
    </row>
    <row r="2144" spans="1:32" s="5" customFormat="1">
      <c r="A2144" s="97" t="s">
        <v>2442</v>
      </c>
      <c r="B2144" s="97" t="s">
        <v>1387</v>
      </c>
      <c r="C2144" s="95">
        <v>3600</v>
      </c>
      <c r="D2144" s="95" t="s">
        <v>1391</v>
      </c>
      <c r="E2144" s="129">
        <f>VLOOKUP($C2144,'2021-22 School Level AAFTE'!$C:$Z,11,FALSE)</f>
        <v>0.31263333333333332</v>
      </c>
      <c r="F2144" s="129" t="str">
        <f>VLOOKUP($C2144,'2021-22 School Level AAFTE'!$C:$Z,8,FALSE)</f>
        <v>No</v>
      </c>
      <c r="G2144" s="129" t="str">
        <f>VLOOKUP($C2144,'2021-22 School Level AAFTE'!$C:$Z,12,FALSE)</f>
        <v>No</v>
      </c>
      <c r="H2144" s="127">
        <f>VLOOKUP($C2144,'2021-22 School Level AAFTE'!$C:$I,7,FALSE)</f>
        <v>1396.1299999999999</v>
      </c>
      <c r="I2144" s="112">
        <f>IFERROR(IF(OR(G2144="yes",F2144= "yes"),VLOOKUP(C2144,Summary!$B:$J,6,0),0),0)</f>
        <v>0</v>
      </c>
      <c r="J2144" s="111">
        <f t="shared" si="414"/>
        <v>0</v>
      </c>
      <c r="K2144" s="91">
        <f>VLOOKUP($A2144,'2022-23 Salary &amp; Benefits'!$A:$I,3,FALSE)</f>
        <v>1.06</v>
      </c>
      <c r="L2144" s="91">
        <f>VLOOKUP($A2144,'2022-23 Salary &amp; Benefits'!$A:$I,4,FALSE)</f>
        <v>1.1000000000000001</v>
      </c>
      <c r="M2144" s="39">
        <f t="shared" si="409"/>
        <v>0</v>
      </c>
      <c r="N2144" s="24">
        <v>15</v>
      </c>
      <c r="O2144" s="26">
        <f t="shared" si="412"/>
        <v>0</v>
      </c>
      <c r="P2144" s="24">
        <v>1.1000000000000001</v>
      </c>
      <c r="Q2144" s="24">
        <v>36</v>
      </c>
      <c r="R2144" s="27">
        <f t="shared" si="413"/>
        <v>0</v>
      </c>
      <c r="S2144" s="102">
        <f t="shared" si="415"/>
        <v>0</v>
      </c>
      <c r="T2144" s="21">
        <f>VLOOKUP($A2144,'2022-23 Salary &amp; Benefits'!$A:$I,5,FALSE)</f>
        <v>68937</v>
      </c>
      <c r="U2144" s="21">
        <f>VLOOKUP($A2144,'2022-23 Salary &amp; Benefits'!$A:$I,6,FALSE)</f>
        <v>72728</v>
      </c>
      <c r="V2144" s="22">
        <f t="shared" si="416"/>
        <v>0</v>
      </c>
      <c r="W2144" s="22">
        <f t="shared" si="417"/>
        <v>0</v>
      </c>
      <c r="X2144" s="22">
        <f>'2022-23 Salary &amp; Benefits'!$G$6</f>
        <v>12558.24</v>
      </c>
      <c r="Y2144" s="23">
        <f>'2022-23 Salary &amp; Benefits'!$H$6</f>
        <v>0.2298</v>
      </c>
      <c r="Z2144" s="23">
        <f>'2022-23 Salary &amp; Benefits'!$I$6</f>
        <v>0.22339999999999999</v>
      </c>
      <c r="AA2144" s="22">
        <f t="shared" si="418"/>
        <v>0</v>
      </c>
      <c r="AB2144" s="22">
        <f t="shared" si="419"/>
        <v>0</v>
      </c>
      <c r="AC2144" s="22">
        <f t="shared" si="420"/>
        <v>0</v>
      </c>
      <c r="AD2144" s="22">
        <f t="shared" si="410"/>
        <v>0</v>
      </c>
      <c r="AE2144" s="22">
        <f t="shared" si="411"/>
        <v>0</v>
      </c>
      <c r="AF2144" s="19" t="str">
        <f>VLOOKUP(C2144,'2021-22 School Level AAFTE'!C:N,12,FALSE)</f>
        <v>No</v>
      </c>
    </row>
    <row r="2145" spans="1:32" s="5" customFormat="1">
      <c r="A2145" s="97" t="s">
        <v>2442</v>
      </c>
      <c r="B2145" s="97" t="s">
        <v>1387</v>
      </c>
      <c r="C2145" s="95">
        <v>3601</v>
      </c>
      <c r="D2145" s="95" t="s">
        <v>1392</v>
      </c>
      <c r="E2145" s="129">
        <f>VLOOKUP($C2145,'2021-22 School Level AAFTE'!$C:$Z,11,FALSE)</f>
        <v>0.34329999999999999</v>
      </c>
      <c r="F2145" s="129" t="str">
        <f>VLOOKUP($C2145,'2021-22 School Level AAFTE'!$C:$Z,8,FALSE)</f>
        <v>No</v>
      </c>
      <c r="G2145" s="129" t="str">
        <f>VLOOKUP($C2145,'2021-22 School Level AAFTE'!$C:$Z,12,FALSE)</f>
        <v>No</v>
      </c>
      <c r="H2145" s="127">
        <f>VLOOKUP($C2145,'2021-22 School Level AAFTE'!$C:$I,7,FALSE)</f>
        <v>517.03</v>
      </c>
      <c r="I2145" s="112">
        <f>IFERROR(IF(OR(G2145="yes",F2145= "yes"),VLOOKUP(C2145,Summary!$B:$J,6,0),0),0)</f>
        <v>0</v>
      </c>
      <c r="J2145" s="111">
        <f t="shared" si="414"/>
        <v>0</v>
      </c>
      <c r="K2145" s="91">
        <f>VLOOKUP($A2145,'2022-23 Salary &amp; Benefits'!$A:$I,3,FALSE)</f>
        <v>1.06</v>
      </c>
      <c r="L2145" s="91">
        <f>VLOOKUP($A2145,'2022-23 Salary &amp; Benefits'!$A:$I,4,FALSE)</f>
        <v>1.1000000000000001</v>
      </c>
      <c r="M2145" s="39">
        <f t="shared" si="409"/>
        <v>0</v>
      </c>
      <c r="N2145" s="24">
        <v>15</v>
      </c>
      <c r="O2145" s="26">
        <f t="shared" si="412"/>
        <v>0</v>
      </c>
      <c r="P2145" s="24">
        <v>1.1000000000000001</v>
      </c>
      <c r="Q2145" s="24">
        <v>36</v>
      </c>
      <c r="R2145" s="27">
        <f t="shared" si="413"/>
        <v>0</v>
      </c>
      <c r="S2145" s="102">
        <f t="shared" si="415"/>
        <v>0</v>
      </c>
      <c r="T2145" s="21">
        <f>VLOOKUP($A2145,'2022-23 Salary &amp; Benefits'!$A:$I,5,FALSE)</f>
        <v>68937</v>
      </c>
      <c r="U2145" s="21">
        <f>VLOOKUP($A2145,'2022-23 Salary &amp; Benefits'!$A:$I,6,FALSE)</f>
        <v>72728</v>
      </c>
      <c r="V2145" s="22">
        <f t="shared" si="416"/>
        <v>0</v>
      </c>
      <c r="W2145" s="22">
        <f t="shared" si="417"/>
        <v>0</v>
      </c>
      <c r="X2145" s="22">
        <f>'2022-23 Salary &amp; Benefits'!$G$6</f>
        <v>12558.24</v>
      </c>
      <c r="Y2145" s="23">
        <f>'2022-23 Salary &amp; Benefits'!$H$6</f>
        <v>0.2298</v>
      </c>
      <c r="Z2145" s="23">
        <f>'2022-23 Salary &amp; Benefits'!$I$6</f>
        <v>0.22339999999999999</v>
      </c>
      <c r="AA2145" s="22">
        <f t="shared" si="418"/>
        <v>0</v>
      </c>
      <c r="AB2145" s="22">
        <f t="shared" si="419"/>
        <v>0</v>
      </c>
      <c r="AC2145" s="22">
        <f t="shared" si="420"/>
        <v>0</v>
      </c>
      <c r="AD2145" s="22">
        <f t="shared" si="410"/>
        <v>0</v>
      </c>
      <c r="AE2145" s="22">
        <f t="shared" si="411"/>
        <v>0</v>
      </c>
      <c r="AF2145" s="19" t="str">
        <f>VLOOKUP(C2145,'2021-22 School Level AAFTE'!C:N,12,FALSE)</f>
        <v>No</v>
      </c>
    </row>
    <row r="2146" spans="1:32" s="5" customFormat="1">
      <c r="A2146" s="97" t="s">
        <v>2442</v>
      </c>
      <c r="B2146" s="97" t="s">
        <v>1387</v>
      </c>
      <c r="C2146" s="95">
        <v>3792</v>
      </c>
      <c r="D2146" s="95" t="s">
        <v>1393</v>
      </c>
      <c r="E2146" s="129">
        <f>VLOOKUP($C2146,'2021-22 School Level AAFTE'!$C:$Z,11,FALSE)</f>
        <v>0.37396666666666672</v>
      </c>
      <c r="F2146" s="129" t="str">
        <f>VLOOKUP($C2146,'2021-22 School Level AAFTE'!$C:$Z,8,FALSE)</f>
        <v>No</v>
      </c>
      <c r="G2146" s="129" t="str">
        <f>VLOOKUP($C2146,'2021-22 School Level AAFTE'!$C:$Z,12,FALSE)</f>
        <v>No</v>
      </c>
      <c r="H2146" s="127">
        <f>VLOOKUP($C2146,'2021-22 School Level AAFTE'!$C:$I,7,FALSE)</f>
        <v>479.71</v>
      </c>
      <c r="I2146" s="112">
        <f>IFERROR(IF(OR(G2146="yes",F2146= "yes"),VLOOKUP(C2146,Summary!$B:$J,6,0),0),0)</f>
        <v>0</v>
      </c>
      <c r="J2146" s="111">
        <f t="shared" si="414"/>
        <v>0</v>
      </c>
      <c r="K2146" s="91">
        <f>VLOOKUP($A2146,'2022-23 Salary &amp; Benefits'!$A:$I,3,FALSE)</f>
        <v>1.06</v>
      </c>
      <c r="L2146" s="91">
        <f>VLOOKUP($A2146,'2022-23 Salary &amp; Benefits'!$A:$I,4,FALSE)</f>
        <v>1.1000000000000001</v>
      </c>
      <c r="M2146" s="101">
        <f t="shared" si="409"/>
        <v>0</v>
      </c>
      <c r="N2146" s="24">
        <v>15</v>
      </c>
      <c r="O2146" s="26">
        <f t="shared" si="412"/>
        <v>0</v>
      </c>
      <c r="P2146" s="24">
        <v>1.1000000000000001</v>
      </c>
      <c r="Q2146" s="24">
        <v>36</v>
      </c>
      <c r="R2146" s="27">
        <f t="shared" si="413"/>
        <v>0</v>
      </c>
      <c r="S2146" s="102">
        <f t="shared" si="415"/>
        <v>0</v>
      </c>
      <c r="T2146" s="21">
        <f>VLOOKUP($A2146,'2022-23 Salary &amp; Benefits'!$A:$I,5,FALSE)</f>
        <v>68937</v>
      </c>
      <c r="U2146" s="21">
        <f>VLOOKUP($A2146,'2022-23 Salary &amp; Benefits'!$A:$I,6,FALSE)</f>
        <v>72728</v>
      </c>
      <c r="V2146" s="22">
        <f t="shared" si="416"/>
        <v>0</v>
      </c>
      <c r="W2146" s="22">
        <f t="shared" si="417"/>
        <v>0</v>
      </c>
      <c r="X2146" s="22">
        <f>'2022-23 Salary &amp; Benefits'!$G$6</f>
        <v>12558.24</v>
      </c>
      <c r="Y2146" s="23">
        <f>'2022-23 Salary &amp; Benefits'!$H$6</f>
        <v>0.2298</v>
      </c>
      <c r="Z2146" s="23">
        <f>'2022-23 Salary &amp; Benefits'!$I$6</f>
        <v>0.22339999999999999</v>
      </c>
      <c r="AA2146" s="22">
        <f t="shared" si="418"/>
        <v>0</v>
      </c>
      <c r="AB2146" s="22">
        <f t="shared" si="419"/>
        <v>0</v>
      </c>
      <c r="AC2146" s="22">
        <f t="shared" si="420"/>
        <v>0</v>
      </c>
      <c r="AD2146" s="22">
        <f t="shared" si="410"/>
        <v>0</v>
      </c>
      <c r="AE2146" s="22">
        <f t="shared" si="411"/>
        <v>0</v>
      </c>
      <c r="AF2146" s="19" t="str">
        <f>VLOOKUP(C2146,'2021-22 School Level AAFTE'!C:N,12,FALSE)</f>
        <v>No</v>
      </c>
    </row>
    <row r="2147" spans="1:32" s="5" customFormat="1">
      <c r="A2147" s="97" t="s">
        <v>2442</v>
      </c>
      <c r="B2147" s="97" t="s">
        <v>1387</v>
      </c>
      <c r="C2147" s="95">
        <v>4325</v>
      </c>
      <c r="D2147" s="95" t="s">
        <v>1394</v>
      </c>
      <c r="E2147" s="129">
        <f>VLOOKUP($C2147,'2021-22 School Level AAFTE'!$C:$Z,11,FALSE)</f>
        <v>0.39860000000000001</v>
      </c>
      <c r="F2147" s="129" t="str">
        <f>VLOOKUP($C2147,'2021-22 School Level AAFTE'!$C:$Z,8,FALSE)</f>
        <v>No</v>
      </c>
      <c r="G2147" s="129" t="str">
        <f>VLOOKUP($C2147,'2021-22 School Level AAFTE'!$C:$Z,12,FALSE)</f>
        <v>No</v>
      </c>
      <c r="H2147" s="127">
        <f>VLOOKUP($C2147,'2021-22 School Level AAFTE'!$C:$I,7,FALSE)</f>
        <v>628.09</v>
      </c>
      <c r="I2147" s="112">
        <f>IFERROR(IF(OR(G2147="yes",F2147= "yes"),VLOOKUP(C2147,Summary!$B:$J,6,0),0),0)</f>
        <v>0</v>
      </c>
      <c r="J2147" s="111">
        <f t="shared" si="414"/>
        <v>0</v>
      </c>
      <c r="K2147" s="91">
        <f>VLOOKUP($A2147,'2022-23 Salary &amp; Benefits'!$A:$I,3,FALSE)</f>
        <v>1.06</v>
      </c>
      <c r="L2147" s="91">
        <f>VLOOKUP($A2147,'2022-23 Salary &amp; Benefits'!$A:$I,4,FALSE)</f>
        <v>1.1000000000000001</v>
      </c>
      <c r="M2147" s="39">
        <f t="shared" si="409"/>
        <v>0</v>
      </c>
      <c r="N2147" s="24">
        <v>15</v>
      </c>
      <c r="O2147" s="26">
        <f t="shared" si="412"/>
        <v>0</v>
      </c>
      <c r="P2147" s="24">
        <v>1.1000000000000001</v>
      </c>
      <c r="Q2147" s="24">
        <v>36</v>
      </c>
      <c r="R2147" s="27">
        <f t="shared" si="413"/>
        <v>0</v>
      </c>
      <c r="S2147" s="102">
        <f t="shared" si="415"/>
        <v>0</v>
      </c>
      <c r="T2147" s="21">
        <f>VLOOKUP($A2147,'2022-23 Salary &amp; Benefits'!$A:$I,5,FALSE)</f>
        <v>68937</v>
      </c>
      <c r="U2147" s="21">
        <f>VLOOKUP($A2147,'2022-23 Salary &amp; Benefits'!$A:$I,6,FALSE)</f>
        <v>72728</v>
      </c>
      <c r="V2147" s="22">
        <f t="shared" si="416"/>
        <v>0</v>
      </c>
      <c r="W2147" s="22">
        <f t="shared" si="417"/>
        <v>0</v>
      </c>
      <c r="X2147" s="22">
        <f>'2022-23 Salary &amp; Benefits'!$G$6</f>
        <v>12558.24</v>
      </c>
      <c r="Y2147" s="23">
        <f>'2022-23 Salary &amp; Benefits'!$H$6</f>
        <v>0.2298</v>
      </c>
      <c r="Z2147" s="23">
        <f>'2022-23 Salary &amp; Benefits'!$I$6</f>
        <v>0.22339999999999999</v>
      </c>
      <c r="AA2147" s="22">
        <f t="shared" si="418"/>
        <v>0</v>
      </c>
      <c r="AB2147" s="22">
        <f t="shared" si="419"/>
        <v>0</v>
      </c>
      <c r="AC2147" s="22">
        <f t="shared" si="420"/>
        <v>0</v>
      </c>
      <c r="AD2147" s="22">
        <f t="shared" si="410"/>
        <v>0</v>
      </c>
      <c r="AE2147" s="22">
        <f t="shared" si="411"/>
        <v>0</v>
      </c>
      <c r="AF2147" s="19" t="str">
        <f>VLOOKUP(C2147,'2021-22 School Level AAFTE'!C:N,12,FALSE)</f>
        <v>No</v>
      </c>
    </row>
    <row r="2148" spans="1:32" s="5" customFormat="1">
      <c r="A2148" s="97" t="s">
        <v>2442</v>
      </c>
      <c r="B2148" s="97" t="s">
        <v>1387</v>
      </c>
      <c r="C2148" s="95">
        <v>4447</v>
      </c>
      <c r="D2148" s="95" t="s">
        <v>1395</v>
      </c>
      <c r="E2148" s="129">
        <f>VLOOKUP($C2148,'2021-22 School Level AAFTE'!$C:$Z,11,FALSE)</f>
        <v>0.36680000000000001</v>
      </c>
      <c r="F2148" s="129" t="str">
        <f>VLOOKUP($C2148,'2021-22 School Level AAFTE'!$C:$Z,8,FALSE)</f>
        <v>No</v>
      </c>
      <c r="G2148" s="129" t="str">
        <f>VLOOKUP($C2148,'2021-22 School Level AAFTE'!$C:$Z,12,FALSE)</f>
        <v>No</v>
      </c>
      <c r="H2148" s="127">
        <f>VLOOKUP($C2148,'2021-22 School Level AAFTE'!$C:$I,7,FALSE)</f>
        <v>543.5</v>
      </c>
      <c r="I2148" s="112">
        <f>IFERROR(IF(OR(G2148="yes",F2148= "yes"),VLOOKUP(C2148,Summary!$B:$J,6,0),0),0)</f>
        <v>0</v>
      </c>
      <c r="J2148" s="111">
        <f t="shared" si="414"/>
        <v>0</v>
      </c>
      <c r="K2148" s="91">
        <f>VLOOKUP($A2148,'2022-23 Salary &amp; Benefits'!$A:$I,3,FALSE)</f>
        <v>1.06</v>
      </c>
      <c r="L2148" s="91">
        <f>VLOOKUP($A2148,'2022-23 Salary &amp; Benefits'!$A:$I,4,FALSE)</f>
        <v>1.1000000000000001</v>
      </c>
      <c r="M2148" s="101">
        <f t="shared" si="409"/>
        <v>0</v>
      </c>
      <c r="N2148" s="24">
        <v>15</v>
      </c>
      <c r="O2148" s="26">
        <f t="shared" si="412"/>
        <v>0</v>
      </c>
      <c r="P2148" s="24">
        <v>1.1000000000000001</v>
      </c>
      <c r="Q2148" s="24">
        <v>36</v>
      </c>
      <c r="R2148" s="27">
        <f t="shared" si="413"/>
        <v>0</v>
      </c>
      <c r="S2148" s="102">
        <f t="shared" si="415"/>
        <v>0</v>
      </c>
      <c r="T2148" s="21">
        <f>VLOOKUP($A2148,'2022-23 Salary &amp; Benefits'!$A:$I,5,FALSE)</f>
        <v>68937</v>
      </c>
      <c r="U2148" s="21">
        <f>VLOOKUP($A2148,'2022-23 Salary &amp; Benefits'!$A:$I,6,FALSE)</f>
        <v>72728</v>
      </c>
      <c r="V2148" s="22">
        <f t="shared" si="416"/>
        <v>0</v>
      </c>
      <c r="W2148" s="22">
        <f t="shared" si="417"/>
        <v>0</v>
      </c>
      <c r="X2148" s="22">
        <f>'2022-23 Salary &amp; Benefits'!$G$6</f>
        <v>12558.24</v>
      </c>
      <c r="Y2148" s="23">
        <f>'2022-23 Salary &amp; Benefits'!$H$6</f>
        <v>0.2298</v>
      </c>
      <c r="Z2148" s="23">
        <f>'2022-23 Salary &amp; Benefits'!$I$6</f>
        <v>0.22339999999999999</v>
      </c>
      <c r="AA2148" s="22">
        <f t="shared" si="418"/>
        <v>0</v>
      </c>
      <c r="AB2148" s="22">
        <f t="shared" si="419"/>
        <v>0</v>
      </c>
      <c r="AC2148" s="22">
        <f t="shared" si="420"/>
        <v>0</v>
      </c>
      <c r="AD2148" s="22">
        <f t="shared" si="410"/>
        <v>0</v>
      </c>
      <c r="AE2148" s="22">
        <f t="shared" si="411"/>
        <v>0</v>
      </c>
      <c r="AF2148" s="19" t="str">
        <f>VLOOKUP(C2148,'2021-22 School Level AAFTE'!C:N,12,FALSE)</f>
        <v>No</v>
      </c>
    </row>
    <row r="2149" spans="1:32" s="5" customFormat="1">
      <c r="A2149" s="97" t="s">
        <v>2506</v>
      </c>
      <c r="B2149" s="97" t="s">
        <v>1932</v>
      </c>
      <c r="C2149" s="95">
        <v>1932</v>
      </c>
      <c r="D2149" s="95" t="s">
        <v>1933</v>
      </c>
      <c r="E2149" s="129">
        <f>VLOOKUP($C2149,'2021-22 School Level AAFTE'!$C:$Z,11,FALSE)</f>
        <v>7.3999999999999996E-2</v>
      </c>
      <c r="F2149" s="129" t="str">
        <f>VLOOKUP($C2149,'2021-22 School Level AAFTE'!$C:$Z,8,FALSE)</f>
        <v>No</v>
      </c>
      <c r="G2149" s="129" t="str">
        <f>VLOOKUP($C2149,'2021-22 School Level AAFTE'!$C:$Z,12,FALSE)</f>
        <v>No</v>
      </c>
      <c r="H2149" s="127">
        <f>VLOOKUP($C2149,'2021-22 School Level AAFTE'!$C:$I,7,FALSE)</f>
        <v>871.94</v>
      </c>
      <c r="I2149" s="112">
        <f>IFERROR(IF(OR(G2149="yes",F2149= "yes"),VLOOKUP(C2149,Summary!$B:$J,6,0),0),0)</f>
        <v>0</v>
      </c>
      <c r="J2149" s="111">
        <f t="shared" si="414"/>
        <v>0</v>
      </c>
      <c r="K2149" s="91">
        <f>VLOOKUP($A2149,'2022-23 Salary &amp; Benefits'!$A:$I,3,FALSE)</f>
        <v>1</v>
      </c>
      <c r="L2149" s="91">
        <f>VLOOKUP($A2149,'2022-23 Salary &amp; Benefits'!$A:$I,4,FALSE)</f>
        <v>1</v>
      </c>
      <c r="M2149" s="39">
        <f t="shared" si="409"/>
        <v>0</v>
      </c>
      <c r="N2149" s="24">
        <v>15</v>
      </c>
      <c r="O2149" s="26">
        <f t="shared" si="412"/>
        <v>0</v>
      </c>
      <c r="P2149" s="24">
        <v>1.1000000000000001</v>
      </c>
      <c r="Q2149" s="24">
        <v>36</v>
      </c>
      <c r="R2149" s="27">
        <f t="shared" si="413"/>
        <v>0</v>
      </c>
      <c r="S2149" s="102">
        <f t="shared" si="415"/>
        <v>0</v>
      </c>
      <c r="T2149" s="21">
        <f>VLOOKUP($A2149,'2022-23 Salary &amp; Benefits'!$A:$I,5,FALSE)</f>
        <v>68937</v>
      </c>
      <c r="U2149" s="21">
        <f>VLOOKUP($A2149,'2022-23 Salary &amp; Benefits'!$A:$I,6,FALSE)</f>
        <v>72728</v>
      </c>
      <c r="V2149" s="22">
        <f t="shared" si="416"/>
        <v>0</v>
      </c>
      <c r="W2149" s="22">
        <f t="shared" si="417"/>
        <v>0</v>
      </c>
      <c r="X2149" s="22">
        <f>'2022-23 Salary &amp; Benefits'!$G$6</f>
        <v>12558.24</v>
      </c>
      <c r="Y2149" s="23">
        <f>'2022-23 Salary &amp; Benefits'!$H$6</f>
        <v>0.2298</v>
      </c>
      <c r="Z2149" s="23">
        <f>'2022-23 Salary &amp; Benefits'!$I$6</f>
        <v>0.22339999999999999</v>
      </c>
      <c r="AA2149" s="22">
        <f t="shared" si="418"/>
        <v>0</v>
      </c>
      <c r="AB2149" s="22">
        <f t="shared" si="419"/>
        <v>0</v>
      </c>
      <c r="AC2149" s="22">
        <f t="shared" si="420"/>
        <v>0</v>
      </c>
      <c r="AD2149" s="22">
        <f t="shared" si="410"/>
        <v>0</v>
      </c>
      <c r="AE2149" s="22">
        <f t="shared" si="411"/>
        <v>0</v>
      </c>
      <c r="AF2149" s="19" t="str">
        <f>VLOOKUP(C2149,'2021-22 School Level AAFTE'!C:N,12,FALSE)</f>
        <v>No</v>
      </c>
    </row>
    <row r="2150" spans="1:32" s="5" customFormat="1">
      <c r="A2150" s="97" t="s">
        <v>2506</v>
      </c>
      <c r="B2150" s="97" t="s">
        <v>1932</v>
      </c>
      <c r="C2150" s="95">
        <v>2405</v>
      </c>
      <c r="D2150" s="95" t="s">
        <v>1934</v>
      </c>
      <c r="E2150" s="129">
        <f>VLOOKUP($C2150,'2021-22 School Level AAFTE'!$C:$Z,11,FALSE)</f>
        <v>0.74960000000000004</v>
      </c>
      <c r="F2150" s="129" t="str">
        <f>VLOOKUP($C2150,'2021-22 School Level AAFTE'!$C:$Z,8,FALSE)</f>
        <v>Yes</v>
      </c>
      <c r="G2150" s="129" t="str">
        <f>VLOOKUP($C2150,'2021-22 School Level AAFTE'!$C:$Z,12,FALSE)</f>
        <v>No</v>
      </c>
      <c r="H2150" s="127">
        <f>VLOOKUP($C2150,'2021-22 School Level AAFTE'!$C:$I,7,FALSE)</f>
        <v>183.37</v>
      </c>
      <c r="I2150" s="112">
        <f>IFERROR(IF(OR(G2150="yes",F2150= "yes"),VLOOKUP(C2150,Summary!$B:$J,6,0),0),0)</f>
        <v>0</v>
      </c>
      <c r="J2150" s="111">
        <f t="shared" si="414"/>
        <v>183.37</v>
      </c>
      <c r="K2150" s="91">
        <f>VLOOKUP($A2150,'2022-23 Salary &amp; Benefits'!$A:$I,3,FALSE)</f>
        <v>1</v>
      </c>
      <c r="L2150" s="91">
        <f>VLOOKUP($A2150,'2022-23 Salary &amp; Benefits'!$A:$I,4,FALSE)</f>
        <v>1</v>
      </c>
      <c r="M2150" s="39">
        <f t="shared" si="409"/>
        <v>183.37</v>
      </c>
      <c r="N2150" s="24">
        <v>15</v>
      </c>
      <c r="O2150" s="26">
        <f t="shared" si="412"/>
        <v>12.224666666666668</v>
      </c>
      <c r="P2150" s="24">
        <v>1.1000000000000001</v>
      </c>
      <c r="Q2150" s="24">
        <v>36</v>
      </c>
      <c r="R2150" s="27">
        <f t="shared" si="413"/>
        <v>484.09680000000009</v>
      </c>
      <c r="S2150" s="102">
        <f t="shared" si="415"/>
        <v>0.53800000000000003</v>
      </c>
      <c r="T2150" s="21">
        <f>VLOOKUP($A2150,'2022-23 Salary &amp; Benefits'!$A:$I,5,FALSE)</f>
        <v>68937</v>
      </c>
      <c r="U2150" s="21">
        <f>VLOOKUP($A2150,'2022-23 Salary &amp; Benefits'!$A:$I,6,FALSE)</f>
        <v>72728</v>
      </c>
      <c r="V2150" s="22">
        <f t="shared" si="416"/>
        <v>37088.11</v>
      </c>
      <c r="W2150" s="22">
        <f t="shared" si="417"/>
        <v>2039.5500000000029</v>
      </c>
      <c r="X2150" s="22">
        <f>'2022-23 Salary &amp; Benefits'!$G$6</f>
        <v>12558.24</v>
      </c>
      <c r="Y2150" s="23">
        <f>'2022-23 Salary &amp; Benefits'!$H$6</f>
        <v>0.2298</v>
      </c>
      <c r="Z2150" s="23">
        <f>'2022-23 Salary &amp; Benefits'!$I$6</f>
        <v>0.22339999999999999</v>
      </c>
      <c r="AA2150" s="22">
        <f t="shared" si="418"/>
        <v>15734.82</v>
      </c>
      <c r="AB2150" s="22">
        <f t="shared" si="419"/>
        <v>652.13</v>
      </c>
      <c r="AC2150" s="22">
        <f t="shared" si="420"/>
        <v>145.69</v>
      </c>
      <c r="AD2150" s="22">
        <f t="shared" si="410"/>
        <v>797.81999999999994</v>
      </c>
      <c r="AE2150" s="22">
        <f t="shared" si="411"/>
        <v>55660.3</v>
      </c>
      <c r="AF2150" s="19" t="str">
        <f>VLOOKUP(C2150,'2021-22 School Level AAFTE'!C:N,12,FALSE)</f>
        <v>No</v>
      </c>
    </row>
    <row r="2151" spans="1:32" s="5" customFormat="1">
      <c r="A2151" s="97" t="s">
        <v>2506</v>
      </c>
      <c r="B2151" s="97" t="s">
        <v>1932</v>
      </c>
      <c r="C2151" s="95">
        <v>5223</v>
      </c>
      <c r="D2151" s="95" t="s">
        <v>1935</v>
      </c>
      <c r="E2151" s="129">
        <f>VLOOKUP($C2151,'2021-22 School Level AAFTE'!$C:$Z,11,FALSE)</f>
        <v>0.63870000000000005</v>
      </c>
      <c r="F2151" s="129" t="str">
        <f>VLOOKUP($C2151,'2021-22 School Level AAFTE'!$C:$Z,8,FALSE)</f>
        <v>Yes</v>
      </c>
      <c r="G2151" s="129" t="str">
        <f>VLOOKUP($C2151,'2021-22 School Level AAFTE'!$C:$Z,12,FALSE)</f>
        <v>No</v>
      </c>
      <c r="H2151" s="127">
        <f>VLOOKUP($C2151,'2021-22 School Level AAFTE'!$C:$I,7,FALSE)</f>
        <v>72.239999999999995</v>
      </c>
      <c r="I2151" s="112">
        <f>IFERROR(IF(OR(G2151="yes",F2151= "yes"),VLOOKUP(C2151,Summary!$B:$J,6,0),0),0)</f>
        <v>0</v>
      </c>
      <c r="J2151" s="111">
        <f t="shared" si="414"/>
        <v>72.239999999999995</v>
      </c>
      <c r="K2151" s="91">
        <f>VLOOKUP($A2151,'2022-23 Salary &amp; Benefits'!$A:$I,3,FALSE)</f>
        <v>1</v>
      </c>
      <c r="L2151" s="91">
        <f>VLOOKUP($A2151,'2022-23 Salary &amp; Benefits'!$A:$I,4,FALSE)</f>
        <v>1</v>
      </c>
      <c r="M2151" s="101">
        <f t="shared" si="409"/>
        <v>72.239999999999995</v>
      </c>
      <c r="N2151" s="24">
        <v>15</v>
      </c>
      <c r="O2151" s="26">
        <f t="shared" si="412"/>
        <v>4.8159999999999998</v>
      </c>
      <c r="P2151" s="24">
        <v>1.1000000000000001</v>
      </c>
      <c r="Q2151" s="24">
        <v>36</v>
      </c>
      <c r="R2151" s="27">
        <f t="shared" si="413"/>
        <v>190.71360000000001</v>
      </c>
      <c r="S2151" s="102">
        <f t="shared" si="415"/>
        <v>0.21199999999999999</v>
      </c>
      <c r="T2151" s="21">
        <f>VLOOKUP($A2151,'2022-23 Salary &amp; Benefits'!$A:$I,5,FALSE)</f>
        <v>68937</v>
      </c>
      <c r="U2151" s="21">
        <f>VLOOKUP($A2151,'2022-23 Salary &amp; Benefits'!$A:$I,6,FALSE)</f>
        <v>72728</v>
      </c>
      <c r="V2151" s="22">
        <f t="shared" si="416"/>
        <v>14614.64</v>
      </c>
      <c r="W2151" s="22">
        <f t="shared" si="417"/>
        <v>803.70000000000073</v>
      </c>
      <c r="X2151" s="22">
        <f>'2022-23 Salary &amp; Benefits'!$G$6</f>
        <v>12558.24</v>
      </c>
      <c r="Y2151" s="23">
        <f>'2022-23 Salary &amp; Benefits'!$H$6</f>
        <v>0.2298</v>
      </c>
      <c r="Z2151" s="23">
        <f>'2022-23 Salary &amp; Benefits'!$I$6</f>
        <v>0.22339999999999999</v>
      </c>
      <c r="AA2151" s="22">
        <f t="shared" si="418"/>
        <v>6200.34</v>
      </c>
      <c r="AB2151" s="22">
        <f t="shared" si="419"/>
        <v>256.97000000000003</v>
      </c>
      <c r="AC2151" s="22">
        <f t="shared" si="420"/>
        <v>57.41</v>
      </c>
      <c r="AD2151" s="22">
        <f t="shared" si="410"/>
        <v>314.38</v>
      </c>
      <c r="AE2151" s="22">
        <f t="shared" si="411"/>
        <v>21933.06</v>
      </c>
      <c r="AF2151" s="19" t="str">
        <f>VLOOKUP(C2151,'2021-22 School Level AAFTE'!C:N,12,FALSE)</f>
        <v>No</v>
      </c>
    </row>
    <row r="2152" spans="1:32" s="5" customFormat="1">
      <c r="A2152" s="97" t="s">
        <v>2283</v>
      </c>
      <c r="B2152" s="97" t="s">
        <v>164</v>
      </c>
      <c r="C2152" s="95">
        <v>1574</v>
      </c>
      <c r="D2152" s="95" t="s">
        <v>165</v>
      </c>
      <c r="E2152" s="129">
        <f>VLOOKUP($C2152,'2021-22 School Level AAFTE'!$C:$Z,11,FALSE)</f>
        <v>0.80776666666666663</v>
      </c>
      <c r="F2152" s="129" t="str">
        <f>VLOOKUP($C2152,'2021-22 School Level AAFTE'!$C:$Z,8,FALSE)</f>
        <v>Yes</v>
      </c>
      <c r="G2152" s="129" t="str">
        <f>VLOOKUP($C2152,'2021-22 School Level AAFTE'!$C:$Z,12,FALSE)</f>
        <v>No</v>
      </c>
      <c r="H2152" s="127">
        <f>VLOOKUP($C2152,'2021-22 School Level AAFTE'!$C:$I,7,FALSE)</f>
        <v>52.26</v>
      </c>
      <c r="I2152" s="112">
        <f>IFERROR(IF(OR(G2152="yes",F2152= "yes"),VLOOKUP(C2152,Summary!$B:$J,6,0),0),0)</f>
        <v>0</v>
      </c>
      <c r="J2152" s="111">
        <f t="shared" si="414"/>
        <v>52.26</v>
      </c>
      <c r="K2152" s="91">
        <f>VLOOKUP($A2152,'2022-23 Salary &amp; Benefits'!$A:$I,3,FALSE)</f>
        <v>1.06</v>
      </c>
      <c r="L2152" s="91">
        <f>VLOOKUP($A2152,'2022-23 Salary &amp; Benefits'!$A:$I,4,FALSE)</f>
        <v>1.06</v>
      </c>
      <c r="M2152" s="101">
        <f t="shared" si="409"/>
        <v>52.26</v>
      </c>
      <c r="N2152" s="24">
        <v>15</v>
      </c>
      <c r="O2152" s="26">
        <f t="shared" si="412"/>
        <v>3.484</v>
      </c>
      <c r="P2152" s="24">
        <v>1.1000000000000001</v>
      </c>
      <c r="Q2152" s="24">
        <v>36</v>
      </c>
      <c r="R2152" s="27">
        <f t="shared" si="413"/>
        <v>137.96640000000002</v>
      </c>
      <c r="S2152" s="102">
        <f t="shared" si="415"/>
        <v>0.153</v>
      </c>
      <c r="T2152" s="21">
        <f>VLOOKUP($A2152,'2022-23 Salary &amp; Benefits'!$A:$I,5,FALSE)</f>
        <v>68937</v>
      </c>
      <c r="U2152" s="21">
        <f>VLOOKUP($A2152,'2022-23 Salary &amp; Benefits'!$A:$I,6,FALSE)</f>
        <v>72728</v>
      </c>
      <c r="V2152" s="22">
        <f t="shared" si="416"/>
        <v>11180.2</v>
      </c>
      <c r="W2152" s="22">
        <f t="shared" si="417"/>
        <v>614.82999999999993</v>
      </c>
      <c r="X2152" s="22">
        <f>'2022-23 Salary &amp; Benefits'!$G$6</f>
        <v>12558.24</v>
      </c>
      <c r="Y2152" s="23">
        <f>'2022-23 Salary &amp; Benefits'!$H$6</f>
        <v>0.2298</v>
      </c>
      <c r="Z2152" s="23">
        <f>'2022-23 Salary &amp; Benefits'!$I$6</f>
        <v>0.22339999999999999</v>
      </c>
      <c r="AA2152" s="22">
        <f t="shared" si="418"/>
        <v>4627.97</v>
      </c>
      <c r="AB2152" s="22">
        <f t="shared" si="419"/>
        <v>196.58</v>
      </c>
      <c r="AC2152" s="22">
        <f t="shared" si="420"/>
        <v>43.92</v>
      </c>
      <c r="AD2152" s="22">
        <f t="shared" si="410"/>
        <v>240.5</v>
      </c>
      <c r="AE2152" s="22">
        <f t="shared" si="411"/>
        <v>16663.5</v>
      </c>
      <c r="AF2152" s="19" t="str">
        <f>VLOOKUP(C2152,'2021-22 School Level AAFTE'!C:N,12,FALSE)</f>
        <v>No</v>
      </c>
    </row>
    <row r="2153" spans="1:32" s="5" customFormat="1">
      <c r="A2153" s="97" t="s">
        <v>2283</v>
      </c>
      <c r="B2153" s="97" t="s">
        <v>164</v>
      </c>
      <c r="C2153" s="95">
        <v>1689</v>
      </c>
      <c r="D2153" s="95" t="s">
        <v>166</v>
      </c>
      <c r="E2153" s="129">
        <f>VLOOKUP($C2153,'2021-22 School Level AAFTE'!$C:$Z,11,FALSE)</f>
        <v>0.22923333333333332</v>
      </c>
      <c r="F2153" s="129" t="str">
        <f>VLOOKUP($C2153,'2021-22 School Level AAFTE'!$C:$Z,8,FALSE)</f>
        <v>No</v>
      </c>
      <c r="G2153" s="129" t="str">
        <f>VLOOKUP($C2153,'2021-22 School Level AAFTE'!$C:$Z,12,FALSE)</f>
        <v>No</v>
      </c>
      <c r="H2153" s="127">
        <f>VLOOKUP($C2153,'2021-22 School Level AAFTE'!$C:$I,7,FALSE)</f>
        <v>681.11</v>
      </c>
      <c r="I2153" s="112">
        <f>IFERROR(IF(OR(G2153="yes",F2153= "yes"),VLOOKUP(C2153,Summary!$B:$J,6,0),0),0)</f>
        <v>0</v>
      </c>
      <c r="J2153" s="111">
        <f t="shared" si="414"/>
        <v>0</v>
      </c>
      <c r="K2153" s="91">
        <f>VLOOKUP($A2153,'2022-23 Salary &amp; Benefits'!$A:$I,3,FALSE)</f>
        <v>1.06</v>
      </c>
      <c r="L2153" s="91">
        <f>VLOOKUP($A2153,'2022-23 Salary &amp; Benefits'!$A:$I,4,FALSE)</f>
        <v>1.06</v>
      </c>
      <c r="M2153" s="39">
        <f t="shared" si="409"/>
        <v>0</v>
      </c>
      <c r="N2153" s="24">
        <v>15</v>
      </c>
      <c r="O2153" s="26">
        <f t="shared" si="412"/>
        <v>0</v>
      </c>
      <c r="P2153" s="24">
        <v>1.1000000000000001</v>
      </c>
      <c r="Q2153" s="24">
        <v>36</v>
      </c>
      <c r="R2153" s="27">
        <f t="shared" si="413"/>
        <v>0</v>
      </c>
      <c r="S2153" s="102">
        <f t="shared" si="415"/>
        <v>0</v>
      </c>
      <c r="T2153" s="21">
        <f>VLOOKUP($A2153,'2022-23 Salary &amp; Benefits'!$A:$I,5,FALSE)</f>
        <v>68937</v>
      </c>
      <c r="U2153" s="21">
        <f>VLOOKUP($A2153,'2022-23 Salary &amp; Benefits'!$A:$I,6,FALSE)</f>
        <v>72728</v>
      </c>
      <c r="V2153" s="22">
        <f t="shared" si="416"/>
        <v>0</v>
      </c>
      <c r="W2153" s="22">
        <f t="shared" si="417"/>
        <v>0</v>
      </c>
      <c r="X2153" s="22">
        <f>'2022-23 Salary &amp; Benefits'!$G$6</f>
        <v>12558.24</v>
      </c>
      <c r="Y2153" s="23">
        <f>'2022-23 Salary &amp; Benefits'!$H$6</f>
        <v>0.2298</v>
      </c>
      <c r="Z2153" s="23">
        <f>'2022-23 Salary &amp; Benefits'!$I$6</f>
        <v>0.22339999999999999</v>
      </c>
      <c r="AA2153" s="22">
        <f t="shared" si="418"/>
        <v>0</v>
      </c>
      <c r="AB2153" s="22">
        <f t="shared" si="419"/>
        <v>0</v>
      </c>
      <c r="AC2153" s="22">
        <f t="shared" si="420"/>
        <v>0</v>
      </c>
      <c r="AD2153" s="22">
        <f t="shared" si="410"/>
        <v>0</v>
      </c>
      <c r="AE2153" s="22">
        <f t="shared" si="411"/>
        <v>0</v>
      </c>
      <c r="AF2153" s="19" t="str">
        <f>VLOOKUP(C2153,'2021-22 School Level AAFTE'!C:N,12,FALSE)</f>
        <v>No</v>
      </c>
    </row>
    <row r="2154" spans="1:32" s="5" customFormat="1">
      <c r="A2154" s="97" t="s">
        <v>2283</v>
      </c>
      <c r="B2154" s="97" t="s">
        <v>164</v>
      </c>
      <c r="C2154" s="95">
        <v>1738</v>
      </c>
      <c r="D2154" s="95" t="s">
        <v>167</v>
      </c>
      <c r="E2154" s="129">
        <f>VLOOKUP($C2154,'2021-22 School Level AAFTE'!$C:$Z,11,FALSE)</f>
        <v>0.55356666666666665</v>
      </c>
      <c r="F2154" s="129" t="str">
        <f>VLOOKUP($C2154,'2021-22 School Level AAFTE'!$C:$Z,8,FALSE)</f>
        <v>Yes</v>
      </c>
      <c r="G2154" s="129" t="str">
        <f>VLOOKUP($C2154,'2021-22 School Level AAFTE'!$C:$Z,12,FALSE)</f>
        <v>No</v>
      </c>
      <c r="H2154" s="127">
        <f>VLOOKUP($C2154,'2021-22 School Level AAFTE'!$C:$I,7,FALSE)</f>
        <v>42.14</v>
      </c>
      <c r="I2154" s="112">
        <f>IFERROR(IF(OR(G2154="yes",F2154= "yes"),VLOOKUP(C2154,Summary!$B:$J,6,0),0),0)</f>
        <v>0</v>
      </c>
      <c r="J2154" s="111">
        <f t="shared" si="414"/>
        <v>42.14</v>
      </c>
      <c r="K2154" s="91">
        <f>VLOOKUP($A2154,'2022-23 Salary &amp; Benefits'!$A:$I,3,FALSE)</f>
        <v>1.06</v>
      </c>
      <c r="L2154" s="91">
        <f>VLOOKUP($A2154,'2022-23 Salary &amp; Benefits'!$A:$I,4,FALSE)</f>
        <v>1.06</v>
      </c>
      <c r="M2154" s="101">
        <f t="shared" si="409"/>
        <v>42.14</v>
      </c>
      <c r="N2154" s="24">
        <v>15</v>
      </c>
      <c r="O2154" s="26">
        <f t="shared" si="412"/>
        <v>2.8093333333333335</v>
      </c>
      <c r="P2154" s="24">
        <v>1.1000000000000001</v>
      </c>
      <c r="Q2154" s="24">
        <v>36</v>
      </c>
      <c r="R2154" s="27">
        <f t="shared" si="413"/>
        <v>111.24960000000002</v>
      </c>
      <c r="S2154" s="102">
        <f t="shared" si="415"/>
        <v>0.124</v>
      </c>
      <c r="T2154" s="21">
        <f>VLOOKUP($A2154,'2022-23 Salary &amp; Benefits'!$A:$I,5,FALSE)</f>
        <v>68937</v>
      </c>
      <c r="U2154" s="21">
        <f>VLOOKUP($A2154,'2022-23 Salary &amp; Benefits'!$A:$I,6,FALSE)</f>
        <v>72728</v>
      </c>
      <c r="V2154" s="22">
        <f t="shared" si="416"/>
        <v>9061.08</v>
      </c>
      <c r="W2154" s="22">
        <f t="shared" si="417"/>
        <v>498.29000000000087</v>
      </c>
      <c r="X2154" s="22">
        <f>'2022-23 Salary &amp; Benefits'!$G$6</f>
        <v>12558.24</v>
      </c>
      <c r="Y2154" s="23">
        <f>'2022-23 Salary &amp; Benefits'!$H$6</f>
        <v>0.2298</v>
      </c>
      <c r="Z2154" s="23">
        <f>'2022-23 Salary &amp; Benefits'!$I$6</f>
        <v>0.22339999999999999</v>
      </c>
      <c r="AA2154" s="22">
        <f t="shared" si="418"/>
        <v>3750.78</v>
      </c>
      <c r="AB2154" s="22">
        <f t="shared" si="419"/>
        <v>159.32</v>
      </c>
      <c r="AC2154" s="22">
        <f t="shared" si="420"/>
        <v>35.590000000000003</v>
      </c>
      <c r="AD2154" s="22">
        <f t="shared" si="410"/>
        <v>194.91</v>
      </c>
      <c r="AE2154" s="22">
        <f t="shared" si="411"/>
        <v>13505.060000000001</v>
      </c>
      <c r="AF2154" s="19" t="str">
        <f>VLOOKUP(C2154,'2021-22 School Level AAFTE'!C:N,12,FALSE)</f>
        <v>No</v>
      </c>
    </row>
    <row r="2155" spans="1:32" s="5" customFormat="1">
      <c r="A2155" s="97" t="s">
        <v>2283</v>
      </c>
      <c r="B2155" s="97" t="s">
        <v>164</v>
      </c>
      <c r="C2155" s="95">
        <v>2179</v>
      </c>
      <c r="D2155" s="95" t="s">
        <v>168</v>
      </c>
      <c r="E2155" s="129">
        <f>VLOOKUP($C2155,'2021-22 School Level AAFTE'!$C:$Z,11,FALSE)</f>
        <v>0.69209999999999994</v>
      </c>
      <c r="F2155" s="129" t="str">
        <f>VLOOKUP($C2155,'2021-22 School Level AAFTE'!$C:$Z,8,FALSE)</f>
        <v>Yes</v>
      </c>
      <c r="G2155" s="129" t="str">
        <f>VLOOKUP($C2155,'2021-22 School Level AAFTE'!$C:$Z,12,FALSE)</f>
        <v>No</v>
      </c>
      <c r="H2155" s="127">
        <f>VLOOKUP($C2155,'2021-22 School Level AAFTE'!$C:$I,7,FALSE)</f>
        <v>1478.85</v>
      </c>
      <c r="I2155" s="112">
        <f>IFERROR(IF(OR(G2155="yes",F2155= "yes"),VLOOKUP(C2155,Summary!$B:$J,6,0),0),0)</f>
        <v>0</v>
      </c>
      <c r="J2155" s="111">
        <f t="shared" si="414"/>
        <v>1478.85</v>
      </c>
      <c r="K2155" s="91">
        <f>VLOOKUP($A2155,'2022-23 Salary &amp; Benefits'!$A:$I,3,FALSE)</f>
        <v>1.06</v>
      </c>
      <c r="L2155" s="91">
        <f>VLOOKUP($A2155,'2022-23 Salary &amp; Benefits'!$A:$I,4,FALSE)</f>
        <v>1.06</v>
      </c>
      <c r="M2155" s="101">
        <f t="shared" si="409"/>
        <v>1478.85</v>
      </c>
      <c r="N2155" s="24">
        <v>15</v>
      </c>
      <c r="O2155" s="26">
        <f t="shared" si="412"/>
        <v>98.589999999999989</v>
      </c>
      <c r="P2155" s="24">
        <v>1.1000000000000001</v>
      </c>
      <c r="Q2155" s="24">
        <v>36</v>
      </c>
      <c r="R2155" s="27">
        <f t="shared" si="413"/>
        <v>3904.1639999999998</v>
      </c>
      <c r="S2155" s="102">
        <f t="shared" si="415"/>
        <v>4.3380000000000001</v>
      </c>
      <c r="T2155" s="21">
        <f>VLOOKUP($A2155,'2022-23 Salary &amp; Benefits'!$A:$I,5,FALSE)</f>
        <v>68937</v>
      </c>
      <c r="U2155" s="21">
        <f>VLOOKUP($A2155,'2022-23 Salary &amp; Benefits'!$A:$I,6,FALSE)</f>
        <v>72728</v>
      </c>
      <c r="V2155" s="22">
        <f t="shared" si="416"/>
        <v>316991.63</v>
      </c>
      <c r="W2155" s="22">
        <f t="shared" si="417"/>
        <v>17432.080000000016</v>
      </c>
      <c r="X2155" s="22">
        <f>'2022-23 Salary &amp; Benefits'!$G$6</f>
        <v>12558.24</v>
      </c>
      <c r="Y2155" s="23">
        <f>'2022-23 Salary &amp; Benefits'!$H$6</f>
        <v>0.2298</v>
      </c>
      <c r="Z2155" s="23">
        <f>'2022-23 Salary &amp; Benefits'!$I$6</f>
        <v>0.22339999999999999</v>
      </c>
      <c r="AA2155" s="22">
        <f t="shared" si="418"/>
        <v>131216.65</v>
      </c>
      <c r="AB2155" s="22">
        <f t="shared" si="419"/>
        <v>5573.73</v>
      </c>
      <c r="AC2155" s="22">
        <f t="shared" si="420"/>
        <v>1245.17</v>
      </c>
      <c r="AD2155" s="22">
        <f t="shared" si="410"/>
        <v>6818.9</v>
      </c>
      <c r="AE2155" s="22">
        <f t="shared" si="411"/>
        <v>472459.26000000007</v>
      </c>
      <c r="AF2155" s="19" t="str">
        <f>VLOOKUP(C2155,'2021-22 School Level AAFTE'!C:N,12,FALSE)</f>
        <v>No</v>
      </c>
    </row>
    <row r="2156" spans="1:32" s="5" customFormat="1">
      <c r="A2156" s="97" t="s">
        <v>2283</v>
      </c>
      <c r="B2156" s="97" t="s">
        <v>164</v>
      </c>
      <c r="C2156" s="95">
        <v>2318</v>
      </c>
      <c r="D2156" s="95" t="s">
        <v>50</v>
      </c>
      <c r="E2156" s="129">
        <f>VLOOKUP($C2156,'2021-22 School Level AAFTE'!$C:$Z,11,FALSE)</f>
        <v>0.52633333333333332</v>
      </c>
      <c r="F2156" s="129" t="str">
        <f>VLOOKUP($C2156,'2021-22 School Level AAFTE'!$C:$Z,8,FALSE)</f>
        <v>Yes</v>
      </c>
      <c r="G2156" s="129" t="str">
        <f>VLOOKUP($C2156,'2021-22 School Level AAFTE'!$C:$Z,12,FALSE)</f>
        <v>No</v>
      </c>
      <c r="H2156" s="127">
        <f>VLOOKUP($C2156,'2021-22 School Level AAFTE'!$C:$I,7,FALSE)</f>
        <v>332.31</v>
      </c>
      <c r="I2156" s="112">
        <f>IFERROR(IF(OR(G2156="yes",F2156= "yes"),VLOOKUP(C2156,Summary!$B:$J,6,0),0),0)</f>
        <v>0</v>
      </c>
      <c r="J2156" s="111">
        <f t="shared" si="414"/>
        <v>332.31</v>
      </c>
      <c r="K2156" s="91">
        <f>VLOOKUP($A2156,'2022-23 Salary &amp; Benefits'!$A:$I,3,FALSE)</f>
        <v>1.06</v>
      </c>
      <c r="L2156" s="91">
        <f>VLOOKUP($A2156,'2022-23 Salary &amp; Benefits'!$A:$I,4,FALSE)</f>
        <v>1.06</v>
      </c>
      <c r="M2156" s="101">
        <f t="shared" si="409"/>
        <v>332.31</v>
      </c>
      <c r="N2156" s="24">
        <v>15</v>
      </c>
      <c r="O2156" s="26">
        <f t="shared" si="412"/>
        <v>22.154</v>
      </c>
      <c r="P2156" s="24">
        <v>1.1000000000000001</v>
      </c>
      <c r="Q2156" s="24">
        <v>36</v>
      </c>
      <c r="R2156" s="27">
        <f t="shared" si="413"/>
        <v>877.29840000000013</v>
      </c>
      <c r="S2156" s="102">
        <f t="shared" si="415"/>
        <v>0.97499999999999998</v>
      </c>
      <c r="T2156" s="21">
        <f>VLOOKUP($A2156,'2022-23 Salary &amp; Benefits'!$A:$I,5,FALSE)</f>
        <v>68937</v>
      </c>
      <c r="U2156" s="21">
        <f>VLOOKUP($A2156,'2022-23 Salary &amp; Benefits'!$A:$I,6,FALSE)</f>
        <v>72728</v>
      </c>
      <c r="V2156" s="22">
        <f t="shared" si="416"/>
        <v>71246.39</v>
      </c>
      <c r="W2156" s="22">
        <f t="shared" si="417"/>
        <v>3918</v>
      </c>
      <c r="X2156" s="22">
        <f>'2022-23 Salary &amp; Benefits'!$G$6</f>
        <v>12558.24</v>
      </c>
      <c r="Y2156" s="23">
        <f>'2022-23 Salary &amp; Benefits'!$H$6</f>
        <v>0.2298</v>
      </c>
      <c r="Z2156" s="23">
        <f>'2022-23 Salary &amp; Benefits'!$I$6</f>
        <v>0.22339999999999999</v>
      </c>
      <c r="AA2156" s="22">
        <f t="shared" si="418"/>
        <v>29491.99</v>
      </c>
      <c r="AB2156" s="22">
        <f t="shared" si="419"/>
        <v>1252.74</v>
      </c>
      <c r="AC2156" s="22">
        <f t="shared" si="420"/>
        <v>279.86</v>
      </c>
      <c r="AD2156" s="22">
        <f t="shared" si="410"/>
        <v>1532.6</v>
      </c>
      <c r="AE2156" s="22">
        <f t="shared" si="411"/>
        <v>106188.98000000001</v>
      </c>
      <c r="AF2156" s="19" t="str">
        <f>VLOOKUP(C2156,'2021-22 School Level AAFTE'!C:N,12,FALSE)</f>
        <v>No</v>
      </c>
    </row>
    <row r="2157" spans="1:32" s="5" customFormat="1">
      <c r="A2157" s="97" t="s">
        <v>2283</v>
      </c>
      <c r="B2157" s="97" t="s">
        <v>164</v>
      </c>
      <c r="C2157" s="95">
        <v>2610</v>
      </c>
      <c r="D2157" s="95" t="s">
        <v>169</v>
      </c>
      <c r="E2157" s="129">
        <f>VLOOKUP($C2157,'2021-22 School Level AAFTE'!$C:$Z,11,FALSE)</f>
        <v>0.49856666666666666</v>
      </c>
      <c r="F2157" s="129" t="str">
        <f>VLOOKUP($C2157,'2021-22 School Level AAFTE'!$C:$Z,8,FALSE)</f>
        <v>No</v>
      </c>
      <c r="G2157" s="129" t="str">
        <f>VLOOKUP($C2157,'2021-22 School Level AAFTE'!$C:$Z,12,FALSE)</f>
        <v>No</v>
      </c>
      <c r="H2157" s="127">
        <f>VLOOKUP($C2157,'2021-22 School Level AAFTE'!$C:$I,7,FALSE)</f>
        <v>271.70999999999998</v>
      </c>
      <c r="I2157" s="112">
        <f>IFERROR(IF(OR(G2157="yes",F2157= "yes"),VLOOKUP(C2157,Summary!$B:$J,6,0),0),0)</f>
        <v>0</v>
      </c>
      <c r="J2157" s="111">
        <f t="shared" si="414"/>
        <v>0</v>
      </c>
      <c r="K2157" s="91">
        <f>VLOOKUP($A2157,'2022-23 Salary &amp; Benefits'!$A:$I,3,FALSE)</f>
        <v>1.06</v>
      </c>
      <c r="L2157" s="91">
        <f>VLOOKUP($A2157,'2022-23 Salary &amp; Benefits'!$A:$I,4,FALSE)</f>
        <v>1.06</v>
      </c>
      <c r="M2157" s="101">
        <f t="shared" si="409"/>
        <v>0</v>
      </c>
      <c r="N2157" s="24">
        <v>15</v>
      </c>
      <c r="O2157" s="26">
        <f t="shared" si="412"/>
        <v>0</v>
      </c>
      <c r="P2157" s="24">
        <v>1.1000000000000001</v>
      </c>
      <c r="Q2157" s="24">
        <v>36</v>
      </c>
      <c r="R2157" s="27">
        <f t="shared" si="413"/>
        <v>0</v>
      </c>
      <c r="S2157" s="102">
        <f t="shared" si="415"/>
        <v>0</v>
      </c>
      <c r="T2157" s="21">
        <f>VLOOKUP($A2157,'2022-23 Salary &amp; Benefits'!$A:$I,5,FALSE)</f>
        <v>68937</v>
      </c>
      <c r="U2157" s="21">
        <f>VLOOKUP($A2157,'2022-23 Salary &amp; Benefits'!$A:$I,6,FALSE)</f>
        <v>72728</v>
      </c>
      <c r="V2157" s="22">
        <f t="shared" si="416"/>
        <v>0</v>
      </c>
      <c r="W2157" s="22">
        <f t="shared" si="417"/>
        <v>0</v>
      </c>
      <c r="X2157" s="22">
        <f>'2022-23 Salary &amp; Benefits'!$G$6</f>
        <v>12558.24</v>
      </c>
      <c r="Y2157" s="23">
        <f>'2022-23 Salary &amp; Benefits'!$H$6</f>
        <v>0.2298</v>
      </c>
      <c r="Z2157" s="23">
        <f>'2022-23 Salary &amp; Benefits'!$I$6</f>
        <v>0.22339999999999999</v>
      </c>
      <c r="AA2157" s="22">
        <f t="shared" si="418"/>
        <v>0</v>
      </c>
      <c r="AB2157" s="22">
        <f t="shared" si="419"/>
        <v>0</v>
      </c>
      <c r="AC2157" s="22">
        <f t="shared" si="420"/>
        <v>0</v>
      </c>
      <c r="AD2157" s="22">
        <f t="shared" si="410"/>
        <v>0</v>
      </c>
      <c r="AE2157" s="22">
        <f t="shared" si="411"/>
        <v>0</v>
      </c>
      <c r="AF2157" s="19" t="str">
        <f>VLOOKUP(C2157,'2021-22 School Level AAFTE'!C:N,12,FALSE)</f>
        <v>No</v>
      </c>
    </row>
    <row r="2158" spans="1:32" s="5" customFormat="1">
      <c r="A2158" s="97" t="s">
        <v>2283</v>
      </c>
      <c r="B2158" s="97" t="s">
        <v>164</v>
      </c>
      <c r="C2158" s="95">
        <v>2637</v>
      </c>
      <c r="D2158" s="95" t="s">
        <v>170</v>
      </c>
      <c r="E2158" s="129">
        <f>VLOOKUP($C2158,'2021-22 School Level AAFTE'!$C:$Z,11,FALSE)</f>
        <v>0.79570000000000007</v>
      </c>
      <c r="F2158" s="129" t="str">
        <f>VLOOKUP($C2158,'2021-22 School Level AAFTE'!$C:$Z,8,FALSE)</f>
        <v>Yes</v>
      </c>
      <c r="G2158" s="129" t="str">
        <f>VLOOKUP($C2158,'2021-22 School Level AAFTE'!$C:$Z,12,FALSE)</f>
        <v>No</v>
      </c>
      <c r="H2158" s="127">
        <f>VLOOKUP($C2158,'2021-22 School Level AAFTE'!$C:$I,7,FALSE)</f>
        <v>168</v>
      </c>
      <c r="I2158" s="112">
        <f>IFERROR(IF(OR(G2158="yes",F2158= "yes"),VLOOKUP(C2158,Summary!$B:$J,6,0),0),0)</f>
        <v>0</v>
      </c>
      <c r="J2158" s="111">
        <f t="shared" si="414"/>
        <v>168</v>
      </c>
      <c r="K2158" s="91">
        <f>VLOOKUP($A2158,'2022-23 Salary &amp; Benefits'!$A:$I,3,FALSE)</f>
        <v>1.06</v>
      </c>
      <c r="L2158" s="91">
        <f>VLOOKUP($A2158,'2022-23 Salary &amp; Benefits'!$A:$I,4,FALSE)</f>
        <v>1.06</v>
      </c>
      <c r="M2158" s="101">
        <f t="shared" si="409"/>
        <v>168</v>
      </c>
      <c r="N2158" s="24">
        <v>15</v>
      </c>
      <c r="O2158" s="26">
        <f t="shared" si="412"/>
        <v>11.2</v>
      </c>
      <c r="P2158" s="24">
        <v>1.1000000000000001</v>
      </c>
      <c r="Q2158" s="24">
        <v>36</v>
      </c>
      <c r="R2158" s="27">
        <f t="shared" si="413"/>
        <v>443.52</v>
      </c>
      <c r="S2158" s="102">
        <f t="shared" si="415"/>
        <v>0.49299999999999999</v>
      </c>
      <c r="T2158" s="21">
        <f>VLOOKUP($A2158,'2022-23 Salary &amp; Benefits'!$A:$I,5,FALSE)</f>
        <v>68937</v>
      </c>
      <c r="U2158" s="21">
        <f>VLOOKUP($A2158,'2022-23 Salary &amp; Benefits'!$A:$I,6,FALSE)</f>
        <v>72728</v>
      </c>
      <c r="V2158" s="22">
        <f t="shared" si="416"/>
        <v>36025.1</v>
      </c>
      <c r="W2158" s="22">
        <f t="shared" si="417"/>
        <v>1981.0999999999985</v>
      </c>
      <c r="X2158" s="22">
        <f>'2022-23 Salary &amp; Benefits'!$G$6</f>
        <v>12558.24</v>
      </c>
      <c r="Y2158" s="23">
        <f>'2022-23 Salary &amp; Benefits'!$H$6</f>
        <v>0.2298</v>
      </c>
      <c r="Z2158" s="23">
        <f>'2022-23 Salary &amp; Benefits'!$I$6</f>
        <v>0.22339999999999999</v>
      </c>
      <c r="AA2158" s="22">
        <f t="shared" si="418"/>
        <v>14912.36</v>
      </c>
      <c r="AB2158" s="22">
        <f t="shared" si="419"/>
        <v>633.44000000000005</v>
      </c>
      <c r="AC2158" s="22">
        <f t="shared" si="420"/>
        <v>141.51</v>
      </c>
      <c r="AD2158" s="22">
        <f t="shared" si="410"/>
        <v>774.95</v>
      </c>
      <c r="AE2158" s="22">
        <f t="shared" si="411"/>
        <v>53693.509999999995</v>
      </c>
      <c r="AF2158" s="19" t="str">
        <f>VLOOKUP(C2158,'2021-22 School Level AAFTE'!C:N,12,FALSE)</f>
        <v>No</v>
      </c>
    </row>
    <row r="2159" spans="1:32" s="5" customFormat="1">
      <c r="A2159" s="97" t="s">
        <v>2283</v>
      </c>
      <c r="B2159" s="97" t="s">
        <v>164</v>
      </c>
      <c r="C2159" s="95">
        <v>2643</v>
      </c>
      <c r="D2159" s="95" t="s">
        <v>171</v>
      </c>
      <c r="E2159" s="129">
        <f>VLOOKUP($C2159,'2021-22 School Level AAFTE'!$C:$Z,11,FALSE)</f>
        <v>0.55549999999999999</v>
      </c>
      <c r="F2159" s="129" t="str">
        <f>VLOOKUP($C2159,'2021-22 School Level AAFTE'!$C:$Z,8,FALSE)</f>
        <v>Yes</v>
      </c>
      <c r="G2159" s="129" t="str">
        <f>VLOOKUP($C2159,'2021-22 School Level AAFTE'!$C:$Z,12,FALSE)</f>
        <v>No</v>
      </c>
      <c r="H2159" s="127">
        <f>VLOOKUP($C2159,'2021-22 School Level AAFTE'!$C:$I,7,FALSE)</f>
        <v>519.03</v>
      </c>
      <c r="I2159" s="112">
        <f>IFERROR(IF(OR(G2159="yes",F2159= "yes"),VLOOKUP(C2159,Summary!$B:$J,6,0),0),0)</f>
        <v>0</v>
      </c>
      <c r="J2159" s="111">
        <f t="shared" si="414"/>
        <v>519.03</v>
      </c>
      <c r="K2159" s="91">
        <f>VLOOKUP($A2159,'2022-23 Salary &amp; Benefits'!$A:$I,3,FALSE)</f>
        <v>1.06</v>
      </c>
      <c r="L2159" s="91">
        <f>VLOOKUP($A2159,'2022-23 Salary &amp; Benefits'!$A:$I,4,FALSE)</f>
        <v>1.06</v>
      </c>
      <c r="M2159" s="101">
        <f t="shared" si="409"/>
        <v>519.03</v>
      </c>
      <c r="N2159" s="24">
        <v>15</v>
      </c>
      <c r="O2159" s="26">
        <f t="shared" si="412"/>
        <v>34.601999999999997</v>
      </c>
      <c r="P2159" s="24">
        <v>1.1000000000000001</v>
      </c>
      <c r="Q2159" s="24">
        <v>36</v>
      </c>
      <c r="R2159" s="27">
        <f t="shared" si="413"/>
        <v>1370.2392</v>
      </c>
      <c r="S2159" s="102">
        <f t="shared" si="415"/>
        <v>1.522</v>
      </c>
      <c r="T2159" s="21">
        <f>VLOOKUP($A2159,'2022-23 Salary &amp; Benefits'!$A:$I,5,FALSE)</f>
        <v>68937</v>
      </c>
      <c r="U2159" s="21">
        <f>VLOOKUP($A2159,'2022-23 Salary &amp; Benefits'!$A:$I,6,FALSE)</f>
        <v>72728</v>
      </c>
      <c r="V2159" s="22">
        <f t="shared" si="416"/>
        <v>111217.44</v>
      </c>
      <c r="W2159" s="22">
        <f t="shared" si="417"/>
        <v>6116.0999999999913</v>
      </c>
      <c r="X2159" s="22">
        <f>'2022-23 Salary &amp; Benefits'!$G$6</f>
        <v>12558.24</v>
      </c>
      <c r="Y2159" s="23">
        <f>'2022-23 Salary &amp; Benefits'!$H$6</f>
        <v>0.2298</v>
      </c>
      <c r="Z2159" s="23">
        <f>'2022-23 Salary &amp; Benefits'!$I$6</f>
        <v>0.22339999999999999</v>
      </c>
      <c r="AA2159" s="22">
        <f t="shared" si="418"/>
        <v>46037.75</v>
      </c>
      <c r="AB2159" s="22">
        <f t="shared" si="419"/>
        <v>1955.56</v>
      </c>
      <c r="AC2159" s="22">
        <f t="shared" si="420"/>
        <v>436.87</v>
      </c>
      <c r="AD2159" s="22">
        <f t="shared" si="410"/>
        <v>2392.4299999999998</v>
      </c>
      <c r="AE2159" s="22">
        <f t="shared" si="411"/>
        <v>165763.71999999997</v>
      </c>
      <c r="AF2159" s="19" t="str">
        <f>VLOOKUP(C2159,'2021-22 School Level AAFTE'!C:N,12,FALSE)</f>
        <v>No</v>
      </c>
    </row>
    <row r="2160" spans="1:32" s="5" customFormat="1">
      <c r="A2160" s="97" t="s">
        <v>2283</v>
      </c>
      <c r="B2160" s="97" t="s">
        <v>164</v>
      </c>
      <c r="C2160" s="95">
        <v>2644</v>
      </c>
      <c r="D2160" s="95" t="s">
        <v>172</v>
      </c>
      <c r="E2160" s="129">
        <f>VLOOKUP($C2160,'2021-22 School Level AAFTE'!$C:$Z,11,FALSE)</f>
        <v>0.68900000000000006</v>
      </c>
      <c r="F2160" s="129" t="str">
        <f>VLOOKUP($C2160,'2021-22 School Level AAFTE'!$C:$Z,8,FALSE)</f>
        <v>Yes</v>
      </c>
      <c r="G2160" s="129" t="str">
        <f>VLOOKUP($C2160,'2021-22 School Level AAFTE'!$C:$Z,12,FALSE)</f>
        <v>No</v>
      </c>
      <c r="H2160" s="127">
        <f>VLOOKUP($C2160,'2021-22 School Level AAFTE'!$C:$I,7,FALSE)</f>
        <v>569.97</v>
      </c>
      <c r="I2160" s="112">
        <f>IFERROR(IF(OR(G2160="yes",F2160= "yes"),VLOOKUP(C2160,Summary!$B:$J,6,0),0),0)</f>
        <v>0</v>
      </c>
      <c r="J2160" s="111">
        <f t="shared" si="414"/>
        <v>569.97</v>
      </c>
      <c r="K2160" s="91">
        <f>VLOOKUP($A2160,'2022-23 Salary &amp; Benefits'!$A:$I,3,FALSE)</f>
        <v>1.06</v>
      </c>
      <c r="L2160" s="91">
        <f>VLOOKUP($A2160,'2022-23 Salary &amp; Benefits'!$A:$I,4,FALSE)</f>
        <v>1.06</v>
      </c>
      <c r="M2160" s="101">
        <f t="shared" si="409"/>
        <v>569.97</v>
      </c>
      <c r="N2160" s="24">
        <v>15</v>
      </c>
      <c r="O2160" s="26">
        <f t="shared" si="412"/>
        <v>37.998000000000005</v>
      </c>
      <c r="P2160" s="24">
        <v>1.1000000000000001</v>
      </c>
      <c r="Q2160" s="24">
        <v>36</v>
      </c>
      <c r="R2160" s="27">
        <f t="shared" si="413"/>
        <v>1504.7208000000003</v>
      </c>
      <c r="S2160" s="102">
        <f t="shared" si="415"/>
        <v>1.6719999999999999</v>
      </c>
      <c r="T2160" s="21">
        <f>VLOOKUP($A2160,'2022-23 Salary &amp; Benefits'!$A:$I,5,FALSE)</f>
        <v>68937</v>
      </c>
      <c r="U2160" s="21">
        <f>VLOOKUP($A2160,'2022-23 Salary &amp; Benefits'!$A:$I,6,FALSE)</f>
        <v>72728</v>
      </c>
      <c r="V2160" s="22">
        <f t="shared" si="416"/>
        <v>122178.42</v>
      </c>
      <c r="W2160" s="22">
        <f t="shared" si="417"/>
        <v>6718.8699999999953</v>
      </c>
      <c r="X2160" s="22">
        <f>'2022-23 Salary &amp; Benefits'!$G$6</f>
        <v>12558.24</v>
      </c>
      <c r="Y2160" s="23">
        <f>'2022-23 Salary &amp; Benefits'!$H$6</f>
        <v>0.2298</v>
      </c>
      <c r="Z2160" s="23">
        <f>'2022-23 Salary &amp; Benefits'!$I$6</f>
        <v>0.22339999999999999</v>
      </c>
      <c r="AA2160" s="22">
        <f t="shared" si="418"/>
        <v>50574.97</v>
      </c>
      <c r="AB2160" s="22">
        <f t="shared" si="419"/>
        <v>2148.29</v>
      </c>
      <c r="AC2160" s="22">
        <f t="shared" si="420"/>
        <v>479.93</v>
      </c>
      <c r="AD2160" s="22">
        <f t="shared" si="410"/>
        <v>2628.22</v>
      </c>
      <c r="AE2160" s="22">
        <f t="shared" si="411"/>
        <v>182100.48000000001</v>
      </c>
      <c r="AF2160" s="19" t="str">
        <f>VLOOKUP(C2160,'2021-22 School Level AAFTE'!C:N,12,FALSE)</f>
        <v>No</v>
      </c>
    </row>
    <row r="2161" spans="1:32" s="5" customFormat="1">
      <c r="A2161" s="97" t="s">
        <v>2283</v>
      </c>
      <c r="B2161" s="97" t="s">
        <v>164</v>
      </c>
      <c r="C2161" s="95">
        <v>2690</v>
      </c>
      <c r="D2161" s="95" t="s">
        <v>173</v>
      </c>
      <c r="E2161" s="129">
        <f>VLOOKUP($C2161,'2021-22 School Level AAFTE'!$C:$Z,11,FALSE)</f>
        <v>0.58353333333333335</v>
      </c>
      <c r="F2161" s="129" t="str">
        <f>VLOOKUP($C2161,'2021-22 School Level AAFTE'!$C:$Z,8,FALSE)</f>
        <v>Yes</v>
      </c>
      <c r="G2161" s="129" t="str">
        <f>VLOOKUP($C2161,'2021-22 School Level AAFTE'!$C:$Z,12,FALSE)</f>
        <v>No</v>
      </c>
      <c r="H2161" s="127">
        <f>VLOOKUP($C2161,'2021-22 School Level AAFTE'!$C:$I,7,FALSE)</f>
        <v>356.4</v>
      </c>
      <c r="I2161" s="112">
        <f>IFERROR(IF(OR(G2161="yes",F2161= "yes"),VLOOKUP(C2161,Summary!$B:$J,6,0),0),0)</f>
        <v>0</v>
      </c>
      <c r="J2161" s="111">
        <f t="shared" si="414"/>
        <v>356.4</v>
      </c>
      <c r="K2161" s="91">
        <f>VLOOKUP($A2161,'2022-23 Salary &amp; Benefits'!$A:$I,3,FALSE)</f>
        <v>1.06</v>
      </c>
      <c r="L2161" s="91">
        <f>VLOOKUP($A2161,'2022-23 Salary &amp; Benefits'!$A:$I,4,FALSE)</f>
        <v>1.06</v>
      </c>
      <c r="M2161" s="101">
        <f t="shared" si="409"/>
        <v>356.4</v>
      </c>
      <c r="N2161" s="24">
        <v>15</v>
      </c>
      <c r="O2161" s="26">
        <f t="shared" si="412"/>
        <v>23.759999999999998</v>
      </c>
      <c r="P2161" s="24">
        <v>1.1000000000000001</v>
      </c>
      <c r="Q2161" s="24">
        <v>36</v>
      </c>
      <c r="R2161" s="27">
        <f t="shared" si="413"/>
        <v>940.89599999999996</v>
      </c>
      <c r="S2161" s="102">
        <f t="shared" si="415"/>
        <v>1.0449999999999999</v>
      </c>
      <c r="T2161" s="21">
        <f>VLOOKUP($A2161,'2022-23 Salary &amp; Benefits'!$A:$I,5,FALSE)</f>
        <v>68937</v>
      </c>
      <c r="U2161" s="21">
        <f>VLOOKUP($A2161,'2022-23 Salary &amp; Benefits'!$A:$I,6,FALSE)</f>
        <v>72728</v>
      </c>
      <c r="V2161" s="22">
        <f t="shared" si="416"/>
        <v>76361.509999999995</v>
      </c>
      <c r="W2161" s="22">
        <f t="shared" si="417"/>
        <v>4199.3000000000029</v>
      </c>
      <c r="X2161" s="22">
        <f>'2022-23 Salary &amp; Benefits'!$G$6</f>
        <v>12558.24</v>
      </c>
      <c r="Y2161" s="23">
        <f>'2022-23 Salary &amp; Benefits'!$H$6</f>
        <v>0.2298</v>
      </c>
      <c r="Z2161" s="23">
        <f>'2022-23 Salary &amp; Benefits'!$I$6</f>
        <v>0.22339999999999999</v>
      </c>
      <c r="AA2161" s="22">
        <f t="shared" si="418"/>
        <v>31609.360000000001</v>
      </c>
      <c r="AB2161" s="22">
        <f t="shared" si="419"/>
        <v>1342.68</v>
      </c>
      <c r="AC2161" s="22">
        <f t="shared" si="420"/>
        <v>299.95</v>
      </c>
      <c r="AD2161" s="22">
        <f t="shared" si="410"/>
        <v>1642.63</v>
      </c>
      <c r="AE2161" s="22">
        <f t="shared" si="411"/>
        <v>113812.8</v>
      </c>
      <c r="AF2161" s="19" t="str">
        <f>VLOOKUP(C2161,'2021-22 School Level AAFTE'!C:N,12,FALSE)</f>
        <v>No</v>
      </c>
    </row>
    <row r="2162" spans="1:32" s="5" customFormat="1">
      <c r="A2162" s="97" t="s">
        <v>2283</v>
      </c>
      <c r="B2162" s="97" t="s">
        <v>164</v>
      </c>
      <c r="C2162" s="95">
        <v>2723</v>
      </c>
      <c r="D2162" s="95" t="s">
        <v>174</v>
      </c>
      <c r="E2162" s="129">
        <f>VLOOKUP($C2162,'2021-22 School Level AAFTE'!$C:$Z,11,FALSE)</f>
        <v>0.51553333333333329</v>
      </c>
      <c r="F2162" s="129" t="str">
        <f>VLOOKUP($C2162,'2021-22 School Level AAFTE'!$C:$Z,8,FALSE)</f>
        <v>Yes</v>
      </c>
      <c r="G2162" s="129" t="str">
        <f>VLOOKUP($C2162,'2021-22 School Level AAFTE'!$C:$Z,12,FALSE)</f>
        <v>No</v>
      </c>
      <c r="H2162" s="127">
        <f>VLOOKUP($C2162,'2021-22 School Level AAFTE'!$C:$I,7,FALSE)</f>
        <v>459.3</v>
      </c>
      <c r="I2162" s="112">
        <f>IFERROR(IF(OR(G2162="yes",F2162= "yes"),VLOOKUP(C2162,Summary!$B:$J,6,0),0),0)</f>
        <v>0</v>
      </c>
      <c r="J2162" s="111">
        <f t="shared" si="414"/>
        <v>459.3</v>
      </c>
      <c r="K2162" s="91">
        <f>VLOOKUP($A2162,'2022-23 Salary &amp; Benefits'!$A:$I,3,FALSE)</f>
        <v>1.06</v>
      </c>
      <c r="L2162" s="91">
        <f>VLOOKUP($A2162,'2022-23 Salary &amp; Benefits'!$A:$I,4,FALSE)</f>
        <v>1.06</v>
      </c>
      <c r="M2162" s="101">
        <f t="shared" si="409"/>
        <v>459.3</v>
      </c>
      <c r="N2162" s="24">
        <v>15</v>
      </c>
      <c r="O2162" s="26">
        <f t="shared" si="412"/>
        <v>30.62</v>
      </c>
      <c r="P2162" s="24">
        <v>1.1000000000000001</v>
      </c>
      <c r="Q2162" s="24">
        <v>36</v>
      </c>
      <c r="R2162" s="27">
        <f t="shared" si="413"/>
        <v>1212.5520000000001</v>
      </c>
      <c r="S2162" s="102">
        <f t="shared" si="415"/>
        <v>1.347</v>
      </c>
      <c r="T2162" s="21">
        <f>VLOOKUP($A2162,'2022-23 Salary &amp; Benefits'!$A:$I,5,FALSE)</f>
        <v>68937</v>
      </c>
      <c r="U2162" s="21">
        <f>VLOOKUP($A2162,'2022-23 Salary &amp; Benefits'!$A:$I,6,FALSE)</f>
        <v>72728</v>
      </c>
      <c r="V2162" s="22">
        <f t="shared" si="416"/>
        <v>98429.63</v>
      </c>
      <c r="W2162" s="22">
        <f t="shared" si="417"/>
        <v>5412.8600000000006</v>
      </c>
      <c r="X2162" s="22">
        <f>'2022-23 Salary &amp; Benefits'!$G$6</f>
        <v>12558.24</v>
      </c>
      <c r="Y2162" s="23">
        <f>'2022-23 Salary &amp; Benefits'!$H$6</f>
        <v>0.2298</v>
      </c>
      <c r="Z2162" s="23">
        <f>'2022-23 Salary &amp; Benefits'!$I$6</f>
        <v>0.22339999999999999</v>
      </c>
      <c r="AA2162" s="22">
        <f t="shared" si="418"/>
        <v>40744.31</v>
      </c>
      <c r="AB2162" s="22">
        <f t="shared" si="419"/>
        <v>1730.71</v>
      </c>
      <c r="AC2162" s="22">
        <f t="shared" si="420"/>
        <v>386.64</v>
      </c>
      <c r="AD2162" s="22">
        <f t="shared" si="410"/>
        <v>2117.35</v>
      </c>
      <c r="AE2162" s="22">
        <f t="shared" si="411"/>
        <v>146704.15</v>
      </c>
      <c r="AF2162" s="19" t="str">
        <f>VLOOKUP(C2162,'2021-22 School Level AAFTE'!C:N,12,FALSE)</f>
        <v>No</v>
      </c>
    </row>
    <row r="2163" spans="1:32" s="5" customFormat="1">
      <c r="A2163" s="97" t="s">
        <v>2283</v>
      </c>
      <c r="B2163" s="97" t="s">
        <v>164</v>
      </c>
      <c r="C2163" s="95">
        <v>2828</v>
      </c>
      <c r="D2163" s="95" t="s">
        <v>175</v>
      </c>
      <c r="E2163" s="129">
        <f>VLOOKUP($C2163,'2021-22 School Level AAFTE'!$C:$Z,11,FALSE)</f>
        <v>0.56386666666666674</v>
      </c>
      <c r="F2163" s="129" t="str">
        <f>VLOOKUP($C2163,'2021-22 School Level AAFTE'!$C:$Z,8,FALSE)</f>
        <v>Yes</v>
      </c>
      <c r="G2163" s="129" t="str">
        <f>VLOOKUP($C2163,'2021-22 School Level AAFTE'!$C:$Z,12,FALSE)</f>
        <v>No</v>
      </c>
      <c r="H2163" s="127">
        <f>VLOOKUP($C2163,'2021-22 School Level AAFTE'!$C:$I,7,FALSE)</f>
        <v>614.19000000000005</v>
      </c>
      <c r="I2163" s="112">
        <f>IFERROR(IF(OR(G2163="yes",F2163= "yes"),VLOOKUP(C2163,Summary!$B:$J,6,0),0),0)</f>
        <v>0</v>
      </c>
      <c r="J2163" s="111">
        <f t="shared" si="414"/>
        <v>614.19000000000005</v>
      </c>
      <c r="K2163" s="91">
        <f>VLOOKUP($A2163,'2022-23 Salary &amp; Benefits'!$A:$I,3,FALSE)</f>
        <v>1.06</v>
      </c>
      <c r="L2163" s="91">
        <f>VLOOKUP($A2163,'2022-23 Salary &amp; Benefits'!$A:$I,4,FALSE)</f>
        <v>1.06</v>
      </c>
      <c r="M2163" s="101">
        <f t="shared" si="409"/>
        <v>614.19000000000005</v>
      </c>
      <c r="N2163" s="24">
        <v>15</v>
      </c>
      <c r="O2163" s="26">
        <f t="shared" si="412"/>
        <v>40.946000000000005</v>
      </c>
      <c r="P2163" s="24">
        <v>1.1000000000000001</v>
      </c>
      <c r="Q2163" s="24">
        <v>36</v>
      </c>
      <c r="R2163" s="27">
        <f t="shared" si="413"/>
        <v>1621.4616000000005</v>
      </c>
      <c r="S2163" s="102">
        <f t="shared" si="415"/>
        <v>1.802</v>
      </c>
      <c r="T2163" s="21">
        <f>VLOOKUP($A2163,'2022-23 Salary &amp; Benefits'!$A:$I,5,FALSE)</f>
        <v>68937</v>
      </c>
      <c r="U2163" s="21">
        <f>VLOOKUP($A2163,'2022-23 Salary &amp; Benefits'!$A:$I,6,FALSE)</f>
        <v>72728</v>
      </c>
      <c r="V2163" s="22">
        <f t="shared" si="416"/>
        <v>131677.94</v>
      </c>
      <c r="W2163" s="22">
        <f t="shared" si="417"/>
        <v>7241.2699999999895</v>
      </c>
      <c r="X2163" s="22">
        <f>'2022-23 Salary &amp; Benefits'!$G$6</f>
        <v>12558.24</v>
      </c>
      <c r="Y2163" s="23">
        <f>'2022-23 Salary &amp; Benefits'!$H$6</f>
        <v>0.2298</v>
      </c>
      <c r="Z2163" s="23">
        <f>'2022-23 Salary &amp; Benefits'!$I$6</f>
        <v>0.22339999999999999</v>
      </c>
      <c r="AA2163" s="22">
        <f t="shared" si="418"/>
        <v>54507.24</v>
      </c>
      <c r="AB2163" s="22">
        <f t="shared" si="419"/>
        <v>2315.3200000000002</v>
      </c>
      <c r="AC2163" s="22">
        <f t="shared" si="420"/>
        <v>517.24</v>
      </c>
      <c r="AD2163" s="22">
        <f t="shared" si="410"/>
        <v>2832.5600000000004</v>
      </c>
      <c r="AE2163" s="22">
        <f t="shared" si="411"/>
        <v>196259.00999999998</v>
      </c>
      <c r="AF2163" s="19" t="str">
        <f>VLOOKUP(C2163,'2021-22 School Level AAFTE'!C:N,12,FALSE)</f>
        <v>No</v>
      </c>
    </row>
    <row r="2164" spans="1:32" s="5" customFormat="1">
      <c r="A2164" s="97" t="s">
        <v>2283</v>
      </c>
      <c r="B2164" s="97" t="s">
        <v>164</v>
      </c>
      <c r="C2164" s="95">
        <v>2964</v>
      </c>
      <c r="D2164" s="95" t="s">
        <v>176</v>
      </c>
      <c r="E2164" s="129">
        <f>VLOOKUP($C2164,'2021-22 School Level AAFTE'!$C:$Z,11,FALSE)</f>
        <v>0.30196666666666666</v>
      </c>
      <c r="F2164" s="129" t="str">
        <f>VLOOKUP($C2164,'2021-22 School Level AAFTE'!$C:$Z,8,FALSE)</f>
        <v>No</v>
      </c>
      <c r="G2164" s="129" t="str">
        <f>VLOOKUP($C2164,'2021-22 School Level AAFTE'!$C:$Z,12,FALSE)</f>
        <v>No</v>
      </c>
      <c r="H2164" s="127">
        <f>VLOOKUP($C2164,'2021-22 School Level AAFTE'!$C:$I,7,FALSE)</f>
        <v>400.57</v>
      </c>
      <c r="I2164" s="112">
        <f>IFERROR(IF(OR(G2164="yes",F2164= "yes"),VLOOKUP(C2164,Summary!$B:$J,6,0),0),0)</f>
        <v>0</v>
      </c>
      <c r="J2164" s="111">
        <f t="shared" si="414"/>
        <v>0</v>
      </c>
      <c r="K2164" s="91">
        <f>VLOOKUP($A2164,'2022-23 Salary &amp; Benefits'!$A:$I,3,FALSE)</f>
        <v>1.06</v>
      </c>
      <c r="L2164" s="91">
        <f>VLOOKUP($A2164,'2022-23 Salary &amp; Benefits'!$A:$I,4,FALSE)</f>
        <v>1.06</v>
      </c>
      <c r="M2164" s="101">
        <f t="shared" ref="M2164:M2221" si="421">IF(I2164&gt;0,I2164,J2164)</f>
        <v>0</v>
      </c>
      <c r="N2164" s="24">
        <v>15</v>
      </c>
      <c r="O2164" s="26">
        <f t="shared" si="412"/>
        <v>0</v>
      </c>
      <c r="P2164" s="24">
        <v>1.1000000000000001</v>
      </c>
      <c r="Q2164" s="24">
        <v>36</v>
      </c>
      <c r="R2164" s="27">
        <f t="shared" si="413"/>
        <v>0</v>
      </c>
      <c r="S2164" s="102">
        <f t="shared" si="415"/>
        <v>0</v>
      </c>
      <c r="T2164" s="21">
        <f>VLOOKUP($A2164,'2022-23 Salary &amp; Benefits'!$A:$I,5,FALSE)</f>
        <v>68937</v>
      </c>
      <c r="U2164" s="21">
        <f>VLOOKUP($A2164,'2022-23 Salary &amp; Benefits'!$A:$I,6,FALSE)</f>
        <v>72728</v>
      </c>
      <c r="V2164" s="22">
        <f t="shared" si="416"/>
        <v>0</v>
      </c>
      <c r="W2164" s="22">
        <f t="shared" si="417"/>
        <v>0</v>
      </c>
      <c r="X2164" s="22">
        <f>'2022-23 Salary &amp; Benefits'!$G$6</f>
        <v>12558.24</v>
      </c>
      <c r="Y2164" s="23">
        <f>'2022-23 Salary &amp; Benefits'!$H$6</f>
        <v>0.2298</v>
      </c>
      <c r="Z2164" s="23">
        <f>'2022-23 Salary &amp; Benefits'!$I$6</f>
        <v>0.22339999999999999</v>
      </c>
      <c r="AA2164" s="22">
        <f t="shared" si="418"/>
        <v>0</v>
      </c>
      <c r="AB2164" s="22">
        <f t="shared" si="419"/>
        <v>0</v>
      </c>
      <c r="AC2164" s="22">
        <f t="shared" si="420"/>
        <v>0</v>
      </c>
      <c r="AD2164" s="22">
        <f t="shared" ref="AD2164:AD2221" si="422">SUM(AB2164:AC2164)</f>
        <v>0</v>
      </c>
      <c r="AE2164" s="22">
        <f t="shared" ref="AE2164:AE2221" si="423">SUM(AA2164,V2164:W2164,AD2164)</f>
        <v>0</v>
      </c>
      <c r="AF2164" s="19" t="str">
        <f>VLOOKUP(C2164,'2021-22 School Level AAFTE'!C:N,12,FALSE)</f>
        <v>No</v>
      </c>
    </row>
    <row r="2165" spans="1:32" s="5" customFormat="1">
      <c r="A2165" s="97" t="s">
        <v>2283</v>
      </c>
      <c r="B2165" s="97" t="s">
        <v>164</v>
      </c>
      <c r="C2165" s="95">
        <v>3016</v>
      </c>
      <c r="D2165" s="95" t="s">
        <v>177</v>
      </c>
      <c r="E2165" s="129">
        <f>VLOOKUP($C2165,'2021-22 School Level AAFTE'!$C:$Z,11,FALSE)</f>
        <v>0.51313333333333333</v>
      </c>
      <c r="F2165" s="129" t="str">
        <f>VLOOKUP($C2165,'2021-22 School Level AAFTE'!$C:$Z,8,FALSE)</f>
        <v>Yes</v>
      </c>
      <c r="G2165" s="129" t="str">
        <f>VLOOKUP($C2165,'2021-22 School Level AAFTE'!$C:$Z,12,FALSE)</f>
        <v>No</v>
      </c>
      <c r="H2165" s="127">
        <f>VLOOKUP($C2165,'2021-22 School Level AAFTE'!$C:$I,7,FALSE)</f>
        <v>637.16</v>
      </c>
      <c r="I2165" s="112">
        <f>IFERROR(IF(OR(G2165="yes",F2165= "yes"),VLOOKUP(C2165,Summary!$B:$J,6,0),0),0)</f>
        <v>0</v>
      </c>
      <c r="J2165" s="111">
        <f t="shared" si="414"/>
        <v>637.16</v>
      </c>
      <c r="K2165" s="91">
        <f>VLOOKUP($A2165,'2022-23 Salary &amp; Benefits'!$A:$I,3,FALSE)</f>
        <v>1.06</v>
      </c>
      <c r="L2165" s="91">
        <f>VLOOKUP($A2165,'2022-23 Salary &amp; Benefits'!$A:$I,4,FALSE)</f>
        <v>1.06</v>
      </c>
      <c r="M2165" s="101">
        <f t="shared" si="421"/>
        <v>637.16</v>
      </c>
      <c r="N2165" s="24">
        <v>15</v>
      </c>
      <c r="O2165" s="26">
        <f t="shared" si="412"/>
        <v>42.477333333333334</v>
      </c>
      <c r="P2165" s="24">
        <v>1.1000000000000001</v>
      </c>
      <c r="Q2165" s="24">
        <v>36</v>
      </c>
      <c r="R2165" s="27">
        <f t="shared" si="413"/>
        <v>1682.1024000000002</v>
      </c>
      <c r="S2165" s="102">
        <f t="shared" si="415"/>
        <v>1.869</v>
      </c>
      <c r="T2165" s="21">
        <f>VLOOKUP($A2165,'2022-23 Salary &amp; Benefits'!$A:$I,5,FALSE)</f>
        <v>68937</v>
      </c>
      <c r="U2165" s="21">
        <f>VLOOKUP($A2165,'2022-23 Salary &amp; Benefits'!$A:$I,6,FALSE)</f>
        <v>72728</v>
      </c>
      <c r="V2165" s="22">
        <f t="shared" si="416"/>
        <v>136573.85</v>
      </c>
      <c r="W2165" s="22">
        <f t="shared" si="417"/>
        <v>7510.5</v>
      </c>
      <c r="X2165" s="22">
        <f>'2022-23 Salary &amp; Benefits'!$G$6</f>
        <v>12558.24</v>
      </c>
      <c r="Y2165" s="23">
        <f>'2022-23 Salary &amp; Benefits'!$H$6</f>
        <v>0.2298</v>
      </c>
      <c r="Z2165" s="23">
        <f>'2022-23 Salary &amp; Benefits'!$I$6</f>
        <v>0.22339999999999999</v>
      </c>
      <c r="AA2165" s="22">
        <f t="shared" si="418"/>
        <v>56533.87</v>
      </c>
      <c r="AB2165" s="22">
        <f t="shared" si="419"/>
        <v>2401.41</v>
      </c>
      <c r="AC2165" s="22">
        <f t="shared" si="420"/>
        <v>536.47</v>
      </c>
      <c r="AD2165" s="22">
        <f t="shared" si="422"/>
        <v>2937.88</v>
      </c>
      <c r="AE2165" s="22">
        <f t="shared" si="423"/>
        <v>203556.1</v>
      </c>
      <c r="AF2165" s="19" t="str">
        <f>VLOOKUP(C2165,'2021-22 School Level AAFTE'!C:N,12,FALSE)</f>
        <v>No</v>
      </c>
    </row>
    <row r="2166" spans="1:32" s="5" customFormat="1">
      <c r="A2166" s="97" t="s">
        <v>2283</v>
      </c>
      <c r="B2166" s="97" t="s">
        <v>164</v>
      </c>
      <c r="C2166" s="95">
        <v>3017</v>
      </c>
      <c r="D2166" s="95" t="s">
        <v>178</v>
      </c>
      <c r="E2166" s="129">
        <f>VLOOKUP($C2166,'2021-22 School Level AAFTE'!$C:$Z,11,FALSE)</f>
        <v>0.27286666666666665</v>
      </c>
      <c r="F2166" s="129" t="str">
        <f>VLOOKUP($C2166,'2021-22 School Level AAFTE'!$C:$Z,8,FALSE)</f>
        <v>No</v>
      </c>
      <c r="G2166" s="129" t="str">
        <f>VLOOKUP($C2166,'2021-22 School Level AAFTE'!$C:$Z,12,FALSE)</f>
        <v>No</v>
      </c>
      <c r="H2166" s="127">
        <f>VLOOKUP($C2166,'2021-22 School Level AAFTE'!$C:$I,7,FALSE)</f>
        <v>382.73</v>
      </c>
      <c r="I2166" s="112">
        <f>IFERROR(IF(OR(G2166="yes",F2166= "yes"),VLOOKUP(C2166,Summary!$B:$J,6,0),0),0)</f>
        <v>0</v>
      </c>
      <c r="J2166" s="111">
        <f t="shared" si="414"/>
        <v>0</v>
      </c>
      <c r="K2166" s="91">
        <f>VLOOKUP($A2166,'2022-23 Salary &amp; Benefits'!$A:$I,3,FALSE)</f>
        <v>1.06</v>
      </c>
      <c r="L2166" s="91">
        <f>VLOOKUP($A2166,'2022-23 Salary &amp; Benefits'!$A:$I,4,FALSE)</f>
        <v>1.06</v>
      </c>
      <c r="M2166" s="39">
        <f t="shared" si="421"/>
        <v>0</v>
      </c>
      <c r="N2166" s="24">
        <v>15</v>
      </c>
      <c r="O2166" s="26">
        <f t="shared" si="412"/>
        <v>0</v>
      </c>
      <c r="P2166" s="24">
        <v>1.1000000000000001</v>
      </c>
      <c r="Q2166" s="24">
        <v>36</v>
      </c>
      <c r="R2166" s="27">
        <f t="shared" si="413"/>
        <v>0</v>
      </c>
      <c r="S2166" s="102">
        <f t="shared" si="415"/>
        <v>0</v>
      </c>
      <c r="T2166" s="21">
        <f>VLOOKUP($A2166,'2022-23 Salary &amp; Benefits'!$A:$I,5,FALSE)</f>
        <v>68937</v>
      </c>
      <c r="U2166" s="21">
        <f>VLOOKUP($A2166,'2022-23 Salary &amp; Benefits'!$A:$I,6,FALSE)</f>
        <v>72728</v>
      </c>
      <c r="V2166" s="22">
        <f t="shared" si="416"/>
        <v>0</v>
      </c>
      <c r="W2166" s="22">
        <f t="shared" si="417"/>
        <v>0</v>
      </c>
      <c r="X2166" s="22">
        <f>'2022-23 Salary &amp; Benefits'!$G$6</f>
        <v>12558.24</v>
      </c>
      <c r="Y2166" s="23">
        <f>'2022-23 Salary &amp; Benefits'!$H$6</f>
        <v>0.2298</v>
      </c>
      <c r="Z2166" s="23">
        <f>'2022-23 Salary &amp; Benefits'!$I$6</f>
        <v>0.22339999999999999</v>
      </c>
      <c r="AA2166" s="22">
        <f t="shared" si="418"/>
        <v>0</v>
      </c>
      <c r="AB2166" s="22">
        <f t="shared" si="419"/>
        <v>0</v>
      </c>
      <c r="AC2166" s="22">
        <f t="shared" si="420"/>
        <v>0</v>
      </c>
      <c r="AD2166" s="22">
        <f t="shared" si="422"/>
        <v>0</v>
      </c>
      <c r="AE2166" s="22">
        <f t="shared" si="423"/>
        <v>0</v>
      </c>
      <c r="AF2166" s="19" t="str">
        <f>VLOOKUP(C2166,'2021-22 School Level AAFTE'!C:N,12,FALSE)</f>
        <v>No</v>
      </c>
    </row>
    <row r="2167" spans="1:32" s="5" customFormat="1">
      <c r="A2167" s="97" t="s">
        <v>2283</v>
      </c>
      <c r="B2167" s="97" t="s">
        <v>164</v>
      </c>
      <c r="C2167" s="95">
        <v>3080</v>
      </c>
      <c r="D2167" s="95" t="s">
        <v>179</v>
      </c>
      <c r="E2167" s="129">
        <f>VLOOKUP($C2167,'2021-22 School Level AAFTE'!$C:$Z,11,FALSE)</f>
        <v>0.17250000000000001</v>
      </c>
      <c r="F2167" s="129" t="str">
        <f>VLOOKUP($C2167,'2021-22 School Level AAFTE'!$C:$Z,8,FALSE)</f>
        <v>No</v>
      </c>
      <c r="G2167" s="129" t="str">
        <f>VLOOKUP($C2167,'2021-22 School Level AAFTE'!$C:$Z,12,FALSE)</f>
        <v>No</v>
      </c>
      <c r="H2167" s="127">
        <f>VLOOKUP($C2167,'2021-22 School Level AAFTE'!$C:$I,7,FALSE)</f>
        <v>339.31</v>
      </c>
      <c r="I2167" s="112">
        <f>IFERROR(IF(OR(G2167="yes",F2167= "yes"),VLOOKUP(C2167,Summary!$B:$J,6,0),0),0)</f>
        <v>0</v>
      </c>
      <c r="J2167" s="111">
        <f t="shared" si="414"/>
        <v>0</v>
      </c>
      <c r="K2167" s="91">
        <f>VLOOKUP($A2167,'2022-23 Salary &amp; Benefits'!$A:$I,3,FALSE)</f>
        <v>1.06</v>
      </c>
      <c r="L2167" s="91">
        <f>VLOOKUP($A2167,'2022-23 Salary &amp; Benefits'!$A:$I,4,FALSE)</f>
        <v>1.06</v>
      </c>
      <c r="M2167" s="39">
        <f t="shared" si="421"/>
        <v>0</v>
      </c>
      <c r="N2167" s="24">
        <v>15</v>
      </c>
      <c r="O2167" s="26">
        <f t="shared" si="412"/>
        <v>0</v>
      </c>
      <c r="P2167" s="24">
        <v>1.1000000000000001</v>
      </c>
      <c r="Q2167" s="24">
        <v>36</v>
      </c>
      <c r="R2167" s="27">
        <f t="shared" si="413"/>
        <v>0</v>
      </c>
      <c r="S2167" s="102">
        <f t="shared" si="415"/>
        <v>0</v>
      </c>
      <c r="T2167" s="21">
        <f>VLOOKUP($A2167,'2022-23 Salary &amp; Benefits'!$A:$I,5,FALSE)</f>
        <v>68937</v>
      </c>
      <c r="U2167" s="21">
        <f>VLOOKUP($A2167,'2022-23 Salary &amp; Benefits'!$A:$I,6,FALSE)</f>
        <v>72728</v>
      </c>
      <c r="V2167" s="22">
        <f t="shared" si="416"/>
        <v>0</v>
      </c>
      <c r="W2167" s="22">
        <f t="shared" si="417"/>
        <v>0</v>
      </c>
      <c r="X2167" s="22">
        <f>'2022-23 Salary &amp; Benefits'!$G$6</f>
        <v>12558.24</v>
      </c>
      <c r="Y2167" s="23">
        <f>'2022-23 Salary &amp; Benefits'!$H$6</f>
        <v>0.2298</v>
      </c>
      <c r="Z2167" s="23">
        <f>'2022-23 Salary &amp; Benefits'!$I$6</f>
        <v>0.22339999999999999</v>
      </c>
      <c r="AA2167" s="22">
        <f t="shared" si="418"/>
        <v>0</v>
      </c>
      <c r="AB2167" s="22">
        <f t="shared" si="419"/>
        <v>0</v>
      </c>
      <c r="AC2167" s="22">
        <f t="shared" si="420"/>
        <v>0</v>
      </c>
      <c r="AD2167" s="22">
        <f t="shared" si="422"/>
        <v>0</v>
      </c>
      <c r="AE2167" s="22">
        <f t="shared" si="423"/>
        <v>0</v>
      </c>
      <c r="AF2167" s="19" t="str">
        <f>VLOOKUP(C2167,'2021-22 School Level AAFTE'!C:N,12,FALSE)</f>
        <v>No</v>
      </c>
    </row>
    <row r="2168" spans="1:32" s="5" customFormat="1">
      <c r="A2168" s="97" t="s">
        <v>2283</v>
      </c>
      <c r="B2168" s="97" t="s">
        <v>164</v>
      </c>
      <c r="C2168" s="95">
        <v>3081</v>
      </c>
      <c r="D2168" s="95" t="s">
        <v>180</v>
      </c>
      <c r="E2168" s="129">
        <f>VLOOKUP($C2168,'2021-22 School Level AAFTE'!$C:$Z,11,FALSE)</f>
        <v>0.61996666666666667</v>
      </c>
      <c r="F2168" s="129" t="str">
        <f>VLOOKUP($C2168,'2021-22 School Level AAFTE'!$C:$Z,8,FALSE)</f>
        <v>Yes</v>
      </c>
      <c r="G2168" s="129" t="str">
        <f>VLOOKUP($C2168,'2021-22 School Level AAFTE'!$C:$Z,12,FALSE)</f>
        <v>No</v>
      </c>
      <c r="H2168" s="127">
        <f>VLOOKUP($C2168,'2021-22 School Level AAFTE'!$C:$I,7,FALSE)</f>
        <v>1104.76</v>
      </c>
      <c r="I2168" s="112">
        <f>IFERROR(IF(OR(G2168="yes",F2168= "yes"),VLOOKUP(C2168,Summary!$B:$J,6,0),0),0)</f>
        <v>0</v>
      </c>
      <c r="J2168" s="111">
        <f t="shared" si="414"/>
        <v>1104.76</v>
      </c>
      <c r="K2168" s="91">
        <f>VLOOKUP($A2168,'2022-23 Salary &amp; Benefits'!$A:$I,3,FALSE)</f>
        <v>1.06</v>
      </c>
      <c r="L2168" s="91">
        <f>VLOOKUP($A2168,'2022-23 Salary &amp; Benefits'!$A:$I,4,FALSE)</f>
        <v>1.06</v>
      </c>
      <c r="M2168" s="39">
        <f t="shared" si="421"/>
        <v>1104.76</v>
      </c>
      <c r="N2168" s="24">
        <v>15</v>
      </c>
      <c r="O2168" s="26">
        <f t="shared" si="412"/>
        <v>73.650666666666666</v>
      </c>
      <c r="P2168" s="24">
        <v>1.1000000000000001</v>
      </c>
      <c r="Q2168" s="24">
        <v>36</v>
      </c>
      <c r="R2168" s="27">
        <f t="shared" si="413"/>
        <v>2916.5664000000006</v>
      </c>
      <c r="S2168" s="102">
        <f t="shared" si="415"/>
        <v>3.2410000000000001</v>
      </c>
      <c r="T2168" s="21">
        <f>VLOOKUP($A2168,'2022-23 Salary &amp; Benefits'!$A:$I,5,FALSE)</f>
        <v>68937</v>
      </c>
      <c r="U2168" s="21">
        <f>VLOOKUP($A2168,'2022-23 Salary &amp; Benefits'!$A:$I,6,FALSE)</f>
        <v>72728</v>
      </c>
      <c r="V2168" s="22">
        <f t="shared" si="416"/>
        <v>236830.31</v>
      </c>
      <c r="W2168" s="22">
        <f t="shared" si="417"/>
        <v>13023.820000000007</v>
      </c>
      <c r="X2168" s="22">
        <f>'2022-23 Salary &amp; Benefits'!$G$6</f>
        <v>12558.24</v>
      </c>
      <c r="Y2168" s="23">
        <f>'2022-23 Salary &amp; Benefits'!$H$6</f>
        <v>0.2298</v>
      </c>
      <c r="Z2168" s="23">
        <f>'2022-23 Salary &amp; Benefits'!$I$6</f>
        <v>0.22339999999999999</v>
      </c>
      <c r="AA2168" s="22">
        <f t="shared" si="418"/>
        <v>98034.38</v>
      </c>
      <c r="AB2168" s="22">
        <f t="shared" si="419"/>
        <v>4164.24</v>
      </c>
      <c r="AC2168" s="22">
        <f t="shared" si="420"/>
        <v>930.29</v>
      </c>
      <c r="AD2168" s="22">
        <f t="shared" si="422"/>
        <v>5094.53</v>
      </c>
      <c r="AE2168" s="22">
        <f t="shared" si="423"/>
        <v>352983.04000000004</v>
      </c>
      <c r="AF2168" s="19" t="str">
        <f>VLOOKUP(C2168,'2021-22 School Level AAFTE'!C:N,12,FALSE)</f>
        <v>No</v>
      </c>
    </row>
    <row r="2169" spans="1:32" s="5" customFormat="1">
      <c r="A2169" s="97" t="s">
        <v>2283</v>
      </c>
      <c r="B2169" s="97" t="s">
        <v>164</v>
      </c>
      <c r="C2169" s="95">
        <v>3146</v>
      </c>
      <c r="D2169" s="95" t="s">
        <v>181</v>
      </c>
      <c r="E2169" s="129">
        <f>VLOOKUP($C2169,'2021-22 School Level AAFTE'!$C:$Z,11,FALSE)</f>
        <v>0.77190000000000003</v>
      </c>
      <c r="F2169" s="129" t="str">
        <f>VLOOKUP($C2169,'2021-22 School Level AAFTE'!$C:$Z,8,FALSE)</f>
        <v>Yes</v>
      </c>
      <c r="G2169" s="129" t="str">
        <f>VLOOKUP($C2169,'2021-22 School Level AAFTE'!$C:$Z,12,FALSE)</f>
        <v>No</v>
      </c>
      <c r="H2169" s="127">
        <f>VLOOKUP($C2169,'2021-22 School Level AAFTE'!$C:$I,7,FALSE)</f>
        <v>934.42</v>
      </c>
      <c r="I2169" s="112">
        <f>IFERROR(IF(OR(G2169="yes",F2169= "yes"),VLOOKUP(C2169,Summary!$B:$J,6,0),0),0)</f>
        <v>0</v>
      </c>
      <c r="J2169" s="111">
        <f t="shared" si="414"/>
        <v>934.42</v>
      </c>
      <c r="K2169" s="91">
        <f>VLOOKUP($A2169,'2022-23 Salary &amp; Benefits'!$A:$I,3,FALSE)</f>
        <v>1.06</v>
      </c>
      <c r="L2169" s="91">
        <f>VLOOKUP($A2169,'2022-23 Salary &amp; Benefits'!$A:$I,4,FALSE)</f>
        <v>1.06</v>
      </c>
      <c r="M2169" s="39">
        <f t="shared" si="421"/>
        <v>934.42</v>
      </c>
      <c r="N2169" s="24">
        <v>15</v>
      </c>
      <c r="O2169" s="26">
        <f t="shared" si="412"/>
        <v>62.294666666666664</v>
      </c>
      <c r="P2169" s="24">
        <v>1.1000000000000001</v>
      </c>
      <c r="Q2169" s="24">
        <v>36</v>
      </c>
      <c r="R2169" s="27">
        <f t="shared" si="413"/>
        <v>2466.8688000000002</v>
      </c>
      <c r="S2169" s="102">
        <f t="shared" si="415"/>
        <v>2.7410000000000001</v>
      </c>
      <c r="T2169" s="21">
        <f>VLOOKUP($A2169,'2022-23 Salary &amp; Benefits'!$A:$I,5,FALSE)</f>
        <v>68937</v>
      </c>
      <c r="U2169" s="21">
        <f>VLOOKUP($A2169,'2022-23 Salary &amp; Benefits'!$A:$I,6,FALSE)</f>
        <v>72728</v>
      </c>
      <c r="V2169" s="22">
        <f t="shared" si="416"/>
        <v>200293.7</v>
      </c>
      <c r="W2169" s="22">
        <f t="shared" si="417"/>
        <v>11014.589999999997</v>
      </c>
      <c r="X2169" s="22">
        <f>'2022-23 Salary &amp; Benefits'!$G$6</f>
        <v>12558.24</v>
      </c>
      <c r="Y2169" s="23">
        <f>'2022-23 Salary &amp; Benefits'!$H$6</f>
        <v>0.2298</v>
      </c>
      <c r="Z2169" s="23">
        <f>'2022-23 Salary &amp; Benefits'!$I$6</f>
        <v>0.22339999999999999</v>
      </c>
      <c r="AA2169" s="22">
        <f t="shared" si="418"/>
        <v>82910.289999999994</v>
      </c>
      <c r="AB2169" s="22">
        <f t="shared" si="419"/>
        <v>3521.8</v>
      </c>
      <c r="AC2169" s="22">
        <f t="shared" si="420"/>
        <v>786.77</v>
      </c>
      <c r="AD2169" s="22">
        <f t="shared" si="422"/>
        <v>4308.57</v>
      </c>
      <c r="AE2169" s="22">
        <f t="shared" si="423"/>
        <v>298527.14999999997</v>
      </c>
      <c r="AF2169" s="19" t="str">
        <f>VLOOKUP(C2169,'2021-22 School Level AAFTE'!C:N,12,FALSE)</f>
        <v>No</v>
      </c>
    </row>
    <row r="2170" spans="1:32" customFormat="1">
      <c r="A2170" s="97" t="s">
        <v>2283</v>
      </c>
      <c r="B2170" s="97" t="s">
        <v>164</v>
      </c>
      <c r="C2170" s="95">
        <v>3423</v>
      </c>
      <c r="D2170" s="95" t="s">
        <v>182</v>
      </c>
      <c r="E2170" s="129">
        <f>VLOOKUP($C2170,'2021-22 School Level AAFTE'!$C:$Z,11,FALSE)</f>
        <v>0.23563333333333333</v>
      </c>
      <c r="F2170" s="129" t="str">
        <f>VLOOKUP($C2170,'2021-22 School Level AAFTE'!$C:$Z,8,FALSE)</f>
        <v>No</v>
      </c>
      <c r="G2170" s="129" t="str">
        <f>VLOOKUP($C2170,'2021-22 School Level AAFTE'!$C:$Z,12,FALSE)</f>
        <v>No</v>
      </c>
      <c r="H2170" s="127">
        <f>VLOOKUP($C2170,'2021-22 School Level AAFTE'!$C:$I,7,FALSE)</f>
        <v>1140.31</v>
      </c>
      <c r="I2170" s="112">
        <f>IFERROR(IF(OR(G2170="yes",F2170= "yes"),VLOOKUP(C2170,Summary!$B:$J,6,0),0),0)</f>
        <v>0</v>
      </c>
      <c r="J2170" s="111">
        <f t="shared" si="414"/>
        <v>0</v>
      </c>
      <c r="K2170" s="91">
        <f>VLOOKUP($A2170,'2022-23 Salary &amp; Benefits'!$A:$I,3,FALSE)</f>
        <v>1.06</v>
      </c>
      <c r="L2170" s="91">
        <f>VLOOKUP($A2170,'2022-23 Salary &amp; Benefits'!$A:$I,4,FALSE)</f>
        <v>1.06</v>
      </c>
      <c r="M2170" s="101">
        <f t="shared" si="421"/>
        <v>0</v>
      </c>
      <c r="N2170" s="24">
        <v>15</v>
      </c>
      <c r="O2170" s="26">
        <f t="shared" si="412"/>
        <v>0</v>
      </c>
      <c r="P2170" s="24">
        <v>1.1000000000000001</v>
      </c>
      <c r="Q2170" s="24">
        <v>36</v>
      </c>
      <c r="R2170" s="27">
        <f t="shared" si="413"/>
        <v>0</v>
      </c>
      <c r="S2170" s="102">
        <f t="shared" si="415"/>
        <v>0</v>
      </c>
      <c r="T2170" s="21">
        <f>VLOOKUP($A2170,'2022-23 Salary &amp; Benefits'!$A:$I,5,FALSE)</f>
        <v>68937</v>
      </c>
      <c r="U2170" s="21">
        <f>VLOOKUP($A2170,'2022-23 Salary &amp; Benefits'!$A:$I,6,FALSE)</f>
        <v>72728</v>
      </c>
      <c r="V2170" s="22">
        <f t="shared" si="416"/>
        <v>0</v>
      </c>
      <c r="W2170" s="22">
        <f t="shared" si="417"/>
        <v>0</v>
      </c>
      <c r="X2170" s="22">
        <f>'2022-23 Salary &amp; Benefits'!$G$6</f>
        <v>12558.24</v>
      </c>
      <c r="Y2170" s="23">
        <f>'2022-23 Salary &amp; Benefits'!$H$6</f>
        <v>0.2298</v>
      </c>
      <c r="Z2170" s="23">
        <f>'2022-23 Salary &amp; Benefits'!$I$6</f>
        <v>0.22339999999999999</v>
      </c>
      <c r="AA2170" s="22">
        <f t="shared" si="418"/>
        <v>0</v>
      </c>
      <c r="AB2170" s="22">
        <f t="shared" si="419"/>
        <v>0</v>
      </c>
      <c r="AC2170" s="22">
        <f t="shared" si="420"/>
        <v>0</v>
      </c>
      <c r="AD2170" s="22">
        <f t="shared" si="422"/>
        <v>0</v>
      </c>
      <c r="AE2170" s="22">
        <f t="shared" si="423"/>
        <v>0</v>
      </c>
      <c r="AF2170" s="19" t="str">
        <f>VLOOKUP(C2170,'2021-22 School Level AAFTE'!C:N,12,FALSE)</f>
        <v>No</v>
      </c>
    </row>
    <row r="2171" spans="1:32" customFormat="1">
      <c r="A2171" s="97" t="s">
        <v>2283</v>
      </c>
      <c r="B2171" s="97" t="s">
        <v>164</v>
      </c>
      <c r="C2171" s="95">
        <v>3424</v>
      </c>
      <c r="D2171" s="95" t="s">
        <v>183</v>
      </c>
      <c r="E2171" s="129">
        <f>VLOOKUP($C2171,'2021-22 School Level AAFTE'!$C:$Z,11,FALSE)</f>
        <v>0.66320000000000001</v>
      </c>
      <c r="F2171" s="129" t="str">
        <f>VLOOKUP($C2171,'2021-22 School Level AAFTE'!$C:$Z,8,FALSE)</f>
        <v>Yes</v>
      </c>
      <c r="G2171" s="129" t="str">
        <f>VLOOKUP($C2171,'2021-22 School Level AAFTE'!$C:$Z,12,FALSE)</f>
        <v>No</v>
      </c>
      <c r="H2171" s="127">
        <f>VLOOKUP($C2171,'2021-22 School Level AAFTE'!$C:$I,7,FALSE)</f>
        <v>328.57</v>
      </c>
      <c r="I2171" s="112">
        <f>IFERROR(IF(OR(G2171="yes",F2171= "yes"),VLOOKUP(C2171,Summary!$B:$J,6,0),0),0)</f>
        <v>0</v>
      </c>
      <c r="J2171" s="111">
        <f t="shared" si="414"/>
        <v>328.57</v>
      </c>
      <c r="K2171" s="91">
        <f>VLOOKUP($A2171,'2022-23 Salary &amp; Benefits'!$A:$I,3,FALSE)</f>
        <v>1.06</v>
      </c>
      <c r="L2171" s="91">
        <f>VLOOKUP($A2171,'2022-23 Salary &amp; Benefits'!$A:$I,4,FALSE)</f>
        <v>1.06</v>
      </c>
      <c r="M2171" s="39">
        <f t="shared" si="421"/>
        <v>328.57</v>
      </c>
      <c r="N2171" s="24">
        <v>15</v>
      </c>
      <c r="O2171" s="26">
        <f t="shared" si="412"/>
        <v>21.904666666666667</v>
      </c>
      <c r="P2171" s="24">
        <v>1.1000000000000001</v>
      </c>
      <c r="Q2171" s="24">
        <v>36</v>
      </c>
      <c r="R2171" s="27">
        <f t="shared" si="413"/>
        <v>867.42480000000012</v>
      </c>
      <c r="S2171" s="102">
        <f t="shared" si="415"/>
        <v>0.96399999999999997</v>
      </c>
      <c r="T2171" s="21">
        <f>VLOOKUP($A2171,'2022-23 Salary &amp; Benefits'!$A:$I,5,FALSE)</f>
        <v>68937</v>
      </c>
      <c r="U2171" s="21">
        <f>VLOOKUP($A2171,'2022-23 Salary &amp; Benefits'!$A:$I,6,FALSE)</f>
        <v>72728</v>
      </c>
      <c r="V2171" s="22">
        <f t="shared" si="416"/>
        <v>70442.58</v>
      </c>
      <c r="W2171" s="22">
        <f t="shared" si="417"/>
        <v>3873.8000000000029</v>
      </c>
      <c r="X2171" s="22">
        <f>'2022-23 Salary &amp; Benefits'!$G$6</f>
        <v>12558.24</v>
      </c>
      <c r="Y2171" s="23">
        <f>'2022-23 Salary &amp; Benefits'!$H$6</f>
        <v>0.2298</v>
      </c>
      <c r="Z2171" s="23">
        <f>'2022-23 Salary &amp; Benefits'!$I$6</f>
        <v>0.22339999999999999</v>
      </c>
      <c r="AA2171" s="22">
        <f t="shared" si="418"/>
        <v>29159.26</v>
      </c>
      <c r="AB2171" s="22">
        <f t="shared" si="419"/>
        <v>1238.6099999999999</v>
      </c>
      <c r="AC2171" s="22">
        <f t="shared" si="420"/>
        <v>276.70999999999998</v>
      </c>
      <c r="AD2171" s="22">
        <f t="shared" si="422"/>
        <v>1515.32</v>
      </c>
      <c r="AE2171" s="22">
        <f t="shared" si="423"/>
        <v>104990.96</v>
      </c>
      <c r="AF2171" s="19" t="str">
        <f>VLOOKUP(C2171,'2021-22 School Level AAFTE'!C:N,12,FALSE)</f>
        <v>No</v>
      </c>
    </row>
    <row r="2172" spans="1:32" customFormat="1">
      <c r="A2172" s="97" t="s">
        <v>2283</v>
      </c>
      <c r="B2172" s="97" t="s">
        <v>164</v>
      </c>
      <c r="C2172" s="95">
        <v>3543</v>
      </c>
      <c r="D2172" s="95" t="s">
        <v>184</v>
      </c>
      <c r="E2172" s="129">
        <f>VLOOKUP($C2172,'2021-22 School Level AAFTE'!$C:$Z,11,FALSE)</f>
        <v>0.50183333333333335</v>
      </c>
      <c r="F2172" s="129" t="str">
        <f>VLOOKUP($C2172,'2021-22 School Level AAFTE'!$C:$Z,8,FALSE)</f>
        <v>Yes</v>
      </c>
      <c r="G2172" s="129" t="str">
        <f>VLOOKUP($C2172,'2021-22 School Level AAFTE'!$C:$Z,12,FALSE)</f>
        <v>No</v>
      </c>
      <c r="H2172" s="127">
        <f>VLOOKUP($C2172,'2021-22 School Level AAFTE'!$C:$I,7,FALSE)</f>
        <v>580.07000000000005</v>
      </c>
      <c r="I2172" s="112">
        <f>IFERROR(IF(OR(G2172="yes",F2172= "yes"),VLOOKUP(C2172,Summary!$B:$J,6,0),0),0)</f>
        <v>0</v>
      </c>
      <c r="J2172" s="111">
        <f t="shared" si="414"/>
        <v>580.07000000000005</v>
      </c>
      <c r="K2172" s="91">
        <f>VLOOKUP($A2172,'2022-23 Salary &amp; Benefits'!$A:$I,3,FALSE)</f>
        <v>1.06</v>
      </c>
      <c r="L2172" s="91">
        <f>VLOOKUP($A2172,'2022-23 Salary &amp; Benefits'!$A:$I,4,FALSE)</f>
        <v>1.06</v>
      </c>
      <c r="M2172" s="101">
        <f t="shared" si="421"/>
        <v>580.07000000000005</v>
      </c>
      <c r="N2172" s="24">
        <v>15</v>
      </c>
      <c r="O2172" s="26">
        <f t="shared" si="412"/>
        <v>38.671333333333337</v>
      </c>
      <c r="P2172" s="24">
        <v>1.1000000000000001</v>
      </c>
      <c r="Q2172" s="24">
        <v>36</v>
      </c>
      <c r="R2172" s="27">
        <f t="shared" si="413"/>
        <v>1531.3848000000003</v>
      </c>
      <c r="S2172" s="102">
        <f t="shared" si="415"/>
        <v>1.702</v>
      </c>
      <c r="T2172" s="21">
        <f>VLOOKUP($A2172,'2022-23 Salary &amp; Benefits'!$A:$I,5,FALSE)</f>
        <v>68937</v>
      </c>
      <c r="U2172" s="21">
        <f>VLOOKUP($A2172,'2022-23 Salary &amp; Benefits'!$A:$I,6,FALSE)</f>
        <v>72728</v>
      </c>
      <c r="V2172" s="22">
        <f t="shared" si="416"/>
        <v>124370.62</v>
      </c>
      <c r="W2172" s="22">
        <f t="shared" si="417"/>
        <v>6839.4200000000128</v>
      </c>
      <c r="X2172" s="22">
        <f>'2022-23 Salary &amp; Benefits'!$G$6</f>
        <v>12558.24</v>
      </c>
      <c r="Y2172" s="23">
        <f>'2022-23 Salary &amp; Benefits'!$H$6</f>
        <v>0.2298</v>
      </c>
      <c r="Z2172" s="23">
        <f>'2022-23 Salary &amp; Benefits'!$I$6</f>
        <v>0.22339999999999999</v>
      </c>
      <c r="AA2172" s="22">
        <f t="shared" si="418"/>
        <v>51482.42</v>
      </c>
      <c r="AB2172" s="22">
        <f t="shared" si="419"/>
        <v>2186.83</v>
      </c>
      <c r="AC2172" s="22">
        <f t="shared" si="420"/>
        <v>488.54</v>
      </c>
      <c r="AD2172" s="22">
        <f t="shared" si="422"/>
        <v>2675.37</v>
      </c>
      <c r="AE2172" s="22">
        <f t="shared" si="423"/>
        <v>185367.83</v>
      </c>
      <c r="AF2172" s="19" t="str">
        <f>VLOOKUP(C2172,'2021-22 School Level AAFTE'!C:N,12,FALSE)</f>
        <v>No</v>
      </c>
    </row>
    <row r="2173" spans="1:32" customFormat="1">
      <c r="A2173" s="97" t="s">
        <v>2283</v>
      </c>
      <c r="B2173" s="97" t="s">
        <v>164</v>
      </c>
      <c r="C2173" s="95">
        <v>3556</v>
      </c>
      <c r="D2173" s="95" t="s">
        <v>185</v>
      </c>
      <c r="E2173" s="129">
        <f>VLOOKUP($C2173,'2021-22 School Level AAFTE'!$C:$Z,11,FALSE)</f>
        <v>0.44883333333333336</v>
      </c>
      <c r="F2173" s="129" t="str">
        <f>VLOOKUP($C2173,'2021-22 School Level AAFTE'!$C:$Z,8,FALSE)</f>
        <v>No</v>
      </c>
      <c r="G2173" s="129" t="str">
        <f>VLOOKUP($C2173,'2021-22 School Level AAFTE'!$C:$Z,12,FALSE)</f>
        <v>No</v>
      </c>
      <c r="H2173" s="127">
        <f>VLOOKUP($C2173,'2021-22 School Level AAFTE'!$C:$I,7,FALSE)</f>
        <v>142.51</v>
      </c>
      <c r="I2173" s="112">
        <f>IFERROR(IF(OR(G2173="yes",F2173= "yes"),VLOOKUP(C2173,Summary!$B:$J,6,0),0),0)</f>
        <v>0</v>
      </c>
      <c r="J2173" s="111">
        <f t="shared" si="414"/>
        <v>0</v>
      </c>
      <c r="K2173" s="91">
        <f>VLOOKUP($A2173,'2022-23 Salary &amp; Benefits'!$A:$I,3,FALSE)</f>
        <v>1.06</v>
      </c>
      <c r="L2173" s="91">
        <f>VLOOKUP($A2173,'2022-23 Salary &amp; Benefits'!$A:$I,4,FALSE)</f>
        <v>1.06</v>
      </c>
      <c r="M2173" s="101">
        <f t="shared" si="421"/>
        <v>0</v>
      </c>
      <c r="N2173" s="24">
        <v>15</v>
      </c>
      <c r="O2173" s="26">
        <f t="shared" si="412"/>
        <v>0</v>
      </c>
      <c r="P2173" s="24">
        <v>1.1000000000000001</v>
      </c>
      <c r="Q2173" s="24">
        <v>36</v>
      </c>
      <c r="R2173" s="27">
        <f t="shared" si="413"/>
        <v>0</v>
      </c>
      <c r="S2173" s="102">
        <f t="shared" si="415"/>
        <v>0</v>
      </c>
      <c r="T2173" s="21">
        <f>VLOOKUP($A2173,'2022-23 Salary &amp; Benefits'!$A:$I,5,FALSE)</f>
        <v>68937</v>
      </c>
      <c r="U2173" s="21">
        <f>VLOOKUP($A2173,'2022-23 Salary &amp; Benefits'!$A:$I,6,FALSE)</f>
        <v>72728</v>
      </c>
      <c r="V2173" s="22">
        <f t="shared" si="416"/>
        <v>0</v>
      </c>
      <c r="W2173" s="22">
        <f t="shared" si="417"/>
        <v>0</v>
      </c>
      <c r="X2173" s="22">
        <f>'2022-23 Salary &amp; Benefits'!$G$6</f>
        <v>12558.24</v>
      </c>
      <c r="Y2173" s="23">
        <f>'2022-23 Salary &amp; Benefits'!$H$6</f>
        <v>0.2298</v>
      </c>
      <c r="Z2173" s="23">
        <f>'2022-23 Salary &amp; Benefits'!$I$6</f>
        <v>0.22339999999999999</v>
      </c>
      <c r="AA2173" s="22">
        <f t="shared" si="418"/>
        <v>0</v>
      </c>
      <c r="AB2173" s="22">
        <f t="shared" si="419"/>
        <v>0</v>
      </c>
      <c r="AC2173" s="22">
        <f t="shared" si="420"/>
        <v>0</v>
      </c>
      <c r="AD2173" s="22">
        <f t="shared" si="422"/>
        <v>0</v>
      </c>
      <c r="AE2173" s="22">
        <f t="shared" si="423"/>
        <v>0</v>
      </c>
      <c r="AF2173" s="19" t="str">
        <f>VLOOKUP(C2173,'2021-22 School Level AAFTE'!C:N,12,FALSE)</f>
        <v>No</v>
      </c>
    </row>
    <row r="2174" spans="1:32" customFormat="1">
      <c r="A2174" s="97" t="s">
        <v>2283</v>
      </c>
      <c r="B2174" s="97" t="s">
        <v>164</v>
      </c>
      <c r="C2174" s="95">
        <v>3565</v>
      </c>
      <c r="D2174" s="95" t="s">
        <v>186</v>
      </c>
      <c r="E2174" s="129">
        <f>VLOOKUP($C2174,'2021-22 School Level AAFTE'!$C:$Z,11,FALSE)</f>
        <v>0.76016666666666666</v>
      </c>
      <c r="F2174" s="129" t="str">
        <f>VLOOKUP($C2174,'2021-22 School Level AAFTE'!$C:$Z,8,FALSE)</f>
        <v>Yes</v>
      </c>
      <c r="G2174" s="129" t="str">
        <f>VLOOKUP($C2174,'2021-22 School Level AAFTE'!$C:$Z,12,FALSE)</f>
        <v>No</v>
      </c>
      <c r="H2174" s="127">
        <f>VLOOKUP($C2174,'2021-22 School Level AAFTE'!$C:$I,7,FALSE)</f>
        <v>252.45</v>
      </c>
      <c r="I2174" s="112">
        <f>IFERROR(IF(OR(G2174="yes",F2174= "yes"),VLOOKUP(C2174,Summary!$B:$J,6,0),0),0)</f>
        <v>0</v>
      </c>
      <c r="J2174" s="111">
        <f t="shared" si="414"/>
        <v>252.45</v>
      </c>
      <c r="K2174" s="91">
        <f>VLOOKUP($A2174,'2022-23 Salary &amp; Benefits'!$A:$I,3,FALSE)</f>
        <v>1.06</v>
      </c>
      <c r="L2174" s="91">
        <f>VLOOKUP($A2174,'2022-23 Salary &amp; Benefits'!$A:$I,4,FALSE)</f>
        <v>1.06</v>
      </c>
      <c r="M2174" s="101">
        <f t="shared" si="421"/>
        <v>252.45</v>
      </c>
      <c r="N2174" s="24">
        <v>15</v>
      </c>
      <c r="O2174" s="26">
        <f t="shared" si="412"/>
        <v>16.829999999999998</v>
      </c>
      <c r="P2174" s="24">
        <v>1.1000000000000001</v>
      </c>
      <c r="Q2174" s="24">
        <v>36</v>
      </c>
      <c r="R2174" s="27">
        <f t="shared" si="413"/>
        <v>666.46799999999996</v>
      </c>
      <c r="S2174" s="102">
        <f t="shared" si="415"/>
        <v>0.74099999999999999</v>
      </c>
      <c r="T2174" s="21">
        <f>VLOOKUP($A2174,'2022-23 Salary &amp; Benefits'!$A:$I,5,FALSE)</f>
        <v>68937</v>
      </c>
      <c r="U2174" s="21">
        <f>VLOOKUP($A2174,'2022-23 Salary &amp; Benefits'!$A:$I,6,FALSE)</f>
        <v>72728</v>
      </c>
      <c r="V2174" s="22">
        <f t="shared" si="416"/>
        <v>54147.26</v>
      </c>
      <c r="W2174" s="22">
        <f t="shared" si="417"/>
        <v>2977.6699999999983</v>
      </c>
      <c r="X2174" s="22">
        <f>'2022-23 Salary &amp; Benefits'!$G$6</f>
        <v>12558.24</v>
      </c>
      <c r="Y2174" s="23">
        <f>'2022-23 Salary &amp; Benefits'!$H$6</f>
        <v>0.2298</v>
      </c>
      <c r="Z2174" s="23">
        <f>'2022-23 Salary &amp; Benefits'!$I$6</f>
        <v>0.22339999999999999</v>
      </c>
      <c r="AA2174" s="22">
        <f t="shared" si="418"/>
        <v>22413.91</v>
      </c>
      <c r="AB2174" s="22">
        <f t="shared" si="419"/>
        <v>952.08</v>
      </c>
      <c r="AC2174" s="22">
        <f t="shared" si="420"/>
        <v>212.69</v>
      </c>
      <c r="AD2174" s="22">
        <f t="shared" si="422"/>
        <v>1164.77</v>
      </c>
      <c r="AE2174" s="22">
        <f t="shared" si="423"/>
        <v>80703.61</v>
      </c>
      <c r="AF2174" s="19" t="str">
        <f>VLOOKUP(C2174,'2021-22 School Level AAFTE'!C:N,12,FALSE)</f>
        <v>No</v>
      </c>
    </row>
    <row r="2175" spans="1:32" customFormat="1">
      <c r="A2175" s="97" t="s">
        <v>2283</v>
      </c>
      <c r="B2175" s="97" t="s">
        <v>164</v>
      </c>
      <c r="C2175" s="95">
        <v>3733</v>
      </c>
      <c r="D2175" s="95" t="s">
        <v>187</v>
      </c>
      <c r="E2175" s="129">
        <f>VLOOKUP($C2175,'2021-22 School Level AAFTE'!$C:$Z,11,FALSE)</f>
        <v>0.41399999999999998</v>
      </c>
      <c r="F2175" s="129" t="str">
        <f>VLOOKUP($C2175,'2021-22 School Level AAFTE'!$C:$Z,8,FALSE)</f>
        <v>No</v>
      </c>
      <c r="G2175" s="129" t="str">
        <f>VLOOKUP($C2175,'2021-22 School Level AAFTE'!$C:$Z,12,FALSE)</f>
        <v>No</v>
      </c>
      <c r="H2175" s="127">
        <f>VLOOKUP($C2175,'2021-22 School Level AAFTE'!$C:$I,7,FALSE)</f>
        <v>465.64</v>
      </c>
      <c r="I2175" s="112">
        <f>IFERROR(IF(OR(G2175="yes",F2175= "yes"),VLOOKUP(C2175,Summary!$B:$J,6,0),0),0)</f>
        <v>0</v>
      </c>
      <c r="J2175" s="111">
        <f t="shared" si="414"/>
        <v>0</v>
      </c>
      <c r="K2175" s="91">
        <f>VLOOKUP($A2175,'2022-23 Salary &amp; Benefits'!$A:$I,3,FALSE)</f>
        <v>1.06</v>
      </c>
      <c r="L2175" s="91">
        <f>VLOOKUP($A2175,'2022-23 Salary &amp; Benefits'!$A:$I,4,FALSE)</f>
        <v>1.06</v>
      </c>
      <c r="M2175" s="39">
        <f t="shared" si="421"/>
        <v>0</v>
      </c>
      <c r="N2175" s="24">
        <v>15</v>
      </c>
      <c r="O2175" s="26">
        <f t="shared" si="412"/>
        <v>0</v>
      </c>
      <c r="P2175" s="24">
        <v>1.1000000000000001</v>
      </c>
      <c r="Q2175" s="24">
        <v>36</v>
      </c>
      <c r="R2175" s="27">
        <f t="shared" si="413"/>
        <v>0</v>
      </c>
      <c r="S2175" s="102">
        <f t="shared" si="415"/>
        <v>0</v>
      </c>
      <c r="T2175" s="21">
        <f>VLOOKUP($A2175,'2022-23 Salary &amp; Benefits'!$A:$I,5,FALSE)</f>
        <v>68937</v>
      </c>
      <c r="U2175" s="21">
        <f>VLOOKUP($A2175,'2022-23 Salary &amp; Benefits'!$A:$I,6,FALSE)</f>
        <v>72728</v>
      </c>
      <c r="V2175" s="22">
        <f t="shared" si="416"/>
        <v>0</v>
      </c>
      <c r="W2175" s="22">
        <f t="shared" si="417"/>
        <v>0</v>
      </c>
      <c r="X2175" s="22">
        <f>'2022-23 Salary &amp; Benefits'!$G$6</f>
        <v>12558.24</v>
      </c>
      <c r="Y2175" s="23">
        <f>'2022-23 Salary &amp; Benefits'!$H$6</f>
        <v>0.2298</v>
      </c>
      <c r="Z2175" s="23">
        <f>'2022-23 Salary &amp; Benefits'!$I$6</f>
        <v>0.22339999999999999</v>
      </c>
      <c r="AA2175" s="22">
        <f t="shared" si="418"/>
        <v>0</v>
      </c>
      <c r="AB2175" s="22">
        <f t="shared" si="419"/>
        <v>0</v>
      </c>
      <c r="AC2175" s="22">
        <f t="shared" si="420"/>
        <v>0</v>
      </c>
      <c r="AD2175" s="22">
        <f t="shared" si="422"/>
        <v>0</v>
      </c>
      <c r="AE2175" s="22">
        <f t="shared" si="423"/>
        <v>0</v>
      </c>
      <c r="AF2175" s="19" t="str">
        <f>VLOOKUP(C2175,'2021-22 School Level AAFTE'!C:N,12,FALSE)</f>
        <v>No</v>
      </c>
    </row>
    <row r="2176" spans="1:32" customFormat="1">
      <c r="A2176" s="97" t="s">
        <v>2283</v>
      </c>
      <c r="B2176" s="97" t="s">
        <v>164</v>
      </c>
      <c r="C2176" s="95">
        <v>3734</v>
      </c>
      <c r="D2176" s="95" t="s">
        <v>188</v>
      </c>
      <c r="E2176" s="129">
        <f>VLOOKUP($C2176,'2021-22 School Level AAFTE'!$C:$Z,11,FALSE)</f>
        <v>0.74793333333333345</v>
      </c>
      <c r="F2176" s="129" t="str">
        <f>VLOOKUP($C2176,'2021-22 School Level AAFTE'!$C:$Z,8,FALSE)</f>
        <v>Yes</v>
      </c>
      <c r="G2176" s="129" t="str">
        <f>VLOOKUP($C2176,'2021-22 School Level AAFTE'!$C:$Z,12,FALSE)</f>
        <v>No</v>
      </c>
      <c r="H2176" s="127">
        <f>VLOOKUP($C2176,'2021-22 School Level AAFTE'!$C:$I,7,FALSE)</f>
        <v>406.59</v>
      </c>
      <c r="I2176" s="112">
        <f>IFERROR(IF(OR(G2176="yes",F2176= "yes"),VLOOKUP(C2176,Summary!$B:$J,6,0),0),0)</f>
        <v>0</v>
      </c>
      <c r="J2176" s="111">
        <f t="shared" si="414"/>
        <v>406.59</v>
      </c>
      <c r="K2176" s="91">
        <f>VLOOKUP($A2176,'2022-23 Salary &amp; Benefits'!$A:$I,3,FALSE)</f>
        <v>1.06</v>
      </c>
      <c r="L2176" s="91">
        <f>VLOOKUP($A2176,'2022-23 Salary &amp; Benefits'!$A:$I,4,FALSE)</f>
        <v>1.06</v>
      </c>
      <c r="M2176" s="101">
        <f t="shared" si="421"/>
        <v>406.59</v>
      </c>
      <c r="N2176" s="24">
        <v>15</v>
      </c>
      <c r="O2176" s="26">
        <f t="shared" si="412"/>
        <v>27.105999999999998</v>
      </c>
      <c r="P2176" s="24">
        <v>1.1000000000000001</v>
      </c>
      <c r="Q2176" s="24">
        <v>36</v>
      </c>
      <c r="R2176" s="27">
        <f t="shared" si="413"/>
        <v>1073.3976</v>
      </c>
      <c r="S2176" s="102">
        <f t="shared" si="415"/>
        <v>1.1930000000000001</v>
      </c>
      <c r="T2176" s="21">
        <f>VLOOKUP($A2176,'2022-23 Salary &amp; Benefits'!$A:$I,5,FALSE)</f>
        <v>68937</v>
      </c>
      <c r="U2176" s="21">
        <f>VLOOKUP($A2176,'2022-23 Salary &amp; Benefits'!$A:$I,6,FALSE)</f>
        <v>72728</v>
      </c>
      <c r="V2176" s="22">
        <f t="shared" si="416"/>
        <v>87176.35</v>
      </c>
      <c r="W2176" s="22">
        <f t="shared" si="417"/>
        <v>4794.0199999999895</v>
      </c>
      <c r="X2176" s="22">
        <f>'2022-23 Salary &amp; Benefits'!$G$6</f>
        <v>12558.24</v>
      </c>
      <c r="Y2176" s="23">
        <f>'2022-23 Salary &amp; Benefits'!$H$6</f>
        <v>0.2298</v>
      </c>
      <c r="Z2176" s="23">
        <f>'2022-23 Salary &amp; Benefits'!$I$6</f>
        <v>0.22339999999999999</v>
      </c>
      <c r="AA2176" s="22">
        <f t="shared" si="418"/>
        <v>36086.089999999997</v>
      </c>
      <c r="AB2176" s="22">
        <f t="shared" si="419"/>
        <v>1532.84</v>
      </c>
      <c r="AC2176" s="22">
        <f t="shared" si="420"/>
        <v>342.44</v>
      </c>
      <c r="AD2176" s="22">
        <f t="shared" si="422"/>
        <v>1875.28</v>
      </c>
      <c r="AE2176" s="22">
        <f t="shared" si="423"/>
        <v>129931.73999999999</v>
      </c>
      <c r="AF2176" s="19" t="str">
        <f>VLOOKUP(C2176,'2021-22 School Level AAFTE'!C:N,12,FALSE)</f>
        <v>No</v>
      </c>
    </row>
    <row r="2177" spans="1:32" customFormat="1">
      <c r="A2177" s="97" t="s">
        <v>2283</v>
      </c>
      <c r="B2177" s="97" t="s">
        <v>164</v>
      </c>
      <c r="C2177" s="95">
        <v>3735</v>
      </c>
      <c r="D2177" s="95" t="s">
        <v>189</v>
      </c>
      <c r="E2177" s="129">
        <f>VLOOKUP($C2177,'2021-22 School Level AAFTE'!$C:$Z,11,FALSE)</f>
        <v>0.58820000000000006</v>
      </c>
      <c r="F2177" s="129" t="str">
        <f>VLOOKUP($C2177,'2021-22 School Level AAFTE'!$C:$Z,8,FALSE)</f>
        <v>Yes</v>
      </c>
      <c r="G2177" s="129" t="str">
        <f>VLOOKUP($C2177,'2021-22 School Level AAFTE'!$C:$Z,12,FALSE)</f>
        <v>No</v>
      </c>
      <c r="H2177" s="127">
        <f>VLOOKUP($C2177,'2021-22 School Level AAFTE'!$C:$I,7,FALSE)</f>
        <v>453.03</v>
      </c>
      <c r="I2177" s="112">
        <f>IFERROR(IF(OR(G2177="yes",F2177= "yes"),VLOOKUP(C2177,Summary!$B:$J,6,0),0),0)</f>
        <v>0</v>
      </c>
      <c r="J2177" s="111">
        <f t="shared" si="414"/>
        <v>453.03</v>
      </c>
      <c r="K2177" s="91">
        <f>VLOOKUP($A2177,'2022-23 Salary &amp; Benefits'!$A:$I,3,FALSE)</f>
        <v>1.06</v>
      </c>
      <c r="L2177" s="91">
        <f>VLOOKUP($A2177,'2022-23 Salary &amp; Benefits'!$A:$I,4,FALSE)</f>
        <v>1.06</v>
      </c>
      <c r="M2177" s="101">
        <f t="shared" si="421"/>
        <v>453.03</v>
      </c>
      <c r="N2177" s="24">
        <v>15</v>
      </c>
      <c r="O2177" s="26">
        <f t="shared" si="412"/>
        <v>30.201999999999998</v>
      </c>
      <c r="P2177" s="24">
        <v>1.1000000000000001</v>
      </c>
      <c r="Q2177" s="24">
        <v>36</v>
      </c>
      <c r="R2177" s="27">
        <f t="shared" si="413"/>
        <v>1195.9992</v>
      </c>
      <c r="S2177" s="102">
        <f t="shared" si="415"/>
        <v>1.329</v>
      </c>
      <c r="T2177" s="21">
        <f>VLOOKUP($A2177,'2022-23 Salary &amp; Benefits'!$A:$I,5,FALSE)</f>
        <v>68937</v>
      </c>
      <c r="U2177" s="21">
        <f>VLOOKUP($A2177,'2022-23 Salary &amp; Benefits'!$A:$I,6,FALSE)</f>
        <v>72728</v>
      </c>
      <c r="V2177" s="22">
        <f t="shared" si="416"/>
        <v>97114.31</v>
      </c>
      <c r="W2177" s="22">
        <f t="shared" si="417"/>
        <v>5340.5299999999988</v>
      </c>
      <c r="X2177" s="22">
        <f>'2022-23 Salary &amp; Benefits'!$G$6</f>
        <v>12558.24</v>
      </c>
      <c r="Y2177" s="23">
        <f>'2022-23 Salary &amp; Benefits'!$H$6</f>
        <v>0.2298</v>
      </c>
      <c r="Z2177" s="23">
        <f>'2022-23 Salary &amp; Benefits'!$I$6</f>
        <v>0.22339999999999999</v>
      </c>
      <c r="AA2177" s="22">
        <f t="shared" si="418"/>
        <v>40199.839999999997</v>
      </c>
      <c r="AB2177" s="22">
        <f t="shared" si="419"/>
        <v>1707.58</v>
      </c>
      <c r="AC2177" s="22">
        <f t="shared" si="420"/>
        <v>381.47</v>
      </c>
      <c r="AD2177" s="22">
        <f t="shared" si="422"/>
        <v>2089.0500000000002</v>
      </c>
      <c r="AE2177" s="22">
        <f t="shared" si="423"/>
        <v>144743.72999999998</v>
      </c>
      <c r="AF2177" s="19" t="str">
        <f>VLOOKUP(C2177,'2021-22 School Level AAFTE'!C:N,12,FALSE)</f>
        <v>No</v>
      </c>
    </row>
    <row r="2178" spans="1:32" customFormat="1">
      <c r="A2178" s="97" t="s">
        <v>2283</v>
      </c>
      <c r="B2178" s="97" t="s">
        <v>164</v>
      </c>
      <c r="C2178" s="95">
        <v>3902</v>
      </c>
      <c r="D2178" s="95" t="s">
        <v>190</v>
      </c>
      <c r="E2178" s="129">
        <f>VLOOKUP($C2178,'2021-22 School Level AAFTE'!$C:$Z,11,FALSE)</f>
        <v>0.6122333333333333</v>
      </c>
      <c r="F2178" s="129" t="str">
        <f>VLOOKUP($C2178,'2021-22 School Level AAFTE'!$C:$Z,8,FALSE)</f>
        <v>Yes</v>
      </c>
      <c r="G2178" s="129" t="str">
        <f>VLOOKUP($C2178,'2021-22 School Level AAFTE'!$C:$Z,12,FALSE)</f>
        <v>No</v>
      </c>
      <c r="H2178" s="127">
        <f>VLOOKUP($C2178,'2021-22 School Level AAFTE'!$C:$I,7,FALSE)</f>
        <v>781.53</v>
      </c>
      <c r="I2178" s="112">
        <f>IFERROR(IF(OR(G2178="yes",F2178= "yes"),VLOOKUP(C2178,Summary!$B:$J,6,0),0),0)</f>
        <v>0</v>
      </c>
      <c r="J2178" s="111">
        <f t="shared" si="414"/>
        <v>781.53</v>
      </c>
      <c r="K2178" s="91">
        <f>VLOOKUP($A2178,'2022-23 Salary &amp; Benefits'!$A:$I,3,FALSE)</f>
        <v>1.06</v>
      </c>
      <c r="L2178" s="91">
        <f>VLOOKUP($A2178,'2022-23 Salary &amp; Benefits'!$A:$I,4,FALSE)</f>
        <v>1.06</v>
      </c>
      <c r="M2178" s="101">
        <f t="shared" si="421"/>
        <v>781.53</v>
      </c>
      <c r="N2178" s="24">
        <v>15</v>
      </c>
      <c r="O2178" s="26">
        <f t="shared" si="412"/>
        <v>52.101999999999997</v>
      </c>
      <c r="P2178" s="24">
        <v>1.1000000000000001</v>
      </c>
      <c r="Q2178" s="24">
        <v>36</v>
      </c>
      <c r="R2178" s="27">
        <f t="shared" si="413"/>
        <v>2063.2392</v>
      </c>
      <c r="S2178" s="102">
        <f t="shared" si="415"/>
        <v>2.2919999999999998</v>
      </c>
      <c r="T2178" s="21">
        <f>VLOOKUP($A2178,'2022-23 Salary &amp; Benefits'!$A:$I,5,FALSE)</f>
        <v>68937</v>
      </c>
      <c r="U2178" s="21">
        <f>VLOOKUP($A2178,'2022-23 Salary &amp; Benefits'!$A:$I,6,FALSE)</f>
        <v>72728</v>
      </c>
      <c r="V2178" s="22">
        <f t="shared" si="416"/>
        <v>167483.82</v>
      </c>
      <c r="W2178" s="22">
        <f t="shared" si="417"/>
        <v>9210.3099999999977</v>
      </c>
      <c r="X2178" s="22">
        <f>'2022-23 Salary &amp; Benefits'!$G$6</f>
        <v>12558.24</v>
      </c>
      <c r="Y2178" s="23">
        <f>'2022-23 Salary &amp; Benefits'!$H$6</f>
        <v>0.2298</v>
      </c>
      <c r="Z2178" s="23">
        <f>'2022-23 Salary &amp; Benefits'!$I$6</f>
        <v>0.22339999999999999</v>
      </c>
      <c r="AA2178" s="22">
        <f t="shared" si="418"/>
        <v>69328.850000000006</v>
      </c>
      <c r="AB2178" s="22">
        <f t="shared" si="419"/>
        <v>2944.9</v>
      </c>
      <c r="AC2178" s="22">
        <f t="shared" si="420"/>
        <v>657.89</v>
      </c>
      <c r="AD2178" s="22">
        <f t="shared" si="422"/>
        <v>3602.79</v>
      </c>
      <c r="AE2178" s="22">
        <f t="shared" si="423"/>
        <v>249625.77000000002</v>
      </c>
      <c r="AF2178" s="19" t="str">
        <f>VLOOKUP(C2178,'2021-22 School Level AAFTE'!C:N,12,FALSE)</f>
        <v>No</v>
      </c>
    </row>
    <row r="2179" spans="1:32" customFormat="1">
      <c r="A2179" s="97" t="s">
        <v>2283</v>
      </c>
      <c r="B2179" s="97" t="s">
        <v>164</v>
      </c>
      <c r="C2179" s="95">
        <v>3932</v>
      </c>
      <c r="D2179" s="95" t="s">
        <v>191</v>
      </c>
      <c r="E2179" s="129">
        <f>VLOOKUP($C2179,'2021-22 School Level AAFTE'!$C:$Z,11,FALSE)</f>
        <v>0.46163333333333334</v>
      </c>
      <c r="F2179" s="129" t="str">
        <f>VLOOKUP($C2179,'2021-22 School Level AAFTE'!$C:$Z,8,FALSE)</f>
        <v>No</v>
      </c>
      <c r="G2179" s="129" t="str">
        <f>VLOOKUP($C2179,'2021-22 School Level AAFTE'!$C:$Z,12,FALSE)</f>
        <v>No</v>
      </c>
      <c r="H2179" s="127">
        <f>VLOOKUP($C2179,'2021-22 School Level AAFTE'!$C:$I,7,FALSE)</f>
        <v>82.59</v>
      </c>
      <c r="I2179" s="112">
        <f>IFERROR(IF(OR(G2179="yes",F2179= "yes"),VLOOKUP(C2179,Summary!$B:$J,6,0),0),0)</f>
        <v>0</v>
      </c>
      <c r="J2179" s="111">
        <f t="shared" si="414"/>
        <v>0</v>
      </c>
      <c r="K2179" s="91">
        <f>VLOOKUP($A2179,'2022-23 Salary &amp; Benefits'!$A:$I,3,FALSE)</f>
        <v>1.06</v>
      </c>
      <c r="L2179" s="91">
        <f>VLOOKUP($A2179,'2022-23 Salary &amp; Benefits'!$A:$I,4,FALSE)</f>
        <v>1.06</v>
      </c>
      <c r="M2179" s="39">
        <f t="shared" si="421"/>
        <v>0</v>
      </c>
      <c r="N2179" s="24">
        <v>15</v>
      </c>
      <c r="O2179" s="26">
        <f t="shared" si="412"/>
        <v>0</v>
      </c>
      <c r="P2179" s="24">
        <v>1.1000000000000001</v>
      </c>
      <c r="Q2179" s="24">
        <v>36</v>
      </c>
      <c r="R2179" s="27">
        <f t="shared" si="413"/>
        <v>0</v>
      </c>
      <c r="S2179" s="102">
        <f t="shared" si="415"/>
        <v>0</v>
      </c>
      <c r="T2179" s="21">
        <f>VLOOKUP($A2179,'2022-23 Salary &amp; Benefits'!$A:$I,5,FALSE)</f>
        <v>68937</v>
      </c>
      <c r="U2179" s="21">
        <f>VLOOKUP($A2179,'2022-23 Salary &amp; Benefits'!$A:$I,6,FALSE)</f>
        <v>72728</v>
      </c>
      <c r="V2179" s="22">
        <f t="shared" si="416"/>
        <v>0</v>
      </c>
      <c r="W2179" s="22">
        <f t="shared" si="417"/>
        <v>0</v>
      </c>
      <c r="X2179" s="22">
        <f>'2022-23 Salary &amp; Benefits'!$G$6</f>
        <v>12558.24</v>
      </c>
      <c r="Y2179" s="23">
        <f>'2022-23 Salary &amp; Benefits'!$H$6</f>
        <v>0.2298</v>
      </c>
      <c r="Z2179" s="23">
        <f>'2022-23 Salary &amp; Benefits'!$I$6</f>
        <v>0.22339999999999999</v>
      </c>
      <c r="AA2179" s="22">
        <f t="shared" si="418"/>
        <v>0</v>
      </c>
      <c r="AB2179" s="22">
        <f t="shared" si="419"/>
        <v>0</v>
      </c>
      <c r="AC2179" s="22">
        <f t="shared" si="420"/>
        <v>0</v>
      </c>
      <c r="AD2179" s="22">
        <f t="shared" si="422"/>
        <v>0</v>
      </c>
      <c r="AE2179" s="22">
        <f t="shared" si="423"/>
        <v>0</v>
      </c>
      <c r="AF2179" s="19" t="str">
        <f>VLOOKUP(C2179,'2021-22 School Level AAFTE'!C:N,12,FALSE)</f>
        <v>No</v>
      </c>
    </row>
    <row r="2180" spans="1:32" customFormat="1">
      <c r="A2180" s="97" t="s">
        <v>2283</v>
      </c>
      <c r="B2180" s="97" t="s">
        <v>164</v>
      </c>
      <c r="C2180" s="95">
        <v>4034</v>
      </c>
      <c r="D2180" s="95" t="s">
        <v>192</v>
      </c>
      <c r="E2180" s="129">
        <f>VLOOKUP($C2180,'2021-22 School Level AAFTE'!$C:$Z,11,FALSE)</f>
        <v>0.40116666666666667</v>
      </c>
      <c r="F2180" s="129" t="str">
        <f>VLOOKUP($C2180,'2021-22 School Level AAFTE'!$C:$Z,8,FALSE)</f>
        <v>No</v>
      </c>
      <c r="G2180" s="129" t="str">
        <f>VLOOKUP($C2180,'2021-22 School Level AAFTE'!$C:$Z,12,FALSE)</f>
        <v>No</v>
      </c>
      <c r="H2180" s="127">
        <f>VLOOKUP($C2180,'2021-22 School Level AAFTE'!$C:$I,7,FALSE)</f>
        <v>381.96</v>
      </c>
      <c r="I2180" s="112">
        <f>IFERROR(IF(OR(G2180="yes",F2180= "yes"),VLOOKUP(C2180,Summary!$B:$J,6,0),0),0)</f>
        <v>0</v>
      </c>
      <c r="J2180" s="111">
        <f t="shared" si="414"/>
        <v>0</v>
      </c>
      <c r="K2180" s="91">
        <f>VLOOKUP($A2180,'2022-23 Salary &amp; Benefits'!$A:$I,3,FALSE)</f>
        <v>1.06</v>
      </c>
      <c r="L2180" s="91">
        <f>VLOOKUP($A2180,'2022-23 Salary &amp; Benefits'!$A:$I,4,FALSE)</f>
        <v>1.06</v>
      </c>
      <c r="M2180" s="39">
        <f t="shared" si="421"/>
        <v>0</v>
      </c>
      <c r="N2180" s="24">
        <v>15</v>
      </c>
      <c r="O2180" s="26">
        <f t="shared" si="412"/>
        <v>0</v>
      </c>
      <c r="P2180" s="24">
        <v>1.1000000000000001</v>
      </c>
      <c r="Q2180" s="24">
        <v>36</v>
      </c>
      <c r="R2180" s="27">
        <f t="shared" si="413"/>
        <v>0</v>
      </c>
      <c r="S2180" s="102">
        <f t="shared" si="415"/>
        <v>0</v>
      </c>
      <c r="T2180" s="21">
        <f>VLOOKUP($A2180,'2022-23 Salary &amp; Benefits'!$A:$I,5,FALSE)</f>
        <v>68937</v>
      </c>
      <c r="U2180" s="21">
        <f>VLOOKUP($A2180,'2022-23 Salary &amp; Benefits'!$A:$I,6,FALSE)</f>
        <v>72728</v>
      </c>
      <c r="V2180" s="22">
        <f t="shared" si="416"/>
        <v>0</v>
      </c>
      <c r="W2180" s="22">
        <f t="shared" si="417"/>
        <v>0</v>
      </c>
      <c r="X2180" s="22">
        <f>'2022-23 Salary &amp; Benefits'!$G$6</f>
        <v>12558.24</v>
      </c>
      <c r="Y2180" s="23">
        <f>'2022-23 Salary &amp; Benefits'!$H$6</f>
        <v>0.2298</v>
      </c>
      <c r="Z2180" s="23">
        <f>'2022-23 Salary &amp; Benefits'!$I$6</f>
        <v>0.22339999999999999</v>
      </c>
      <c r="AA2180" s="22">
        <f t="shared" si="418"/>
        <v>0</v>
      </c>
      <c r="AB2180" s="22">
        <f t="shared" si="419"/>
        <v>0</v>
      </c>
      <c r="AC2180" s="22">
        <f t="shared" si="420"/>
        <v>0</v>
      </c>
      <c r="AD2180" s="22">
        <f t="shared" si="422"/>
        <v>0</v>
      </c>
      <c r="AE2180" s="22">
        <f t="shared" si="423"/>
        <v>0</v>
      </c>
      <c r="AF2180" s="19" t="str">
        <f>VLOOKUP(C2180,'2021-22 School Level AAFTE'!C:N,12,FALSE)</f>
        <v>No</v>
      </c>
    </row>
    <row r="2181" spans="1:32" customFormat="1">
      <c r="A2181" s="97" t="s">
        <v>2283</v>
      </c>
      <c r="B2181" s="97" t="s">
        <v>164</v>
      </c>
      <c r="C2181" s="95">
        <v>4075</v>
      </c>
      <c r="D2181" s="95" t="s">
        <v>193</v>
      </c>
      <c r="E2181" s="129">
        <f>VLOOKUP($C2181,'2021-22 School Level AAFTE'!$C:$Z,11,FALSE)</f>
        <v>0.10953333333333333</v>
      </c>
      <c r="F2181" s="129" t="str">
        <f>VLOOKUP($C2181,'2021-22 School Level AAFTE'!$C:$Z,8,FALSE)</f>
        <v>No</v>
      </c>
      <c r="G2181" s="129" t="str">
        <f>VLOOKUP($C2181,'2021-22 School Level AAFTE'!$C:$Z,12,FALSE)</f>
        <v>No</v>
      </c>
      <c r="H2181" s="127">
        <f>VLOOKUP($C2181,'2021-22 School Level AAFTE'!$C:$I,7,FALSE)</f>
        <v>612.52</v>
      </c>
      <c r="I2181" s="112">
        <f>IFERROR(IF(OR(G2181="yes",F2181= "yes"),VLOOKUP(C2181,Summary!$B:$J,6,0),0),0)</f>
        <v>0</v>
      </c>
      <c r="J2181" s="111">
        <f t="shared" si="414"/>
        <v>0</v>
      </c>
      <c r="K2181" s="91">
        <f>VLOOKUP($A2181,'2022-23 Salary &amp; Benefits'!$A:$I,3,FALSE)</f>
        <v>1.06</v>
      </c>
      <c r="L2181" s="91">
        <f>VLOOKUP($A2181,'2022-23 Salary &amp; Benefits'!$A:$I,4,FALSE)</f>
        <v>1.06</v>
      </c>
      <c r="M2181" s="39">
        <f t="shared" si="421"/>
        <v>0</v>
      </c>
      <c r="N2181" s="24">
        <v>15</v>
      </c>
      <c r="O2181" s="26">
        <f t="shared" si="412"/>
        <v>0</v>
      </c>
      <c r="P2181" s="24">
        <v>1.1000000000000001</v>
      </c>
      <c r="Q2181" s="24">
        <v>36</v>
      </c>
      <c r="R2181" s="27">
        <f t="shared" si="413"/>
        <v>0</v>
      </c>
      <c r="S2181" s="102">
        <f t="shared" si="415"/>
        <v>0</v>
      </c>
      <c r="T2181" s="21">
        <f>VLOOKUP($A2181,'2022-23 Salary &amp; Benefits'!$A:$I,5,FALSE)</f>
        <v>68937</v>
      </c>
      <c r="U2181" s="21">
        <f>VLOOKUP($A2181,'2022-23 Salary &amp; Benefits'!$A:$I,6,FALSE)</f>
        <v>72728</v>
      </c>
      <c r="V2181" s="22">
        <f t="shared" si="416"/>
        <v>0</v>
      </c>
      <c r="W2181" s="22">
        <f t="shared" si="417"/>
        <v>0</v>
      </c>
      <c r="X2181" s="22">
        <f>'2022-23 Salary &amp; Benefits'!$G$6</f>
        <v>12558.24</v>
      </c>
      <c r="Y2181" s="23">
        <f>'2022-23 Salary &amp; Benefits'!$H$6</f>
        <v>0.2298</v>
      </c>
      <c r="Z2181" s="23">
        <f>'2022-23 Salary &amp; Benefits'!$I$6</f>
        <v>0.22339999999999999</v>
      </c>
      <c r="AA2181" s="22">
        <f t="shared" si="418"/>
        <v>0</v>
      </c>
      <c r="AB2181" s="22">
        <f t="shared" si="419"/>
        <v>0</v>
      </c>
      <c r="AC2181" s="22">
        <f t="shared" si="420"/>
        <v>0</v>
      </c>
      <c r="AD2181" s="22">
        <f t="shared" si="422"/>
        <v>0</v>
      </c>
      <c r="AE2181" s="22">
        <f t="shared" si="423"/>
        <v>0</v>
      </c>
      <c r="AF2181" s="19" t="str">
        <f>VLOOKUP(C2181,'2021-22 School Level AAFTE'!C:N,12,FALSE)</f>
        <v>No</v>
      </c>
    </row>
    <row r="2182" spans="1:32" customFormat="1">
      <c r="A2182" s="97" t="s">
        <v>2283</v>
      </c>
      <c r="B2182" s="97" t="s">
        <v>164</v>
      </c>
      <c r="C2182" s="95">
        <v>4405</v>
      </c>
      <c r="D2182" s="95" t="s">
        <v>194</v>
      </c>
      <c r="E2182" s="129">
        <f>VLOOKUP($C2182,'2021-22 School Level AAFTE'!$C:$Z,11,FALSE)</f>
        <v>0.24103333333333335</v>
      </c>
      <c r="F2182" s="129" t="str">
        <f>VLOOKUP($C2182,'2021-22 School Level AAFTE'!$C:$Z,8,FALSE)</f>
        <v>No</v>
      </c>
      <c r="G2182" s="129" t="str">
        <f>VLOOKUP($C2182,'2021-22 School Level AAFTE'!$C:$Z,12,FALSE)</f>
        <v>No</v>
      </c>
      <c r="H2182" s="127">
        <f>VLOOKUP($C2182,'2021-22 School Level AAFTE'!$C:$I,7,FALSE)</f>
        <v>558.02</v>
      </c>
      <c r="I2182" s="112">
        <f>IFERROR(IF(OR(G2182="yes",F2182= "yes"),VLOOKUP(C2182,Summary!$B:$J,6,0),0),0)</f>
        <v>0</v>
      </c>
      <c r="J2182" s="111">
        <f t="shared" si="414"/>
        <v>0</v>
      </c>
      <c r="K2182" s="91">
        <f>VLOOKUP($A2182,'2022-23 Salary &amp; Benefits'!$A:$I,3,FALSE)</f>
        <v>1.06</v>
      </c>
      <c r="L2182" s="91">
        <f>VLOOKUP($A2182,'2022-23 Salary &amp; Benefits'!$A:$I,4,FALSE)</f>
        <v>1.06</v>
      </c>
      <c r="M2182" s="39">
        <f t="shared" si="421"/>
        <v>0</v>
      </c>
      <c r="N2182" s="24">
        <v>15</v>
      </c>
      <c r="O2182" s="26">
        <f t="shared" si="412"/>
        <v>0</v>
      </c>
      <c r="P2182" s="24">
        <v>1.1000000000000001</v>
      </c>
      <c r="Q2182" s="24">
        <v>36</v>
      </c>
      <c r="R2182" s="27">
        <f t="shared" si="413"/>
        <v>0</v>
      </c>
      <c r="S2182" s="102">
        <f t="shared" si="415"/>
        <v>0</v>
      </c>
      <c r="T2182" s="21">
        <f>VLOOKUP($A2182,'2022-23 Salary &amp; Benefits'!$A:$I,5,FALSE)</f>
        <v>68937</v>
      </c>
      <c r="U2182" s="21">
        <f>VLOOKUP($A2182,'2022-23 Salary &amp; Benefits'!$A:$I,6,FALSE)</f>
        <v>72728</v>
      </c>
      <c r="V2182" s="22">
        <f t="shared" si="416"/>
        <v>0</v>
      </c>
      <c r="W2182" s="22">
        <f t="shared" si="417"/>
        <v>0</v>
      </c>
      <c r="X2182" s="22">
        <f>'2022-23 Salary &amp; Benefits'!$G$6</f>
        <v>12558.24</v>
      </c>
      <c r="Y2182" s="23">
        <f>'2022-23 Salary &amp; Benefits'!$H$6</f>
        <v>0.2298</v>
      </c>
      <c r="Z2182" s="23">
        <f>'2022-23 Salary &amp; Benefits'!$I$6</f>
        <v>0.22339999999999999</v>
      </c>
      <c r="AA2182" s="22">
        <f t="shared" si="418"/>
        <v>0</v>
      </c>
      <c r="AB2182" s="22">
        <f t="shared" si="419"/>
        <v>0</v>
      </c>
      <c r="AC2182" s="22">
        <f t="shared" si="420"/>
        <v>0</v>
      </c>
      <c r="AD2182" s="22">
        <f t="shared" si="422"/>
        <v>0</v>
      </c>
      <c r="AE2182" s="22">
        <f t="shared" si="423"/>
        <v>0</v>
      </c>
      <c r="AF2182" s="19" t="str">
        <f>VLOOKUP(C2182,'2021-22 School Level AAFTE'!C:N,12,FALSE)</f>
        <v>No</v>
      </c>
    </row>
    <row r="2183" spans="1:32" customFormat="1">
      <c r="A2183" s="97" t="s">
        <v>2283</v>
      </c>
      <c r="B2183" s="97" t="s">
        <v>164</v>
      </c>
      <c r="C2183" s="95">
        <v>4406</v>
      </c>
      <c r="D2183" s="95" t="s">
        <v>195</v>
      </c>
      <c r="E2183" s="129">
        <f>VLOOKUP($C2183,'2021-22 School Level AAFTE'!$C:$Z,11,FALSE)</f>
        <v>0.25316666666666671</v>
      </c>
      <c r="F2183" s="129" t="str">
        <f>VLOOKUP($C2183,'2021-22 School Level AAFTE'!$C:$Z,8,FALSE)</f>
        <v>No</v>
      </c>
      <c r="G2183" s="129" t="str">
        <f>VLOOKUP($C2183,'2021-22 School Level AAFTE'!$C:$Z,12,FALSE)</f>
        <v>No</v>
      </c>
      <c r="H2183" s="127">
        <f>VLOOKUP($C2183,'2021-22 School Level AAFTE'!$C:$I,7,FALSE)</f>
        <v>637.67999999999995</v>
      </c>
      <c r="I2183" s="112">
        <f>IFERROR(IF(OR(G2183="yes",F2183= "yes"),VLOOKUP(C2183,Summary!$B:$J,6,0),0),0)</f>
        <v>0</v>
      </c>
      <c r="J2183" s="111">
        <f t="shared" si="414"/>
        <v>0</v>
      </c>
      <c r="K2183" s="91">
        <f>VLOOKUP($A2183,'2022-23 Salary &amp; Benefits'!$A:$I,3,FALSE)</f>
        <v>1.06</v>
      </c>
      <c r="L2183" s="91">
        <f>VLOOKUP($A2183,'2022-23 Salary &amp; Benefits'!$A:$I,4,FALSE)</f>
        <v>1.06</v>
      </c>
      <c r="M2183" s="39">
        <f t="shared" si="421"/>
        <v>0</v>
      </c>
      <c r="N2183" s="24">
        <v>15</v>
      </c>
      <c r="O2183" s="26">
        <f t="shared" si="412"/>
        <v>0</v>
      </c>
      <c r="P2183" s="24">
        <v>1.1000000000000001</v>
      </c>
      <c r="Q2183" s="24">
        <v>36</v>
      </c>
      <c r="R2183" s="27">
        <f t="shared" si="413"/>
        <v>0</v>
      </c>
      <c r="S2183" s="102">
        <f t="shared" si="415"/>
        <v>0</v>
      </c>
      <c r="T2183" s="21">
        <f>VLOOKUP($A2183,'2022-23 Salary &amp; Benefits'!$A:$I,5,FALSE)</f>
        <v>68937</v>
      </c>
      <c r="U2183" s="21">
        <f>VLOOKUP($A2183,'2022-23 Salary &amp; Benefits'!$A:$I,6,FALSE)</f>
        <v>72728</v>
      </c>
      <c r="V2183" s="22">
        <f t="shared" si="416"/>
        <v>0</v>
      </c>
      <c r="W2183" s="22">
        <f t="shared" si="417"/>
        <v>0</v>
      </c>
      <c r="X2183" s="22">
        <f>'2022-23 Salary &amp; Benefits'!$G$6</f>
        <v>12558.24</v>
      </c>
      <c r="Y2183" s="23">
        <f>'2022-23 Salary &amp; Benefits'!$H$6</f>
        <v>0.2298</v>
      </c>
      <c r="Z2183" s="23">
        <f>'2022-23 Salary &amp; Benefits'!$I$6</f>
        <v>0.22339999999999999</v>
      </c>
      <c r="AA2183" s="22">
        <f t="shared" si="418"/>
        <v>0</v>
      </c>
      <c r="AB2183" s="22">
        <f t="shared" si="419"/>
        <v>0</v>
      </c>
      <c r="AC2183" s="22">
        <f t="shared" si="420"/>
        <v>0</v>
      </c>
      <c r="AD2183" s="22">
        <f t="shared" si="422"/>
        <v>0</v>
      </c>
      <c r="AE2183" s="22">
        <f t="shared" si="423"/>
        <v>0</v>
      </c>
      <c r="AF2183" s="19" t="str">
        <f>VLOOKUP(C2183,'2021-22 School Level AAFTE'!C:N,12,FALSE)</f>
        <v>No</v>
      </c>
    </row>
    <row r="2184" spans="1:32" customFormat="1">
      <c r="A2184" s="97" t="s">
        <v>2283</v>
      </c>
      <c r="B2184" s="97" t="s">
        <v>164</v>
      </c>
      <c r="C2184" s="95">
        <v>4410</v>
      </c>
      <c r="D2184" s="95" t="s">
        <v>144</v>
      </c>
      <c r="E2184" s="129">
        <f>VLOOKUP($C2184,'2021-22 School Level AAFTE'!$C:$Z,11,FALSE)</f>
        <v>0.78116666666666668</v>
      </c>
      <c r="F2184" s="129" t="str">
        <f>VLOOKUP($C2184,'2021-22 School Level AAFTE'!$C:$Z,8,FALSE)</f>
        <v>Yes</v>
      </c>
      <c r="G2184" s="129" t="str">
        <f>VLOOKUP($C2184,'2021-22 School Level AAFTE'!$C:$Z,12,FALSE)</f>
        <v>No</v>
      </c>
      <c r="H2184" s="127">
        <f>VLOOKUP($C2184,'2021-22 School Level AAFTE'!$C:$I,7,FALSE)</f>
        <v>543.42999999999995</v>
      </c>
      <c r="I2184" s="112">
        <f>IFERROR(IF(OR(G2184="yes",F2184= "yes"),VLOOKUP(C2184,Summary!$B:$J,6,0),0),0)</f>
        <v>0</v>
      </c>
      <c r="J2184" s="111">
        <f t="shared" si="414"/>
        <v>543.42999999999995</v>
      </c>
      <c r="K2184" s="91">
        <f>VLOOKUP($A2184,'2022-23 Salary &amp; Benefits'!$A:$I,3,FALSE)</f>
        <v>1.06</v>
      </c>
      <c r="L2184" s="91">
        <f>VLOOKUP($A2184,'2022-23 Salary &amp; Benefits'!$A:$I,4,FALSE)</f>
        <v>1.06</v>
      </c>
      <c r="M2184" s="39">
        <f t="shared" si="421"/>
        <v>543.42999999999995</v>
      </c>
      <c r="N2184" s="24">
        <v>15</v>
      </c>
      <c r="O2184" s="26">
        <f t="shared" si="412"/>
        <v>36.228666666666662</v>
      </c>
      <c r="P2184" s="24">
        <v>1.1000000000000001</v>
      </c>
      <c r="Q2184" s="24">
        <v>36</v>
      </c>
      <c r="R2184" s="27">
        <f t="shared" si="413"/>
        <v>1434.6551999999999</v>
      </c>
      <c r="S2184" s="102">
        <f t="shared" si="415"/>
        <v>1.5940000000000001</v>
      </c>
      <c r="T2184" s="21">
        <f>VLOOKUP($A2184,'2022-23 Salary &amp; Benefits'!$A:$I,5,FALSE)</f>
        <v>68937</v>
      </c>
      <c r="U2184" s="21">
        <f>VLOOKUP($A2184,'2022-23 Salary &amp; Benefits'!$A:$I,6,FALSE)</f>
        <v>72728</v>
      </c>
      <c r="V2184" s="22">
        <f t="shared" si="416"/>
        <v>116478.71</v>
      </c>
      <c r="W2184" s="22">
        <f t="shared" si="417"/>
        <v>6405.429999999993</v>
      </c>
      <c r="X2184" s="22">
        <f>'2022-23 Salary &amp; Benefits'!$G$6</f>
        <v>12558.24</v>
      </c>
      <c r="Y2184" s="23">
        <f>'2022-23 Salary &amp; Benefits'!$H$6</f>
        <v>0.2298</v>
      </c>
      <c r="Z2184" s="23">
        <f>'2022-23 Salary &amp; Benefits'!$I$6</f>
        <v>0.22339999999999999</v>
      </c>
      <c r="AA2184" s="22">
        <f t="shared" si="418"/>
        <v>48215.62</v>
      </c>
      <c r="AB2184" s="22">
        <f t="shared" si="419"/>
        <v>2048.0700000000002</v>
      </c>
      <c r="AC2184" s="22">
        <f t="shared" si="420"/>
        <v>457.54</v>
      </c>
      <c r="AD2184" s="22">
        <f t="shared" si="422"/>
        <v>2505.61</v>
      </c>
      <c r="AE2184" s="22">
        <f t="shared" si="423"/>
        <v>173605.37</v>
      </c>
      <c r="AF2184" s="19" t="str">
        <f>VLOOKUP(C2184,'2021-22 School Level AAFTE'!C:N,12,FALSE)</f>
        <v>No</v>
      </c>
    </row>
    <row r="2185" spans="1:32" customFormat="1">
      <c r="A2185" s="97" t="s">
        <v>2283</v>
      </c>
      <c r="B2185" s="97" t="s">
        <v>164</v>
      </c>
      <c r="C2185" s="95">
        <v>4503</v>
      </c>
      <c r="D2185" s="95" t="s">
        <v>196</v>
      </c>
      <c r="E2185" s="129">
        <f>VLOOKUP($C2185,'2021-22 School Level AAFTE'!$C:$Z,11,FALSE)</f>
        <v>0.70650000000000002</v>
      </c>
      <c r="F2185" s="129" t="str">
        <f>VLOOKUP($C2185,'2021-22 School Level AAFTE'!$C:$Z,8,FALSE)</f>
        <v>Yes</v>
      </c>
      <c r="G2185" s="129" t="str">
        <f>VLOOKUP($C2185,'2021-22 School Level AAFTE'!$C:$Z,12,FALSE)</f>
        <v>No</v>
      </c>
      <c r="H2185" s="127">
        <f>VLOOKUP($C2185,'2021-22 School Level AAFTE'!$C:$I,7,FALSE)</f>
        <v>543.71</v>
      </c>
      <c r="I2185" s="112">
        <f>IFERROR(IF(OR(G2185="yes",F2185= "yes"),VLOOKUP(C2185,Summary!$B:$J,6,0),0),0)</f>
        <v>0</v>
      </c>
      <c r="J2185" s="111">
        <f t="shared" si="414"/>
        <v>543.71</v>
      </c>
      <c r="K2185" s="91">
        <f>VLOOKUP($A2185,'2022-23 Salary &amp; Benefits'!$A:$I,3,FALSE)</f>
        <v>1.06</v>
      </c>
      <c r="L2185" s="91">
        <f>VLOOKUP($A2185,'2022-23 Salary &amp; Benefits'!$A:$I,4,FALSE)</f>
        <v>1.06</v>
      </c>
      <c r="M2185" s="39">
        <f t="shared" si="421"/>
        <v>543.71</v>
      </c>
      <c r="N2185" s="24">
        <v>15</v>
      </c>
      <c r="O2185" s="26">
        <f t="shared" si="412"/>
        <v>36.247333333333337</v>
      </c>
      <c r="P2185" s="24">
        <v>1.1000000000000001</v>
      </c>
      <c r="Q2185" s="24">
        <v>36</v>
      </c>
      <c r="R2185" s="27">
        <f t="shared" si="413"/>
        <v>1435.3944000000004</v>
      </c>
      <c r="S2185" s="102">
        <f t="shared" si="415"/>
        <v>1.595</v>
      </c>
      <c r="T2185" s="21">
        <f>VLOOKUP($A2185,'2022-23 Salary &amp; Benefits'!$A:$I,5,FALSE)</f>
        <v>68937</v>
      </c>
      <c r="U2185" s="21">
        <f>VLOOKUP($A2185,'2022-23 Salary &amp; Benefits'!$A:$I,6,FALSE)</f>
        <v>72728</v>
      </c>
      <c r="V2185" s="22">
        <f t="shared" si="416"/>
        <v>116551.79</v>
      </c>
      <c r="W2185" s="22">
        <f t="shared" si="417"/>
        <v>6409.4400000000023</v>
      </c>
      <c r="X2185" s="22">
        <f>'2022-23 Salary &amp; Benefits'!$G$6</f>
        <v>12558.24</v>
      </c>
      <c r="Y2185" s="23">
        <f>'2022-23 Salary &amp; Benefits'!$H$6</f>
        <v>0.2298</v>
      </c>
      <c r="Z2185" s="23">
        <f>'2022-23 Salary &amp; Benefits'!$I$6</f>
        <v>0.22339999999999999</v>
      </c>
      <c r="AA2185" s="22">
        <f t="shared" si="418"/>
        <v>48245.86</v>
      </c>
      <c r="AB2185" s="22">
        <f t="shared" si="419"/>
        <v>2049.35</v>
      </c>
      <c r="AC2185" s="22">
        <f t="shared" si="420"/>
        <v>457.82</v>
      </c>
      <c r="AD2185" s="22">
        <f t="shared" si="422"/>
        <v>2507.17</v>
      </c>
      <c r="AE2185" s="22">
        <f t="shared" si="423"/>
        <v>173714.26</v>
      </c>
      <c r="AF2185" s="19" t="str">
        <f>VLOOKUP(C2185,'2021-22 School Level AAFTE'!C:N,12,FALSE)</f>
        <v>No</v>
      </c>
    </row>
    <row r="2186" spans="1:32" customFormat="1">
      <c r="A2186" s="97" t="s">
        <v>2283</v>
      </c>
      <c r="B2186" s="97" t="s">
        <v>164</v>
      </c>
      <c r="C2186" s="95">
        <v>4504</v>
      </c>
      <c r="D2186" s="95" t="s">
        <v>197</v>
      </c>
      <c r="E2186" s="129">
        <f>VLOOKUP($C2186,'2021-22 School Level AAFTE'!$C:$Z,11,FALSE)</f>
        <v>0.25336666666666668</v>
      </c>
      <c r="F2186" s="129" t="str">
        <f>VLOOKUP($C2186,'2021-22 School Level AAFTE'!$C:$Z,8,FALSE)</f>
        <v>No</v>
      </c>
      <c r="G2186" s="129" t="str">
        <f>VLOOKUP($C2186,'2021-22 School Level AAFTE'!$C:$Z,12,FALSE)</f>
        <v>No</v>
      </c>
      <c r="H2186" s="127">
        <f>VLOOKUP($C2186,'2021-22 School Level AAFTE'!$C:$I,7,FALSE)</f>
        <v>1683.97</v>
      </c>
      <c r="I2186" s="112">
        <f>IFERROR(IF(OR(G2186="yes",F2186= "yes"),VLOOKUP(C2186,Summary!$B:$J,6,0),0),0)</f>
        <v>0</v>
      </c>
      <c r="J2186" s="111">
        <f t="shared" si="414"/>
        <v>0</v>
      </c>
      <c r="K2186" s="91">
        <f>VLOOKUP($A2186,'2022-23 Salary &amp; Benefits'!$A:$I,3,FALSE)</f>
        <v>1.06</v>
      </c>
      <c r="L2186" s="91">
        <f>VLOOKUP($A2186,'2022-23 Salary &amp; Benefits'!$A:$I,4,FALSE)</f>
        <v>1.06</v>
      </c>
      <c r="M2186" s="39">
        <f t="shared" si="421"/>
        <v>0</v>
      </c>
      <c r="N2186" s="24">
        <v>15</v>
      </c>
      <c r="O2186" s="26">
        <f t="shared" ref="O2186:O2249" si="424">IF(M2186="no",0,M2186/N2186)</f>
        <v>0</v>
      </c>
      <c r="P2186" s="24">
        <v>1.1000000000000001</v>
      </c>
      <c r="Q2186" s="24">
        <v>36</v>
      </c>
      <c r="R2186" s="27">
        <f t="shared" ref="R2186:R2249" si="425">IF(M2186="no",0,O2186*P2186*Q2186)</f>
        <v>0</v>
      </c>
      <c r="S2186" s="102">
        <f t="shared" si="415"/>
        <v>0</v>
      </c>
      <c r="T2186" s="21">
        <f>VLOOKUP($A2186,'2022-23 Salary &amp; Benefits'!$A:$I,5,FALSE)</f>
        <v>68937</v>
      </c>
      <c r="U2186" s="21">
        <f>VLOOKUP($A2186,'2022-23 Salary &amp; Benefits'!$A:$I,6,FALSE)</f>
        <v>72728</v>
      </c>
      <c r="V2186" s="22">
        <f t="shared" si="416"/>
        <v>0</v>
      </c>
      <c r="W2186" s="22">
        <f t="shared" si="417"/>
        <v>0</v>
      </c>
      <c r="X2186" s="22">
        <f>'2022-23 Salary &amp; Benefits'!$G$6</f>
        <v>12558.24</v>
      </c>
      <c r="Y2186" s="23">
        <f>'2022-23 Salary &amp; Benefits'!$H$6</f>
        <v>0.2298</v>
      </c>
      <c r="Z2186" s="23">
        <f>'2022-23 Salary &amp; Benefits'!$I$6</f>
        <v>0.22339999999999999</v>
      </c>
      <c r="AA2186" s="22">
        <f t="shared" si="418"/>
        <v>0</v>
      </c>
      <c r="AB2186" s="22">
        <f t="shared" si="419"/>
        <v>0</v>
      </c>
      <c r="AC2186" s="22">
        <f t="shared" si="420"/>
        <v>0</v>
      </c>
      <c r="AD2186" s="22">
        <f t="shared" si="422"/>
        <v>0</v>
      </c>
      <c r="AE2186" s="22">
        <f t="shared" si="423"/>
        <v>0</v>
      </c>
      <c r="AF2186" s="19" t="str">
        <f>VLOOKUP(C2186,'2021-22 School Level AAFTE'!C:N,12,FALSE)</f>
        <v>No</v>
      </c>
    </row>
    <row r="2187" spans="1:32" customFormat="1">
      <c r="A2187" s="97" t="s">
        <v>2283</v>
      </c>
      <c r="B2187" s="97" t="s">
        <v>164</v>
      </c>
      <c r="C2187" s="95">
        <v>4591</v>
      </c>
      <c r="D2187" s="95" t="s">
        <v>198</v>
      </c>
      <c r="E2187" s="129">
        <f>VLOOKUP($C2187,'2021-22 School Level AAFTE'!$C:$Z,11,FALSE)</f>
        <v>0.28256666666666669</v>
      </c>
      <c r="F2187" s="129" t="str">
        <f>VLOOKUP($C2187,'2021-22 School Level AAFTE'!$C:$Z,8,FALSE)</f>
        <v>No</v>
      </c>
      <c r="G2187" s="129" t="str">
        <f>VLOOKUP($C2187,'2021-22 School Level AAFTE'!$C:$Z,12,FALSE)</f>
        <v>No</v>
      </c>
      <c r="H2187" s="127">
        <f>VLOOKUP($C2187,'2021-22 School Level AAFTE'!$C:$I,7,FALSE)</f>
        <v>754.4</v>
      </c>
      <c r="I2187" s="112">
        <f>IFERROR(IF(OR(G2187="yes",F2187= "yes"),VLOOKUP(C2187,Summary!$B:$J,6,0),0),0)</f>
        <v>0</v>
      </c>
      <c r="J2187" s="111">
        <f t="shared" ref="J2187:J2250" si="426">IF(OR(G2187="yes",F2187= "yes"), H2187,0)</f>
        <v>0</v>
      </c>
      <c r="K2187" s="91">
        <f>VLOOKUP($A2187,'2022-23 Salary &amp; Benefits'!$A:$I,3,FALSE)</f>
        <v>1.06</v>
      </c>
      <c r="L2187" s="91">
        <f>VLOOKUP($A2187,'2022-23 Salary &amp; Benefits'!$A:$I,4,FALSE)</f>
        <v>1.06</v>
      </c>
      <c r="M2187" s="101">
        <f t="shared" si="421"/>
        <v>0</v>
      </c>
      <c r="N2187" s="24">
        <v>15</v>
      </c>
      <c r="O2187" s="26">
        <f t="shared" si="424"/>
        <v>0</v>
      </c>
      <c r="P2187" s="24">
        <v>1.1000000000000001</v>
      </c>
      <c r="Q2187" s="24">
        <v>36</v>
      </c>
      <c r="R2187" s="27">
        <f t="shared" si="425"/>
        <v>0</v>
      </c>
      <c r="S2187" s="102">
        <f t="shared" ref="S2187:S2250" si="427">ROUND(IF(M2187="no",0,R2187/900),3)</f>
        <v>0</v>
      </c>
      <c r="T2187" s="21">
        <f>VLOOKUP($A2187,'2022-23 Salary &amp; Benefits'!$A:$I,5,FALSE)</f>
        <v>68937</v>
      </c>
      <c r="U2187" s="21">
        <f>VLOOKUP($A2187,'2022-23 Salary &amp; Benefits'!$A:$I,6,FALSE)</f>
        <v>72728</v>
      </c>
      <c r="V2187" s="22">
        <f t="shared" ref="V2187:V2250" si="428">ROUND($K2187*$T2187*$S2187,2)</f>
        <v>0</v>
      </c>
      <c r="W2187" s="22">
        <f t="shared" ref="W2187:W2250" si="429">ROUND($L2187*$U2187*$S2187,2)-V2187</f>
        <v>0</v>
      </c>
      <c r="X2187" s="22">
        <f>'2022-23 Salary &amp; Benefits'!$G$6</f>
        <v>12558.24</v>
      </c>
      <c r="Y2187" s="23">
        <f>'2022-23 Salary &amp; Benefits'!$H$6</f>
        <v>0.2298</v>
      </c>
      <c r="Z2187" s="23">
        <f>'2022-23 Salary &amp; Benefits'!$I$6</f>
        <v>0.22339999999999999</v>
      </c>
      <c r="AA2187" s="22">
        <f t="shared" ref="AA2187:AA2250" si="430">ROUND(V2187*Y2187+W2187*Z2187+S2187*X2187,2)</f>
        <v>0</v>
      </c>
      <c r="AB2187" s="22">
        <f t="shared" ref="AB2187:AB2250" si="431">ROUND(($U2187*$L2187*$S2187/180*3),2)</f>
        <v>0</v>
      </c>
      <c r="AC2187" s="22">
        <f t="shared" ref="AC2187:AC2250" si="432">ROUND(AB2187*Z2187,2)</f>
        <v>0</v>
      </c>
      <c r="AD2187" s="22">
        <f t="shared" si="422"/>
        <v>0</v>
      </c>
      <c r="AE2187" s="22">
        <f t="shared" si="423"/>
        <v>0</v>
      </c>
      <c r="AF2187" s="19" t="str">
        <f>VLOOKUP(C2187,'2021-22 School Level AAFTE'!C:N,12,FALSE)</f>
        <v>No</v>
      </c>
    </row>
    <row r="2188" spans="1:32" customFormat="1">
      <c r="A2188" s="97" t="s">
        <v>2283</v>
      </c>
      <c r="B2188" s="97" t="s">
        <v>164</v>
      </c>
      <c r="C2188" s="95">
        <v>5149</v>
      </c>
      <c r="D2188" s="95" t="s">
        <v>199</v>
      </c>
      <c r="E2188" s="129">
        <f>VLOOKUP($C2188,'2021-22 School Level AAFTE'!$C:$Z,11,FALSE)</f>
        <v>0.58689999999999998</v>
      </c>
      <c r="F2188" s="129" t="str">
        <f>VLOOKUP($C2188,'2021-22 School Level AAFTE'!$C:$Z,8,FALSE)</f>
        <v>Yes</v>
      </c>
      <c r="G2188" s="129" t="str">
        <f>VLOOKUP($C2188,'2021-22 School Level AAFTE'!$C:$Z,12,FALSE)</f>
        <v>No</v>
      </c>
      <c r="H2188" s="127">
        <f>VLOOKUP($C2188,'2021-22 School Level AAFTE'!$C:$I,7,FALSE)</f>
        <v>953.77</v>
      </c>
      <c r="I2188" s="112">
        <f>IFERROR(IF(OR(G2188="yes",F2188= "yes"),VLOOKUP(C2188,Summary!$B:$J,6,0),0),0)</f>
        <v>0</v>
      </c>
      <c r="J2188" s="111">
        <f t="shared" si="426"/>
        <v>953.77</v>
      </c>
      <c r="K2188" s="91">
        <f>VLOOKUP($A2188,'2022-23 Salary &amp; Benefits'!$A:$I,3,FALSE)</f>
        <v>1.06</v>
      </c>
      <c r="L2188" s="91">
        <f>VLOOKUP($A2188,'2022-23 Salary &amp; Benefits'!$A:$I,4,FALSE)</f>
        <v>1.06</v>
      </c>
      <c r="M2188" s="39">
        <f t="shared" si="421"/>
        <v>953.77</v>
      </c>
      <c r="N2188" s="24">
        <v>15</v>
      </c>
      <c r="O2188" s="26">
        <f t="shared" si="424"/>
        <v>63.584666666666664</v>
      </c>
      <c r="P2188" s="24">
        <v>1.1000000000000001</v>
      </c>
      <c r="Q2188" s="24">
        <v>36</v>
      </c>
      <c r="R2188" s="27">
        <f t="shared" si="425"/>
        <v>2517.9528</v>
      </c>
      <c r="S2188" s="102">
        <f t="shared" si="427"/>
        <v>2.798</v>
      </c>
      <c r="T2188" s="21">
        <f>VLOOKUP($A2188,'2022-23 Salary &amp; Benefits'!$A:$I,5,FALSE)</f>
        <v>68937</v>
      </c>
      <c r="U2188" s="21">
        <f>VLOOKUP($A2188,'2022-23 Salary &amp; Benefits'!$A:$I,6,FALSE)</f>
        <v>72728</v>
      </c>
      <c r="V2188" s="22">
        <f t="shared" si="428"/>
        <v>204458.87</v>
      </c>
      <c r="W2188" s="22">
        <f t="shared" si="429"/>
        <v>11243.649999999994</v>
      </c>
      <c r="X2188" s="22">
        <f>'2022-23 Salary &amp; Benefits'!$G$6</f>
        <v>12558.24</v>
      </c>
      <c r="Y2188" s="23">
        <f>'2022-23 Salary &amp; Benefits'!$H$6</f>
        <v>0.2298</v>
      </c>
      <c r="Z2188" s="23">
        <f>'2022-23 Salary &amp; Benefits'!$I$6</f>
        <v>0.22339999999999999</v>
      </c>
      <c r="AA2188" s="22">
        <f t="shared" si="430"/>
        <v>84634.44</v>
      </c>
      <c r="AB2188" s="22">
        <f t="shared" si="431"/>
        <v>3595.04</v>
      </c>
      <c r="AC2188" s="22">
        <f t="shared" si="432"/>
        <v>803.13</v>
      </c>
      <c r="AD2188" s="22">
        <f t="shared" si="422"/>
        <v>4398.17</v>
      </c>
      <c r="AE2188" s="22">
        <f t="shared" si="423"/>
        <v>304735.12999999995</v>
      </c>
      <c r="AF2188" s="19" t="str">
        <f>VLOOKUP(C2188,'2021-22 School Level AAFTE'!C:N,12,FALSE)</f>
        <v>No</v>
      </c>
    </row>
    <row r="2189" spans="1:32" customFormat="1">
      <c r="A2189" s="97" t="s">
        <v>2283</v>
      </c>
      <c r="B2189" s="97" t="s">
        <v>164</v>
      </c>
      <c r="C2189" s="95">
        <v>5271</v>
      </c>
      <c r="D2189" s="95" t="s">
        <v>200</v>
      </c>
      <c r="E2189" s="129">
        <f>VLOOKUP($C2189,'2021-22 School Level AAFTE'!$C:$Z,11,FALSE)</f>
        <v>0.28106666666666669</v>
      </c>
      <c r="F2189" s="129" t="str">
        <f>VLOOKUP($C2189,'2021-22 School Level AAFTE'!$C:$Z,8,FALSE)</f>
        <v>No</v>
      </c>
      <c r="G2189" s="129" t="str">
        <f>VLOOKUP($C2189,'2021-22 School Level AAFTE'!$C:$Z,12,FALSE)</f>
        <v>No</v>
      </c>
      <c r="H2189" s="127">
        <f>VLOOKUP($C2189,'2021-22 School Level AAFTE'!$C:$I,7,FALSE)</f>
        <v>573.52</v>
      </c>
      <c r="I2189" s="112">
        <f>IFERROR(IF(OR(G2189="yes",F2189= "yes"),VLOOKUP(C2189,Summary!$B:$J,6,0),0),0)</f>
        <v>0</v>
      </c>
      <c r="J2189" s="111">
        <f t="shared" si="426"/>
        <v>0</v>
      </c>
      <c r="K2189" s="91">
        <f>VLOOKUP($A2189,'2022-23 Salary &amp; Benefits'!$A:$I,3,FALSE)</f>
        <v>1.06</v>
      </c>
      <c r="L2189" s="91">
        <f>VLOOKUP($A2189,'2022-23 Salary &amp; Benefits'!$A:$I,4,FALSE)</f>
        <v>1.06</v>
      </c>
      <c r="M2189" s="101">
        <f t="shared" si="421"/>
        <v>0</v>
      </c>
      <c r="N2189" s="24">
        <v>15</v>
      </c>
      <c r="O2189" s="26">
        <f t="shared" si="424"/>
        <v>0</v>
      </c>
      <c r="P2189" s="24">
        <v>1.1000000000000001</v>
      </c>
      <c r="Q2189" s="24">
        <v>36</v>
      </c>
      <c r="R2189" s="27">
        <f t="shared" si="425"/>
        <v>0</v>
      </c>
      <c r="S2189" s="102">
        <f t="shared" si="427"/>
        <v>0</v>
      </c>
      <c r="T2189" s="21">
        <f>VLOOKUP($A2189,'2022-23 Salary &amp; Benefits'!$A:$I,5,FALSE)</f>
        <v>68937</v>
      </c>
      <c r="U2189" s="21">
        <f>VLOOKUP($A2189,'2022-23 Salary &amp; Benefits'!$A:$I,6,FALSE)</f>
        <v>72728</v>
      </c>
      <c r="V2189" s="22">
        <f t="shared" si="428"/>
        <v>0</v>
      </c>
      <c r="W2189" s="22">
        <f t="shared" si="429"/>
        <v>0</v>
      </c>
      <c r="X2189" s="22">
        <f>'2022-23 Salary &amp; Benefits'!$G$6</f>
        <v>12558.24</v>
      </c>
      <c r="Y2189" s="23">
        <f>'2022-23 Salary &amp; Benefits'!$H$6</f>
        <v>0.2298</v>
      </c>
      <c r="Z2189" s="23">
        <f>'2022-23 Salary &amp; Benefits'!$I$6</f>
        <v>0.22339999999999999</v>
      </c>
      <c r="AA2189" s="22">
        <f t="shared" si="430"/>
        <v>0</v>
      </c>
      <c r="AB2189" s="22">
        <f t="shared" si="431"/>
        <v>0</v>
      </c>
      <c r="AC2189" s="22">
        <f t="shared" si="432"/>
        <v>0</v>
      </c>
      <c r="AD2189" s="22">
        <f t="shared" si="422"/>
        <v>0</v>
      </c>
      <c r="AE2189" s="22">
        <f t="shared" si="423"/>
        <v>0</v>
      </c>
      <c r="AF2189" s="19" t="str">
        <f>VLOOKUP(C2189,'2021-22 School Level AAFTE'!C:N,12,FALSE)</f>
        <v>No</v>
      </c>
    </row>
    <row r="2190" spans="1:32" customFormat="1">
      <c r="A2190" s="97" t="s">
        <v>2283</v>
      </c>
      <c r="B2190" s="97" t="s">
        <v>164</v>
      </c>
      <c r="C2190" s="95">
        <v>5342</v>
      </c>
      <c r="D2190" s="95" t="s">
        <v>201</v>
      </c>
      <c r="E2190" s="129">
        <f>VLOOKUP($C2190,'2021-22 School Level AAFTE'!$C:$Z,11,FALSE)</f>
        <v>0.64126666666666665</v>
      </c>
      <c r="F2190" s="129" t="str">
        <f>VLOOKUP($C2190,'2021-22 School Level AAFTE'!$C:$Z,8,FALSE)</f>
        <v>Yes</v>
      </c>
      <c r="G2190" s="129" t="str">
        <f>VLOOKUP($C2190,'2021-22 School Level AAFTE'!$C:$Z,12,FALSE)</f>
        <v>No</v>
      </c>
      <c r="H2190" s="127">
        <f>VLOOKUP($C2190,'2021-22 School Level AAFTE'!$C:$I,7,FALSE)</f>
        <v>213.49</v>
      </c>
      <c r="I2190" s="112">
        <f>IFERROR(IF(OR(G2190="yes",F2190= "yes"),VLOOKUP(C2190,Summary!$B:$J,6,0),0),0)</f>
        <v>0</v>
      </c>
      <c r="J2190" s="111">
        <f t="shared" si="426"/>
        <v>213.49</v>
      </c>
      <c r="K2190" s="91">
        <f>VLOOKUP($A2190,'2022-23 Salary &amp; Benefits'!$A:$I,3,FALSE)</f>
        <v>1.06</v>
      </c>
      <c r="L2190" s="91">
        <f>VLOOKUP($A2190,'2022-23 Salary &amp; Benefits'!$A:$I,4,FALSE)</f>
        <v>1.06</v>
      </c>
      <c r="M2190" s="101">
        <f t="shared" si="421"/>
        <v>213.49</v>
      </c>
      <c r="N2190" s="24">
        <v>15</v>
      </c>
      <c r="O2190" s="26">
        <f t="shared" si="424"/>
        <v>14.232666666666667</v>
      </c>
      <c r="P2190" s="24">
        <v>1.1000000000000001</v>
      </c>
      <c r="Q2190" s="24">
        <v>36</v>
      </c>
      <c r="R2190" s="27">
        <f t="shared" si="425"/>
        <v>563.61360000000002</v>
      </c>
      <c r="S2190" s="102">
        <f t="shared" si="427"/>
        <v>0.626</v>
      </c>
      <c r="T2190" s="21">
        <f>VLOOKUP($A2190,'2022-23 Salary &amp; Benefits'!$A:$I,5,FALSE)</f>
        <v>68937</v>
      </c>
      <c r="U2190" s="21">
        <f>VLOOKUP($A2190,'2022-23 Salary &amp; Benefits'!$A:$I,6,FALSE)</f>
        <v>72728</v>
      </c>
      <c r="V2190" s="22">
        <f t="shared" si="428"/>
        <v>45743.839999999997</v>
      </c>
      <c r="W2190" s="22">
        <f t="shared" si="429"/>
        <v>2515.5500000000029</v>
      </c>
      <c r="X2190" s="22">
        <f>'2022-23 Salary &amp; Benefits'!$G$6</f>
        <v>12558.24</v>
      </c>
      <c r="Y2190" s="23">
        <f>'2022-23 Salary &amp; Benefits'!$H$6</f>
        <v>0.2298</v>
      </c>
      <c r="Z2190" s="23">
        <f>'2022-23 Salary &amp; Benefits'!$I$6</f>
        <v>0.22339999999999999</v>
      </c>
      <c r="AA2190" s="22">
        <f t="shared" si="430"/>
        <v>18935.37</v>
      </c>
      <c r="AB2190" s="22">
        <f t="shared" si="431"/>
        <v>804.32</v>
      </c>
      <c r="AC2190" s="22">
        <f t="shared" si="432"/>
        <v>179.69</v>
      </c>
      <c r="AD2190" s="22">
        <f t="shared" si="422"/>
        <v>984.01</v>
      </c>
      <c r="AE2190" s="22">
        <f t="shared" si="423"/>
        <v>68178.76999999999</v>
      </c>
      <c r="AF2190" s="19" t="str">
        <f>VLOOKUP(C2190,'2021-22 School Level AAFTE'!C:N,12,FALSE)</f>
        <v>No</v>
      </c>
    </row>
    <row r="2191" spans="1:32" customFormat="1">
      <c r="A2191" s="97" t="s">
        <v>2353</v>
      </c>
      <c r="B2191" s="97" t="s">
        <v>730</v>
      </c>
      <c r="C2191" s="95">
        <v>1822</v>
      </c>
      <c r="D2191" s="95" t="s">
        <v>731</v>
      </c>
      <c r="E2191" s="129">
        <f>VLOOKUP($C2191,'2021-22 School Level AAFTE'!$C:$Z,11,FALSE)</f>
        <v>0.2079</v>
      </c>
      <c r="F2191" s="129" t="str">
        <f>VLOOKUP($C2191,'2021-22 School Level AAFTE'!$C:$Z,8,FALSE)</f>
        <v>No</v>
      </c>
      <c r="G2191" s="129" t="str">
        <f>VLOOKUP($C2191,'2021-22 School Level AAFTE'!$C:$Z,12,FALSE)</f>
        <v>No</v>
      </c>
      <c r="H2191" s="127">
        <f>VLOOKUP($C2191,'2021-22 School Level AAFTE'!$C:$I,7,FALSE)</f>
        <v>88.23</v>
      </c>
      <c r="I2191" s="112">
        <f>IFERROR(IF(OR(G2191="yes",F2191= "yes"),VLOOKUP(C2191,Summary!$B:$J,6,0),0),0)</f>
        <v>0</v>
      </c>
      <c r="J2191" s="111">
        <f t="shared" si="426"/>
        <v>0</v>
      </c>
      <c r="K2191" s="91">
        <f>VLOOKUP($A2191,'2022-23 Salary &amp; Benefits'!$A:$I,3,FALSE)</f>
        <v>1.1200000000000001</v>
      </c>
      <c r="L2191" s="91">
        <f>VLOOKUP($A2191,'2022-23 Salary &amp; Benefits'!$A:$I,4,FALSE)</f>
        <v>1.1200000000000001</v>
      </c>
      <c r="M2191" s="39">
        <f t="shared" si="421"/>
        <v>0</v>
      </c>
      <c r="N2191" s="24">
        <v>15</v>
      </c>
      <c r="O2191" s="26">
        <f t="shared" si="424"/>
        <v>0</v>
      </c>
      <c r="P2191" s="24">
        <v>1.1000000000000001</v>
      </c>
      <c r="Q2191" s="24">
        <v>36</v>
      </c>
      <c r="R2191" s="27">
        <f t="shared" si="425"/>
        <v>0</v>
      </c>
      <c r="S2191" s="102">
        <f t="shared" si="427"/>
        <v>0</v>
      </c>
      <c r="T2191" s="21">
        <f>VLOOKUP($A2191,'2022-23 Salary &amp; Benefits'!$A:$I,5,FALSE)</f>
        <v>68937</v>
      </c>
      <c r="U2191" s="21">
        <f>VLOOKUP($A2191,'2022-23 Salary &amp; Benefits'!$A:$I,6,FALSE)</f>
        <v>72728</v>
      </c>
      <c r="V2191" s="22">
        <f t="shared" si="428"/>
        <v>0</v>
      </c>
      <c r="W2191" s="22">
        <f t="shared" si="429"/>
        <v>0</v>
      </c>
      <c r="X2191" s="22">
        <f>'2022-23 Salary &amp; Benefits'!$G$6</f>
        <v>12558.24</v>
      </c>
      <c r="Y2191" s="23">
        <f>'2022-23 Salary &amp; Benefits'!$H$6</f>
        <v>0.2298</v>
      </c>
      <c r="Z2191" s="23">
        <f>'2022-23 Salary &amp; Benefits'!$I$6</f>
        <v>0.22339999999999999</v>
      </c>
      <c r="AA2191" s="22">
        <f t="shared" si="430"/>
        <v>0</v>
      </c>
      <c r="AB2191" s="22">
        <f t="shared" si="431"/>
        <v>0</v>
      </c>
      <c r="AC2191" s="22">
        <f t="shared" si="432"/>
        <v>0</v>
      </c>
      <c r="AD2191" s="22">
        <f t="shared" si="422"/>
        <v>0</v>
      </c>
      <c r="AE2191" s="22">
        <f t="shared" si="423"/>
        <v>0</v>
      </c>
      <c r="AF2191" s="19" t="str">
        <f>VLOOKUP(C2191,'2021-22 School Level AAFTE'!C:N,12,FALSE)</f>
        <v>No</v>
      </c>
    </row>
    <row r="2192" spans="1:32" customFormat="1">
      <c r="A2192" s="97" t="s">
        <v>2353</v>
      </c>
      <c r="B2192" s="97" t="s">
        <v>730</v>
      </c>
      <c r="C2192" s="95">
        <v>1938</v>
      </c>
      <c r="D2192" s="95" t="s">
        <v>732</v>
      </c>
      <c r="E2192" s="129">
        <f>VLOOKUP($C2192,'2021-22 School Level AAFTE'!$C:$Z,11,FALSE)</f>
        <v>0.55189999999999995</v>
      </c>
      <c r="F2192" s="129" t="str">
        <f>VLOOKUP($C2192,'2021-22 School Level AAFTE'!$C:$Z,8,FALSE)</f>
        <v>Yes</v>
      </c>
      <c r="G2192" s="129" t="str">
        <f>VLOOKUP($C2192,'2021-22 School Level AAFTE'!$C:$Z,12,FALSE)</f>
        <v>No</v>
      </c>
      <c r="H2192" s="127">
        <f>VLOOKUP($C2192,'2021-22 School Level AAFTE'!$C:$I,7,FALSE)</f>
        <v>45.4</v>
      </c>
      <c r="I2192" s="112">
        <f>IFERROR(IF(OR(G2192="yes",F2192= "yes"),VLOOKUP(C2192,Summary!$B:$J,6,0),0),0)</f>
        <v>0</v>
      </c>
      <c r="J2192" s="111">
        <f t="shared" si="426"/>
        <v>45.4</v>
      </c>
      <c r="K2192" s="91">
        <f>VLOOKUP($A2192,'2022-23 Salary &amp; Benefits'!$A:$I,3,FALSE)</f>
        <v>1.1200000000000001</v>
      </c>
      <c r="L2192" s="91">
        <f>VLOOKUP($A2192,'2022-23 Salary &amp; Benefits'!$A:$I,4,FALSE)</f>
        <v>1.1200000000000001</v>
      </c>
      <c r="M2192" s="101">
        <f t="shared" si="421"/>
        <v>45.4</v>
      </c>
      <c r="N2192" s="24">
        <v>15</v>
      </c>
      <c r="O2192" s="26">
        <f t="shared" si="424"/>
        <v>3.0266666666666664</v>
      </c>
      <c r="P2192" s="24">
        <v>1.1000000000000001</v>
      </c>
      <c r="Q2192" s="24">
        <v>36</v>
      </c>
      <c r="R2192" s="27">
        <f t="shared" si="425"/>
        <v>119.85600000000001</v>
      </c>
      <c r="S2192" s="102">
        <f t="shared" si="427"/>
        <v>0.13300000000000001</v>
      </c>
      <c r="T2192" s="21">
        <f>VLOOKUP($A2192,'2022-23 Salary &amp; Benefits'!$A:$I,5,FALSE)</f>
        <v>68937</v>
      </c>
      <c r="U2192" s="21">
        <f>VLOOKUP($A2192,'2022-23 Salary &amp; Benefits'!$A:$I,6,FALSE)</f>
        <v>72728</v>
      </c>
      <c r="V2192" s="22">
        <f t="shared" si="428"/>
        <v>10268.86</v>
      </c>
      <c r="W2192" s="22">
        <f t="shared" si="429"/>
        <v>564.69999999999891</v>
      </c>
      <c r="X2192" s="22">
        <f>'2022-23 Salary &amp; Benefits'!$G$6</f>
        <v>12558.24</v>
      </c>
      <c r="Y2192" s="23">
        <f>'2022-23 Salary &amp; Benefits'!$H$6</f>
        <v>0.2298</v>
      </c>
      <c r="Z2192" s="23">
        <f>'2022-23 Salary &amp; Benefits'!$I$6</f>
        <v>0.22339999999999999</v>
      </c>
      <c r="AA2192" s="22">
        <f t="shared" si="430"/>
        <v>4156.18</v>
      </c>
      <c r="AB2192" s="22">
        <f t="shared" si="431"/>
        <v>180.56</v>
      </c>
      <c r="AC2192" s="22">
        <f t="shared" si="432"/>
        <v>40.340000000000003</v>
      </c>
      <c r="AD2192" s="22">
        <f t="shared" si="422"/>
        <v>220.9</v>
      </c>
      <c r="AE2192" s="22">
        <f t="shared" si="423"/>
        <v>15210.64</v>
      </c>
      <c r="AF2192" s="19" t="str">
        <f>VLOOKUP(C2192,'2021-22 School Level AAFTE'!C:N,12,FALSE)</f>
        <v>No</v>
      </c>
    </row>
    <row r="2193" spans="1:32" customFormat="1">
      <c r="A2193" s="97" t="s">
        <v>2353</v>
      </c>
      <c r="B2193" s="97" t="s">
        <v>730</v>
      </c>
      <c r="C2193" s="95">
        <v>2419</v>
      </c>
      <c r="D2193" s="95" t="s">
        <v>733</v>
      </c>
      <c r="E2193" s="129">
        <f>VLOOKUP($C2193,'2021-22 School Level AAFTE'!$C:$Z,11,FALSE)</f>
        <v>0.19569999999999999</v>
      </c>
      <c r="F2193" s="129" t="str">
        <f>VLOOKUP($C2193,'2021-22 School Level AAFTE'!$C:$Z,8,FALSE)</f>
        <v>No</v>
      </c>
      <c r="G2193" s="129" t="str">
        <f>VLOOKUP($C2193,'2021-22 School Level AAFTE'!$C:$Z,12,FALSE)</f>
        <v>No</v>
      </c>
      <c r="H2193" s="127">
        <f>VLOOKUP($C2193,'2021-22 School Level AAFTE'!$C:$I,7,FALSE)</f>
        <v>534.30999999999995</v>
      </c>
      <c r="I2193" s="112">
        <f>IFERROR(IF(OR(G2193="yes",F2193= "yes"),VLOOKUP(C2193,Summary!$B:$J,6,0),0),0)</f>
        <v>0</v>
      </c>
      <c r="J2193" s="111">
        <f t="shared" si="426"/>
        <v>0</v>
      </c>
      <c r="K2193" s="91">
        <f>VLOOKUP($A2193,'2022-23 Salary &amp; Benefits'!$A:$I,3,FALSE)</f>
        <v>1.1200000000000001</v>
      </c>
      <c r="L2193" s="91">
        <f>VLOOKUP($A2193,'2022-23 Salary &amp; Benefits'!$A:$I,4,FALSE)</f>
        <v>1.1200000000000001</v>
      </c>
      <c r="M2193" s="39">
        <f t="shared" si="421"/>
        <v>0</v>
      </c>
      <c r="N2193" s="24">
        <v>15</v>
      </c>
      <c r="O2193" s="26">
        <f t="shared" si="424"/>
        <v>0</v>
      </c>
      <c r="P2193" s="24">
        <v>1.1000000000000001</v>
      </c>
      <c r="Q2193" s="24">
        <v>36</v>
      </c>
      <c r="R2193" s="27">
        <f t="shared" si="425"/>
        <v>0</v>
      </c>
      <c r="S2193" s="102">
        <f t="shared" si="427"/>
        <v>0</v>
      </c>
      <c r="T2193" s="21">
        <f>VLOOKUP($A2193,'2022-23 Salary &amp; Benefits'!$A:$I,5,FALSE)</f>
        <v>68937</v>
      </c>
      <c r="U2193" s="21">
        <f>VLOOKUP($A2193,'2022-23 Salary &amp; Benefits'!$A:$I,6,FALSE)</f>
        <v>72728</v>
      </c>
      <c r="V2193" s="22">
        <f t="shared" si="428"/>
        <v>0</v>
      </c>
      <c r="W2193" s="22">
        <f t="shared" si="429"/>
        <v>0</v>
      </c>
      <c r="X2193" s="22">
        <f>'2022-23 Salary &amp; Benefits'!$G$6</f>
        <v>12558.24</v>
      </c>
      <c r="Y2193" s="23">
        <f>'2022-23 Salary &amp; Benefits'!$H$6</f>
        <v>0.2298</v>
      </c>
      <c r="Z2193" s="23">
        <f>'2022-23 Salary &amp; Benefits'!$I$6</f>
        <v>0.22339999999999999</v>
      </c>
      <c r="AA2193" s="22">
        <f t="shared" si="430"/>
        <v>0</v>
      </c>
      <c r="AB2193" s="22">
        <f t="shared" si="431"/>
        <v>0</v>
      </c>
      <c r="AC2193" s="22">
        <f t="shared" si="432"/>
        <v>0</v>
      </c>
      <c r="AD2193" s="22">
        <f t="shared" si="422"/>
        <v>0</v>
      </c>
      <c r="AE2193" s="22">
        <f t="shared" si="423"/>
        <v>0</v>
      </c>
      <c r="AF2193" s="19" t="str">
        <f>VLOOKUP(C2193,'2021-22 School Level AAFTE'!C:N,12,FALSE)</f>
        <v>No</v>
      </c>
    </row>
    <row r="2194" spans="1:32" customFormat="1">
      <c r="A2194" s="97" t="s">
        <v>2353</v>
      </c>
      <c r="B2194" s="97" t="s">
        <v>730</v>
      </c>
      <c r="C2194" s="95">
        <v>3667</v>
      </c>
      <c r="D2194" s="95" t="s">
        <v>734</v>
      </c>
      <c r="E2194" s="129">
        <f>VLOOKUP($C2194,'2021-22 School Level AAFTE'!$C:$Z,11,FALSE)</f>
        <v>0.22413333333333332</v>
      </c>
      <c r="F2194" s="129" t="str">
        <f>VLOOKUP($C2194,'2021-22 School Level AAFTE'!$C:$Z,8,FALSE)</f>
        <v>No</v>
      </c>
      <c r="G2194" s="129" t="str">
        <f>VLOOKUP($C2194,'2021-22 School Level AAFTE'!$C:$Z,12,FALSE)</f>
        <v>No</v>
      </c>
      <c r="H2194" s="127">
        <f>VLOOKUP($C2194,'2021-22 School Level AAFTE'!$C:$I,7,FALSE)</f>
        <v>355.44</v>
      </c>
      <c r="I2194" s="112">
        <f>IFERROR(IF(OR(G2194="yes",F2194= "yes"),VLOOKUP(C2194,Summary!$B:$J,6,0),0),0)</f>
        <v>0</v>
      </c>
      <c r="J2194" s="111">
        <f t="shared" si="426"/>
        <v>0</v>
      </c>
      <c r="K2194" s="91">
        <f>VLOOKUP($A2194,'2022-23 Salary &amp; Benefits'!$A:$I,3,FALSE)</f>
        <v>1.1200000000000001</v>
      </c>
      <c r="L2194" s="91">
        <f>VLOOKUP($A2194,'2022-23 Salary &amp; Benefits'!$A:$I,4,FALSE)</f>
        <v>1.1200000000000001</v>
      </c>
      <c r="M2194" s="39">
        <f t="shared" si="421"/>
        <v>0</v>
      </c>
      <c r="N2194" s="24">
        <v>15</v>
      </c>
      <c r="O2194" s="26">
        <f t="shared" si="424"/>
        <v>0</v>
      </c>
      <c r="P2194" s="24">
        <v>1.1000000000000001</v>
      </c>
      <c r="Q2194" s="24">
        <v>36</v>
      </c>
      <c r="R2194" s="27">
        <f t="shared" si="425"/>
        <v>0</v>
      </c>
      <c r="S2194" s="102">
        <f t="shared" si="427"/>
        <v>0</v>
      </c>
      <c r="T2194" s="21">
        <f>VLOOKUP($A2194,'2022-23 Salary &amp; Benefits'!$A:$I,5,FALSE)</f>
        <v>68937</v>
      </c>
      <c r="U2194" s="21">
        <f>VLOOKUP($A2194,'2022-23 Salary &amp; Benefits'!$A:$I,6,FALSE)</f>
        <v>72728</v>
      </c>
      <c r="V2194" s="22">
        <f t="shared" si="428"/>
        <v>0</v>
      </c>
      <c r="W2194" s="22">
        <f t="shared" si="429"/>
        <v>0</v>
      </c>
      <c r="X2194" s="22">
        <f>'2022-23 Salary &amp; Benefits'!$G$6</f>
        <v>12558.24</v>
      </c>
      <c r="Y2194" s="23">
        <f>'2022-23 Salary &amp; Benefits'!$H$6</f>
        <v>0.2298</v>
      </c>
      <c r="Z2194" s="23">
        <f>'2022-23 Salary &amp; Benefits'!$I$6</f>
        <v>0.22339999999999999</v>
      </c>
      <c r="AA2194" s="22">
        <f t="shared" si="430"/>
        <v>0</v>
      </c>
      <c r="AB2194" s="22">
        <f t="shared" si="431"/>
        <v>0</v>
      </c>
      <c r="AC2194" s="22">
        <f t="shared" si="432"/>
        <v>0</v>
      </c>
      <c r="AD2194" s="22">
        <f t="shared" si="422"/>
        <v>0</v>
      </c>
      <c r="AE2194" s="22">
        <f t="shared" si="423"/>
        <v>0</v>
      </c>
      <c r="AF2194" s="19" t="str">
        <f>VLOOKUP(C2194,'2021-22 School Level AAFTE'!C:N,12,FALSE)</f>
        <v>No</v>
      </c>
    </row>
    <row r="2195" spans="1:32" customFormat="1">
      <c r="A2195" s="97" t="s">
        <v>2353</v>
      </c>
      <c r="B2195" s="97" t="s">
        <v>730</v>
      </c>
      <c r="C2195" s="95">
        <v>4468</v>
      </c>
      <c r="D2195" s="95" t="s">
        <v>735</v>
      </c>
      <c r="E2195" s="129">
        <f>VLOOKUP($C2195,'2021-22 School Level AAFTE'!$C:$Z,11,FALSE)</f>
        <v>0.22906666666666667</v>
      </c>
      <c r="F2195" s="129" t="str">
        <f>VLOOKUP($C2195,'2021-22 School Level AAFTE'!$C:$Z,8,FALSE)</f>
        <v>No</v>
      </c>
      <c r="G2195" s="129" t="str">
        <f>VLOOKUP($C2195,'2021-22 School Level AAFTE'!$C:$Z,12,FALSE)</f>
        <v>No</v>
      </c>
      <c r="H2195" s="127">
        <f>VLOOKUP($C2195,'2021-22 School Level AAFTE'!$C:$I,7,FALSE)</f>
        <v>455.95</v>
      </c>
      <c r="I2195" s="112">
        <f>IFERROR(IF(OR(G2195="yes",F2195= "yes"),VLOOKUP(C2195,Summary!$B:$J,6,0),0),0)</f>
        <v>0</v>
      </c>
      <c r="J2195" s="111">
        <f t="shared" si="426"/>
        <v>0</v>
      </c>
      <c r="K2195" s="91">
        <f>VLOOKUP($A2195,'2022-23 Salary &amp; Benefits'!$A:$I,3,FALSE)</f>
        <v>1.1200000000000001</v>
      </c>
      <c r="L2195" s="91">
        <f>VLOOKUP($A2195,'2022-23 Salary &amp; Benefits'!$A:$I,4,FALSE)</f>
        <v>1.1200000000000001</v>
      </c>
      <c r="M2195" s="39">
        <f t="shared" si="421"/>
        <v>0</v>
      </c>
      <c r="N2195" s="24">
        <v>15</v>
      </c>
      <c r="O2195" s="26">
        <f t="shared" si="424"/>
        <v>0</v>
      </c>
      <c r="P2195" s="24">
        <v>1.1000000000000001</v>
      </c>
      <c r="Q2195" s="24">
        <v>36</v>
      </c>
      <c r="R2195" s="27">
        <f t="shared" si="425"/>
        <v>0</v>
      </c>
      <c r="S2195" s="102">
        <f t="shared" si="427"/>
        <v>0</v>
      </c>
      <c r="T2195" s="21">
        <f>VLOOKUP($A2195,'2022-23 Salary &amp; Benefits'!$A:$I,5,FALSE)</f>
        <v>68937</v>
      </c>
      <c r="U2195" s="21">
        <f>VLOOKUP($A2195,'2022-23 Salary &amp; Benefits'!$A:$I,6,FALSE)</f>
        <v>72728</v>
      </c>
      <c r="V2195" s="22">
        <f t="shared" si="428"/>
        <v>0</v>
      </c>
      <c r="W2195" s="22">
        <f t="shared" si="429"/>
        <v>0</v>
      </c>
      <c r="X2195" s="22">
        <f>'2022-23 Salary &amp; Benefits'!$G$6</f>
        <v>12558.24</v>
      </c>
      <c r="Y2195" s="23">
        <f>'2022-23 Salary &amp; Benefits'!$H$6</f>
        <v>0.2298</v>
      </c>
      <c r="Z2195" s="23">
        <f>'2022-23 Salary &amp; Benefits'!$I$6</f>
        <v>0.22339999999999999</v>
      </c>
      <c r="AA2195" s="22">
        <f t="shared" si="430"/>
        <v>0</v>
      </c>
      <c r="AB2195" s="22">
        <f t="shared" si="431"/>
        <v>0</v>
      </c>
      <c r="AC2195" s="22">
        <f t="shared" si="432"/>
        <v>0</v>
      </c>
      <c r="AD2195" s="22">
        <f t="shared" si="422"/>
        <v>0</v>
      </c>
      <c r="AE2195" s="22">
        <f t="shared" si="423"/>
        <v>0</v>
      </c>
      <c r="AF2195" s="19" t="str">
        <f>VLOOKUP(C2195,'2021-22 School Level AAFTE'!C:N,12,FALSE)</f>
        <v>No</v>
      </c>
    </row>
    <row r="2196" spans="1:32" customFormat="1">
      <c r="A2196" s="97" t="s">
        <v>2710</v>
      </c>
      <c r="B2196" s="97" t="s">
        <v>2711</v>
      </c>
      <c r="C2196" s="95">
        <v>5496</v>
      </c>
      <c r="D2196" s="95" t="s">
        <v>1994</v>
      </c>
      <c r="E2196" s="129">
        <f>VLOOKUP($C2196,'2021-22 School Level AAFTE'!$C:$Z,11,FALSE)</f>
        <v>0.89060000000000006</v>
      </c>
      <c r="F2196" s="129" t="str">
        <f>VLOOKUP($C2196,'2021-22 School Level AAFTE'!$C:$Z,8,FALSE)</f>
        <v>Yes</v>
      </c>
      <c r="G2196" s="129" t="str">
        <f>VLOOKUP($C2196,'2021-22 School Level AAFTE'!$C:$Z,12,FALSE)</f>
        <v>No</v>
      </c>
      <c r="H2196" s="127">
        <f>VLOOKUP($C2196,'2021-22 School Level AAFTE'!$C:$I,7,FALSE)</f>
        <v>124.71</v>
      </c>
      <c r="I2196" s="112">
        <f>IFERROR(IF(OR(G2196="yes",F2196= "yes"),VLOOKUP(C2196,Summary!$B:$J,6,0),0),0)</f>
        <v>0</v>
      </c>
      <c r="J2196" s="111">
        <f t="shared" si="426"/>
        <v>124.71</v>
      </c>
      <c r="K2196" s="91">
        <f>VLOOKUP($A2196,'2022-23 Salary &amp; Benefits'!$A:$I,3,FALSE)</f>
        <v>1.03</v>
      </c>
      <c r="L2196" s="91">
        <f>VLOOKUP($A2196,'2022-23 Salary &amp; Benefits'!$A:$I,4,FALSE)</f>
        <v>1.03</v>
      </c>
      <c r="M2196" s="101">
        <f t="shared" si="421"/>
        <v>124.71</v>
      </c>
      <c r="N2196" s="24">
        <v>15</v>
      </c>
      <c r="O2196" s="26">
        <f t="shared" si="424"/>
        <v>8.3140000000000001</v>
      </c>
      <c r="P2196" s="24">
        <v>1.1000000000000001</v>
      </c>
      <c r="Q2196" s="24">
        <v>36</v>
      </c>
      <c r="R2196" s="27">
        <f t="shared" si="425"/>
        <v>329.23439999999999</v>
      </c>
      <c r="S2196" s="102">
        <f t="shared" si="427"/>
        <v>0.36599999999999999</v>
      </c>
      <c r="T2196" s="21">
        <f>VLOOKUP($A2196,'2022-23 Salary &amp; Benefits'!$A:$I,5,FALSE)</f>
        <v>68937</v>
      </c>
      <c r="U2196" s="21">
        <f>VLOOKUP($A2196,'2022-23 Salary &amp; Benefits'!$A:$I,6,FALSE)</f>
        <v>72728</v>
      </c>
      <c r="V2196" s="22">
        <f t="shared" si="428"/>
        <v>25987.87</v>
      </c>
      <c r="W2196" s="22">
        <f t="shared" si="429"/>
        <v>1429.130000000001</v>
      </c>
      <c r="X2196" s="22">
        <f>'2022-23 Salary &amp; Benefits'!$G$6</f>
        <v>12558.24</v>
      </c>
      <c r="Y2196" s="23">
        <f>'2022-23 Salary &amp; Benefits'!$H$6</f>
        <v>0.2298</v>
      </c>
      <c r="Z2196" s="23">
        <f>'2022-23 Salary &amp; Benefits'!$I$6</f>
        <v>0.22339999999999999</v>
      </c>
      <c r="AA2196" s="22">
        <f t="shared" si="430"/>
        <v>10887.6</v>
      </c>
      <c r="AB2196" s="22">
        <f t="shared" si="431"/>
        <v>456.95</v>
      </c>
      <c r="AC2196" s="22">
        <f t="shared" si="432"/>
        <v>102.08</v>
      </c>
      <c r="AD2196" s="22">
        <f t="shared" si="422"/>
        <v>559.03</v>
      </c>
      <c r="AE2196" s="22">
        <f t="shared" si="423"/>
        <v>38863.630000000005</v>
      </c>
      <c r="AF2196" s="19" t="str">
        <f>VLOOKUP(C2196,'2021-22 School Level AAFTE'!C:N,12,FALSE)</f>
        <v>No</v>
      </c>
    </row>
    <row r="2197" spans="1:32" customFormat="1">
      <c r="A2197" s="97" t="s">
        <v>2524</v>
      </c>
      <c r="B2197" s="97" t="s">
        <v>2036</v>
      </c>
      <c r="C2197" s="95">
        <v>2893</v>
      </c>
      <c r="D2197" s="95" t="s">
        <v>2037</v>
      </c>
      <c r="E2197" s="129">
        <f>VLOOKUP($C2197,'2021-22 School Level AAFTE'!$C:$Z,11,FALSE)</f>
        <v>0.58469999999999989</v>
      </c>
      <c r="F2197" s="129" t="str">
        <f>VLOOKUP($C2197,'2021-22 School Level AAFTE'!$C:$Z,8,FALSE)</f>
        <v>Yes</v>
      </c>
      <c r="G2197" s="129" t="str">
        <f>VLOOKUP($C2197,'2021-22 School Level AAFTE'!$C:$Z,12,FALSE)</f>
        <v>No</v>
      </c>
      <c r="H2197" s="127">
        <f>VLOOKUP($C2197,'2021-22 School Level AAFTE'!$C:$I,7,FALSE)</f>
        <v>283.32</v>
      </c>
      <c r="I2197" s="112">
        <f>IFERROR(IF(OR(G2197="yes",F2197= "yes"),VLOOKUP(C2197,Summary!$B:$J,6,0),0),0)</f>
        <v>0</v>
      </c>
      <c r="J2197" s="111">
        <f t="shared" si="426"/>
        <v>283.32</v>
      </c>
      <c r="K2197" s="91">
        <f>VLOOKUP($A2197,'2022-23 Salary &amp; Benefits'!$A:$I,3,FALSE)</f>
        <v>1</v>
      </c>
      <c r="L2197" s="91">
        <f>VLOOKUP($A2197,'2022-23 Salary &amp; Benefits'!$A:$I,4,FALSE)</f>
        <v>1.04</v>
      </c>
      <c r="M2197" s="101">
        <f t="shared" si="421"/>
        <v>283.32</v>
      </c>
      <c r="N2197" s="24">
        <v>15</v>
      </c>
      <c r="O2197" s="26">
        <f t="shared" si="424"/>
        <v>18.887999999999998</v>
      </c>
      <c r="P2197" s="24">
        <v>1.1000000000000001</v>
      </c>
      <c r="Q2197" s="24">
        <v>36</v>
      </c>
      <c r="R2197" s="27">
        <f t="shared" si="425"/>
        <v>747.96479999999997</v>
      </c>
      <c r="S2197" s="102">
        <f t="shared" si="427"/>
        <v>0.83099999999999996</v>
      </c>
      <c r="T2197" s="21">
        <f>VLOOKUP($A2197,'2022-23 Salary &amp; Benefits'!$A:$I,5,FALSE)</f>
        <v>68937</v>
      </c>
      <c r="U2197" s="21">
        <f>VLOOKUP($A2197,'2022-23 Salary &amp; Benefits'!$A:$I,6,FALSE)</f>
        <v>72728</v>
      </c>
      <c r="V2197" s="22">
        <f t="shared" si="428"/>
        <v>57286.65</v>
      </c>
      <c r="W2197" s="22">
        <f t="shared" si="429"/>
        <v>5567.7999999999956</v>
      </c>
      <c r="X2197" s="22">
        <f>'2022-23 Salary &amp; Benefits'!$G$6</f>
        <v>12558.24</v>
      </c>
      <c r="Y2197" s="23">
        <f>'2022-23 Salary &amp; Benefits'!$H$6</f>
        <v>0.2298</v>
      </c>
      <c r="Z2197" s="23">
        <f>'2022-23 Salary &amp; Benefits'!$I$6</f>
        <v>0.22339999999999999</v>
      </c>
      <c r="AA2197" s="22">
        <f t="shared" si="430"/>
        <v>24844.22</v>
      </c>
      <c r="AB2197" s="22">
        <f t="shared" si="431"/>
        <v>1047.57</v>
      </c>
      <c r="AC2197" s="22">
        <f t="shared" si="432"/>
        <v>234.03</v>
      </c>
      <c r="AD2197" s="22">
        <f t="shared" si="422"/>
        <v>1281.5999999999999</v>
      </c>
      <c r="AE2197" s="22">
        <f t="shared" si="423"/>
        <v>88980.26999999999</v>
      </c>
      <c r="AF2197" s="19" t="str">
        <f>VLOOKUP(C2197,'2021-22 School Level AAFTE'!C:N,12,FALSE)</f>
        <v>No</v>
      </c>
    </row>
    <row r="2198" spans="1:32" customFormat="1">
      <c r="A2198" s="97" t="s">
        <v>2524</v>
      </c>
      <c r="B2198" s="97" t="s">
        <v>2036</v>
      </c>
      <c r="C2198" s="95">
        <v>3467</v>
      </c>
      <c r="D2198" s="95" t="s">
        <v>2038</v>
      </c>
      <c r="E2198" s="129">
        <f>VLOOKUP($C2198,'2021-22 School Level AAFTE'!$C:$Z,11,FALSE)</f>
        <v>0.57503333333333329</v>
      </c>
      <c r="F2198" s="129" t="str">
        <f>VLOOKUP($C2198,'2021-22 School Level AAFTE'!$C:$Z,8,FALSE)</f>
        <v>Yes</v>
      </c>
      <c r="G2198" s="129" t="str">
        <f>VLOOKUP($C2198,'2021-22 School Level AAFTE'!$C:$Z,12,FALSE)</f>
        <v>No</v>
      </c>
      <c r="H2198" s="127">
        <f>VLOOKUP($C2198,'2021-22 School Level AAFTE'!$C:$I,7,FALSE)</f>
        <v>166.57</v>
      </c>
      <c r="I2198" s="112">
        <f>IFERROR(IF(OR(G2198="yes",F2198= "yes"),VLOOKUP(C2198,Summary!$B:$J,6,0),0),0)</f>
        <v>0</v>
      </c>
      <c r="J2198" s="111">
        <f t="shared" si="426"/>
        <v>166.57</v>
      </c>
      <c r="K2198" s="91">
        <f>VLOOKUP($A2198,'2022-23 Salary &amp; Benefits'!$A:$I,3,FALSE)</f>
        <v>1</v>
      </c>
      <c r="L2198" s="91">
        <f>VLOOKUP($A2198,'2022-23 Salary &amp; Benefits'!$A:$I,4,FALSE)</f>
        <v>1.04</v>
      </c>
      <c r="M2198" s="101">
        <f t="shared" si="421"/>
        <v>166.57</v>
      </c>
      <c r="N2198" s="24">
        <v>15</v>
      </c>
      <c r="O2198" s="26">
        <f t="shared" si="424"/>
        <v>11.104666666666667</v>
      </c>
      <c r="P2198" s="24">
        <v>1.1000000000000001</v>
      </c>
      <c r="Q2198" s="24">
        <v>36</v>
      </c>
      <c r="R2198" s="27">
        <f t="shared" si="425"/>
        <v>439.74480000000005</v>
      </c>
      <c r="S2198" s="102">
        <f t="shared" si="427"/>
        <v>0.48899999999999999</v>
      </c>
      <c r="T2198" s="21">
        <f>VLOOKUP($A2198,'2022-23 Salary &amp; Benefits'!$A:$I,5,FALSE)</f>
        <v>68937</v>
      </c>
      <c r="U2198" s="21">
        <f>VLOOKUP($A2198,'2022-23 Salary &amp; Benefits'!$A:$I,6,FALSE)</f>
        <v>72728</v>
      </c>
      <c r="V2198" s="22">
        <f t="shared" si="428"/>
        <v>33710.19</v>
      </c>
      <c r="W2198" s="22">
        <f t="shared" si="429"/>
        <v>3276.3600000000006</v>
      </c>
      <c r="X2198" s="22">
        <f>'2022-23 Salary &amp; Benefits'!$G$6</f>
        <v>12558.24</v>
      </c>
      <c r="Y2198" s="23">
        <f>'2022-23 Salary &amp; Benefits'!$H$6</f>
        <v>0.2298</v>
      </c>
      <c r="Z2198" s="23">
        <f>'2022-23 Salary &amp; Benefits'!$I$6</f>
        <v>0.22339999999999999</v>
      </c>
      <c r="AA2198" s="22">
        <f t="shared" si="430"/>
        <v>14619.52</v>
      </c>
      <c r="AB2198" s="22">
        <f t="shared" si="431"/>
        <v>616.44000000000005</v>
      </c>
      <c r="AC2198" s="22">
        <f t="shared" si="432"/>
        <v>137.71</v>
      </c>
      <c r="AD2198" s="22">
        <f t="shared" si="422"/>
        <v>754.15000000000009</v>
      </c>
      <c r="AE2198" s="22">
        <f t="shared" si="423"/>
        <v>52360.220000000008</v>
      </c>
      <c r="AF2198" s="19" t="str">
        <f>VLOOKUP(C2198,'2021-22 School Level AAFTE'!C:N,12,FALSE)</f>
        <v>No</v>
      </c>
    </row>
    <row r="2199" spans="1:32" customFormat="1">
      <c r="A2199" s="97" t="s">
        <v>2317</v>
      </c>
      <c r="B2199" s="97" t="s">
        <v>408</v>
      </c>
      <c r="C2199" s="95">
        <v>1835</v>
      </c>
      <c r="D2199" s="95" t="s">
        <v>409</v>
      </c>
      <c r="E2199" s="129">
        <f>VLOOKUP($C2199,'2021-22 School Level AAFTE'!$C:$Z,11,FALSE)</f>
        <v>0.94600000000000006</v>
      </c>
      <c r="F2199" s="129" t="str">
        <f>VLOOKUP($C2199,'2021-22 School Level AAFTE'!$C:$Z,8,FALSE)</f>
        <v>Yes</v>
      </c>
      <c r="G2199" s="129" t="str">
        <f>VLOOKUP($C2199,'2021-22 School Level AAFTE'!$C:$Z,12,FALSE)</f>
        <v>No</v>
      </c>
      <c r="H2199" s="127">
        <f>VLOOKUP($C2199,'2021-22 School Level AAFTE'!$C:$I,7,FALSE)</f>
        <v>15.71</v>
      </c>
      <c r="I2199" s="112">
        <f>IFERROR(IF(OR(G2199="yes",F2199= "yes"),VLOOKUP(C2199,Summary!$B:$J,6,0),0),0)</f>
        <v>0</v>
      </c>
      <c r="J2199" s="111">
        <f t="shared" si="426"/>
        <v>15.71</v>
      </c>
      <c r="K2199" s="91">
        <f>VLOOKUP($A2199,'2022-23 Salary &amp; Benefits'!$A:$I,3,FALSE)</f>
        <v>1</v>
      </c>
      <c r="L2199" s="91">
        <f>VLOOKUP($A2199,'2022-23 Salary &amp; Benefits'!$A:$I,4,FALSE)</f>
        <v>1</v>
      </c>
      <c r="M2199" s="101">
        <f t="shared" si="421"/>
        <v>15.71</v>
      </c>
      <c r="N2199" s="24">
        <v>15</v>
      </c>
      <c r="O2199" s="26">
        <f t="shared" si="424"/>
        <v>1.0473333333333334</v>
      </c>
      <c r="P2199" s="24">
        <v>1.1000000000000001</v>
      </c>
      <c r="Q2199" s="24">
        <v>36</v>
      </c>
      <c r="R2199" s="27">
        <f t="shared" si="425"/>
        <v>41.474400000000003</v>
      </c>
      <c r="S2199" s="102">
        <f t="shared" si="427"/>
        <v>4.5999999999999999E-2</v>
      </c>
      <c r="T2199" s="21">
        <f>VLOOKUP($A2199,'2022-23 Salary &amp; Benefits'!$A:$I,5,FALSE)</f>
        <v>68937</v>
      </c>
      <c r="U2199" s="21">
        <f>VLOOKUP($A2199,'2022-23 Salary &amp; Benefits'!$A:$I,6,FALSE)</f>
        <v>72728</v>
      </c>
      <c r="V2199" s="22">
        <f t="shared" si="428"/>
        <v>3171.1</v>
      </c>
      <c r="W2199" s="22">
        <f t="shared" si="429"/>
        <v>174.38999999999987</v>
      </c>
      <c r="X2199" s="22">
        <f>'2022-23 Salary &amp; Benefits'!$G$6</f>
        <v>12558.24</v>
      </c>
      <c r="Y2199" s="23">
        <f>'2022-23 Salary &amp; Benefits'!$H$6</f>
        <v>0.2298</v>
      </c>
      <c r="Z2199" s="23">
        <f>'2022-23 Salary &amp; Benefits'!$I$6</f>
        <v>0.22339999999999999</v>
      </c>
      <c r="AA2199" s="22">
        <f t="shared" si="430"/>
        <v>1345.36</v>
      </c>
      <c r="AB2199" s="22">
        <f t="shared" si="431"/>
        <v>55.76</v>
      </c>
      <c r="AC2199" s="22">
        <f t="shared" si="432"/>
        <v>12.46</v>
      </c>
      <c r="AD2199" s="22">
        <f t="shared" si="422"/>
        <v>68.22</v>
      </c>
      <c r="AE2199" s="22">
        <f t="shared" si="423"/>
        <v>4759.0700000000006</v>
      </c>
      <c r="AF2199" s="19" t="str">
        <f>VLOOKUP(C2199,'2021-22 School Level AAFTE'!C:N,12,FALSE)</f>
        <v>No</v>
      </c>
    </row>
    <row r="2200" spans="1:32" customFormat="1">
      <c r="A2200" s="97" t="s">
        <v>2317</v>
      </c>
      <c r="B2200" s="97" t="s">
        <v>408</v>
      </c>
      <c r="C2200" s="95">
        <v>3152</v>
      </c>
      <c r="D2200" s="95" t="s">
        <v>410</v>
      </c>
      <c r="E2200" s="129">
        <f>VLOOKUP($C2200,'2021-22 School Level AAFTE'!$C:$Z,11,FALSE)</f>
        <v>0.93929999999999991</v>
      </c>
      <c r="F2200" s="129" t="str">
        <f>VLOOKUP($C2200,'2021-22 School Level AAFTE'!$C:$Z,8,FALSE)</f>
        <v>Yes</v>
      </c>
      <c r="G2200" s="129" t="str">
        <f>VLOOKUP($C2200,'2021-22 School Level AAFTE'!$C:$Z,12,FALSE)</f>
        <v>No</v>
      </c>
      <c r="H2200" s="127">
        <f>VLOOKUP($C2200,'2021-22 School Level AAFTE'!$C:$I,7,FALSE)</f>
        <v>370.71</v>
      </c>
      <c r="I2200" s="112">
        <f>IFERROR(IF(OR(G2200="yes",F2200= "yes"),VLOOKUP(C2200,Summary!$B:$J,6,0),0),0)</f>
        <v>0</v>
      </c>
      <c r="J2200" s="111">
        <f t="shared" si="426"/>
        <v>370.71</v>
      </c>
      <c r="K2200" s="91">
        <f>VLOOKUP($A2200,'2022-23 Salary &amp; Benefits'!$A:$I,3,FALSE)</f>
        <v>1</v>
      </c>
      <c r="L2200" s="91">
        <f>VLOOKUP($A2200,'2022-23 Salary &amp; Benefits'!$A:$I,4,FALSE)</f>
        <v>1</v>
      </c>
      <c r="M2200" s="101">
        <f t="shared" si="421"/>
        <v>370.71</v>
      </c>
      <c r="N2200" s="24">
        <v>15</v>
      </c>
      <c r="O2200" s="26">
        <f t="shared" si="424"/>
        <v>24.713999999999999</v>
      </c>
      <c r="P2200" s="24">
        <v>1.1000000000000001</v>
      </c>
      <c r="Q2200" s="24">
        <v>36</v>
      </c>
      <c r="R2200" s="27">
        <f t="shared" si="425"/>
        <v>978.67440000000011</v>
      </c>
      <c r="S2200" s="102">
        <f t="shared" si="427"/>
        <v>1.087</v>
      </c>
      <c r="T2200" s="21">
        <f>VLOOKUP($A2200,'2022-23 Salary &amp; Benefits'!$A:$I,5,FALSE)</f>
        <v>68937</v>
      </c>
      <c r="U2200" s="21">
        <f>VLOOKUP($A2200,'2022-23 Salary &amp; Benefits'!$A:$I,6,FALSE)</f>
        <v>72728</v>
      </c>
      <c r="V2200" s="22">
        <f t="shared" si="428"/>
        <v>74934.52</v>
      </c>
      <c r="W2200" s="22">
        <f t="shared" si="429"/>
        <v>4120.8199999999924</v>
      </c>
      <c r="X2200" s="22">
        <f>'2022-23 Salary &amp; Benefits'!$G$6</f>
        <v>12558.24</v>
      </c>
      <c r="Y2200" s="23">
        <f>'2022-23 Salary &amp; Benefits'!$H$6</f>
        <v>0.2298</v>
      </c>
      <c r="Z2200" s="23">
        <f>'2022-23 Salary &amp; Benefits'!$I$6</f>
        <v>0.22339999999999999</v>
      </c>
      <c r="AA2200" s="22">
        <f t="shared" si="430"/>
        <v>31791.35</v>
      </c>
      <c r="AB2200" s="22">
        <f t="shared" si="431"/>
        <v>1317.59</v>
      </c>
      <c r="AC2200" s="22">
        <f t="shared" si="432"/>
        <v>294.35000000000002</v>
      </c>
      <c r="AD2200" s="22">
        <f t="shared" si="422"/>
        <v>1611.94</v>
      </c>
      <c r="AE2200" s="22">
        <f t="shared" si="423"/>
        <v>112458.62999999999</v>
      </c>
      <c r="AF2200" s="19" t="str">
        <f>VLOOKUP(C2200,'2021-22 School Level AAFTE'!C:N,12,FALSE)</f>
        <v>No</v>
      </c>
    </row>
    <row r="2201" spans="1:32" customFormat="1">
      <c r="A2201" s="97" t="s">
        <v>2317</v>
      </c>
      <c r="B2201" s="97" t="s">
        <v>408</v>
      </c>
      <c r="C2201" s="95">
        <v>4222</v>
      </c>
      <c r="D2201" s="95" t="s">
        <v>411</v>
      </c>
      <c r="E2201" s="129">
        <f>VLOOKUP($C2201,'2021-22 School Level AAFTE'!$C:$Z,11,FALSE)</f>
        <v>0.9706999999999999</v>
      </c>
      <c r="F2201" s="129" t="str">
        <f>VLOOKUP($C2201,'2021-22 School Level AAFTE'!$C:$Z,8,FALSE)</f>
        <v>Yes</v>
      </c>
      <c r="G2201" s="129" t="str">
        <f>VLOOKUP($C2201,'2021-22 School Level AAFTE'!$C:$Z,12,FALSE)</f>
        <v>No</v>
      </c>
      <c r="H2201" s="127">
        <f>VLOOKUP($C2201,'2021-22 School Level AAFTE'!$C:$I,7,FALSE)</f>
        <v>235.57</v>
      </c>
      <c r="I2201" s="112">
        <f>IFERROR(IF(OR(G2201="yes",F2201= "yes"),VLOOKUP(C2201,Summary!$B:$J,6,0),0),0)</f>
        <v>0</v>
      </c>
      <c r="J2201" s="111">
        <f t="shared" si="426"/>
        <v>235.57</v>
      </c>
      <c r="K2201" s="91">
        <f>VLOOKUP($A2201,'2022-23 Salary &amp; Benefits'!$A:$I,3,FALSE)</f>
        <v>1</v>
      </c>
      <c r="L2201" s="91">
        <f>VLOOKUP($A2201,'2022-23 Salary &amp; Benefits'!$A:$I,4,FALSE)</f>
        <v>1</v>
      </c>
      <c r="M2201" s="101">
        <f t="shared" si="421"/>
        <v>235.57</v>
      </c>
      <c r="N2201" s="24">
        <v>15</v>
      </c>
      <c r="O2201" s="26">
        <f t="shared" si="424"/>
        <v>15.704666666666666</v>
      </c>
      <c r="P2201" s="24">
        <v>1.1000000000000001</v>
      </c>
      <c r="Q2201" s="24">
        <v>36</v>
      </c>
      <c r="R2201" s="27">
        <f t="shared" si="425"/>
        <v>621.90480000000002</v>
      </c>
      <c r="S2201" s="102">
        <f t="shared" si="427"/>
        <v>0.69099999999999995</v>
      </c>
      <c r="T2201" s="21">
        <f>VLOOKUP($A2201,'2022-23 Salary &amp; Benefits'!$A:$I,5,FALSE)</f>
        <v>68937</v>
      </c>
      <c r="U2201" s="21">
        <f>VLOOKUP($A2201,'2022-23 Salary &amp; Benefits'!$A:$I,6,FALSE)</f>
        <v>72728</v>
      </c>
      <c r="V2201" s="22">
        <f t="shared" si="428"/>
        <v>47635.47</v>
      </c>
      <c r="W2201" s="22">
        <f t="shared" si="429"/>
        <v>2619.5800000000017</v>
      </c>
      <c r="X2201" s="22">
        <f>'2022-23 Salary &amp; Benefits'!$G$6</f>
        <v>12558.24</v>
      </c>
      <c r="Y2201" s="23">
        <f>'2022-23 Salary &amp; Benefits'!$H$6</f>
        <v>0.2298</v>
      </c>
      <c r="Z2201" s="23">
        <f>'2022-23 Salary &amp; Benefits'!$I$6</f>
        <v>0.22339999999999999</v>
      </c>
      <c r="AA2201" s="22">
        <f t="shared" si="430"/>
        <v>20209.59</v>
      </c>
      <c r="AB2201" s="22">
        <f t="shared" si="431"/>
        <v>837.58</v>
      </c>
      <c r="AC2201" s="22">
        <f t="shared" si="432"/>
        <v>187.12</v>
      </c>
      <c r="AD2201" s="22">
        <f t="shared" si="422"/>
        <v>1024.7</v>
      </c>
      <c r="AE2201" s="22">
        <f t="shared" si="423"/>
        <v>71489.34</v>
      </c>
      <c r="AF2201" s="19" t="str">
        <f>VLOOKUP(C2201,'2021-22 School Level AAFTE'!C:N,12,FALSE)</f>
        <v>No</v>
      </c>
    </row>
    <row r="2202" spans="1:32" customFormat="1">
      <c r="A2202" s="97" t="s">
        <v>2317</v>
      </c>
      <c r="B2202" s="97" t="s">
        <v>408</v>
      </c>
      <c r="C2202" s="95">
        <v>4254</v>
      </c>
      <c r="D2202" s="95" t="s">
        <v>412</v>
      </c>
      <c r="E2202" s="129">
        <f>VLOOKUP($C2202,'2021-22 School Level AAFTE'!$C:$Z,11,FALSE)</f>
        <v>0.94956666666666667</v>
      </c>
      <c r="F2202" s="129" t="str">
        <f>VLOOKUP($C2202,'2021-22 School Level AAFTE'!$C:$Z,8,FALSE)</f>
        <v>Yes</v>
      </c>
      <c r="G2202" s="129" t="str">
        <f>VLOOKUP($C2202,'2021-22 School Level AAFTE'!$C:$Z,12,FALSE)</f>
        <v>No</v>
      </c>
      <c r="H2202" s="127">
        <f>VLOOKUP($C2202,'2021-22 School Level AAFTE'!$C:$I,7,FALSE)</f>
        <v>741.31000000000006</v>
      </c>
      <c r="I2202" s="112">
        <f>IFERROR(IF(OR(G2202="yes",F2202= "yes"),VLOOKUP(C2202,Summary!$B:$J,6,0),0),0)</f>
        <v>0</v>
      </c>
      <c r="J2202" s="111">
        <f t="shared" si="426"/>
        <v>741.31000000000006</v>
      </c>
      <c r="K2202" s="91">
        <f>VLOOKUP($A2202,'2022-23 Salary &amp; Benefits'!$A:$I,3,FALSE)</f>
        <v>1</v>
      </c>
      <c r="L2202" s="91">
        <f>VLOOKUP($A2202,'2022-23 Salary &amp; Benefits'!$A:$I,4,FALSE)</f>
        <v>1</v>
      </c>
      <c r="M2202" s="101">
        <f t="shared" si="421"/>
        <v>741.31000000000006</v>
      </c>
      <c r="N2202" s="24">
        <v>15</v>
      </c>
      <c r="O2202" s="26">
        <f t="shared" si="424"/>
        <v>49.420666666666669</v>
      </c>
      <c r="P2202" s="24">
        <v>1.1000000000000001</v>
      </c>
      <c r="Q2202" s="24">
        <v>36</v>
      </c>
      <c r="R2202" s="27">
        <f t="shared" si="425"/>
        <v>1957.0584000000001</v>
      </c>
      <c r="S2202" s="102">
        <f t="shared" si="427"/>
        <v>2.1749999999999998</v>
      </c>
      <c r="T2202" s="21">
        <f>VLOOKUP($A2202,'2022-23 Salary &amp; Benefits'!$A:$I,5,FALSE)</f>
        <v>68937</v>
      </c>
      <c r="U2202" s="21">
        <f>VLOOKUP($A2202,'2022-23 Salary &amp; Benefits'!$A:$I,6,FALSE)</f>
        <v>72728</v>
      </c>
      <c r="V2202" s="22">
        <f t="shared" si="428"/>
        <v>149937.98000000001</v>
      </c>
      <c r="W2202" s="22">
        <f t="shared" si="429"/>
        <v>8245.4199999999837</v>
      </c>
      <c r="X2202" s="22">
        <f>'2022-23 Salary &amp; Benefits'!$G$6</f>
        <v>12558.24</v>
      </c>
      <c r="Y2202" s="23">
        <f>'2022-23 Salary &amp; Benefits'!$H$6</f>
        <v>0.2298</v>
      </c>
      <c r="Z2202" s="23">
        <f>'2022-23 Salary &amp; Benefits'!$I$6</f>
        <v>0.22339999999999999</v>
      </c>
      <c r="AA2202" s="22">
        <f t="shared" si="430"/>
        <v>63611.95</v>
      </c>
      <c r="AB2202" s="22">
        <f t="shared" si="431"/>
        <v>2636.39</v>
      </c>
      <c r="AC2202" s="22">
        <f t="shared" si="432"/>
        <v>588.97</v>
      </c>
      <c r="AD2202" s="22">
        <f t="shared" si="422"/>
        <v>3225.3599999999997</v>
      </c>
      <c r="AE2202" s="22">
        <f t="shared" si="423"/>
        <v>225020.70999999996</v>
      </c>
      <c r="AF2202" s="19" t="str">
        <f>VLOOKUP(C2202,'2021-22 School Level AAFTE'!C:N,12,FALSE)</f>
        <v>No</v>
      </c>
    </row>
    <row r="2203" spans="1:32" customFormat="1">
      <c r="A2203" s="97" t="s">
        <v>2317</v>
      </c>
      <c r="B2203" s="97" t="s">
        <v>408</v>
      </c>
      <c r="C2203" s="95">
        <v>4490</v>
      </c>
      <c r="D2203" s="95" t="s">
        <v>413</v>
      </c>
      <c r="E2203" s="129">
        <f>VLOOKUP($C2203,'2021-22 School Level AAFTE'!$C:$Z,11,FALSE)</f>
        <v>0.96566666666666656</v>
      </c>
      <c r="F2203" s="129" t="str">
        <f>VLOOKUP($C2203,'2021-22 School Level AAFTE'!$C:$Z,8,FALSE)</f>
        <v>Yes</v>
      </c>
      <c r="G2203" s="129" t="str">
        <f>VLOOKUP($C2203,'2021-22 School Level AAFTE'!$C:$Z,12,FALSE)</f>
        <v>No</v>
      </c>
      <c r="H2203" s="127">
        <f>VLOOKUP($C2203,'2021-22 School Level AAFTE'!$C:$I,7,FALSE)</f>
        <v>439.86</v>
      </c>
      <c r="I2203" s="112">
        <f>IFERROR(IF(OR(G2203="yes",F2203= "yes"),VLOOKUP(C2203,Summary!$B:$J,6,0),0),0)</f>
        <v>0</v>
      </c>
      <c r="J2203" s="111">
        <f t="shared" si="426"/>
        <v>439.86</v>
      </c>
      <c r="K2203" s="91">
        <f>VLOOKUP($A2203,'2022-23 Salary &amp; Benefits'!$A:$I,3,FALSE)</f>
        <v>1</v>
      </c>
      <c r="L2203" s="91">
        <f>VLOOKUP($A2203,'2022-23 Salary &amp; Benefits'!$A:$I,4,FALSE)</f>
        <v>1</v>
      </c>
      <c r="M2203" s="101">
        <f t="shared" si="421"/>
        <v>439.86</v>
      </c>
      <c r="N2203" s="24">
        <v>15</v>
      </c>
      <c r="O2203" s="26">
        <f t="shared" si="424"/>
        <v>29.324000000000002</v>
      </c>
      <c r="P2203" s="24">
        <v>1.1000000000000001</v>
      </c>
      <c r="Q2203" s="24">
        <v>36</v>
      </c>
      <c r="R2203" s="27">
        <f t="shared" si="425"/>
        <v>1161.2304000000001</v>
      </c>
      <c r="S2203" s="102">
        <f t="shared" si="427"/>
        <v>1.29</v>
      </c>
      <c r="T2203" s="21">
        <f>VLOOKUP($A2203,'2022-23 Salary &amp; Benefits'!$A:$I,5,FALSE)</f>
        <v>68937</v>
      </c>
      <c r="U2203" s="21">
        <f>VLOOKUP($A2203,'2022-23 Salary &amp; Benefits'!$A:$I,6,FALSE)</f>
        <v>72728</v>
      </c>
      <c r="V2203" s="22">
        <f t="shared" si="428"/>
        <v>88928.73</v>
      </c>
      <c r="W2203" s="22">
        <f t="shared" si="429"/>
        <v>4890.3899999999994</v>
      </c>
      <c r="X2203" s="22">
        <f>'2022-23 Salary &amp; Benefits'!$G$6</f>
        <v>12558.24</v>
      </c>
      <c r="Y2203" s="23">
        <f>'2022-23 Salary &amp; Benefits'!$H$6</f>
        <v>0.2298</v>
      </c>
      <c r="Z2203" s="23">
        <f>'2022-23 Salary &amp; Benefits'!$I$6</f>
        <v>0.22339999999999999</v>
      </c>
      <c r="AA2203" s="22">
        <f t="shared" si="430"/>
        <v>37728.46</v>
      </c>
      <c r="AB2203" s="22">
        <f t="shared" si="431"/>
        <v>1563.65</v>
      </c>
      <c r="AC2203" s="22">
        <f t="shared" si="432"/>
        <v>349.32</v>
      </c>
      <c r="AD2203" s="22">
        <f t="shared" si="422"/>
        <v>1912.97</v>
      </c>
      <c r="AE2203" s="22">
        <f t="shared" si="423"/>
        <v>133460.55000000002</v>
      </c>
      <c r="AF2203" s="19" t="str">
        <f>VLOOKUP(C2203,'2021-22 School Level AAFTE'!C:N,12,FALSE)</f>
        <v>No</v>
      </c>
    </row>
    <row r="2204" spans="1:32" customFormat="1">
      <c r="A2204" s="97" t="s">
        <v>2317</v>
      </c>
      <c r="B2204" s="97" t="s">
        <v>408</v>
      </c>
      <c r="C2204" s="95">
        <v>5144</v>
      </c>
      <c r="D2204" s="95" t="s">
        <v>414</v>
      </c>
      <c r="E2204" s="129">
        <f>VLOOKUP($C2204,'2021-22 School Level AAFTE'!$C:$Z,11,FALSE)</f>
        <v>0.95389999999999997</v>
      </c>
      <c r="F2204" s="129" t="str">
        <f>VLOOKUP($C2204,'2021-22 School Level AAFTE'!$C:$Z,8,FALSE)</f>
        <v>Yes</v>
      </c>
      <c r="G2204" s="129" t="str">
        <f>VLOOKUP($C2204,'2021-22 School Level AAFTE'!$C:$Z,12,FALSE)</f>
        <v>No</v>
      </c>
      <c r="H2204" s="127">
        <f>VLOOKUP($C2204,'2021-22 School Level AAFTE'!$C:$I,7,FALSE)</f>
        <v>591</v>
      </c>
      <c r="I2204" s="112">
        <f>IFERROR(IF(OR(G2204="yes",F2204= "yes"),VLOOKUP(C2204,Summary!$B:$J,6,0),0),0)</f>
        <v>0</v>
      </c>
      <c r="J2204" s="111">
        <f t="shared" si="426"/>
        <v>591</v>
      </c>
      <c r="K2204" s="91">
        <f>VLOOKUP($A2204,'2022-23 Salary &amp; Benefits'!$A:$I,3,FALSE)</f>
        <v>1</v>
      </c>
      <c r="L2204" s="91">
        <f>VLOOKUP($A2204,'2022-23 Salary &amp; Benefits'!$A:$I,4,FALSE)</f>
        <v>1</v>
      </c>
      <c r="M2204" s="101">
        <f t="shared" si="421"/>
        <v>591</v>
      </c>
      <c r="N2204" s="24">
        <v>15</v>
      </c>
      <c r="O2204" s="26">
        <f t="shared" si="424"/>
        <v>39.4</v>
      </c>
      <c r="P2204" s="24">
        <v>1.1000000000000001</v>
      </c>
      <c r="Q2204" s="24">
        <v>36</v>
      </c>
      <c r="R2204" s="27">
        <f t="shared" si="425"/>
        <v>1560.2400000000002</v>
      </c>
      <c r="S2204" s="102">
        <f t="shared" si="427"/>
        <v>1.734</v>
      </c>
      <c r="T2204" s="21">
        <f>VLOOKUP($A2204,'2022-23 Salary &amp; Benefits'!$A:$I,5,FALSE)</f>
        <v>68937</v>
      </c>
      <c r="U2204" s="21">
        <f>VLOOKUP($A2204,'2022-23 Salary &amp; Benefits'!$A:$I,6,FALSE)</f>
        <v>72728</v>
      </c>
      <c r="V2204" s="22">
        <f t="shared" si="428"/>
        <v>119536.76</v>
      </c>
      <c r="W2204" s="22">
        <f t="shared" si="429"/>
        <v>6573.5900000000111</v>
      </c>
      <c r="X2204" s="22">
        <f>'2022-23 Salary &amp; Benefits'!$G$6</f>
        <v>12558.24</v>
      </c>
      <c r="Y2204" s="23">
        <f>'2022-23 Salary &amp; Benefits'!$H$6</f>
        <v>0.2298</v>
      </c>
      <c r="Z2204" s="23">
        <f>'2022-23 Salary &amp; Benefits'!$I$6</f>
        <v>0.22339999999999999</v>
      </c>
      <c r="AA2204" s="22">
        <f t="shared" si="430"/>
        <v>50714.080000000002</v>
      </c>
      <c r="AB2204" s="22">
        <f t="shared" si="431"/>
        <v>2101.84</v>
      </c>
      <c r="AC2204" s="22">
        <f t="shared" si="432"/>
        <v>469.55</v>
      </c>
      <c r="AD2204" s="22">
        <f t="shared" si="422"/>
        <v>2571.3900000000003</v>
      </c>
      <c r="AE2204" s="22">
        <f t="shared" si="423"/>
        <v>179395.82</v>
      </c>
      <c r="AF2204" s="19" t="str">
        <f>VLOOKUP(C2204,'2021-22 School Level AAFTE'!C:N,12,FALSE)</f>
        <v>No</v>
      </c>
    </row>
    <row r="2205" spans="1:32" customFormat="1">
      <c r="A2205" s="97" t="s">
        <v>2530</v>
      </c>
      <c r="B2205" s="97" t="s">
        <v>2057</v>
      </c>
      <c r="C2205" s="95">
        <v>2174</v>
      </c>
      <c r="D2205" s="95" t="s">
        <v>2058</v>
      </c>
      <c r="E2205" s="129">
        <f>VLOOKUP($C2205,'2021-22 School Level AAFTE'!$C:$Z,11,FALSE)</f>
        <v>0.51636666666666664</v>
      </c>
      <c r="F2205" s="129" t="str">
        <f>VLOOKUP($C2205,'2021-22 School Level AAFTE'!$C:$Z,8,FALSE)</f>
        <v>Yes</v>
      </c>
      <c r="G2205" s="129" t="str">
        <f>VLOOKUP($C2205,'2021-22 School Level AAFTE'!$C:$Z,12,FALSE)</f>
        <v>No</v>
      </c>
      <c r="H2205" s="127">
        <f>VLOOKUP($C2205,'2021-22 School Level AAFTE'!$C:$I,7,FALSE)</f>
        <v>70.239999999999995</v>
      </c>
      <c r="I2205" s="112">
        <f>IFERROR(IF(OR(G2205="yes",F2205= "yes"),VLOOKUP(C2205,Summary!$B:$J,6,0),0),0)</f>
        <v>0</v>
      </c>
      <c r="J2205" s="111">
        <f t="shared" si="426"/>
        <v>70.239999999999995</v>
      </c>
      <c r="K2205" s="91">
        <f>VLOOKUP($A2205,'2022-23 Salary &amp; Benefits'!$A:$I,3,FALSE)</f>
        <v>1</v>
      </c>
      <c r="L2205" s="91">
        <f>VLOOKUP($A2205,'2022-23 Salary &amp; Benefits'!$A:$I,4,FALSE)</f>
        <v>1</v>
      </c>
      <c r="M2205" s="101">
        <f t="shared" si="421"/>
        <v>70.239999999999995</v>
      </c>
      <c r="N2205" s="24">
        <v>15</v>
      </c>
      <c r="O2205" s="26">
        <f t="shared" si="424"/>
        <v>4.6826666666666661</v>
      </c>
      <c r="P2205" s="24">
        <v>1.1000000000000001</v>
      </c>
      <c r="Q2205" s="24">
        <v>36</v>
      </c>
      <c r="R2205" s="27">
        <f t="shared" si="425"/>
        <v>185.43359999999998</v>
      </c>
      <c r="S2205" s="102">
        <f t="shared" si="427"/>
        <v>0.20599999999999999</v>
      </c>
      <c r="T2205" s="21">
        <f>VLOOKUP($A2205,'2022-23 Salary &amp; Benefits'!$A:$I,5,FALSE)</f>
        <v>68937</v>
      </c>
      <c r="U2205" s="21">
        <f>VLOOKUP($A2205,'2022-23 Salary &amp; Benefits'!$A:$I,6,FALSE)</f>
        <v>72728</v>
      </c>
      <c r="V2205" s="22">
        <f t="shared" si="428"/>
        <v>14201.02</v>
      </c>
      <c r="W2205" s="22">
        <f t="shared" si="429"/>
        <v>780.94999999999891</v>
      </c>
      <c r="X2205" s="22">
        <f>'2022-23 Salary &amp; Benefits'!$G$6</f>
        <v>12558.24</v>
      </c>
      <c r="Y2205" s="23">
        <f>'2022-23 Salary &amp; Benefits'!$H$6</f>
        <v>0.2298</v>
      </c>
      <c r="Z2205" s="23">
        <f>'2022-23 Salary &amp; Benefits'!$I$6</f>
        <v>0.22339999999999999</v>
      </c>
      <c r="AA2205" s="22">
        <f t="shared" si="430"/>
        <v>6024.86</v>
      </c>
      <c r="AB2205" s="22">
        <f t="shared" si="431"/>
        <v>249.7</v>
      </c>
      <c r="AC2205" s="22">
        <f t="shared" si="432"/>
        <v>55.78</v>
      </c>
      <c r="AD2205" s="22">
        <f t="shared" si="422"/>
        <v>305.48</v>
      </c>
      <c r="AE2205" s="22">
        <f t="shared" si="423"/>
        <v>21312.31</v>
      </c>
      <c r="AF2205" s="19" t="str">
        <f>VLOOKUP(C2205,'2021-22 School Level AAFTE'!C:N,12,FALSE)</f>
        <v>No</v>
      </c>
    </row>
    <row r="2206" spans="1:32" customFormat="1">
      <c r="A2206" s="97" t="s">
        <v>2530</v>
      </c>
      <c r="B2206" s="97" t="s">
        <v>2057</v>
      </c>
      <c r="C2206" s="95">
        <v>2386</v>
      </c>
      <c r="D2206" s="95" t="s">
        <v>2059</v>
      </c>
      <c r="E2206" s="129">
        <f>VLOOKUP($C2206,'2021-22 School Level AAFTE'!$C:$Z,11,FALSE)</f>
        <v>0.5056666666666666</v>
      </c>
      <c r="F2206" s="129" t="str">
        <f>VLOOKUP($C2206,'2021-22 School Level AAFTE'!$C:$Z,8,FALSE)</f>
        <v>Yes</v>
      </c>
      <c r="G2206" s="129" t="str">
        <f>VLOOKUP($C2206,'2021-22 School Level AAFTE'!$C:$Z,12,FALSE)</f>
        <v>No</v>
      </c>
      <c r="H2206" s="127">
        <f>VLOOKUP($C2206,'2021-22 School Level AAFTE'!$C:$I,7,FALSE)</f>
        <v>77.150000000000006</v>
      </c>
      <c r="I2206" s="112">
        <f>IFERROR(IF(OR(G2206="yes",F2206= "yes"),VLOOKUP(C2206,Summary!$B:$J,6,0),0),0)</f>
        <v>0</v>
      </c>
      <c r="J2206" s="111">
        <f t="shared" si="426"/>
        <v>77.150000000000006</v>
      </c>
      <c r="K2206" s="91">
        <f>VLOOKUP($A2206,'2022-23 Salary &amp; Benefits'!$A:$I,3,FALSE)</f>
        <v>1</v>
      </c>
      <c r="L2206" s="91">
        <f>VLOOKUP($A2206,'2022-23 Salary &amp; Benefits'!$A:$I,4,FALSE)</f>
        <v>1</v>
      </c>
      <c r="M2206" s="101">
        <f t="shared" si="421"/>
        <v>77.150000000000006</v>
      </c>
      <c r="N2206" s="24">
        <v>15</v>
      </c>
      <c r="O2206" s="26">
        <f t="shared" si="424"/>
        <v>5.1433333333333335</v>
      </c>
      <c r="P2206" s="24">
        <v>1.1000000000000001</v>
      </c>
      <c r="Q2206" s="24">
        <v>36</v>
      </c>
      <c r="R2206" s="27">
        <f t="shared" si="425"/>
        <v>203.67600000000004</v>
      </c>
      <c r="S2206" s="102">
        <f t="shared" si="427"/>
        <v>0.22600000000000001</v>
      </c>
      <c r="T2206" s="21">
        <f>VLOOKUP($A2206,'2022-23 Salary &amp; Benefits'!$A:$I,5,FALSE)</f>
        <v>68937</v>
      </c>
      <c r="U2206" s="21">
        <f>VLOOKUP($A2206,'2022-23 Salary &amp; Benefits'!$A:$I,6,FALSE)</f>
        <v>72728</v>
      </c>
      <c r="V2206" s="22">
        <f t="shared" si="428"/>
        <v>15579.76</v>
      </c>
      <c r="W2206" s="22">
        <f t="shared" si="429"/>
        <v>856.76999999999862</v>
      </c>
      <c r="X2206" s="22">
        <f>'2022-23 Salary &amp; Benefits'!$G$6</f>
        <v>12558.24</v>
      </c>
      <c r="Y2206" s="23">
        <f>'2022-23 Salary &amp; Benefits'!$H$6</f>
        <v>0.2298</v>
      </c>
      <c r="Z2206" s="23">
        <f>'2022-23 Salary &amp; Benefits'!$I$6</f>
        <v>0.22339999999999999</v>
      </c>
      <c r="AA2206" s="22">
        <f t="shared" si="430"/>
        <v>6609.79</v>
      </c>
      <c r="AB2206" s="22">
        <f t="shared" si="431"/>
        <v>273.94</v>
      </c>
      <c r="AC2206" s="22">
        <f t="shared" si="432"/>
        <v>61.2</v>
      </c>
      <c r="AD2206" s="22">
        <f t="shared" si="422"/>
        <v>335.14</v>
      </c>
      <c r="AE2206" s="22">
        <f t="shared" si="423"/>
        <v>23381.46</v>
      </c>
      <c r="AF2206" s="19" t="str">
        <f>VLOOKUP(C2206,'2021-22 School Level AAFTE'!C:N,12,FALSE)</f>
        <v>No</v>
      </c>
    </row>
    <row r="2207" spans="1:32" customFormat="1">
      <c r="A2207" s="97" t="s">
        <v>2530</v>
      </c>
      <c r="B2207" s="97" t="s">
        <v>2057</v>
      </c>
      <c r="C2207" s="95">
        <v>2712</v>
      </c>
      <c r="D2207" s="95" t="s">
        <v>2060</v>
      </c>
      <c r="E2207" s="129">
        <f>VLOOKUP($C2207,'2021-22 School Level AAFTE'!$C:$Z,11,FALSE)</f>
        <v>0.45793333333333336</v>
      </c>
      <c r="F2207" s="129" t="str">
        <f>VLOOKUP($C2207,'2021-22 School Level AAFTE'!$C:$Z,8,FALSE)</f>
        <v>Yes</v>
      </c>
      <c r="G2207" s="129" t="str">
        <f>VLOOKUP($C2207,'2021-22 School Level AAFTE'!$C:$Z,12,FALSE)</f>
        <v>No</v>
      </c>
      <c r="H2207" s="127">
        <f>VLOOKUP($C2207,'2021-22 School Level AAFTE'!$C:$I,7,FALSE)</f>
        <v>113.36</v>
      </c>
      <c r="I2207" s="112">
        <f>IFERROR(IF(OR(G2207="yes",F2207= "yes"),VLOOKUP(C2207,Summary!$B:$J,6,0),0),0)</f>
        <v>0</v>
      </c>
      <c r="J2207" s="111">
        <f t="shared" si="426"/>
        <v>113.36</v>
      </c>
      <c r="K2207" s="91">
        <f>VLOOKUP($A2207,'2022-23 Salary &amp; Benefits'!$A:$I,3,FALSE)</f>
        <v>1</v>
      </c>
      <c r="L2207" s="91">
        <f>VLOOKUP($A2207,'2022-23 Salary &amp; Benefits'!$A:$I,4,FALSE)</f>
        <v>1</v>
      </c>
      <c r="M2207" s="101">
        <f t="shared" si="421"/>
        <v>113.36</v>
      </c>
      <c r="N2207" s="24">
        <v>15</v>
      </c>
      <c r="O2207" s="26">
        <f t="shared" si="424"/>
        <v>7.5573333333333332</v>
      </c>
      <c r="P2207" s="24">
        <v>1.1000000000000001</v>
      </c>
      <c r="Q2207" s="24">
        <v>36</v>
      </c>
      <c r="R2207" s="27">
        <f t="shared" si="425"/>
        <v>299.27040000000005</v>
      </c>
      <c r="S2207" s="102">
        <f t="shared" si="427"/>
        <v>0.33300000000000002</v>
      </c>
      <c r="T2207" s="21">
        <f>VLOOKUP($A2207,'2022-23 Salary &amp; Benefits'!$A:$I,5,FALSE)</f>
        <v>68937</v>
      </c>
      <c r="U2207" s="21">
        <f>VLOOKUP($A2207,'2022-23 Salary &amp; Benefits'!$A:$I,6,FALSE)</f>
        <v>72728</v>
      </c>
      <c r="V2207" s="22">
        <f t="shared" si="428"/>
        <v>22956.02</v>
      </c>
      <c r="W2207" s="22">
        <f t="shared" si="429"/>
        <v>1262.3999999999978</v>
      </c>
      <c r="X2207" s="22">
        <f>'2022-23 Salary &amp; Benefits'!$G$6</f>
        <v>12558.24</v>
      </c>
      <c r="Y2207" s="23">
        <f>'2022-23 Salary &amp; Benefits'!$H$6</f>
        <v>0.2298</v>
      </c>
      <c r="Z2207" s="23">
        <f>'2022-23 Salary &amp; Benefits'!$I$6</f>
        <v>0.22339999999999999</v>
      </c>
      <c r="AA2207" s="22">
        <f t="shared" si="430"/>
        <v>9739.2099999999991</v>
      </c>
      <c r="AB2207" s="22">
        <f t="shared" si="431"/>
        <v>403.64</v>
      </c>
      <c r="AC2207" s="22">
        <f t="shared" si="432"/>
        <v>90.17</v>
      </c>
      <c r="AD2207" s="22">
        <f t="shared" si="422"/>
        <v>493.81</v>
      </c>
      <c r="AE2207" s="22">
        <f t="shared" si="423"/>
        <v>34451.439999999995</v>
      </c>
      <c r="AF2207" s="19" t="str">
        <f>VLOOKUP(C2207,'2021-22 School Level AAFTE'!C:N,12,FALSE)</f>
        <v>No</v>
      </c>
    </row>
    <row r="2208" spans="1:32" customFormat="1">
      <c r="A2208" s="97" t="s">
        <v>2526</v>
      </c>
      <c r="B2208" s="97" t="s">
        <v>2041</v>
      </c>
      <c r="C2208" s="95">
        <v>2074</v>
      </c>
      <c r="D2208" s="95" t="s">
        <v>2042</v>
      </c>
      <c r="E2208" s="129">
        <f>VLOOKUP($C2208,'2021-22 School Level AAFTE'!$C:$Z,11,FALSE)</f>
        <v>0.44409999999999999</v>
      </c>
      <c r="F2208" s="129" t="str">
        <f>VLOOKUP($C2208,'2021-22 School Level AAFTE'!$C:$Z,8,FALSE)</f>
        <v>No</v>
      </c>
      <c r="G2208" s="129" t="str">
        <f>VLOOKUP($C2208,'2021-22 School Level AAFTE'!$C:$Z,12,FALSE)</f>
        <v>No</v>
      </c>
      <c r="H2208" s="127">
        <f>VLOOKUP($C2208,'2021-22 School Level AAFTE'!$C:$I,7,FALSE)</f>
        <v>400.86</v>
      </c>
      <c r="I2208" s="112">
        <f>IFERROR(IF(OR(G2208="yes",F2208= "yes"),VLOOKUP(C2208,Summary!$B:$J,6,0),0),0)</f>
        <v>0</v>
      </c>
      <c r="J2208" s="111">
        <f t="shared" si="426"/>
        <v>0</v>
      </c>
      <c r="K2208" s="91">
        <f>VLOOKUP($A2208,'2022-23 Salary &amp; Benefits'!$A:$I,3,FALSE)</f>
        <v>1</v>
      </c>
      <c r="L2208" s="91">
        <f>VLOOKUP($A2208,'2022-23 Salary &amp; Benefits'!$A:$I,4,FALSE)</f>
        <v>1.04</v>
      </c>
      <c r="M2208" s="101">
        <f t="shared" si="421"/>
        <v>0</v>
      </c>
      <c r="N2208" s="24">
        <v>15</v>
      </c>
      <c r="O2208" s="26">
        <f t="shared" si="424"/>
        <v>0</v>
      </c>
      <c r="P2208" s="24">
        <v>1.1000000000000001</v>
      </c>
      <c r="Q2208" s="24">
        <v>36</v>
      </c>
      <c r="R2208" s="27">
        <f t="shared" si="425"/>
        <v>0</v>
      </c>
      <c r="S2208" s="102">
        <f t="shared" si="427"/>
        <v>0</v>
      </c>
      <c r="T2208" s="21">
        <f>VLOOKUP($A2208,'2022-23 Salary &amp; Benefits'!$A:$I,5,FALSE)</f>
        <v>68937</v>
      </c>
      <c r="U2208" s="21">
        <f>VLOOKUP($A2208,'2022-23 Salary &amp; Benefits'!$A:$I,6,FALSE)</f>
        <v>72728</v>
      </c>
      <c r="V2208" s="22">
        <f t="shared" si="428"/>
        <v>0</v>
      </c>
      <c r="W2208" s="22">
        <f t="shared" si="429"/>
        <v>0</v>
      </c>
      <c r="X2208" s="22">
        <f>'2022-23 Salary &amp; Benefits'!$G$6</f>
        <v>12558.24</v>
      </c>
      <c r="Y2208" s="23">
        <f>'2022-23 Salary &amp; Benefits'!$H$6</f>
        <v>0.2298</v>
      </c>
      <c r="Z2208" s="23">
        <f>'2022-23 Salary &amp; Benefits'!$I$6</f>
        <v>0.22339999999999999</v>
      </c>
      <c r="AA2208" s="22">
        <f t="shared" si="430"/>
        <v>0</v>
      </c>
      <c r="AB2208" s="22">
        <f t="shared" si="431"/>
        <v>0</v>
      </c>
      <c r="AC2208" s="22">
        <f t="shared" si="432"/>
        <v>0</v>
      </c>
      <c r="AD2208" s="22">
        <f t="shared" si="422"/>
        <v>0</v>
      </c>
      <c r="AE2208" s="22">
        <f t="shared" si="423"/>
        <v>0</v>
      </c>
      <c r="AF2208" s="19" t="str">
        <f>VLOOKUP(C2208,'2021-22 School Level AAFTE'!C:N,12,FALSE)</f>
        <v>No</v>
      </c>
    </row>
    <row r="2209" spans="1:32" customFormat="1">
      <c r="A2209" s="97" t="s">
        <v>2526</v>
      </c>
      <c r="B2209" s="97" t="s">
        <v>2041</v>
      </c>
      <c r="C2209" s="95">
        <v>2078</v>
      </c>
      <c r="D2209" s="95" t="s">
        <v>2043</v>
      </c>
      <c r="E2209" s="129">
        <f>VLOOKUP($C2209,'2021-22 School Level AAFTE'!$C:$Z,11,FALSE)</f>
        <v>0.71230000000000004</v>
      </c>
      <c r="F2209" s="129" t="str">
        <f>VLOOKUP($C2209,'2021-22 School Level AAFTE'!$C:$Z,8,FALSE)</f>
        <v>Yes</v>
      </c>
      <c r="G2209" s="129" t="str">
        <f>VLOOKUP($C2209,'2021-22 School Level AAFTE'!$C:$Z,12,FALSE)</f>
        <v>No</v>
      </c>
      <c r="H2209" s="127">
        <f>VLOOKUP($C2209,'2021-22 School Level AAFTE'!$C:$I,7,FALSE)</f>
        <v>490.77</v>
      </c>
      <c r="I2209" s="112">
        <f>IFERROR(IF(OR(G2209="yes",F2209= "yes"),VLOOKUP(C2209,Summary!$B:$J,6,0),0),0)</f>
        <v>0</v>
      </c>
      <c r="J2209" s="111">
        <f t="shared" si="426"/>
        <v>490.77</v>
      </c>
      <c r="K2209" s="91">
        <f>VLOOKUP($A2209,'2022-23 Salary &amp; Benefits'!$A:$I,3,FALSE)</f>
        <v>1</v>
      </c>
      <c r="L2209" s="91">
        <f>VLOOKUP($A2209,'2022-23 Salary &amp; Benefits'!$A:$I,4,FALSE)</f>
        <v>1.04</v>
      </c>
      <c r="M2209" s="101">
        <f t="shared" si="421"/>
        <v>490.77</v>
      </c>
      <c r="N2209" s="24">
        <v>15</v>
      </c>
      <c r="O2209" s="26">
        <f t="shared" si="424"/>
        <v>32.717999999999996</v>
      </c>
      <c r="P2209" s="24">
        <v>1.1000000000000001</v>
      </c>
      <c r="Q2209" s="24">
        <v>36</v>
      </c>
      <c r="R2209" s="27">
        <f t="shared" si="425"/>
        <v>1295.6328000000001</v>
      </c>
      <c r="S2209" s="102">
        <f t="shared" si="427"/>
        <v>1.44</v>
      </c>
      <c r="T2209" s="21">
        <f>VLOOKUP($A2209,'2022-23 Salary &amp; Benefits'!$A:$I,5,FALSE)</f>
        <v>68937</v>
      </c>
      <c r="U2209" s="21">
        <f>VLOOKUP($A2209,'2022-23 Salary &amp; Benefits'!$A:$I,6,FALSE)</f>
        <v>72728</v>
      </c>
      <c r="V2209" s="22">
        <f t="shared" si="428"/>
        <v>99269.28</v>
      </c>
      <c r="W2209" s="22">
        <f t="shared" si="429"/>
        <v>9648.1699999999983</v>
      </c>
      <c r="X2209" s="22">
        <f>'2022-23 Salary &amp; Benefits'!$G$6</f>
        <v>12558.24</v>
      </c>
      <c r="Y2209" s="23">
        <f>'2022-23 Salary &amp; Benefits'!$H$6</f>
        <v>0.2298</v>
      </c>
      <c r="Z2209" s="23">
        <f>'2022-23 Salary &amp; Benefits'!$I$6</f>
        <v>0.22339999999999999</v>
      </c>
      <c r="AA2209" s="22">
        <f t="shared" si="430"/>
        <v>43051.35</v>
      </c>
      <c r="AB2209" s="22">
        <f t="shared" si="431"/>
        <v>1815.29</v>
      </c>
      <c r="AC2209" s="22">
        <f t="shared" si="432"/>
        <v>405.54</v>
      </c>
      <c r="AD2209" s="22">
        <f t="shared" si="422"/>
        <v>2220.83</v>
      </c>
      <c r="AE2209" s="22">
        <f t="shared" si="423"/>
        <v>154189.62999999998</v>
      </c>
      <c r="AF2209" s="19" t="str">
        <f>VLOOKUP(C2209,'2021-22 School Level AAFTE'!C:N,12,FALSE)</f>
        <v>No</v>
      </c>
    </row>
    <row r="2210" spans="1:32" customFormat="1">
      <c r="A2210" s="97" t="s">
        <v>2526</v>
      </c>
      <c r="B2210" s="97" t="s">
        <v>2041</v>
      </c>
      <c r="C2210" s="95">
        <v>2159</v>
      </c>
      <c r="D2210" s="95" t="s">
        <v>2044</v>
      </c>
      <c r="E2210" s="129">
        <f>VLOOKUP($C2210,'2021-22 School Level AAFTE'!$C:$Z,11,FALSE)</f>
        <v>0.37776666666666664</v>
      </c>
      <c r="F2210" s="129" t="str">
        <f>VLOOKUP($C2210,'2021-22 School Level AAFTE'!$C:$Z,8,FALSE)</f>
        <v>No</v>
      </c>
      <c r="G2210" s="129" t="str">
        <f>VLOOKUP($C2210,'2021-22 School Level AAFTE'!$C:$Z,12,FALSE)</f>
        <v>No</v>
      </c>
      <c r="H2210" s="127">
        <f>VLOOKUP($C2210,'2021-22 School Level AAFTE'!$C:$I,7,FALSE)</f>
        <v>517.74</v>
      </c>
      <c r="I2210" s="112">
        <f>IFERROR(IF(OR(G2210="yes",F2210= "yes"),VLOOKUP(C2210,Summary!$B:$J,6,0),0),0)</f>
        <v>0</v>
      </c>
      <c r="J2210" s="111">
        <f t="shared" si="426"/>
        <v>0</v>
      </c>
      <c r="K2210" s="91">
        <f>VLOOKUP($A2210,'2022-23 Salary &amp; Benefits'!$A:$I,3,FALSE)</f>
        <v>1</v>
      </c>
      <c r="L2210" s="91">
        <f>VLOOKUP($A2210,'2022-23 Salary &amp; Benefits'!$A:$I,4,FALSE)</f>
        <v>1.04</v>
      </c>
      <c r="M2210" s="101">
        <f t="shared" si="421"/>
        <v>0</v>
      </c>
      <c r="N2210" s="24">
        <v>15</v>
      </c>
      <c r="O2210" s="26">
        <f t="shared" si="424"/>
        <v>0</v>
      </c>
      <c r="P2210" s="24">
        <v>1.1000000000000001</v>
      </c>
      <c r="Q2210" s="24">
        <v>36</v>
      </c>
      <c r="R2210" s="27">
        <f t="shared" si="425"/>
        <v>0</v>
      </c>
      <c r="S2210" s="102">
        <f t="shared" si="427"/>
        <v>0</v>
      </c>
      <c r="T2210" s="21">
        <f>VLOOKUP($A2210,'2022-23 Salary &amp; Benefits'!$A:$I,5,FALSE)</f>
        <v>68937</v>
      </c>
      <c r="U2210" s="21">
        <f>VLOOKUP($A2210,'2022-23 Salary &amp; Benefits'!$A:$I,6,FALSE)</f>
        <v>72728</v>
      </c>
      <c r="V2210" s="22">
        <f t="shared" si="428"/>
        <v>0</v>
      </c>
      <c r="W2210" s="22">
        <f t="shared" si="429"/>
        <v>0</v>
      </c>
      <c r="X2210" s="22">
        <f>'2022-23 Salary &amp; Benefits'!$G$6</f>
        <v>12558.24</v>
      </c>
      <c r="Y2210" s="23">
        <f>'2022-23 Salary &amp; Benefits'!$H$6</f>
        <v>0.2298</v>
      </c>
      <c r="Z2210" s="23">
        <f>'2022-23 Salary &amp; Benefits'!$I$6</f>
        <v>0.22339999999999999</v>
      </c>
      <c r="AA2210" s="22">
        <f t="shared" si="430"/>
        <v>0</v>
      </c>
      <c r="AB2210" s="22">
        <f t="shared" si="431"/>
        <v>0</v>
      </c>
      <c r="AC2210" s="22">
        <f t="shared" si="432"/>
        <v>0</v>
      </c>
      <c r="AD2210" s="22">
        <f t="shared" si="422"/>
        <v>0</v>
      </c>
      <c r="AE2210" s="22">
        <f t="shared" si="423"/>
        <v>0</v>
      </c>
      <c r="AF2210" s="19" t="str">
        <f>VLOOKUP(C2210,'2021-22 School Level AAFTE'!C:N,12,FALSE)</f>
        <v>No</v>
      </c>
    </row>
    <row r="2211" spans="1:32" customFormat="1">
      <c r="A2211" s="97" t="s">
        <v>2526</v>
      </c>
      <c r="B2211" s="97" t="s">
        <v>2041</v>
      </c>
      <c r="C2211" s="95">
        <v>2528</v>
      </c>
      <c r="D2211" s="95" t="s">
        <v>2045</v>
      </c>
      <c r="E2211" s="129">
        <f>VLOOKUP($C2211,'2021-22 School Level AAFTE'!$C:$Z,11,FALSE)</f>
        <v>0.67423333333333335</v>
      </c>
      <c r="F2211" s="129" t="str">
        <f>VLOOKUP($C2211,'2021-22 School Level AAFTE'!$C:$Z,8,FALSE)</f>
        <v>Yes</v>
      </c>
      <c r="G2211" s="129" t="str">
        <f>VLOOKUP($C2211,'2021-22 School Level AAFTE'!$C:$Z,12,FALSE)</f>
        <v>No</v>
      </c>
      <c r="H2211" s="127">
        <f>VLOOKUP($C2211,'2021-22 School Level AAFTE'!$C:$I,7,FALSE)</f>
        <v>424.32</v>
      </c>
      <c r="I2211" s="112">
        <f>IFERROR(IF(OR(G2211="yes",F2211= "yes"),VLOOKUP(C2211,Summary!$B:$J,6,0),0),0)</f>
        <v>0</v>
      </c>
      <c r="J2211" s="111">
        <f t="shared" si="426"/>
        <v>424.32</v>
      </c>
      <c r="K2211" s="91">
        <f>VLOOKUP($A2211,'2022-23 Salary &amp; Benefits'!$A:$I,3,FALSE)</f>
        <v>1</v>
      </c>
      <c r="L2211" s="91">
        <f>VLOOKUP($A2211,'2022-23 Salary &amp; Benefits'!$A:$I,4,FALSE)</f>
        <v>1.04</v>
      </c>
      <c r="M2211" s="101">
        <f t="shared" si="421"/>
        <v>424.32</v>
      </c>
      <c r="N2211" s="24">
        <v>15</v>
      </c>
      <c r="O2211" s="26">
        <f t="shared" si="424"/>
        <v>28.288</v>
      </c>
      <c r="P2211" s="24">
        <v>1.1000000000000001</v>
      </c>
      <c r="Q2211" s="24">
        <v>36</v>
      </c>
      <c r="R2211" s="27">
        <f t="shared" si="425"/>
        <v>1120.2048</v>
      </c>
      <c r="S2211" s="102">
        <f t="shared" si="427"/>
        <v>1.2450000000000001</v>
      </c>
      <c r="T2211" s="21">
        <f>VLOOKUP($A2211,'2022-23 Salary &amp; Benefits'!$A:$I,5,FALSE)</f>
        <v>68937</v>
      </c>
      <c r="U2211" s="21">
        <f>VLOOKUP($A2211,'2022-23 Salary &amp; Benefits'!$A:$I,6,FALSE)</f>
        <v>72728</v>
      </c>
      <c r="V2211" s="22">
        <f t="shared" si="428"/>
        <v>85826.57</v>
      </c>
      <c r="W2211" s="22">
        <f t="shared" si="429"/>
        <v>8341.64</v>
      </c>
      <c r="X2211" s="22">
        <f>'2022-23 Salary &amp; Benefits'!$G$6</f>
        <v>12558.24</v>
      </c>
      <c r="Y2211" s="23">
        <f>'2022-23 Salary &amp; Benefits'!$H$6</f>
        <v>0.2298</v>
      </c>
      <c r="Z2211" s="23">
        <f>'2022-23 Salary &amp; Benefits'!$I$6</f>
        <v>0.22339999999999999</v>
      </c>
      <c r="AA2211" s="22">
        <f t="shared" si="430"/>
        <v>37221.480000000003</v>
      </c>
      <c r="AB2211" s="22">
        <f t="shared" si="431"/>
        <v>1569.47</v>
      </c>
      <c r="AC2211" s="22">
        <f t="shared" si="432"/>
        <v>350.62</v>
      </c>
      <c r="AD2211" s="22">
        <f t="shared" si="422"/>
        <v>1920.0900000000001</v>
      </c>
      <c r="AE2211" s="22">
        <f t="shared" si="423"/>
        <v>133309.78</v>
      </c>
      <c r="AF2211" s="19" t="str">
        <f>VLOOKUP(C2211,'2021-22 School Level AAFTE'!C:N,12,FALSE)</f>
        <v>No</v>
      </c>
    </row>
    <row r="2212" spans="1:32" customFormat="1">
      <c r="A2212" s="56" t="s">
        <v>2526</v>
      </c>
      <c r="B2212" s="97" t="s">
        <v>2041</v>
      </c>
      <c r="C2212" s="95">
        <v>2780</v>
      </c>
      <c r="D2212" s="56" t="s">
        <v>130</v>
      </c>
      <c r="E2212" s="129">
        <f>VLOOKUP($C2212,'2021-22 School Level AAFTE'!$C:$Z,11,FALSE)</f>
        <v>0.60706666666666653</v>
      </c>
      <c r="F2212" s="129" t="str">
        <f>VLOOKUP($C2212,'2021-22 School Level AAFTE'!$C:$Z,8,FALSE)</f>
        <v>Yes</v>
      </c>
      <c r="G2212" s="129" t="str">
        <f>VLOOKUP($C2212,'2021-22 School Level AAFTE'!$C:$Z,12,FALSE)</f>
        <v>No</v>
      </c>
      <c r="H2212" s="127">
        <f>VLOOKUP($C2212,'2021-22 School Level AAFTE'!$C:$I,7,FALSE)</f>
        <v>568.03</v>
      </c>
      <c r="I2212" s="112">
        <f>IFERROR(IF(OR(G2212="yes",F2212= "yes"),VLOOKUP(C2212,Summary!$B:$J,6,0),0),0)</f>
        <v>0</v>
      </c>
      <c r="J2212" s="111">
        <f t="shared" si="426"/>
        <v>568.03</v>
      </c>
      <c r="K2212" s="91">
        <f>VLOOKUP($A2212,'2022-23 Salary &amp; Benefits'!$A:$I,3,FALSE)</f>
        <v>1</v>
      </c>
      <c r="L2212" s="91">
        <f>VLOOKUP($A2212,'2022-23 Salary &amp; Benefits'!$A:$I,4,FALSE)</f>
        <v>1.04</v>
      </c>
      <c r="M2212" s="101">
        <f t="shared" si="421"/>
        <v>568.03</v>
      </c>
      <c r="N2212" s="24">
        <v>15</v>
      </c>
      <c r="O2212" s="26">
        <f t="shared" si="424"/>
        <v>37.868666666666662</v>
      </c>
      <c r="P2212" s="24">
        <v>1.1000000000000001</v>
      </c>
      <c r="Q2212" s="24">
        <v>36</v>
      </c>
      <c r="R2212" s="27">
        <f t="shared" si="425"/>
        <v>1499.5991999999999</v>
      </c>
      <c r="S2212" s="102">
        <f t="shared" si="427"/>
        <v>1.6659999999999999</v>
      </c>
      <c r="T2212" s="21">
        <f>VLOOKUP($A2212,'2022-23 Salary &amp; Benefits'!$A:$I,5,FALSE)</f>
        <v>68937</v>
      </c>
      <c r="U2212" s="21">
        <f>VLOOKUP($A2212,'2022-23 Salary &amp; Benefits'!$A:$I,6,FALSE)</f>
        <v>72728</v>
      </c>
      <c r="V2212" s="22">
        <f t="shared" si="428"/>
        <v>114849.04</v>
      </c>
      <c r="W2212" s="22">
        <f t="shared" si="429"/>
        <v>11162.400000000009</v>
      </c>
      <c r="X2212" s="22">
        <f>'2022-23 Salary &amp; Benefits'!$G$6</f>
        <v>12558.24</v>
      </c>
      <c r="Y2212" s="23">
        <f>'2022-23 Salary &amp; Benefits'!$H$6</f>
        <v>0.2298</v>
      </c>
      <c r="Z2212" s="23">
        <f>'2022-23 Salary &amp; Benefits'!$I$6</f>
        <v>0.22339999999999999</v>
      </c>
      <c r="AA2212" s="22">
        <f t="shared" si="430"/>
        <v>49808.02</v>
      </c>
      <c r="AB2212" s="22">
        <f t="shared" si="431"/>
        <v>2100.19</v>
      </c>
      <c r="AC2212" s="22">
        <f t="shared" si="432"/>
        <v>469.18</v>
      </c>
      <c r="AD2212" s="22">
        <f t="shared" si="422"/>
        <v>2569.37</v>
      </c>
      <c r="AE2212" s="22">
        <f t="shared" si="423"/>
        <v>178388.83000000002</v>
      </c>
      <c r="AF2212" s="19" t="str">
        <f>VLOOKUP(C2212,'2021-22 School Level AAFTE'!C:N,12,FALSE)</f>
        <v>No</v>
      </c>
    </row>
    <row r="2213" spans="1:32" customFormat="1">
      <c r="A2213" s="97" t="s">
        <v>2526</v>
      </c>
      <c r="B2213" s="97" t="s">
        <v>2041</v>
      </c>
      <c r="C2213" s="95">
        <v>3468</v>
      </c>
      <c r="D2213" s="95" t="s">
        <v>2046</v>
      </c>
      <c r="E2213" s="129">
        <f>VLOOKUP($C2213,'2021-22 School Level AAFTE'!$C:$Z,11,FALSE)</f>
        <v>0.47870000000000007</v>
      </c>
      <c r="F2213" s="129" t="str">
        <f>VLOOKUP($C2213,'2021-22 School Level AAFTE'!$C:$Z,8,FALSE)</f>
        <v>No</v>
      </c>
      <c r="G2213" s="129" t="str">
        <f>VLOOKUP($C2213,'2021-22 School Level AAFTE'!$C:$Z,12,FALSE)</f>
        <v>No</v>
      </c>
      <c r="H2213" s="127">
        <f>VLOOKUP($C2213,'2021-22 School Level AAFTE'!$C:$I,7,FALSE)</f>
        <v>1590.26</v>
      </c>
      <c r="I2213" s="112">
        <f>IFERROR(IF(OR(G2213="yes",F2213= "yes"),VLOOKUP(C2213,Summary!$B:$J,6,0),0),0)</f>
        <v>0</v>
      </c>
      <c r="J2213" s="111">
        <f t="shared" si="426"/>
        <v>0</v>
      </c>
      <c r="K2213" s="91">
        <f>VLOOKUP($A2213,'2022-23 Salary &amp; Benefits'!$A:$I,3,FALSE)</f>
        <v>1</v>
      </c>
      <c r="L2213" s="91">
        <f>VLOOKUP($A2213,'2022-23 Salary &amp; Benefits'!$A:$I,4,FALSE)</f>
        <v>1.04</v>
      </c>
      <c r="M2213" s="101">
        <f t="shared" si="421"/>
        <v>0</v>
      </c>
      <c r="N2213" s="24">
        <v>15</v>
      </c>
      <c r="O2213" s="26">
        <f t="shared" si="424"/>
        <v>0</v>
      </c>
      <c r="P2213" s="24">
        <v>1.1000000000000001</v>
      </c>
      <c r="Q2213" s="24">
        <v>36</v>
      </c>
      <c r="R2213" s="27">
        <f t="shared" si="425"/>
        <v>0</v>
      </c>
      <c r="S2213" s="102">
        <f t="shared" si="427"/>
        <v>0</v>
      </c>
      <c r="T2213" s="21">
        <f>VLOOKUP($A2213,'2022-23 Salary &amp; Benefits'!$A:$I,5,FALSE)</f>
        <v>68937</v>
      </c>
      <c r="U2213" s="21">
        <f>VLOOKUP($A2213,'2022-23 Salary &amp; Benefits'!$A:$I,6,FALSE)</f>
        <v>72728</v>
      </c>
      <c r="V2213" s="22">
        <f t="shared" si="428"/>
        <v>0</v>
      </c>
      <c r="W2213" s="22">
        <f t="shared" si="429"/>
        <v>0</v>
      </c>
      <c r="X2213" s="22">
        <f>'2022-23 Salary &amp; Benefits'!$G$6</f>
        <v>12558.24</v>
      </c>
      <c r="Y2213" s="23">
        <f>'2022-23 Salary &amp; Benefits'!$H$6</f>
        <v>0.2298</v>
      </c>
      <c r="Z2213" s="23">
        <f>'2022-23 Salary &amp; Benefits'!$I$6</f>
        <v>0.22339999999999999</v>
      </c>
      <c r="AA2213" s="22">
        <f t="shared" si="430"/>
        <v>0</v>
      </c>
      <c r="AB2213" s="22">
        <f t="shared" si="431"/>
        <v>0</v>
      </c>
      <c r="AC2213" s="22">
        <f t="shared" si="432"/>
        <v>0</v>
      </c>
      <c r="AD2213" s="22">
        <f t="shared" si="422"/>
        <v>0</v>
      </c>
      <c r="AE2213" s="22">
        <f t="shared" si="423"/>
        <v>0</v>
      </c>
      <c r="AF2213" s="19" t="str">
        <f>VLOOKUP(C2213,'2021-22 School Level AAFTE'!C:N,12,FALSE)</f>
        <v>No</v>
      </c>
    </row>
    <row r="2214" spans="1:32" customFormat="1">
      <c r="A2214" s="97" t="s">
        <v>2526</v>
      </c>
      <c r="B2214" s="97" t="s">
        <v>2041</v>
      </c>
      <c r="C2214" s="95">
        <v>3510</v>
      </c>
      <c r="D2214" s="95" t="s">
        <v>2047</v>
      </c>
      <c r="E2214" s="129">
        <f>VLOOKUP($C2214,'2021-22 School Level AAFTE'!$C:$Z,11,FALSE)</f>
        <v>0.52779999999999994</v>
      </c>
      <c r="F2214" s="129" t="str">
        <f>VLOOKUP($C2214,'2021-22 School Level AAFTE'!$C:$Z,8,FALSE)</f>
        <v>Yes</v>
      </c>
      <c r="G2214" s="129" t="str">
        <f>VLOOKUP($C2214,'2021-22 School Level AAFTE'!$C:$Z,12,FALSE)</f>
        <v>No</v>
      </c>
      <c r="H2214" s="127">
        <f>VLOOKUP($C2214,'2021-22 School Level AAFTE'!$C:$I,7,FALSE)</f>
        <v>609.79</v>
      </c>
      <c r="I2214" s="112">
        <f>IFERROR(IF(OR(G2214="yes",F2214= "yes"),VLOOKUP(C2214,Summary!$B:$J,6,0),0),0)</f>
        <v>0</v>
      </c>
      <c r="J2214" s="111">
        <f t="shared" si="426"/>
        <v>609.79</v>
      </c>
      <c r="K2214" s="91">
        <f>VLOOKUP($A2214,'2022-23 Salary &amp; Benefits'!$A:$I,3,FALSE)</f>
        <v>1</v>
      </c>
      <c r="L2214" s="91">
        <f>VLOOKUP($A2214,'2022-23 Salary &amp; Benefits'!$A:$I,4,FALSE)</f>
        <v>1.04</v>
      </c>
      <c r="M2214" s="101">
        <f t="shared" si="421"/>
        <v>609.79</v>
      </c>
      <c r="N2214" s="24">
        <v>15</v>
      </c>
      <c r="O2214" s="26">
        <f t="shared" si="424"/>
        <v>40.652666666666661</v>
      </c>
      <c r="P2214" s="24">
        <v>1.1000000000000001</v>
      </c>
      <c r="Q2214" s="24">
        <v>36</v>
      </c>
      <c r="R2214" s="27">
        <f t="shared" si="425"/>
        <v>1609.8456000000001</v>
      </c>
      <c r="S2214" s="102">
        <f t="shared" si="427"/>
        <v>1.7889999999999999</v>
      </c>
      <c r="T2214" s="21">
        <f>VLOOKUP($A2214,'2022-23 Salary &amp; Benefits'!$A:$I,5,FALSE)</f>
        <v>68937</v>
      </c>
      <c r="U2214" s="21">
        <f>VLOOKUP($A2214,'2022-23 Salary &amp; Benefits'!$A:$I,6,FALSE)</f>
        <v>72728</v>
      </c>
      <c r="V2214" s="22">
        <f t="shared" si="428"/>
        <v>123328.29</v>
      </c>
      <c r="W2214" s="22">
        <f t="shared" si="429"/>
        <v>11986.520000000004</v>
      </c>
      <c r="X2214" s="22">
        <f>'2022-23 Salary &amp; Benefits'!$G$6</f>
        <v>12558.24</v>
      </c>
      <c r="Y2214" s="23">
        <f>'2022-23 Salary &amp; Benefits'!$H$6</f>
        <v>0.2298</v>
      </c>
      <c r="Z2214" s="23">
        <f>'2022-23 Salary &amp; Benefits'!$I$6</f>
        <v>0.22339999999999999</v>
      </c>
      <c r="AA2214" s="22">
        <f t="shared" si="430"/>
        <v>53485.32</v>
      </c>
      <c r="AB2214" s="22">
        <f t="shared" si="431"/>
        <v>2255.25</v>
      </c>
      <c r="AC2214" s="22">
        <f t="shared" si="432"/>
        <v>503.82</v>
      </c>
      <c r="AD2214" s="22">
        <f t="shared" si="422"/>
        <v>2759.07</v>
      </c>
      <c r="AE2214" s="22">
        <f t="shared" si="423"/>
        <v>191559.2</v>
      </c>
      <c r="AF2214" s="19" t="str">
        <f>VLOOKUP(C2214,'2021-22 School Level AAFTE'!C:N,12,FALSE)</f>
        <v>No</v>
      </c>
    </row>
    <row r="2215" spans="1:32" customFormat="1">
      <c r="A2215" s="97" t="s">
        <v>2526</v>
      </c>
      <c r="B2215" s="97" t="s">
        <v>2041</v>
      </c>
      <c r="C2215" s="95">
        <v>3728</v>
      </c>
      <c r="D2215" s="95" t="s">
        <v>2048</v>
      </c>
      <c r="E2215" s="129">
        <f>VLOOKUP($C2215,'2021-22 School Level AAFTE'!$C:$Z,11,FALSE)</f>
        <v>0.71733333333333338</v>
      </c>
      <c r="F2215" s="129" t="str">
        <f>VLOOKUP($C2215,'2021-22 School Level AAFTE'!$C:$Z,8,FALSE)</f>
        <v>Yes</v>
      </c>
      <c r="G2215" s="129" t="str">
        <f>VLOOKUP($C2215,'2021-22 School Level AAFTE'!$C:$Z,12,FALSE)</f>
        <v>No</v>
      </c>
      <c r="H2215" s="127">
        <f>VLOOKUP($C2215,'2021-22 School Level AAFTE'!$C:$I,7,FALSE)</f>
        <v>342.41</v>
      </c>
      <c r="I2215" s="112">
        <f>IFERROR(IF(OR(G2215="yes",F2215= "yes"),VLOOKUP(C2215,Summary!$B:$J,6,0),0),0)</f>
        <v>0</v>
      </c>
      <c r="J2215" s="111">
        <f t="shared" si="426"/>
        <v>342.41</v>
      </c>
      <c r="K2215" s="91">
        <f>VLOOKUP($A2215,'2022-23 Salary &amp; Benefits'!$A:$I,3,FALSE)</f>
        <v>1</v>
      </c>
      <c r="L2215" s="91">
        <f>VLOOKUP($A2215,'2022-23 Salary &amp; Benefits'!$A:$I,4,FALSE)</f>
        <v>1.04</v>
      </c>
      <c r="M2215" s="101">
        <f t="shared" si="421"/>
        <v>342.41</v>
      </c>
      <c r="N2215" s="24">
        <v>15</v>
      </c>
      <c r="O2215" s="26">
        <f t="shared" si="424"/>
        <v>22.827333333333335</v>
      </c>
      <c r="P2215" s="24">
        <v>1.1000000000000001</v>
      </c>
      <c r="Q2215" s="24">
        <v>36</v>
      </c>
      <c r="R2215" s="27">
        <f t="shared" si="425"/>
        <v>903.96240000000023</v>
      </c>
      <c r="S2215" s="102">
        <f t="shared" si="427"/>
        <v>1.004</v>
      </c>
      <c r="T2215" s="21">
        <f>VLOOKUP($A2215,'2022-23 Salary &amp; Benefits'!$A:$I,5,FALSE)</f>
        <v>68937</v>
      </c>
      <c r="U2215" s="21">
        <f>VLOOKUP($A2215,'2022-23 Salary &amp; Benefits'!$A:$I,6,FALSE)</f>
        <v>72728</v>
      </c>
      <c r="V2215" s="22">
        <f t="shared" si="428"/>
        <v>69212.75</v>
      </c>
      <c r="W2215" s="22">
        <f t="shared" si="429"/>
        <v>6726.9199999999983</v>
      </c>
      <c r="X2215" s="22">
        <f>'2022-23 Salary &amp; Benefits'!$G$6</f>
        <v>12558.24</v>
      </c>
      <c r="Y2215" s="23">
        <f>'2022-23 Salary &amp; Benefits'!$H$6</f>
        <v>0.2298</v>
      </c>
      <c r="Z2215" s="23">
        <f>'2022-23 Salary &amp; Benefits'!$I$6</f>
        <v>0.22339999999999999</v>
      </c>
      <c r="AA2215" s="22">
        <f t="shared" si="430"/>
        <v>30016.36</v>
      </c>
      <c r="AB2215" s="22">
        <f t="shared" si="431"/>
        <v>1265.6600000000001</v>
      </c>
      <c r="AC2215" s="22">
        <f t="shared" si="432"/>
        <v>282.75</v>
      </c>
      <c r="AD2215" s="22">
        <f t="shared" si="422"/>
        <v>1548.41</v>
      </c>
      <c r="AE2215" s="22">
        <f t="shared" si="423"/>
        <v>107504.44</v>
      </c>
      <c r="AF2215" s="19" t="str">
        <f>VLOOKUP(C2215,'2021-22 School Level AAFTE'!C:N,12,FALSE)</f>
        <v>No</v>
      </c>
    </row>
    <row r="2216" spans="1:32" customFormat="1">
      <c r="A2216" s="97" t="s">
        <v>2526</v>
      </c>
      <c r="B2216" s="97" t="s">
        <v>2041</v>
      </c>
      <c r="C2216" s="95">
        <v>4071</v>
      </c>
      <c r="D2216" s="95" t="s">
        <v>142</v>
      </c>
      <c r="E2216" s="129">
        <f>VLOOKUP($C2216,'2021-22 School Level AAFTE'!$C:$Z,11,FALSE)</f>
        <v>0.80439999999999989</v>
      </c>
      <c r="F2216" s="129" t="str">
        <f>VLOOKUP($C2216,'2021-22 School Level AAFTE'!$C:$Z,8,FALSE)</f>
        <v>Yes</v>
      </c>
      <c r="G2216" s="129" t="str">
        <f>VLOOKUP($C2216,'2021-22 School Level AAFTE'!$C:$Z,12,FALSE)</f>
        <v>No</v>
      </c>
      <c r="H2216" s="127">
        <f>VLOOKUP($C2216,'2021-22 School Level AAFTE'!$C:$I,7,FALSE)</f>
        <v>138.02000000000001</v>
      </c>
      <c r="I2216" s="112">
        <f>IFERROR(IF(OR(G2216="yes",F2216= "yes"),VLOOKUP(C2216,Summary!$B:$J,6,0),0),0)</f>
        <v>0</v>
      </c>
      <c r="J2216" s="111">
        <f t="shared" si="426"/>
        <v>138.02000000000001</v>
      </c>
      <c r="K2216" s="91">
        <f>VLOOKUP($A2216,'2022-23 Salary &amp; Benefits'!$A:$I,3,FALSE)</f>
        <v>1</v>
      </c>
      <c r="L2216" s="91">
        <f>VLOOKUP($A2216,'2022-23 Salary &amp; Benefits'!$A:$I,4,FALSE)</f>
        <v>1.04</v>
      </c>
      <c r="M2216" s="101">
        <f t="shared" si="421"/>
        <v>138.02000000000001</v>
      </c>
      <c r="N2216" s="24">
        <v>15</v>
      </c>
      <c r="O2216" s="26">
        <f t="shared" si="424"/>
        <v>9.2013333333333343</v>
      </c>
      <c r="P2216" s="24">
        <v>1.1000000000000001</v>
      </c>
      <c r="Q2216" s="24">
        <v>36</v>
      </c>
      <c r="R2216" s="27">
        <f t="shared" si="425"/>
        <v>364.37280000000004</v>
      </c>
      <c r="S2216" s="102">
        <f t="shared" si="427"/>
        <v>0.40500000000000003</v>
      </c>
      <c r="T2216" s="21">
        <f>VLOOKUP($A2216,'2022-23 Salary &amp; Benefits'!$A:$I,5,FALSE)</f>
        <v>68937</v>
      </c>
      <c r="U2216" s="21">
        <f>VLOOKUP($A2216,'2022-23 Salary &amp; Benefits'!$A:$I,6,FALSE)</f>
        <v>72728</v>
      </c>
      <c r="V2216" s="22">
        <f t="shared" si="428"/>
        <v>27919.49</v>
      </c>
      <c r="W2216" s="22">
        <f t="shared" si="429"/>
        <v>2713.5399999999972</v>
      </c>
      <c r="X2216" s="22">
        <f>'2022-23 Salary &amp; Benefits'!$G$6</f>
        <v>12558.24</v>
      </c>
      <c r="Y2216" s="23">
        <f>'2022-23 Salary &amp; Benefits'!$H$6</f>
        <v>0.2298</v>
      </c>
      <c r="Z2216" s="23">
        <f>'2022-23 Salary &amp; Benefits'!$I$6</f>
        <v>0.22339999999999999</v>
      </c>
      <c r="AA2216" s="22">
        <f t="shared" si="430"/>
        <v>12108.19</v>
      </c>
      <c r="AB2216" s="22">
        <f t="shared" si="431"/>
        <v>510.55</v>
      </c>
      <c r="AC2216" s="22">
        <f t="shared" si="432"/>
        <v>114.06</v>
      </c>
      <c r="AD2216" s="22">
        <f t="shared" si="422"/>
        <v>624.61</v>
      </c>
      <c r="AE2216" s="22">
        <f t="shared" si="423"/>
        <v>43365.83</v>
      </c>
      <c r="AF2216" s="19" t="str">
        <f>VLOOKUP(C2216,'2021-22 School Level AAFTE'!C:N,12,FALSE)</f>
        <v>No</v>
      </c>
    </row>
    <row r="2217" spans="1:32" customFormat="1">
      <c r="A2217" s="97" t="s">
        <v>2526</v>
      </c>
      <c r="B2217" s="97" t="s">
        <v>2041</v>
      </c>
      <c r="C2217" s="95">
        <v>5337</v>
      </c>
      <c r="D2217" s="95" t="s">
        <v>2745</v>
      </c>
      <c r="E2217" s="129">
        <f>VLOOKUP($C2217,'2021-22 School Level AAFTE'!$C:$Z,11,FALSE)</f>
        <v>4.7633333333333333E-2</v>
      </c>
      <c r="F2217" s="129" t="str">
        <f>VLOOKUP($C2217,'2021-22 School Level AAFTE'!$C:$Z,8,FALSE)</f>
        <v>No</v>
      </c>
      <c r="G2217" s="129" t="str">
        <f>VLOOKUP($C2217,'2021-22 School Level AAFTE'!$C:$Z,12,FALSE)</f>
        <v>No</v>
      </c>
      <c r="H2217" s="127">
        <f>VLOOKUP($C2217,'2021-22 School Level AAFTE'!$C:$I,7,FALSE)</f>
        <v>90.09</v>
      </c>
      <c r="I2217" s="112">
        <f>IFERROR(IF(OR(G2217="yes",F2217= "yes"),VLOOKUP(C2217,Summary!$B:$J,6,0),0),0)</f>
        <v>0</v>
      </c>
      <c r="J2217" s="111">
        <f t="shared" si="426"/>
        <v>0</v>
      </c>
      <c r="K2217" s="91">
        <f>VLOOKUP($A2217,'2022-23 Salary &amp; Benefits'!$A:$I,3,FALSE)</f>
        <v>1</v>
      </c>
      <c r="L2217" s="91">
        <f>VLOOKUP($A2217,'2022-23 Salary &amp; Benefits'!$A:$I,4,FALSE)</f>
        <v>1.04</v>
      </c>
      <c r="M2217" s="101">
        <f t="shared" si="421"/>
        <v>0</v>
      </c>
      <c r="N2217" s="24">
        <v>15</v>
      </c>
      <c r="O2217" s="26">
        <f t="shared" si="424"/>
        <v>0</v>
      </c>
      <c r="P2217" s="24">
        <v>1.1000000000000001</v>
      </c>
      <c r="Q2217" s="24">
        <v>36</v>
      </c>
      <c r="R2217" s="27">
        <f t="shared" si="425"/>
        <v>0</v>
      </c>
      <c r="S2217" s="102">
        <f t="shared" si="427"/>
        <v>0</v>
      </c>
      <c r="T2217" s="21">
        <f>VLOOKUP($A2217,'2022-23 Salary &amp; Benefits'!$A:$I,5,FALSE)</f>
        <v>68937</v>
      </c>
      <c r="U2217" s="21">
        <f>VLOOKUP($A2217,'2022-23 Salary &amp; Benefits'!$A:$I,6,FALSE)</f>
        <v>72728</v>
      </c>
      <c r="V2217" s="22">
        <f t="shared" si="428"/>
        <v>0</v>
      </c>
      <c r="W2217" s="22">
        <f t="shared" si="429"/>
        <v>0</v>
      </c>
      <c r="X2217" s="22">
        <f>'2022-23 Salary &amp; Benefits'!$G$6</f>
        <v>12558.24</v>
      </c>
      <c r="Y2217" s="23">
        <f>'2022-23 Salary &amp; Benefits'!$H$6</f>
        <v>0.2298</v>
      </c>
      <c r="Z2217" s="23">
        <f>'2022-23 Salary &amp; Benefits'!$I$6</f>
        <v>0.22339999999999999</v>
      </c>
      <c r="AA2217" s="22">
        <f t="shared" si="430"/>
        <v>0</v>
      </c>
      <c r="AB2217" s="22">
        <f t="shared" si="431"/>
        <v>0</v>
      </c>
      <c r="AC2217" s="22">
        <f t="shared" si="432"/>
        <v>0</v>
      </c>
      <c r="AD2217" s="22">
        <f t="shared" si="422"/>
        <v>0</v>
      </c>
      <c r="AE2217" s="22">
        <f t="shared" si="423"/>
        <v>0</v>
      </c>
      <c r="AF2217" s="19" t="str">
        <f>VLOOKUP(C2217,'2021-22 School Level AAFTE'!C:N,12,FALSE)</f>
        <v>No</v>
      </c>
    </row>
    <row r="2218" spans="1:32" customFormat="1">
      <c r="A2218" s="97" t="s">
        <v>2526</v>
      </c>
      <c r="B2218" s="97" t="s">
        <v>2041</v>
      </c>
      <c r="C2218" s="95">
        <v>5460</v>
      </c>
      <c r="D2218" s="95" t="s">
        <v>2943</v>
      </c>
      <c r="E2218" s="129">
        <f>VLOOKUP($C2218,'2021-22 School Level AAFTE'!$C:$Z,11,FALSE)</f>
        <v>0.75309999999999988</v>
      </c>
      <c r="F2218" s="129" t="str">
        <f>VLOOKUP($C2218,'2021-22 School Level AAFTE'!$C:$Z,8,FALSE)</f>
        <v>Yes</v>
      </c>
      <c r="G2218" s="129" t="str">
        <f>VLOOKUP($C2218,'2021-22 School Level AAFTE'!$C:$Z,12,FALSE)</f>
        <v>No</v>
      </c>
      <c r="H2218" s="127">
        <f>VLOOKUP($C2218,'2021-22 School Level AAFTE'!$C:$I,7,FALSE)</f>
        <v>90.429999999999993</v>
      </c>
      <c r="I2218" s="112">
        <f>IFERROR(IF(OR(G2218="yes",F2218= "yes"),VLOOKUP(C2218,Summary!$B:$J,6,0),0),0)</f>
        <v>0</v>
      </c>
      <c r="J2218" s="111">
        <f t="shared" si="426"/>
        <v>90.429999999999993</v>
      </c>
      <c r="K2218" s="91">
        <f>VLOOKUP($A2218,'2022-23 Salary &amp; Benefits'!$A:$I,3,FALSE)</f>
        <v>1</v>
      </c>
      <c r="L2218" s="91">
        <f>VLOOKUP($A2218,'2022-23 Salary &amp; Benefits'!$A:$I,4,FALSE)</f>
        <v>1.04</v>
      </c>
      <c r="M2218" s="101">
        <f t="shared" si="421"/>
        <v>90.429999999999993</v>
      </c>
      <c r="N2218" s="24">
        <v>15</v>
      </c>
      <c r="O2218" s="26">
        <f t="shared" si="424"/>
        <v>6.0286666666666662</v>
      </c>
      <c r="P2218" s="24">
        <v>1.1000000000000001</v>
      </c>
      <c r="Q2218" s="24">
        <v>36</v>
      </c>
      <c r="R2218" s="27">
        <f t="shared" si="425"/>
        <v>238.73520000000002</v>
      </c>
      <c r="S2218" s="102">
        <f t="shared" si="427"/>
        <v>0.26500000000000001</v>
      </c>
      <c r="T2218" s="21">
        <f>VLOOKUP($A2218,'2022-23 Salary &amp; Benefits'!$A:$I,5,FALSE)</f>
        <v>68937</v>
      </c>
      <c r="U2218" s="21">
        <f>VLOOKUP($A2218,'2022-23 Salary &amp; Benefits'!$A:$I,6,FALSE)</f>
        <v>72728</v>
      </c>
      <c r="V2218" s="22">
        <f t="shared" si="428"/>
        <v>18268.310000000001</v>
      </c>
      <c r="W2218" s="22">
        <f t="shared" si="429"/>
        <v>1775.5299999999988</v>
      </c>
      <c r="X2218" s="22">
        <f>'2022-23 Salary &amp; Benefits'!$G$6</f>
        <v>12558.24</v>
      </c>
      <c r="Y2218" s="23">
        <f>'2022-23 Salary &amp; Benefits'!$H$6</f>
        <v>0.2298</v>
      </c>
      <c r="Z2218" s="23">
        <f>'2022-23 Salary &amp; Benefits'!$I$6</f>
        <v>0.22339999999999999</v>
      </c>
      <c r="AA2218" s="22">
        <f t="shared" si="430"/>
        <v>7922.64</v>
      </c>
      <c r="AB2218" s="22">
        <f t="shared" si="431"/>
        <v>334.06</v>
      </c>
      <c r="AC2218" s="22">
        <f t="shared" si="432"/>
        <v>74.63</v>
      </c>
      <c r="AD2218" s="22">
        <f t="shared" si="422"/>
        <v>408.69</v>
      </c>
      <c r="AE2218" s="22">
        <f t="shared" si="423"/>
        <v>28375.17</v>
      </c>
      <c r="AF2218" s="19" t="str">
        <f>VLOOKUP(C2218,'2021-22 School Level AAFTE'!C:N,12,FALSE)</f>
        <v>No</v>
      </c>
    </row>
    <row r="2219" spans="1:32" customFormat="1">
      <c r="A2219" s="97" t="s">
        <v>2526</v>
      </c>
      <c r="B2219" s="97" t="s">
        <v>2041</v>
      </c>
      <c r="C2219" s="95">
        <v>5616</v>
      </c>
      <c r="D2219" s="95" t="s">
        <v>2941</v>
      </c>
      <c r="E2219" s="129">
        <f>VLOOKUP($C2219,'2021-22 School Level AAFTE'!$C:$Z,11,FALSE)</f>
        <v>0.27844999999999998</v>
      </c>
      <c r="F2219" s="129" t="str">
        <f>VLOOKUP($C2219,'2021-22 School Level AAFTE'!$C:$Z,8,FALSE)</f>
        <v>No</v>
      </c>
      <c r="G2219" s="129" t="str">
        <f>VLOOKUP($C2219,'2021-22 School Level AAFTE'!$C:$Z,12,FALSE)</f>
        <v>No</v>
      </c>
      <c r="H2219" s="127">
        <f>VLOOKUP($C2219,'2021-22 School Level AAFTE'!$C:$I,7,FALSE)</f>
        <v>77.78</v>
      </c>
      <c r="I2219" s="112">
        <f>IFERROR(IF(OR(G2219="yes",F2219= "yes"),VLOOKUP(C2219,Summary!$B:$J,6,0),0),0)</f>
        <v>0</v>
      </c>
      <c r="J2219" s="111">
        <f t="shared" si="426"/>
        <v>0</v>
      </c>
      <c r="K2219" s="91">
        <f>VLOOKUP($A2219,'2022-23 Salary &amp; Benefits'!$A:$I,3,FALSE)</f>
        <v>1</v>
      </c>
      <c r="L2219" s="91">
        <f>VLOOKUP($A2219,'2022-23 Salary &amp; Benefits'!$A:$I,4,FALSE)</f>
        <v>1.04</v>
      </c>
      <c r="M2219" s="101">
        <f t="shared" si="421"/>
        <v>0</v>
      </c>
      <c r="N2219" s="24">
        <v>15</v>
      </c>
      <c r="O2219" s="26">
        <f t="shared" si="424"/>
        <v>0</v>
      </c>
      <c r="P2219" s="24">
        <v>1.1000000000000001</v>
      </c>
      <c r="Q2219" s="24">
        <v>36</v>
      </c>
      <c r="R2219" s="27">
        <f t="shared" si="425"/>
        <v>0</v>
      </c>
      <c r="S2219" s="102">
        <f t="shared" si="427"/>
        <v>0</v>
      </c>
      <c r="T2219" s="21">
        <f>VLOOKUP($A2219,'2022-23 Salary &amp; Benefits'!$A:$I,5,FALSE)</f>
        <v>68937</v>
      </c>
      <c r="U2219" s="21">
        <f>VLOOKUP($A2219,'2022-23 Salary &amp; Benefits'!$A:$I,6,FALSE)</f>
        <v>72728</v>
      </c>
      <c r="V2219" s="22">
        <f t="shared" si="428"/>
        <v>0</v>
      </c>
      <c r="W2219" s="22">
        <f t="shared" si="429"/>
        <v>0</v>
      </c>
      <c r="X2219" s="22">
        <f>'2022-23 Salary &amp; Benefits'!$G$6</f>
        <v>12558.24</v>
      </c>
      <c r="Y2219" s="23">
        <f>'2022-23 Salary &amp; Benefits'!$H$6</f>
        <v>0.2298</v>
      </c>
      <c r="Z2219" s="23">
        <f>'2022-23 Salary &amp; Benefits'!$I$6</f>
        <v>0.22339999999999999</v>
      </c>
      <c r="AA2219" s="22">
        <f t="shared" si="430"/>
        <v>0</v>
      </c>
      <c r="AB2219" s="22">
        <f t="shared" si="431"/>
        <v>0</v>
      </c>
      <c r="AC2219" s="22">
        <f t="shared" si="432"/>
        <v>0</v>
      </c>
      <c r="AD2219" s="22">
        <f t="shared" si="422"/>
        <v>0</v>
      </c>
      <c r="AE2219" s="22">
        <f t="shared" si="423"/>
        <v>0</v>
      </c>
      <c r="AF2219" s="19" t="str">
        <f>VLOOKUP(C2219,'2021-22 School Level AAFTE'!C:N,12,FALSE)</f>
        <v>No</v>
      </c>
    </row>
    <row r="2220" spans="1:32" customFormat="1">
      <c r="A2220" s="97" t="s">
        <v>2526</v>
      </c>
      <c r="B2220" s="97" t="s">
        <v>2041</v>
      </c>
      <c r="C2220" s="95">
        <v>5636</v>
      </c>
      <c r="D2220" s="95" t="s">
        <v>2942</v>
      </c>
      <c r="E2220" s="129">
        <f>VLOOKUP($C2220,'2021-22 School Level AAFTE'!$C:$Z,11,FALSE)</f>
        <v>0.43635000000000002</v>
      </c>
      <c r="F2220" s="129" t="str">
        <f>VLOOKUP($C2220,'2021-22 School Level AAFTE'!$C:$Z,8,FALSE)</f>
        <v>No</v>
      </c>
      <c r="G2220" s="129" t="str">
        <f>VLOOKUP($C2220,'2021-22 School Level AAFTE'!$C:$Z,12,FALSE)</f>
        <v>No</v>
      </c>
      <c r="H2220" s="127">
        <f>VLOOKUP($C2220,'2021-22 School Level AAFTE'!$C:$I,7,FALSE)</f>
        <v>141.33000000000001</v>
      </c>
      <c r="I2220" s="112">
        <f>IFERROR(IF(OR(G2220="yes",F2220= "yes"),VLOOKUP(C2220,Summary!$B:$J,6,0),0),0)</f>
        <v>0</v>
      </c>
      <c r="J2220" s="111">
        <f t="shared" si="426"/>
        <v>0</v>
      </c>
      <c r="K2220" s="91">
        <f>VLOOKUP($A2220,'2022-23 Salary &amp; Benefits'!$A:$I,3,FALSE)</f>
        <v>1</v>
      </c>
      <c r="L2220" s="91">
        <f>VLOOKUP($A2220,'2022-23 Salary &amp; Benefits'!$A:$I,4,FALSE)</f>
        <v>1.04</v>
      </c>
      <c r="M2220" s="101">
        <f t="shared" si="421"/>
        <v>0</v>
      </c>
      <c r="N2220" s="24">
        <v>15</v>
      </c>
      <c r="O2220" s="26">
        <f t="shared" si="424"/>
        <v>0</v>
      </c>
      <c r="P2220" s="24">
        <v>1.1000000000000001</v>
      </c>
      <c r="Q2220" s="24">
        <v>36</v>
      </c>
      <c r="R2220" s="27">
        <f t="shared" si="425"/>
        <v>0</v>
      </c>
      <c r="S2220" s="102">
        <f t="shared" si="427"/>
        <v>0</v>
      </c>
      <c r="T2220" s="21">
        <f>VLOOKUP($A2220,'2022-23 Salary &amp; Benefits'!$A:$I,5,FALSE)</f>
        <v>68937</v>
      </c>
      <c r="U2220" s="21">
        <f>VLOOKUP($A2220,'2022-23 Salary &amp; Benefits'!$A:$I,6,FALSE)</f>
        <v>72728</v>
      </c>
      <c r="V2220" s="22">
        <f t="shared" si="428"/>
        <v>0</v>
      </c>
      <c r="W2220" s="22">
        <f t="shared" si="429"/>
        <v>0</v>
      </c>
      <c r="X2220" s="22">
        <f>'2022-23 Salary &amp; Benefits'!$G$6</f>
        <v>12558.24</v>
      </c>
      <c r="Y2220" s="23">
        <f>'2022-23 Salary &amp; Benefits'!$H$6</f>
        <v>0.2298</v>
      </c>
      <c r="Z2220" s="23">
        <f>'2022-23 Salary &amp; Benefits'!$I$6</f>
        <v>0.22339999999999999</v>
      </c>
      <c r="AA2220" s="22">
        <f t="shared" si="430"/>
        <v>0</v>
      </c>
      <c r="AB2220" s="22">
        <f t="shared" si="431"/>
        <v>0</v>
      </c>
      <c r="AC2220" s="22">
        <f t="shared" si="432"/>
        <v>0</v>
      </c>
      <c r="AD2220" s="22">
        <f t="shared" si="422"/>
        <v>0</v>
      </c>
      <c r="AE2220" s="22">
        <f t="shared" si="423"/>
        <v>0</v>
      </c>
      <c r="AF2220" s="19" t="str">
        <f>VLOOKUP(C2220,'2021-22 School Level AAFTE'!C:N,12,FALSE)</f>
        <v>No</v>
      </c>
    </row>
    <row r="2221" spans="1:32" customFormat="1">
      <c r="A2221" s="97" t="s">
        <v>2565</v>
      </c>
      <c r="B2221" s="97" t="s">
        <v>2240</v>
      </c>
      <c r="C2221" s="95">
        <v>2131</v>
      </c>
      <c r="D2221" s="95" t="s">
        <v>2241</v>
      </c>
      <c r="E2221" s="129">
        <f>VLOOKUP($C2221,'2021-22 School Level AAFTE'!$C:$Z,11,FALSE)</f>
        <v>0.90936666666666666</v>
      </c>
      <c r="F2221" s="129" t="str">
        <f>VLOOKUP($C2221,'2021-22 School Level AAFTE'!$C:$Z,8,FALSE)</f>
        <v>Yes</v>
      </c>
      <c r="G2221" s="129" t="str">
        <f>VLOOKUP($C2221,'2021-22 School Level AAFTE'!$C:$Z,12,FALSE)</f>
        <v>No</v>
      </c>
      <c r="H2221" s="127">
        <f>VLOOKUP($C2221,'2021-22 School Level AAFTE'!$C:$I,7,FALSE)</f>
        <v>782.56</v>
      </c>
      <c r="I2221" s="112">
        <f>IFERROR(IF(OR(G2221="yes",F2221= "yes"),VLOOKUP(C2221,Summary!$B:$J,6,0),0),0)</f>
        <v>0</v>
      </c>
      <c r="J2221" s="111">
        <f t="shared" si="426"/>
        <v>782.56</v>
      </c>
      <c r="K2221" s="91">
        <f>VLOOKUP($A2221,'2022-23 Salary &amp; Benefits'!$A:$I,3,FALSE)</f>
        <v>1</v>
      </c>
      <c r="L2221" s="91">
        <f>VLOOKUP($A2221,'2022-23 Salary &amp; Benefits'!$A:$I,4,FALSE)</f>
        <v>1</v>
      </c>
      <c r="M2221" s="101">
        <f t="shared" si="421"/>
        <v>782.56</v>
      </c>
      <c r="N2221" s="24">
        <v>15</v>
      </c>
      <c r="O2221" s="26">
        <f t="shared" si="424"/>
        <v>52.170666666666662</v>
      </c>
      <c r="P2221" s="24">
        <v>1.1000000000000001</v>
      </c>
      <c r="Q2221" s="24">
        <v>36</v>
      </c>
      <c r="R2221" s="27">
        <f t="shared" si="425"/>
        <v>2065.9584</v>
      </c>
      <c r="S2221" s="102">
        <f t="shared" si="427"/>
        <v>2.2959999999999998</v>
      </c>
      <c r="T2221" s="21">
        <f>VLOOKUP($A2221,'2022-23 Salary &amp; Benefits'!$A:$I,5,FALSE)</f>
        <v>68937</v>
      </c>
      <c r="U2221" s="21">
        <f>VLOOKUP($A2221,'2022-23 Salary &amp; Benefits'!$A:$I,6,FALSE)</f>
        <v>72728</v>
      </c>
      <c r="V2221" s="22">
        <f t="shared" si="428"/>
        <v>158279.35</v>
      </c>
      <c r="W2221" s="22">
        <f t="shared" si="429"/>
        <v>8704.1399999999849</v>
      </c>
      <c r="X2221" s="22">
        <f>'2022-23 Salary &amp; Benefits'!$G$6</f>
        <v>12558.24</v>
      </c>
      <c r="Y2221" s="23">
        <f>'2022-23 Salary &amp; Benefits'!$H$6</f>
        <v>0.2298</v>
      </c>
      <c r="Z2221" s="23">
        <f>'2022-23 Salary &amp; Benefits'!$I$6</f>
        <v>0.22339999999999999</v>
      </c>
      <c r="AA2221" s="22">
        <f t="shared" si="430"/>
        <v>67150.820000000007</v>
      </c>
      <c r="AB2221" s="22">
        <f t="shared" si="431"/>
        <v>2783.06</v>
      </c>
      <c r="AC2221" s="22">
        <f t="shared" si="432"/>
        <v>621.74</v>
      </c>
      <c r="AD2221" s="22">
        <f t="shared" si="422"/>
        <v>3404.8</v>
      </c>
      <c r="AE2221" s="22">
        <f t="shared" si="423"/>
        <v>237539.11</v>
      </c>
      <c r="AF2221" s="19" t="str">
        <f>VLOOKUP(C2221,'2021-22 School Level AAFTE'!C:N,12,FALSE)</f>
        <v>No</v>
      </c>
    </row>
    <row r="2222" spans="1:32" customFormat="1">
      <c r="A2222" s="97" t="s">
        <v>2565</v>
      </c>
      <c r="B2222" s="97" t="s">
        <v>2240</v>
      </c>
      <c r="C2222" s="95">
        <v>2757</v>
      </c>
      <c r="D2222" s="95" t="s">
        <v>2242</v>
      </c>
      <c r="E2222" s="129">
        <f>VLOOKUP($C2222,'2021-22 School Level AAFTE'!$C:$Z,11,FALSE)</f>
        <v>0.91416666666666668</v>
      </c>
      <c r="F2222" s="129" t="str">
        <f>VLOOKUP($C2222,'2021-22 School Level AAFTE'!$C:$Z,8,FALSE)</f>
        <v>Yes</v>
      </c>
      <c r="G2222" s="129" t="str">
        <f>VLOOKUP($C2222,'2021-22 School Level AAFTE'!$C:$Z,12,FALSE)</f>
        <v>No</v>
      </c>
      <c r="H2222" s="127">
        <f>VLOOKUP($C2222,'2021-22 School Level AAFTE'!$C:$I,7,FALSE)</f>
        <v>346.43</v>
      </c>
      <c r="I2222" s="112">
        <f>IFERROR(IF(OR(G2222="yes",F2222= "yes"),VLOOKUP(C2222,Summary!$B:$J,6,0),0),0)</f>
        <v>0</v>
      </c>
      <c r="J2222" s="111">
        <f t="shared" si="426"/>
        <v>346.43</v>
      </c>
      <c r="K2222" s="91">
        <f>VLOOKUP($A2222,'2022-23 Salary &amp; Benefits'!$A:$I,3,FALSE)</f>
        <v>1</v>
      </c>
      <c r="L2222" s="91">
        <f>VLOOKUP($A2222,'2022-23 Salary &amp; Benefits'!$A:$I,4,FALSE)</f>
        <v>1</v>
      </c>
      <c r="M2222" s="39">
        <f t="shared" ref="M2222:M2235" si="433">IF(I2222&gt;0,I2222,J2222)</f>
        <v>346.43</v>
      </c>
      <c r="N2222" s="24">
        <v>15</v>
      </c>
      <c r="O2222" s="26">
        <f t="shared" si="424"/>
        <v>23.095333333333333</v>
      </c>
      <c r="P2222" s="24">
        <v>1.1000000000000001</v>
      </c>
      <c r="Q2222" s="24">
        <v>36</v>
      </c>
      <c r="R2222" s="27">
        <f t="shared" si="425"/>
        <v>914.5752</v>
      </c>
      <c r="S2222" s="102">
        <f t="shared" si="427"/>
        <v>1.016</v>
      </c>
      <c r="T2222" s="21">
        <f>VLOOKUP($A2222,'2022-23 Salary &amp; Benefits'!$A:$I,5,FALSE)</f>
        <v>68937</v>
      </c>
      <c r="U2222" s="21">
        <f>VLOOKUP($A2222,'2022-23 Salary &amp; Benefits'!$A:$I,6,FALSE)</f>
        <v>72728</v>
      </c>
      <c r="V2222" s="22">
        <f t="shared" si="428"/>
        <v>70039.990000000005</v>
      </c>
      <c r="W2222" s="22">
        <f t="shared" si="429"/>
        <v>3851.6599999999889</v>
      </c>
      <c r="X2222" s="22">
        <f>'2022-23 Salary &amp; Benefits'!$G$6</f>
        <v>12558.24</v>
      </c>
      <c r="Y2222" s="23">
        <f>'2022-23 Salary &amp; Benefits'!$H$6</f>
        <v>0.2298</v>
      </c>
      <c r="Z2222" s="23">
        <f>'2022-23 Salary &amp; Benefits'!$I$6</f>
        <v>0.22339999999999999</v>
      </c>
      <c r="AA2222" s="22">
        <f t="shared" si="430"/>
        <v>29714.82</v>
      </c>
      <c r="AB2222" s="22">
        <f t="shared" si="431"/>
        <v>1231.53</v>
      </c>
      <c r="AC2222" s="22">
        <f t="shared" si="432"/>
        <v>275.12</v>
      </c>
      <c r="AD2222" s="22">
        <f t="shared" ref="AD2222:AD2235" si="434">SUM(AB2222:AC2222)</f>
        <v>1506.65</v>
      </c>
      <c r="AE2222" s="22">
        <f t="shared" ref="AE2222:AE2235" si="435">SUM(AA2222,V2222:W2222,AD2222)</f>
        <v>105113.11999999998</v>
      </c>
      <c r="AF2222" s="19" t="str">
        <f>VLOOKUP(C2222,'2021-22 School Level AAFTE'!C:N,12,FALSE)</f>
        <v>No</v>
      </c>
    </row>
    <row r="2223" spans="1:32" customFormat="1">
      <c r="A2223" s="97" t="s">
        <v>2565</v>
      </c>
      <c r="B2223" s="97" t="s">
        <v>2240</v>
      </c>
      <c r="C2223" s="95">
        <v>3141</v>
      </c>
      <c r="D2223" s="95" t="s">
        <v>2244</v>
      </c>
      <c r="E2223" s="129">
        <f>VLOOKUP($C2223,'2021-22 School Level AAFTE'!$C:$Z,11,FALSE)</f>
        <v>0.86453333333333326</v>
      </c>
      <c r="F2223" s="129" t="str">
        <f>VLOOKUP($C2223,'2021-22 School Level AAFTE'!$C:$Z,8,FALSE)</f>
        <v>Yes</v>
      </c>
      <c r="G2223" s="129" t="str">
        <f>VLOOKUP($C2223,'2021-22 School Level AAFTE'!$C:$Z,12,FALSE)</f>
        <v>No</v>
      </c>
      <c r="H2223" s="127">
        <f>VLOOKUP($C2223,'2021-22 School Level AAFTE'!$C:$I,7,FALSE)</f>
        <v>854.41</v>
      </c>
      <c r="I2223" s="112">
        <f>IFERROR(IF(OR(G2223="yes",F2223= "yes"),VLOOKUP(C2223,Summary!$B:$J,6,0),0),0)</f>
        <v>0</v>
      </c>
      <c r="J2223" s="111">
        <f t="shared" si="426"/>
        <v>854.41</v>
      </c>
      <c r="K2223" s="91">
        <f>VLOOKUP($A2223,'2022-23 Salary &amp; Benefits'!$A:$I,3,FALSE)</f>
        <v>1</v>
      </c>
      <c r="L2223" s="91">
        <f>VLOOKUP($A2223,'2022-23 Salary &amp; Benefits'!$A:$I,4,FALSE)</f>
        <v>1</v>
      </c>
      <c r="M2223" s="39">
        <f t="shared" si="433"/>
        <v>854.41</v>
      </c>
      <c r="N2223" s="24">
        <v>15</v>
      </c>
      <c r="O2223" s="26">
        <f t="shared" si="424"/>
        <v>56.960666666666661</v>
      </c>
      <c r="P2223" s="24">
        <v>1.1000000000000001</v>
      </c>
      <c r="Q2223" s="24">
        <v>36</v>
      </c>
      <c r="R2223" s="27">
        <f t="shared" si="425"/>
        <v>2255.6424000000002</v>
      </c>
      <c r="S2223" s="102">
        <f t="shared" si="427"/>
        <v>2.5059999999999998</v>
      </c>
      <c r="T2223" s="21">
        <f>VLOOKUP($A2223,'2022-23 Salary &amp; Benefits'!$A:$I,5,FALSE)</f>
        <v>68937</v>
      </c>
      <c r="U2223" s="21">
        <f>VLOOKUP($A2223,'2022-23 Salary &amp; Benefits'!$A:$I,6,FALSE)</f>
        <v>72728</v>
      </c>
      <c r="V2223" s="22">
        <f t="shared" si="428"/>
        <v>172756.12</v>
      </c>
      <c r="W2223" s="22">
        <f t="shared" si="429"/>
        <v>9500.25</v>
      </c>
      <c r="X2223" s="22">
        <f>'2022-23 Salary &amp; Benefits'!$G$6</f>
        <v>12558.24</v>
      </c>
      <c r="Y2223" s="23">
        <f>'2022-23 Salary &amp; Benefits'!$H$6</f>
        <v>0.2298</v>
      </c>
      <c r="Z2223" s="23">
        <f>'2022-23 Salary &amp; Benefits'!$I$6</f>
        <v>0.22339999999999999</v>
      </c>
      <c r="AA2223" s="22">
        <f t="shared" si="430"/>
        <v>73292.66</v>
      </c>
      <c r="AB2223" s="22">
        <f t="shared" si="431"/>
        <v>3037.61</v>
      </c>
      <c r="AC2223" s="22">
        <f t="shared" si="432"/>
        <v>678.6</v>
      </c>
      <c r="AD2223" s="22">
        <f t="shared" si="434"/>
        <v>3716.21</v>
      </c>
      <c r="AE2223" s="22">
        <f t="shared" si="435"/>
        <v>259265.24</v>
      </c>
      <c r="AF2223" s="19" t="str">
        <f>VLOOKUP(C2223,'2021-22 School Level AAFTE'!C:N,12,FALSE)</f>
        <v>No</v>
      </c>
    </row>
    <row r="2224" spans="1:32" customFormat="1">
      <c r="A2224" s="97" t="s">
        <v>2565</v>
      </c>
      <c r="B2224" s="97" t="s">
        <v>2240</v>
      </c>
      <c r="C2224" s="95">
        <v>4022</v>
      </c>
      <c r="D2224" s="95" t="s">
        <v>2245</v>
      </c>
      <c r="E2224" s="129">
        <f>VLOOKUP($C2224,'2021-22 School Level AAFTE'!$C:$Z,11,FALSE)</f>
        <v>0.93579999999999997</v>
      </c>
      <c r="F2224" s="129" t="str">
        <f>VLOOKUP($C2224,'2021-22 School Level AAFTE'!$C:$Z,8,FALSE)</f>
        <v>Yes</v>
      </c>
      <c r="G2224" s="129" t="str">
        <f>VLOOKUP($C2224,'2021-22 School Level AAFTE'!$C:$Z,12,FALSE)</f>
        <v>No</v>
      </c>
      <c r="H2224" s="127">
        <f>VLOOKUP($C2224,'2021-22 School Level AAFTE'!$C:$I,7,FALSE)</f>
        <v>62.09</v>
      </c>
      <c r="I2224" s="112">
        <f>IFERROR(IF(OR(G2224="yes",F2224= "yes"),VLOOKUP(C2224,Summary!$B:$J,6,0),0),0)</f>
        <v>0</v>
      </c>
      <c r="J2224" s="111">
        <f t="shared" si="426"/>
        <v>62.09</v>
      </c>
      <c r="K2224" s="91">
        <f>VLOOKUP($A2224,'2022-23 Salary &amp; Benefits'!$A:$I,3,FALSE)</f>
        <v>1</v>
      </c>
      <c r="L2224" s="91">
        <f>VLOOKUP($A2224,'2022-23 Salary &amp; Benefits'!$A:$I,4,FALSE)</f>
        <v>1</v>
      </c>
      <c r="M2224" s="39">
        <f t="shared" si="433"/>
        <v>62.09</v>
      </c>
      <c r="N2224" s="24">
        <v>15</v>
      </c>
      <c r="O2224" s="26">
        <f t="shared" si="424"/>
        <v>4.139333333333334</v>
      </c>
      <c r="P2224" s="24">
        <v>1.1000000000000001</v>
      </c>
      <c r="Q2224" s="24">
        <v>36</v>
      </c>
      <c r="R2224" s="27">
        <f t="shared" si="425"/>
        <v>163.91760000000002</v>
      </c>
      <c r="S2224" s="102">
        <f t="shared" si="427"/>
        <v>0.182</v>
      </c>
      <c r="T2224" s="21">
        <f>VLOOKUP($A2224,'2022-23 Salary &amp; Benefits'!$A:$I,5,FALSE)</f>
        <v>68937</v>
      </c>
      <c r="U2224" s="21">
        <f>VLOOKUP($A2224,'2022-23 Salary &amp; Benefits'!$A:$I,6,FALSE)</f>
        <v>72728</v>
      </c>
      <c r="V2224" s="22">
        <f t="shared" si="428"/>
        <v>12546.53</v>
      </c>
      <c r="W2224" s="22">
        <f t="shared" si="429"/>
        <v>689.96999999999935</v>
      </c>
      <c r="X2224" s="22">
        <f>'2022-23 Salary &amp; Benefits'!$G$6</f>
        <v>12558.24</v>
      </c>
      <c r="Y2224" s="23">
        <f>'2022-23 Salary &amp; Benefits'!$H$6</f>
        <v>0.2298</v>
      </c>
      <c r="Z2224" s="23">
        <f>'2022-23 Salary &amp; Benefits'!$I$6</f>
        <v>0.22339999999999999</v>
      </c>
      <c r="AA2224" s="22">
        <f t="shared" si="430"/>
        <v>5322.93</v>
      </c>
      <c r="AB2224" s="22">
        <f t="shared" si="431"/>
        <v>220.61</v>
      </c>
      <c r="AC2224" s="22">
        <f t="shared" si="432"/>
        <v>49.28</v>
      </c>
      <c r="AD2224" s="22">
        <f t="shared" si="434"/>
        <v>269.89</v>
      </c>
      <c r="AE2224" s="22">
        <f t="shared" si="435"/>
        <v>18829.32</v>
      </c>
      <c r="AF2224" s="19" t="str">
        <f>VLOOKUP(C2224,'2021-22 School Level AAFTE'!C:N,12,FALSE)</f>
        <v>No</v>
      </c>
    </row>
    <row r="2225" spans="1:39" customFormat="1">
      <c r="A2225" s="97" t="s">
        <v>2565</v>
      </c>
      <c r="B2225" s="97" t="s">
        <v>2240</v>
      </c>
      <c r="C2225" s="95">
        <v>4518</v>
      </c>
      <c r="D2225" s="95" t="s">
        <v>1788</v>
      </c>
      <c r="E2225" s="129">
        <f>VLOOKUP($C2225,'2021-22 School Level AAFTE'!$C:$Z,11,FALSE)</f>
        <v>0.93920000000000003</v>
      </c>
      <c r="F2225" s="129" t="str">
        <f>VLOOKUP($C2225,'2021-22 School Level AAFTE'!$C:$Z,8,FALSE)</f>
        <v>Yes</v>
      </c>
      <c r="G2225" s="129" t="str">
        <f>VLOOKUP($C2225,'2021-22 School Level AAFTE'!$C:$Z,12,FALSE)</f>
        <v>No</v>
      </c>
      <c r="H2225" s="127">
        <f>VLOOKUP($C2225,'2021-22 School Level AAFTE'!$C:$I,7,FALSE)</f>
        <v>378.42</v>
      </c>
      <c r="I2225" s="112">
        <f>IFERROR(IF(OR(G2225="yes",F2225= "yes"),VLOOKUP(C2225,Summary!$B:$J,6,0),0),0)</f>
        <v>0</v>
      </c>
      <c r="J2225" s="111">
        <f t="shared" si="426"/>
        <v>378.42</v>
      </c>
      <c r="K2225" s="91">
        <f>VLOOKUP($A2225,'2022-23 Salary &amp; Benefits'!$A:$I,3,FALSE)</f>
        <v>1</v>
      </c>
      <c r="L2225" s="91">
        <f>VLOOKUP($A2225,'2022-23 Salary &amp; Benefits'!$A:$I,4,FALSE)</f>
        <v>1</v>
      </c>
      <c r="M2225" s="39">
        <f t="shared" si="433"/>
        <v>378.42</v>
      </c>
      <c r="N2225" s="24">
        <v>15</v>
      </c>
      <c r="O2225" s="26">
        <f t="shared" si="424"/>
        <v>25.228000000000002</v>
      </c>
      <c r="P2225" s="24">
        <v>1.1000000000000001</v>
      </c>
      <c r="Q2225" s="24">
        <v>36</v>
      </c>
      <c r="R2225" s="27">
        <f t="shared" si="425"/>
        <v>999.02880000000016</v>
      </c>
      <c r="S2225" s="102">
        <f t="shared" si="427"/>
        <v>1.1100000000000001</v>
      </c>
      <c r="T2225" s="21">
        <f>VLOOKUP($A2225,'2022-23 Salary &amp; Benefits'!$A:$I,5,FALSE)</f>
        <v>68937</v>
      </c>
      <c r="U2225" s="21">
        <f>VLOOKUP($A2225,'2022-23 Salary &amp; Benefits'!$A:$I,6,FALSE)</f>
        <v>72728</v>
      </c>
      <c r="V2225" s="22">
        <f t="shared" si="428"/>
        <v>76520.070000000007</v>
      </c>
      <c r="W2225" s="22">
        <f t="shared" si="429"/>
        <v>4208.0099999999948</v>
      </c>
      <c r="X2225" s="22">
        <f>'2022-23 Salary &amp; Benefits'!$G$6</f>
        <v>12558.24</v>
      </c>
      <c r="Y2225" s="23">
        <f>'2022-23 Salary &amp; Benefits'!$H$6</f>
        <v>0.2298</v>
      </c>
      <c r="Z2225" s="23">
        <f>'2022-23 Salary &amp; Benefits'!$I$6</f>
        <v>0.22339999999999999</v>
      </c>
      <c r="AA2225" s="22">
        <f t="shared" si="430"/>
        <v>32464.03</v>
      </c>
      <c r="AB2225" s="22">
        <f t="shared" si="431"/>
        <v>1345.47</v>
      </c>
      <c r="AC2225" s="22">
        <f t="shared" si="432"/>
        <v>300.58</v>
      </c>
      <c r="AD2225" s="22">
        <f t="shared" si="434"/>
        <v>1646.05</v>
      </c>
      <c r="AE2225" s="22">
        <f t="shared" si="435"/>
        <v>114838.16</v>
      </c>
      <c r="AF2225" s="19" t="str">
        <f>VLOOKUP(C2225,'2021-22 School Level AAFTE'!C:N,12,FALSE)</f>
        <v>No</v>
      </c>
    </row>
    <row r="2226" spans="1:39" customFormat="1">
      <c r="A2226" s="97" t="s">
        <v>2565</v>
      </c>
      <c r="B2226" s="97" t="s">
        <v>2240</v>
      </c>
      <c r="C2226" s="95">
        <v>5543</v>
      </c>
      <c r="D2226" s="95" t="s">
        <v>2944</v>
      </c>
      <c r="E2226" s="129">
        <f>VLOOKUP($C2226,'2021-22 School Level AAFTE'!$C:$Z,11,FALSE)</f>
        <v>0.87953333333333328</v>
      </c>
      <c r="F2226" s="129" t="str">
        <f>VLOOKUP($C2226,'2021-22 School Level AAFTE'!$C:$Z,8,FALSE)</f>
        <v>Yes</v>
      </c>
      <c r="G2226" s="129" t="str">
        <f>VLOOKUP($C2226,'2021-22 School Level AAFTE'!$C:$Z,12,FALSE)</f>
        <v>No</v>
      </c>
      <c r="H2226" s="127">
        <f>VLOOKUP($C2226,'2021-22 School Level AAFTE'!$C:$I,7,FALSE)</f>
        <v>370.72</v>
      </c>
      <c r="I2226" s="112">
        <f>IFERROR(IF(OR(G2226="yes",F2226= "yes"),VLOOKUP(C2226,Summary!$B:$J,6,0),0),0)</f>
        <v>0</v>
      </c>
      <c r="J2226" s="111">
        <f t="shared" si="426"/>
        <v>370.72</v>
      </c>
      <c r="K2226" s="91">
        <f>VLOOKUP($A2226,'2022-23 Salary &amp; Benefits'!$A:$I,3,FALSE)</f>
        <v>1</v>
      </c>
      <c r="L2226" s="91">
        <f>VLOOKUP($A2226,'2022-23 Salary &amp; Benefits'!$A:$I,4,FALSE)</f>
        <v>1</v>
      </c>
      <c r="M2226" s="39">
        <f t="shared" si="433"/>
        <v>370.72</v>
      </c>
      <c r="N2226" s="24">
        <v>15</v>
      </c>
      <c r="O2226" s="26">
        <f t="shared" si="424"/>
        <v>24.71466666666667</v>
      </c>
      <c r="P2226" s="24">
        <v>1.1000000000000001</v>
      </c>
      <c r="Q2226" s="24">
        <v>36</v>
      </c>
      <c r="R2226" s="27">
        <f t="shared" si="425"/>
        <v>978.70080000000019</v>
      </c>
      <c r="S2226" s="102">
        <f t="shared" si="427"/>
        <v>1.087</v>
      </c>
      <c r="T2226" s="21">
        <f>VLOOKUP($A2226,'2022-23 Salary &amp; Benefits'!$A:$I,5,FALSE)</f>
        <v>68937</v>
      </c>
      <c r="U2226" s="21">
        <f>VLOOKUP($A2226,'2022-23 Salary &amp; Benefits'!$A:$I,6,FALSE)</f>
        <v>72728</v>
      </c>
      <c r="V2226" s="22">
        <f t="shared" si="428"/>
        <v>74934.52</v>
      </c>
      <c r="W2226" s="22">
        <f t="shared" si="429"/>
        <v>4120.8199999999924</v>
      </c>
      <c r="X2226" s="22">
        <f>'2022-23 Salary &amp; Benefits'!$G$6</f>
        <v>12558.24</v>
      </c>
      <c r="Y2226" s="23">
        <f>'2022-23 Salary &amp; Benefits'!$H$6</f>
        <v>0.2298</v>
      </c>
      <c r="Z2226" s="23">
        <f>'2022-23 Salary &amp; Benefits'!$I$6</f>
        <v>0.22339999999999999</v>
      </c>
      <c r="AA2226" s="22">
        <f t="shared" si="430"/>
        <v>31791.35</v>
      </c>
      <c r="AB2226" s="22">
        <f t="shared" si="431"/>
        <v>1317.59</v>
      </c>
      <c r="AC2226" s="22">
        <f t="shared" si="432"/>
        <v>294.35000000000002</v>
      </c>
      <c r="AD2226" s="22">
        <f t="shared" si="434"/>
        <v>1611.94</v>
      </c>
      <c r="AE2226" s="22">
        <f t="shared" si="435"/>
        <v>112458.62999999999</v>
      </c>
      <c r="AF2226" s="19" t="str">
        <f>VLOOKUP(C2226,'2021-22 School Level AAFTE'!C:N,12,FALSE)</f>
        <v>No</v>
      </c>
    </row>
    <row r="2227" spans="1:39" customFormat="1">
      <c r="A2227" s="97" t="s">
        <v>2565</v>
      </c>
      <c r="B2227" s="97" t="s">
        <v>2240</v>
      </c>
      <c r="C2227" s="95">
        <v>5544</v>
      </c>
      <c r="D2227" s="95" t="s">
        <v>2243</v>
      </c>
      <c r="E2227" s="129">
        <f>VLOOKUP($C2227,'2021-22 School Level AAFTE'!$C:$Z,11,FALSE)</f>
        <v>0.86629999999999996</v>
      </c>
      <c r="F2227" s="129" t="str">
        <f>VLOOKUP($C2227,'2021-22 School Level AAFTE'!$C:$Z,8,FALSE)</f>
        <v>Yes</v>
      </c>
      <c r="G2227" s="129" t="str">
        <f>VLOOKUP($C2227,'2021-22 School Level AAFTE'!$C:$Z,12,FALSE)</f>
        <v>No</v>
      </c>
      <c r="H2227" s="127">
        <f>VLOOKUP($C2227,'2021-22 School Level AAFTE'!$C:$I,7,FALSE)</f>
        <v>268.57</v>
      </c>
      <c r="I2227" s="112">
        <f>IFERROR(IF(OR(G2227="yes",F2227= "yes"),VLOOKUP(C2227,Summary!$B:$J,6,0),0),0)</f>
        <v>0</v>
      </c>
      <c r="J2227" s="111">
        <f t="shared" si="426"/>
        <v>268.57</v>
      </c>
      <c r="K2227" s="91">
        <f>VLOOKUP($A2227,'2022-23 Salary &amp; Benefits'!$A:$I,3,FALSE)</f>
        <v>1</v>
      </c>
      <c r="L2227" s="91">
        <f>VLOOKUP($A2227,'2022-23 Salary &amp; Benefits'!$A:$I,4,FALSE)</f>
        <v>1</v>
      </c>
      <c r="M2227" s="39">
        <f t="shared" si="433"/>
        <v>268.57</v>
      </c>
      <c r="N2227" s="24">
        <v>15</v>
      </c>
      <c r="O2227" s="26">
        <f t="shared" si="424"/>
        <v>17.904666666666667</v>
      </c>
      <c r="P2227" s="24">
        <v>1.1000000000000001</v>
      </c>
      <c r="Q2227" s="24">
        <v>36</v>
      </c>
      <c r="R2227" s="27">
        <f t="shared" si="425"/>
        <v>709.02480000000003</v>
      </c>
      <c r="S2227" s="102">
        <f t="shared" si="427"/>
        <v>0.78800000000000003</v>
      </c>
      <c r="T2227" s="21">
        <f>VLOOKUP($A2227,'2022-23 Salary &amp; Benefits'!$A:$I,5,FALSE)</f>
        <v>68937</v>
      </c>
      <c r="U2227" s="21">
        <f>VLOOKUP($A2227,'2022-23 Salary &amp; Benefits'!$A:$I,6,FALSE)</f>
        <v>72728</v>
      </c>
      <c r="V2227" s="22">
        <f t="shared" si="428"/>
        <v>54322.36</v>
      </c>
      <c r="W2227" s="22">
        <f t="shared" si="429"/>
        <v>2987.3000000000029</v>
      </c>
      <c r="X2227" s="22">
        <f>'2022-23 Salary &amp; Benefits'!$G$6</f>
        <v>12558.24</v>
      </c>
      <c r="Y2227" s="23">
        <f>'2022-23 Salary &amp; Benefits'!$H$6</f>
        <v>0.2298</v>
      </c>
      <c r="Z2227" s="23">
        <f>'2022-23 Salary &amp; Benefits'!$I$6</f>
        <v>0.22339999999999999</v>
      </c>
      <c r="AA2227" s="22">
        <f t="shared" si="430"/>
        <v>23046.53</v>
      </c>
      <c r="AB2227" s="22">
        <f t="shared" si="431"/>
        <v>955.16</v>
      </c>
      <c r="AC2227" s="22">
        <f t="shared" si="432"/>
        <v>213.38</v>
      </c>
      <c r="AD2227" s="22">
        <f t="shared" si="434"/>
        <v>1168.54</v>
      </c>
      <c r="AE2227" s="22">
        <f t="shared" si="435"/>
        <v>81524.73</v>
      </c>
      <c r="AF2227" s="19" t="str">
        <f>VLOOKUP(C2227,'2021-22 School Level AAFTE'!C:N,12,FALSE)</f>
        <v>No</v>
      </c>
    </row>
    <row r="2228" spans="1:39" customFormat="1">
      <c r="A2228" s="97" t="s">
        <v>2565</v>
      </c>
      <c r="B2228" s="97" t="s">
        <v>2240</v>
      </c>
      <c r="C2228" s="95">
        <v>5595</v>
      </c>
      <c r="D2228" s="95" t="s">
        <v>2846</v>
      </c>
      <c r="E2228" s="129">
        <f>VLOOKUP($C2228,'2021-22 School Level AAFTE'!$C:$Z,11,FALSE)</f>
        <v>0</v>
      </c>
      <c r="F2228" s="129" t="str">
        <f>VLOOKUP($C2228,'2021-22 School Level AAFTE'!$C:$Z,8,FALSE)</f>
        <v>No</v>
      </c>
      <c r="G2228" s="129" t="str">
        <f>VLOOKUP($C2228,'2021-22 School Level AAFTE'!$C:$Z,12,FALSE)</f>
        <v>No</v>
      </c>
      <c r="H2228" s="127">
        <f>VLOOKUP($C2228,'2021-22 School Level AAFTE'!$C:$I,7,FALSE)</f>
        <v>4.8600000000000003</v>
      </c>
      <c r="I2228" s="112">
        <f>IFERROR(IF(OR(G2228="yes",F2228= "yes"),VLOOKUP(C2228,Summary!$B:$J,6,0),0),0)</f>
        <v>0</v>
      </c>
      <c r="J2228" s="111">
        <f t="shared" si="426"/>
        <v>0</v>
      </c>
      <c r="K2228" s="91">
        <f>VLOOKUP($A2228,'2022-23 Salary &amp; Benefits'!$A:$I,3,FALSE)</f>
        <v>1</v>
      </c>
      <c r="L2228" s="91">
        <f>VLOOKUP($A2228,'2022-23 Salary &amp; Benefits'!$A:$I,4,FALSE)</f>
        <v>1</v>
      </c>
      <c r="M2228" s="39">
        <f t="shared" si="433"/>
        <v>0</v>
      </c>
      <c r="N2228" s="24">
        <v>15</v>
      </c>
      <c r="O2228" s="26">
        <f t="shared" si="424"/>
        <v>0</v>
      </c>
      <c r="P2228" s="24">
        <v>1.1000000000000001</v>
      </c>
      <c r="Q2228" s="24">
        <v>36</v>
      </c>
      <c r="R2228" s="27">
        <f t="shared" si="425"/>
        <v>0</v>
      </c>
      <c r="S2228" s="102">
        <f t="shared" si="427"/>
        <v>0</v>
      </c>
      <c r="T2228" s="21">
        <f>VLOOKUP($A2228,'2022-23 Salary &amp; Benefits'!$A:$I,5,FALSE)</f>
        <v>68937</v>
      </c>
      <c r="U2228" s="21">
        <f>VLOOKUP($A2228,'2022-23 Salary &amp; Benefits'!$A:$I,6,FALSE)</f>
        <v>72728</v>
      </c>
      <c r="V2228" s="22">
        <f t="shared" si="428"/>
        <v>0</v>
      </c>
      <c r="W2228" s="22">
        <f t="shared" si="429"/>
        <v>0</v>
      </c>
      <c r="X2228" s="22">
        <f>'2022-23 Salary &amp; Benefits'!$G$6</f>
        <v>12558.24</v>
      </c>
      <c r="Y2228" s="23">
        <f>'2022-23 Salary &amp; Benefits'!$H$6</f>
        <v>0.2298</v>
      </c>
      <c r="Z2228" s="23">
        <f>'2022-23 Salary &amp; Benefits'!$I$6</f>
        <v>0.22339999999999999</v>
      </c>
      <c r="AA2228" s="22">
        <f t="shared" si="430"/>
        <v>0</v>
      </c>
      <c r="AB2228" s="22">
        <f t="shared" si="431"/>
        <v>0</v>
      </c>
      <c r="AC2228" s="22">
        <f t="shared" si="432"/>
        <v>0</v>
      </c>
      <c r="AD2228" s="22">
        <f t="shared" si="434"/>
        <v>0</v>
      </c>
      <c r="AE2228" s="22">
        <f t="shared" si="435"/>
        <v>0</v>
      </c>
      <c r="AF2228" s="19" t="str">
        <f>VLOOKUP(C2228,'2021-22 School Level AAFTE'!C:N,12,FALSE)</f>
        <v>No</v>
      </c>
    </row>
    <row r="2229" spans="1:39" customFormat="1">
      <c r="A2229" s="97" t="s">
        <v>2319</v>
      </c>
      <c r="B2229" s="97" t="s">
        <v>421</v>
      </c>
      <c r="C2229" s="95">
        <v>2792</v>
      </c>
      <c r="D2229" s="95" t="s">
        <v>422</v>
      </c>
      <c r="E2229" s="129">
        <f>VLOOKUP($C2229,'2021-22 School Level AAFTE'!$C:$Z,11,FALSE)</f>
        <v>0.84019999999999995</v>
      </c>
      <c r="F2229" s="129" t="str">
        <f>VLOOKUP($C2229,'2021-22 School Level AAFTE'!$C:$Z,8,FALSE)</f>
        <v>Yes</v>
      </c>
      <c r="G2229" s="129" t="str">
        <f>VLOOKUP($C2229,'2021-22 School Level AAFTE'!$C:$Z,12,FALSE)</f>
        <v>No</v>
      </c>
      <c r="H2229" s="127">
        <f>VLOOKUP($C2229,'2021-22 School Level AAFTE'!$C:$I,7,FALSE)</f>
        <v>371.29</v>
      </c>
      <c r="I2229" s="112">
        <f>IFERROR(IF(OR(G2229="yes",F2229= "yes"),VLOOKUP(C2229,Summary!$B:$J,6,0),0),0)</f>
        <v>0</v>
      </c>
      <c r="J2229" s="111">
        <f t="shared" si="426"/>
        <v>371.29</v>
      </c>
      <c r="K2229" s="91">
        <f>VLOOKUP($A2229,'2022-23 Salary &amp; Benefits'!$A:$I,3,FALSE)</f>
        <v>1</v>
      </c>
      <c r="L2229" s="91">
        <f>VLOOKUP($A2229,'2022-23 Salary &amp; Benefits'!$A:$I,4,FALSE)</f>
        <v>1</v>
      </c>
      <c r="M2229" s="101">
        <f t="shared" si="433"/>
        <v>371.29</v>
      </c>
      <c r="N2229" s="24">
        <v>15</v>
      </c>
      <c r="O2229" s="26">
        <f t="shared" si="424"/>
        <v>24.752666666666666</v>
      </c>
      <c r="P2229" s="24">
        <v>1.1000000000000001</v>
      </c>
      <c r="Q2229" s="24">
        <v>36</v>
      </c>
      <c r="R2229" s="27">
        <f t="shared" si="425"/>
        <v>980.20560000000012</v>
      </c>
      <c r="S2229" s="102">
        <f t="shared" si="427"/>
        <v>1.089</v>
      </c>
      <c r="T2229" s="21">
        <f>VLOOKUP($A2229,'2022-23 Salary &amp; Benefits'!$A:$I,5,FALSE)</f>
        <v>68937</v>
      </c>
      <c r="U2229" s="21">
        <f>VLOOKUP($A2229,'2022-23 Salary &amp; Benefits'!$A:$I,6,FALSE)</f>
        <v>72728</v>
      </c>
      <c r="V2229" s="22">
        <f t="shared" si="428"/>
        <v>75072.39</v>
      </c>
      <c r="W2229" s="22">
        <f t="shared" si="429"/>
        <v>4128.3999999999942</v>
      </c>
      <c r="X2229" s="22">
        <f>'2022-23 Salary &amp; Benefits'!$G$6</f>
        <v>12558.24</v>
      </c>
      <c r="Y2229" s="23">
        <f>'2022-23 Salary &amp; Benefits'!$H$6</f>
        <v>0.2298</v>
      </c>
      <c r="Z2229" s="23">
        <f>'2022-23 Salary &amp; Benefits'!$I$6</f>
        <v>0.22339999999999999</v>
      </c>
      <c r="AA2229" s="22">
        <f t="shared" si="430"/>
        <v>31849.84</v>
      </c>
      <c r="AB2229" s="22">
        <f t="shared" si="431"/>
        <v>1320.01</v>
      </c>
      <c r="AC2229" s="22">
        <f t="shared" si="432"/>
        <v>294.89</v>
      </c>
      <c r="AD2229" s="22">
        <f t="shared" si="434"/>
        <v>1614.9</v>
      </c>
      <c r="AE2229" s="22">
        <f t="shared" si="435"/>
        <v>112665.52999999998</v>
      </c>
      <c r="AF2229" s="19" t="str">
        <f>VLOOKUP(C2229,'2021-22 School Level AAFTE'!C:N,12,FALSE)</f>
        <v>No</v>
      </c>
    </row>
    <row r="2230" spans="1:39" customFormat="1">
      <c r="A2230" s="97" t="s">
        <v>2319</v>
      </c>
      <c r="B2230" s="97" t="s">
        <v>421</v>
      </c>
      <c r="C2230" s="95">
        <v>3273</v>
      </c>
      <c r="D2230" s="95" t="s">
        <v>423</v>
      </c>
      <c r="E2230" s="129">
        <f>VLOOKUP($C2230,'2021-22 School Level AAFTE'!$C:$Z,11,FALSE)</f>
        <v>0.7883</v>
      </c>
      <c r="F2230" s="129" t="str">
        <f>VLOOKUP($C2230,'2021-22 School Level AAFTE'!$C:$Z,8,FALSE)</f>
        <v>Yes</v>
      </c>
      <c r="G2230" s="129" t="str">
        <f>VLOOKUP($C2230,'2021-22 School Level AAFTE'!$C:$Z,12,FALSE)</f>
        <v>No</v>
      </c>
      <c r="H2230" s="127">
        <f>VLOOKUP($C2230,'2021-22 School Level AAFTE'!$C:$I,7,FALSE)</f>
        <v>293.84000000000003</v>
      </c>
      <c r="I2230" s="112">
        <f>IFERROR(IF(OR(G2230="yes",F2230= "yes"),VLOOKUP(C2230,Summary!$B:$J,6,0),0),0)</f>
        <v>0</v>
      </c>
      <c r="J2230" s="111">
        <f t="shared" si="426"/>
        <v>293.84000000000003</v>
      </c>
      <c r="K2230" s="91">
        <f>VLOOKUP($A2230,'2022-23 Salary &amp; Benefits'!$A:$I,3,FALSE)</f>
        <v>1</v>
      </c>
      <c r="L2230" s="91">
        <f>VLOOKUP($A2230,'2022-23 Salary &amp; Benefits'!$A:$I,4,FALSE)</f>
        <v>1</v>
      </c>
      <c r="M2230" s="39">
        <f t="shared" si="433"/>
        <v>293.84000000000003</v>
      </c>
      <c r="N2230" s="24">
        <v>15</v>
      </c>
      <c r="O2230" s="26">
        <f t="shared" si="424"/>
        <v>19.589333333333336</v>
      </c>
      <c r="P2230" s="24">
        <v>1.1000000000000001</v>
      </c>
      <c r="Q2230" s="24">
        <v>36</v>
      </c>
      <c r="R2230" s="27">
        <f t="shared" si="425"/>
        <v>775.73760000000016</v>
      </c>
      <c r="S2230" s="102">
        <f t="shared" si="427"/>
        <v>0.86199999999999999</v>
      </c>
      <c r="T2230" s="21">
        <f>VLOOKUP($A2230,'2022-23 Salary &amp; Benefits'!$A:$I,5,FALSE)</f>
        <v>68937</v>
      </c>
      <c r="U2230" s="21">
        <f>VLOOKUP($A2230,'2022-23 Salary &amp; Benefits'!$A:$I,6,FALSE)</f>
        <v>72728</v>
      </c>
      <c r="V2230" s="22">
        <f t="shared" si="428"/>
        <v>59423.69</v>
      </c>
      <c r="W2230" s="22">
        <f t="shared" si="429"/>
        <v>3267.8499999999985</v>
      </c>
      <c r="X2230" s="22">
        <f>'2022-23 Salary &amp; Benefits'!$G$6</f>
        <v>12558.24</v>
      </c>
      <c r="Y2230" s="23">
        <f>'2022-23 Salary &amp; Benefits'!$H$6</f>
        <v>0.2298</v>
      </c>
      <c r="Z2230" s="23">
        <f>'2022-23 Salary &amp; Benefits'!$I$6</f>
        <v>0.22339999999999999</v>
      </c>
      <c r="AA2230" s="22">
        <f t="shared" si="430"/>
        <v>25210.799999999999</v>
      </c>
      <c r="AB2230" s="22">
        <f t="shared" si="431"/>
        <v>1044.8599999999999</v>
      </c>
      <c r="AC2230" s="22">
        <f t="shared" si="432"/>
        <v>233.42</v>
      </c>
      <c r="AD2230" s="22">
        <f t="shared" si="434"/>
        <v>1278.28</v>
      </c>
      <c r="AE2230" s="22">
        <f t="shared" si="435"/>
        <v>89180.62</v>
      </c>
      <c r="AF2230" s="19" t="str">
        <f>VLOOKUP(C2230,'2021-22 School Level AAFTE'!C:N,12,FALSE)</f>
        <v>No</v>
      </c>
    </row>
    <row r="2231" spans="1:39" customFormat="1">
      <c r="A2231" s="97" t="s">
        <v>2319</v>
      </c>
      <c r="B2231" s="97" t="s">
        <v>421</v>
      </c>
      <c r="C2231" s="95">
        <v>3909</v>
      </c>
      <c r="D2231" s="95" t="s">
        <v>424</v>
      </c>
      <c r="E2231" s="129">
        <f>VLOOKUP($C2231,'2021-22 School Level AAFTE'!$C:$Z,11,FALSE)</f>
        <v>0.86973333333333336</v>
      </c>
      <c r="F2231" s="129" t="str">
        <f>VLOOKUP($C2231,'2021-22 School Level AAFTE'!$C:$Z,8,FALSE)</f>
        <v>Yes</v>
      </c>
      <c r="G2231" s="129" t="str">
        <f>VLOOKUP($C2231,'2021-22 School Level AAFTE'!$C:$Z,12,FALSE)</f>
        <v>No</v>
      </c>
      <c r="H2231" s="127">
        <f>VLOOKUP($C2231,'2021-22 School Level AAFTE'!$C:$I,7,FALSE)</f>
        <v>218.72</v>
      </c>
      <c r="I2231" s="112">
        <f>IFERROR(IF(OR(G2231="yes",F2231= "yes"),VLOOKUP(C2231,Summary!$B:$J,6,0),0),0)</f>
        <v>0</v>
      </c>
      <c r="J2231" s="111">
        <f t="shared" si="426"/>
        <v>218.72</v>
      </c>
      <c r="K2231" s="91">
        <f>VLOOKUP($A2231,'2022-23 Salary &amp; Benefits'!$A:$I,3,FALSE)</f>
        <v>1</v>
      </c>
      <c r="L2231" s="91">
        <f>VLOOKUP($A2231,'2022-23 Salary &amp; Benefits'!$A:$I,4,FALSE)</f>
        <v>1</v>
      </c>
      <c r="M2231" s="101">
        <f t="shared" si="433"/>
        <v>218.72</v>
      </c>
      <c r="N2231" s="24">
        <v>15</v>
      </c>
      <c r="O2231" s="26">
        <f t="shared" si="424"/>
        <v>14.581333333333333</v>
      </c>
      <c r="P2231" s="24">
        <v>1.1000000000000001</v>
      </c>
      <c r="Q2231" s="24">
        <v>36</v>
      </c>
      <c r="R2231" s="27">
        <f t="shared" si="425"/>
        <v>577.4208000000001</v>
      </c>
      <c r="S2231" s="102">
        <f t="shared" si="427"/>
        <v>0.64200000000000002</v>
      </c>
      <c r="T2231" s="21">
        <f>VLOOKUP($A2231,'2022-23 Salary &amp; Benefits'!$A:$I,5,FALSE)</f>
        <v>68937</v>
      </c>
      <c r="U2231" s="21">
        <f>VLOOKUP($A2231,'2022-23 Salary &amp; Benefits'!$A:$I,6,FALSE)</f>
        <v>72728</v>
      </c>
      <c r="V2231" s="22">
        <f t="shared" si="428"/>
        <v>44257.55</v>
      </c>
      <c r="W2231" s="22">
        <f t="shared" si="429"/>
        <v>2433.8299999999945</v>
      </c>
      <c r="X2231" s="22">
        <f>'2022-23 Salary &amp; Benefits'!$G$6</f>
        <v>12558.24</v>
      </c>
      <c r="Y2231" s="23">
        <f>'2022-23 Salary &amp; Benefits'!$H$6</f>
        <v>0.2298</v>
      </c>
      <c r="Z2231" s="23">
        <f>'2022-23 Salary &amp; Benefits'!$I$6</f>
        <v>0.22339999999999999</v>
      </c>
      <c r="AA2231" s="22">
        <f t="shared" si="430"/>
        <v>18776.490000000002</v>
      </c>
      <c r="AB2231" s="22">
        <f t="shared" si="431"/>
        <v>778.19</v>
      </c>
      <c r="AC2231" s="22">
        <f t="shared" si="432"/>
        <v>173.85</v>
      </c>
      <c r="AD2231" s="22">
        <f t="shared" si="434"/>
        <v>952.04000000000008</v>
      </c>
      <c r="AE2231" s="22">
        <f t="shared" si="435"/>
        <v>66419.91</v>
      </c>
      <c r="AF2231" s="19" t="str">
        <f>VLOOKUP(C2231,'2021-22 School Level AAFTE'!C:N,12,FALSE)</f>
        <v>No</v>
      </c>
    </row>
    <row r="2232" spans="1:39" customFormat="1">
      <c r="A2232" s="97" t="s">
        <v>2287</v>
      </c>
      <c r="B2232" s="97" t="s">
        <v>213</v>
      </c>
      <c r="C2232" s="95">
        <v>2509</v>
      </c>
      <c r="D2232" s="95" t="s">
        <v>214</v>
      </c>
      <c r="E2232" s="129">
        <f>VLOOKUP($C2232,'2021-22 School Level AAFTE'!$C:$Z,11,FALSE)</f>
        <v>0.42986666666666667</v>
      </c>
      <c r="F2232" s="129" t="str">
        <f>VLOOKUP($C2232,'2021-22 School Level AAFTE'!$C:$Z,8,FALSE)</f>
        <v>No</v>
      </c>
      <c r="G2232" s="129" t="str">
        <f>VLOOKUP($C2232,'2021-22 School Level AAFTE'!$C:$Z,12,FALSE)</f>
        <v>No</v>
      </c>
      <c r="H2232" s="127">
        <f>VLOOKUP($C2232,'2021-22 School Level AAFTE'!$C:$I,7,FALSE)</f>
        <v>261.02</v>
      </c>
      <c r="I2232" s="112">
        <f>IFERROR(IF(OR(G2232="yes",F2232= "yes"),VLOOKUP(C2232,Summary!$B:$J,6,0),0),0)</f>
        <v>0</v>
      </c>
      <c r="J2232" s="111">
        <f t="shared" si="426"/>
        <v>0</v>
      </c>
      <c r="K2232" s="91">
        <f>VLOOKUP($A2232,'2022-23 Salary &amp; Benefits'!$A:$I,3,FALSE)</f>
        <v>1.06</v>
      </c>
      <c r="L2232" s="91">
        <f>VLOOKUP($A2232,'2022-23 Salary &amp; Benefits'!$A:$I,4,FALSE)</f>
        <v>1.06</v>
      </c>
      <c r="M2232" s="101">
        <f t="shared" si="433"/>
        <v>0</v>
      </c>
      <c r="N2232" s="24">
        <v>15</v>
      </c>
      <c r="O2232" s="26">
        <f t="shared" si="424"/>
        <v>0</v>
      </c>
      <c r="P2232" s="24">
        <v>1.1000000000000001</v>
      </c>
      <c r="Q2232" s="24">
        <v>36</v>
      </c>
      <c r="R2232" s="27">
        <f t="shared" si="425"/>
        <v>0</v>
      </c>
      <c r="S2232" s="102">
        <f t="shared" si="427"/>
        <v>0</v>
      </c>
      <c r="T2232" s="21">
        <f>VLOOKUP($A2232,'2022-23 Salary &amp; Benefits'!$A:$I,5,FALSE)</f>
        <v>68937</v>
      </c>
      <c r="U2232" s="21">
        <f>VLOOKUP($A2232,'2022-23 Salary &amp; Benefits'!$A:$I,6,FALSE)</f>
        <v>72728</v>
      </c>
      <c r="V2232" s="22">
        <f t="shared" si="428"/>
        <v>0</v>
      </c>
      <c r="W2232" s="22">
        <f t="shared" si="429"/>
        <v>0</v>
      </c>
      <c r="X2232" s="22">
        <f>'2022-23 Salary &amp; Benefits'!$G$6</f>
        <v>12558.24</v>
      </c>
      <c r="Y2232" s="23">
        <f>'2022-23 Salary &amp; Benefits'!$H$6</f>
        <v>0.2298</v>
      </c>
      <c r="Z2232" s="23">
        <f>'2022-23 Salary &amp; Benefits'!$I$6</f>
        <v>0.22339999999999999</v>
      </c>
      <c r="AA2232" s="22">
        <f t="shared" si="430"/>
        <v>0</v>
      </c>
      <c r="AB2232" s="22">
        <f t="shared" si="431"/>
        <v>0</v>
      </c>
      <c r="AC2232" s="22">
        <f t="shared" si="432"/>
        <v>0</v>
      </c>
      <c r="AD2232" s="22">
        <f t="shared" si="434"/>
        <v>0</v>
      </c>
      <c r="AE2232" s="22">
        <f t="shared" si="435"/>
        <v>0</v>
      </c>
      <c r="AF2232" s="19" t="str">
        <f>VLOOKUP(C2232,'2021-22 School Level AAFTE'!C:N,12,FALSE)</f>
        <v>No</v>
      </c>
    </row>
    <row r="2233" spans="1:39" customFormat="1">
      <c r="A2233" s="97" t="s">
        <v>2287</v>
      </c>
      <c r="B2233" s="97" t="s">
        <v>213</v>
      </c>
      <c r="C2233" s="95">
        <v>2911</v>
      </c>
      <c r="D2233" s="95" t="s">
        <v>215</v>
      </c>
      <c r="E2233" s="129">
        <f>VLOOKUP($C2233,'2021-22 School Level AAFTE'!$C:$Z,11,FALSE)</f>
        <v>0.36663333333333331</v>
      </c>
      <c r="F2233" s="129" t="str">
        <f>VLOOKUP($C2233,'2021-22 School Level AAFTE'!$C:$Z,8,FALSE)</f>
        <v>No</v>
      </c>
      <c r="G2233" s="129" t="str">
        <f>VLOOKUP($C2233,'2021-22 School Level AAFTE'!$C:$Z,12,FALSE)</f>
        <v>No</v>
      </c>
      <c r="H2233" s="127">
        <f>VLOOKUP($C2233,'2021-22 School Level AAFTE'!$C:$I,7,FALSE)</f>
        <v>274.38</v>
      </c>
      <c r="I2233" s="112">
        <f>IFERROR(IF(OR(G2233="yes",F2233= "yes"),VLOOKUP(C2233,Summary!$B:$J,6,0),0),0)</f>
        <v>0</v>
      </c>
      <c r="J2233" s="111">
        <f t="shared" si="426"/>
        <v>0</v>
      </c>
      <c r="K2233" s="91">
        <f>VLOOKUP($A2233,'2022-23 Salary &amp; Benefits'!$A:$I,3,FALSE)</f>
        <v>1.06</v>
      </c>
      <c r="L2233" s="91">
        <f>VLOOKUP($A2233,'2022-23 Salary &amp; Benefits'!$A:$I,4,FALSE)</f>
        <v>1.06</v>
      </c>
      <c r="M2233" s="101">
        <f t="shared" si="433"/>
        <v>0</v>
      </c>
      <c r="N2233" s="24">
        <v>15</v>
      </c>
      <c r="O2233" s="26">
        <f t="shared" si="424"/>
        <v>0</v>
      </c>
      <c r="P2233" s="24">
        <v>1.1000000000000001</v>
      </c>
      <c r="Q2233" s="24">
        <v>36</v>
      </c>
      <c r="R2233" s="27">
        <f t="shared" si="425"/>
        <v>0</v>
      </c>
      <c r="S2233" s="102">
        <f t="shared" si="427"/>
        <v>0</v>
      </c>
      <c r="T2233" s="21">
        <f>VLOOKUP($A2233,'2022-23 Salary &amp; Benefits'!$A:$I,5,FALSE)</f>
        <v>68937</v>
      </c>
      <c r="U2233" s="21">
        <f>VLOOKUP($A2233,'2022-23 Salary &amp; Benefits'!$A:$I,6,FALSE)</f>
        <v>72728</v>
      </c>
      <c r="V2233" s="22">
        <f t="shared" si="428"/>
        <v>0</v>
      </c>
      <c r="W2233" s="22">
        <f t="shared" si="429"/>
        <v>0</v>
      </c>
      <c r="X2233" s="22">
        <f>'2022-23 Salary &amp; Benefits'!$G$6</f>
        <v>12558.24</v>
      </c>
      <c r="Y2233" s="23">
        <f>'2022-23 Salary &amp; Benefits'!$H$6</f>
        <v>0.2298</v>
      </c>
      <c r="Z2233" s="23">
        <f>'2022-23 Salary &amp; Benefits'!$I$6</f>
        <v>0.22339999999999999</v>
      </c>
      <c r="AA2233" s="22">
        <f t="shared" si="430"/>
        <v>0</v>
      </c>
      <c r="AB2233" s="22">
        <f t="shared" si="431"/>
        <v>0</v>
      </c>
      <c r="AC2233" s="22">
        <f t="shared" si="432"/>
        <v>0</v>
      </c>
      <c r="AD2233" s="22">
        <f t="shared" si="434"/>
        <v>0</v>
      </c>
      <c r="AE2233" s="22">
        <f t="shared" si="435"/>
        <v>0</v>
      </c>
      <c r="AF2233" s="19" t="str">
        <f>VLOOKUP(C2233,'2021-22 School Level AAFTE'!C:N,12,FALSE)</f>
        <v>No</v>
      </c>
    </row>
    <row r="2234" spans="1:39" customFormat="1">
      <c r="A2234" s="97" t="s">
        <v>2287</v>
      </c>
      <c r="B2234" s="97" t="s">
        <v>213</v>
      </c>
      <c r="C2234" s="95">
        <v>3147</v>
      </c>
      <c r="D2234" s="95" t="s">
        <v>216</v>
      </c>
      <c r="E2234" s="129">
        <f>VLOOKUP($C2234,'2021-22 School Level AAFTE'!$C:$Z,11,FALSE)</f>
        <v>0.32396666666666668</v>
      </c>
      <c r="F2234" s="129" t="str">
        <f>VLOOKUP($C2234,'2021-22 School Level AAFTE'!$C:$Z,8,FALSE)</f>
        <v>No</v>
      </c>
      <c r="G2234" s="129" t="str">
        <f>VLOOKUP($C2234,'2021-22 School Level AAFTE'!$C:$Z,12,FALSE)</f>
        <v>No</v>
      </c>
      <c r="H2234" s="127">
        <f>VLOOKUP($C2234,'2021-22 School Level AAFTE'!$C:$I,7,FALSE)</f>
        <v>983.58</v>
      </c>
      <c r="I2234" s="112">
        <f>IFERROR(IF(OR(G2234="yes",F2234= "yes"),VLOOKUP(C2234,Summary!$B:$J,6,0),0),0)</f>
        <v>0</v>
      </c>
      <c r="J2234" s="111">
        <f t="shared" si="426"/>
        <v>0</v>
      </c>
      <c r="K2234" s="91">
        <f>VLOOKUP($A2234,'2022-23 Salary &amp; Benefits'!$A:$I,3,FALSE)</f>
        <v>1.06</v>
      </c>
      <c r="L2234" s="91">
        <f>VLOOKUP($A2234,'2022-23 Salary &amp; Benefits'!$A:$I,4,FALSE)</f>
        <v>1.06</v>
      </c>
      <c r="M2234" s="101">
        <f t="shared" si="433"/>
        <v>0</v>
      </c>
      <c r="N2234" s="24">
        <v>15</v>
      </c>
      <c r="O2234" s="26">
        <f t="shared" si="424"/>
        <v>0</v>
      </c>
      <c r="P2234" s="24">
        <v>1.1000000000000001</v>
      </c>
      <c r="Q2234" s="24">
        <v>36</v>
      </c>
      <c r="R2234" s="27">
        <f t="shared" si="425"/>
        <v>0</v>
      </c>
      <c r="S2234" s="102">
        <f t="shared" si="427"/>
        <v>0</v>
      </c>
      <c r="T2234" s="21">
        <f>VLOOKUP($A2234,'2022-23 Salary &amp; Benefits'!$A:$I,5,FALSE)</f>
        <v>68937</v>
      </c>
      <c r="U2234" s="21">
        <f>VLOOKUP($A2234,'2022-23 Salary &amp; Benefits'!$A:$I,6,FALSE)</f>
        <v>72728</v>
      </c>
      <c r="V2234" s="22">
        <f t="shared" si="428"/>
        <v>0</v>
      </c>
      <c r="W2234" s="22">
        <f t="shared" si="429"/>
        <v>0</v>
      </c>
      <c r="X2234" s="22">
        <f>'2022-23 Salary &amp; Benefits'!$G$6</f>
        <v>12558.24</v>
      </c>
      <c r="Y2234" s="23">
        <f>'2022-23 Salary &amp; Benefits'!$H$6</f>
        <v>0.2298</v>
      </c>
      <c r="Z2234" s="23">
        <f>'2022-23 Salary &amp; Benefits'!$I$6</f>
        <v>0.22339999999999999</v>
      </c>
      <c r="AA2234" s="22">
        <f t="shared" si="430"/>
        <v>0</v>
      </c>
      <c r="AB2234" s="22">
        <f t="shared" si="431"/>
        <v>0</v>
      </c>
      <c r="AC2234" s="22">
        <f t="shared" si="432"/>
        <v>0</v>
      </c>
      <c r="AD2234" s="22">
        <f t="shared" si="434"/>
        <v>0</v>
      </c>
      <c r="AE2234" s="22">
        <f t="shared" si="435"/>
        <v>0</v>
      </c>
      <c r="AF2234" s="19" t="str">
        <f>VLOOKUP(C2234,'2021-22 School Level AAFTE'!C:N,12,FALSE)</f>
        <v>No</v>
      </c>
    </row>
    <row r="2235" spans="1:39" customFormat="1">
      <c r="A2235" s="97" t="s">
        <v>2287</v>
      </c>
      <c r="B2235" s="97" t="s">
        <v>213</v>
      </c>
      <c r="C2235" s="95">
        <v>3270</v>
      </c>
      <c r="D2235" s="95" t="s">
        <v>217</v>
      </c>
      <c r="E2235" s="129">
        <f>VLOOKUP($C2235,'2021-22 School Level AAFTE'!$C:$Z,11,FALSE)</f>
        <v>0.30460000000000004</v>
      </c>
      <c r="F2235" s="129" t="str">
        <f>VLOOKUP($C2235,'2021-22 School Level AAFTE'!$C:$Z,8,FALSE)</f>
        <v>No</v>
      </c>
      <c r="G2235" s="129" t="str">
        <f>VLOOKUP($C2235,'2021-22 School Level AAFTE'!$C:$Z,12,FALSE)</f>
        <v>No</v>
      </c>
      <c r="H2235" s="127">
        <f>VLOOKUP($C2235,'2021-22 School Level AAFTE'!$C:$I,7,FALSE)</f>
        <v>280.51</v>
      </c>
      <c r="I2235" s="112">
        <f>IFERROR(IF(OR(G2235="yes",F2235= "yes"),VLOOKUP(C2235,Summary!$B:$J,6,0),0),0)</f>
        <v>0</v>
      </c>
      <c r="J2235" s="111">
        <f t="shared" si="426"/>
        <v>0</v>
      </c>
      <c r="K2235" s="91">
        <f>VLOOKUP($A2235,'2022-23 Salary &amp; Benefits'!$A:$I,3,FALSE)</f>
        <v>1.06</v>
      </c>
      <c r="L2235" s="91">
        <f>VLOOKUP($A2235,'2022-23 Salary &amp; Benefits'!$A:$I,4,FALSE)</f>
        <v>1.06</v>
      </c>
      <c r="M2235" s="101">
        <f t="shared" si="433"/>
        <v>0</v>
      </c>
      <c r="N2235" s="24">
        <v>15</v>
      </c>
      <c r="O2235" s="26">
        <f t="shared" si="424"/>
        <v>0</v>
      </c>
      <c r="P2235" s="24">
        <v>1.1000000000000001</v>
      </c>
      <c r="Q2235" s="24">
        <v>36</v>
      </c>
      <c r="R2235" s="27">
        <f t="shared" si="425"/>
        <v>0</v>
      </c>
      <c r="S2235" s="102">
        <f t="shared" si="427"/>
        <v>0</v>
      </c>
      <c r="T2235" s="21">
        <f>VLOOKUP($A2235,'2022-23 Salary &amp; Benefits'!$A:$I,5,FALSE)</f>
        <v>68937</v>
      </c>
      <c r="U2235" s="21">
        <f>VLOOKUP($A2235,'2022-23 Salary &amp; Benefits'!$A:$I,6,FALSE)</f>
        <v>72728</v>
      </c>
      <c r="V2235" s="22">
        <f t="shared" si="428"/>
        <v>0</v>
      </c>
      <c r="W2235" s="22">
        <f t="shared" si="429"/>
        <v>0</v>
      </c>
      <c r="X2235" s="22">
        <f>'2022-23 Salary &amp; Benefits'!$G$6</f>
        <v>12558.24</v>
      </c>
      <c r="Y2235" s="23">
        <f>'2022-23 Salary &amp; Benefits'!$H$6</f>
        <v>0.2298</v>
      </c>
      <c r="Z2235" s="23">
        <f>'2022-23 Salary &amp; Benefits'!$I$6</f>
        <v>0.22339999999999999</v>
      </c>
      <c r="AA2235" s="22">
        <f t="shared" si="430"/>
        <v>0</v>
      </c>
      <c r="AB2235" s="22">
        <f t="shared" si="431"/>
        <v>0</v>
      </c>
      <c r="AC2235" s="22">
        <f t="shared" si="432"/>
        <v>0</v>
      </c>
      <c r="AD2235" s="22">
        <f t="shared" si="434"/>
        <v>0</v>
      </c>
      <c r="AE2235" s="22">
        <f t="shared" si="435"/>
        <v>0</v>
      </c>
      <c r="AF2235" s="19" t="str">
        <f>VLOOKUP(C2235,'2021-22 School Level AAFTE'!C:N,12,FALSE)</f>
        <v>No</v>
      </c>
    </row>
    <row r="2236" spans="1:39" customFormat="1">
      <c r="A2236" s="97" t="s">
        <v>2287</v>
      </c>
      <c r="B2236" s="97" t="s">
        <v>213</v>
      </c>
      <c r="C2236" s="95">
        <v>4207</v>
      </c>
      <c r="D2236" s="95" t="s">
        <v>218</v>
      </c>
      <c r="E2236" s="129">
        <f>VLOOKUP($C2236,'2021-22 School Level AAFTE'!$C:$Z,11,FALSE)</f>
        <v>0.44309999999999999</v>
      </c>
      <c r="F2236" s="129" t="str">
        <f>VLOOKUP($C2236,'2021-22 School Level AAFTE'!$C:$Z,8,FALSE)</f>
        <v>No</v>
      </c>
      <c r="G2236" s="129" t="str">
        <f>VLOOKUP($C2236,'2021-22 School Level AAFTE'!$C:$Z,12,FALSE)</f>
        <v>No</v>
      </c>
      <c r="H2236" s="127">
        <f>VLOOKUP($C2236,'2021-22 School Level AAFTE'!$C:$I,7,FALSE)</f>
        <v>463.06</v>
      </c>
      <c r="I2236" s="112">
        <f>IFERROR(IF(OR(G2236="yes",F2236= "yes"),VLOOKUP(C2236,Summary!$B:$J,6,0),0),0)</f>
        <v>0</v>
      </c>
      <c r="J2236" s="111">
        <f t="shared" si="426"/>
        <v>0</v>
      </c>
      <c r="K2236" s="91">
        <f>VLOOKUP($A2236,'2022-23 Salary &amp; Benefits'!$A:$I,3,FALSE)</f>
        <v>1.06</v>
      </c>
      <c r="L2236" s="91">
        <f>VLOOKUP($A2236,'2022-23 Salary &amp; Benefits'!$A:$I,4,FALSE)</f>
        <v>1.06</v>
      </c>
      <c r="M2236" s="101">
        <f t="shared" ref="M2236:M2296" si="436">IF(I2236&gt;0,I2236,J2236)</f>
        <v>0</v>
      </c>
      <c r="N2236" s="24">
        <v>15</v>
      </c>
      <c r="O2236" s="26">
        <f t="shared" si="424"/>
        <v>0</v>
      </c>
      <c r="P2236" s="24">
        <v>1.1000000000000001</v>
      </c>
      <c r="Q2236" s="24">
        <v>36</v>
      </c>
      <c r="R2236" s="27">
        <f t="shared" si="425"/>
        <v>0</v>
      </c>
      <c r="S2236" s="102">
        <f t="shared" si="427"/>
        <v>0</v>
      </c>
      <c r="T2236" s="21">
        <f>VLOOKUP($A2236,'2022-23 Salary &amp; Benefits'!$A:$I,5,FALSE)</f>
        <v>68937</v>
      </c>
      <c r="U2236" s="21">
        <f>VLOOKUP($A2236,'2022-23 Salary &amp; Benefits'!$A:$I,6,FALSE)</f>
        <v>72728</v>
      </c>
      <c r="V2236" s="22">
        <f t="shared" si="428"/>
        <v>0</v>
      </c>
      <c r="W2236" s="22">
        <f t="shared" si="429"/>
        <v>0</v>
      </c>
      <c r="X2236" s="22">
        <f>'2022-23 Salary &amp; Benefits'!$G$6</f>
        <v>12558.24</v>
      </c>
      <c r="Y2236" s="23">
        <f>'2022-23 Salary &amp; Benefits'!$H$6</f>
        <v>0.2298</v>
      </c>
      <c r="Z2236" s="23">
        <f>'2022-23 Salary &amp; Benefits'!$I$6</f>
        <v>0.22339999999999999</v>
      </c>
      <c r="AA2236" s="22">
        <f t="shared" si="430"/>
        <v>0</v>
      </c>
      <c r="AB2236" s="22">
        <f t="shared" si="431"/>
        <v>0</v>
      </c>
      <c r="AC2236" s="22">
        <f t="shared" si="432"/>
        <v>0</v>
      </c>
      <c r="AD2236" s="22">
        <f t="shared" ref="AD2236:AD2296" si="437">SUM(AB2236:AC2236)</f>
        <v>0</v>
      </c>
      <c r="AE2236" s="22">
        <f t="shared" ref="AE2236:AE2296" si="438">SUM(AA2236,V2236:W2236,AD2236)</f>
        <v>0</v>
      </c>
      <c r="AF2236" s="19" t="str">
        <f>VLOOKUP(C2236,'2021-22 School Level AAFTE'!C:N,12,FALSE)</f>
        <v>No</v>
      </c>
      <c r="AG2236" s="56"/>
      <c r="AH2236" s="56"/>
      <c r="AI2236" s="56"/>
      <c r="AJ2236" s="56"/>
      <c r="AK2236" s="56"/>
      <c r="AL2236" s="56"/>
      <c r="AM2236" s="56"/>
    </row>
    <row r="2237" spans="1:39" customFormat="1">
      <c r="A2237" s="97" t="s">
        <v>2287</v>
      </c>
      <c r="B2237" s="97" t="s">
        <v>213</v>
      </c>
      <c r="C2237" s="95">
        <v>4549</v>
      </c>
      <c r="D2237" s="95" t="s">
        <v>219</v>
      </c>
      <c r="E2237" s="129">
        <f>VLOOKUP($C2237,'2021-22 School Level AAFTE'!$C:$Z,11,FALSE)</f>
        <v>0.22209999999999999</v>
      </c>
      <c r="F2237" s="129" t="str">
        <f>VLOOKUP($C2237,'2021-22 School Level AAFTE'!$C:$Z,8,FALSE)</f>
        <v>No</v>
      </c>
      <c r="G2237" s="129" t="str">
        <f>VLOOKUP($C2237,'2021-22 School Level AAFTE'!$C:$Z,12,FALSE)</f>
        <v>No</v>
      </c>
      <c r="H2237" s="127">
        <f>VLOOKUP($C2237,'2021-22 School Level AAFTE'!$C:$I,7,FALSE)</f>
        <v>228.93</v>
      </c>
      <c r="I2237" s="112">
        <f>IFERROR(IF(OR(G2237="yes",F2237= "yes"),VLOOKUP(C2237,Summary!$B:$J,6,0),0),0)</f>
        <v>0</v>
      </c>
      <c r="J2237" s="111">
        <f t="shared" si="426"/>
        <v>0</v>
      </c>
      <c r="K2237" s="91">
        <f>VLOOKUP($A2237,'2022-23 Salary &amp; Benefits'!$A:$I,3,FALSE)</f>
        <v>1.06</v>
      </c>
      <c r="L2237" s="91">
        <f>VLOOKUP($A2237,'2022-23 Salary &amp; Benefits'!$A:$I,4,FALSE)</f>
        <v>1.06</v>
      </c>
      <c r="M2237" s="101">
        <f t="shared" si="436"/>
        <v>0</v>
      </c>
      <c r="N2237" s="24">
        <v>15</v>
      </c>
      <c r="O2237" s="26">
        <f t="shared" si="424"/>
        <v>0</v>
      </c>
      <c r="P2237" s="24">
        <v>1.1000000000000001</v>
      </c>
      <c r="Q2237" s="24">
        <v>36</v>
      </c>
      <c r="R2237" s="27">
        <f t="shared" si="425"/>
        <v>0</v>
      </c>
      <c r="S2237" s="102">
        <f t="shared" si="427"/>
        <v>0</v>
      </c>
      <c r="T2237" s="21">
        <f>VLOOKUP($A2237,'2022-23 Salary &amp; Benefits'!$A:$I,5,FALSE)</f>
        <v>68937</v>
      </c>
      <c r="U2237" s="21">
        <f>VLOOKUP($A2237,'2022-23 Salary &amp; Benefits'!$A:$I,6,FALSE)</f>
        <v>72728</v>
      </c>
      <c r="V2237" s="22">
        <f t="shared" si="428"/>
        <v>0</v>
      </c>
      <c r="W2237" s="22">
        <f t="shared" si="429"/>
        <v>0</v>
      </c>
      <c r="X2237" s="22">
        <f>'2022-23 Salary &amp; Benefits'!$G$6</f>
        <v>12558.24</v>
      </c>
      <c r="Y2237" s="23">
        <f>'2022-23 Salary &amp; Benefits'!$H$6</f>
        <v>0.2298</v>
      </c>
      <c r="Z2237" s="23">
        <f>'2022-23 Salary &amp; Benefits'!$I$6</f>
        <v>0.22339999999999999</v>
      </c>
      <c r="AA2237" s="22">
        <f t="shared" si="430"/>
        <v>0</v>
      </c>
      <c r="AB2237" s="22">
        <f t="shared" si="431"/>
        <v>0</v>
      </c>
      <c r="AC2237" s="22">
        <f t="shared" si="432"/>
        <v>0</v>
      </c>
      <c r="AD2237" s="22">
        <f t="shared" si="437"/>
        <v>0</v>
      </c>
      <c r="AE2237" s="22">
        <f t="shared" si="438"/>
        <v>0</v>
      </c>
      <c r="AF2237" s="19" t="str">
        <f>VLOOKUP(C2237,'2021-22 School Level AAFTE'!C:N,12,FALSE)</f>
        <v>No</v>
      </c>
      <c r="AG2237" s="56"/>
      <c r="AH2237" s="56"/>
      <c r="AI2237" s="56"/>
      <c r="AJ2237" s="56"/>
      <c r="AK2237" s="56"/>
      <c r="AL2237" s="56"/>
      <c r="AM2237" s="56"/>
    </row>
    <row r="2238" spans="1:39" customFormat="1">
      <c r="A2238" s="97" t="s">
        <v>2287</v>
      </c>
      <c r="B2238" s="97" t="s">
        <v>213</v>
      </c>
      <c r="C2238" s="95">
        <v>5494</v>
      </c>
      <c r="D2238" s="95" t="s">
        <v>2746</v>
      </c>
      <c r="E2238" s="129">
        <f>VLOOKUP($C2238,'2021-22 School Level AAFTE'!$C:$Z,11,FALSE)</f>
        <v>0.36809999999999993</v>
      </c>
      <c r="F2238" s="129" t="str">
        <f>VLOOKUP($C2238,'2021-22 School Level AAFTE'!$C:$Z,8,FALSE)</f>
        <v>No</v>
      </c>
      <c r="G2238" s="129" t="str">
        <f>VLOOKUP($C2238,'2021-22 School Level AAFTE'!$C:$Z,12,FALSE)</f>
        <v>No</v>
      </c>
      <c r="H2238" s="127">
        <f>VLOOKUP($C2238,'2021-22 School Level AAFTE'!$C:$I,7,FALSE)</f>
        <v>330.14</v>
      </c>
      <c r="I2238" s="112">
        <f>IFERROR(IF(OR(G2238="yes",F2238= "yes"),VLOOKUP(C2238,Summary!$B:$J,6,0),0),0)</f>
        <v>0</v>
      </c>
      <c r="J2238" s="111">
        <f t="shared" si="426"/>
        <v>0</v>
      </c>
      <c r="K2238" s="91">
        <f>VLOOKUP($A2238,'2022-23 Salary &amp; Benefits'!$A:$I,3,FALSE)</f>
        <v>1.06</v>
      </c>
      <c r="L2238" s="91">
        <f>VLOOKUP($A2238,'2022-23 Salary &amp; Benefits'!$A:$I,4,FALSE)</f>
        <v>1.06</v>
      </c>
      <c r="M2238" s="101">
        <f t="shared" si="436"/>
        <v>0</v>
      </c>
      <c r="N2238" s="24">
        <v>15</v>
      </c>
      <c r="O2238" s="26">
        <f t="shared" si="424"/>
        <v>0</v>
      </c>
      <c r="P2238" s="24">
        <v>1.1000000000000001</v>
      </c>
      <c r="Q2238" s="24">
        <v>36</v>
      </c>
      <c r="R2238" s="27">
        <f t="shared" si="425"/>
        <v>0</v>
      </c>
      <c r="S2238" s="102">
        <f t="shared" si="427"/>
        <v>0</v>
      </c>
      <c r="T2238" s="21">
        <f>VLOOKUP($A2238,'2022-23 Salary &amp; Benefits'!$A:$I,5,FALSE)</f>
        <v>68937</v>
      </c>
      <c r="U2238" s="21">
        <f>VLOOKUP($A2238,'2022-23 Salary &amp; Benefits'!$A:$I,6,FALSE)</f>
        <v>72728</v>
      </c>
      <c r="V2238" s="22">
        <f t="shared" si="428"/>
        <v>0</v>
      </c>
      <c r="W2238" s="22">
        <f t="shared" si="429"/>
        <v>0</v>
      </c>
      <c r="X2238" s="22">
        <f>'2022-23 Salary &amp; Benefits'!$G$6</f>
        <v>12558.24</v>
      </c>
      <c r="Y2238" s="23">
        <f>'2022-23 Salary &amp; Benefits'!$H$6</f>
        <v>0.2298</v>
      </c>
      <c r="Z2238" s="23">
        <f>'2022-23 Salary &amp; Benefits'!$I$6</f>
        <v>0.22339999999999999</v>
      </c>
      <c r="AA2238" s="22">
        <f t="shared" si="430"/>
        <v>0</v>
      </c>
      <c r="AB2238" s="22">
        <f t="shared" si="431"/>
        <v>0</v>
      </c>
      <c r="AC2238" s="22">
        <f t="shared" si="432"/>
        <v>0</v>
      </c>
      <c r="AD2238" s="22">
        <f t="shared" si="437"/>
        <v>0</v>
      </c>
      <c r="AE2238" s="22">
        <f t="shared" si="438"/>
        <v>0</v>
      </c>
      <c r="AF2238" s="19" t="str">
        <f>VLOOKUP(C2238,'2021-22 School Level AAFTE'!C:N,12,FALSE)</f>
        <v>No</v>
      </c>
      <c r="AG2238" s="56"/>
      <c r="AH2238" s="56"/>
      <c r="AI2238" s="56"/>
      <c r="AJ2238" s="56"/>
      <c r="AK2238" s="56"/>
      <c r="AL2238" s="56"/>
      <c r="AM2238" s="56"/>
    </row>
    <row r="2239" spans="1:39" customFormat="1">
      <c r="A2239" s="97" t="s">
        <v>2287</v>
      </c>
      <c r="B2239" s="97" t="s">
        <v>213</v>
      </c>
      <c r="C2239" s="95">
        <v>5615</v>
      </c>
      <c r="D2239" s="95" t="s">
        <v>2945</v>
      </c>
      <c r="E2239" s="129">
        <f>VLOOKUP($C2239,'2021-22 School Level AAFTE'!$C:$Z,11,FALSE)</f>
        <v>0.31909999999999999</v>
      </c>
      <c r="F2239" s="129" t="str">
        <f>VLOOKUP($C2239,'2021-22 School Level AAFTE'!$C:$Z,8,FALSE)</f>
        <v>No</v>
      </c>
      <c r="G2239" s="129" t="str">
        <f>VLOOKUP($C2239,'2021-22 School Level AAFTE'!$C:$Z,12,FALSE)</f>
        <v>No</v>
      </c>
      <c r="H2239" s="127">
        <f>VLOOKUP($C2239,'2021-22 School Level AAFTE'!$C:$I,7,FALSE)</f>
        <v>78.86</v>
      </c>
      <c r="I2239" s="112">
        <f>IFERROR(IF(OR(G2239="yes",F2239= "yes"),VLOOKUP(C2239,Summary!$B:$J,6,0),0),0)</f>
        <v>0</v>
      </c>
      <c r="J2239" s="111">
        <f t="shared" si="426"/>
        <v>0</v>
      </c>
      <c r="K2239" s="91">
        <f>VLOOKUP($A2239,'2022-23 Salary &amp; Benefits'!$A:$I,3,FALSE)</f>
        <v>1.06</v>
      </c>
      <c r="L2239" s="91">
        <f>VLOOKUP($A2239,'2022-23 Salary &amp; Benefits'!$A:$I,4,FALSE)</f>
        <v>1.06</v>
      </c>
      <c r="M2239" s="101">
        <f t="shared" si="436"/>
        <v>0</v>
      </c>
      <c r="N2239" s="24">
        <v>15</v>
      </c>
      <c r="O2239" s="26">
        <f t="shared" si="424"/>
        <v>0</v>
      </c>
      <c r="P2239" s="24">
        <v>1.1000000000000001</v>
      </c>
      <c r="Q2239" s="24">
        <v>36</v>
      </c>
      <c r="R2239" s="27">
        <f t="shared" si="425"/>
        <v>0</v>
      </c>
      <c r="S2239" s="102">
        <f t="shared" si="427"/>
        <v>0</v>
      </c>
      <c r="T2239" s="21">
        <f>VLOOKUP($A2239,'2022-23 Salary &amp; Benefits'!$A:$I,5,FALSE)</f>
        <v>68937</v>
      </c>
      <c r="U2239" s="21">
        <f>VLOOKUP($A2239,'2022-23 Salary &amp; Benefits'!$A:$I,6,FALSE)</f>
        <v>72728</v>
      </c>
      <c r="V2239" s="22">
        <f t="shared" si="428"/>
        <v>0</v>
      </c>
      <c r="W2239" s="22">
        <f t="shared" si="429"/>
        <v>0</v>
      </c>
      <c r="X2239" s="22">
        <f>'2022-23 Salary &amp; Benefits'!$G$6</f>
        <v>12558.24</v>
      </c>
      <c r="Y2239" s="23">
        <f>'2022-23 Salary &amp; Benefits'!$H$6</f>
        <v>0.2298</v>
      </c>
      <c r="Z2239" s="23">
        <f>'2022-23 Salary &amp; Benefits'!$I$6</f>
        <v>0.22339999999999999</v>
      </c>
      <c r="AA2239" s="22">
        <f t="shared" si="430"/>
        <v>0</v>
      </c>
      <c r="AB2239" s="22">
        <f t="shared" si="431"/>
        <v>0</v>
      </c>
      <c r="AC2239" s="22">
        <f t="shared" si="432"/>
        <v>0</v>
      </c>
      <c r="AD2239" s="22">
        <f t="shared" si="437"/>
        <v>0</v>
      </c>
      <c r="AE2239" s="22">
        <f t="shared" si="438"/>
        <v>0</v>
      </c>
      <c r="AF2239" s="19" t="str">
        <f>VLOOKUP(C2239,'2021-22 School Level AAFTE'!C:N,12,FALSE)</f>
        <v>No</v>
      </c>
      <c r="AG2239" s="56"/>
      <c r="AH2239" s="56"/>
      <c r="AI2239" s="56"/>
      <c r="AJ2239" s="56"/>
      <c r="AK2239" s="56"/>
      <c r="AL2239" s="56"/>
      <c r="AM2239" s="56"/>
    </row>
    <row r="2240" spans="1:39" customFormat="1">
      <c r="A2240" s="97" t="s">
        <v>2257</v>
      </c>
      <c r="B2240" s="97" t="s">
        <v>0</v>
      </c>
      <c r="C2240" s="95">
        <v>3075</v>
      </c>
      <c r="D2240" s="95" t="s">
        <v>1</v>
      </c>
      <c r="E2240" s="129">
        <f>VLOOKUP($C2240,'2021-22 School Level AAFTE'!$C:$Z,11,FALSE)</f>
        <v>0.71816666666666651</v>
      </c>
      <c r="F2240" s="129" t="str">
        <f>VLOOKUP($C2240,'2021-22 School Level AAFTE'!$C:$Z,8,FALSE)</f>
        <v>Yes</v>
      </c>
      <c r="G2240" s="129" t="str">
        <f>VLOOKUP($C2240,'2021-22 School Level AAFTE'!$C:$Z,12,FALSE)</f>
        <v>No</v>
      </c>
      <c r="H2240" s="127">
        <f>VLOOKUP($C2240,'2021-22 School Level AAFTE'!$C:$I,7,FALSE)</f>
        <v>79.61</v>
      </c>
      <c r="I2240" s="112">
        <f>IFERROR(IF(OR(G2240="yes",F2240= "yes"),VLOOKUP(C2240,Summary!$B:$J,6,0),0),0)</f>
        <v>0</v>
      </c>
      <c r="J2240" s="111">
        <f t="shared" si="426"/>
        <v>79.61</v>
      </c>
      <c r="K2240" s="91">
        <f>VLOOKUP($A2240,'2022-23 Salary &amp; Benefits'!$A:$I,3,FALSE)</f>
        <v>1</v>
      </c>
      <c r="L2240" s="91">
        <f>VLOOKUP($A2240,'2022-23 Salary &amp; Benefits'!$A:$I,4,FALSE)</f>
        <v>1</v>
      </c>
      <c r="M2240" s="101">
        <f t="shared" si="436"/>
        <v>79.61</v>
      </c>
      <c r="N2240" s="24">
        <v>15</v>
      </c>
      <c r="O2240" s="26">
        <f t="shared" si="424"/>
        <v>5.3073333333333332</v>
      </c>
      <c r="P2240" s="24">
        <v>1.1000000000000001</v>
      </c>
      <c r="Q2240" s="24">
        <v>36</v>
      </c>
      <c r="R2240" s="27">
        <f t="shared" si="425"/>
        <v>210.17040000000003</v>
      </c>
      <c r="S2240" s="102">
        <f t="shared" si="427"/>
        <v>0.23400000000000001</v>
      </c>
      <c r="T2240" s="21">
        <f>VLOOKUP($A2240,'2022-23 Salary &amp; Benefits'!$A:$I,5,FALSE)</f>
        <v>68937</v>
      </c>
      <c r="U2240" s="21">
        <f>VLOOKUP($A2240,'2022-23 Salary &amp; Benefits'!$A:$I,6,FALSE)</f>
        <v>72728</v>
      </c>
      <c r="V2240" s="22">
        <f t="shared" si="428"/>
        <v>16131.26</v>
      </c>
      <c r="W2240" s="22">
        <f t="shared" si="429"/>
        <v>887.08999999999833</v>
      </c>
      <c r="X2240" s="22">
        <f>'2022-23 Salary &amp; Benefits'!$G$6</f>
        <v>12558.24</v>
      </c>
      <c r="Y2240" s="23">
        <f>'2022-23 Salary &amp; Benefits'!$H$6</f>
        <v>0.2298</v>
      </c>
      <c r="Z2240" s="23">
        <f>'2022-23 Salary &amp; Benefits'!$I$6</f>
        <v>0.22339999999999999</v>
      </c>
      <c r="AA2240" s="22">
        <f t="shared" si="430"/>
        <v>6843.77</v>
      </c>
      <c r="AB2240" s="22">
        <f t="shared" si="431"/>
        <v>283.64</v>
      </c>
      <c r="AC2240" s="22">
        <f t="shared" si="432"/>
        <v>63.37</v>
      </c>
      <c r="AD2240" s="22">
        <f t="shared" si="437"/>
        <v>347.01</v>
      </c>
      <c r="AE2240" s="22">
        <f t="shared" si="438"/>
        <v>24209.129999999994</v>
      </c>
      <c r="AF2240" s="19" t="str">
        <f>VLOOKUP(C2240,'2021-22 School Level AAFTE'!C:N,12,FALSE)</f>
        <v>No</v>
      </c>
      <c r="AG2240" s="56"/>
      <c r="AH2240" s="56"/>
      <c r="AI2240" s="56"/>
      <c r="AJ2240" s="56"/>
      <c r="AK2240" s="56"/>
      <c r="AL2240" s="56"/>
      <c r="AM2240" s="56"/>
    </row>
    <row r="2241" spans="1:284">
      <c r="A2241" s="97" t="s">
        <v>2306</v>
      </c>
      <c r="B2241" s="97" t="s">
        <v>355</v>
      </c>
      <c r="C2241" s="95">
        <v>2161</v>
      </c>
      <c r="D2241" s="95" t="s">
        <v>356</v>
      </c>
      <c r="E2241" s="129">
        <f>VLOOKUP($C2241,'2021-22 School Level AAFTE'!$C:$Z,11,FALSE)</f>
        <v>0.44806666666666667</v>
      </c>
      <c r="F2241" s="129" t="str">
        <f>VLOOKUP($C2241,'2021-22 School Level AAFTE'!$C:$Z,8,FALSE)</f>
        <v>No</v>
      </c>
      <c r="G2241" s="129" t="str">
        <f>VLOOKUP($C2241,'2021-22 School Level AAFTE'!$C:$Z,12,FALSE)</f>
        <v>Yes</v>
      </c>
      <c r="H2241" s="127">
        <f>VLOOKUP($C2241,'2021-22 School Level AAFTE'!$C:$I,7,FALSE)</f>
        <v>136.86000000000001</v>
      </c>
      <c r="I2241" s="112">
        <f>IFERROR(IF(OR(G2241="yes",F2241= "yes"),VLOOKUP(C2241,Summary!$B:$J,6,0),0),0)</f>
        <v>0</v>
      </c>
      <c r="J2241" s="111">
        <f t="shared" si="426"/>
        <v>136.86000000000001</v>
      </c>
      <c r="K2241" s="91">
        <f>VLOOKUP($A2241,'2022-23 Salary &amp; Benefits'!$A:$I,3,FALSE)</f>
        <v>1</v>
      </c>
      <c r="L2241" s="91">
        <f>VLOOKUP($A2241,'2022-23 Salary &amp; Benefits'!$A:$I,4,FALSE)</f>
        <v>1</v>
      </c>
      <c r="M2241" s="101">
        <f t="shared" si="436"/>
        <v>136.86000000000001</v>
      </c>
      <c r="N2241" s="24">
        <v>15</v>
      </c>
      <c r="O2241" s="26">
        <f t="shared" si="424"/>
        <v>9.1240000000000006</v>
      </c>
      <c r="P2241" s="24">
        <v>1.1000000000000001</v>
      </c>
      <c r="Q2241" s="24">
        <v>36</v>
      </c>
      <c r="R2241" s="27">
        <f t="shared" si="425"/>
        <v>361.31040000000007</v>
      </c>
      <c r="S2241" s="102">
        <f t="shared" si="427"/>
        <v>0.40100000000000002</v>
      </c>
      <c r="T2241" s="21">
        <f>VLOOKUP($A2241,'2022-23 Salary &amp; Benefits'!$A:$I,5,FALSE)</f>
        <v>68937</v>
      </c>
      <c r="U2241" s="21">
        <f>VLOOKUP($A2241,'2022-23 Salary &amp; Benefits'!$A:$I,6,FALSE)</f>
        <v>72728</v>
      </c>
      <c r="V2241" s="22">
        <f t="shared" si="428"/>
        <v>27643.74</v>
      </c>
      <c r="W2241" s="22">
        <f t="shared" si="429"/>
        <v>1520.1899999999987</v>
      </c>
      <c r="X2241" s="22">
        <f>'2022-23 Salary &amp; Benefits'!$G$6</f>
        <v>12558.24</v>
      </c>
      <c r="Y2241" s="23">
        <f>'2022-23 Salary &amp; Benefits'!$H$6</f>
        <v>0.2298</v>
      </c>
      <c r="Z2241" s="23">
        <f>'2022-23 Salary &amp; Benefits'!$I$6</f>
        <v>0.22339999999999999</v>
      </c>
      <c r="AA2241" s="22">
        <f t="shared" si="430"/>
        <v>11728</v>
      </c>
      <c r="AB2241" s="22">
        <f t="shared" si="431"/>
        <v>486.07</v>
      </c>
      <c r="AC2241" s="22">
        <f t="shared" si="432"/>
        <v>108.59</v>
      </c>
      <c r="AD2241" s="22">
        <f t="shared" si="437"/>
        <v>594.66</v>
      </c>
      <c r="AE2241" s="22">
        <f t="shared" si="438"/>
        <v>41486.590000000011</v>
      </c>
      <c r="AF2241" s="19" t="str">
        <f>VLOOKUP(C2241,'2021-22 School Level AAFTE'!C:N,12,FALSE)</f>
        <v>Yes</v>
      </c>
    </row>
    <row r="2242" spans="1:284">
      <c r="A2242" s="97" t="s">
        <v>2306</v>
      </c>
      <c r="B2242" s="97" t="s">
        <v>355</v>
      </c>
      <c r="C2242" s="95">
        <v>2162</v>
      </c>
      <c r="D2242" s="95" t="s">
        <v>357</v>
      </c>
      <c r="E2242" s="129">
        <f>VLOOKUP($C2242,'2021-22 School Level AAFTE'!$C:$Z,11,FALSE)</f>
        <v>0.53776666666666662</v>
      </c>
      <c r="F2242" s="129" t="str">
        <f>VLOOKUP($C2242,'2021-22 School Level AAFTE'!$C:$Z,8,FALSE)</f>
        <v>Yes</v>
      </c>
      <c r="G2242" s="129" t="str">
        <f>VLOOKUP($C2242,'2021-22 School Level AAFTE'!$C:$Z,12,FALSE)</f>
        <v>No</v>
      </c>
      <c r="H2242" s="127">
        <f>VLOOKUP($C2242,'2021-22 School Level AAFTE'!$C:$I,7,FALSE)</f>
        <v>121.47</v>
      </c>
      <c r="I2242" s="112">
        <f>IFERROR(IF(OR(G2242="yes",F2242= "yes"),VLOOKUP(C2242,Summary!$B:$J,6,0),0),0)</f>
        <v>0</v>
      </c>
      <c r="J2242" s="111">
        <f t="shared" si="426"/>
        <v>121.47</v>
      </c>
      <c r="K2242" s="91">
        <f>VLOOKUP($A2242,'2022-23 Salary &amp; Benefits'!$A:$I,3,FALSE)</f>
        <v>1</v>
      </c>
      <c r="L2242" s="91">
        <f>VLOOKUP($A2242,'2022-23 Salary &amp; Benefits'!$A:$I,4,FALSE)</f>
        <v>1</v>
      </c>
      <c r="M2242" s="101">
        <f t="shared" si="436"/>
        <v>121.47</v>
      </c>
      <c r="N2242" s="24">
        <v>15</v>
      </c>
      <c r="O2242" s="26">
        <f t="shared" si="424"/>
        <v>8.0980000000000008</v>
      </c>
      <c r="P2242" s="24">
        <v>1.1000000000000001</v>
      </c>
      <c r="Q2242" s="24">
        <v>36</v>
      </c>
      <c r="R2242" s="27">
        <f t="shared" si="425"/>
        <v>320.68080000000009</v>
      </c>
      <c r="S2242" s="102">
        <f t="shared" si="427"/>
        <v>0.35599999999999998</v>
      </c>
      <c r="T2242" s="21">
        <f>VLOOKUP($A2242,'2022-23 Salary &amp; Benefits'!$A:$I,5,FALSE)</f>
        <v>68937</v>
      </c>
      <c r="U2242" s="21">
        <f>VLOOKUP($A2242,'2022-23 Salary &amp; Benefits'!$A:$I,6,FALSE)</f>
        <v>72728</v>
      </c>
      <c r="V2242" s="22">
        <f t="shared" si="428"/>
        <v>24541.57</v>
      </c>
      <c r="W2242" s="22">
        <f t="shared" si="429"/>
        <v>1349.5999999999985</v>
      </c>
      <c r="X2242" s="22">
        <f>'2022-23 Salary &amp; Benefits'!$G$6</f>
        <v>12558.24</v>
      </c>
      <c r="Y2242" s="23">
        <f>'2022-23 Salary &amp; Benefits'!$H$6</f>
        <v>0.2298</v>
      </c>
      <c r="Z2242" s="23">
        <f>'2022-23 Salary &amp; Benefits'!$I$6</f>
        <v>0.22339999999999999</v>
      </c>
      <c r="AA2242" s="22">
        <f t="shared" si="430"/>
        <v>10411.89</v>
      </c>
      <c r="AB2242" s="22">
        <f t="shared" si="431"/>
        <v>431.52</v>
      </c>
      <c r="AC2242" s="22">
        <f t="shared" si="432"/>
        <v>96.4</v>
      </c>
      <c r="AD2242" s="22">
        <f t="shared" si="437"/>
        <v>527.91999999999996</v>
      </c>
      <c r="AE2242" s="22">
        <f t="shared" si="438"/>
        <v>36830.979999999996</v>
      </c>
      <c r="AF2242" s="19" t="str">
        <f>VLOOKUP(C2242,'2021-22 School Level AAFTE'!C:N,12,FALSE)</f>
        <v>No</v>
      </c>
      <c r="AG2242" s="56"/>
      <c r="AH2242" s="56"/>
      <c r="AI2242" s="56"/>
      <c r="AJ2242" s="56"/>
      <c r="AK2242" s="56"/>
      <c r="AL2242" s="56"/>
      <c r="AM2242" s="56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  <c r="HX2242"/>
      <c r="HY2242"/>
      <c r="HZ2242"/>
      <c r="IA2242"/>
      <c r="IB2242"/>
      <c r="IC2242"/>
      <c r="ID2242"/>
      <c r="IE2242"/>
      <c r="IF2242"/>
      <c r="IG2242"/>
      <c r="IH2242"/>
      <c r="II2242"/>
      <c r="IJ2242"/>
      <c r="IK2242"/>
      <c r="IL2242"/>
      <c r="IM2242"/>
      <c r="IN2242"/>
      <c r="IO2242"/>
      <c r="IP2242"/>
      <c r="IQ2242"/>
      <c r="IR2242"/>
      <c r="IS2242"/>
      <c r="IT2242"/>
      <c r="IU2242"/>
      <c r="IV2242"/>
      <c r="IW2242"/>
      <c r="IX2242"/>
      <c r="IY2242"/>
      <c r="IZ2242"/>
      <c r="JA2242"/>
      <c r="JB2242"/>
      <c r="JC2242"/>
      <c r="JD2242"/>
      <c r="JE2242"/>
      <c r="JF2242"/>
      <c r="JG2242"/>
      <c r="JH2242"/>
      <c r="JI2242"/>
      <c r="JJ2242"/>
      <c r="JK2242"/>
      <c r="JL2242"/>
      <c r="JM2242"/>
      <c r="JN2242"/>
      <c r="JO2242"/>
      <c r="JP2242"/>
      <c r="JQ2242"/>
      <c r="JR2242"/>
      <c r="JS2242"/>
      <c r="JT2242"/>
      <c r="JU2242"/>
      <c r="JV2242"/>
      <c r="JW2242"/>
      <c r="JX2242"/>
    </row>
    <row r="2243" spans="1:284">
      <c r="A2243" s="97" t="s">
        <v>2505</v>
      </c>
      <c r="B2243" s="97" t="s">
        <v>1928</v>
      </c>
      <c r="C2243" s="95">
        <v>2549</v>
      </c>
      <c r="D2243" s="95" t="s">
        <v>1929</v>
      </c>
      <c r="E2243" s="129">
        <f>VLOOKUP($C2243,'2021-22 School Level AAFTE'!$C:$Z,11,FALSE)</f>
        <v>0.89206666666666667</v>
      </c>
      <c r="F2243" s="129" t="str">
        <f>VLOOKUP($C2243,'2021-22 School Level AAFTE'!$C:$Z,8,FALSE)</f>
        <v>Yes</v>
      </c>
      <c r="G2243" s="129" t="str">
        <f>VLOOKUP($C2243,'2021-22 School Level AAFTE'!$C:$Z,12,FALSE)</f>
        <v>No</v>
      </c>
      <c r="H2243" s="127">
        <f>VLOOKUP($C2243,'2021-22 School Level AAFTE'!$C:$I,7,FALSE)</f>
        <v>166</v>
      </c>
      <c r="I2243" s="112">
        <f>IFERROR(IF(OR(G2243="yes",F2243= "yes"),VLOOKUP(C2243,Summary!$B:$J,6,0),0),0)</f>
        <v>0</v>
      </c>
      <c r="J2243" s="111">
        <f t="shared" si="426"/>
        <v>166</v>
      </c>
      <c r="K2243" s="91">
        <f>VLOOKUP($A2243,'2022-23 Salary &amp; Benefits'!$A:$I,3,FALSE)</f>
        <v>1</v>
      </c>
      <c r="L2243" s="91">
        <f>VLOOKUP($A2243,'2022-23 Salary &amp; Benefits'!$A:$I,4,FALSE)</f>
        <v>1</v>
      </c>
      <c r="M2243" s="101">
        <f t="shared" si="436"/>
        <v>166</v>
      </c>
      <c r="N2243" s="24">
        <v>15</v>
      </c>
      <c r="O2243" s="26">
        <f t="shared" si="424"/>
        <v>11.066666666666666</v>
      </c>
      <c r="P2243" s="24">
        <v>1.1000000000000001</v>
      </c>
      <c r="Q2243" s="24">
        <v>36</v>
      </c>
      <c r="R2243" s="27">
        <f t="shared" si="425"/>
        <v>438.24</v>
      </c>
      <c r="S2243" s="102">
        <f t="shared" si="427"/>
        <v>0.48699999999999999</v>
      </c>
      <c r="T2243" s="21">
        <f>VLOOKUP($A2243,'2022-23 Salary &amp; Benefits'!$A:$I,5,FALSE)</f>
        <v>68937</v>
      </c>
      <c r="U2243" s="21">
        <f>VLOOKUP($A2243,'2022-23 Salary &amp; Benefits'!$A:$I,6,FALSE)</f>
        <v>72728</v>
      </c>
      <c r="V2243" s="22">
        <f t="shared" si="428"/>
        <v>33572.32</v>
      </c>
      <c r="W2243" s="22">
        <f t="shared" si="429"/>
        <v>1846.2200000000012</v>
      </c>
      <c r="X2243" s="22">
        <f>'2022-23 Salary &amp; Benefits'!$G$6</f>
        <v>12558.24</v>
      </c>
      <c r="Y2243" s="23">
        <f>'2022-23 Salary &amp; Benefits'!$H$6</f>
        <v>0.2298</v>
      </c>
      <c r="Z2243" s="23">
        <f>'2022-23 Salary &amp; Benefits'!$I$6</f>
        <v>0.22339999999999999</v>
      </c>
      <c r="AA2243" s="22">
        <f t="shared" si="430"/>
        <v>14243.23</v>
      </c>
      <c r="AB2243" s="22">
        <f t="shared" si="431"/>
        <v>590.30999999999995</v>
      </c>
      <c r="AC2243" s="22">
        <f t="shared" si="432"/>
        <v>131.88</v>
      </c>
      <c r="AD2243" s="22">
        <f t="shared" si="437"/>
        <v>722.18999999999994</v>
      </c>
      <c r="AE2243" s="22">
        <f t="shared" si="438"/>
        <v>50383.960000000006</v>
      </c>
      <c r="AF2243" s="19" t="str">
        <f>VLOOKUP(C2243,'2021-22 School Level AAFTE'!C:N,12,FALSE)</f>
        <v>No</v>
      </c>
      <c r="AG2243" s="56"/>
      <c r="AH2243" s="56"/>
      <c r="AI2243" s="56"/>
      <c r="AJ2243" s="56"/>
      <c r="AK2243" s="56"/>
      <c r="AL2243" s="56"/>
      <c r="AM2243" s="56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  <c r="HX2243"/>
      <c r="HY2243"/>
      <c r="HZ2243"/>
      <c r="IA2243"/>
      <c r="IB2243"/>
      <c r="IC2243"/>
      <c r="ID2243"/>
      <c r="IE2243"/>
      <c r="IF2243"/>
      <c r="IG2243"/>
      <c r="IH2243"/>
      <c r="II2243"/>
      <c r="IJ2243"/>
      <c r="IK2243"/>
      <c r="IL2243"/>
      <c r="IM2243"/>
      <c r="IN2243"/>
      <c r="IO2243"/>
      <c r="IP2243"/>
      <c r="IQ2243"/>
      <c r="IR2243"/>
      <c r="IS2243"/>
      <c r="IT2243"/>
      <c r="IU2243"/>
      <c r="IV2243"/>
      <c r="IW2243"/>
      <c r="IX2243"/>
      <c r="IY2243"/>
      <c r="IZ2243"/>
      <c r="JA2243"/>
      <c r="JB2243"/>
      <c r="JC2243"/>
      <c r="JD2243"/>
      <c r="JE2243"/>
      <c r="JF2243"/>
      <c r="JG2243"/>
      <c r="JH2243"/>
      <c r="JI2243"/>
      <c r="JJ2243"/>
      <c r="JK2243"/>
      <c r="JL2243"/>
      <c r="JM2243"/>
      <c r="JN2243"/>
      <c r="JO2243"/>
      <c r="JP2243"/>
      <c r="JQ2243"/>
      <c r="JR2243"/>
      <c r="JS2243"/>
      <c r="JT2243"/>
      <c r="JU2243"/>
      <c r="JV2243"/>
      <c r="JW2243"/>
      <c r="JX2243"/>
    </row>
    <row r="2244" spans="1:284">
      <c r="A2244" s="97" t="s">
        <v>2505</v>
      </c>
      <c r="B2244" s="97" t="s">
        <v>1928</v>
      </c>
      <c r="C2244" s="95">
        <v>2550</v>
      </c>
      <c r="D2244" s="95" t="s">
        <v>1930</v>
      </c>
      <c r="E2244" s="129">
        <f>VLOOKUP($C2244,'2021-22 School Level AAFTE'!$C:$Z,11,FALSE)</f>
        <v>0.8337</v>
      </c>
      <c r="F2244" s="129" t="str">
        <f>VLOOKUP($C2244,'2021-22 School Level AAFTE'!$C:$Z,8,FALSE)</f>
        <v>Yes</v>
      </c>
      <c r="G2244" s="129" t="str">
        <f>VLOOKUP($C2244,'2021-22 School Level AAFTE'!$C:$Z,12,FALSE)</f>
        <v>No</v>
      </c>
      <c r="H2244" s="127">
        <f>VLOOKUP($C2244,'2021-22 School Level AAFTE'!$C:$I,7,FALSE)</f>
        <v>102.52</v>
      </c>
      <c r="I2244" s="112">
        <f>IFERROR(IF(OR(G2244="yes",F2244= "yes"),VLOOKUP(C2244,Summary!$B:$J,6,0),0),0)</f>
        <v>0</v>
      </c>
      <c r="J2244" s="111">
        <f t="shared" si="426"/>
        <v>102.52</v>
      </c>
      <c r="K2244" s="91">
        <f>VLOOKUP($A2244,'2022-23 Salary &amp; Benefits'!$A:$I,3,FALSE)</f>
        <v>1</v>
      </c>
      <c r="L2244" s="91">
        <f>VLOOKUP($A2244,'2022-23 Salary &amp; Benefits'!$A:$I,4,FALSE)</f>
        <v>1</v>
      </c>
      <c r="M2244" s="101">
        <f t="shared" si="436"/>
        <v>102.52</v>
      </c>
      <c r="N2244" s="24">
        <v>15</v>
      </c>
      <c r="O2244" s="26">
        <f t="shared" si="424"/>
        <v>6.8346666666666662</v>
      </c>
      <c r="P2244" s="24">
        <v>1.1000000000000001</v>
      </c>
      <c r="Q2244" s="24">
        <v>36</v>
      </c>
      <c r="R2244" s="27">
        <f t="shared" si="425"/>
        <v>270.65280000000001</v>
      </c>
      <c r="S2244" s="102">
        <f t="shared" si="427"/>
        <v>0.30099999999999999</v>
      </c>
      <c r="T2244" s="21">
        <f>VLOOKUP($A2244,'2022-23 Salary &amp; Benefits'!$A:$I,5,FALSE)</f>
        <v>68937</v>
      </c>
      <c r="U2244" s="21">
        <f>VLOOKUP($A2244,'2022-23 Salary &amp; Benefits'!$A:$I,6,FALSE)</f>
        <v>72728</v>
      </c>
      <c r="V2244" s="22">
        <f t="shared" si="428"/>
        <v>20750.04</v>
      </c>
      <c r="W2244" s="22">
        <f t="shared" si="429"/>
        <v>1141.0900000000001</v>
      </c>
      <c r="X2244" s="22">
        <f>'2022-23 Salary &amp; Benefits'!$G$6</f>
        <v>12558.24</v>
      </c>
      <c r="Y2244" s="23">
        <f>'2022-23 Salary &amp; Benefits'!$H$6</f>
        <v>0.2298</v>
      </c>
      <c r="Z2244" s="23">
        <f>'2022-23 Salary &amp; Benefits'!$I$6</f>
        <v>0.22339999999999999</v>
      </c>
      <c r="AA2244" s="22">
        <f t="shared" si="430"/>
        <v>8803.31</v>
      </c>
      <c r="AB2244" s="22">
        <f t="shared" si="431"/>
        <v>364.85</v>
      </c>
      <c r="AC2244" s="22">
        <f t="shared" si="432"/>
        <v>81.510000000000005</v>
      </c>
      <c r="AD2244" s="22">
        <f t="shared" si="437"/>
        <v>446.36</v>
      </c>
      <c r="AE2244" s="22">
        <f t="shared" si="438"/>
        <v>31140.799999999999</v>
      </c>
      <c r="AF2244" s="19" t="str">
        <f>VLOOKUP(C2244,'2021-22 School Level AAFTE'!C:N,12,FALSE)</f>
        <v>No</v>
      </c>
      <c r="AG2244" s="56"/>
      <c r="AH2244" s="56"/>
      <c r="AI2244" s="56"/>
      <c r="AJ2244" s="56"/>
      <c r="AK2244" s="56"/>
      <c r="AL2244" s="56"/>
      <c r="AM2244" s="56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  <c r="HX2244"/>
      <c r="HY2244"/>
      <c r="HZ2244"/>
      <c r="IA2244"/>
      <c r="IB2244"/>
      <c r="IC2244"/>
      <c r="ID2244"/>
      <c r="IE2244"/>
      <c r="IF2244"/>
      <c r="IG2244"/>
      <c r="IH2244"/>
      <c r="II2244"/>
      <c r="IJ2244"/>
      <c r="IK2244"/>
      <c r="IL2244"/>
      <c r="IM2244"/>
      <c r="IN2244"/>
      <c r="IO2244"/>
      <c r="IP2244"/>
      <c r="IQ2244"/>
      <c r="IR2244"/>
      <c r="IS2244"/>
      <c r="IT2244"/>
      <c r="IU2244"/>
      <c r="IV2244"/>
      <c r="IW2244"/>
      <c r="IX2244"/>
      <c r="IY2244"/>
      <c r="IZ2244"/>
      <c r="JA2244"/>
      <c r="JB2244"/>
      <c r="JC2244"/>
      <c r="JD2244"/>
      <c r="JE2244"/>
      <c r="JF2244"/>
      <c r="JG2244"/>
      <c r="JH2244"/>
      <c r="JI2244"/>
      <c r="JJ2244"/>
      <c r="JK2244"/>
      <c r="JL2244"/>
      <c r="JM2244"/>
      <c r="JN2244"/>
      <c r="JO2244"/>
      <c r="JP2244"/>
      <c r="JQ2244"/>
      <c r="JR2244"/>
      <c r="JS2244"/>
      <c r="JT2244"/>
      <c r="JU2244"/>
      <c r="JV2244"/>
      <c r="JW2244"/>
      <c r="JX2244"/>
    </row>
    <row r="2245" spans="1:284">
      <c r="A2245" s="97" t="s">
        <v>2505</v>
      </c>
      <c r="B2245" s="97" t="s">
        <v>1928</v>
      </c>
      <c r="C2245" s="95">
        <v>4232</v>
      </c>
      <c r="D2245" s="95" t="s">
        <v>1931</v>
      </c>
      <c r="E2245" s="129">
        <f>VLOOKUP($C2245,'2021-22 School Level AAFTE'!$C:$Z,11,FALSE)</f>
        <v>0.9247333333333333</v>
      </c>
      <c r="F2245" s="129" t="str">
        <f>VLOOKUP($C2245,'2021-22 School Level AAFTE'!$C:$Z,8,FALSE)</f>
        <v>Yes</v>
      </c>
      <c r="G2245" s="129" t="str">
        <f>VLOOKUP($C2245,'2021-22 School Level AAFTE'!$C:$Z,12,FALSE)</f>
        <v>No</v>
      </c>
      <c r="H2245" s="127">
        <f>VLOOKUP($C2245,'2021-22 School Level AAFTE'!$C:$I,7,FALSE)</f>
        <v>95.86</v>
      </c>
      <c r="I2245" s="112">
        <f>IFERROR(IF(OR(G2245="yes",F2245= "yes"),VLOOKUP(C2245,Summary!$B:$J,6,0),0),0)</f>
        <v>0</v>
      </c>
      <c r="J2245" s="111">
        <f t="shared" si="426"/>
        <v>95.86</v>
      </c>
      <c r="K2245" s="91">
        <f>VLOOKUP($A2245,'2022-23 Salary &amp; Benefits'!$A:$I,3,FALSE)</f>
        <v>1</v>
      </c>
      <c r="L2245" s="91">
        <f>VLOOKUP($A2245,'2022-23 Salary &amp; Benefits'!$A:$I,4,FALSE)</f>
        <v>1</v>
      </c>
      <c r="M2245" s="101">
        <f t="shared" si="436"/>
        <v>95.86</v>
      </c>
      <c r="N2245" s="24">
        <v>15</v>
      </c>
      <c r="O2245" s="26">
        <f t="shared" si="424"/>
        <v>6.3906666666666663</v>
      </c>
      <c r="P2245" s="24">
        <v>1.1000000000000001</v>
      </c>
      <c r="Q2245" s="24">
        <v>36</v>
      </c>
      <c r="R2245" s="27">
        <f t="shared" si="425"/>
        <v>253.07040000000001</v>
      </c>
      <c r="S2245" s="102">
        <f t="shared" si="427"/>
        <v>0.28100000000000003</v>
      </c>
      <c r="T2245" s="21">
        <f>VLOOKUP($A2245,'2022-23 Salary &amp; Benefits'!$A:$I,5,FALSE)</f>
        <v>68937</v>
      </c>
      <c r="U2245" s="21">
        <f>VLOOKUP($A2245,'2022-23 Salary &amp; Benefits'!$A:$I,6,FALSE)</f>
        <v>72728</v>
      </c>
      <c r="V2245" s="22">
        <f t="shared" si="428"/>
        <v>19371.3</v>
      </c>
      <c r="W2245" s="22">
        <f t="shared" si="429"/>
        <v>1065.2700000000004</v>
      </c>
      <c r="X2245" s="22">
        <f>'2022-23 Salary &amp; Benefits'!$G$6</f>
        <v>12558.24</v>
      </c>
      <c r="Y2245" s="23">
        <f>'2022-23 Salary &amp; Benefits'!$H$6</f>
        <v>0.2298</v>
      </c>
      <c r="Z2245" s="23">
        <f>'2022-23 Salary &amp; Benefits'!$I$6</f>
        <v>0.22339999999999999</v>
      </c>
      <c r="AA2245" s="22">
        <f t="shared" si="430"/>
        <v>8218.3700000000008</v>
      </c>
      <c r="AB2245" s="22">
        <f t="shared" si="431"/>
        <v>340.61</v>
      </c>
      <c r="AC2245" s="22">
        <f t="shared" si="432"/>
        <v>76.09</v>
      </c>
      <c r="AD2245" s="22">
        <f t="shared" si="437"/>
        <v>416.70000000000005</v>
      </c>
      <c r="AE2245" s="22">
        <f t="shared" si="438"/>
        <v>29071.64</v>
      </c>
      <c r="AF2245" s="19" t="str">
        <f>VLOOKUP(C2245,'2021-22 School Level AAFTE'!C:N,12,FALSE)</f>
        <v>No</v>
      </c>
      <c r="AG2245" s="56"/>
      <c r="AH2245" s="56"/>
      <c r="AI2245" s="56"/>
      <c r="AJ2245" s="56"/>
      <c r="AK2245" s="56"/>
      <c r="AL2245" s="56"/>
      <c r="AM2245" s="56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  <c r="HX2245"/>
      <c r="HY2245"/>
      <c r="HZ2245"/>
      <c r="IA2245"/>
      <c r="IB2245"/>
      <c r="IC2245"/>
      <c r="ID2245"/>
      <c r="IE2245"/>
      <c r="IF2245"/>
      <c r="IG2245"/>
      <c r="IH2245"/>
      <c r="II2245"/>
      <c r="IJ2245"/>
      <c r="IK2245"/>
      <c r="IL2245"/>
      <c r="IM2245"/>
      <c r="IN2245"/>
      <c r="IO2245"/>
      <c r="IP2245"/>
      <c r="IQ2245"/>
      <c r="IR2245"/>
      <c r="IS2245"/>
      <c r="IT2245"/>
      <c r="IU2245"/>
      <c r="IV2245"/>
      <c r="IW2245"/>
      <c r="IX2245"/>
      <c r="IY2245"/>
      <c r="IZ2245"/>
      <c r="JA2245"/>
      <c r="JB2245"/>
      <c r="JC2245"/>
      <c r="JD2245"/>
      <c r="JE2245"/>
      <c r="JF2245"/>
      <c r="JG2245"/>
      <c r="JH2245"/>
      <c r="JI2245"/>
      <c r="JJ2245"/>
      <c r="JK2245"/>
      <c r="JL2245"/>
      <c r="JM2245"/>
      <c r="JN2245"/>
      <c r="JO2245"/>
      <c r="JP2245"/>
      <c r="JQ2245"/>
      <c r="JR2245"/>
      <c r="JS2245"/>
      <c r="JT2245"/>
      <c r="JU2245"/>
      <c r="JV2245"/>
      <c r="JW2245"/>
      <c r="JX2245"/>
    </row>
    <row r="2246" spans="1:284">
      <c r="A2246" s="97" t="s">
        <v>2505</v>
      </c>
      <c r="B2246" s="97" t="s">
        <v>1928</v>
      </c>
      <c r="C2246" s="95">
        <v>5461</v>
      </c>
      <c r="D2246" s="95" t="s">
        <v>2747</v>
      </c>
      <c r="E2246" s="129">
        <f>VLOOKUP($C2246,'2021-22 School Level AAFTE'!$C:$Z,11,FALSE)</f>
        <v>0.55759999999999998</v>
      </c>
      <c r="F2246" s="129" t="str">
        <f>VLOOKUP($C2246,'2021-22 School Level AAFTE'!$C:$Z,8,FALSE)</f>
        <v>Yes</v>
      </c>
      <c r="G2246" s="129" t="str">
        <f>VLOOKUP($C2246,'2021-22 School Level AAFTE'!$C:$Z,12,FALSE)</f>
        <v>No</v>
      </c>
      <c r="H2246" s="127">
        <f>VLOOKUP($C2246,'2021-22 School Level AAFTE'!$C:$I,7,FALSE)</f>
        <v>23</v>
      </c>
      <c r="I2246" s="112">
        <f>IFERROR(IF(OR(G2246="yes",F2246= "yes"),VLOOKUP(C2246,Summary!$B:$J,6,0),0),0)</f>
        <v>0</v>
      </c>
      <c r="J2246" s="111">
        <f t="shared" si="426"/>
        <v>23</v>
      </c>
      <c r="K2246" s="91">
        <f>VLOOKUP($A2246,'2022-23 Salary &amp; Benefits'!$A:$I,3,FALSE)</f>
        <v>1</v>
      </c>
      <c r="L2246" s="91">
        <f>VLOOKUP($A2246,'2022-23 Salary &amp; Benefits'!$A:$I,4,FALSE)</f>
        <v>1</v>
      </c>
      <c r="M2246" s="101">
        <f t="shared" si="436"/>
        <v>23</v>
      </c>
      <c r="N2246" s="24">
        <v>15</v>
      </c>
      <c r="O2246" s="26">
        <f t="shared" si="424"/>
        <v>1.5333333333333334</v>
      </c>
      <c r="P2246" s="24">
        <v>1.1000000000000001</v>
      </c>
      <c r="Q2246" s="24">
        <v>36</v>
      </c>
      <c r="R2246" s="27">
        <f t="shared" si="425"/>
        <v>60.720000000000013</v>
      </c>
      <c r="S2246" s="102">
        <f t="shared" si="427"/>
        <v>6.7000000000000004E-2</v>
      </c>
      <c r="T2246" s="21">
        <f>VLOOKUP($A2246,'2022-23 Salary &amp; Benefits'!$A:$I,5,FALSE)</f>
        <v>68937</v>
      </c>
      <c r="U2246" s="21">
        <f>VLOOKUP($A2246,'2022-23 Salary &amp; Benefits'!$A:$I,6,FALSE)</f>
        <v>72728</v>
      </c>
      <c r="V2246" s="22">
        <f t="shared" si="428"/>
        <v>4618.78</v>
      </c>
      <c r="W2246" s="22">
        <f t="shared" si="429"/>
        <v>254</v>
      </c>
      <c r="X2246" s="22">
        <f>'2022-23 Salary &amp; Benefits'!$G$6</f>
        <v>12558.24</v>
      </c>
      <c r="Y2246" s="23">
        <f>'2022-23 Salary &amp; Benefits'!$H$6</f>
        <v>0.2298</v>
      </c>
      <c r="Z2246" s="23">
        <f>'2022-23 Salary &amp; Benefits'!$I$6</f>
        <v>0.22339999999999999</v>
      </c>
      <c r="AA2246" s="22">
        <f t="shared" si="430"/>
        <v>1959.54</v>
      </c>
      <c r="AB2246" s="22">
        <f t="shared" si="431"/>
        <v>81.209999999999994</v>
      </c>
      <c r="AC2246" s="22">
        <f t="shared" si="432"/>
        <v>18.14</v>
      </c>
      <c r="AD2246" s="22">
        <f t="shared" si="437"/>
        <v>99.35</v>
      </c>
      <c r="AE2246" s="22">
        <f t="shared" si="438"/>
        <v>6931.67</v>
      </c>
      <c r="AF2246" s="19" t="str">
        <f>VLOOKUP(C2246,'2021-22 School Level AAFTE'!C:N,12,FALSE)</f>
        <v>No</v>
      </c>
      <c r="AG2246" s="56"/>
      <c r="AH2246" s="56"/>
      <c r="AI2246" s="56"/>
      <c r="AJ2246" s="56"/>
      <c r="AK2246" s="56"/>
      <c r="AL2246" s="56"/>
      <c r="AM2246" s="5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  <c r="HX2246"/>
      <c r="HY2246"/>
      <c r="HZ2246"/>
      <c r="IA2246"/>
      <c r="IB2246"/>
      <c r="IC2246"/>
      <c r="ID2246"/>
      <c r="IE2246"/>
      <c r="IF2246"/>
      <c r="IG2246"/>
      <c r="IH2246"/>
      <c r="II2246"/>
      <c r="IJ2246"/>
      <c r="IK2246"/>
      <c r="IL2246"/>
      <c r="IM2246"/>
      <c r="IN2246"/>
      <c r="IO2246"/>
      <c r="IP2246"/>
      <c r="IQ2246"/>
      <c r="IR2246"/>
      <c r="IS2246"/>
      <c r="IT2246"/>
      <c r="IU2246"/>
      <c r="IV2246"/>
      <c r="IW2246"/>
      <c r="IX2246"/>
      <c r="IY2246"/>
      <c r="IZ2246"/>
      <c r="JA2246"/>
      <c r="JB2246"/>
      <c r="JC2246"/>
      <c r="JD2246"/>
      <c r="JE2246"/>
      <c r="JF2246"/>
      <c r="JG2246"/>
      <c r="JH2246"/>
      <c r="JI2246"/>
      <c r="JJ2246"/>
      <c r="JK2246"/>
      <c r="JL2246"/>
      <c r="JM2246"/>
      <c r="JN2246"/>
      <c r="JO2246"/>
      <c r="JP2246"/>
      <c r="JQ2246"/>
      <c r="JR2246"/>
      <c r="JS2246"/>
      <c r="JT2246"/>
      <c r="JU2246"/>
      <c r="JV2246"/>
      <c r="JW2246"/>
      <c r="JX2246"/>
    </row>
    <row r="2247" spans="1:284">
      <c r="A2247" s="97" t="s">
        <v>2276</v>
      </c>
      <c r="B2247" s="97" t="s">
        <v>121</v>
      </c>
      <c r="C2247" s="95">
        <v>1612</v>
      </c>
      <c r="D2247" s="95" t="s">
        <v>122</v>
      </c>
      <c r="E2247" s="129">
        <f>VLOOKUP($C2247,'2021-22 School Level AAFTE'!$C:$Z,11,FALSE)</f>
        <v>0</v>
      </c>
      <c r="F2247" s="129" t="str">
        <f>VLOOKUP($C2247,'2021-22 School Level AAFTE'!$C:$Z,8,FALSE)</f>
        <v>No</v>
      </c>
      <c r="G2247" s="129" t="str">
        <f>VLOOKUP($C2247,'2021-22 School Level AAFTE'!$C:$Z,12,FALSE)</f>
        <v>No</v>
      </c>
      <c r="H2247" s="127">
        <f>VLOOKUP($C2247,'2021-22 School Level AAFTE'!$C:$I,7,FALSE)</f>
        <v>4.8</v>
      </c>
      <c r="I2247" s="112">
        <f>IFERROR(IF(OR(G2247="yes",F2247= "yes"),VLOOKUP(C2247,Summary!$B:$J,6,0),0),0)</f>
        <v>0</v>
      </c>
      <c r="J2247" s="111">
        <f t="shared" si="426"/>
        <v>0</v>
      </c>
      <c r="K2247" s="91">
        <f>VLOOKUP($A2247,'2022-23 Salary &amp; Benefits'!$A:$I,3,FALSE)</f>
        <v>1.03</v>
      </c>
      <c r="L2247" s="91">
        <f>VLOOKUP($A2247,'2022-23 Salary &amp; Benefits'!$A:$I,4,FALSE)</f>
        <v>1.03</v>
      </c>
      <c r="M2247" s="101">
        <f t="shared" si="436"/>
        <v>0</v>
      </c>
      <c r="N2247" s="24">
        <v>15</v>
      </c>
      <c r="O2247" s="26">
        <f t="shared" si="424"/>
        <v>0</v>
      </c>
      <c r="P2247" s="24">
        <v>1.1000000000000001</v>
      </c>
      <c r="Q2247" s="24">
        <v>36</v>
      </c>
      <c r="R2247" s="27">
        <f t="shared" si="425"/>
        <v>0</v>
      </c>
      <c r="S2247" s="102">
        <f t="shared" si="427"/>
        <v>0</v>
      </c>
      <c r="T2247" s="21">
        <f>VLOOKUP($A2247,'2022-23 Salary &amp; Benefits'!$A:$I,5,FALSE)</f>
        <v>68937</v>
      </c>
      <c r="U2247" s="21">
        <f>VLOOKUP($A2247,'2022-23 Salary &amp; Benefits'!$A:$I,6,FALSE)</f>
        <v>72728</v>
      </c>
      <c r="V2247" s="22">
        <f t="shared" si="428"/>
        <v>0</v>
      </c>
      <c r="W2247" s="22">
        <f t="shared" si="429"/>
        <v>0</v>
      </c>
      <c r="X2247" s="22">
        <f>'2022-23 Salary &amp; Benefits'!$G$6</f>
        <v>12558.24</v>
      </c>
      <c r="Y2247" s="23">
        <f>'2022-23 Salary &amp; Benefits'!$H$6</f>
        <v>0.2298</v>
      </c>
      <c r="Z2247" s="23">
        <f>'2022-23 Salary &amp; Benefits'!$I$6</f>
        <v>0.22339999999999999</v>
      </c>
      <c r="AA2247" s="22">
        <f t="shared" si="430"/>
        <v>0</v>
      </c>
      <c r="AB2247" s="22">
        <f t="shared" si="431"/>
        <v>0</v>
      </c>
      <c r="AC2247" s="22">
        <f t="shared" si="432"/>
        <v>0</v>
      </c>
      <c r="AD2247" s="22">
        <f t="shared" si="437"/>
        <v>0</v>
      </c>
      <c r="AE2247" s="22">
        <f t="shared" si="438"/>
        <v>0</v>
      </c>
      <c r="AF2247" s="19" t="str">
        <f>VLOOKUP(C2247,'2021-22 School Level AAFTE'!C:N,12,FALSE)</f>
        <v>No</v>
      </c>
      <c r="AG2247" s="56"/>
      <c r="AH2247" s="56"/>
      <c r="AI2247" s="56"/>
      <c r="AJ2247" s="56"/>
      <c r="AK2247" s="56"/>
      <c r="AL2247" s="56"/>
      <c r="AM2247" s="56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  <c r="HX2247"/>
      <c r="HY2247"/>
      <c r="HZ2247"/>
      <c r="IA2247"/>
      <c r="IB2247"/>
      <c r="IC2247"/>
      <c r="ID2247"/>
      <c r="IE2247"/>
      <c r="IF2247"/>
      <c r="IG2247"/>
      <c r="IH2247"/>
      <c r="II2247"/>
      <c r="IJ2247"/>
      <c r="IK2247"/>
      <c r="IL2247"/>
      <c r="IM2247"/>
      <c r="IN2247"/>
      <c r="IO2247"/>
      <c r="IP2247"/>
      <c r="IQ2247"/>
      <c r="IR2247"/>
      <c r="IS2247"/>
      <c r="IT2247"/>
      <c r="IU2247"/>
      <c r="IV2247"/>
      <c r="IW2247"/>
      <c r="IX2247"/>
      <c r="IY2247"/>
      <c r="IZ2247"/>
      <c r="JA2247"/>
      <c r="JB2247"/>
      <c r="JC2247"/>
      <c r="JD2247"/>
      <c r="JE2247"/>
      <c r="JF2247"/>
      <c r="JG2247"/>
      <c r="JH2247"/>
      <c r="JI2247"/>
      <c r="JJ2247"/>
      <c r="JK2247"/>
      <c r="JL2247"/>
      <c r="JM2247"/>
      <c r="JN2247"/>
      <c r="JO2247"/>
      <c r="JP2247"/>
      <c r="JQ2247"/>
      <c r="JR2247"/>
      <c r="JS2247"/>
      <c r="JT2247"/>
      <c r="JU2247"/>
      <c r="JV2247"/>
      <c r="JW2247"/>
      <c r="JX2247"/>
    </row>
    <row r="2248" spans="1:284">
      <c r="A2248" s="56" t="s">
        <v>2276</v>
      </c>
      <c r="B2248" s="97" t="s">
        <v>121</v>
      </c>
      <c r="C2248" s="95">
        <v>1613</v>
      </c>
      <c r="D2248" s="56" t="s">
        <v>123</v>
      </c>
      <c r="E2248" s="129">
        <f>VLOOKUP($C2248,'2021-22 School Level AAFTE'!$C:$Z,11,FALSE)</f>
        <v>0.59343333333333337</v>
      </c>
      <c r="F2248" s="129" t="str">
        <f>VLOOKUP($C2248,'2021-22 School Level AAFTE'!$C:$Z,8,FALSE)</f>
        <v>Yes</v>
      </c>
      <c r="G2248" s="129" t="str">
        <f>VLOOKUP($C2248,'2021-22 School Level AAFTE'!$C:$Z,12,FALSE)</f>
        <v>No</v>
      </c>
      <c r="H2248" s="127">
        <f>VLOOKUP($C2248,'2021-22 School Level AAFTE'!$C:$I,7,FALSE)</f>
        <v>247.29000000000002</v>
      </c>
      <c r="I2248" s="112">
        <f>IFERROR(IF(OR(G2248="yes",F2248= "yes"),VLOOKUP(C2248,Summary!$B:$J,6,0),0),0)</f>
        <v>0</v>
      </c>
      <c r="J2248" s="111">
        <f t="shared" si="426"/>
        <v>247.29000000000002</v>
      </c>
      <c r="K2248" s="91">
        <f>VLOOKUP($A2248,'2022-23 Salary &amp; Benefits'!$A:$I,3,FALSE)</f>
        <v>1.03</v>
      </c>
      <c r="L2248" s="91">
        <f>VLOOKUP($A2248,'2022-23 Salary &amp; Benefits'!$A:$I,4,FALSE)</f>
        <v>1.03</v>
      </c>
      <c r="M2248" s="101">
        <f t="shared" si="436"/>
        <v>247.29000000000002</v>
      </c>
      <c r="N2248" s="24">
        <v>15</v>
      </c>
      <c r="O2248" s="26">
        <f t="shared" si="424"/>
        <v>16.486000000000001</v>
      </c>
      <c r="P2248" s="24">
        <v>1.1000000000000001</v>
      </c>
      <c r="Q2248" s="24">
        <v>36</v>
      </c>
      <c r="R2248" s="27">
        <f t="shared" si="425"/>
        <v>652.8456000000001</v>
      </c>
      <c r="S2248" s="102">
        <f t="shared" si="427"/>
        <v>0.72499999999999998</v>
      </c>
      <c r="T2248" s="21">
        <f>VLOOKUP($A2248,'2022-23 Salary &amp; Benefits'!$A:$I,5,FALSE)</f>
        <v>68937</v>
      </c>
      <c r="U2248" s="21">
        <f>VLOOKUP($A2248,'2022-23 Salary &amp; Benefits'!$A:$I,6,FALSE)</f>
        <v>72728</v>
      </c>
      <c r="V2248" s="22">
        <f t="shared" si="428"/>
        <v>51478.7</v>
      </c>
      <c r="W2248" s="22">
        <f t="shared" si="429"/>
        <v>2830.9300000000003</v>
      </c>
      <c r="X2248" s="22">
        <f>'2022-23 Salary &amp; Benefits'!$G$6</f>
        <v>12558.24</v>
      </c>
      <c r="Y2248" s="23">
        <f>'2022-23 Salary &amp; Benefits'!$H$6</f>
        <v>0.2298</v>
      </c>
      <c r="Z2248" s="23">
        <f>'2022-23 Salary &amp; Benefits'!$I$6</f>
        <v>0.22339999999999999</v>
      </c>
      <c r="AA2248" s="22">
        <f t="shared" si="430"/>
        <v>21566.959999999999</v>
      </c>
      <c r="AB2248" s="22">
        <f t="shared" si="431"/>
        <v>905.16</v>
      </c>
      <c r="AC2248" s="22">
        <f t="shared" si="432"/>
        <v>202.21</v>
      </c>
      <c r="AD2248" s="22">
        <f t="shared" si="437"/>
        <v>1107.3699999999999</v>
      </c>
      <c r="AE2248" s="22">
        <f t="shared" si="438"/>
        <v>76983.959999999992</v>
      </c>
      <c r="AF2248" s="19" t="str">
        <f>VLOOKUP(C2248,'2021-22 School Level AAFTE'!C:N,12,FALSE)</f>
        <v>No</v>
      </c>
      <c r="AG2248" s="56"/>
      <c r="AH2248" s="56"/>
      <c r="AI2248" s="56"/>
      <c r="AJ2248" s="56"/>
      <c r="AK2248" s="56"/>
      <c r="AL2248" s="56"/>
      <c r="AM2248" s="56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  <c r="HX2248"/>
      <c r="HY2248"/>
      <c r="HZ2248"/>
      <c r="IA2248"/>
      <c r="IB2248"/>
      <c r="IC2248"/>
      <c r="ID2248"/>
      <c r="IE2248"/>
      <c r="IF2248"/>
      <c r="IG2248"/>
      <c r="IH2248"/>
      <c r="II2248"/>
      <c r="IJ2248"/>
      <c r="IK2248"/>
      <c r="IL2248"/>
      <c r="IM2248"/>
      <c r="IN2248"/>
      <c r="IO2248"/>
      <c r="IP2248"/>
      <c r="IQ2248"/>
      <c r="IR2248"/>
      <c r="IS2248"/>
      <c r="IT2248"/>
      <c r="IU2248"/>
      <c r="IV2248"/>
      <c r="IW2248"/>
      <c r="IX2248"/>
      <c r="IY2248"/>
      <c r="IZ2248"/>
      <c r="JA2248"/>
      <c r="JB2248"/>
      <c r="JC2248"/>
      <c r="JD2248"/>
      <c r="JE2248"/>
      <c r="JF2248"/>
      <c r="JG2248"/>
      <c r="JH2248"/>
      <c r="JI2248"/>
      <c r="JJ2248"/>
      <c r="JK2248"/>
      <c r="JL2248"/>
      <c r="JM2248"/>
      <c r="JN2248"/>
      <c r="JO2248"/>
      <c r="JP2248"/>
      <c r="JQ2248"/>
      <c r="JR2248"/>
      <c r="JS2248"/>
      <c r="JT2248"/>
      <c r="JU2248"/>
      <c r="JV2248"/>
      <c r="JW2248"/>
      <c r="JX2248"/>
    </row>
    <row r="2249" spans="1:284">
      <c r="A2249" s="97" t="s">
        <v>2276</v>
      </c>
      <c r="B2249" s="97" t="s">
        <v>121</v>
      </c>
      <c r="C2249" s="95">
        <v>2134</v>
      </c>
      <c r="D2249" s="95" t="s">
        <v>124</v>
      </c>
      <c r="E2249" s="129">
        <f>VLOOKUP($C2249,'2021-22 School Level AAFTE'!$C:$Z,11,FALSE)</f>
        <v>0.5404000000000001</v>
      </c>
      <c r="F2249" s="129" t="str">
        <f>VLOOKUP($C2249,'2021-22 School Level AAFTE'!$C:$Z,8,FALSE)</f>
        <v>Yes</v>
      </c>
      <c r="G2249" s="129" t="str">
        <f>VLOOKUP($C2249,'2021-22 School Level AAFTE'!$C:$Z,12,FALSE)</f>
        <v>No</v>
      </c>
      <c r="H2249" s="127">
        <f>VLOOKUP($C2249,'2021-22 School Level AAFTE'!$C:$I,7,FALSE)</f>
        <v>1962.6000000000001</v>
      </c>
      <c r="I2249" s="112">
        <f>IFERROR(IF(OR(G2249="yes",F2249= "yes"),VLOOKUP(C2249,Summary!$B:$J,6,0),0),0)</f>
        <v>0</v>
      </c>
      <c r="J2249" s="111">
        <f t="shared" si="426"/>
        <v>1962.6000000000001</v>
      </c>
      <c r="K2249" s="91">
        <f>VLOOKUP($A2249,'2022-23 Salary &amp; Benefits'!$A:$I,3,FALSE)</f>
        <v>1.03</v>
      </c>
      <c r="L2249" s="91">
        <f>VLOOKUP($A2249,'2022-23 Salary &amp; Benefits'!$A:$I,4,FALSE)</f>
        <v>1.03</v>
      </c>
      <c r="M2249" s="101">
        <f t="shared" si="436"/>
        <v>1962.6000000000001</v>
      </c>
      <c r="N2249" s="24">
        <v>15</v>
      </c>
      <c r="O2249" s="26">
        <f t="shared" si="424"/>
        <v>130.84</v>
      </c>
      <c r="P2249" s="24">
        <v>1.1000000000000001</v>
      </c>
      <c r="Q2249" s="24">
        <v>36</v>
      </c>
      <c r="R2249" s="27">
        <f t="shared" si="425"/>
        <v>5181.2640000000001</v>
      </c>
      <c r="S2249" s="102">
        <f t="shared" si="427"/>
        <v>5.7569999999999997</v>
      </c>
      <c r="T2249" s="21">
        <f>VLOOKUP($A2249,'2022-23 Salary &amp; Benefits'!$A:$I,5,FALSE)</f>
        <v>68937</v>
      </c>
      <c r="U2249" s="21">
        <f>VLOOKUP($A2249,'2022-23 Salary &amp; Benefits'!$A:$I,6,FALSE)</f>
        <v>72728</v>
      </c>
      <c r="V2249" s="22">
        <f t="shared" si="428"/>
        <v>408776.42</v>
      </c>
      <c r="W2249" s="22">
        <f t="shared" si="429"/>
        <v>22479.530000000028</v>
      </c>
      <c r="X2249" s="22">
        <f>'2022-23 Salary &amp; Benefits'!$G$6</f>
        <v>12558.24</v>
      </c>
      <c r="Y2249" s="23">
        <f>'2022-23 Salary &amp; Benefits'!$H$6</f>
        <v>0.2298</v>
      </c>
      <c r="Z2249" s="23">
        <f>'2022-23 Salary &amp; Benefits'!$I$6</f>
        <v>0.22339999999999999</v>
      </c>
      <c r="AA2249" s="22">
        <f t="shared" si="430"/>
        <v>171256.54</v>
      </c>
      <c r="AB2249" s="22">
        <f t="shared" si="431"/>
        <v>7187.6</v>
      </c>
      <c r="AC2249" s="22">
        <f t="shared" si="432"/>
        <v>1605.71</v>
      </c>
      <c r="AD2249" s="22">
        <f t="shared" si="437"/>
        <v>8793.3100000000013</v>
      </c>
      <c r="AE2249" s="22">
        <f t="shared" si="438"/>
        <v>611305.80000000005</v>
      </c>
      <c r="AF2249" s="19" t="str">
        <f>VLOOKUP(C2249,'2021-22 School Level AAFTE'!C:N,12,FALSE)</f>
        <v>No</v>
      </c>
      <c r="AG2249" s="56"/>
      <c r="AH2249" s="56"/>
      <c r="AI2249" s="56"/>
      <c r="AJ2249" s="56"/>
      <c r="AK2249" s="56"/>
      <c r="AL2249" s="56"/>
      <c r="AM2249" s="56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  <c r="HY2249"/>
      <c r="HZ2249"/>
      <c r="IA2249"/>
      <c r="IB2249"/>
      <c r="IC2249"/>
      <c r="ID2249"/>
      <c r="IE2249"/>
      <c r="IF2249"/>
      <c r="IG2249"/>
      <c r="IH2249"/>
      <c r="II2249"/>
      <c r="IJ2249"/>
      <c r="IK2249"/>
      <c r="IL2249"/>
      <c r="IM2249"/>
      <c r="IN2249"/>
      <c r="IO2249"/>
      <c r="IP2249"/>
      <c r="IQ2249"/>
      <c r="IR2249"/>
      <c r="IS2249"/>
      <c r="IT2249"/>
      <c r="IU2249"/>
      <c r="IV2249"/>
      <c r="IW2249"/>
      <c r="IX2249"/>
      <c r="IY2249"/>
      <c r="IZ2249"/>
      <c r="JA2249"/>
      <c r="JB2249"/>
      <c r="JC2249"/>
      <c r="JD2249"/>
      <c r="JE2249"/>
      <c r="JF2249"/>
      <c r="JG2249"/>
      <c r="JH2249"/>
      <c r="JI2249"/>
      <c r="JJ2249"/>
      <c r="JK2249"/>
      <c r="JL2249"/>
      <c r="JM2249"/>
      <c r="JN2249"/>
      <c r="JO2249"/>
      <c r="JP2249"/>
      <c r="JQ2249"/>
      <c r="JR2249"/>
      <c r="JS2249"/>
      <c r="JT2249"/>
      <c r="JU2249"/>
      <c r="JV2249"/>
      <c r="JW2249"/>
      <c r="JX2249"/>
    </row>
    <row r="2250" spans="1:284">
      <c r="A2250" s="97" t="s">
        <v>2276</v>
      </c>
      <c r="B2250" s="97" t="s">
        <v>121</v>
      </c>
      <c r="C2250" s="95">
        <v>2279</v>
      </c>
      <c r="D2250" s="95" t="s">
        <v>125</v>
      </c>
      <c r="E2250" s="129">
        <f>VLOOKUP($C2250,'2021-22 School Level AAFTE'!$C:$Z,11,FALSE)</f>
        <v>0.60886666666666667</v>
      </c>
      <c r="F2250" s="129" t="str">
        <f>VLOOKUP($C2250,'2021-22 School Level AAFTE'!$C:$Z,8,FALSE)</f>
        <v>Yes</v>
      </c>
      <c r="G2250" s="129" t="str">
        <f>VLOOKUP($C2250,'2021-22 School Level AAFTE'!$C:$Z,12,FALSE)</f>
        <v>No</v>
      </c>
      <c r="H2250" s="127">
        <f>VLOOKUP($C2250,'2021-22 School Level AAFTE'!$C:$I,7,FALSE)</f>
        <v>399.9</v>
      </c>
      <c r="I2250" s="112">
        <f>IFERROR(IF(OR(G2250="yes",F2250= "yes"),VLOOKUP(C2250,Summary!$B:$J,6,0),0),0)</f>
        <v>0</v>
      </c>
      <c r="J2250" s="111">
        <f t="shared" si="426"/>
        <v>399.9</v>
      </c>
      <c r="K2250" s="91">
        <f>VLOOKUP($A2250,'2022-23 Salary &amp; Benefits'!$A:$I,3,FALSE)</f>
        <v>1.03</v>
      </c>
      <c r="L2250" s="91">
        <f>VLOOKUP($A2250,'2022-23 Salary &amp; Benefits'!$A:$I,4,FALSE)</f>
        <v>1.03</v>
      </c>
      <c r="M2250" s="101">
        <f t="shared" si="436"/>
        <v>399.9</v>
      </c>
      <c r="N2250" s="24">
        <v>15</v>
      </c>
      <c r="O2250" s="26">
        <f t="shared" ref="O2250:O2313" si="439">IF(M2250="no",0,M2250/N2250)</f>
        <v>26.66</v>
      </c>
      <c r="P2250" s="24">
        <v>1.1000000000000001</v>
      </c>
      <c r="Q2250" s="24">
        <v>36</v>
      </c>
      <c r="R2250" s="27">
        <f t="shared" ref="R2250:R2313" si="440">IF(M2250="no",0,O2250*P2250*Q2250)</f>
        <v>1055.7360000000001</v>
      </c>
      <c r="S2250" s="102">
        <f t="shared" si="427"/>
        <v>1.173</v>
      </c>
      <c r="T2250" s="21">
        <f>VLOOKUP($A2250,'2022-23 Salary &amp; Benefits'!$A:$I,5,FALSE)</f>
        <v>68937</v>
      </c>
      <c r="U2250" s="21">
        <f>VLOOKUP($A2250,'2022-23 Salary &amp; Benefits'!$A:$I,6,FALSE)</f>
        <v>72728</v>
      </c>
      <c r="V2250" s="22">
        <f t="shared" si="428"/>
        <v>83288.990000000005</v>
      </c>
      <c r="W2250" s="22">
        <f t="shared" si="429"/>
        <v>4580.25</v>
      </c>
      <c r="X2250" s="22">
        <f>'2022-23 Salary &amp; Benefits'!$G$6</f>
        <v>12558.24</v>
      </c>
      <c r="Y2250" s="23">
        <f>'2022-23 Salary &amp; Benefits'!$H$6</f>
        <v>0.2298</v>
      </c>
      <c r="Z2250" s="23">
        <f>'2022-23 Salary &amp; Benefits'!$I$6</f>
        <v>0.22339999999999999</v>
      </c>
      <c r="AA2250" s="22">
        <f t="shared" si="430"/>
        <v>34893.85</v>
      </c>
      <c r="AB2250" s="22">
        <f t="shared" si="431"/>
        <v>1464.49</v>
      </c>
      <c r="AC2250" s="22">
        <f t="shared" si="432"/>
        <v>327.17</v>
      </c>
      <c r="AD2250" s="22">
        <f t="shared" si="437"/>
        <v>1791.66</v>
      </c>
      <c r="AE2250" s="22">
        <f t="shared" si="438"/>
        <v>124554.75</v>
      </c>
      <c r="AF2250" s="19" t="str">
        <f>VLOOKUP(C2250,'2021-22 School Level AAFTE'!C:N,12,FALSE)</f>
        <v>No</v>
      </c>
      <c r="AG2250" s="56"/>
      <c r="AH2250" s="56"/>
      <c r="AI2250" s="56"/>
      <c r="AJ2250" s="56"/>
      <c r="AK2250" s="56"/>
      <c r="AL2250" s="56"/>
      <c r="AM2250" s="56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  <c r="HY2250"/>
      <c r="HZ2250"/>
      <c r="IA2250"/>
      <c r="IB2250"/>
      <c r="IC2250"/>
      <c r="ID2250"/>
      <c r="IE2250"/>
      <c r="IF2250"/>
      <c r="IG2250"/>
      <c r="IH2250"/>
      <c r="II2250"/>
      <c r="IJ2250"/>
      <c r="IK2250"/>
      <c r="IL2250"/>
      <c r="IM2250"/>
      <c r="IN2250"/>
      <c r="IO2250"/>
      <c r="IP2250"/>
      <c r="IQ2250"/>
      <c r="IR2250"/>
      <c r="IS2250"/>
      <c r="IT2250"/>
      <c r="IU2250"/>
      <c r="IV2250"/>
      <c r="IW2250"/>
      <c r="IX2250"/>
      <c r="IY2250"/>
      <c r="IZ2250"/>
      <c r="JA2250"/>
      <c r="JB2250"/>
      <c r="JC2250"/>
      <c r="JD2250"/>
      <c r="JE2250"/>
      <c r="JF2250"/>
      <c r="JG2250"/>
      <c r="JH2250"/>
      <c r="JI2250"/>
      <c r="JJ2250"/>
      <c r="JK2250"/>
      <c r="JL2250"/>
      <c r="JM2250"/>
      <c r="JN2250"/>
      <c r="JO2250"/>
      <c r="JP2250"/>
      <c r="JQ2250"/>
      <c r="JR2250"/>
      <c r="JS2250"/>
      <c r="JT2250"/>
      <c r="JU2250"/>
      <c r="JV2250"/>
      <c r="JW2250"/>
      <c r="JX2250"/>
    </row>
    <row r="2251" spans="1:284">
      <c r="A2251" s="97" t="s">
        <v>2276</v>
      </c>
      <c r="B2251" s="97" t="s">
        <v>121</v>
      </c>
      <c r="C2251" s="95">
        <v>2301</v>
      </c>
      <c r="D2251" s="95" t="s">
        <v>126</v>
      </c>
      <c r="E2251" s="129">
        <f>VLOOKUP($C2251,'2021-22 School Level AAFTE'!$C:$Z,11,FALSE)</f>
        <v>0.66213333333333335</v>
      </c>
      <c r="F2251" s="129" t="str">
        <f>VLOOKUP($C2251,'2021-22 School Level AAFTE'!$C:$Z,8,FALSE)</f>
        <v>Yes</v>
      </c>
      <c r="G2251" s="129" t="str">
        <f>VLOOKUP($C2251,'2021-22 School Level AAFTE'!$C:$Z,12,FALSE)</f>
        <v>No</v>
      </c>
      <c r="H2251" s="127">
        <f>VLOOKUP($C2251,'2021-22 School Level AAFTE'!$C:$I,7,FALSE)</f>
        <v>339.89</v>
      </c>
      <c r="I2251" s="112">
        <f>IFERROR(IF(OR(G2251="yes",F2251= "yes"),VLOOKUP(C2251,Summary!$B:$J,6,0),0),0)</f>
        <v>0</v>
      </c>
      <c r="J2251" s="111">
        <f t="shared" ref="J2251:J2314" si="441">IF(OR(G2251="yes",F2251= "yes"), H2251,0)</f>
        <v>339.89</v>
      </c>
      <c r="K2251" s="91">
        <f>VLOOKUP($A2251,'2022-23 Salary &amp; Benefits'!$A:$I,3,FALSE)</f>
        <v>1.03</v>
      </c>
      <c r="L2251" s="91">
        <f>VLOOKUP($A2251,'2022-23 Salary &amp; Benefits'!$A:$I,4,FALSE)</f>
        <v>1.03</v>
      </c>
      <c r="M2251" s="101">
        <f t="shared" si="436"/>
        <v>339.89</v>
      </c>
      <c r="N2251" s="24">
        <v>15</v>
      </c>
      <c r="O2251" s="26">
        <f t="shared" si="439"/>
        <v>22.659333333333333</v>
      </c>
      <c r="P2251" s="24">
        <v>1.1000000000000001</v>
      </c>
      <c r="Q2251" s="24">
        <v>36</v>
      </c>
      <c r="R2251" s="27">
        <f t="shared" si="440"/>
        <v>897.30960000000005</v>
      </c>
      <c r="S2251" s="102">
        <f t="shared" ref="S2251:S2314" si="442">ROUND(IF(M2251="no",0,R2251/900),3)</f>
        <v>0.997</v>
      </c>
      <c r="T2251" s="21">
        <f>VLOOKUP($A2251,'2022-23 Salary &amp; Benefits'!$A:$I,5,FALSE)</f>
        <v>68937</v>
      </c>
      <c r="U2251" s="21">
        <f>VLOOKUP($A2251,'2022-23 Salary &amp; Benefits'!$A:$I,6,FALSE)</f>
        <v>72728</v>
      </c>
      <c r="V2251" s="22">
        <f t="shared" ref="V2251:V2314" si="443">ROUND($K2251*$T2251*$S2251,2)</f>
        <v>70792.09</v>
      </c>
      <c r="W2251" s="22">
        <f t="shared" ref="W2251:W2314" si="444">ROUND($L2251*$U2251*$S2251,2)-V2251</f>
        <v>3893.0200000000041</v>
      </c>
      <c r="X2251" s="22">
        <f>'2022-23 Salary &amp; Benefits'!$G$6</f>
        <v>12558.24</v>
      </c>
      <c r="Y2251" s="23">
        <f>'2022-23 Salary &amp; Benefits'!$H$6</f>
        <v>0.2298</v>
      </c>
      <c r="Z2251" s="23">
        <f>'2022-23 Salary &amp; Benefits'!$I$6</f>
        <v>0.22339999999999999</v>
      </c>
      <c r="AA2251" s="22">
        <f t="shared" ref="AA2251:AA2314" si="445">ROUND(V2251*Y2251+W2251*Z2251+S2251*X2251,2)</f>
        <v>29658.29</v>
      </c>
      <c r="AB2251" s="22">
        <f t="shared" ref="AB2251:AB2314" si="446">ROUND(($U2251*$L2251*$S2251/180*3),2)</f>
        <v>1244.75</v>
      </c>
      <c r="AC2251" s="22">
        <f t="shared" ref="AC2251:AC2314" si="447">ROUND(AB2251*Z2251,2)</f>
        <v>278.08</v>
      </c>
      <c r="AD2251" s="22">
        <f t="shared" si="437"/>
        <v>1522.83</v>
      </c>
      <c r="AE2251" s="22">
        <f t="shared" si="438"/>
        <v>105866.23000000001</v>
      </c>
      <c r="AF2251" s="19" t="str">
        <f>VLOOKUP(C2251,'2021-22 School Level AAFTE'!C:N,12,FALSE)</f>
        <v>No</v>
      </c>
      <c r="AG2251" s="56"/>
      <c r="AH2251" s="56"/>
      <c r="AI2251" s="56"/>
      <c r="AJ2251" s="56"/>
      <c r="AK2251" s="56"/>
      <c r="AL2251" s="56"/>
      <c r="AM2251" s="56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  <c r="HY2251"/>
      <c r="HZ2251"/>
      <c r="IA2251"/>
      <c r="IB2251"/>
      <c r="IC2251"/>
      <c r="ID2251"/>
      <c r="IE2251"/>
      <c r="IF2251"/>
      <c r="IG2251"/>
      <c r="IH2251"/>
      <c r="II2251"/>
      <c r="IJ2251"/>
      <c r="IK2251"/>
      <c r="IL2251"/>
      <c r="IM2251"/>
      <c r="IN2251"/>
      <c r="IO2251"/>
      <c r="IP2251"/>
      <c r="IQ2251"/>
      <c r="IR2251"/>
      <c r="IS2251"/>
      <c r="IT2251"/>
      <c r="IU2251"/>
      <c r="IV2251"/>
      <c r="IW2251"/>
      <c r="IX2251"/>
      <c r="IY2251"/>
      <c r="IZ2251"/>
      <c r="JA2251"/>
      <c r="JB2251"/>
      <c r="JC2251"/>
      <c r="JD2251"/>
      <c r="JE2251"/>
      <c r="JF2251"/>
      <c r="JG2251"/>
      <c r="JH2251"/>
      <c r="JI2251"/>
      <c r="JJ2251"/>
      <c r="JK2251"/>
      <c r="JL2251"/>
      <c r="JM2251"/>
      <c r="JN2251"/>
      <c r="JO2251"/>
      <c r="JP2251"/>
      <c r="JQ2251"/>
      <c r="JR2251"/>
      <c r="JS2251"/>
      <c r="JT2251"/>
      <c r="JU2251"/>
      <c r="JV2251"/>
      <c r="JW2251"/>
      <c r="JX2251"/>
    </row>
    <row r="2252" spans="1:284">
      <c r="A2252" s="97" t="s">
        <v>2276</v>
      </c>
      <c r="B2252" s="97" t="s">
        <v>121</v>
      </c>
      <c r="C2252" s="95">
        <v>2347</v>
      </c>
      <c r="D2252" s="95" t="s">
        <v>127</v>
      </c>
      <c r="E2252" s="129">
        <f>VLOOKUP($C2252,'2021-22 School Level AAFTE'!$C:$Z,11,FALSE)</f>
        <v>0.62796666666666667</v>
      </c>
      <c r="F2252" s="129" t="str">
        <f>VLOOKUP($C2252,'2021-22 School Level AAFTE'!$C:$Z,8,FALSE)</f>
        <v>Yes</v>
      </c>
      <c r="G2252" s="129" t="str">
        <f>VLOOKUP($C2252,'2021-22 School Level AAFTE'!$C:$Z,12,FALSE)</f>
        <v>No</v>
      </c>
      <c r="H2252" s="127">
        <f>VLOOKUP($C2252,'2021-22 School Level AAFTE'!$C:$I,7,FALSE)</f>
        <v>448.86</v>
      </c>
      <c r="I2252" s="112">
        <f>IFERROR(IF(OR(G2252="yes",F2252= "yes"),VLOOKUP(C2252,Summary!$B:$J,6,0),0),0)</f>
        <v>0</v>
      </c>
      <c r="J2252" s="111">
        <f t="shared" si="441"/>
        <v>448.86</v>
      </c>
      <c r="K2252" s="91">
        <f>VLOOKUP($A2252,'2022-23 Salary &amp; Benefits'!$A:$I,3,FALSE)</f>
        <v>1.03</v>
      </c>
      <c r="L2252" s="91">
        <f>VLOOKUP($A2252,'2022-23 Salary &amp; Benefits'!$A:$I,4,FALSE)</f>
        <v>1.03</v>
      </c>
      <c r="M2252" s="101">
        <f t="shared" si="436"/>
        <v>448.86</v>
      </c>
      <c r="N2252" s="24">
        <v>15</v>
      </c>
      <c r="O2252" s="26">
        <f t="shared" si="439"/>
        <v>29.923999999999999</v>
      </c>
      <c r="P2252" s="24">
        <v>1.1000000000000001</v>
      </c>
      <c r="Q2252" s="24">
        <v>36</v>
      </c>
      <c r="R2252" s="27">
        <f t="shared" si="440"/>
        <v>1184.9904000000001</v>
      </c>
      <c r="S2252" s="102">
        <f t="shared" si="442"/>
        <v>1.3169999999999999</v>
      </c>
      <c r="T2252" s="21">
        <f>VLOOKUP($A2252,'2022-23 Salary &amp; Benefits'!$A:$I,5,FALSE)</f>
        <v>68937</v>
      </c>
      <c r="U2252" s="21">
        <f>VLOOKUP($A2252,'2022-23 Salary &amp; Benefits'!$A:$I,6,FALSE)</f>
        <v>72728</v>
      </c>
      <c r="V2252" s="22">
        <f t="shared" si="443"/>
        <v>93513.73</v>
      </c>
      <c r="W2252" s="22">
        <f t="shared" si="444"/>
        <v>5142.5299999999988</v>
      </c>
      <c r="X2252" s="22">
        <f>'2022-23 Salary &amp; Benefits'!$G$6</f>
        <v>12558.24</v>
      </c>
      <c r="Y2252" s="23">
        <f>'2022-23 Salary &amp; Benefits'!$H$6</f>
        <v>0.2298</v>
      </c>
      <c r="Z2252" s="23">
        <f>'2022-23 Salary &amp; Benefits'!$I$6</f>
        <v>0.22339999999999999</v>
      </c>
      <c r="AA2252" s="22">
        <f t="shared" si="445"/>
        <v>39177.5</v>
      </c>
      <c r="AB2252" s="22">
        <f t="shared" si="446"/>
        <v>1644.27</v>
      </c>
      <c r="AC2252" s="22">
        <f t="shared" si="447"/>
        <v>367.33</v>
      </c>
      <c r="AD2252" s="22">
        <f t="shared" si="437"/>
        <v>2011.6</v>
      </c>
      <c r="AE2252" s="22">
        <f t="shared" si="438"/>
        <v>139845.35999999999</v>
      </c>
      <c r="AF2252" s="19" t="str">
        <f>VLOOKUP(C2252,'2021-22 School Level AAFTE'!C:N,12,FALSE)</f>
        <v>No</v>
      </c>
      <c r="AG2252" s="56"/>
      <c r="AH2252" s="56"/>
      <c r="AI2252" s="56"/>
      <c r="AJ2252" s="56"/>
      <c r="AK2252" s="56"/>
      <c r="AL2252" s="56"/>
      <c r="AM2252" s="56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  <c r="HY2252"/>
      <c r="HZ2252"/>
      <c r="IA2252"/>
      <c r="IB2252"/>
      <c r="IC2252"/>
      <c r="ID2252"/>
      <c r="IE2252"/>
      <c r="IF2252"/>
      <c r="IG2252"/>
      <c r="IH2252"/>
      <c r="II2252"/>
      <c r="IJ2252"/>
      <c r="IK2252"/>
      <c r="IL2252"/>
      <c r="IM2252"/>
      <c r="IN2252"/>
      <c r="IO2252"/>
      <c r="IP2252"/>
      <c r="IQ2252"/>
      <c r="IR2252"/>
      <c r="IS2252"/>
      <c r="IT2252"/>
      <c r="IU2252"/>
      <c r="IV2252"/>
      <c r="IW2252"/>
      <c r="IX2252"/>
      <c r="IY2252"/>
      <c r="IZ2252"/>
      <c r="JA2252"/>
      <c r="JB2252"/>
      <c r="JC2252"/>
      <c r="JD2252"/>
      <c r="JE2252"/>
      <c r="JF2252"/>
      <c r="JG2252"/>
      <c r="JH2252"/>
      <c r="JI2252"/>
      <c r="JJ2252"/>
      <c r="JK2252"/>
      <c r="JL2252"/>
      <c r="JM2252"/>
      <c r="JN2252"/>
      <c r="JO2252"/>
      <c r="JP2252"/>
      <c r="JQ2252"/>
      <c r="JR2252"/>
      <c r="JS2252"/>
      <c r="JT2252"/>
      <c r="JU2252"/>
      <c r="JV2252"/>
      <c r="JW2252"/>
      <c r="JX2252"/>
    </row>
    <row r="2253" spans="1:284">
      <c r="A2253" s="97" t="s">
        <v>2276</v>
      </c>
      <c r="B2253" s="97" t="s">
        <v>121</v>
      </c>
      <c r="C2253" s="95">
        <v>2907</v>
      </c>
      <c r="D2253" s="95" t="s">
        <v>40</v>
      </c>
      <c r="E2253" s="129">
        <f>VLOOKUP($C2253,'2021-22 School Level AAFTE'!$C:$Z,11,FALSE)</f>
        <v>0.39803333333333329</v>
      </c>
      <c r="F2253" s="129" t="str">
        <f>VLOOKUP($C2253,'2021-22 School Level AAFTE'!$C:$Z,8,FALSE)</f>
        <v>No</v>
      </c>
      <c r="G2253" s="129" t="str">
        <f>VLOOKUP($C2253,'2021-22 School Level AAFTE'!$C:$Z,12,FALSE)</f>
        <v>No</v>
      </c>
      <c r="H2253" s="127">
        <f>VLOOKUP($C2253,'2021-22 School Level AAFTE'!$C:$I,7,FALSE)</f>
        <v>503.24</v>
      </c>
      <c r="I2253" s="112">
        <f>IFERROR(IF(OR(G2253="yes",F2253= "yes"),VLOOKUP(C2253,Summary!$B:$J,6,0),0),0)</f>
        <v>0</v>
      </c>
      <c r="J2253" s="111">
        <f t="shared" si="441"/>
        <v>0</v>
      </c>
      <c r="K2253" s="91">
        <f>VLOOKUP($A2253,'2022-23 Salary &amp; Benefits'!$A:$I,3,FALSE)</f>
        <v>1.03</v>
      </c>
      <c r="L2253" s="91">
        <f>VLOOKUP($A2253,'2022-23 Salary &amp; Benefits'!$A:$I,4,FALSE)</f>
        <v>1.03</v>
      </c>
      <c r="M2253" s="101">
        <f t="shared" si="436"/>
        <v>0</v>
      </c>
      <c r="N2253" s="24">
        <v>15</v>
      </c>
      <c r="O2253" s="26">
        <f t="shared" si="439"/>
        <v>0</v>
      </c>
      <c r="P2253" s="24">
        <v>1.1000000000000001</v>
      </c>
      <c r="Q2253" s="24">
        <v>36</v>
      </c>
      <c r="R2253" s="27">
        <f t="shared" si="440"/>
        <v>0</v>
      </c>
      <c r="S2253" s="102">
        <f t="shared" si="442"/>
        <v>0</v>
      </c>
      <c r="T2253" s="21">
        <f>VLOOKUP($A2253,'2022-23 Salary &amp; Benefits'!$A:$I,5,FALSE)</f>
        <v>68937</v>
      </c>
      <c r="U2253" s="21">
        <f>VLOOKUP($A2253,'2022-23 Salary &amp; Benefits'!$A:$I,6,FALSE)</f>
        <v>72728</v>
      </c>
      <c r="V2253" s="22">
        <f t="shared" si="443"/>
        <v>0</v>
      </c>
      <c r="W2253" s="22">
        <f t="shared" si="444"/>
        <v>0</v>
      </c>
      <c r="X2253" s="22">
        <f>'2022-23 Salary &amp; Benefits'!$G$6</f>
        <v>12558.24</v>
      </c>
      <c r="Y2253" s="23">
        <f>'2022-23 Salary &amp; Benefits'!$H$6</f>
        <v>0.2298</v>
      </c>
      <c r="Z2253" s="23">
        <f>'2022-23 Salary &amp; Benefits'!$I$6</f>
        <v>0.22339999999999999</v>
      </c>
      <c r="AA2253" s="22">
        <f t="shared" si="445"/>
        <v>0</v>
      </c>
      <c r="AB2253" s="22">
        <f t="shared" si="446"/>
        <v>0</v>
      </c>
      <c r="AC2253" s="22">
        <f t="shared" si="447"/>
        <v>0</v>
      </c>
      <c r="AD2253" s="22">
        <f t="shared" si="437"/>
        <v>0</v>
      </c>
      <c r="AE2253" s="22">
        <f t="shared" si="438"/>
        <v>0</v>
      </c>
      <c r="AF2253" s="19" t="str">
        <f>VLOOKUP(C2253,'2021-22 School Level AAFTE'!C:N,12,FALSE)</f>
        <v>No</v>
      </c>
      <c r="AG2253" s="56"/>
      <c r="AH2253" s="56"/>
      <c r="AI2253" s="56"/>
      <c r="AJ2253" s="56"/>
      <c r="AK2253" s="56"/>
      <c r="AL2253" s="56"/>
      <c r="AM2253" s="56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  <c r="HX2253"/>
      <c r="HY2253"/>
      <c r="HZ2253"/>
      <c r="IA2253"/>
      <c r="IB2253"/>
      <c r="IC2253"/>
      <c r="ID2253"/>
      <c r="IE2253"/>
      <c r="IF2253"/>
      <c r="IG2253"/>
      <c r="IH2253"/>
      <c r="II2253"/>
      <c r="IJ2253"/>
      <c r="IK2253"/>
      <c r="IL2253"/>
      <c r="IM2253"/>
      <c r="IN2253"/>
      <c r="IO2253"/>
      <c r="IP2253"/>
      <c r="IQ2253"/>
      <c r="IR2253"/>
      <c r="IS2253"/>
      <c r="IT2253"/>
      <c r="IU2253"/>
      <c r="IV2253"/>
      <c r="IW2253"/>
      <c r="IX2253"/>
      <c r="IY2253"/>
      <c r="IZ2253"/>
      <c r="JA2253"/>
      <c r="JB2253"/>
      <c r="JC2253"/>
      <c r="JD2253"/>
      <c r="JE2253"/>
      <c r="JF2253"/>
      <c r="JG2253"/>
      <c r="JH2253"/>
      <c r="JI2253"/>
      <c r="JJ2253"/>
      <c r="JK2253"/>
      <c r="JL2253"/>
      <c r="JM2253"/>
      <c r="JN2253"/>
      <c r="JO2253"/>
      <c r="JP2253"/>
      <c r="JQ2253"/>
      <c r="JR2253"/>
      <c r="JS2253"/>
      <c r="JT2253"/>
      <c r="JU2253"/>
      <c r="JV2253"/>
      <c r="JW2253"/>
      <c r="JX2253"/>
    </row>
    <row r="2254" spans="1:284">
      <c r="A2254" s="97" t="s">
        <v>2276</v>
      </c>
      <c r="B2254" s="97" t="s">
        <v>121</v>
      </c>
      <c r="C2254" s="95">
        <v>3208</v>
      </c>
      <c r="D2254" s="95" t="s">
        <v>128</v>
      </c>
      <c r="E2254" s="129">
        <f>VLOOKUP($C2254,'2021-22 School Level AAFTE'!$C:$Z,11,FALSE)</f>
        <v>0.20663333333333334</v>
      </c>
      <c r="F2254" s="129" t="str">
        <f>VLOOKUP($C2254,'2021-22 School Level AAFTE'!$C:$Z,8,FALSE)</f>
        <v>No</v>
      </c>
      <c r="G2254" s="129" t="str">
        <f>VLOOKUP($C2254,'2021-22 School Level AAFTE'!$C:$Z,12,FALSE)</f>
        <v>No</v>
      </c>
      <c r="H2254" s="127">
        <f>VLOOKUP($C2254,'2021-22 School Level AAFTE'!$C:$I,7,FALSE)</f>
        <v>290.51</v>
      </c>
      <c r="I2254" s="112">
        <f>IFERROR(IF(OR(G2254="yes",F2254= "yes"),VLOOKUP(C2254,Summary!$B:$J,6,0),0),0)</f>
        <v>0</v>
      </c>
      <c r="J2254" s="111">
        <f t="shared" si="441"/>
        <v>0</v>
      </c>
      <c r="K2254" s="91">
        <f>VLOOKUP($A2254,'2022-23 Salary &amp; Benefits'!$A:$I,3,FALSE)</f>
        <v>1.03</v>
      </c>
      <c r="L2254" s="91">
        <f>VLOOKUP($A2254,'2022-23 Salary &amp; Benefits'!$A:$I,4,FALSE)</f>
        <v>1.03</v>
      </c>
      <c r="M2254" s="101">
        <f t="shared" si="436"/>
        <v>0</v>
      </c>
      <c r="N2254" s="24">
        <v>15</v>
      </c>
      <c r="O2254" s="26">
        <f t="shared" si="439"/>
        <v>0</v>
      </c>
      <c r="P2254" s="24">
        <v>1.1000000000000001</v>
      </c>
      <c r="Q2254" s="24">
        <v>36</v>
      </c>
      <c r="R2254" s="27">
        <f t="shared" si="440"/>
        <v>0</v>
      </c>
      <c r="S2254" s="102">
        <f t="shared" si="442"/>
        <v>0</v>
      </c>
      <c r="T2254" s="21">
        <f>VLOOKUP($A2254,'2022-23 Salary &amp; Benefits'!$A:$I,5,FALSE)</f>
        <v>68937</v>
      </c>
      <c r="U2254" s="21">
        <f>VLOOKUP($A2254,'2022-23 Salary &amp; Benefits'!$A:$I,6,FALSE)</f>
        <v>72728</v>
      </c>
      <c r="V2254" s="22">
        <f t="shared" si="443"/>
        <v>0</v>
      </c>
      <c r="W2254" s="22">
        <f t="shared" si="444"/>
        <v>0</v>
      </c>
      <c r="X2254" s="22">
        <f>'2022-23 Salary &amp; Benefits'!$G$6</f>
        <v>12558.24</v>
      </c>
      <c r="Y2254" s="23">
        <f>'2022-23 Salary &amp; Benefits'!$H$6</f>
        <v>0.2298</v>
      </c>
      <c r="Z2254" s="23">
        <f>'2022-23 Salary &amp; Benefits'!$I$6</f>
        <v>0.22339999999999999</v>
      </c>
      <c r="AA2254" s="22">
        <f t="shared" si="445"/>
        <v>0</v>
      </c>
      <c r="AB2254" s="22">
        <f t="shared" si="446"/>
        <v>0</v>
      </c>
      <c r="AC2254" s="22">
        <f t="shared" si="447"/>
        <v>0</v>
      </c>
      <c r="AD2254" s="22">
        <f t="shared" si="437"/>
        <v>0</v>
      </c>
      <c r="AE2254" s="22">
        <f t="shared" si="438"/>
        <v>0</v>
      </c>
      <c r="AF2254" s="19" t="str">
        <f>VLOOKUP(C2254,'2021-22 School Level AAFTE'!C:N,12,FALSE)</f>
        <v>No</v>
      </c>
      <c r="AG2254" s="56"/>
      <c r="AH2254" s="56"/>
      <c r="AI2254" s="56"/>
      <c r="AJ2254" s="56"/>
      <c r="AK2254" s="56"/>
      <c r="AL2254" s="56"/>
      <c r="AM2254" s="56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  <c r="HX2254"/>
      <c r="HY2254"/>
      <c r="HZ2254"/>
      <c r="IA2254"/>
      <c r="IB2254"/>
      <c r="IC2254"/>
      <c r="ID2254"/>
      <c r="IE2254"/>
      <c r="IF2254"/>
      <c r="IG2254"/>
      <c r="IH2254"/>
      <c r="II2254"/>
      <c r="IJ2254"/>
      <c r="IK2254"/>
      <c r="IL2254"/>
      <c r="IM2254"/>
      <c r="IN2254"/>
      <c r="IO2254"/>
      <c r="IP2254"/>
      <c r="IQ2254"/>
      <c r="IR2254"/>
      <c r="IS2254"/>
      <c r="IT2254"/>
      <c r="IU2254"/>
      <c r="IV2254"/>
      <c r="IW2254"/>
      <c r="IX2254"/>
      <c r="IY2254"/>
      <c r="IZ2254"/>
      <c r="JA2254"/>
      <c r="JB2254"/>
      <c r="JC2254"/>
      <c r="JD2254"/>
      <c r="JE2254"/>
      <c r="JF2254"/>
      <c r="JG2254"/>
      <c r="JH2254"/>
      <c r="JI2254"/>
      <c r="JJ2254"/>
      <c r="JK2254"/>
      <c r="JL2254"/>
      <c r="JM2254"/>
      <c r="JN2254"/>
      <c r="JO2254"/>
      <c r="JP2254"/>
      <c r="JQ2254"/>
      <c r="JR2254"/>
      <c r="JS2254"/>
      <c r="JT2254"/>
      <c r="JU2254"/>
      <c r="JV2254"/>
      <c r="JW2254"/>
      <c r="JX2254"/>
    </row>
    <row r="2255" spans="1:284">
      <c r="A2255" s="97" t="s">
        <v>2276</v>
      </c>
      <c r="B2255" s="97" t="s">
        <v>121</v>
      </c>
      <c r="C2255" s="95">
        <v>3209</v>
      </c>
      <c r="D2255" s="95" t="s">
        <v>129</v>
      </c>
      <c r="E2255" s="129">
        <f>VLOOKUP($C2255,'2021-22 School Level AAFTE'!$C:$Z,11,FALSE)</f>
        <v>0.65096666666666669</v>
      </c>
      <c r="F2255" s="129" t="str">
        <f>VLOOKUP($C2255,'2021-22 School Level AAFTE'!$C:$Z,8,FALSE)</f>
        <v>Yes</v>
      </c>
      <c r="G2255" s="129" t="str">
        <f>VLOOKUP($C2255,'2021-22 School Level AAFTE'!$C:$Z,12,FALSE)</f>
        <v>No</v>
      </c>
      <c r="H2255" s="127">
        <f>VLOOKUP($C2255,'2021-22 School Level AAFTE'!$C:$I,7,FALSE)</f>
        <v>503.62</v>
      </c>
      <c r="I2255" s="112">
        <f>IFERROR(IF(OR(G2255="yes",F2255= "yes"),VLOOKUP(C2255,Summary!$B:$J,6,0),0),0)</f>
        <v>0</v>
      </c>
      <c r="J2255" s="111">
        <f t="shared" si="441"/>
        <v>503.62</v>
      </c>
      <c r="K2255" s="91">
        <f>VLOOKUP($A2255,'2022-23 Salary &amp; Benefits'!$A:$I,3,FALSE)</f>
        <v>1.03</v>
      </c>
      <c r="L2255" s="91">
        <f>VLOOKUP($A2255,'2022-23 Salary &amp; Benefits'!$A:$I,4,FALSE)</f>
        <v>1.03</v>
      </c>
      <c r="M2255" s="101">
        <f t="shared" si="436"/>
        <v>503.62</v>
      </c>
      <c r="N2255" s="24">
        <v>15</v>
      </c>
      <c r="O2255" s="26">
        <f t="shared" si="439"/>
        <v>33.574666666666666</v>
      </c>
      <c r="P2255" s="24">
        <v>1.1000000000000001</v>
      </c>
      <c r="Q2255" s="24">
        <v>36</v>
      </c>
      <c r="R2255" s="27">
        <f t="shared" si="440"/>
        <v>1329.5568000000001</v>
      </c>
      <c r="S2255" s="102">
        <f t="shared" si="442"/>
        <v>1.4770000000000001</v>
      </c>
      <c r="T2255" s="21">
        <f>VLOOKUP($A2255,'2022-23 Salary &amp; Benefits'!$A:$I,5,FALSE)</f>
        <v>68937</v>
      </c>
      <c r="U2255" s="21">
        <f>VLOOKUP($A2255,'2022-23 Salary &amp; Benefits'!$A:$I,6,FALSE)</f>
        <v>72728</v>
      </c>
      <c r="V2255" s="22">
        <f t="shared" si="443"/>
        <v>104874.55</v>
      </c>
      <c r="W2255" s="22">
        <f t="shared" si="444"/>
        <v>5767.2799999999988</v>
      </c>
      <c r="X2255" s="22">
        <f>'2022-23 Salary &amp; Benefits'!$G$6</f>
        <v>12558.24</v>
      </c>
      <c r="Y2255" s="23">
        <f>'2022-23 Salary &amp; Benefits'!$H$6</f>
        <v>0.2298</v>
      </c>
      <c r="Z2255" s="23">
        <f>'2022-23 Salary &amp; Benefits'!$I$6</f>
        <v>0.22339999999999999</v>
      </c>
      <c r="AA2255" s="22">
        <f t="shared" si="445"/>
        <v>43937.1</v>
      </c>
      <c r="AB2255" s="22">
        <f t="shared" si="446"/>
        <v>1844.03</v>
      </c>
      <c r="AC2255" s="22">
        <f t="shared" si="447"/>
        <v>411.96</v>
      </c>
      <c r="AD2255" s="22">
        <f t="shared" si="437"/>
        <v>2255.9899999999998</v>
      </c>
      <c r="AE2255" s="22">
        <f t="shared" si="438"/>
        <v>156834.91999999998</v>
      </c>
      <c r="AF2255" s="19" t="str">
        <f>VLOOKUP(C2255,'2021-22 School Level AAFTE'!C:N,12,FALSE)</f>
        <v>No</v>
      </c>
      <c r="AG2255" s="56"/>
      <c r="AH2255" s="56"/>
      <c r="AI2255" s="56"/>
      <c r="AJ2255" s="56"/>
      <c r="AK2255" s="56"/>
      <c r="AL2255" s="56"/>
      <c r="AM2255" s="56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  <c r="HX2255"/>
      <c r="HY2255"/>
      <c r="HZ2255"/>
      <c r="IA2255"/>
      <c r="IB2255"/>
      <c r="IC2255"/>
      <c r="ID2255"/>
      <c r="IE2255"/>
      <c r="IF2255"/>
      <c r="IG2255"/>
      <c r="IH2255"/>
      <c r="II2255"/>
      <c r="IJ2255"/>
      <c r="IK2255"/>
      <c r="IL2255"/>
      <c r="IM2255"/>
      <c r="IN2255"/>
      <c r="IO2255"/>
      <c r="IP2255"/>
      <c r="IQ2255"/>
      <c r="IR2255"/>
      <c r="IS2255"/>
      <c r="IT2255"/>
      <c r="IU2255"/>
      <c r="IV2255"/>
      <c r="IW2255"/>
      <c r="IX2255"/>
      <c r="IY2255"/>
      <c r="IZ2255"/>
      <c r="JA2255"/>
      <c r="JB2255"/>
      <c r="JC2255"/>
      <c r="JD2255"/>
      <c r="JE2255"/>
      <c r="JF2255"/>
      <c r="JG2255"/>
      <c r="JH2255"/>
      <c r="JI2255"/>
      <c r="JJ2255"/>
      <c r="JK2255"/>
      <c r="JL2255"/>
      <c r="JM2255"/>
      <c r="JN2255"/>
      <c r="JO2255"/>
      <c r="JP2255"/>
      <c r="JQ2255"/>
      <c r="JR2255"/>
      <c r="JS2255"/>
      <c r="JT2255"/>
      <c r="JU2255"/>
      <c r="JV2255"/>
      <c r="JW2255"/>
      <c r="JX2255"/>
    </row>
    <row r="2256" spans="1:284">
      <c r="A2256" s="97" t="s">
        <v>2276</v>
      </c>
      <c r="B2256" s="97" t="s">
        <v>121</v>
      </c>
      <c r="C2256" s="95">
        <v>3210</v>
      </c>
      <c r="D2256" s="95" t="s">
        <v>130</v>
      </c>
      <c r="E2256" s="129">
        <f>VLOOKUP($C2256,'2021-22 School Level AAFTE'!$C:$Z,11,FALSE)</f>
        <v>0.58566666666666667</v>
      </c>
      <c r="F2256" s="129" t="str">
        <f>VLOOKUP($C2256,'2021-22 School Level AAFTE'!$C:$Z,8,FALSE)</f>
        <v>Yes</v>
      </c>
      <c r="G2256" s="129" t="str">
        <f>VLOOKUP($C2256,'2021-22 School Level AAFTE'!$C:$Z,12,FALSE)</f>
        <v>No</v>
      </c>
      <c r="H2256" s="127">
        <f>VLOOKUP($C2256,'2021-22 School Level AAFTE'!$C:$I,7,FALSE)</f>
        <v>627.97</v>
      </c>
      <c r="I2256" s="112">
        <f>IFERROR(IF(OR(G2256="yes",F2256= "yes"),VLOOKUP(C2256,Summary!$B:$J,6,0),0),0)</f>
        <v>0</v>
      </c>
      <c r="J2256" s="111">
        <f t="shared" si="441"/>
        <v>627.97</v>
      </c>
      <c r="K2256" s="91">
        <f>VLOOKUP($A2256,'2022-23 Salary &amp; Benefits'!$A:$I,3,FALSE)</f>
        <v>1.03</v>
      </c>
      <c r="L2256" s="91">
        <f>VLOOKUP($A2256,'2022-23 Salary &amp; Benefits'!$A:$I,4,FALSE)</f>
        <v>1.03</v>
      </c>
      <c r="M2256" s="101">
        <f t="shared" si="436"/>
        <v>627.97</v>
      </c>
      <c r="N2256" s="24">
        <v>15</v>
      </c>
      <c r="O2256" s="26">
        <f t="shared" si="439"/>
        <v>41.864666666666672</v>
      </c>
      <c r="P2256" s="24">
        <v>1.1000000000000001</v>
      </c>
      <c r="Q2256" s="24">
        <v>36</v>
      </c>
      <c r="R2256" s="27">
        <f t="shared" si="440"/>
        <v>1657.8408000000002</v>
      </c>
      <c r="S2256" s="102">
        <f t="shared" si="442"/>
        <v>1.8420000000000001</v>
      </c>
      <c r="T2256" s="21">
        <f>VLOOKUP($A2256,'2022-23 Salary &amp; Benefits'!$A:$I,5,FALSE)</f>
        <v>68937</v>
      </c>
      <c r="U2256" s="21">
        <f>VLOOKUP($A2256,'2022-23 Salary &amp; Benefits'!$A:$I,6,FALSE)</f>
        <v>72728</v>
      </c>
      <c r="V2256" s="22">
        <f t="shared" si="443"/>
        <v>130791.41</v>
      </c>
      <c r="W2256" s="22">
        <f t="shared" si="444"/>
        <v>7192.5199999999895</v>
      </c>
      <c r="X2256" s="22">
        <f>'2022-23 Salary &amp; Benefits'!$G$6</f>
        <v>12558.24</v>
      </c>
      <c r="Y2256" s="23">
        <f>'2022-23 Salary &amp; Benefits'!$H$6</f>
        <v>0.2298</v>
      </c>
      <c r="Z2256" s="23">
        <f>'2022-23 Salary &amp; Benefits'!$I$6</f>
        <v>0.22339999999999999</v>
      </c>
      <c r="AA2256" s="22">
        <f t="shared" si="445"/>
        <v>54794.95</v>
      </c>
      <c r="AB2256" s="22">
        <f t="shared" si="446"/>
        <v>2299.73</v>
      </c>
      <c r="AC2256" s="22">
        <f t="shared" si="447"/>
        <v>513.76</v>
      </c>
      <c r="AD2256" s="22">
        <f t="shared" si="437"/>
        <v>2813.49</v>
      </c>
      <c r="AE2256" s="22">
        <f t="shared" si="438"/>
        <v>195592.36999999997</v>
      </c>
      <c r="AF2256" s="19" t="str">
        <f>VLOOKUP(C2256,'2021-22 School Level AAFTE'!C:N,12,FALSE)</f>
        <v>No</v>
      </c>
      <c r="AG2256" s="56"/>
      <c r="AH2256" s="56"/>
      <c r="AI2256" s="56"/>
      <c r="AJ2256" s="56"/>
      <c r="AK2256" s="56"/>
      <c r="AL2256" s="56"/>
      <c r="AM2256" s="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  <c r="HX2256"/>
      <c r="HY2256"/>
      <c r="HZ2256"/>
      <c r="IA2256"/>
      <c r="IB2256"/>
      <c r="IC2256"/>
      <c r="ID2256"/>
      <c r="IE2256"/>
      <c r="IF2256"/>
      <c r="IG2256"/>
      <c r="IH2256"/>
      <c r="II2256"/>
      <c r="IJ2256"/>
      <c r="IK2256"/>
      <c r="IL2256"/>
      <c r="IM2256"/>
      <c r="IN2256"/>
      <c r="IO2256"/>
      <c r="IP2256"/>
      <c r="IQ2256"/>
      <c r="IR2256"/>
      <c r="IS2256"/>
      <c r="IT2256"/>
      <c r="IU2256"/>
      <c r="IV2256"/>
      <c r="IW2256"/>
      <c r="IX2256"/>
      <c r="IY2256"/>
      <c r="IZ2256"/>
      <c r="JA2256"/>
      <c r="JB2256"/>
      <c r="JC2256"/>
      <c r="JD2256"/>
      <c r="JE2256"/>
      <c r="JF2256"/>
      <c r="JG2256"/>
      <c r="JH2256"/>
      <c r="JI2256"/>
      <c r="JJ2256"/>
      <c r="JK2256"/>
      <c r="JL2256"/>
      <c r="JM2256"/>
      <c r="JN2256"/>
      <c r="JO2256"/>
      <c r="JP2256"/>
      <c r="JQ2256"/>
      <c r="JR2256"/>
      <c r="JS2256"/>
      <c r="JT2256"/>
      <c r="JU2256"/>
      <c r="JV2256"/>
      <c r="JW2256"/>
      <c r="JX2256"/>
    </row>
    <row r="2257" spans="1:284">
      <c r="A2257" s="97" t="s">
        <v>2276</v>
      </c>
      <c r="B2257" s="97" t="s">
        <v>121</v>
      </c>
      <c r="C2257" s="95">
        <v>3269</v>
      </c>
      <c r="D2257" s="95" t="s">
        <v>2946</v>
      </c>
      <c r="E2257" s="129">
        <f>VLOOKUP($C2257,'2021-22 School Level AAFTE'!$C:$Z,11,FALSE)</f>
        <v>0.18206666666666668</v>
      </c>
      <c r="F2257" s="129" t="str">
        <f>VLOOKUP($C2257,'2021-22 School Level AAFTE'!$C:$Z,8,FALSE)</f>
        <v>No</v>
      </c>
      <c r="G2257" s="129" t="str">
        <f>VLOOKUP($C2257,'2021-22 School Level AAFTE'!$C:$Z,12,FALSE)</f>
        <v>No</v>
      </c>
      <c r="H2257" s="127">
        <f>VLOOKUP($C2257,'2021-22 School Level AAFTE'!$C:$I,7,FALSE)</f>
        <v>0.8</v>
      </c>
      <c r="I2257" s="112">
        <f>IFERROR(IF(OR(G2257="yes",F2257= "yes"),VLOOKUP(C2257,Summary!$B:$J,6,0),0),0)</f>
        <v>0</v>
      </c>
      <c r="J2257" s="111">
        <f t="shared" si="441"/>
        <v>0</v>
      </c>
      <c r="K2257" s="91">
        <f>VLOOKUP($A2257,'2022-23 Salary &amp; Benefits'!$A:$I,3,FALSE)</f>
        <v>1.03</v>
      </c>
      <c r="L2257" s="91">
        <f>VLOOKUP($A2257,'2022-23 Salary &amp; Benefits'!$A:$I,4,FALSE)</f>
        <v>1.03</v>
      </c>
      <c r="M2257" s="101">
        <f t="shared" si="436"/>
        <v>0</v>
      </c>
      <c r="N2257" s="24">
        <v>15</v>
      </c>
      <c r="O2257" s="26">
        <f t="shared" si="439"/>
        <v>0</v>
      </c>
      <c r="P2257" s="24">
        <v>1.1000000000000001</v>
      </c>
      <c r="Q2257" s="24">
        <v>36</v>
      </c>
      <c r="R2257" s="27">
        <f t="shared" si="440"/>
        <v>0</v>
      </c>
      <c r="S2257" s="102">
        <f t="shared" si="442"/>
        <v>0</v>
      </c>
      <c r="T2257" s="21">
        <f>VLOOKUP($A2257,'2022-23 Salary &amp; Benefits'!$A:$I,5,FALSE)</f>
        <v>68937</v>
      </c>
      <c r="U2257" s="21">
        <f>VLOOKUP($A2257,'2022-23 Salary &amp; Benefits'!$A:$I,6,FALSE)</f>
        <v>72728</v>
      </c>
      <c r="V2257" s="22">
        <f t="shared" si="443"/>
        <v>0</v>
      </c>
      <c r="W2257" s="22">
        <f t="shared" si="444"/>
        <v>0</v>
      </c>
      <c r="X2257" s="22">
        <f>'2022-23 Salary &amp; Benefits'!$G$6</f>
        <v>12558.24</v>
      </c>
      <c r="Y2257" s="23">
        <f>'2022-23 Salary &amp; Benefits'!$H$6</f>
        <v>0.2298</v>
      </c>
      <c r="Z2257" s="23">
        <f>'2022-23 Salary &amp; Benefits'!$I$6</f>
        <v>0.22339999999999999</v>
      </c>
      <c r="AA2257" s="22">
        <f t="shared" si="445"/>
        <v>0</v>
      </c>
      <c r="AB2257" s="22">
        <f t="shared" si="446"/>
        <v>0</v>
      </c>
      <c r="AC2257" s="22">
        <f t="shared" si="447"/>
        <v>0</v>
      </c>
      <c r="AD2257" s="22">
        <f t="shared" si="437"/>
        <v>0</v>
      </c>
      <c r="AE2257" s="22">
        <f t="shared" si="438"/>
        <v>0</v>
      </c>
      <c r="AF2257" s="19" t="str">
        <f>VLOOKUP(C2257,'2021-22 School Level AAFTE'!C:N,12,FALSE)</f>
        <v>No</v>
      </c>
      <c r="AG2257" s="56"/>
      <c r="AH2257" s="56"/>
      <c r="AI2257" s="56"/>
      <c r="AJ2257" s="56"/>
      <c r="AK2257" s="56"/>
      <c r="AL2257" s="56"/>
      <c r="AM2257" s="56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  <c r="HX2257"/>
      <c r="HY2257"/>
      <c r="HZ2257"/>
      <c r="IA2257"/>
      <c r="IB2257"/>
      <c r="IC2257"/>
      <c r="ID2257"/>
      <c r="IE2257"/>
      <c r="IF2257"/>
      <c r="IG2257"/>
      <c r="IH2257"/>
      <c r="II2257"/>
      <c r="IJ2257"/>
      <c r="IK2257"/>
      <c r="IL2257"/>
      <c r="IM2257"/>
      <c r="IN2257"/>
      <c r="IO2257"/>
      <c r="IP2257"/>
      <c r="IQ2257"/>
      <c r="IR2257"/>
      <c r="IS2257"/>
      <c r="IT2257"/>
      <c r="IU2257"/>
      <c r="IV2257"/>
      <c r="IW2257"/>
      <c r="IX2257"/>
      <c r="IY2257"/>
      <c r="IZ2257"/>
      <c r="JA2257"/>
      <c r="JB2257"/>
      <c r="JC2257"/>
      <c r="JD2257"/>
      <c r="JE2257"/>
      <c r="JF2257"/>
      <c r="JG2257"/>
      <c r="JH2257"/>
      <c r="JI2257"/>
      <c r="JJ2257"/>
      <c r="JK2257"/>
      <c r="JL2257"/>
      <c r="JM2257"/>
      <c r="JN2257"/>
      <c r="JO2257"/>
      <c r="JP2257"/>
      <c r="JQ2257"/>
      <c r="JR2257"/>
      <c r="JS2257"/>
      <c r="JT2257"/>
      <c r="JU2257"/>
      <c r="JV2257"/>
      <c r="JW2257"/>
      <c r="JX2257"/>
    </row>
    <row r="2258" spans="1:284">
      <c r="A2258" s="97" t="s">
        <v>2276</v>
      </c>
      <c r="B2258" s="97" t="s">
        <v>121</v>
      </c>
      <c r="C2258" s="95">
        <v>3370</v>
      </c>
      <c r="D2258" s="95" t="s">
        <v>131</v>
      </c>
      <c r="E2258" s="129">
        <f>VLOOKUP($C2258,'2021-22 School Level AAFTE'!$C:$Z,11,FALSE)</f>
        <v>0.6673</v>
      </c>
      <c r="F2258" s="129" t="str">
        <f>VLOOKUP($C2258,'2021-22 School Level AAFTE'!$C:$Z,8,FALSE)</f>
        <v>Yes</v>
      </c>
      <c r="G2258" s="129" t="str">
        <f>VLOOKUP($C2258,'2021-22 School Level AAFTE'!$C:$Z,12,FALSE)</f>
        <v>No</v>
      </c>
      <c r="H2258" s="127">
        <f>VLOOKUP($C2258,'2021-22 School Level AAFTE'!$C:$I,7,FALSE)</f>
        <v>416.06</v>
      </c>
      <c r="I2258" s="112">
        <f>IFERROR(IF(OR(G2258="yes",F2258= "yes"),VLOOKUP(C2258,Summary!$B:$J,6,0),0),0)</f>
        <v>0</v>
      </c>
      <c r="J2258" s="111">
        <f t="shared" si="441"/>
        <v>416.06</v>
      </c>
      <c r="K2258" s="91">
        <f>VLOOKUP($A2258,'2022-23 Salary &amp; Benefits'!$A:$I,3,FALSE)</f>
        <v>1.03</v>
      </c>
      <c r="L2258" s="91">
        <f>VLOOKUP($A2258,'2022-23 Salary &amp; Benefits'!$A:$I,4,FALSE)</f>
        <v>1.03</v>
      </c>
      <c r="M2258" s="101">
        <f t="shared" si="436"/>
        <v>416.06</v>
      </c>
      <c r="N2258" s="24">
        <v>15</v>
      </c>
      <c r="O2258" s="26">
        <f t="shared" si="439"/>
        <v>27.737333333333332</v>
      </c>
      <c r="P2258" s="24">
        <v>1.1000000000000001</v>
      </c>
      <c r="Q2258" s="24">
        <v>36</v>
      </c>
      <c r="R2258" s="27">
        <f t="shared" si="440"/>
        <v>1098.3984</v>
      </c>
      <c r="S2258" s="102">
        <f t="shared" si="442"/>
        <v>1.22</v>
      </c>
      <c r="T2258" s="21">
        <f>VLOOKUP($A2258,'2022-23 Salary &amp; Benefits'!$A:$I,5,FALSE)</f>
        <v>68937</v>
      </c>
      <c r="U2258" s="21">
        <f>VLOOKUP($A2258,'2022-23 Salary &amp; Benefits'!$A:$I,6,FALSE)</f>
        <v>72728</v>
      </c>
      <c r="V2258" s="22">
        <f t="shared" si="443"/>
        <v>86626.23</v>
      </c>
      <c r="W2258" s="22">
        <f t="shared" si="444"/>
        <v>4763.7700000000041</v>
      </c>
      <c r="X2258" s="22">
        <f>'2022-23 Salary &amp; Benefits'!$G$6</f>
        <v>12558.24</v>
      </c>
      <c r="Y2258" s="23">
        <f>'2022-23 Salary &amp; Benefits'!$H$6</f>
        <v>0.2298</v>
      </c>
      <c r="Z2258" s="23">
        <f>'2022-23 Salary &amp; Benefits'!$I$6</f>
        <v>0.22339999999999999</v>
      </c>
      <c r="AA2258" s="22">
        <f t="shared" si="445"/>
        <v>36291.99</v>
      </c>
      <c r="AB2258" s="22">
        <f t="shared" si="446"/>
        <v>1523.17</v>
      </c>
      <c r="AC2258" s="22">
        <f t="shared" si="447"/>
        <v>340.28</v>
      </c>
      <c r="AD2258" s="22">
        <f t="shared" si="437"/>
        <v>1863.45</v>
      </c>
      <c r="AE2258" s="22">
        <f t="shared" si="438"/>
        <v>129545.44</v>
      </c>
      <c r="AF2258" s="19" t="str">
        <f>VLOOKUP(C2258,'2021-22 School Level AAFTE'!C:N,12,FALSE)</f>
        <v>No</v>
      </c>
      <c r="AG2258" s="56"/>
      <c r="AH2258" s="56"/>
      <c r="AI2258" s="56"/>
      <c r="AJ2258" s="56"/>
      <c r="AK2258" s="56"/>
      <c r="AL2258" s="56"/>
      <c r="AM2258" s="56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  <c r="HX2258"/>
      <c r="HY2258"/>
      <c r="HZ2258"/>
      <c r="IA2258"/>
      <c r="IB2258"/>
      <c r="IC2258"/>
      <c r="ID2258"/>
      <c r="IE2258"/>
      <c r="IF2258"/>
      <c r="IG2258"/>
      <c r="IH2258"/>
      <c r="II2258"/>
      <c r="IJ2258"/>
      <c r="IK2258"/>
      <c r="IL2258"/>
      <c r="IM2258"/>
      <c r="IN2258"/>
      <c r="IO2258"/>
      <c r="IP2258"/>
      <c r="IQ2258"/>
      <c r="IR2258"/>
      <c r="IS2258"/>
      <c r="IT2258"/>
      <c r="IU2258"/>
      <c r="IV2258"/>
      <c r="IW2258"/>
      <c r="IX2258"/>
      <c r="IY2258"/>
      <c r="IZ2258"/>
      <c r="JA2258"/>
      <c r="JB2258"/>
      <c r="JC2258"/>
      <c r="JD2258"/>
      <c r="JE2258"/>
      <c r="JF2258"/>
      <c r="JG2258"/>
      <c r="JH2258"/>
      <c r="JI2258"/>
      <c r="JJ2258"/>
      <c r="JK2258"/>
      <c r="JL2258"/>
      <c r="JM2258"/>
      <c r="JN2258"/>
      <c r="JO2258"/>
      <c r="JP2258"/>
      <c r="JQ2258"/>
      <c r="JR2258"/>
      <c r="JS2258"/>
      <c r="JT2258"/>
      <c r="JU2258"/>
      <c r="JV2258"/>
      <c r="JW2258"/>
      <c r="JX2258"/>
    </row>
    <row r="2259" spans="1:284">
      <c r="A2259" s="56" t="s">
        <v>2276</v>
      </c>
      <c r="B2259" s="97" t="s">
        <v>121</v>
      </c>
      <c r="C2259" s="95">
        <v>4105</v>
      </c>
      <c r="D2259" s="56" t="s">
        <v>132</v>
      </c>
      <c r="E2259" s="129">
        <f>VLOOKUP($C2259,'2021-22 School Level AAFTE'!$C:$Z,11,FALSE)</f>
        <v>0.22136666666666663</v>
      </c>
      <c r="F2259" s="129" t="str">
        <f>VLOOKUP($C2259,'2021-22 School Level AAFTE'!$C:$Z,8,FALSE)</f>
        <v>No</v>
      </c>
      <c r="G2259" s="129" t="str">
        <f>VLOOKUP($C2259,'2021-22 School Level AAFTE'!$C:$Z,12,FALSE)</f>
        <v>No</v>
      </c>
      <c r="H2259" s="127">
        <f>VLOOKUP($C2259,'2021-22 School Level AAFTE'!$C:$I,7,FALSE)</f>
        <v>197.37</v>
      </c>
      <c r="I2259" s="112">
        <f>IFERROR(IF(OR(G2259="yes",F2259= "yes"),VLOOKUP(C2259,Summary!$B:$J,6,0),0),0)</f>
        <v>0</v>
      </c>
      <c r="J2259" s="111">
        <f t="shared" si="441"/>
        <v>0</v>
      </c>
      <c r="K2259" s="91">
        <f>VLOOKUP($A2259,'2022-23 Salary &amp; Benefits'!$A:$I,3,FALSE)</f>
        <v>1.03</v>
      </c>
      <c r="L2259" s="91">
        <f>VLOOKUP($A2259,'2022-23 Salary &amp; Benefits'!$A:$I,4,FALSE)</f>
        <v>1.03</v>
      </c>
      <c r="M2259" s="101">
        <f t="shared" si="436"/>
        <v>0</v>
      </c>
      <c r="N2259" s="24">
        <v>15</v>
      </c>
      <c r="O2259" s="26">
        <f t="shared" si="439"/>
        <v>0</v>
      </c>
      <c r="P2259" s="24">
        <v>1.1000000000000001</v>
      </c>
      <c r="Q2259" s="24">
        <v>36</v>
      </c>
      <c r="R2259" s="27">
        <f t="shared" si="440"/>
        <v>0</v>
      </c>
      <c r="S2259" s="102">
        <f t="shared" si="442"/>
        <v>0</v>
      </c>
      <c r="T2259" s="21">
        <f>VLOOKUP($A2259,'2022-23 Salary &amp; Benefits'!$A:$I,5,FALSE)</f>
        <v>68937</v>
      </c>
      <c r="U2259" s="21">
        <f>VLOOKUP($A2259,'2022-23 Salary &amp; Benefits'!$A:$I,6,FALSE)</f>
        <v>72728</v>
      </c>
      <c r="V2259" s="22">
        <f t="shared" si="443"/>
        <v>0</v>
      </c>
      <c r="W2259" s="22">
        <f t="shared" si="444"/>
        <v>0</v>
      </c>
      <c r="X2259" s="22">
        <f>'2022-23 Salary &amp; Benefits'!$G$6</f>
        <v>12558.24</v>
      </c>
      <c r="Y2259" s="23">
        <f>'2022-23 Salary &amp; Benefits'!$H$6</f>
        <v>0.2298</v>
      </c>
      <c r="Z2259" s="23">
        <f>'2022-23 Salary &amp; Benefits'!$I$6</f>
        <v>0.22339999999999999</v>
      </c>
      <c r="AA2259" s="22">
        <f t="shared" si="445"/>
        <v>0</v>
      </c>
      <c r="AB2259" s="22">
        <f t="shared" si="446"/>
        <v>0</v>
      </c>
      <c r="AC2259" s="22">
        <f t="shared" si="447"/>
        <v>0</v>
      </c>
      <c r="AD2259" s="22">
        <f t="shared" si="437"/>
        <v>0</v>
      </c>
      <c r="AE2259" s="22">
        <f t="shared" si="438"/>
        <v>0</v>
      </c>
      <c r="AF2259" s="19" t="str">
        <f>VLOOKUP(C2259,'2021-22 School Level AAFTE'!C:N,12,FALSE)</f>
        <v>No</v>
      </c>
      <c r="AG2259" s="56"/>
      <c r="AH2259" s="56"/>
      <c r="AI2259" s="56"/>
      <c r="AJ2259" s="56"/>
      <c r="AK2259" s="56"/>
      <c r="AL2259" s="56"/>
      <c r="AM2259" s="56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  <c r="IO2259"/>
      <c r="IP2259"/>
      <c r="IQ2259"/>
      <c r="IR2259"/>
      <c r="IS2259"/>
      <c r="IT2259"/>
      <c r="IU2259"/>
      <c r="IV2259"/>
      <c r="IW2259"/>
      <c r="IX2259"/>
      <c r="IY2259"/>
      <c r="IZ2259"/>
      <c r="JA2259"/>
      <c r="JB2259"/>
      <c r="JC2259"/>
      <c r="JD2259"/>
      <c r="JE2259"/>
      <c r="JF2259"/>
      <c r="JG2259"/>
      <c r="JH2259"/>
      <c r="JI2259"/>
      <c r="JJ2259"/>
      <c r="JK2259"/>
      <c r="JL2259"/>
      <c r="JM2259"/>
      <c r="JN2259"/>
      <c r="JO2259"/>
      <c r="JP2259"/>
      <c r="JQ2259"/>
      <c r="JR2259"/>
      <c r="JS2259"/>
      <c r="JT2259"/>
      <c r="JU2259"/>
      <c r="JV2259"/>
      <c r="JW2259"/>
      <c r="JX2259"/>
    </row>
    <row r="2260" spans="1:284">
      <c r="A2260" s="97" t="s">
        <v>2276</v>
      </c>
      <c r="B2260" s="97" t="s">
        <v>121</v>
      </c>
      <c r="C2260" s="95">
        <v>4423</v>
      </c>
      <c r="D2260" s="95" t="s">
        <v>133</v>
      </c>
      <c r="E2260" s="129">
        <f>VLOOKUP($C2260,'2021-22 School Level AAFTE'!$C:$Z,11,FALSE)</f>
        <v>0.53053333333333341</v>
      </c>
      <c r="F2260" s="129" t="str">
        <f>VLOOKUP($C2260,'2021-22 School Level AAFTE'!$C:$Z,8,FALSE)</f>
        <v>Yes</v>
      </c>
      <c r="G2260" s="129" t="str">
        <f>VLOOKUP($C2260,'2021-22 School Level AAFTE'!$C:$Z,12,FALSE)</f>
        <v>No</v>
      </c>
      <c r="H2260" s="127">
        <f>VLOOKUP($C2260,'2021-22 School Level AAFTE'!$C:$I,7,FALSE)</f>
        <v>401.42</v>
      </c>
      <c r="I2260" s="112">
        <f>IFERROR(IF(OR(G2260="yes",F2260= "yes"),VLOOKUP(C2260,Summary!$B:$J,6,0),0),0)</f>
        <v>0</v>
      </c>
      <c r="J2260" s="111">
        <f t="shared" si="441"/>
        <v>401.42</v>
      </c>
      <c r="K2260" s="91">
        <f>VLOOKUP($A2260,'2022-23 Salary &amp; Benefits'!$A:$I,3,FALSE)</f>
        <v>1.03</v>
      </c>
      <c r="L2260" s="91">
        <f>VLOOKUP($A2260,'2022-23 Salary &amp; Benefits'!$A:$I,4,FALSE)</f>
        <v>1.03</v>
      </c>
      <c r="M2260" s="101">
        <f t="shared" si="436"/>
        <v>401.42</v>
      </c>
      <c r="N2260" s="24">
        <v>15</v>
      </c>
      <c r="O2260" s="26">
        <f t="shared" si="439"/>
        <v>26.761333333333333</v>
      </c>
      <c r="P2260" s="24">
        <v>1.1000000000000001</v>
      </c>
      <c r="Q2260" s="24">
        <v>36</v>
      </c>
      <c r="R2260" s="27">
        <f t="shared" si="440"/>
        <v>1059.7488000000001</v>
      </c>
      <c r="S2260" s="102">
        <f t="shared" si="442"/>
        <v>1.177</v>
      </c>
      <c r="T2260" s="21">
        <f>VLOOKUP($A2260,'2022-23 Salary &amp; Benefits'!$A:$I,5,FALSE)</f>
        <v>68937</v>
      </c>
      <c r="U2260" s="21">
        <f>VLOOKUP($A2260,'2022-23 Salary &amp; Benefits'!$A:$I,6,FALSE)</f>
        <v>72728</v>
      </c>
      <c r="V2260" s="22">
        <f t="shared" si="443"/>
        <v>83573.009999999995</v>
      </c>
      <c r="W2260" s="22">
        <f t="shared" si="444"/>
        <v>4595.8700000000099</v>
      </c>
      <c r="X2260" s="22">
        <f>'2022-23 Salary &amp; Benefits'!$G$6</f>
        <v>12558.24</v>
      </c>
      <c r="Y2260" s="23">
        <f>'2022-23 Salary &amp; Benefits'!$H$6</f>
        <v>0.2298</v>
      </c>
      <c r="Z2260" s="23">
        <f>'2022-23 Salary &amp; Benefits'!$I$6</f>
        <v>0.22339999999999999</v>
      </c>
      <c r="AA2260" s="22">
        <f t="shared" si="445"/>
        <v>35012.839999999997</v>
      </c>
      <c r="AB2260" s="22">
        <f t="shared" si="446"/>
        <v>1469.48</v>
      </c>
      <c r="AC2260" s="22">
        <f t="shared" si="447"/>
        <v>328.28</v>
      </c>
      <c r="AD2260" s="22">
        <f t="shared" si="437"/>
        <v>1797.76</v>
      </c>
      <c r="AE2260" s="22">
        <f t="shared" si="438"/>
        <v>124979.48</v>
      </c>
      <c r="AF2260" s="19" t="str">
        <f>VLOOKUP(C2260,'2021-22 School Level AAFTE'!C:N,12,FALSE)</f>
        <v>No</v>
      </c>
      <c r="AG2260" s="56"/>
      <c r="AH2260" s="56"/>
      <c r="AI2260" s="56"/>
      <c r="AJ2260" s="56"/>
      <c r="AK2260" s="56"/>
      <c r="AL2260" s="56"/>
      <c r="AM2260" s="56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  <c r="HX2260"/>
      <c r="HY2260"/>
      <c r="HZ2260"/>
      <c r="IA2260"/>
      <c r="IB2260"/>
      <c r="IC2260"/>
      <c r="ID2260"/>
      <c r="IE2260"/>
      <c r="IF2260"/>
      <c r="IG2260"/>
      <c r="IH2260"/>
      <c r="II2260"/>
      <c r="IJ2260"/>
      <c r="IK2260"/>
      <c r="IL2260"/>
      <c r="IM2260"/>
      <c r="IN2260"/>
      <c r="IO2260"/>
      <c r="IP2260"/>
      <c r="IQ2260"/>
      <c r="IR2260"/>
      <c r="IS2260"/>
      <c r="IT2260"/>
      <c r="IU2260"/>
      <c r="IV2260"/>
      <c r="IW2260"/>
      <c r="IX2260"/>
      <c r="IY2260"/>
      <c r="IZ2260"/>
      <c r="JA2260"/>
      <c r="JB2260"/>
      <c r="JC2260"/>
      <c r="JD2260"/>
      <c r="JE2260"/>
      <c r="JF2260"/>
      <c r="JG2260"/>
      <c r="JH2260"/>
      <c r="JI2260"/>
      <c r="JJ2260"/>
      <c r="JK2260"/>
      <c r="JL2260"/>
      <c r="JM2260"/>
      <c r="JN2260"/>
      <c r="JO2260"/>
      <c r="JP2260"/>
      <c r="JQ2260"/>
      <c r="JR2260"/>
      <c r="JS2260"/>
      <c r="JT2260"/>
      <c r="JU2260"/>
      <c r="JV2260"/>
      <c r="JW2260"/>
      <c r="JX2260"/>
    </row>
    <row r="2261" spans="1:284">
      <c r="A2261" s="97" t="s">
        <v>2276</v>
      </c>
      <c r="B2261" s="97" t="s">
        <v>121</v>
      </c>
      <c r="C2261" s="95">
        <v>4432</v>
      </c>
      <c r="D2261" s="95" t="s">
        <v>134</v>
      </c>
      <c r="E2261" s="129">
        <f>VLOOKUP($C2261,'2021-22 School Level AAFTE'!$C:$Z,11,FALSE)</f>
        <v>0.49730000000000002</v>
      </c>
      <c r="F2261" s="129" t="str">
        <f>VLOOKUP($C2261,'2021-22 School Level AAFTE'!$C:$Z,8,FALSE)</f>
        <v>No</v>
      </c>
      <c r="G2261" s="129" t="str">
        <f>VLOOKUP($C2261,'2021-22 School Level AAFTE'!$C:$Z,12,FALSE)</f>
        <v>Yes</v>
      </c>
      <c r="H2261" s="127">
        <f>VLOOKUP($C2261,'2021-22 School Level AAFTE'!$C:$I,7,FALSE)</f>
        <v>547.91999999999996</v>
      </c>
      <c r="I2261" s="112">
        <f>IFERROR(IF(OR(G2261="yes",F2261= "yes"),VLOOKUP(C2261,Summary!$B:$J,6,0),0),0)</f>
        <v>0</v>
      </c>
      <c r="J2261" s="111">
        <f t="shared" si="441"/>
        <v>547.91999999999996</v>
      </c>
      <c r="K2261" s="91">
        <f>VLOOKUP($A2261,'2022-23 Salary &amp; Benefits'!$A:$I,3,FALSE)</f>
        <v>1.03</v>
      </c>
      <c r="L2261" s="91">
        <f>VLOOKUP($A2261,'2022-23 Salary &amp; Benefits'!$A:$I,4,FALSE)</f>
        <v>1.03</v>
      </c>
      <c r="M2261" s="101">
        <f t="shared" si="436"/>
        <v>547.91999999999996</v>
      </c>
      <c r="N2261" s="24">
        <v>15</v>
      </c>
      <c r="O2261" s="26">
        <f t="shared" si="439"/>
        <v>36.527999999999999</v>
      </c>
      <c r="P2261" s="24">
        <v>1.1000000000000001</v>
      </c>
      <c r="Q2261" s="24">
        <v>36</v>
      </c>
      <c r="R2261" s="27">
        <f t="shared" si="440"/>
        <v>1446.5088000000001</v>
      </c>
      <c r="S2261" s="102">
        <f t="shared" si="442"/>
        <v>1.607</v>
      </c>
      <c r="T2261" s="21">
        <f>VLOOKUP($A2261,'2022-23 Salary &amp; Benefits'!$A:$I,5,FALSE)</f>
        <v>68937</v>
      </c>
      <c r="U2261" s="21">
        <f>VLOOKUP($A2261,'2022-23 Salary &amp; Benefits'!$A:$I,6,FALSE)</f>
        <v>72728</v>
      </c>
      <c r="V2261" s="22">
        <f t="shared" si="443"/>
        <v>114105.21</v>
      </c>
      <c r="W2261" s="22">
        <f t="shared" si="444"/>
        <v>6274.8999999999942</v>
      </c>
      <c r="X2261" s="22">
        <f>'2022-23 Salary &amp; Benefits'!$G$6</f>
        <v>12558.24</v>
      </c>
      <c r="Y2261" s="23">
        <f>'2022-23 Salary &amp; Benefits'!$H$6</f>
        <v>0.2298</v>
      </c>
      <c r="Z2261" s="23">
        <f>'2022-23 Salary &amp; Benefits'!$I$6</f>
        <v>0.22339999999999999</v>
      </c>
      <c r="AA2261" s="22">
        <f t="shared" si="445"/>
        <v>47804.28</v>
      </c>
      <c r="AB2261" s="22">
        <f t="shared" si="446"/>
        <v>2006.34</v>
      </c>
      <c r="AC2261" s="22">
        <f t="shared" si="447"/>
        <v>448.22</v>
      </c>
      <c r="AD2261" s="22">
        <f t="shared" si="437"/>
        <v>2454.56</v>
      </c>
      <c r="AE2261" s="22">
        <f t="shared" si="438"/>
        <v>170638.94999999998</v>
      </c>
      <c r="AF2261" s="19" t="str">
        <f>VLOOKUP(C2261,'2021-22 School Level AAFTE'!C:N,12,FALSE)</f>
        <v>Yes</v>
      </c>
    </row>
    <row r="2262" spans="1:284">
      <c r="A2262" s="97" t="s">
        <v>2276</v>
      </c>
      <c r="B2262" s="97" t="s">
        <v>121</v>
      </c>
      <c r="C2262" s="95">
        <v>5316</v>
      </c>
      <c r="D2262" s="95" t="s">
        <v>135</v>
      </c>
      <c r="E2262" s="129">
        <f>VLOOKUP($C2262,'2021-22 School Level AAFTE'!$C:$Z,11,FALSE)</f>
        <v>0.70450000000000002</v>
      </c>
      <c r="F2262" s="129" t="str">
        <f>VLOOKUP($C2262,'2021-22 School Level AAFTE'!$C:$Z,8,FALSE)</f>
        <v>Yes</v>
      </c>
      <c r="G2262" s="129" t="str">
        <f>VLOOKUP($C2262,'2021-22 School Level AAFTE'!$C:$Z,12,FALSE)</f>
        <v>No</v>
      </c>
      <c r="H2262" s="127">
        <f>VLOOKUP($C2262,'2021-22 School Level AAFTE'!$C:$I,7,FALSE)</f>
        <v>51.86</v>
      </c>
      <c r="I2262" s="112">
        <f>IFERROR(IF(OR(G2262="yes",F2262= "yes"),VLOOKUP(C2262,Summary!$B:$J,6,0),0),0)</f>
        <v>0</v>
      </c>
      <c r="J2262" s="111">
        <f t="shared" si="441"/>
        <v>51.86</v>
      </c>
      <c r="K2262" s="91">
        <f>VLOOKUP($A2262,'2022-23 Salary &amp; Benefits'!$A:$I,3,FALSE)</f>
        <v>1.03</v>
      </c>
      <c r="L2262" s="91">
        <f>VLOOKUP($A2262,'2022-23 Salary &amp; Benefits'!$A:$I,4,FALSE)</f>
        <v>1.03</v>
      </c>
      <c r="M2262" s="101">
        <f t="shared" si="436"/>
        <v>51.86</v>
      </c>
      <c r="N2262" s="24">
        <v>15</v>
      </c>
      <c r="O2262" s="26">
        <f t="shared" si="439"/>
        <v>3.4573333333333331</v>
      </c>
      <c r="P2262" s="24">
        <v>1.1000000000000001</v>
      </c>
      <c r="Q2262" s="24">
        <v>36</v>
      </c>
      <c r="R2262" s="27">
        <f t="shared" si="440"/>
        <v>136.91040000000001</v>
      </c>
      <c r="S2262" s="102">
        <f t="shared" si="442"/>
        <v>0.152</v>
      </c>
      <c r="T2262" s="21">
        <f>VLOOKUP($A2262,'2022-23 Salary &amp; Benefits'!$A:$I,5,FALSE)</f>
        <v>68937</v>
      </c>
      <c r="U2262" s="21">
        <f>VLOOKUP($A2262,'2022-23 Salary &amp; Benefits'!$A:$I,6,FALSE)</f>
        <v>72728</v>
      </c>
      <c r="V2262" s="22">
        <f t="shared" si="443"/>
        <v>10792.78</v>
      </c>
      <c r="W2262" s="22">
        <f t="shared" si="444"/>
        <v>593.51999999999862</v>
      </c>
      <c r="X2262" s="22">
        <f>'2022-23 Salary &amp; Benefits'!$G$6</f>
        <v>12558.24</v>
      </c>
      <c r="Y2262" s="23">
        <f>'2022-23 Salary &amp; Benefits'!$H$6</f>
        <v>0.2298</v>
      </c>
      <c r="Z2262" s="23">
        <f>'2022-23 Salary &amp; Benefits'!$I$6</f>
        <v>0.22339999999999999</v>
      </c>
      <c r="AA2262" s="22">
        <f t="shared" si="445"/>
        <v>4521.63</v>
      </c>
      <c r="AB2262" s="22">
        <f t="shared" si="446"/>
        <v>189.77</v>
      </c>
      <c r="AC2262" s="22">
        <f t="shared" si="447"/>
        <v>42.39</v>
      </c>
      <c r="AD2262" s="22">
        <f t="shared" si="437"/>
        <v>232.16000000000003</v>
      </c>
      <c r="AE2262" s="22">
        <f t="shared" si="438"/>
        <v>16140.089999999998</v>
      </c>
      <c r="AF2262" s="19" t="str">
        <f>VLOOKUP(C2262,'2021-22 School Level AAFTE'!C:N,12,FALSE)</f>
        <v>No</v>
      </c>
      <c r="AG2262" s="56"/>
      <c r="AH2262" s="56"/>
      <c r="AI2262" s="56"/>
      <c r="AJ2262" s="56"/>
      <c r="AK2262" s="56"/>
      <c r="AL2262" s="56"/>
      <c r="AM2262" s="56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  <c r="HX2262"/>
      <c r="HY2262"/>
      <c r="HZ2262"/>
      <c r="IA2262"/>
      <c r="IB2262"/>
      <c r="IC2262"/>
      <c r="ID2262"/>
      <c r="IE2262"/>
      <c r="IF2262"/>
      <c r="IG2262"/>
      <c r="IH2262"/>
      <c r="II2262"/>
      <c r="IJ2262"/>
      <c r="IK2262"/>
      <c r="IL2262"/>
      <c r="IM2262"/>
      <c r="IN2262"/>
      <c r="IO2262"/>
      <c r="IP2262"/>
      <c r="IQ2262"/>
      <c r="IR2262"/>
      <c r="IS2262"/>
      <c r="IT2262"/>
      <c r="IU2262"/>
      <c r="IV2262"/>
      <c r="IW2262"/>
      <c r="IX2262"/>
      <c r="IY2262"/>
      <c r="IZ2262"/>
      <c r="JA2262"/>
      <c r="JB2262"/>
      <c r="JC2262"/>
      <c r="JD2262"/>
      <c r="JE2262"/>
      <c r="JF2262"/>
      <c r="JG2262"/>
      <c r="JH2262"/>
      <c r="JI2262"/>
      <c r="JJ2262"/>
      <c r="JK2262"/>
      <c r="JL2262"/>
      <c r="JM2262"/>
      <c r="JN2262"/>
      <c r="JO2262"/>
      <c r="JP2262"/>
      <c r="JQ2262"/>
      <c r="JR2262"/>
      <c r="JS2262"/>
      <c r="JT2262"/>
      <c r="JU2262"/>
      <c r="JV2262"/>
      <c r="JW2262"/>
      <c r="JX2262"/>
    </row>
    <row r="2263" spans="1:284">
      <c r="A2263" s="97" t="s">
        <v>2276</v>
      </c>
      <c r="B2263" s="97" t="s">
        <v>121</v>
      </c>
      <c r="C2263" s="95">
        <v>5569</v>
      </c>
      <c r="D2263" s="95" t="s">
        <v>2821</v>
      </c>
      <c r="E2263" s="129">
        <f>VLOOKUP($C2263,'2021-22 School Level AAFTE'!$C:$Z,11,FALSE)</f>
        <v>0.10823333333333333</v>
      </c>
      <c r="F2263" s="129" t="str">
        <f>VLOOKUP($C2263,'2021-22 School Level AAFTE'!$C:$Z,8,FALSE)</f>
        <v>No</v>
      </c>
      <c r="G2263" s="129" t="str">
        <f>VLOOKUP($C2263,'2021-22 School Level AAFTE'!$C:$Z,12,FALSE)</f>
        <v>No</v>
      </c>
      <c r="H2263" s="127">
        <f>VLOOKUP($C2263,'2021-22 School Level AAFTE'!$C:$I,7,FALSE)</f>
        <v>155.9</v>
      </c>
      <c r="I2263" s="112">
        <f>IFERROR(IF(OR(G2263="yes",F2263= "yes"),VLOOKUP(C2263,Summary!$B:$J,6,0),0),0)</f>
        <v>0</v>
      </c>
      <c r="J2263" s="111">
        <f t="shared" si="441"/>
        <v>0</v>
      </c>
      <c r="K2263" s="91">
        <f>VLOOKUP($A2263,'2022-23 Salary &amp; Benefits'!$A:$I,3,FALSE)</f>
        <v>1.03</v>
      </c>
      <c r="L2263" s="91">
        <f>VLOOKUP($A2263,'2022-23 Salary &amp; Benefits'!$A:$I,4,FALSE)</f>
        <v>1.03</v>
      </c>
      <c r="M2263" s="101">
        <f t="shared" si="436"/>
        <v>0</v>
      </c>
      <c r="N2263" s="24">
        <v>15</v>
      </c>
      <c r="O2263" s="26">
        <f t="shared" si="439"/>
        <v>0</v>
      </c>
      <c r="P2263" s="24">
        <v>1.1000000000000001</v>
      </c>
      <c r="Q2263" s="24">
        <v>36</v>
      </c>
      <c r="R2263" s="27">
        <f t="shared" si="440"/>
        <v>0</v>
      </c>
      <c r="S2263" s="102">
        <f t="shared" si="442"/>
        <v>0</v>
      </c>
      <c r="T2263" s="21">
        <f>VLOOKUP($A2263,'2022-23 Salary &amp; Benefits'!$A:$I,5,FALSE)</f>
        <v>68937</v>
      </c>
      <c r="U2263" s="21">
        <f>VLOOKUP($A2263,'2022-23 Salary &amp; Benefits'!$A:$I,6,FALSE)</f>
        <v>72728</v>
      </c>
      <c r="V2263" s="22">
        <f t="shared" si="443"/>
        <v>0</v>
      </c>
      <c r="W2263" s="22">
        <f t="shared" si="444"/>
        <v>0</v>
      </c>
      <c r="X2263" s="22">
        <f>'2022-23 Salary &amp; Benefits'!$G$6</f>
        <v>12558.24</v>
      </c>
      <c r="Y2263" s="23">
        <f>'2022-23 Salary &amp; Benefits'!$H$6</f>
        <v>0.2298</v>
      </c>
      <c r="Z2263" s="23">
        <f>'2022-23 Salary &amp; Benefits'!$I$6</f>
        <v>0.22339999999999999</v>
      </c>
      <c r="AA2263" s="22">
        <f t="shared" si="445"/>
        <v>0</v>
      </c>
      <c r="AB2263" s="22">
        <f t="shared" si="446"/>
        <v>0</v>
      </c>
      <c r="AC2263" s="22">
        <f t="shared" si="447"/>
        <v>0</v>
      </c>
      <c r="AD2263" s="22">
        <f t="shared" si="437"/>
        <v>0</v>
      </c>
      <c r="AE2263" s="22">
        <f t="shared" si="438"/>
        <v>0</v>
      </c>
      <c r="AF2263" s="19" t="str">
        <f>VLOOKUP(C2263,'2021-22 School Level AAFTE'!C:N,12,FALSE)</f>
        <v>No</v>
      </c>
      <c r="AG2263" s="56"/>
      <c r="AH2263" s="56"/>
      <c r="AI2263" s="56"/>
      <c r="AJ2263" s="56"/>
      <c r="AK2263" s="56"/>
      <c r="AL2263" s="56"/>
      <c r="AM2263" s="56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  <c r="HX2263"/>
      <c r="HY2263"/>
      <c r="HZ2263"/>
      <c r="IA2263"/>
      <c r="IB2263"/>
      <c r="IC2263"/>
      <c r="ID2263"/>
      <c r="IE2263"/>
      <c r="IF2263"/>
      <c r="IG2263"/>
      <c r="IH2263"/>
      <c r="II2263"/>
      <c r="IJ2263"/>
      <c r="IK2263"/>
      <c r="IL2263"/>
      <c r="IM2263"/>
      <c r="IN2263"/>
      <c r="IO2263"/>
      <c r="IP2263"/>
      <c r="IQ2263"/>
      <c r="IR2263"/>
      <c r="IS2263"/>
      <c r="IT2263"/>
      <c r="IU2263"/>
      <c r="IV2263"/>
      <c r="IW2263"/>
      <c r="IX2263"/>
      <c r="IY2263"/>
      <c r="IZ2263"/>
      <c r="JA2263"/>
      <c r="JB2263"/>
      <c r="JC2263"/>
      <c r="JD2263"/>
      <c r="JE2263"/>
      <c r="JF2263"/>
      <c r="JG2263"/>
      <c r="JH2263"/>
      <c r="JI2263"/>
      <c r="JJ2263"/>
      <c r="JK2263"/>
      <c r="JL2263"/>
      <c r="JM2263"/>
      <c r="JN2263"/>
      <c r="JO2263"/>
      <c r="JP2263"/>
      <c r="JQ2263"/>
      <c r="JR2263"/>
      <c r="JS2263"/>
      <c r="JT2263"/>
      <c r="JU2263"/>
      <c r="JV2263"/>
      <c r="JW2263"/>
      <c r="JX2263"/>
    </row>
    <row r="2264" spans="1:284">
      <c r="A2264" s="97" t="s">
        <v>2276</v>
      </c>
      <c r="B2264" s="97" t="s">
        <v>121</v>
      </c>
      <c r="C2264" s="95">
        <v>5637</v>
      </c>
      <c r="D2264" s="95" t="s">
        <v>2947</v>
      </c>
      <c r="E2264" s="129">
        <f>VLOOKUP($C2264,'2021-22 School Level AAFTE'!$C:$Z,11,FALSE)</f>
        <v>0.53769999999999996</v>
      </c>
      <c r="F2264" s="129" t="str">
        <f>VLOOKUP($C2264,'2021-22 School Level AAFTE'!$C:$Z,8,FALSE)</f>
        <v>Yes</v>
      </c>
      <c r="G2264" s="129" t="str">
        <f>VLOOKUP($C2264,'2021-22 School Level AAFTE'!$C:$Z,12,FALSE)</f>
        <v>No</v>
      </c>
      <c r="H2264" s="127">
        <f>VLOOKUP($C2264,'2021-22 School Level AAFTE'!$C:$I,7,FALSE)</f>
        <v>187.29</v>
      </c>
      <c r="I2264" s="112">
        <f>IFERROR(IF(OR(G2264="yes",F2264= "yes"),VLOOKUP(C2264,Summary!$B:$J,6,0),0),0)</f>
        <v>0</v>
      </c>
      <c r="J2264" s="111">
        <f t="shared" si="441"/>
        <v>187.29</v>
      </c>
      <c r="K2264" s="91">
        <f>VLOOKUP($A2264,'2022-23 Salary &amp; Benefits'!$A:$I,3,FALSE)</f>
        <v>1.03</v>
      </c>
      <c r="L2264" s="91">
        <f>VLOOKUP($A2264,'2022-23 Salary &amp; Benefits'!$A:$I,4,FALSE)</f>
        <v>1.03</v>
      </c>
      <c r="M2264" s="101">
        <f t="shared" si="436"/>
        <v>187.29</v>
      </c>
      <c r="N2264" s="24">
        <v>15</v>
      </c>
      <c r="O2264" s="26">
        <f t="shared" si="439"/>
        <v>12.485999999999999</v>
      </c>
      <c r="P2264" s="24">
        <v>1.1000000000000001</v>
      </c>
      <c r="Q2264" s="24">
        <v>36</v>
      </c>
      <c r="R2264" s="27">
        <f t="shared" si="440"/>
        <v>494.44560000000001</v>
      </c>
      <c r="S2264" s="102">
        <f t="shared" si="442"/>
        <v>0.54900000000000004</v>
      </c>
      <c r="T2264" s="21">
        <f>VLOOKUP($A2264,'2022-23 Salary &amp; Benefits'!$A:$I,5,FALSE)</f>
        <v>68937</v>
      </c>
      <c r="U2264" s="21">
        <f>VLOOKUP($A2264,'2022-23 Salary &amp; Benefits'!$A:$I,6,FALSE)</f>
        <v>72728</v>
      </c>
      <c r="V2264" s="22">
        <f t="shared" si="443"/>
        <v>38981.81</v>
      </c>
      <c r="W2264" s="22">
        <f t="shared" si="444"/>
        <v>2143.6900000000023</v>
      </c>
      <c r="X2264" s="22">
        <f>'2022-23 Salary &amp; Benefits'!$G$6</f>
        <v>12558.24</v>
      </c>
      <c r="Y2264" s="23">
        <f>'2022-23 Salary &amp; Benefits'!$H$6</f>
        <v>0.2298</v>
      </c>
      <c r="Z2264" s="23">
        <f>'2022-23 Salary &amp; Benefits'!$I$6</f>
        <v>0.22339999999999999</v>
      </c>
      <c r="AA2264" s="22">
        <f t="shared" si="445"/>
        <v>16331.39</v>
      </c>
      <c r="AB2264" s="22">
        <f t="shared" si="446"/>
        <v>685.43</v>
      </c>
      <c r="AC2264" s="22">
        <f t="shared" si="447"/>
        <v>153.13</v>
      </c>
      <c r="AD2264" s="22">
        <f t="shared" si="437"/>
        <v>838.56</v>
      </c>
      <c r="AE2264" s="22">
        <f t="shared" si="438"/>
        <v>58295.45</v>
      </c>
      <c r="AF2264" s="19" t="str">
        <f>VLOOKUP(C2264,'2021-22 School Level AAFTE'!C:N,12,FALSE)</f>
        <v>No</v>
      </c>
      <c r="AG2264" s="56"/>
      <c r="AH2264" s="56"/>
      <c r="AI2264" s="56"/>
      <c r="AJ2264" s="56"/>
      <c r="AK2264" s="56"/>
      <c r="AL2264" s="56"/>
      <c r="AM2264" s="56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  <c r="HX2264"/>
      <c r="HY2264"/>
      <c r="HZ2264"/>
      <c r="IA2264"/>
      <c r="IB2264"/>
      <c r="IC2264"/>
      <c r="ID2264"/>
      <c r="IE2264"/>
      <c r="IF2264"/>
      <c r="IG2264"/>
      <c r="IH2264"/>
      <c r="II2264"/>
      <c r="IJ2264"/>
      <c r="IK2264"/>
      <c r="IL2264"/>
      <c r="IM2264"/>
      <c r="IN2264"/>
      <c r="IO2264"/>
      <c r="IP2264"/>
      <c r="IQ2264"/>
      <c r="IR2264"/>
      <c r="IS2264"/>
      <c r="IT2264"/>
      <c r="IU2264"/>
      <c r="IV2264"/>
      <c r="IW2264"/>
      <c r="IX2264"/>
      <c r="IY2264"/>
      <c r="IZ2264"/>
      <c r="JA2264"/>
      <c r="JB2264"/>
      <c r="JC2264"/>
      <c r="JD2264"/>
      <c r="JE2264"/>
      <c r="JF2264"/>
      <c r="JG2264"/>
      <c r="JH2264"/>
      <c r="JI2264"/>
      <c r="JJ2264"/>
      <c r="JK2264"/>
      <c r="JL2264"/>
      <c r="JM2264"/>
      <c r="JN2264"/>
      <c r="JO2264"/>
      <c r="JP2264"/>
      <c r="JQ2264"/>
      <c r="JR2264"/>
      <c r="JS2264"/>
      <c r="JT2264"/>
      <c r="JU2264"/>
      <c r="JV2264"/>
      <c r="JW2264"/>
      <c r="JX2264"/>
    </row>
    <row r="2265" spans="1:284">
      <c r="A2265" s="97" t="s">
        <v>2497</v>
      </c>
      <c r="B2265" s="97" t="s">
        <v>1898</v>
      </c>
      <c r="C2265" s="95">
        <v>1628</v>
      </c>
      <c r="D2265" s="95" t="s">
        <v>1899</v>
      </c>
      <c r="E2265" s="129">
        <f>VLOOKUP($C2265,'2021-22 School Level AAFTE'!$C:$Z,11,FALSE)</f>
        <v>0.94300000000000006</v>
      </c>
      <c r="F2265" s="129" t="str">
        <f>VLOOKUP($C2265,'2021-22 School Level AAFTE'!$C:$Z,8,FALSE)</f>
        <v>Yes</v>
      </c>
      <c r="G2265" s="129" t="str">
        <f>VLOOKUP($C2265,'2021-22 School Level AAFTE'!$C:$Z,12,FALSE)</f>
        <v>No</v>
      </c>
      <c r="H2265" s="127">
        <f>VLOOKUP($C2265,'2021-22 School Level AAFTE'!$C:$I,7,FALSE)</f>
        <v>282.22000000000003</v>
      </c>
      <c r="I2265" s="112">
        <f>IFERROR(IF(OR(G2265="yes",F2265= "yes"),VLOOKUP(C2265,Summary!$B:$J,6,0),0),0)</f>
        <v>0</v>
      </c>
      <c r="J2265" s="111">
        <f t="shared" si="441"/>
        <v>282.22000000000003</v>
      </c>
      <c r="K2265" s="91">
        <f>VLOOKUP($A2265,'2022-23 Salary &amp; Benefits'!$A:$I,3,FALSE)</f>
        <v>1</v>
      </c>
      <c r="L2265" s="91">
        <f>VLOOKUP($A2265,'2022-23 Salary &amp; Benefits'!$A:$I,4,FALSE)</f>
        <v>1</v>
      </c>
      <c r="M2265" s="101">
        <f t="shared" si="436"/>
        <v>282.22000000000003</v>
      </c>
      <c r="N2265" s="24">
        <v>15</v>
      </c>
      <c r="O2265" s="26">
        <f t="shared" si="439"/>
        <v>18.814666666666668</v>
      </c>
      <c r="P2265" s="24">
        <v>1.1000000000000001</v>
      </c>
      <c r="Q2265" s="24">
        <v>36</v>
      </c>
      <c r="R2265" s="27">
        <f t="shared" si="440"/>
        <v>745.06080000000009</v>
      </c>
      <c r="S2265" s="102">
        <f t="shared" si="442"/>
        <v>0.82799999999999996</v>
      </c>
      <c r="T2265" s="21">
        <f>VLOOKUP($A2265,'2022-23 Salary &amp; Benefits'!$A:$I,5,FALSE)</f>
        <v>68937</v>
      </c>
      <c r="U2265" s="21">
        <f>VLOOKUP($A2265,'2022-23 Salary &amp; Benefits'!$A:$I,6,FALSE)</f>
        <v>72728</v>
      </c>
      <c r="V2265" s="22">
        <f t="shared" si="443"/>
        <v>57079.839999999997</v>
      </c>
      <c r="W2265" s="22">
        <f t="shared" si="444"/>
        <v>3138.9400000000023</v>
      </c>
      <c r="X2265" s="22">
        <f>'2022-23 Salary &amp; Benefits'!$G$6</f>
        <v>12558.24</v>
      </c>
      <c r="Y2265" s="23">
        <f>'2022-23 Salary &amp; Benefits'!$H$6</f>
        <v>0.2298</v>
      </c>
      <c r="Z2265" s="23">
        <f>'2022-23 Salary &amp; Benefits'!$I$6</f>
        <v>0.22339999999999999</v>
      </c>
      <c r="AA2265" s="22">
        <f t="shared" si="445"/>
        <v>24216.41</v>
      </c>
      <c r="AB2265" s="22">
        <f t="shared" si="446"/>
        <v>1003.65</v>
      </c>
      <c r="AC2265" s="22">
        <f t="shared" si="447"/>
        <v>224.22</v>
      </c>
      <c r="AD2265" s="22">
        <f t="shared" si="437"/>
        <v>1227.8699999999999</v>
      </c>
      <c r="AE2265" s="22">
        <f t="shared" si="438"/>
        <v>85663.06</v>
      </c>
      <c r="AF2265" s="19" t="str">
        <f>VLOOKUP(C2265,'2021-22 School Level AAFTE'!C:N,12,FALSE)</f>
        <v>No</v>
      </c>
      <c r="AG2265" s="56"/>
      <c r="AH2265" s="56"/>
      <c r="AI2265" s="56"/>
      <c r="AJ2265" s="56"/>
      <c r="AK2265" s="56"/>
      <c r="AL2265" s="56"/>
      <c r="AM2265" s="56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  <c r="HX2265"/>
      <c r="HY2265"/>
      <c r="HZ2265"/>
      <c r="IA2265"/>
      <c r="IB2265"/>
      <c r="IC2265"/>
      <c r="ID2265"/>
      <c r="IE2265"/>
      <c r="IF2265"/>
      <c r="IG2265"/>
      <c r="IH2265"/>
      <c r="II2265"/>
      <c r="IJ2265"/>
      <c r="IK2265"/>
      <c r="IL2265"/>
      <c r="IM2265"/>
      <c r="IN2265"/>
      <c r="IO2265"/>
      <c r="IP2265"/>
      <c r="IQ2265"/>
      <c r="IR2265"/>
      <c r="IS2265"/>
      <c r="IT2265"/>
      <c r="IU2265"/>
      <c r="IV2265"/>
      <c r="IW2265"/>
      <c r="IX2265"/>
      <c r="IY2265"/>
      <c r="IZ2265"/>
      <c r="JA2265"/>
      <c r="JB2265"/>
      <c r="JC2265"/>
      <c r="JD2265"/>
      <c r="JE2265"/>
      <c r="JF2265"/>
      <c r="JG2265"/>
      <c r="JH2265"/>
      <c r="JI2265"/>
      <c r="JJ2265"/>
      <c r="JK2265"/>
      <c r="JL2265"/>
      <c r="JM2265"/>
      <c r="JN2265"/>
      <c r="JO2265"/>
      <c r="JP2265"/>
      <c r="JQ2265"/>
      <c r="JR2265"/>
      <c r="JS2265"/>
      <c r="JT2265"/>
      <c r="JU2265"/>
      <c r="JV2265"/>
      <c r="JW2265"/>
      <c r="JX2265"/>
    </row>
    <row r="2266" spans="1:284">
      <c r="A2266" s="97" t="s">
        <v>2497</v>
      </c>
      <c r="B2266" s="97" t="s">
        <v>1898</v>
      </c>
      <c r="C2266" s="95">
        <v>1755</v>
      </c>
      <c r="D2266" s="95" t="s">
        <v>1900</v>
      </c>
      <c r="E2266" s="129">
        <f>VLOOKUP($C2266,'2021-22 School Level AAFTE'!$C:$Z,11,FALSE)</f>
        <v>0.44113333333333338</v>
      </c>
      <c r="F2266" s="129" t="str">
        <f>VLOOKUP($C2266,'2021-22 School Level AAFTE'!$C:$Z,8,FALSE)</f>
        <v>No</v>
      </c>
      <c r="G2266" s="129" t="str">
        <f>VLOOKUP($C2266,'2021-22 School Level AAFTE'!$C:$Z,12,FALSE)</f>
        <v>No</v>
      </c>
      <c r="H2266" s="127">
        <f>VLOOKUP($C2266,'2021-22 School Level AAFTE'!$C:$I,7,FALSE)</f>
        <v>153.54</v>
      </c>
      <c r="I2266" s="112">
        <f>IFERROR(IF(OR(G2266="yes",F2266= "yes"),VLOOKUP(C2266,Summary!$B:$J,6,0),0),0)</f>
        <v>0</v>
      </c>
      <c r="J2266" s="111">
        <f t="shared" si="441"/>
        <v>0</v>
      </c>
      <c r="K2266" s="91">
        <f>VLOOKUP($A2266,'2022-23 Salary &amp; Benefits'!$A:$I,3,FALSE)</f>
        <v>1</v>
      </c>
      <c r="L2266" s="91">
        <f>VLOOKUP($A2266,'2022-23 Salary &amp; Benefits'!$A:$I,4,FALSE)</f>
        <v>1</v>
      </c>
      <c r="M2266" s="101">
        <f t="shared" si="436"/>
        <v>0</v>
      </c>
      <c r="N2266" s="24">
        <v>15</v>
      </c>
      <c r="O2266" s="26">
        <f t="shared" si="439"/>
        <v>0</v>
      </c>
      <c r="P2266" s="24">
        <v>1.1000000000000001</v>
      </c>
      <c r="Q2266" s="24">
        <v>36</v>
      </c>
      <c r="R2266" s="27">
        <f t="shared" si="440"/>
        <v>0</v>
      </c>
      <c r="S2266" s="102">
        <f t="shared" si="442"/>
        <v>0</v>
      </c>
      <c r="T2266" s="21">
        <f>VLOOKUP($A2266,'2022-23 Salary &amp; Benefits'!$A:$I,5,FALSE)</f>
        <v>68937</v>
      </c>
      <c r="U2266" s="21">
        <f>VLOOKUP($A2266,'2022-23 Salary &amp; Benefits'!$A:$I,6,FALSE)</f>
        <v>72728</v>
      </c>
      <c r="V2266" s="22">
        <f t="shared" si="443"/>
        <v>0</v>
      </c>
      <c r="W2266" s="22">
        <f t="shared" si="444"/>
        <v>0</v>
      </c>
      <c r="X2266" s="22">
        <f>'2022-23 Salary &amp; Benefits'!$G$6</f>
        <v>12558.24</v>
      </c>
      <c r="Y2266" s="23">
        <f>'2022-23 Salary &amp; Benefits'!$H$6</f>
        <v>0.2298</v>
      </c>
      <c r="Z2266" s="23">
        <f>'2022-23 Salary &amp; Benefits'!$I$6</f>
        <v>0.22339999999999999</v>
      </c>
      <c r="AA2266" s="22">
        <f t="shared" si="445"/>
        <v>0</v>
      </c>
      <c r="AB2266" s="22">
        <f t="shared" si="446"/>
        <v>0</v>
      </c>
      <c r="AC2266" s="22">
        <f t="shared" si="447"/>
        <v>0</v>
      </c>
      <c r="AD2266" s="22">
        <f t="shared" si="437"/>
        <v>0</v>
      </c>
      <c r="AE2266" s="22">
        <f t="shared" si="438"/>
        <v>0</v>
      </c>
      <c r="AF2266" s="19" t="str">
        <f>VLOOKUP(C2266,'2021-22 School Level AAFTE'!C:N,12,FALSE)</f>
        <v>No</v>
      </c>
      <c r="AG2266" s="56"/>
      <c r="AH2266" s="56"/>
      <c r="AI2266" s="56"/>
      <c r="AJ2266" s="56"/>
      <c r="AK2266" s="56"/>
      <c r="AL2266" s="56"/>
      <c r="AM2266" s="5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  <c r="HY2266"/>
      <c r="HZ2266"/>
      <c r="IA2266"/>
      <c r="IB2266"/>
      <c r="IC2266"/>
      <c r="ID2266"/>
      <c r="IE2266"/>
      <c r="IF2266"/>
      <c r="IG2266"/>
      <c r="IH2266"/>
      <c r="II2266"/>
      <c r="IJ2266"/>
      <c r="IK2266"/>
      <c r="IL2266"/>
      <c r="IM2266"/>
      <c r="IN2266"/>
      <c r="IO2266"/>
      <c r="IP2266"/>
      <c r="IQ2266"/>
      <c r="IR2266"/>
      <c r="IS2266"/>
      <c r="IT2266"/>
      <c r="IU2266"/>
      <c r="IV2266"/>
      <c r="IW2266"/>
      <c r="IX2266"/>
      <c r="IY2266"/>
      <c r="IZ2266"/>
      <c r="JA2266"/>
      <c r="JB2266"/>
      <c r="JC2266"/>
      <c r="JD2266"/>
      <c r="JE2266"/>
      <c r="JF2266"/>
      <c r="JG2266"/>
      <c r="JH2266"/>
      <c r="JI2266"/>
      <c r="JJ2266"/>
      <c r="JK2266"/>
      <c r="JL2266"/>
      <c r="JM2266"/>
      <c r="JN2266"/>
      <c r="JO2266"/>
      <c r="JP2266"/>
      <c r="JQ2266"/>
      <c r="JR2266"/>
      <c r="JS2266"/>
      <c r="JT2266"/>
      <c r="JU2266"/>
      <c r="JV2266"/>
      <c r="JW2266"/>
      <c r="JX2266"/>
    </row>
    <row r="2267" spans="1:284">
      <c r="A2267" s="97" t="s">
        <v>2497</v>
      </c>
      <c r="B2267" s="97" t="s">
        <v>1898</v>
      </c>
      <c r="C2267" s="95">
        <v>2711</v>
      </c>
      <c r="D2267" s="95" t="s">
        <v>1902</v>
      </c>
      <c r="E2267" s="129">
        <f>VLOOKUP($C2267,'2021-22 School Level AAFTE'!$C:$Z,11,FALSE)</f>
        <v>0.43293333333333334</v>
      </c>
      <c r="F2267" s="129" t="str">
        <f>VLOOKUP($C2267,'2021-22 School Level AAFTE'!$C:$Z,8,FALSE)</f>
        <v>No</v>
      </c>
      <c r="G2267" s="129" t="str">
        <f>VLOOKUP($C2267,'2021-22 School Level AAFTE'!$C:$Z,12,FALSE)</f>
        <v>No</v>
      </c>
      <c r="H2267" s="127">
        <f>VLOOKUP($C2267,'2021-22 School Level AAFTE'!$C:$I,7,FALSE)</f>
        <v>169.09</v>
      </c>
      <c r="I2267" s="112">
        <f>IFERROR(IF(OR(G2267="yes",F2267= "yes"),VLOOKUP(C2267,Summary!$B:$J,6,0),0),0)</f>
        <v>0</v>
      </c>
      <c r="J2267" s="111">
        <f t="shared" si="441"/>
        <v>0</v>
      </c>
      <c r="K2267" s="91">
        <f>VLOOKUP($A2267,'2022-23 Salary &amp; Benefits'!$A:$I,3,FALSE)</f>
        <v>1</v>
      </c>
      <c r="L2267" s="91">
        <f>VLOOKUP($A2267,'2022-23 Salary &amp; Benefits'!$A:$I,4,FALSE)</f>
        <v>1</v>
      </c>
      <c r="M2267" s="101">
        <f t="shared" si="436"/>
        <v>0</v>
      </c>
      <c r="N2267" s="24">
        <v>15</v>
      </c>
      <c r="O2267" s="26">
        <f t="shared" si="439"/>
        <v>0</v>
      </c>
      <c r="P2267" s="24">
        <v>1.1000000000000001</v>
      </c>
      <c r="Q2267" s="24">
        <v>36</v>
      </c>
      <c r="R2267" s="27">
        <f t="shared" si="440"/>
        <v>0</v>
      </c>
      <c r="S2267" s="102">
        <f t="shared" si="442"/>
        <v>0</v>
      </c>
      <c r="T2267" s="21">
        <f>VLOOKUP($A2267,'2022-23 Salary &amp; Benefits'!$A:$I,5,FALSE)</f>
        <v>68937</v>
      </c>
      <c r="U2267" s="21">
        <f>VLOOKUP($A2267,'2022-23 Salary &amp; Benefits'!$A:$I,6,FALSE)</f>
        <v>72728</v>
      </c>
      <c r="V2267" s="22">
        <f t="shared" si="443"/>
        <v>0</v>
      </c>
      <c r="W2267" s="22">
        <f t="shared" si="444"/>
        <v>0</v>
      </c>
      <c r="X2267" s="22">
        <f>'2022-23 Salary &amp; Benefits'!$G$6</f>
        <v>12558.24</v>
      </c>
      <c r="Y2267" s="23">
        <f>'2022-23 Salary &amp; Benefits'!$H$6</f>
        <v>0.2298</v>
      </c>
      <c r="Z2267" s="23">
        <f>'2022-23 Salary &amp; Benefits'!$I$6</f>
        <v>0.22339999999999999</v>
      </c>
      <c r="AA2267" s="22">
        <f t="shared" si="445"/>
        <v>0</v>
      </c>
      <c r="AB2267" s="22">
        <f t="shared" si="446"/>
        <v>0</v>
      </c>
      <c r="AC2267" s="22">
        <f t="shared" si="447"/>
        <v>0</v>
      </c>
      <c r="AD2267" s="22">
        <f t="shared" si="437"/>
        <v>0</v>
      </c>
      <c r="AE2267" s="22">
        <f t="shared" si="438"/>
        <v>0</v>
      </c>
      <c r="AF2267" s="19" t="str">
        <f>VLOOKUP(C2267,'2021-22 School Level AAFTE'!C:N,12,FALSE)</f>
        <v>No</v>
      </c>
      <c r="AG2267" s="56"/>
      <c r="AH2267" s="56"/>
      <c r="AI2267" s="56"/>
      <c r="AJ2267" s="56"/>
      <c r="AK2267" s="56"/>
      <c r="AL2267" s="56"/>
      <c r="AM2267" s="56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  <c r="HX2267"/>
      <c r="HY2267"/>
      <c r="HZ2267"/>
      <c r="IA2267"/>
      <c r="IB2267"/>
      <c r="IC2267"/>
      <c r="ID2267"/>
      <c r="IE2267"/>
      <c r="IF2267"/>
      <c r="IG2267"/>
      <c r="IH2267"/>
      <c r="II2267"/>
      <c r="IJ2267"/>
      <c r="IK2267"/>
      <c r="IL2267"/>
      <c r="IM2267"/>
      <c r="IN2267"/>
      <c r="IO2267"/>
      <c r="IP2267"/>
      <c r="IQ2267"/>
      <c r="IR2267"/>
      <c r="IS2267"/>
      <c r="IT2267"/>
      <c r="IU2267"/>
      <c r="IV2267"/>
      <c r="IW2267"/>
      <c r="IX2267"/>
      <c r="IY2267"/>
      <c r="IZ2267"/>
      <c r="JA2267"/>
      <c r="JB2267"/>
      <c r="JC2267"/>
      <c r="JD2267"/>
      <c r="JE2267"/>
      <c r="JF2267"/>
      <c r="JG2267"/>
      <c r="JH2267"/>
      <c r="JI2267"/>
      <c r="JJ2267"/>
      <c r="JK2267"/>
      <c r="JL2267"/>
      <c r="JM2267"/>
      <c r="JN2267"/>
      <c r="JO2267"/>
      <c r="JP2267"/>
      <c r="JQ2267"/>
      <c r="JR2267"/>
      <c r="JS2267"/>
      <c r="JT2267"/>
      <c r="JU2267"/>
      <c r="JV2267"/>
      <c r="JW2267"/>
      <c r="JX2267"/>
    </row>
    <row r="2268" spans="1:284">
      <c r="A2268" s="97" t="s">
        <v>2497</v>
      </c>
      <c r="B2268" s="97" t="s">
        <v>1898</v>
      </c>
      <c r="C2268" s="95">
        <v>2956</v>
      </c>
      <c r="D2268" s="95" t="s">
        <v>1903</v>
      </c>
      <c r="E2268" s="129">
        <f>VLOOKUP($C2268,'2021-22 School Level AAFTE'!$C:$Z,11,FALSE)</f>
        <v>0.56330000000000002</v>
      </c>
      <c r="F2268" s="129" t="str">
        <f>VLOOKUP($C2268,'2021-22 School Level AAFTE'!$C:$Z,8,FALSE)</f>
        <v>Yes</v>
      </c>
      <c r="G2268" s="129" t="str">
        <f>VLOOKUP($C2268,'2021-22 School Level AAFTE'!$C:$Z,12,FALSE)</f>
        <v>No</v>
      </c>
      <c r="H2268" s="127">
        <f>VLOOKUP($C2268,'2021-22 School Level AAFTE'!$C:$I,7,FALSE)</f>
        <v>235.86</v>
      </c>
      <c r="I2268" s="112">
        <f>IFERROR(IF(OR(G2268="yes",F2268= "yes"),VLOOKUP(C2268,Summary!$B:$J,6,0),0),0)</f>
        <v>0</v>
      </c>
      <c r="J2268" s="111">
        <f t="shared" si="441"/>
        <v>235.86</v>
      </c>
      <c r="K2268" s="91">
        <f>VLOOKUP($A2268,'2022-23 Salary &amp; Benefits'!$A:$I,3,FALSE)</f>
        <v>1</v>
      </c>
      <c r="L2268" s="91">
        <f>VLOOKUP($A2268,'2022-23 Salary &amp; Benefits'!$A:$I,4,FALSE)</f>
        <v>1</v>
      </c>
      <c r="M2268" s="101">
        <f t="shared" si="436"/>
        <v>235.86</v>
      </c>
      <c r="N2268" s="24">
        <v>15</v>
      </c>
      <c r="O2268" s="26">
        <f t="shared" si="439"/>
        <v>15.724</v>
      </c>
      <c r="P2268" s="24">
        <v>1.1000000000000001</v>
      </c>
      <c r="Q2268" s="24">
        <v>36</v>
      </c>
      <c r="R2268" s="27">
        <f t="shared" si="440"/>
        <v>622.67040000000009</v>
      </c>
      <c r="S2268" s="102">
        <f t="shared" si="442"/>
        <v>0.69199999999999995</v>
      </c>
      <c r="T2268" s="21">
        <f>VLOOKUP($A2268,'2022-23 Salary &amp; Benefits'!$A:$I,5,FALSE)</f>
        <v>68937</v>
      </c>
      <c r="U2268" s="21">
        <f>VLOOKUP($A2268,'2022-23 Salary &amp; Benefits'!$A:$I,6,FALSE)</f>
        <v>72728</v>
      </c>
      <c r="V2268" s="22">
        <f t="shared" si="443"/>
        <v>47704.4</v>
      </c>
      <c r="W2268" s="22">
        <f t="shared" si="444"/>
        <v>2623.3799999999974</v>
      </c>
      <c r="X2268" s="22">
        <f>'2022-23 Salary &amp; Benefits'!$G$6</f>
        <v>12558.24</v>
      </c>
      <c r="Y2268" s="23">
        <f>'2022-23 Salary &amp; Benefits'!$H$6</f>
        <v>0.2298</v>
      </c>
      <c r="Z2268" s="23">
        <f>'2022-23 Salary &amp; Benefits'!$I$6</f>
        <v>0.22339999999999999</v>
      </c>
      <c r="AA2268" s="22">
        <f t="shared" si="445"/>
        <v>20238.84</v>
      </c>
      <c r="AB2268" s="22">
        <f t="shared" si="446"/>
        <v>838.8</v>
      </c>
      <c r="AC2268" s="22">
        <f t="shared" si="447"/>
        <v>187.39</v>
      </c>
      <c r="AD2268" s="22">
        <f t="shared" si="437"/>
        <v>1026.19</v>
      </c>
      <c r="AE2268" s="22">
        <f t="shared" si="438"/>
        <v>71592.81</v>
      </c>
      <c r="AF2268" s="19" t="str">
        <f>VLOOKUP(C2268,'2021-22 School Level AAFTE'!C:N,12,FALSE)</f>
        <v>No</v>
      </c>
      <c r="AG2268" s="56"/>
      <c r="AH2268" s="56"/>
      <c r="AI2268" s="56"/>
      <c r="AJ2268" s="56"/>
      <c r="AK2268" s="56"/>
      <c r="AL2268" s="56"/>
      <c r="AM2268" s="56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  <c r="HX2268"/>
      <c r="HY2268"/>
      <c r="HZ2268"/>
      <c r="IA2268"/>
      <c r="IB2268"/>
      <c r="IC2268"/>
      <c r="ID2268"/>
      <c r="IE2268"/>
      <c r="IF2268"/>
      <c r="IG2268"/>
      <c r="IH2268"/>
      <c r="II2268"/>
      <c r="IJ2268"/>
      <c r="IK2268"/>
      <c r="IL2268"/>
      <c r="IM2268"/>
      <c r="IN2268"/>
      <c r="IO2268"/>
      <c r="IP2268"/>
      <c r="IQ2268"/>
      <c r="IR2268"/>
      <c r="IS2268"/>
      <c r="IT2268"/>
      <c r="IU2268"/>
      <c r="IV2268"/>
      <c r="IW2268"/>
      <c r="IX2268"/>
      <c r="IY2268"/>
      <c r="IZ2268"/>
      <c r="JA2268"/>
      <c r="JB2268"/>
      <c r="JC2268"/>
      <c r="JD2268"/>
      <c r="JE2268"/>
      <c r="JF2268"/>
      <c r="JG2268"/>
      <c r="JH2268"/>
      <c r="JI2268"/>
      <c r="JJ2268"/>
      <c r="JK2268"/>
      <c r="JL2268"/>
      <c r="JM2268"/>
      <c r="JN2268"/>
      <c r="JO2268"/>
      <c r="JP2268"/>
      <c r="JQ2268"/>
      <c r="JR2268"/>
      <c r="JS2268"/>
      <c r="JT2268"/>
      <c r="JU2268"/>
      <c r="JV2268"/>
      <c r="JW2268"/>
      <c r="JX2268"/>
    </row>
    <row r="2269" spans="1:284">
      <c r="A2269" s="137" t="s">
        <v>2497</v>
      </c>
      <c r="B2269" s="97" t="s">
        <v>1898</v>
      </c>
      <c r="C2269" s="138">
        <v>3129</v>
      </c>
      <c r="D2269" s="56" t="s">
        <v>1904</v>
      </c>
      <c r="E2269" s="129">
        <f>VLOOKUP($C2269,'2021-22 School Level AAFTE'!$C:$Z,11,FALSE)</f>
        <v>0.58616666666666661</v>
      </c>
      <c r="F2269" s="129" t="str">
        <f>VLOOKUP($C2269,'2021-22 School Level AAFTE'!$C:$Z,8,FALSE)</f>
        <v>Yes</v>
      </c>
      <c r="G2269" s="129" t="str">
        <f>VLOOKUP($C2269,'2021-22 School Level AAFTE'!$C:$Z,12,FALSE)</f>
        <v>No</v>
      </c>
      <c r="H2269" s="127">
        <f>VLOOKUP($C2269,'2021-22 School Level AAFTE'!$C:$I,7,FALSE)</f>
        <v>226.04</v>
      </c>
      <c r="I2269" s="112">
        <f>IFERROR(IF(OR(G2269="yes",F2269= "yes"),VLOOKUP(C2269,Summary!$B:$J,6,0),0),0)</f>
        <v>0</v>
      </c>
      <c r="J2269" s="111">
        <f t="shared" si="441"/>
        <v>226.04</v>
      </c>
      <c r="K2269" s="91">
        <f>VLOOKUP($A2269,'2022-23 Salary &amp; Benefits'!$A:$I,3,FALSE)</f>
        <v>1</v>
      </c>
      <c r="L2269" s="91">
        <f>VLOOKUP($A2269,'2022-23 Salary &amp; Benefits'!$A:$I,4,FALSE)</f>
        <v>1</v>
      </c>
      <c r="M2269" s="101">
        <f t="shared" si="436"/>
        <v>226.04</v>
      </c>
      <c r="N2269" s="24">
        <v>15</v>
      </c>
      <c r="O2269" s="26">
        <f t="shared" si="439"/>
        <v>15.069333333333333</v>
      </c>
      <c r="P2269" s="24">
        <v>1.1000000000000001</v>
      </c>
      <c r="Q2269" s="24">
        <v>36</v>
      </c>
      <c r="R2269" s="27">
        <f t="shared" si="440"/>
        <v>596.74560000000008</v>
      </c>
      <c r="S2269" s="102">
        <f t="shared" si="442"/>
        <v>0.66300000000000003</v>
      </c>
      <c r="T2269" s="21">
        <f>VLOOKUP($A2269,'2022-23 Salary &amp; Benefits'!$A:$I,5,FALSE)</f>
        <v>68937</v>
      </c>
      <c r="U2269" s="21">
        <f>VLOOKUP($A2269,'2022-23 Salary &amp; Benefits'!$A:$I,6,FALSE)</f>
        <v>72728</v>
      </c>
      <c r="V2269" s="22">
        <f t="shared" si="443"/>
        <v>45705.23</v>
      </c>
      <c r="W2269" s="22">
        <f t="shared" si="444"/>
        <v>2513.4300000000003</v>
      </c>
      <c r="X2269" s="22">
        <f>'2022-23 Salary &amp; Benefits'!$G$6</f>
        <v>12558.24</v>
      </c>
      <c r="Y2269" s="23">
        <f>'2022-23 Salary &amp; Benefits'!$H$6</f>
        <v>0.2298</v>
      </c>
      <c r="Z2269" s="23">
        <f>'2022-23 Salary &amp; Benefits'!$I$6</f>
        <v>0.22339999999999999</v>
      </c>
      <c r="AA2269" s="22">
        <f t="shared" si="445"/>
        <v>19390.68</v>
      </c>
      <c r="AB2269" s="22">
        <f t="shared" si="446"/>
        <v>803.64</v>
      </c>
      <c r="AC2269" s="22">
        <f t="shared" si="447"/>
        <v>179.53</v>
      </c>
      <c r="AD2269" s="22">
        <f t="shared" si="437"/>
        <v>983.17</v>
      </c>
      <c r="AE2269" s="22">
        <f t="shared" si="438"/>
        <v>68592.509999999995</v>
      </c>
      <c r="AF2269" s="19" t="str">
        <f>VLOOKUP(C2269,'2021-22 School Level AAFTE'!C:N,12,FALSE)</f>
        <v>No</v>
      </c>
      <c r="AG2269" s="56"/>
      <c r="AH2269" s="56"/>
      <c r="AI2269" s="56"/>
      <c r="AJ2269" s="56"/>
      <c r="AK2269" s="56"/>
      <c r="AL2269" s="56"/>
      <c r="AM2269" s="56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  <c r="HX2269"/>
      <c r="HY2269"/>
      <c r="HZ2269"/>
      <c r="IA2269"/>
      <c r="IB2269"/>
      <c r="IC2269"/>
      <c r="ID2269"/>
      <c r="IE2269"/>
      <c r="IF2269"/>
      <c r="IG2269"/>
      <c r="IH2269"/>
      <c r="II2269"/>
      <c r="IJ2269"/>
      <c r="IK2269"/>
      <c r="IL2269"/>
      <c r="IM2269"/>
      <c r="IN2269"/>
      <c r="IO2269"/>
      <c r="IP2269"/>
      <c r="IQ2269"/>
      <c r="IR2269"/>
      <c r="IS2269"/>
      <c r="IT2269"/>
      <c r="IU2269"/>
      <c r="IV2269"/>
      <c r="IW2269"/>
      <c r="IX2269"/>
      <c r="IY2269"/>
      <c r="IZ2269"/>
      <c r="JA2269"/>
      <c r="JB2269"/>
      <c r="JC2269"/>
      <c r="JD2269"/>
      <c r="JE2269"/>
      <c r="JF2269"/>
      <c r="JG2269"/>
      <c r="JH2269"/>
      <c r="JI2269"/>
      <c r="JJ2269"/>
      <c r="JK2269"/>
      <c r="JL2269"/>
      <c r="JM2269"/>
      <c r="JN2269"/>
      <c r="JO2269"/>
      <c r="JP2269"/>
      <c r="JQ2269"/>
      <c r="JR2269"/>
      <c r="JS2269"/>
      <c r="JT2269"/>
      <c r="JU2269"/>
      <c r="JV2269"/>
      <c r="JW2269"/>
      <c r="JX2269"/>
    </row>
    <row r="2270" spans="1:284">
      <c r="A2270" s="97" t="s">
        <v>2497</v>
      </c>
      <c r="B2270" s="97" t="s">
        <v>1898</v>
      </c>
      <c r="C2270" s="95">
        <v>3194</v>
      </c>
      <c r="D2270" s="95" t="s">
        <v>1905</v>
      </c>
      <c r="E2270" s="129">
        <f>VLOOKUP($C2270,'2021-22 School Level AAFTE'!$C:$Z,11,FALSE)</f>
        <v>0.31559999999999999</v>
      </c>
      <c r="F2270" s="129" t="str">
        <f>VLOOKUP($C2270,'2021-22 School Level AAFTE'!$C:$Z,8,FALSE)</f>
        <v>No</v>
      </c>
      <c r="G2270" s="129" t="str">
        <f>VLOOKUP($C2270,'2021-22 School Level AAFTE'!$C:$Z,12,FALSE)</f>
        <v>No</v>
      </c>
      <c r="H2270" s="127">
        <f>VLOOKUP($C2270,'2021-22 School Level AAFTE'!$C:$I,7,FALSE)</f>
        <v>320.70999999999998</v>
      </c>
      <c r="I2270" s="112">
        <f>IFERROR(IF(OR(G2270="yes",F2270= "yes"),VLOOKUP(C2270,Summary!$B:$J,6,0),0),0)</f>
        <v>0</v>
      </c>
      <c r="J2270" s="111">
        <f t="shared" si="441"/>
        <v>0</v>
      </c>
      <c r="K2270" s="91">
        <f>VLOOKUP($A2270,'2022-23 Salary &amp; Benefits'!$A:$I,3,FALSE)</f>
        <v>1</v>
      </c>
      <c r="L2270" s="91">
        <f>VLOOKUP($A2270,'2022-23 Salary &amp; Benefits'!$A:$I,4,FALSE)</f>
        <v>1</v>
      </c>
      <c r="M2270" s="101">
        <f t="shared" si="436"/>
        <v>0</v>
      </c>
      <c r="N2270" s="24">
        <v>15</v>
      </c>
      <c r="O2270" s="26">
        <f t="shared" si="439"/>
        <v>0</v>
      </c>
      <c r="P2270" s="24">
        <v>1.1000000000000001</v>
      </c>
      <c r="Q2270" s="24">
        <v>36</v>
      </c>
      <c r="R2270" s="27">
        <f t="shared" si="440"/>
        <v>0</v>
      </c>
      <c r="S2270" s="102">
        <f t="shared" si="442"/>
        <v>0</v>
      </c>
      <c r="T2270" s="21">
        <f>VLOOKUP($A2270,'2022-23 Salary &amp; Benefits'!$A:$I,5,FALSE)</f>
        <v>68937</v>
      </c>
      <c r="U2270" s="21">
        <f>VLOOKUP($A2270,'2022-23 Salary &amp; Benefits'!$A:$I,6,FALSE)</f>
        <v>72728</v>
      </c>
      <c r="V2270" s="22">
        <f t="shared" si="443"/>
        <v>0</v>
      </c>
      <c r="W2270" s="22">
        <f t="shared" si="444"/>
        <v>0</v>
      </c>
      <c r="X2270" s="22">
        <f>'2022-23 Salary &amp; Benefits'!$G$6</f>
        <v>12558.24</v>
      </c>
      <c r="Y2270" s="23">
        <f>'2022-23 Salary &amp; Benefits'!$H$6</f>
        <v>0.2298</v>
      </c>
      <c r="Z2270" s="23">
        <f>'2022-23 Salary &amp; Benefits'!$I$6</f>
        <v>0.22339999999999999</v>
      </c>
      <c r="AA2270" s="22">
        <f t="shared" si="445"/>
        <v>0</v>
      </c>
      <c r="AB2270" s="22">
        <f t="shared" si="446"/>
        <v>0</v>
      </c>
      <c r="AC2270" s="22">
        <f t="shared" si="447"/>
        <v>0</v>
      </c>
      <c r="AD2270" s="22">
        <f t="shared" si="437"/>
        <v>0</v>
      </c>
      <c r="AE2270" s="22">
        <f t="shared" si="438"/>
        <v>0</v>
      </c>
      <c r="AF2270" s="19" t="str">
        <f>VLOOKUP(C2270,'2021-22 School Level AAFTE'!C:N,12,FALSE)</f>
        <v>No</v>
      </c>
      <c r="AG2270" s="56"/>
      <c r="AH2270" s="56"/>
      <c r="AI2270" s="56"/>
      <c r="AJ2270" s="56"/>
      <c r="AK2270" s="56"/>
      <c r="AL2270" s="56"/>
      <c r="AM2270" s="56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  <c r="IA2270"/>
      <c r="IB2270"/>
      <c r="IC2270"/>
      <c r="ID2270"/>
      <c r="IE2270"/>
      <c r="IF2270"/>
      <c r="IG2270"/>
      <c r="IH2270"/>
      <c r="II2270"/>
      <c r="IJ2270"/>
      <c r="IK2270"/>
      <c r="IL2270"/>
      <c r="IM2270"/>
      <c r="IN2270"/>
      <c r="IO2270"/>
      <c r="IP2270"/>
      <c r="IQ2270"/>
      <c r="IR2270"/>
      <c r="IS2270"/>
      <c r="IT2270"/>
      <c r="IU2270"/>
      <c r="IV2270"/>
      <c r="IW2270"/>
      <c r="IX2270"/>
      <c r="IY2270"/>
      <c r="IZ2270"/>
      <c r="JA2270"/>
      <c r="JB2270"/>
      <c r="JC2270"/>
      <c r="JD2270"/>
      <c r="JE2270"/>
      <c r="JF2270"/>
      <c r="JG2270"/>
      <c r="JH2270"/>
      <c r="JI2270"/>
      <c r="JJ2270"/>
      <c r="JK2270"/>
      <c r="JL2270"/>
      <c r="JM2270"/>
      <c r="JN2270"/>
      <c r="JO2270"/>
      <c r="JP2270"/>
      <c r="JQ2270"/>
      <c r="JR2270"/>
      <c r="JS2270"/>
      <c r="JT2270"/>
      <c r="JU2270"/>
      <c r="JV2270"/>
      <c r="JW2270"/>
      <c r="JX2270"/>
    </row>
    <row r="2271" spans="1:284">
      <c r="A2271" s="97" t="s">
        <v>2497</v>
      </c>
      <c r="B2271" s="97" t="s">
        <v>1898</v>
      </c>
      <c r="C2271" s="95">
        <v>3195</v>
      </c>
      <c r="D2271" s="95" t="s">
        <v>1906</v>
      </c>
      <c r="E2271" s="129">
        <f>VLOOKUP($C2271,'2021-22 School Level AAFTE'!$C:$Z,11,FALSE)</f>
        <v>0.4190666666666667</v>
      </c>
      <c r="F2271" s="129" t="str">
        <f>VLOOKUP($C2271,'2021-22 School Level AAFTE'!$C:$Z,8,FALSE)</f>
        <v>No</v>
      </c>
      <c r="G2271" s="129" t="str">
        <f>VLOOKUP($C2271,'2021-22 School Level AAFTE'!$C:$Z,12,FALSE)</f>
        <v>No</v>
      </c>
      <c r="H2271" s="127">
        <f>VLOOKUP($C2271,'2021-22 School Level AAFTE'!$C:$I,7,FALSE)</f>
        <v>889.54</v>
      </c>
      <c r="I2271" s="112">
        <f>IFERROR(IF(OR(G2271="yes",F2271= "yes"),VLOOKUP(C2271,Summary!$B:$J,6,0),0),0)</f>
        <v>0</v>
      </c>
      <c r="J2271" s="111">
        <f t="shared" si="441"/>
        <v>0</v>
      </c>
      <c r="K2271" s="91">
        <f>VLOOKUP($A2271,'2022-23 Salary &amp; Benefits'!$A:$I,3,FALSE)</f>
        <v>1</v>
      </c>
      <c r="L2271" s="91">
        <f>VLOOKUP($A2271,'2022-23 Salary &amp; Benefits'!$A:$I,4,FALSE)</f>
        <v>1</v>
      </c>
      <c r="M2271" s="101">
        <f t="shared" si="436"/>
        <v>0</v>
      </c>
      <c r="N2271" s="24">
        <v>15</v>
      </c>
      <c r="O2271" s="26">
        <f t="shared" si="439"/>
        <v>0</v>
      </c>
      <c r="P2271" s="24">
        <v>1.1000000000000001</v>
      </c>
      <c r="Q2271" s="24">
        <v>36</v>
      </c>
      <c r="R2271" s="27">
        <f t="shared" si="440"/>
        <v>0</v>
      </c>
      <c r="S2271" s="102">
        <f t="shared" si="442"/>
        <v>0</v>
      </c>
      <c r="T2271" s="21">
        <f>VLOOKUP($A2271,'2022-23 Salary &amp; Benefits'!$A:$I,5,FALSE)</f>
        <v>68937</v>
      </c>
      <c r="U2271" s="21">
        <f>VLOOKUP($A2271,'2022-23 Salary &amp; Benefits'!$A:$I,6,FALSE)</f>
        <v>72728</v>
      </c>
      <c r="V2271" s="22">
        <f t="shared" si="443"/>
        <v>0</v>
      </c>
      <c r="W2271" s="22">
        <f t="shared" si="444"/>
        <v>0</v>
      </c>
      <c r="X2271" s="22">
        <f>'2022-23 Salary &amp; Benefits'!$G$6</f>
        <v>12558.24</v>
      </c>
      <c r="Y2271" s="23">
        <f>'2022-23 Salary &amp; Benefits'!$H$6</f>
        <v>0.2298</v>
      </c>
      <c r="Z2271" s="23">
        <f>'2022-23 Salary &amp; Benefits'!$I$6</f>
        <v>0.22339999999999999</v>
      </c>
      <c r="AA2271" s="22">
        <f t="shared" si="445"/>
        <v>0</v>
      </c>
      <c r="AB2271" s="22">
        <f t="shared" si="446"/>
        <v>0</v>
      </c>
      <c r="AC2271" s="22">
        <f t="shared" si="447"/>
        <v>0</v>
      </c>
      <c r="AD2271" s="22">
        <f t="shared" si="437"/>
        <v>0</v>
      </c>
      <c r="AE2271" s="22">
        <f t="shared" si="438"/>
        <v>0</v>
      </c>
      <c r="AF2271" s="19" t="str">
        <f>VLOOKUP(C2271,'2021-22 School Level AAFTE'!C:N,12,FALSE)</f>
        <v>No</v>
      </c>
      <c r="AG2271" s="56"/>
      <c r="AH2271" s="56"/>
      <c r="AI2271" s="56"/>
      <c r="AJ2271" s="56"/>
      <c r="AK2271" s="56"/>
      <c r="AL2271" s="56"/>
      <c r="AM2271" s="56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  <c r="HX2271"/>
      <c r="HY2271"/>
      <c r="HZ2271"/>
      <c r="IA2271"/>
      <c r="IB2271"/>
      <c r="IC2271"/>
      <c r="ID2271"/>
      <c r="IE2271"/>
      <c r="IF2271"/>
      <c r="IG2271"/>
      <c r="IH2271"/>
      <c r="II2271"/>
      <c r="IJ2271"/>
      <c r="IK2271"/>
      <c r="IL2271"/>
      <c r="IM2271"/>
      <c r="IN2271"/>
      <c r="IO2271"/>
      <c r="IP2271"/>
      <c r="IQ2271"/>
      <c r="IR2271"/>
      <c r="IS2271"/>
      <c r="IT2271"/>
      <c r="IU2271"/>
      <c r="IV2271"/>
      <c r="IW2271"/>
      <c r="IX2271"/>
      <c r="IY2271"/>
      <c r="IZ2271"/>
      <c r="JA2271"/>
      <c r="JB2271"/>
      <c r="JC2271"/>
      <c r="JD2271"/>
      <c r="JE2271"/>
      <c r="JF2271"/>
      <c r="JG2271"/>
      <c r="JH2271"/>
      <c r="JI2271"/>
      <c r="JJ2271"/>
      <c r="JK2271"/>
      <c r="JL2271"/>
      <c r="JM2271"/>
      <c r="JN2271"/>
      <c r="JO2271"/>
      <c r="JP2271"/>
      <c r="JQ2271"/>
      <c r="JR2271"/>
      <c r="JS2271"/>
      <c r="JT2271"/>
      <c r="JU2271"/>
      <c r="JV2271"/>
      <c r="JW2271"/>
      <c r="JX2271"/>
    </row>
    <row r="2272" spans="1:284">
      <c r="A2272" s="97" t="s">
        <v>2497</v>
      </c>
      <c r="B2272" s="97" t="s">
        <v>1898</v>
      </c>
      <c r="C2272" s="95">
        <v>3196</v>
      </c>
      <c r="D2272" s="95" t="s">
        <v>1907</v>
      </c>
      <c r="E2272" s="129">
        <f>VLOOKUP($C2272,'2021-22 School Level AAFTE'!$C:$Z,11,FALSE)</f>
        <v>0.66183333333333338</v>
      </c>
      <c r="F2272" s="129" t="str">
        <f>VLOOKUP($C2272,'2021-22 School Level AAFTE'!$C:$Z,8,FALSE)</f>
        <v>Yes</v>
      </c>
      <c r="G2272" s="129" t="str">
        <f>VLOOKUP($C2272,'2021-22 School Level AAFTE'!$C:$Z,12,FALSE)</f>
        <v>No</v>
      </c>
      <c r="H2272" s="127">
        <f>VLOOKUP($C2272,'2021-22 School Level AAFTE'!$C:$I,7,FALSE)</f>
        <v>248.46</v>
      </c>
      <c r="I2272" s="112">
        <f>IFERROR(IF(OR(G2272="yes",F2272= "yes"),VLOOKUP(C2272,Summary!$B:$J,6,0),0),0)</f>
        <v>0</v>
      </c>
      <c r="J2272" s="111">
        <f t="shared" si="441"/>
        <v>248.46</v>
      </c>
      <c r="K2272" s="91">
        <f>VLOOKUP($A2272,'2022-23 Salary &amp; Benefits'!$A:$I,3,FALSE)</f>
        <v>1</v>
      </c>
      <c r="L2272" s="91">
        <f>VLOOKUP($A2272,'2022-23 Salary &amp; Benefits'!$A:$I,4,FALSE)</f>
        <v>1</v>
      </c>
      <c r="M2272" s="101">
        <f t="shared" si="436"/>
        <v>248.46</v>
      </c>
      <c r="N2272" s="24">
        <v>15</v>
      </c>
      <c r="O2272" s="26">
        <f t="shared" si="439"/>
        <v>16.564</v>
      </c>
      <c r="P2272" s="24">
        <v>1.1000000000000001</v>
      </c>
      <c r="Q2272" s="24">
        <v>36</v>
      </c>
      <c r="R2272" s="27">
        <f t="shared" si="440"/>
        <v>655.9344000000001</v>
      </c>
      <c r="S2272" s="102">
        <f t="shared" si="442"/>
        <v>0.72899999999999998</v>
      </c>
      <c r="T2272" s="21">
        <f>VLOOKUP($A2272,'2022-23 Salary &amp; Benefits'!$A:$I,5,FALSE)</f>
        <v>68937</v>
      </c>
      <c r="U2272" s="21">
        <f>VLOOKUP($A2272,'2022-23 Salary &amp; Benefits'!$A:$I,6,FALSE)</f>
        <v>72728</v>
      </c>
      <c r="V2272" s="22">
        <f t="shared" si="443"/>
        <v>50255.07</v>
      </c>
      <c r="W2272" s="22">
        <f t="shared" si="444"/>
        <v>2763.6399999999994</v>
      </c>
      <c r="X2272" s="22">
        <f>'2022-23 Salary &amp; Benefits'!$G$6</f>
        <v>12558.24</v>
      </c>
      <c r="Y2272" s="23">
        <f>'2022-23 Salary &amp; Benefits'!$H$6</f>
        <v>0.2298</v>
      </c>
      <c r="Z2272" s="23">
        <f>'2022-23 Salary &amp; Benefits'!$I$6</f>
        <v>0.22339999999999999</v>
      </c>
      <c r="AA2272" s="22">
        <f t="shared" si="445"/>
        <v>21320.97</v>
      </c>
      <c r="AB2272" s="22">
        <f t="shared" si="446"/>
        <v>883.65</v>
      </c>
      <c r="AC2272" s="22">
        <f t="shared" si="447"/>
        <v>197.41</v>
      </c>
      <c r="AD2272" s="22">
        <f t="shared" si="437"/>
        <v>1081.06</v>
      </c>
      <c r="AE2272" s="22">
        <f t="shared" si="438"/>
        <v>75420.740000000005</v>
      </c>
      <c r="AF2272" s="19" t="str">
        <f>VLOOKUP(C2272,'2021-22 School Level AAFTE'!C:N,12,FALSE)</f>
        <v>No</v>
      </c>
      <c r="AG2272" s="56"/>
      <c r="AH2272" s="56"/>
      <c r="AI2272" s="56"/>
      <c r="AJ2272" s="56"/>
      <c r="AK2272" s="56"/>
      <c r="AL2272" s="56"/>
      <c r="AM2272" s="56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  <c r="HX2272"/>
      <c r="HY2272"/>
      <c r="HZ2272"/>
      <c r="IA2272"/>
      <c r="IB2272"/>
      <c r="IC2272"/>
      <c r="ID2272"/>
      <c r="IE2272"/>
      <c r="IF2272"/>
      <c r="IG2272"/>
      <c r="IH2272"/>
      <c r="II2272"/>
      <c r="IJ2272"/>
      <c r="IK2272"/>
      <c r="IL2272"/>
      <c r="IM2272"/>
      <c r="IN2272"/>
      <c r="IO2272"/>
      <c r="IP2272"/>
      <c r="IQ2272"/>
      <c r="IR2272"/>
      <c r="IS2272"/>
      <c r="IT2272"/>
      <c r="IU2272"/>
      <c r="IV2272"/>
      <c r="IW2272"/>
      <c r="IX2272"/>
      <c r="IY2272"/>
      <c r="IZ2272"/>
      <c r="JA2272"/>
      <c r="JB2272"/>
      <c r="JC2272"/>
      <c r="JD2272"/>
      <c r="JE2272"/>
      <c r="JF2272"/>
      <c r="JG2272"/>
      <c r="JH2272"/>
      <c r="JI2272"/>
      <c r="JJ2272"/>
      <c r="JK2272"/>
      <c r="JL2272"/>
      <c r="JM2272"/>
      <c r="JN2272"/>
      <c r="JO2272"/>
      <c r="JP2272"/>
      <c r="JQ2272"/>
      <c r="JR2272"/>
      <c r="JS2272"/>
      <c r="JT2272"/>
      <c r="JU2272"/>
      <c r="JV2272"/>
      <c r="JW2272"/>
      <c r="JX2272"/>
    </row>
    <row r="2273" spans="1:39" customFormat="1">
      <c r="A2273" s="97" t="s">
        <v>2497</v>
      </c>
      <c r="B2273" s="97" t="s">
        <v>1898</v>
      </c>
      <c r="C2273" s="95">
        <v>3538</v>
      </c>
      <c r="D2273" s="95" t="s">
        <v>1737</v>
      </c>
      <c r="E2273" s="129">
        <f>VLOOKUP($C2273,'2021-22 School Level AAFTE'!$C:$Z,11,FALSE)</f>
        <v>0.52559999999999996</v>
      </c>
      <c r="F2273" s="129" t="str">
        <f>VLOOKUP($C2273,'2021-22 School Level AAFTE'!$C:$Z,8,FALSE)</f>
        <v>Yes</v>
      </c>
      <c r="G2273" s="129" t="str">
        <f>VLOOKUP($C2273,'2021-22 School Level AAFTE'!$C:$Z,12,FALSE)</f>
        <v>No</v>
      </c>
      <c r="H2273" s="127">
        <f>VLOOKUP($C2273,'2021-22 School Level AAFTE'!$C:$I,7,FALSE)</f>
        <v>571.03</v>
      </c>
      <c r="I2273" s="112">
        <f>IFERROR(IF(OR(G2273="yes",F2273= "yes"),VLOOKUP(C2273,Summary!$B:$J,6,0),0),0)</f>
        <v>0</v>
      </c>
      <c r="J2273" s="111">
        <f t="shared" si="441"/>
        <v>571.03</v>
      </c>
      <c r="K2273" s="91">
        <f>VLOOKUP($A2273,'2022-23 Salary &amp; Benefits'!$A:$I,3,FALSE)</f>
        <v>1</v>
      </c>
      <c r="L2273" s="91">
        <f>VLOOKUP($A2273,'2022-23 Salary &amp; Benefits'!$A:$I,4,FALSE)</f>
        <v>1</v>
      </c>
      <c r="M2273" s="101">
        <f t="shared" si="436"/>
        <v>571.03</v>
      </c>
      <c r="N2273" s="24">
        <v>15</v>
      </c>
      <c r="O2273" s="26">
        <f t="shared" si="439"/>
        <v>38.068666666666665</v>
      </c>
      <c r="P2273" s="24">
        <v>1.1000000000000001</v>
      </c>
      <c r="Q2273" s="24">
        <v>36</v>
      </c>
      <c r="R2273" s="27">
        <f t="shared" si="440"/>
        <v>1507.5192000000002</v>
      </c>
      <c r="S2273" s="102">
        <f t="shared" si="442"/>
        <v>1.675</v>
      </c>
      <c r="T2273" s="21">
        <f>VLOOKUP($A2273,'2022-23 Salary &amp; Benefits'!$A:$I,5,FALSE)</f>
        <v>68937</v>
      </c>
      <c r="U2273" s="21">
        <f>VLOOKUP($A2273,'2022-23 Salary &amp; Benefits'!$A:$I,6,FALSE)</f>
        <v>72728</v>
      </c>
      <c r="V2273" s="22">
        <f t="shared" si="443"/>
        <v>115469.48</v>
      </c>
      <c r="W2273" s="22">
        <f t="shared" si="444"/>
        <v>6349.9199999999983</v>
      </c>
      <c r="X2273" s="22">
        <f>'2022-23 Salary &amp; Benefits'!$G$6</f>
        <v>12558.24</v>
      </c>
      <c r="Y2273" s="23">
        <f>'2022-23 Salary &amp; Benefits'!$H$6</f>
        <v>0.2298</v>
      </c>
      <c r="Z2273" s="23">
        <f>'2022-23 Salary &amp; Benefits'!$I$6</f>
        <v>0.22339999999999999</v>
      </c>
      <c r="AA2273" s="22">
        <f t="shared" si="445"/>
        <v>48988.51</v>
      </c>
      <c r="AB2273" s="22">
        <f t="shared" si="446"/>
        <v>2030.32</v>
      </c>
      <c r="AC2273" s="22">
        <f t="shared" si="447"/>
        <v>453.57</v>
      </c>
      <c r="AD2273" s="22">
        <f t="shared" si="437"/>
        <v>2483.89</v>
      </c>
      <c r="AE2273" s="22">
        <f t="shared" si="438"/>
        <v>173291.8</v>
      </c>
      <c r="AF2273" s="19" t="str">
        <f>VLOOKUP(C2273,'2021-22 School Level AAFTE'!C:N,12,FALSE)</f>
        <v>No</v>
      </c>
      <c r="AG2273" s="56"/>
      <c r="AH2273" s="56"/>
      <c r="AI2273" s="56"/>
      <c r="AJ2273" s="56"/>
      <c r="AK2273" s="56"/>
      <c r="AL2273" s="56"/>
      <c r="AM2273" s="56"/>
    </row>
    <row r="2274" spans="1:39" customFormat="1">
      <c r="A2274" s="56" t="s">
        <v>2497</v>
      </c>
      <c r="B2274" s="97" t="s">
        <v>1898</v>
      </c>
      <c r="C2274" s="95">
        <v>5356</v>
      </c>
      <c r="D2274" s="56" t="s">
        <v>2748</v>
      </c>
      <c r="E2274" s="129">
        <f>VLOOKUP($C2274,'2021-22 School Level AAFTE'!$C:$Z,11,FALSE)</f>
        <v>0.66669999999999996</v>
      </c>
      <c r="F2274" s="129" t="str">
        <f>VLOOKUP($C2274,'2021-22 School Level AAFTE'!$C:$Z,8,FALSE)</f>
        <v>Yes</v>
      </c>
      <c r="G2274" s="129" t="str">
        <f>VLOOKUP($C2274,'2021-22 School Level AAFTE'!$C:$Z,12,FALSE)</f>
        <v>No</v>
      </c>
      <c r="H2274" s="127">
        <f>VLOOKUP($C2274,'2021-22 School Level AAFTE'!$C:$I,7,FALSE)</f>
        <v>2.57</v>
      </c>
      <c r="I2274" s="112">
        <f>IFERROR(IF(OR(G2274="yes",F2274= "yes"),VLOOKUP(C2274,Summary!$B:$J,6,0),0),0)</f>
        <v>0</v>
      </c>
      <c r="J2274" s="111">
        <f t="shared" si="441"/>
        <v>2.57</v>
      </c>
      <c r="K2274" s="91">
        <f>VLOOKUP($A2274,'2022-23 Salary &amp; Benefits'!$A:$I,3,FALSE)</f>
        <v>1</v>
      </c>
      <c r="L2274" s="91">
        <f>VLOOKUP($A2274,'2022-23 Salary &amp; Benefits'!$A:$I,4,FALSE)</f>
        <v>1</v>
      </c>
      <c r="M2274" s="101">
        <f t="shared" si="436"/>
        <v>2.57</v>
      </c>
      <c r="N2274" s="24">
        <v>15</v>
      </c>
      <c r="O2274" s="26">
        <f t="shared" si="439"/>
        <v>0.17133333333333331</v>
      </c>
      <c r="P2274" s="24">
        <v>1.1000000000000001</v>
      </c>
      <c r="Q2274" s="24">
        <v>36</v>
      </c>
      <c r="R2274" s="27">
        <f t="shared" si="440"/>
        <v>6.7847999999999988</v>
      </c>
      <c r="S2274" s="102">
        <f t="shared" si="442"/>
        <v>8.0000000000000002E-3</v>
      </c>
      <c r="T2274" s="21">
        <f>VLOOKUP($A2274,'2022-23 Salary &amp; Benefits'!$A:$I,5,FALSE)</f>
        <v>68937</v>
      </c>
      <c r="U2274" s="21">
        <f>VLOOKUP($A2274,'2022-23 Salary &amp; Benefits'!$A:$I,6,FALSE)</f>
        <v>72728</v>
      </c>
      <c r="V2274" s="22">
        <f t="shared" si="443"/>
        <v>551.5</v>
      </c>
      <c r="W2274" s="22">
        <f t="shared" si="444"/>
        <v>30.32000000000005</v>
      </c>
      <c r="X2274" s="22">
        <f>'2022-23 Salary &amp; Benefits'!$G$6</f>
        <v>12558.24</v>
      </c>
      <c r="Y2274" s="23">
        <f>'2022-23 Salary &amp; Benefits'!$H$6</f>
        <v>0.2298</v>
      </c>
      <c r="Z2274" s="23">
        <f>'2022-23 Salary &amp; Benefits'!$I$6</f>
        <v>0.22339999999999999</v>
      </c>
      <c r="AA2274" s="22">
        <f t="shared" si="445"/>
        <v>233.97</v>
      </c>
      <c r="AB2274" s="22">
        <f t="shared" si="446"/>
        <v>9.6999999999999993</v>
      </c>
      <c r="AC2274" s="22">
        <f t="shared" si="447"/>
        <v>2.17</v>
      </c>
      <c r="AD2274" s="22">
        <f t="shared" si="437"/>
        <v>11.87</v>
      </c>
      <c r="AE2274" s="22">
        <f t="shared" si="438"/>
        <v>827.66000000000008</v>
      </c>
      <c r="AF2274" s="19" t="str">
        <f>VLOOKUP(C2274,'2021-22 School Level AAFTE'!C:N,12,FALSE)</f>
        <v>No</v>
      </c>
      <c r="AG2274" s="56"/>
      <c r="AH2274" s="56"/>
      <c r="AI2274" s="56"/>
      <c r="AJ2274" s="56"/>
      <c r="AK2274" s="56"/>
      <c r="AL2274" s="56"/>
      <c r="AM2274" s="56"/>
    </row>
    <row r="2275" spans="1:39" customFormat="1">
      <c r="A2275" s="97" t="s">
        <v>2497</v>
      </c>
      <c r="B2275" s="97" t="s">
        <v>1898</v>
      </c>
      <c r="C2275" s="95">
        <v>5645</v>
      </c>
      <c r="D2275" s="95" t="s">
        <v>1901</v>
      </c>
      <c r="E2275" s="129">
        <f>VLOOKUP($C2275,'2021-22 School Level AAFTE'!$C:$Z,11,FALSE)</f>
        <v>0.56925000000000003</v>
      </c>
      <c r="F2275" s="129" t="str">
        <f>VLOOKUP($C2275,'2021-22 School Level AAFTE'!$C:$Z,8,FALSE)</f>
        <v>Yes</v>
      </c>
      <c r="G2275" s="129" t="str">
        <f>VLOOKUP($C2275,'2021-22 School Level AAFTE'!$C:$Z,12,FALSE)</f>
        <v>No</v>
      </c>
      <c r="H2275" s="127">
        <f>VLOOKUP($C2275,'2021-22 School Level AAFTE'!$C:$I,7,FALSE)</f>
        <v>252.35</v>
      </c>
      <c r="I2275" s="112">
        <f>IFERROR(IF(OR(G2275="yes",F2275= "yes"),VLOOKUP(C2275,Summary!$B:$J,6,0),0),0)</f>
        <v>0</v>
      </c>
      <c r="J2275" s="111">
        <f t="shared" si="441"/>
        <v>252.35</v>
      </c>
      <c r="K2275" s="91">
        <f>VLOOKUP($A2275,'2022-23 Salary &amp; Benefits'!$A:$I,3,FALSE)</f>
        <v>1</v>
      </c>
      <c r="L2275" s="91">
        <f>VLOOKUP($A2275,'2022-23 Salary &amp; Benefits'!$A:$I,4,FALSE)</f>
        <v>1</v>
      </c>
      <c r="M2275" s="101">
        <f t="shared" si="436"/>
        <v>252.35</v>
      </c>
      <c r="N2275" s="24">
        <v>15</v>
      </c>
      <c r="O2275" s="26">
        <f t="shared" si="439"/>
        <v>16.823333333333334</v>
      </c>
      <c r="P2275" s="24">
        <v>1.1000000000000001</v>
      </c>
      <c r="Q2275" s="24">
        <v>36</v>
      </c>
      <c r="R2275" s="27">
        <f t="shared" si="440"/>
        <v>666.20400000000018</v>
      </c>
      <c r="S2275" s="102">
        <f t="shared" si="442"/>
        <v>0.74</v>
      </c>
      <c r="T2275" s="21">
        <f>VLOOKUP($A2275,'2022-23 Salary &amp; Benefits'!$A:$I,5,FALSE)</f>
        <v>68937</v>
      </c>
      <c r="U2275" s="21">
        <f>VLOOKUP($A2275,'2022-23 Salary &amp; Benefits'!$A:$I,6,FALSE)</f>
        <v>72728</v>
      </c>
      <c r="V2275" s="22">
        <f t="shared" si="443"/>
        <v>51013.38</v>
      </c>
      <c r="W2275" s="22">
        <f t="shared" si="444"/>
        <v>2805.3400000000038</v>
      </c>
      <c r="X2275" s="22">
        <f>'2022-23 Salary &amp; Benefits'!$G$6</f>
        <v>12558.24</v>
      </c>
      <c r="Y2275" s="23">
        <f>'2022-23 Salary &amp; Benefits'!$H$6</f>
        <v>0.2298</v>
      </c>
      <c r="Z2275" s="23">
        <f>'2022-23 Salary &amp; Benefits'!$I$6</f>
        <v>0.22339999999999999</v>
      </c>
      <c r="AA2275" s="22">
        <f t="shared" si="445"/>
        <v>21642.69</v>
      </c>
      <c r="AB2275" s="22">
        <f t="shared" si="446"/>
        <v>896.98</v>
      </c>
      <c r="AC2275" s="22">
        <f t="shared" si="447"/>
        <v>200.39</v>
      </c>
      <c r="AD2275" s="22">
        <f t="shared" si="437"/>
        <v>1097.3699999999999</v>
      </c>
      <c r="AE2275" s="22">
        <f t="shared" si="438"/>
        <v>76558.78</v>
      </c>
      <c r="AF2275" s="19" t="str">
        <f>VLOOKUP(C2275,'2021-22 School Level AAFTE'!C:N,12,FALSE)</f>
        <v>No</v>
      </c>
      <c r="AG2275" s="56"/>
      <c r="AH2275" s="56"/>
      <c r="AI2275" s="56"/>
      <c r="AJ2275" s="56"/>
      <c r="AK2275" s="56"/>
      <c r="AL2275" s="56"/>
      <c r="AM2275" s="56"/>
    </row>
    <row r="2276" spans="1:39" customFormat="1">
      <c r="A2276" s="97" t="s">
        <v>2497</v>
      </c>
      <c r="B2276" s="97" t="s">
        <v>1898</v>
      </c>
      <c r="C2276" s="95">
        <v>5698</v>
      </c>
      <c r="D2276" s="95" t="s">
        <v>3052</v>
      </c>
      <c r="E2276" s="129">
        <f>VLOOKUP($C2276,'2021-22 School Level AAFTE'!$C:$Z,11,FALSE)</f>
        <v>0.71150000000000002</v>
      </c>
      <c r="F2276" s="129" t="str">
        <f>VLOOKUP($C2276,'2021-22 School Level AAFTE'!$C:$Z,8,FALSE)</f>
        <v>Yes</v>
      </c>
      <c r="G2276" s="129" t="str">
        <f>VLOOKUP($C2276,'2021-22 School Level AAFTE'!$C:$Z,12,FALSE)</f>
        <v>No</v>
      </c>
      <c r="H2276" s="127">
        <f>VLOOKUP($C2276,'2021-22 School Level AAFTE'!$C:$I,7,FALSE)</f>
        <v>54.97</v>
      </c>
      <c r="I2276" s="112">
        <f>IFERROR(IF(OR(G2276="yes",F2276= "yes"),VLOOKUP(C2276,Summary!$B:$J,6,0),0),0)</f>
        <v>0</v>
      </c>
      <c r="J2276" s="111">
        <f t="shared" si="441"/>
        <v>54.97</v>
      </c>
      <c r="K2276" s="91">
        <f>VLOOKUP($A2276,'2022-23 Salary &amp; Benefits'!$A:$I,3,FALSE)</f>
        <v>1</v>
      </c>
      <c r="L2276" s="91">
        <f>VLOOKUP($A2276,'2022-23 Salary &amp; Benefits'!$A:$I,4,FALSE)</f>
        <v>1</v>
      </c>
      <c r="M2276" s="101">
        <f t="shared" si="436"/>
        <v>54.97</v>
      </c>
      <c r="N2276" s="24">
        <v>15</v>
      </c>
      <c r="O2276" s="26">
        <f t="shared" si="439"/>
        <v>3.6646666666666667</v>
      </c>
      <c r="P2276" s="24">
        <v>1.1000000000000001</v>
      </c>
      <c r="Q2276" s="24">
        <v>36</v>
      </c>
      <c r="R2276" s="27">
        <f t="shared" si="440"/>
        <v>145.12080000000003</v>
      </c>
      <c r="S2276" s="102">
        <f t="shared" si="442"/>
        <v>0.161</v>
      </c>
      <c r="T2276" s="21">
        <f>VLOOKUP($A2276,'2022-23 Salary &amp; Benefits'!$A:$I,5,FALSE)</f>
        <v>68937</v>
      </c>
      <c r="U2276" s="21">
        <f>VLOOKUP($A2276,'2022-23 Salary &amp; Benefits'!$A:$I,6,FALSE)</f>
        <v>72728</v>
      </c>
      <c r="V2276" s="22">
        <f t="shared" si="443"/>
        <v>11098.86</v>
      </c>
      <c r="W2276" s="22">
        <f t="shared" si="444"/>
        <v>610.34999999999854</v>
      </c>
      <c r="X2276" s="22">
        <f>'2022-23 Salary &amp; Benefits'!$G$6</f>
        <v>12558.24</v>
      </c>
      <c r="Y2276" s="23">
        <f>'2022-23 Salary &amp; Benefits'!$H$6</f>
        <v>0.2298</v>
      </c>
      <c r="Z2276" s="23">
        <f>'2022-23 Salary &amp; Benefits'!$I$6</f>
        <v>0.22339999999999999</v>
      </c>
      <c r="AA2276" s="22">
        <f t="shared" si="445"/>
        <v>4708.75</v>
      </c>
      <c r="AB2276" s="22">
        <f t="shared" si="446"/>
        <v>195.15</v>
      </c>
      <c r="AC2276" s="22">
        <f t="shared" si="447"/>
        <v>43.6</v>
      </c>
      <c r="AD2276" s="22">
        <f t="shared" si="437"/>
        <v>238.75</v>
      </c>
      <c r="AE2276" s="22">
        <f t="shared" si="438"/>
        <v>16656.71</v>
      </c>
      <c r="AF2276" s="19" t="str">
        <f>VLOOKUP(C2276,'2021-22 School Level AAFTE'!C:N,12,FALSE)</f>
        <v>No</v>
      </c>
      <c r="AG2276" s="56"/>
      <c r="AH2276" s="56"/>
      <c r="AI2276" s="56"/>
      <c r="AJ2276" s="56"/>
      <c r="AK2276" s="56"/>
      <c r="AL2276" s="56"/>
      <c r="AM2276" s="56"/>
    </row>
    <row r="2277" spans="1:39" customFormat="1">
      <c r="A2277" s="97" t="s">
        <v>2566</v>
      </c>
      <c r="B2277" s="97" t="s">
        <v>2246</v>
      </c>
      <c r="C2277" s="95">
        <v>2505</v>
      </c>
      <c r="D2277" s="95" t="s">
        <v>2247</v>
      </c>
      <c r="E2277" s="129">
        <f>VLOOKUP($C2277,'2021-22 School Level AAFTE'!$C:$Z,11,FALSE)</f>
        <v>0.56740000000000002</v>
      </c>
      <c r="F2277" s="129" t="str">
        <f>VLOOKUP($C2277,'2021-22 School Level AAFTE'!$C:$Z,8,FALSE)</f>
        <v>Yes</v>
      </c>
      <c r="G2277" s="129" t="str">
        <f>VLOOKUP($C2277,'2021-22 School Level AAFTE'!$C:$Z,12,FALSE)</f>
        <v>No</v>
      </c>
      <c r="H2277" s="127">
        <f>VLOOKUP($C2277,'2021-22 School Level AAFTE'!$C:$I,7,FALSE)</f>
        <v>420.47</v>
      </c>
      <c r="I2277" s="112">
        <f>IFERROR(IF(OR(G2277="yes",F2277= "yes"),VLOOKUP(C2277,Summary!$B:$J,6,0),0),0)</f>
        <v>0</v>
      </c>
      <c r="J2277" s="111">
        <f t="shared" si="441"/>
        <v>420.47</v>
      </c>
      <c r="K2277" s="91">
        <f>VLOOKUP($A2277,'2022-23 Salary &amp; Benefits'!$A:$I,3,FALSE)</f>
        <v>1.03</v>
      </c>
      <c r="L2277" s="91">
        <f>VLOOKUP($A2277,'2022-23 Salary &amp; Benefits'!$A:$I,4,FALSE)</f>
        <v>1.03</v>
      </c>
      <c r="M2277" s="101">
        <f t="shared" si="436"/>
        <v>420.47</v>
      </c>
      <c r="N2277" s="24">
        <v>15</v>
      </c>
      <c r="O2277" s="26">
        <f t="shared" si="439"/>
        <v>28.031333333333336</v>
      </c>
      <c r="P2277" s="24">
        <v>1.1000000000000001</v>
      </c>
      <c r="Q2277" s="24">
        <v>36</v>
      </c>
      <c r="R2277" s="27">
        <f t="shared" si="440"/>
        <v>1110.0408000000002</v>
      </c>
      <c r="S2277" s="102">
        <f t="shared" si="442"/>
        <v>1.2330000000000001</v>
      </c>
      <c r="T2277" s="21">
        <f>VLOOKUP($A2277,'2022-23 Salary &amp; Benefits'!$A:$I,5,FALSE)</f>
        <v>68937</v>
      </c>
      <c r="U2277" s="21">
        <f>VLOOKUP($A2277,'2022-23 Salary &amp; Benefits'!$A:$I,6,FALSE)</f>
        <v>72728</v>
      </c>
      <c r="V2277" s="22">
        <f t="shared" si="443"/>
        <v>87549.3</v>
      </c>
      <c r="W2277" s="22">
        <f t="shared" si="444"/>
        <v>4814.5299999999988</v>
      </c>
      <c r="X2277" s="22">
        <f>'2022-23 Salary &amp; Benefits'!$G$6</f>
        <v>12558.24</v>
      </c>
      <c r="Y2277" s="23">
        <f>'2022-23 Salary &amp; Benefits'!$H$6</f>
        <v>0.2298</v>
      </c>
      <c r="Z2277" s="23">
        <f>'2022-23 Salary &amp; Benefits'!$I$6</f>
        <v>0.22339999999999999</v>
      </c>
      <c r="AA2277" s="22">
        <f t="shared" si="445"/>
        <v>36678.71</v>
      </c>
      <c r="AB2277" s="22">
        <f t="shared" si="446"/>
        <v>1539.4</v>
      </c>
      <c r="AC2277" s="22">
        <f t="shared" si="447"/>
        <v>343.9</v>
      </c>
      <c r="AD2277" s="22">
        <f t="shared" si="437"/>
        <v>1883.3000000000002</v>
      </c>
      <c r="AE2277" s="22">
        <f t="shared" si="438"/>
        <v>130925.84000000001</v>
      </c>
      <c r="AF2277" s="19" t="str">
        <f>VLOOKUP(C2277,'2021-22 School Level AAFTE'!C:N,12,FALSE)</f>
        <v>No</v>
      </c>
      <c r="AG2277" s="56"/>
      <c r="AH2277" s="56"/>
      <c r="AI2277" s="56"/>
      <c r="AJ2277" s="56"/>
      <c r="AK2277" s="56"/>
      <c r="AL2277" s="56"/>
      <c r="AM2277" s="56"/>
    </row>
    <row r="2278" spans="1:39" customFormat="1">
      <c r="A2278" s="97" t="s">
        <v>2566</v>
      </c>
      <c r="B2278" s="97" t="s">
        <v>2246</v>
      </c>
      <c r="C2278" s="95">
        <v>2758</v>
      </c>
      <c r="D2278" s="95" t="s">
        <v>2248</v>
      </c>
      <c r="E2278" s="129">
        <f>VLOOKUP($C2278,'2021-22 School Level AAFTE'!$C:$Z,11,FALSE)</f>
        <v>0.50896666666666668</v>
      </c>
      <c r="F2278" s="129" t="str">
        <f>VLOOKUP($C2278,'2021-22 School Level AAFTE'!$C:$Z,8,FALSE)</f>
        <v>Yes</v>
      </c>
      <c r="G2278" s="129" t="str">
        <f>VLOOKUP($C2278,'2021-22 School Level AAFTE'!$C:$Z,12,FALSE)</f>
        <v>No</v>
      </c>
      <c r="H2278" s="127">
        <f>VLOOKUP($C2278,'2021-22 School Level AAFTE'!$C:$I,7,FALSE)</f>
        <v>236.43</v>
      </c>
      <c r="I2278" s="112">
        <f>IFERROR(IF(OR(G2278="yes",F2278= "yes"),VLOOKUP(C2278,Summary!$B:$J,6,0),0),0)</f>
        <v>0</v>
      </c>
      <c r="J2278" s="111">
        <f t="shared" si="441"/>
        <v>236.43</v>
      </c>
      <c r="K2278" s="91">
        <f>VLOOKUP($A2278,'2022-23 Salary &amp; Benefits'!$A:$I,3,FALSE)</f>
        <v>1.03</v>
      </c>
      <c r="L2278" s="91">
        <f>VLOOKUP($A2278,'2022-23 Salary &amp; Benefits'!$A:$I,4,FALSE)</f>
        <v>1.03</v>
      </c>
      <c r="M2278" s="101">
        <f t="shared" si="436"/>
        <v>236.43</v>
      </c>
      <c r="N2278" s="24">
        <v>15</v>
      </c>
      <c r="O2278" s="26">
        <f t="shared" si="439"/>
        <v>15.762</v>
      </c>
      <c r="P2278" s="24">
        <v>1.1000000000000001</v>
      </c>
      <c r="Q2278" s="24">
        <v>36</v>
      </c>
      <c r="R2278" s="27">
        <f t="shared" si="440"/>
        <v>624.17520000000002</v>
      </c>
      <c r="S2278" s="102">
        <f t="shared" si="442"/>
        <v>0.69399999999999995</v>
      </c>
      <c r="T2278" s="21">
        <f>VLOOKUP($A2278,'2022-23 Salary &amp; Benefits'!$A:$I,5,FALSE)</f>
        <v>68937</v>
      </c>
      <c r="U2278" s="21">
        <f>VLOOKUP($A2278,'2022-23 Salary &amp; Benefits'!$A:$I,6,FALSE)</f>
        <v>72728</v>
      </c>
      <c r="V2278" s="22">
        <f t="shared" si="443"/>
        <v>49277.55</v>
      </c>
      <c r="W2278" s="22">
        <f t="shared" si="444"/>
        <v>2709.8799999999974</v>
      </c>
      <c r="X2278" s="22">
        <f>'2022-23 Salary &amp; Benefits'!$G$6</f>
        <v>12558.24</v>
      </c>
      <c r="Y2278" s="23">
        <f>'2022-23 Salary &amp; Benefits'!$H$6</f>
        <v>0.2298</v>
      </c>
      <c r="Z2278" s="23">
        <f>'2022-23 Salary &amp; Benefits'!$I$6</f>
        <v>0.22339999999999999</v>
      </c>
      <c r="AA2278" s="22">
        <f t="shared" si="445"/>
        <v>20644.79</v>
      </c>
      <c r="AB2278" s="22">
        <f t="shared" si="446"/>
        <v>866.46</v>
      </c>
      <c r="AC2278" s="22">
        <f t="shared" si="447"/>
        <v>193.57</v>
      </c>
      <c r="AD2278" s="22">
        <f t="shared" si="437"/>
        <v>1060.03</v>
      </c>
      <c r="AE2278" s="22">
        <f t="shared" si="438"/>
        <v>73692.25</v>
      </c>
      <c r="AF2278" s="19" t="str">
        <f>VLOOKUP(C2278,'2021-22 School Level AAFTE'!C:N,12,FALSE)</f>
        <v>No</v>
      </c>
      <c r="AG2278" s="56"/>
      <c r="AH2278" s="56"/>
      <c r="AI2278" s="56"/>
      <c r="AJ2278" s="56"/>
      <c r="AK2278" s="56"/>
      <c r="AL2278" s="56"/>
      <c r="AM2278" s="56"/>
    </row>
    <row r="2279" spans="1:39" customFormat="1">
      <c r="A2279" s="97" t="s">
        <v>2566</v>
      </c>
      <c r="B2279" s="97" t="s">
        <v>2246</v>
      </c>
      <c r="C2279" s="95">
        <v>2822</v>
      </c>
      <c r="D2279" s="95" t="s">
        <v>2249</v>
      </c>
      <c r="E2279" s="129">
        <f>VLOOKUP($C2279,'2021-22 School Level AAFTE'!$C:$Z,11,FALSE)</f>
        <v>0.59773333333333334</v>
      </c>
      <c r="F2279" s="129" t="str">
        <f>VLOOKUP($C2279,'2021-22 School Level AAFTE'!$C:$Z,8,FALSE)</f>
        <v>Yes</v>
      </c>
      <c r="G2279" s="129" t="str">
        <f>VLOOKUP($C2279,'2021-22 School Level AAFTE'!$C:$Z,12,FALSE)</f>
        <v>No</v>
      </c>
      <c r="H2279" s="127">
        <f>VLOOKUP($C2279,'2021-22 School Level AAFTE'!$C:$I,7,FALSE)</f>
        <v>362.84</v>
      </c>
      <c r="I2279" s="112">
        <f>IFERROR(IF(OR(G2279="yes",F2279= "yes"),VLOOKUP(C2279,Summary!$B:$J,6,0),0),0)</f>
        <v>0</v>
      </c>
      <c r="J2279" s="111">
        <f t="shared" si="441"/>
        <v>362.84</v>
      </c>
      <c r="K2279" s="91">
        <f>VLOOKUP($A2279,'2022-23 Salary &amp; Benefits'!$A:$I,3,FALSE)</f>
        <v>1.03</v>
      </c>
      <c r="L2279" s="91">
        <f>VLOOKUP($A2279,'2022-23 Salary &amp; Benefits'!$A:$I,4,FALSE)</f>
        <v>1.03</v>
      </c>
      <c r="M2279" s="101">
        <f t="shared" si="436"/>
        <v>362.84</v>
      </c>
      <c r="N2279" s="24">
        <v>15</v>
      </c>
      <c r="O2279" s="26">
        <f t="shared" si="439"/>
        <v>24.18933333333333</v>
      </c>
      <c r="P2279" s="24">
        <v>1.1000000000000001</v>
      </c>
      <c r="Q2279" s="24">
        <v>36</v>
      </c>
      <c r="R2279" s="27">
        <f t="shared" si="440"/>
        <v>957.89760000000001</v>
      </c>
      <c r="S2279" s="102">
        <f t="shared" si="442"/>
        <v>1.0640000000000001</v>
      </c>
      <c r="T2279" s="21">
        <f>VLOOKUP($A2279,'2022-23 Salary &amp; Benefits'!$A:$I,5,FALSE)</f>
        <v>68937</v>
      </c>
      <c r="U2279" s="21">
        <f>VLOOKUP($A2279,'2022-23 Salary &amp; Benefits'!$A:$I,6,FALSE)</f>
        <v>72728</v>
      </c>
      <c r="V2279" s="22">
        <f t="shared" si="443"/>
        <v>75549.440000000002</v>
      </c>
      <c r="W2279" s="22">
        <f t="shared" si="444"/>
        <v>4154.6300000000047</v>
      </c>
      <c r="X2279" s="22">
        <f>'2022-23 Salary &amp; Benefits'!$G$6</f>
        <v>12558.24</v>
      </c>
      <c r="Y2279" s="23">
        <f>'2022-23 Salary &amp; Benefits'!$H$6</f>
        <v>0.2298</v>
      </c>
      <c r="Z2279" s="23">
        <f>'2022-23 Salary &amp; Benefits'!$I$6</f>
        <v>0.22339999999999999</v>
      </c>
      <c r="AA2279" s="22">
        <f t="shared" si="445"/>
        <v>31651.37</v>
      </c>
      <c r="AB2279" s="22">
        <f t="shared" si="446"/>
        <v>1328.4</v>
      </c>
      <c r="AC2279" s="22">
        <f t="shared" si="447"/>
        <v>296.76</v>
      </c>
      <c r="AD2279" s="22">
        <f t="shared" si="437"/>
        <v>1625.16</v>
      </c>
      <c r="AE2279" s="22">
        <f t="shared" si="438"/>
        <v>112980.6</v>
      </c>
      <c r="AF2279" s="19" t="str">
        <f>VLOOKUP(C2279,'2021-22 School Level AAFTE'!C:N,12,FALSE)</f>
        <v>No</v>
      </c>
      <c r="AG2279" s="56"/>
      <c r="AH2279" s="56"/>
      <c r="AI2279" s="56"/>
      <c r="AJ2279" s="56"/>
      <c r="AK2279" s="56"/>
      <c r="AL2279" s="56"/>
      <c r="AM2279" s="56"/>
    </row>
    <row r="2280" spans="1:39" customFormat="1">
      <c r="A2280" s="97" t="s">
        <v>2566</v>
      </c>
      <c r="B2280" s="97" t="s">
        <v>2246</v>
      </c>
      <c r="C2280" s="95">
        <v>3074</v>
      </c>
      <c r="D2280" s="95" t="s">
        <v>1906</v>
      </c>
      <c r="E2280" s="129">
        <f>VLOOKUP($C2280,'2021-22 School Level AAFTE'!$C:$Z,11,FALSE)</f>
        <v>0.41756666666666664</v>
      </c>
      <c r="F2280" s="129" t="str">
        <f>VLOOKUP($C2280,'2021-22 School Level AAFTE'!$C:$Z,8,FALSE)</f>
        <v>No</v>
      </c>
      <c r="G2280" s="129" t="str">
        <f>VLOOKUP($C2280,'2021-22 School Level AAFTE'!$C:$Z,12,FALSE)</f>
        <v>No</v>
      </c>
      <c r="H2280" s="127">
        <f>VLOOKUP($C2280,'2021-22 School Level AAFTE'!$C:$I,7,FALSE)</f>
        <v>1461.7</v>
      </c>
      <c r="I2280" s="112">
        <f>IFERROR(IF(OR(G2280="yes",F2280= "yes"),VLOOKUP(C2280,Summary!$B:$J,6,0),0),0)</f>
        <v>0</v>
      </c>
      <c r="J2280" s="111">
        <f t="shared" si="441"/>
        <v>0</v>
      </c>
      <c r="K2280" s="91">
        <f>VLOOKUP($A2280,'2022-23 Salary &amp; Benefits'!$A:$I,3,FALSE)</f>
        <v>1.03</v>
      </c>
      <c r="L2280" s="91">
        <f>VLOOKUP($A2280,'2022-23 Salary &amp; Benefits'!$A:$I,4,FALSE)</f>
        <v>1.03</v>
      </c>
      <c r="M2280" s="101">
        <f t="shared" si="436"/>
        <v>0</v>
      </c>
      <c r="N2280" s="24">
        <v>15</v>
      </c>
      <c r="O2280" s="26">
        <f t="shared" si="439"/>
        <v>0</v>
      </c>
      <c r="P2280" s="24">
        <v>1.1000000000000001</v>
      </c>
      <c r="Q2280" s="24">
        <v>36</v>
      </c>
      <c r="R2280" s="27">
        <f t="shared" si="440"/>
        <v>0</v>
      </c>
      <c r="S2280" s="102">
        <f t="shared" si="442"/>
        <v>0</v>
      </c>
      <c r="T2280" s="21">
        <f>VLOOKUP($A2280,'2022-23 Salary &amp; Benefits'!$A:$I,5,FALSE)</f>
        <v>68937</v>
      </c>
      <c r="U2280" s="21">
        <f>VLOOKUP($A2280,'2022-23 Salary &amp; Benefits'!$A:$I,6,FALSE)</f>
        <v>72728</v>
      </c>
      <c r="V2280" s="22">
        <f t="shared" si="443"/>
        <v>0</v>
      </c>
      <c r="W2280" s="22">
        <f t="shared" si="444"/>
        <v>0</v>
      </c>
      <c r="X2280" s="22">
        <f>'2022-23 Salary &amp; Benefits'!$G$6</f>
        <v>12558.24</v>
      </c>
      <c r="Y2280" s="23">
        <f>'2022-23 Salary &amp; Benefits'!$H$6</f>
        <v>0.2298</v>
      </c>
      <c r="Z2280" s="23">
        <f>'2022-23 Salary &amp; Benefits'!$I$6</f>
        <v>0.22339999999999999</v>
      </c>
      <c r="AA2280" s="22">
        <f t="shared" si="445"/>
        <v>0</v>
      </c>
      <c r="AB2280" s="22">
        <f t="shared" si="446"/>
        <v>0</v>
      </c>
      <c r="AC2280" s="22">
        <f t="shared" si="447"/>
        <v>0</v>
      </c>
      <c r="AD2280" s="22">
        <f t="shared" si="437"/>
        <v>0</v>
      </c>
      <c r="AE2280" s="22">
        <f t="shared" si="438"/>
        <v>0</v>
      </c>
      <c r="AF2280" s="19" t="str">
        <f>VLOOKUP(C2280,'2021-22 School Level AAFTE'!C:N,12,FALSE)</f>
        <v>No</v>
      </c>
      <c r="AG2280" s="56"/>
      <c r="AH2280" s="56"/>
      <c r="AI2280" s="56"/>
      <c r="AJ2280" s="56"/>
      <c r="AK2280" s="56"/>
      <c r="AL2280" s="56"/>
      <c r="AM2280" s="56"/>
    </row>
    <row r="2281" spans="1:39" customFormat="1">
      <c r="A2281" s="97" t="s">
        <v>2566</v>
      </c>
      <c r="B2281" s="97" t="s">
        <v>2246</v>
      </c>
      <c r="C2281" s="95">
        <v>3207</v>
      </c>
      <c r="D2281" s="95" t="s">
        <v>2250</v>
      </c>
      <c r="E2281" s="129">
        <f>VLOOKUP($C2281,'2021-22 School Level AAFTE'!$C:$Z,11,FALSE)</f>
        <v>0.53003333333333325</v>
      </c>
      <c r="F2281" s="129" t="str">
        <f>VLOOKUP($C2281,'2021-22 School Level AAFTE'!$C:$Z,8,FALSE)</f>
        <v>Yes</v>
      </c>
      <c r="G2281" s="129" t="str">
        <f>VLOOKUP($C2281,'2021-22 School Level AAFTE'!$C:$Z,12,FALSE)</f>
        <v>No</v>
      </c>
      <c r="H2281" s="127">
        <f>VLOOKUP($C2281,'2021-22 School Level AAFTE'!$C:$I,7,FALSE)</f>
        <v>497.02</v>
      </c>
      <c r="I2281" s="112">
        <f>IFERROR(IF(OR(G2281="yes",F2281= "yes"),VLOOKUP(C2281,Summary!$B:$J,6,0),0),0)</f>
        <v>0</v>
      </c>
      <c r="J2281" s="111">
        <f t="shared" si="441"/>
        <v>497.02</v>
      </c>
      <c r="K2281" s="91">
        <f>VLOOKUP($A2281,'2022-23 Salary &amp; Benefits'!$A:$I,3,FALSE)</f>
        <v>1.03</v>
      </c>
      <c r="L2281" s="91">
        <f>VLOOKUP($A2281,'2022-23 Salary &amp; Benefits'!$A:$I,4,FALSE)</f>
        <v>1.03</v>
      </c>
      <c r="M2281" s="101">
        <f t="shared" si="436"/>
        <v>497.02</v>
      </c>
      <c r="N2281" s="24">
        <v>15</v>
      </c>
      <c r="O2281" s="26">
        <f t="shared" si="439"/>
        <v>33.134666666666668</v>
      </c>
      <c r="P2281" s="24">
        <v>1.1000000000000001</v>
      </c>
      <c r="Q2281" s="24">
        <v>36</v>
      </c>
      <c r="R2281" s="27">
        <f t="shared" si="440"/>
        <v>1312.1328000000001</v>
      </c>
      <c r="S2281" s="102">
        <f t="shared" si="442"/>
        <v>1.458</v>
      </c>
      <c r="T2281" s="21">
        <f>VLOOKUP($A2281,'2022-23 Salary &amp; Benefits'!$A:$I,5,FALSE)</f>
        <v>68937</v>
      </c>
      <c r="U2281" s="21">
        <f>VLOOKUP($A2281,'2022-23 Salary &amp; Benefits'!$A:$I,6,FALSE)</f>
        <v>72728</v>
      </c>
      <c r="V2281" s="22">
        <f t="shared" si="443"/>
        <v>103525.45</v>
      </c>
      <c r="W2281" s="22">
        <f t="shared" si="444"/>
        <v>5693.1000000000058</v>
      </c>
      <c r="X2281" s="22">
        <f>'2022-23 Salary &amp; Benefits'!$G$6</f>
        <v>12558.24</v>
      </c>
      <c r="Y2281" s="23">
        <f>'2022-23 Salary &amp; Benefits'!$H$6</f>
        <v>0.2298</v>
      </c>
      <c r="Z2281" s="23">
        <f>'2022-23 Salary &amp; Benefits'!$I$6</f>
        <v>0.22339999999999999</v>
      </c>
      <c r="AA2281" s="22">
        <f t="shared" si="445"/>
        <v>43371.9</v>
      </c>
      <c r="AB2281" s="22">
        <f t="shared" si="446"/>
        <v>1820.31</v>
      </c>
      <c r="AC2281" s="22">
        <f t="shared" si="447"/>
        <v>406.66</v>
      </c>
      <c r="AD2281" s="22">
        <f t="shared" si="437"/>
        <v>2226.9699999999998</v>
      </c>
      <c r="AE2281" s="22">
        <f t="shared" si="438"/>
        <v>154817.42000000001</v>
      </c>
      <c r="AF2281" s="19" t="str">
        <f>VLOOKUP(C2281,'2021-22 School Level AAFTE'!C:N,12,FALSE)</f>
        <v>No</v>
      </c>
      <c r="AG2281" s="56"/>
      <c r="AH2281" s="56"/>
      <c r="AI2281" s="56"/>
      <c r="AJ2281" s="56"/>
      <c r="AK2281" s="56"/>
      <c r="AL2281" s="56"/>
      <c r="AM2281" s="56"/>
    </row>
    <row r="2282" spans="1:39" customFormat="1">
      <c r="A2282" s="97" t="s">
        <v>2566</v>
      </c>
      <c r="B2282" s="97" t="s">
        <v>2246</v>
      </c>
      <c r="C2282" s="95">
        <v>3699</v>
      </c>
      <c r="D2282" s="95" t="s">
        <v>2251</v>
      </c>
      <c r="E2282" s="129">
        <f>VLOOKUP($C2282,'2021-22 School Level AAFTE'!$C:$Z,11,FALSE)</f>
        <v>0.36749999999999999</v>
      </c>
      <c r="F2282" s="129" t="str">
        <f>VLOOKUP($C2282,'2021-22 School Level AAFTE'!$C:$Z,8,FALSE)</f>
        <v>No</v>
      </c>
      <c r="G2282" s="129" t="str">
        <f>VLOOKUP($C2282,'2021-22 School Level AAFTE'!$C:$Z,12,FALSE)</f>
        <v>No</v>
      </c>
      <c r="H2282" s="127">
        <f>VLOOKUP($C2282,'2021-22 School Level AAFTE'!$C:$I,7,FALSE)</f>
        <v>415.73</v>
      </c>
      <c r="I2282" s="112">
        <f>IFERROR(IF(OR(G2282="yes",F2282= "yes"),VLOOKUP(C2282,Summary!$B:$J,6,0),0),0)</f>
        <v>0</v>
      </c>
      <c r="J2282" s="111">
        <f t="shared" si="441"/>
        <v>0</v>
      </c>
      <c r="K2282" s="91">
        <f>VLOOKUP($A2282,'2022-23 Salary &amp; Benefits'!$A:$I,3,FALSE)</f>
        <v>1.03</v>
      </c>
      <c r="L2282" s="91">
        <f>VLOOKUP($A2282,'2022-23 Salary &amp; Benefits'!$A:$I,4,FALSE)</f>
        <v>1.03</v>
      </c>
      <c r="M2282" s="101">
        <f t="shared" si="436"/>
        <v>0</v>
      </c>
      <c r="N2282" s="24">
        <v>15</v>
      </c>
      <c r="O2282" s="26">
        <f t="shared" si="439"/>
        <v>0</v>
      </c>
      <c r="P2282" s="24">
        <v>1.1000000000000001</v>
      </c>
      <c r="Q2282" s="24">
        <v>36</v>
      </c>
      <c r="R2282" s="27">
        <f t="shared" si="440"/>
        <v>0</v>
      </c>
      <c r="S2282" s="102">
        <f t="shared" si="442"/>
        <v>0</v>
      </c>
      <c r="T2282" s="21">
        <f>VLOOKUP($A2282,'2022-23 Salary &amp; Benefits'!$A:$I,5,FALSE)</f>
        <v>68937</v>
      </c>
      <c r="U2282" s="21">
        <f>VLOOKUP($A2282,'2022-23 Salary &amp; Benefits'!$A:$I,6,FALSE)</f>
        <v>72728</v>
      </c>
      <c r="V2282" s="22">
        <f t="shared" si="443"/>
        <v>0</v>
      </c>
      <c r="W2282" s="22">
        <f t="shared" si="444"/>
        <v>0</v>
      </c>
      <c r="X2282" s="22">
        <f>'2022-23 Salary &amp; Benefits'!$G$6</f>
        <v>12558.24</v>
      </c>
      <c r="Y2282" s="23">
        <f>'2022-23 Salary &amp; Benefits'!$H$6</f>
        <v>0.2298</v>
      </c>
      <c r="Z2282" s="23">
        <f>'2022-23 Salary &amp; Benefits'!$I$6</f>
        <v>0.22339999999999999</v>
      </c>
      <c r="AA2282" s="22">
        <f t="shared" si="445"/>
        <v>0</v>
      </c>
      <c r="AB2282" s="22">
        <f t="shared" si="446"/>
        <v>0</v>
      </c>
      <c r="AC2282" s="22">
        <f t="shared" si="447"/>
        <v>0</v>
      </c>
      <c r="AD2282" s="22">
        <f t="shared" si="437"/>
        <v>0</v>
      </c>
      <c r="AE2282" s="22">
        <f t="shared" si="438"/>
        <v>0</v>
      </c>
      <c r="AF2282" s="19" t="str">
        <f>VLOOKUP(C2282,'2021-22 School Level AAFTE'!C:N,12,FALSE)</f>
        <v>No</v>
      </c>
      <c r="AG2282" s="56"/>
      <c r="AH2282" s="56"/>
      <c r="AI2282" s="56"/>
      <c r="AJ2282" s="56"/>
      <c r="AK2282" s="56"/>
      <c r="AL2282" s="56"/>
      <c r="AM2282" s="56"/>
    </row>
    <row r="2283" spans="1:39" customFormat="1">
      <c r="A2283" s="97" t="s">
        <v>2566</v>
      </c>
      <c r="B2283" s="97" t="s">
        <v>2246</v>
      </c>
      <c r="C2283" s="95">
        <v>4040</v>
      </c>
      <c r="D2283" s="95" t="s">
        <v>2252</v>
      </c>
      <c r="E2283" s="129">
        <f>VLOOKUP($C2283,'2021-22 School Level AAFTE'!$C:$Z,11,FALSE)</f>
        <v>0.48730000000000001</v>
      </c>
      <c r="F2283" s="129" t="str">
        <f>VLOOKUP($C2283,'2021-22 School Level AAFTE'!$C:$Z,8,FALSE)</f>
        <v>No</v>
      </c>
      <c r="G2283" s="129" t="str">
        <f>VLOOKUP($C2283,'2021-22 School Level AAFTE'!$C:$Z,12,FALSE)</f>
        <v>No</v>
      </c>
      <c r="H2283" s="127">
        <f>VLOOKUP($C2283,'2021-22 School Level AAFTE'!$C:$I,7,FALSE)</f>
        <v>1178.76</v>
      </c>
      <c r="I2283" s="112">
        <f>IFERROR(IF(OR(G2283="yes",F2283= "yes"),VLOOKUP(C2283,Summary!$B:$J,6,0),0),0)</f>
        <v>0</v>
      </c>
      <c r="J2283" s="111">
        <f t="shared" si="441"/>
        <v>0</v>
      </c>
      <c r="K2283" s="91">
        <f>VLOOKUP($A2283,'2022-23 Salary &amp; Benefits'!$A:$I,3,FALSE)</f>
        <v>1.03</v>
      </c>
      <c r="L2283" s="91">
        <f>VLOOKUP($A2283,'2022-23 Salary &amp; Benefits'!$A:$I,4,FALSE)</f>
        <v>1.03</v>
      </c>
      <c r="M2283" s="101">
        <f t="shared" si="436"/>
        <v>0</v>
      </c>
      <c r="N2283" s="24">
        <v>15</v>
      </c>
      <c r="O2283" s="26">
        <f t="shared" si="439"/>
        <v>0</v>
      </c>
      <c r="P2283" s="24">
        <v>1.1000000000000001</v>
      </c>
      <c r="Q2283" s="24">
        <v>36</v>
      </c>
      <c r="R2283" s="27">
        <f t="shared" si="440"/>
        <v>0</v>
      </c>
      <c r="S2283" s="102">
        <f t="shared" si="442"/>
        <v>0</v>
      </c>
      <c r="T2283" s="21">
        <f>VLOOKUP($A2283,'2022-23 Salary &amp; Benefits'!$A:$I,5,FALSE)</f>
        <v>68937</v>
      </c>
      <c r="U2283" s="21">
        <f>VLOOKUP($A2283,'2022-23 Salary &amp; Benefits'!$A:$I,6,FALSE)</f>
        <v>72728</v>
      </c>
      <c r="V2283" s="22">
        <f t="shared" si="443"/>
        <v>0</v>
      </c>
      <c r="W2283" s="22">
        <f t="shared" si="444"/>
        <v>0</v>
      </c>
      <c r="X2283" s="22">
        <f>'2022-23 Salary &amp; Benefits'!$G$6</f>
        <v>12558.24</v>
      </c>
      <c r="Y2283" s="23">
        <f>'2022-23 Salary &amp; Benefits'!$H$6</f>
        <v>0.2298</v>
      </c>
      <c r="Z2283" s="23">
        <f>'2022-23 Salary &amp; Benefits'!$I$6</f>
        <v>0.22339999999999999</v>
      </c>
      <c r="AA2283" s="22">
        <f t="shared" si="445"/>
        <v>0</v>
      </c>
      <c r="AB2283" s="22">
        <f t="shared" si="446"/>
        <v>0</v>
      </c>
      <c r="AC2283" s="22">
        <f t="shared" si="447"/>
        <v>0</v>
      </c>
      <c r="AD2283" s="22">
        <f t="shared" si="437"/>
        <v>0</v>
      </c>
      <c r="AE2283" s="22">
        <f t="shared" si="438"/>
        <v>0</v>
      </c>
      <c r="AF2283" s="19" t="str">
        <f>VLOOKUP(C2283,'2021-22 School Level AAFTE'!C:N,12,FALSE)</f>
        <v>No</v>
      </c>
      <c r="AG2283" s="56"/>
      <c r="AH2283" s="56"/>
      <c r="AI2283" s="56"/>
      <c r="AJ2283" s="56"/>
      <c r="AK2283" s="56"/>
      <c r="AL2283" s="56"/>
      <c r="AM2283" s="56"/>
    </row>
    <row r="2284" spans="1:39" customFormat="1">
      <c r="A2284" s="97" t="s">
        <v>2566</v>
      </c>
      <c r="B2284" s="97" t="s">
        <v>2246</v>
      </c>
      <c r="C2284" s="95">
        <v>4448</v>
      </c>
      <c r="D2284" s="95" t="s">
        <v>1055</v>
      </c>
      <c r="E2284" s="129">
        <f>VLOOKUP($C2284,'2021-22 School Level AAFTE'!$C:$Z,11,FALSE)</f>
        <v>0.31396666666666667</v>
      </c>
      <c r="F2284" s="129" t="str">
        <f>VLOOKUP($C2284,'2021-22 School Level AAFTE'!$C:$Z,8,FALSE)</f>
        <v>No</v>
      </c>
      <c r="G2284" s="129" t="str">
        <f>VLOOKUP($C2284,'2021-22 School Level AAFTE'!$C:$Z,12,FALSE)</f>
        <v>No</v>
      </c>
      <c r="H2284" s="127">
        <f>VLOOKUP($C2284,'2021-22 School Level AAFTE'!$C:$I,7,FALSE)</f>
        <v>373.42</v>
      </c>
      <c r="I2284" s="112">
        <f>IFERROR(IF(OR(G2284="yes",F2284= "yes"),VLOOKUP(C2284,Summary!$B:$J,6,0),0),0)</f>
        <v>0</v>
      </c>
      <c r="J2284" s="111">
        <f t="shared" si="441"/>
        <v>0</v>
      </c>
      <c r="K2284" s="91">
        <f>VLOOKUP($A2284,'2022-23 Salary &amp; Benefits'!$A:$I,3,FALSE)</f>
        <v>1.03</v>
      </c>
      <c r="L2284" s="91">
        <f>VLOOKUP($A2284,'2022-23 Salary &amp; Benefits'!$A:$I,4,FALSE)</f>
        <v>1.03</v>
      </c>
      <c r="M2284" s="101">
        <f t="shared" si="436"/>
        <v>0</v>
      </c>
      <c r="N2284" s="24">
        <v>15</v>
      </c>
      <c r="O2284" s="26">
        <f t="shared" si="439"/>
        <v>0</v>
      </c>
      <c r="P2284" s="24">
        <v>1.1000000000000001</v>
      </c>
      <c r="Q2284" s="24">
        <v>36</v>
      </c>
      <c r="R2284" s="27">
        <f t="shared" si="440"/>
        <v>0</v>
      </c>
      <c r="S2284" s="102">
        <f t="shared" si="442"/>
        <v>0</v>
      </c>
      <c r="T2284" s="21">
        <f>VLOOKUP($A2284,'2022-23 Salary &amp; Benefits'!$A:$I,5,FALSE)</f>
        <v>68937</v>
      </c>
      <c r="U2284" s="21">
        <f>VLOOKUP($A2284,'2022-23 Salary &amp; Benefits'!$A:$I,6,FALSE)</f>
        <v>72728</v>
      </c>
      <c r="V2284" s="22">
        <f t="shared" si="443"/>
        <v>0</v>
      </c>
      <c r="W2284" s="22">
        <f t="shared" si="444"/>
        <v>0</v>
      </c>
      <c r="X2284" s="22">
        <f>'2022-23 Salary &amp; Benefits'!$G$6</f>
        <v>12558.24</v>
      </c>
      <c r="Y2284" s="23">
        <f>'2022-23 Salary &amp; Benefits'!$H$6</f>
        <v>0.2298</v>
      </c>
      <c r="Z2284" s="23">
        <f>'2022-23 Salary &amp; Benefits'!$I$6</f>
        <v>0.22339999999999999</v>
      </c>
      <c r="AA2284" s="22">
        <f t="shared" si="445"/>
        <v>0</v>
      </c>
      <c r="AB2284" s="22">
        <f t="shared" si="446"/>
        <v>0</v>
      </c>
      <c r="AC2284" s="22">
        <f t="shared" si="447"/>
        <v>0</v>
      </c>
      <c r="AD2284" s="22">
        <f t="shared" si="437"/>
        <v>0</v>
      </c>
      <c r="AE2284" s="22">
        <f t="shared" si="438"/>
        <v>0</v>
      </c>
      <c r="AF2284" s="19" t="str">
        <f>VLOOKUP(C2284,'2021-22 School Level AAFTE'!C:N,12,FALSE)</f>
        <v>No</v>
      </c>
      <c r="AG2284" s="56"/>
      <c r="AH2284" s="56"/>
      <c r="AI2284" s="56"/>
      <c r="AJ2284" s="56"/>
      <c r="AK2284" s="56"/>
      <c r="AL2284" s="56"/>
      <c r="AM2284" s="56"/>
    </row>
    <row r="2285" spans="1:39" customFormat="1">
      <c r="A2285" s="97" t="s">
        <v>2566</v>
      </c>
      <c r="B2285" s="97" t="s">
        <v>2246</v>
      </c>
      <c r="C2285" s="95">
        <v>5504</v>
      </c>
      <c r="D2285" s="95" t="s">
        <v>2751</v>
      </c>
      <c r="E2285" s="129">
        <f>VLOOKUP($C2285,'2021-22 School Level AAFTE'!$C:$Z,11,FALSE)</f>
        <v>0.39103333333333334</v>
      </c>
      <c r="F2285" s="129" t="str">
        <f>VLOOKUP($C2285,'2021-22 School Level AAFTE'!$C:$Z,8,FALSE)</f>
        <v>No</v>
      </c>
      <c r="G2285" s="129" t="str">
        <f>VLOOKUP($C2285,'2021-22 School Level AAFTE'!$C:$Z,12,FALSE)</f>
        <v>No</v>
      </c>
      <c r="H2285" s="127">
        <f>VLOOKUP($C2285,'2021-22 School Level AAFTE'!$C:$I,7,FALSE)</f>
        <v>45.09</v>
      </c>
      <c r="I2285" s="112">
        <f>IFERROR(IF(OR(G2285="yes",F2285= "yes"),VLOOKUP(C2285,Summary!$B:$J,6,0),0),0)</f>
        <v>0</v>
      </c>
      <c r="J2285" s="111">
        <f t="shared" si="441"/>
        <v>0</v>
      </c>
      <c r="K2285" s="91">
        <f>VLOOKUP($A2285,'2022-23 Salary &amp; Benefits'!$A:$I,3,FALSE)</f>
        <v>1.03</v>
      </c>
      <c r="L2285" s="91">
        <f>VLOOKUP($A2285,'2022-23 Salary &amp; Benefits'!$A:$I,4,FALSE)</f>
        <v>1.03</v>
      </c>
      <c r="M2285" s="101">
        <f t="shared" si="436"/>
        <v>0</v>
      </c>
      <c r="N2285" s="24">
        <v>15</v>
      </c>
      <c r="O2285" s="26">
        <f t="shared" si="439"/>
        <v>0</v>
      </c>
      <c r="P2285" s="24">
        <v>1.1000000000000001</v>
      </c>
      <c r="Q2285" s="24">
        <v>36</v>
      </c>
      <c r="R2285" s="27">
        <f t="shared" si="440"/>
        <v>0</v>
      </c>
      <c r="S2285" s="102">
        <f t="shared" si="442"/>
        <v>0</v>
      </c>
      <c r="T2285" s="21">
        <f>VLOOKUP($A2285,'2022-23 Salary &amp; Benefits'!$A:$I,5,FALSE)</f>
        <v>68937</v>
      </c>
      <c r="U2285" s="21">
        <f>VLOOKUP($A2285,'2022-23 Salary &amp; Benefits'!$A:$I,6,FALSE)</f>
        <v>72728</v>
      </c>
      <c r="V2285" s="22">
        <f t="shared" si="443"/>
        <v>0</v>
      </c>
      <c r="W2285" s="22">
        <f t="shared" si="444"/>
        <v>0</v>
      </c>
      <c r="X2285" s="22">
        <f>'2022-23 Salary &amp; Benefits'!$G$6</f>
        <v>12558.24</v>
      </c>
      <c r="Y2285" s="23">
        <f>'2022-23 Salary &amp; Benefits'!$H$6</f>
        <v>0.2298</v>
      </c>
      <c r="Z2285" s="23">
        <f>'2022-23 Salary &amp; Benefits'!$I$6</f>
        <v>0.22339999999999999</v>
      </c>
      <c r="AA2285" s="22">
        <f t="shared" si="445"/>
        <v>0</v>
      </c>
      <c r="AB2285" s="22">
        <f t="shared" si="446"/>
        <v>0</v>
      </c>
      <c r="AC2285" s="22">
        <f t="shared" si="447"/>
        <v>0</v>
      </c>
      <c r="AD2285" s="22">
        <f t="shared" si="437"/>
        <v>0</v>
      </c>
      <c r="AE2285" s="22">
        <f t="shared" si="438"/>
        <v>0</v>
      </c>
      <c r="AF2285" s="19" t="str">
        <f>VLOOKUP(C2285,'2021-22 School Level AAFTE'!C:N,12,FALSE)</f>
        <v>No</v>
      </c>
      <c r="AG2285" s="56"/>
      <c r="AH2285" s="56"/>
      <c r="AI2285" s="56"/>
      <c r="AJ2285" s="56"/>
      <c r="AK2285" s="56"/>
      <c r="AL2285" s="56"/>
      <c r="AM2285" s="56"/>
    </row>
    <row r="2286" spans="1:39" customFormat="1">
      <c r="A2286" s="97" t="s">
        <v>2566</v>
      </c>
      <c r="B2286" s="97" t="s">
        <v>2246</v>
      </c>
      <c r="C2286" s="95">
        <v>5505</v>
      </c>
      <c r="D2286" s="95" t="s">
        <v>2749</v>
      </c>
      <c r="E2286" s="129">
        <f>VLOOKUP($C2286,'2021-22 School Level AAFTE'!$C:$Z,11,FALSE)</f>
        <v>0.33863333333333334</v>
      </c>
      <c r="F2286" s="129" t="str">
        <f>VLOOKUP($C2286,'2021-22 School Level AAFTE'!$C:$Z,8,FALSE)</f>
        <v>No</v>
      </c>
      <c r="G2286" s="129" t="str">
        <f>VLOOKUP($C2286,'2021-22 School Level AAFTE'!$C:$Z,12,FALSE)</f>
        <v>No</v>
      </c>
      <c r="H2286" s="127">
        <f>VLOOKUP($C2286,'2021-22 School Level AAFTE'!$C:$I,7,FALSE)</f>
        <v>27.03</v>
      </c>
      <c r="I2286" s="112">
        <f>IFERROR(IF(OR(G2286="yes",F2286= "yes"),VLOOKUP(C2286,Summary!$B:$J,6,0),0),0)</f>
        <v>0</v>
      </c>
      <c r="J2286" s="111">
        <f t="shared" si="441"/>
        <v>0</v>
      </c>
      <c r="K2286" s="91">
        <f>VLOOKUP($A2286,'2022-23 Salary &amp; Benefits'!$A:$I,3,FALSE)</f>
        <v>1.03</v>
      </c>
      <c r="L2286" s="91">
        <f>VLOOKUP($A2286,'2022-23 Salary &amp; Benefits'!$A:$I,4,FALSE)</f>
        <v>1.03</v>
      </c>
      <c r="M2286" s="101">
        <f t="shared" si="436"/>
        <v>0</v>
      </c>
      <c r="N2286" s="24">
        <v>15</v>
      </c>
      <c r="O2286" s="26">
        <f t="shared" si="439"/>
        <v>0</v>
      </c>
      <c r="P2286" s="24">
        <v>1.1000000000000001</v>
      </c>
      <c r="Q2286" s="24">
        <v>36</v>
      </c>
      <c r="R2286" s="27">
        <f t="shared" si="440"/>
        <v>0</v>
      </c>
      <c r="S2286" s="102">
        <f t="shared" si="442"/>
        <v>0</v>
      </c>
      <c r="T2286" s="21">
        <f>VLOOKUP($A2286,'2022-23 Salary &amp; Benefits'!$A:$I,5,FALSE)</f>
        <v>68937</v>
      </c>
      <c r="U2286" s="21">
        <f>VLOOKUP($A2286,'2022-23 Salary &amp; Benefits'!$A:$I,6,FALSE)</f>
        <v>72728</v>
      </c>
      <c r="V2286" s="22">
        <f t="shared" si="443"/>
        <v>0</v>
      </c>
      <c r="W2286" s="22">
        <f t="shared" si="444"/>
        <v>0</v>
      </c>
      <c r="X2286" s="22">
        <f>'2022-23 Salary &amp; Benefits'!$G$6</f>
        <v>12558.24</v>
      </c>
      <c r="Y2286" s="23">
        <f>'2022-23 Salary &amp; Benefits'!$H$6</f>
        <v>0.2298</v>
      </c>
      <c r="Z2286" s="23">
        <f>'2022-23 Salary &amp; Benefits'!$I$6</f>
        <v>0.22339999999999999</v>
      </c>
      <c r="AA2286" s="22">
        <f t="shared" si="445"/>
        <v>0</v>
      </c>
      <c r="AB2286" s="22">
        <f t="shared" si="446"/>
        <v>0</v>
      </c>
      <c r="AC2286" s="22">
        <f t="shared" si="447"/>
        <v>0</v>
      </c>
      <c r="AD2286" s="22">
        <f t="shared" si="437"/>
        <v>0</v>
      </c>
      <c r="AE2286" s="22">
        <f t="shared" si="438"/>
        <v>0</v>
      </c>
      <c r="AF2286" s="19" t="str">
        <f>VLOOKUP(C2286,'2021-22 School Level AAFTE'!C:N,12,FALSE)</f>
        <v>No</v>
      </c>
      <c r="AG2286" s="56"/>
      <c r="AH2286" s="56"/>
      <c r="AI2286" s="56"/>
      <c r="AJ2286" s="56"/>
      <c r="AK2286" s="56"/>
      <c r="AL2286" s="56"/>
      <c r="AM2286" s="56"/>
    </row>
    <row r="2287" spans="1:39" customFormat="1">
      <c r="A2287" s="97" t="s">
        <v>2566</v>
      </c>
      <c r="B2287" s="97" t="s">
        <v>2246</v>
      </c>
      <c r="C2287" s="95">
        <v>5506</v>
      </c>
      <c r="D2287" s="95" t="s">
        <v>2750</v>
      </c>
      <c r="E2287" s="129">
        <f>VLOOKUP($C2287,'2021-22 School Level AAFTE'!$C:$Z,11,FALSE)</f>
        <v>0.24283333333333332</v>
      </c>
      <c r="F2287" s="129" t="str">
        <f>VLOOKUP($C2287,'2021-22 School Level AAFTE'!$C:$Z,8,FALSE)</f>
        <v>No</v>
      </c>
      <c r="G2287" s="129" t="str">
        <f>VLOOKUP($C2287,'2021-22 School Level AAFTE'!$C:$Z,12,FALSE)</f>
        <v>No</v>
      </c>
      <c r="H2287" s="127">
        <f>VLOOKUP($C2287,'2021-22 School Level AAFTE'!$C:$I,7,FALSE)</f>
        <v>109.17</v>
      </c>
      <c r="I2287" s="112">
        <f>IFERROR(IF(OR(G2287="yes",F2287= "yes"),VLOOKUP(C2287,Summary!$B:$J,6,0),0),0)</f>
        <v>0</v>
      </c>
      <c r="J2287" s="111">
        <f t="shared" si="441"/>
        <v>0</v>
      </c>
      <c r="K2287" s="91">
        <f>VLOOKUP($A2287,'2022-23 Salary &amp; Benefits'!$A:$I,3,FALSE)</f>
        <v>1.03</v>
      </c>
      <c r="L2287" s="91">
        <f>VLOOKUP($A2287,'2022-23 Salary &amp; Benefits'!$A:$I,4,FALSE)</f>
        <v>1.03</v>
      </c>
      <c r="M2287" s="101">
        <f t="shared" si="436"/>
        <v>0</v>
      </c>
      <c r="N2287" s="24">
        <v>15</v>
      </c>
      <c r="O2287" s="26">
        <f t="shared" si="439"/>
        <v>0</v>
      </c>
      <c r="P2287" s="24">
        <v>1.1000000000000001</v>
      </c>
      <c r="Q2287" s="24">
        <v>36</v>
      </c>
      <c r="R2287" s="27">
        <f t="shared" si="440"/>
        <v>0</v>
      </c>
      <c r="S2287" s="102">
        <f t="shared" si="442"/>
        <v>0</v>
      </c>
      <c r="T2287" s="21">
        <f>VLOOKUP($A2287,'2022-23 Salary &amp; Benefits'!$A:$I,5,FALSE)</f>
        <v>68937</v>
      </c>
      <c r="U2287" s="21">
        <f>VLOOKUP($A2287,'2022-23 Salary &amp; Benefits'!$A:$I,6,FALSE)</f>
        <v>72728</v>
      </c>
      <c r="V2287" s="22">
        <f t="shared" si="443"/>
        <v>0</v>
      </c>
      <c r="W2287" s="22">
        <f t="shared" si="444"/>
        <v>0</v>
      </c>
      <c r="X2287" s="22">
        <f>'2022-23 Salary &amp; Benefits'!$G$6</f>
        <v>12558.24</v>
      </c>
      <c r="Y2287" s="23">
        <f>'2022-23 Salary &amp; Benefits'!$H$6</f>
        <v>0.2298</v>
      </c>
      <c r="Z2287" s="23">
        <f>'2022-23 Salary &amp; Benefits'!$I$6</f>
        <v>0.22339999999999999</v>
      </c>
      <c r="AA2287" s="22">
        <f t="shared" si="445"/>
        <v>0</v>
      </c>
      <c r="AB2287" s="22">
        <f t="shared" si="446"/>
        <v>0</v>
      </c>
      <c r="AC2287" s="22">
        <f t="shared" si="447"/>
        <v>0</v>
      </c>
      <c r="AD2287" s="22">
        <f t="shared" si="437"/>
        <v>0</v>
      </c>
      <c r="AE2287" s="22">
        <f t="shared" si="438"/>
        <v>0</v>
      </c>
      <c r="AF2287" s="19" t="str">
        <f>VLOOKUP(C2287,'2021-22 School Level AAFTE'!C:N,12,FALSE)</f>
        <v>No</v>
      </c>
      <c r="AG2287" s="56"/>
      <c r="AH2287" s="56"/>
      <c r="AI2287" s="56"/>
      <c r="AJ2287" s="56"/>
      <c r="AK2287" s="56"/>
      <c r="AL2287" s="56"/>
      <c r="AM2287" s="56"/>
    </row>
    <row r="2288" spans="1:39" customFormat="1">
      <c r="A2288" s="97" t="s">
        <v>2566</v>
      </c>
      <c r="B2288" s="97" t="s">
        <v>2246</v>
      </c>
      <c r="C2288" s="95">
        <v>5540</v>
      </c>
      <c r="D2288" s="95" t="s">
        <v>2847</v>
      </c>
      <c r="E2288" s="129">
        <f>VLOOKUP($C2288,'2021-22 School Level AAFTE'!$C:$Z,11,FALSE)</f>
        <v>0.58973333333333333</v>
      </c>
      <c r="F2288" s="129" t="str">
        <f>VLOOKUP($C2288,'2021-22 School Level AAFTE'!$C:$Z,8,FALSE)</f>
        <v>Yes</v>
      </c>
      <c r="G2288" s="129" t="str">
        <f>VLOOKUP($C2288,'2021-22 School Level AAFTE'!$C:$Z,12,FALSE)</f>
        <v>No</v>
      </c>
      <c r="H2288" s="127">
        <f>VLOOKUP($C2288,'2021-22 School Level AAFTE'!$C:$I,7,FALSE)</f>
        <v>6.71</v>
      </c>
      <c r="I2288" s="112">
        <f>IFERROR(IF(OR(G2288="yes",F2288= "yes"),VLOOKUP(C2288,Summary!$B:$J,6,0),0),0)</f>
        <v>0</v>
      </c>
      <c r="J2288" s="111">
        <f t="shared" si="441"/>
        <v>6.71</v>
      </c>
      <c r="K2288" s="91">
        <f>VLOOKUP($A2288,'2022-23 Salary &amp; Benefits'!$A:$I,3,FALSE)</f>
        <v>1.03</v>
      </c>
      <c r="L2288" s="91">
        <f>VLOOKUP($A2288,'2022-23 Salary &amp; Benefits'!$A:$I,4,FALSE)</f>
        <v>1.03</v>
      </c>
      <c r="M2288" s="101">
        <f t="shared" si="436"/>
        <v>6.71</v>
      </c>
      <c r="N2288" s="24">
        <v>15</v>
      </c>
      <c r="O2288" s="26">
        <f t="shared" si="439"/>
        <v>0.44733333333333331</v>
      </c>
      <c r="P2288" s="24">
        <v>1.1000000000000001</v>
      </c>
      <c r="Q2288" s="24">
        <v>36</v>
      </c>
      <c r="R2288" s="27">
        <f t="shared" si="440"/>
        <v>17.714399999999998</v>
      </c>
      <c r="S2288" s="102">
        <f t="shared" si="442"/>
        <v>0.02</v>
      </c>
      <c r="T2288" s="21">
        <f>VLOOKUP($A2288,'2022-23 Salary &amp; Benefits'!$A:$I,5,FALSE)</f>
        <v>68937</v>
      </c>
      <c r="U2288" s="21">
        <f>VLOOKUP($A2288,'2022-23 Salary &amp; Benefits'!$A:$I,6,FALSE)</f>
        <v>72728</v>
      </c>
      <c r="V2288" s="22">
        <f t="shared" si="443"/>
        <v>1420.1</v>
      </c>
      <c r="W2288" s="22">
        <f t="shared" si="444"/>
        <v>78.100000000000136</v>
      </c>
      <c r="X2288" s="22">
        <f>'2022-23 Salary &amp; Benefits'!$G$6</f>
        <v>12558.24</v>
      </c>
      <c r="Y2288" s="23">
        <f>'2022-23 Salary &amp; Benefits'!$H$6</f>
        <v>0.2298</v>
      </c>
      <c r="Z2288" s="23">
        <f>'2022-23 Salary &amp; Benefits'!$I$6</f>
        <v>0.22339999999999999</v>
      </c>
      <c r="AA2288" s="22">
        <f t="shared" si="445"/>
        <v>594.95000000000005</v>
      </c>
      <c r="AB2288" s="22">
        <f t="shared" si="446"/>
        <v>24.97</v>
      </c>
      <c r="AC2288" s="22">
        <f t="shared" si="447"/>
        <v>5.58</v>
      </c>
      <c r="AD2288" s="22">
        <f t="shared" si="437"/>
        <v>30.549999999999997</v>
      </c>
      <c r="AE2288" s="22">
        <f t="shared" si="438"/>
        <v>2123.7000000000003</v>
      </c>
      <c r="AF2288" s="19" t="str">
        <f>VLOOKUP(C2288,'2021-22 School Level AAFTE'!C:N,12,FALSE)</f>
        <v>No</v>
      </c>
      <c r="AG2288" s="56"/>
      <c r="AH2288" s="56"/>
      <c r="AI2288" s="56"/>
      <c r="AJ2288" s="56"/>
      <c r="AK2288" s="56"/>
      <c r="AL2288" s="56"/>
      <c r="AM2288" s="56"/>
    </row>
    <row r="2289" spans="1:39" customFormat="1">
      <c r="A2289" s="97" t="s">
        <v>2566</v>
      </c>
      <c r="B2289" s="97" t="s">
        <v>2246</v>
      </c>
      <c r="C2289" s="95">
        <v>5620</v>
      </c>
      <c r="D2289" s="95" t="s">
        <v>2973</v>
      </c>
      <c r="E2289" s="129">
        <f>VLOOKUP($C2289,'2021-22 School Level AAFTE'!$C:$Z,11,FALSE)</f>
        <v>0</v>
      </c>
      <c r="F2289" s="129" t="str">
        <f>VLOOKUP($C2289,'2021-22 School Level AAFTE'!$C:$Z,8,FALSE)</f>
        <v>No</v>
      </c>
      <c r="G2289" s="129" t="str">
        <f>VLOOKUP($C2289,'2021-22 School Level AAFTE'!$C:$Z,12,FALSE)</f>
        <v>No</v>
      </c>
      <c r="H2289" s="127">
        <f>VLOOKUP($C2289,'2021-22 School Level AAFTE'!$C:$I,7,FALSE)</f>
        <v>7.77</v>
      </c>
      <c r="I2289" s="112">
        <f>IFERROR(IF(OR(G2289="yes",F2289= "yes"),VLOOKUP(C2289,Summary!$B:$J,6,0),0),0)</f>
        <v>0</v>
      </c>
      <c r="J2289" s="111">
        <f t="shared" si="441"/>
        <v>0</v>
      </c>
      <c r="K2289" s="91">
        <f>VLOOKUP($A2289,'2022-23 Salary &amp; Benefits'!$A:$I,3,FALSE)</f>
        <v>1.03</v>
      </c>
      <c r="L2289" s="91">
        <f>VLOOKUP($A2289,'2022-23 Salary &amp; Benefits'!$A:$I,4,FALSE)</f>
        <v>1.03</v>
      </c>
      <c r="M2289" s="101">
        <f t="shared" si="436"/>
        <v>0</v>
      </c>
      <c r="N2289" s="24">
        <v>15</v>
      </c>
      <c r="O2289" s="26">
        <f t="shared" si="439"/>
        <v>0</v>
      </c>
      <c r="P2289" s="24">
        <v>1.1000000000000001</v>
      </c>
      <c r="Q2289" s="24">
        <v>36</v>
      </c>
      <c r="R2289" s="27">
        <f t="shared" si="440"/>
        <v>0</v>
      </c>
      <c r="S2289" s="102">
        <f t="shared" si="442"/>
        <v>0</v>
      </c>
      <c r="T2289" s="21">
        <f>VLOOKUP($A2289,'2022-23 Salary &amp; Benefits'!$A:$I,5,FALSE)</f>
        <v>68937</v>
      </c>
      <c r="U2289" s="21">
        <f>VLOOKUP($A2289,'2022-23 Salary &amp; Benefits'!$A:$I,6,FALSE)</f>
        <v>72728</v>
      </c>
      <c r="V2289" s="22">
        <f t="shared" si="443"/>
        <v>0</v>
      </c>
      <c r="W2289" s="22">
        <f t="shared" si="444"/>
        <v>0</v>
      </c>
      <c r="X2289" s="22">
        <f>'2022-23 Salary &amp; Benefits'!$G$6</f>
        <v>12558.24</v>
      </c>
      <c r="Y2289" s="23">
        <f>'2022-23 Salary &amp; Benefits'!$H$6</f>
        <v>0.2298</v>
      </c>
      <c r="Z2289" s="23">
        <f>'2022-23 Salary &amp; Benefits'!$I$6</f>
        <v>0.22339999999999999</v>
      </c>
      <c r="AA2289" s="22">
        <f t="shared" si="445"/>
        <v>0</v>
      </c>
      <c r="AB2289" s="22">
        <f t="shared" si="446"/>
        <v>0</v>
      </c>
      <c r="AC2289" s="22">
        <f t="shared" si="447"/>
        <v>0</v>
      </c>
      <c r="AD2289" s="22">
        <f t="shared" si="437"/>
        <v>0</v>
      </c>
      <c r="AE2289" s="22">
        <f t="shared" si="438"/>
        <v>0</v>
      </c>
      <c r="AF2289" s="19" t="str">
        <f>VLOOKUP(C2289,'2021-22 School Level AAFTE'!C:N,12,FALSE)</f>
        <v>No</v>
      </c>
      <c r="AG2289" s="56"/>
      <c r="AH2289" s="56"/>
      <c r="AI2289" s="56"/>
      <c r="AJ2289" s="56"/>
      <c r="AK2289" s="56"/>
      <c r="AL2289" s="56"/>
      <c r="AM2289" s="56"/>
    </row>
    <row r="2290" spans="1:39" customFormat="1">
      <c r="A2290" s="97" t="s">
        <v>2566</v>
      </c>
      <c r="B2290" s="97" t="s">
        <v>2246</v>
      </c>
      <c r="C2290" s="95">
        <v>5699</v>
      </c>
      <c r="D2290" s="95" t="s">
        <v>3053</v>
      </c>
      <c r="E2290" s="129">
        <f>VLOOKUP($C2290,'2021-22 School Level AAFTE'!$C:$Z,11,FALSE)</f>
        <v>0.48809999999999998</v>
      </c>
      <c r="F2290" s="129" t="str">
        <f>VLOOKUP($C2290,'2021-22 School Level AAFTE'!$C:$Z,8,FALSE)</f>
        <v>No</v>
      </c>
      <c r="G2290" s="129" t="str">
        <f>VLOOKUP($C2290,'2021-22 School Level AAFTE'!$C:$Z,12,FALSE)</f>
        <v>No</v>
      </c>
      <c r="H2290" s="127">
        <f>VLOOKUP($C2290,'2021-22 School Level AAFTE'!$C:$I,7,FALSE)</f>
        <v>83.86</v>
      </c>
      <c r="I2290" s="112">
        <f>IFERROR(IF(OR(G2290="yes",F2290= "yes"),VLOOKUP(C2290,Summary!$B:$J,6,0),0),0)</f>
        <v>0</v>
      </c>
      <c r="J2290" s="111">
        <f t="shared" si="441"/>
        <v>0</v>
      </c>
      <c r="K2290" s="91">
        <f>VLOOKUP($A2290,'2022-23 Salary &amp; Benefits'!$A:$I,3,FALSE)</f>
        <v>1.03</v>
      </c>
      <c r="L2290" s="91">
        <f>VLOOKUP($A2290,'2022-23 Salary &amp; Benefits'!$A:$I,4,FALSE)</f>
        <v>1.03</v>
      </c>
      <c r="M2290" s="101">
        <f t="shared" si="436"/>
        <v>0</v>
      </c>
      <c r="N2290" s="24">
        <v>15</v>
      </c>
      <c r="O2290" s="26">
        <f t="shared" si="439"/>
        <v>0</v>
      </c>
      <c r="P2290" s="24">
        <v>1.1000000000000001</v>
      </c>
      <c r="Q2290" s="24">
        <v>36</v>
      </c>
      <c r="R2290" s="27">
        <f t="shared" si="440"/>
        <v>0</v>
      </c>
      <c r="S2290" s="102">
        <f t="shared" si="442"/>
        <v>0</v>
      </c>
      <c r="T2290" s="21">
        <f>VLOOKUP($A2290,'2022-23 Salary &amp; Benefits'!$A:$I,5,FALSE)</f>
        <v>68937</v>
      </c>
      <c r="U2290" s="21">
        <f>VLOOKUP($A2290,'2022-23 Salary &amp; Benefits'!$A:$I,6,FALSE)</f>
        <v>72728</v>
      </c>
      <c r="V2290" s="22">
        <f t="shared" si="443"/>
        <v>0</v>
      </c>
      <c r="W2290" s="22">
        <f t="shared" si="444"/>
        <v>0</v>
      </c>
      <c r="X2290" s="22">
        <f>'2022-23 Salary &amp; Benefits'!$G$6</f>
        <v>12558.24</v>
      </c>
      <c r="Y2290" s="23">
        <f>'2022-23 Salary &amp; Benefits'!$H$6</f>
        <v>0.2298</v>
      </c>
      <c r="Z2290" s="23">
        <f>'2022-23 Salary &amp; Benefits'!$I$6</f>
        <v>0.22339999999999999</v>
      </c>
      <c r="AA2290" s="22">
        <f t="shared" si="445"/>
        <v>0</v>
      </c>
      <c r="AB2290" s="22">
        <f t="shared" si="446"/>
        <v>0</v>
      </c>
      <c r="AC2290" s="22">
        <f t="shared" si="447"/>
        <v>0</v>
      </c>
      <c r="AD2290" s="22">
        <f t="shared" si="437"/>
        <v>0</v>
      </c>
      <c r="AE2290" s="22">
        <f t="shared" si="438"/>
        <v>0</v>
      </c>
      <c r="AF2290" s="19" t="str">
        <f>VLOOKUP(C2290,'2021-22 School Level AAFTE'!C:N,12,FALSE)</f>
        <v>No</v>
      </c>
      <c r="AG2290" s="56"/>
      <c r="AH2290" s="56"/>
      <c r="AI2290" s="56"/>
      <c r="AJ2290" s="56"/>
      <c r="AK2290" s="56"/>
      <c r="AL2290" s="56"/>
      <c r="AM2290" s="56"/>
    </row>
    <row r="2291" spans="1:39" customFormat="1">
      <c r="A2291" s="97" t="s">
        <v>2858</v>
      </c>
      <c r="B2291" s="97" t="s">
        <v>2968</v>
      </c>
      <c r="C2291" s="95">
        <v>5710</v>
      </c>
      <c r="D2291" s="95" t="s">
        <v>2968</v>
      </c>
      <c r="E2291" s="129">
        <f>VLOOKUP($C2291,'2021-22 School Level AAFTE'!$C:$Z,11,FALSE)</f>
        <v>0.60419999999999996</v>
      </c>
      <c r="F2291" s="129" t="str">
        <f>VLOOKUP($C2291,'2021-22 School Level AAFTE'!$C:$Z,8,FALSE)</f>
        <v>Yes</v>
      </c>
      <c r="G2291" s="129" t="str">
        <f>VLOOKUP($C2291,'2021-22 School Level AAFTE'!$C:$Z,12,FALSE)</f>
        <v>No</v>
      </c>
      <c r="H2291" s="127">
        <f>VLOOKUP($C2291,'2021-22 School Level AAFTE'!$C:$I,7,FALSE)</f>
        <v>49.03</v>
      </c>
      <c r="I2291" s="112">
        <f>IFERROR(IF(OR(G2291="yes",F2291= "yes"),VLOOKUP(C2291,Summary!$B:$J,6,0),0),0)</f>
        <v>0</v>
      </c>
      <c r="J2291" s="111">
        <f t="shared" si="441"/>
        <v>49.03</v>
      </c>
      <c r="K2291" s="91">
        <f>VLOOKUP($A2291,'2022-23 Salary &amp; Benefits'!$A:$I,3,FALSE)</f>
        <v>1.0900000000000001</v>
      </c>
      <c r="L2291" s="91">
        <f>VLOOKUP($A2291,'2022-23 Salary &amp; Benefits'!$A:$I,4,FALSE)</f>
        <v>1.0900000000000001</v>
      </c>
      <c r="M2291" s="101">
        <f t="shared" si="436"/>
        <v>49.03</v>
      </c>
      <c r="N2291" s="24">
        <v>15</v>
      </c>
      <c r="O2291" s="26">
        <f t="shared" si="439"/>
        <v>3.2686666666666668</v>
      </c>
      <c r="P2291" s="24">
        <v>1.1000000000000001</v>
      </c>
      <c r="Q2291" s="24">
        <v>36</v>
      </c>
      <c r="R2291" s="27">
        <f t="shared" si="440"/>
        <v>129.43920000000003</v>
      </c>
      <c r="S2291" s="102">
        <f t="shared" si="442"/>
        <v>0.14399999999999999</v>
      </c>
      <c r="T2291" s="21">
        <f>VLOOKUP($A2291,'2022-23 Salary &amp; Benefits'!$A:$I,5,FALSE)</f>
        <v>68937</v>
      </c>
      <c r="U2291" s="21">
        <f>VLOOKUP($A2291,'2022-23 Salary &amp; Benefits'!$A:$I,6,FALSE)</f>
        <v>72728</v>
      </c>
      <c r="V2291" s="22">
        <f t="shared" si="443"/>
        <v>10820.35</v>
      </c>
      <c r="W2291" s="22">
        <f t="shared" si="444"/>
        <v>595.03999999999905</v>
      </c>
      <c r="X2291" s="22">
        <f>'2022-23 Salary &amp; Benefits'!$G$6</f>
        <v>12558.24</v>
      </c>
      <c r="Y2291" s="23">
        <f>'2022-23 Salary &amp; Benefits'!$H$6</f>
        <v>0.2298</v>
      </c>
      <c r="Z2291" s="23">
        <f>'2022-23 Salary &amp; Benefits'!$I$6</f>
        <v>0.22339999999999999</v>
      </c>
      <c r="AA2291" s="22">
        <f t="shared" si="445"/>
        <v>4427.83</v>
      </c>
      <c r="AB2291" s="22">
        <f t="shared" si="446"/>
        <v>190.26</v>
      </c>
      <c r="AC2291" s="22">
        <f t="shared" si="447"/>
        <v>42.5</v>
      </c>
      <c r="AD2291" s="22">
        <f t="shared" si="437"/>
        <v>232.76</v>
      </c>
      <c r="AE2291" s="22">
        <f t="shared" si="438"/>
        <v>16075.98</v>
      </c>
      <c r="AF2291" s="19" t="str">
        <f>VLOOKUP(C2291,'2021-22 School Level AAFTE'!C:N,12,FALSE)</f>
        <v>No</v>
      </c>
      <c r="AG2291" s="56"/>
      <c r="AH2291" s="56"/>
      <c r="AI2291" s="56"/>
      <c r="AJ2291" s="56"/>
      <c r="AK2291" s="56"/>
      <c r="AL2291" s="56"/>
      <c r="AM2291" s="56"/>
    </row>
    <row r="2292" spans="1:39" customFormat="1">
      <c r="A2292" s="97" t="s">
        <v>2404</v>
      </c>
      <c r="B2292" s="97" t="s">
        <v>1170</v>
      </c>
      <c r="C2292" s="95">
        <v>2859</v>
      </c>
      <c r="D2292" s="95" t="s">
        <v>1171</v>
      </c>
      <c r="E2292" s="129">
        <f>VLOOKUP($C2292,'2021-22 School Level AAFTE'!$C:$Z,11,FALSE)</f>
        <v>0.63009999999999999</v>
      </c>
      <c r="F2292" s="129" t="str">
        <f>VLOOKUP($C2292,'2021-22 School Level AAFTE'!$C:$Z,8,FALSE)</f>
        <v>Yes</v>
      </c>
      <c r="G2292" s="129" t="str">
        <f>VLOOKUP($C2292,'2021-22 School Level AAFTE'!$C:$Z,12,FALSE)</f>
        <v>No</v>
      </c>
      <c r="H2292" s="127">
        <f>VLOOKUP($C2292,'2021-22 School Level AAFTE'!$C:$I,7,FALSE)</f>
        <v>160.43</v>
      </c>
      <c r="I2292" s="112">
        <f>IFERROR(IF(OR(G2292="yes",F2292= "yes"),VLOOKUP(C2292,Summary!$B:$J,6,0),0),0)</f>
        <v>0</v>
      </c>
      <c r="J2292" s="111">
        <f t="shared" si="441"/>
        <v>160.43</v>
      </c>
      <c r="K2292" s="91">
        <f>VLOOKUP($A2292,'2022-23 Salary &amp; Benefits'!$A:$I,3,FALSE)</f>
        <v>1</v>
      </c>
      <c r="L2292" s="91">
        <f>VLOOKUP($A2292,'2022-23 Salary &amp; Benefits'!$A:$I,4,FALSE)</f>
        <v>1</v>
      </c>
      <c r="M2292" s="101">
        <f t="shared" si="436"/>
        <v>160.43</v>
      </c>
      <c r="N2292" s="24">
        <v>15</v>
      </c>
      <c r="O2292" s="26">
        <f t="shared" si="439"/>
        <v>10.695333333333334</v>
      </c>
      <c r="P2292" s="24">
        <v>1.1000000000000001</v>
      </c>
      <c r="Q2292" s="24">
        <v>36</v>
      </c>
      <c r="R2292" s="27">
        <f t="shared" si="440"/>
        <v>423.53520000000003</v>
      </c>
      <c r="S2292" s="102">
        <f t="shared" si="442"/>
        <v>0.47099999999999997</v>
      </c>
      <c r="T2292" s="21">
        <f>VLOOKUP($A2292,'2022-23 Salary &amp; Benefits'!$A:$I,5,FALSE)</f>
        <v>68937</v>
      </c>
      <c r="U2292" s="21">
        <f>VLOOKUP($A2292,'2022-23 Salary &amp; Benefits'!$A:$I,6,FALSE)</f>
        <v>72728</v>
      </c>
      <c r="V2292" s="22">
        <f t="shared" si="443"/>
        <v>32469.33</v>
      </c>
      <c r="W2292" s="22">
        <f t="shared" si="444"/>
        <v>1785.5599999999977</v>
      </c>
      <c r="X2292" s="22">
        <f>'2022-23 Salary &amp; Benefits'!$G$6</f>
        <v>12558.24</v>
      </c>
      <c r="Y2292" s="23">
        <f>'2022-23 Salary &amp; Benefits'!$H$6</f>
        <v>0.2298</v>
      </c>
      <c r="Z2292" s="23">
        <f>'2022-23 Salary &amp; Benefits'!$I$6</f>
        <v>0.22339999999999999</v>
      </c>
      <c r="AA2292" s="22">
        <f t="shared" si="445"/>
        <v>13775.28</v>
      </c>
      <c r="AB2292" s="22">
        <f t="shared" si="446"/>
        <v>570.91</v>
      </c>
      <c r="AC2292" s="22">
        <f t="shared" si="447"/>
        <v>127.54</v>
      </c>
      <c r="AD2292" s="22">
        <f t="shared" si="437"/>
        <v>698.44999999999993</v>
      </c>
      <c r="AE2292" s="22">
        <f t="shared" si="438"/>
        <v>48728.619999999995</v>
      </c>
      <c r="AF2292" s="19" t="str">
        <f>VLOOKUP(C2292,'2021-22 School Level AAFTE'!C:N,12,FALSE)</f>
        <v>No</v>
      </c>
      <c r="AG2292" s="56"/>
      <c r="AH2292" s="56"/>
      <c r="AI2292" s="56"/>
      <c r="AJ2292" s="56"/>
      <c r="AK2292" s="56"/>
      <c r="AL2292" s="56"/>
      <c r="AM2292" s="56"/>
    </row>
    <row r="2293" spans="1:39" customFormat="1">
      <c r="A2293" s="97" t="s">
        <v>2404</v>
      </c>
      <c r="B2293" s="97" t="s">
        <v>1170</v>
      </c>
      <c r="C2293" s="95">
        <v>3555</v>
      </c>
      <c r="D2293" s="95" t="s">
        <v>1172</v>
      </c>
      <c r="E2293" s="129">
        <f>VLOOKUP($C2293,'2021-22 School Level AAFTE'!$C:$Z,11,FALSE)</f>
        <v>0.80133333333333334</v>
      </c>
      <c r="F2293" s="129" t="str">
        <f>VLOOKUP($C2293,'2021-22 School Level AAFTE'!$C:$Z,8,FALSE)</f>
        <v>Yes</v>
      </c>
      <c r="G2293" s="129" t="str">
        <f>VLOOKUP($C2293,'2021-22 School Level AAFTE'!$C:$Z,12,FALSE)</f>
        <v>No</v>
      </c>
      <c r="H2293" s="127">
        <f>VLOOKUP($C2293,'2021-22 School Level AAFTE'!$C:$I,7,FALSE)</f>
        <v>162.4</v>
      </c>
      <c r="I2293" s="112">
        <f>IFERROR(IF(OR(G2293="yes",F2293= "yes"),VLOOKUP(C2293,Summary!$B:$J,6,0),0),0)</f>
        <v>0</v>
      </c>
      <c r="J2293" s="111">
        <f t="shared" si="441"/>
        <v>162.4</v>
      </c>
      <c r="K2293" s="91">
        <f>VLOOKUP($A2293,'2022-23 Salary &amp; Benefits'!$A:$I,3,FALSE)</f>
        <v>1</v>
      </c>
      <c r="L2293" s="91">
        <f>VLOOKUP($A2293,'2022-23 Salary &amp; Benefits'!$A:$I,4,FALSE)</f>
        <v>1</v>
      </c>
      <c r="M2293" s="101">
        <f t="shared" si="436"/>
        <v>162.4</v>
      </c>
      <c r="N2293" s="24">
        <v>15</v>
      </c>
      <c r="O2293" s="26">
        <f t="shared" si="439"/>
        <v>10.826666666666666</v>
      </c>
      <c r="P2293" s="24">
        <v>1.1000000000000001</v>
      </c>
      <c r="Q2293" s="24">
        <v>36</v>
      </c>
      <c r="R2293" s="27">
        <f t="shared" si="440"/>
        <v>428.73600000000005</v>
      </c>
      <c r="S2293" s="102">
        <f t="shared" si="442"/>
        <v>0.47599999999999998</v>
      </c>
      <c r="T2293" s="21">
        <f>VLOOKUP($A2293,'2022-23 Salary &amp; Benefits'!$A:$I,5,FALSE)</f>
        <v>68937</v>
      </c>
      <c r="U2293" s="21">
        <f>VLOOKUP($A2293,'2022-23 Salary &amp; Benefits'!$A:$I,6,FALSE)</f>
        <v>72728</v>
      </c>
      <c r="V2293" s="22">
        <f t="shared" si="443"/>
        <v>32814.01</v>
      </c>
      <c r="W2293" s="22">
        <f t="shared" si="444"/>
        <v>1804.5199999999968</v>
      </c>
      <c r="X2293" s="22">
        <f>'2022-23 Salary &amp; Benefits'!$G$6</f>
        <v>12558.24</v>
      </c>
      <c r="Y2293" s="23">
        <f>'2022-23 Salary &amp; Benefits'!$H$6</f>
        <v>0.2298</v>
      </c>
      <c r="Z2293" s="23">
        <f>'2022-23 Salary &amp; Benefits'!$I$6</f>
        <v>0.22339999999999999</v>
      </c>
      <c r="AA2293" s="22">
        <f t="shared" si="445"/>
        <v>13921.51</v>
      </c>
      <c r="AB2293" s="22">
        <f t="shared" si="446"/>
        <v>576.98</v>
      </c>
      <c r="AC2293" s="22">
        <f t="shared" si="447"/>
        <v>128.9</v>
      </c>
      <c r="AD2293" s="22">
        <f t="shared" si="437"/>
        <v>705.88</v>
      </c>
      <c r="AE2293" s="22">
        <f t="shared" si="438"/>
        <v>49245.919999999998</v>
      </c>
      <c r="AF2293" s="19" t="str">
        <f>VLOOKUP(C2293,'2021-22 School Level AAFTE'!C:N,12,FALSE)</f>
        <v>No</v>
      </c>
      <c r="AG2293" s="56"/>
      <c r="AH2293" s="56"/>
      <c r="AI2293" s="56"/>
      <c r="AJ2293" s="56"/>
      <c r="AK2293" s="56"/>
      <c r="AL2293" s="56"/>
      <c r="AM2293" s="56"/>
    </row>
    <row r="2294" spans="1:39" customFormat="1">
      <c r="A2294" s="97" t="s">
        <v>2451</v>
      </c>
      <c r="B2294" s="97" t="s">
        <v>1508</v>
      </c>
      <c r="C2294" s="95">
        <v>2190</v>
      </c>
      <c r="D2294" s="95" t="s">
        <v>1509</v>
      </c>
      <c r="E2294" s="129">
        <f>VLOOKUP($C2294,'2021-22 School Level AAFTE'!$C:$Z,11,FALSE)</f>
        <v>0.25946666666666668</v>
      </c>
      <c r="F2294" s="129" t="str">
        <f>VLOOKUP($C2294,'2021-22 School Level AAFTE'!$C:$Z,8,FALSE)</f>
        <v>No</v>
      </c>
      <c r="G2294" s="129" t="str">
        <f>VLOOKUP($C2294,'2021-22 School Level AAFTE'!$C:$Z,12,FALSE)</f>
        <v>No</v>
      </c>
      <c r="H2294" s="127">
        <f>VLOOKUP($C2294,'2021-22 School Level AAFTE'!$C:$I,7,FALSE)</f>
        <v>516.1</v>
      </c>
      <c r="I2294" s="112">
        <f>IFERROR(IF(OR(G2294="yes",F2294= "yes"),VLOOKUP(C2294,Summary!$B:$J,6,0),0),0)</f>
        <v>0</v>
      </c>
      <c r="J2294" s="111">
        <f t="shared" si="441"/>
        <v>0</v>
      </c>
      <c r="K2294" s="91">
        <f>VLOOKUP($A2294,'2022-23 Salary &amp; Benefits'!$A:$I,3,FALSE)</f>
        <v>1.06</v>
      </c>
      <c r="L2294" s="91">
        <f>VLOOKUP($A2294,'2022-23 Salary &amp; Benefits'!$A:$I,4,FALSE)</f>
        <v>1.06</v>
      </c>
      <c r="M2294" s="101">
        <f t="shared" si="436"/>
        <v>0</v>
      </c>
      <c r="N2294" s="24">
        <v>15</v>
      </c>
      <c r="O2294" s="26">
        <f t="shared" si="439"/>
        <v>0</v>
      </c>
      <c r="P2294" s="24">
        <v>1.1000000000000001</v>
      </c>
      <c r="Q2294" s="24">
        <v>36</v>
      </c>
      <c r="R2294" s="27">
        <f t="shared" si="440"/>
        <v>0</v>
      </c>
      <c r="S2294" s="102">
        <f t="shared" si="442"/>
        <v>0</v>
      </c>
      <c r="T2294" s="21">
        <f>VLOOKUP($A2294,'2022-23 Salary &amp; Benefits'!$A:$I,5,FALSE)</f>
        <v>68937</v>
      </c>
      <c r="U2294" s="21">
        <f>VLOOKUP($A2294,'2022-23 Salary &amp; Benefits'!$A:$I,6,FALSE)</f>
        <v>72728</v>
      </c>
      <c r="V2294" s="22">
        <f t="shared" si="443"/>
        <v>0</v>
      </c>
      <c r="W2294" s="22">
        <f t="shared" si="444"/>
        <v>0</v>
      </c>
      <c r="X2294" s="22">
        <f>'2022-23 Salary &amp; Benefits'!$G$6</f>
        <v>12558.24</v>
      </c>
      <c r="Y2294" s="23">
        <f>'2022-23 Salary &amp; Benefits'!$H$6</f>
        <v>0.2298</v>
      </c>
      <c r="Z2294" s="23">
        <f>'2022-23 Salary &amp; Benefits'!$I$6</f>
        <v>0.22339999999999999</v>
      </c>
      <c r="AA2294" s="22">
        <f t="shared" si="445"/>
        <v>0</v>
      </c>
      <c r="AB2294" s="22">
        <f t="shared" si="446"/>
        <v>0</v>
      </c>
      <c r="AC2294" s="22">
        <f t="shared" si="447"/>
        <v>0</v>
      </c>
      <c r="AD2294" s="22">
        <f t="shared" si="437"/>
        <v>0</v>
      </c>
      <c r="AE2294" s="22">
        <f t="shared" si="438"/>
        <v>0</v>
      </c>
      <c r="AF2294" s="19" t="str">
        <f>VLOOKUP(C2294,'2021-22 School Level AAFTE'!C:N,12,FALSE)</f>
        <v>No</v>
      </c>
      <c r="AG2294" s="56"/>
      <c r="AH2294" s="56"/>
      <c r="AI2294" s="56"/>
      <c r="AJ2294" s="56"/>
      <c r="AK2294" s="56"/>
      <c r="AL2294" s="56"/>
      <c r="AM2294" s="56"/>
    </row>
    <row r="2295" spans="1:39" customFormat="1">
      <c r="A2295" s="97" t="s">
        <v>2451</v>
      </c>
      <c r="B2295" s="97" t="s">
        <v>1508</v>
      </c>
      <c r="C2295" s="95">
        <v>3458</v>
      </c>
      <c r="D2295" s="95" t="s">
        <v>1510</v>
      </c>
      <c r="E2295" s="129">
        <f>VLOOKUP($C2295,'2021-22 School Level AAFTE'!$C:$Z,11,FALSE)</f>
        <v>0.32796666666666668</v>
      </c>
      <c r="F2295" s="129" t="str">
        <f>VLOOKUP($C2295,'2021-22 School Level AAFTE'!$C:$Z,8,FALSE)</f>
        <v>No</v>
      </c>
      <c r="G2295" s="129" t="str">
        <f>VLOOKUP($C2295,'2021-22 School Level AAFTE'!$C:$Z,12,FALSE)</f>
        <v>No</v>
      </c>
      <c r="H2295" s="127">
        <f>VLOOKUP($C2295,'2021-22 School Level AAFTE'!$C:$I,7,FALSE)</f>
        <v>959.65</v>
      </c>
      <c r="I2295" s="112">
        <f>IFERROR(IF(OR(G2295="yes",F2295= "yes"),VLOOKUP(C2295,Summary!$B:$J,6,0),0),0)</f>
        <v>0</v>
      </c>
      <c r="J2295" s="111">
        <f t="shared" si="441"/>
        <v>0</v>
      </c>
      <c r="K2295" s="91">
        <f>VLOOKUP($A2295,'2022-23 Salary &amp; Benefits'!$A:$I,3,FALSE)</f>
        <v>1.06</v>
      </c>
      <c r="L2295" s="91">
        <f>VLOOKUP($A2295,'2022-23 Salary &amp; Benefits'!$A:$I,4,FALSE)</f>
        <v>1.06</v>
      </c>
      <c r="M2295" s="101">
        <f t="shared" si="436"/>
        <v>0</v>
      </c>
      <c r="N2295" s="24">
        <v>15</v>
      </c>
      <c r="O2295" s="26">
        <f t="shared" si="439"/>
        <v>0</v>
      </c>
      <c r="P2295" s="24">
        <v>1.1000000000000001</v>
      </c>
      <c r="Q2295" s="24">
        <v>36</v>
      </c>
      <c r="R2295" s="27">
        <f t="shared" si="440"/>
        <v>0</v>
      </c>
      <c r="S2295" s="102">
        <f t="shared" si="442"/>
        <v>0</v>
      </c>
      <c r="T2295" s="21">
        <f>VLOOKUP($A2295,'2022-23 Salary &amp; Benefits'!$A:$I,5,FALSE)</f>
        <v>68937</v>
      </c>
      <c r="U2295" s="21">
        <f>VLOOKUP($A2295,'2022-23 Salary &amp; Benefits'!$A:$I,6,FALSE)</f>
        <v>72728</v>
      </c>
      <c r="V2295" s="22">
        <f t="shared" si="443"/>
        <v>0</v>
      </c>
      <c r="W2295" s="22">
        <f t="shared" si="444"/>
        <v>0</v>
      </c>
      <c r="X2295" s="22">
        <f>'2022-23 Salary &amp; Benefits'!$G$6</f>
        <v>12558.24</v>
      </c>
      <c r="Y2295" s="23">
        <f>'2022-23 Salary &amp; Benefits'!$H$6</f>
        <v>0.2298</v>
      </c>
      <c r="Z2295" s="23">
        <f>'2022-23 Salary &amp; Benefits'!$I$6</f>
        <v>0.22339999999999999</v>
      </c>
      <c r="AA2295" s="22">
        <f t="shared" si="445"/>
        <v>0</v>
      </c>
      <c r="AB2295" s="22">
        <f t="shared" si="446"/>
        <v>0</v>
      </c>
      <c r="AC2295" s="22">
        <f t="shared" si="447"/>
        <v>0</v>
      </c>
      <c r="AD2295" s="22">
        <f t="shared" si="437"/>
        <v>0</v>
      </c>
      <c r="AE2295" s="22">
        <f t="shared" si="438"/>
        <v>0</v>
      </c>
      <c r="AF2295" s="19" t="str">
        <f>VLOOKUP(C2295,'2021-22 School Level AAFTE'!C:N,12,FALSE)</f>
        <v>No</v>
      </c>
      <c r="AG2295" s="56"/>
      <c r="AH2295" s="56"/>
      <c r="AI2295" s="56"/>
      <c r="AJ2295" s="56"/>
      <c r="AK2295" s="56"/>
      <c r="AL2295" s="56"/>
      <c r="AM2295" s="56"/>
    </row>
    <row r="2296" spans="1:39" customFormat="1">
      <c r="A2296" s="97" t="s">
        <v>2451</v>
      </c>
      <c r="B2296" s="97" t="s">
        <v>1508</v>
      </c>
      <c r="C2296" s="95">
        <v>4170</v>
      </c>
      <c r="D2296" s="95" t="s">
        <v>1511</v>
      </c>
      <c r="E2296" s="129">
        <f>VLOOKUP($C2296,'2021-22 School Level AAFTE'!$C:$Z,11,FALSE)</f>
        <v>0.25613333333333332</v>
      </c>
      <c r="F2296" s="129" t="str">
        <f>VLOOKUP($C2296,'2021-22 School Level AAFTE'!$C:$Z,8,FALSE)</f>
        <v>No</v>
      </c>
      <c r="G2296" s="129" t="str">
        <f>VLOOKUP($C2296,'2021-22 School Level AAFTE'!$C:$Z,12,FALSE)</f>
        <v>No</v>
      </c>
      <c r="H2296" s="127">
        <f>VLOOKUP($C2296,'2021-22 School Level AAFTE'!$C:$I,7,FALSE)</f>
        <v>314</v>
      </c>
      <c r="I2296" s="112">
        <f>IFERROR(IF(OR(G2296="yes",F2296= "yes"),VLOOKUP(C2296,Summary!$B:$J,6,0),0),0)</f>
        <v>0</v>
      </c>
      <c r="J2296" s="111">
        <f t="shared" si="441"/>
        <v>0</v>
      </c>
      <c r="K2296" s="91">
        <f>VLOOKUP($A2296,'2022-23 Salary &amp; Benefits'!$A:$I,3,FALSE)</f>
        <v>1.06</v>
      </c>
      <c r="L2296" s="91">
        <f>VLOOKUP($A2296,'2022-23 Salary &amp; Benefits'!$A:$I,4,FALSE)</f>
        <v>1.06</v>
      </c>
      <c r="M2296" s="101">
        <f t="shared" si="436"/>
        <v>0</v>
      </c>
      <c r="N2296" s="24">
        <v>15</v>
      </c>
      <c r="O2296" s="26">
        <f t="shared" si="439"/>
        <v>0</v>
      </c>
      <c r="P2296" s="24">
        <v>1.1000000000000001</v>
      </c>
      <c r="Q2296" s="24">
        <v>36</v>
      </c>
      <c r="R2296" s="27">
        <f t="shared" si="440"/>
        <v>0</v>
      </c>
      <c r="S2296" s="102">
        <f t="shared" si="442"/>
        <v>0</v>
      </c>
      <c r="T2296" s="21">
        <f>VLOOKUP($A2296,'2022-23 Salary &amp; Benefits'!$A:$I,5,FALSE)</f>
        <v>68937</v>
      </c>
      <c r="U2296" s="21">
        <f>VLOOKUP($A2296,'2022-23 Salary &amp; Benefits'!$A:$I,6,FALSE)</f>
        <v>72728</v>
      </c>
      <c r="V2296" s="22">
        <f t="shared" si="443"/>
        <v>0</v>
      </c>
      <c r="W2296" s="22">
        <f t="shared" si="444"/>
        <v>0</v>
      </c>
      <c r="X2296" s="22">
        <f>'2022-23 Salary &amp; Benefits'!$G$6</f>
        <v>12558.24</v>
      </c>
      <c r="Y2296" s="23">
        <f>'2022-23 Salary &amp; Benefits'!$H$6</f>
        <v>0.2298</v>
      </c>
      <c r="Z2296" s="23">
        <f>'2022-23 Salary &amp; Benefits'!$I$6</f>
        <v>0.22339999999999999</v>
      </c>
      <c r="AA2296" s="22">
        <f t="shared" si="445"/>
        <v>0</v>
      </c>
      <c r="AB2296" s="22">
        <f t="shared" si="446"/>
        <v>0</v>
      </c>
      <c r="AC2296" s="22">
        <f t="shared" si="447"/>
        <v>0</v>
      </c>
      <c r="AD2296" s="22">
        <f t="shared" si="437"/>
        <v>0</v>
      </c>
      <c r="AE2296" s="22">
        <f t="shared" si="438"/>
        <v>0</v>
      </c>
      <c r="AF2296" s="19" t="str">
        <f>VLOOKUP(C2296,'2021-22 School Level AAFTE'!C:N,12,FALSE)</f>
        <v>No</v>
      </c>
      <c r="AG2296" s="56"/>
      <c r="AH2296" s="56"/>
      <c r="AI2296" s="56"/>
      <c r="AJ2296" s="56"/>
      <c r="AK2296" s="56"/>
      <c r="AL2296" s="56"/>
      <c r="AM2296" s="56"/>
    </row>
    <row r="2297" spans="1:39" customFormat="1">
      <c r="A2297" s="97" t="s">
        <v>2451</v>
      </c>
      <c r="B2297" s="97" t="s">
        <v>1508</v>
      </c>
      <c r="C2297" s="95">
        <v>4309</v>
      </c>
      <c r="D2297" s="95" t="s">
        <v>1512</v>
      </c>
      <c r="E2297" s="129">
        <f>VLOOKUP($C2297,'2021-22 School Level AAFTE'!$C:$Z,11,FALSE)</f>
        <v>0.38553333333333334</v>
      </c>
      <c r="F2297" s="129" t="str">
        <f>VLOOKUP($C2297,'2021-22 School Level AAFTE'!$C:$Z,8,FALSE)</f>
        <v>No</v>
      </c>
      <c r="G2297" s="129" t="str">
        <f>VLOOKUP($C2297,'2021-22 School Level AAFTE'!$C:$Z,12,FALSE)</f>
        <v>No</v>
      </c>
      <c r="H2297" s="127">
        <f>VLOOKUP($C2297,'2021-22 School Level AAFTE'!$C:$I,7,FALSE)</f>
        <v>495.53</v>
      </c>
      <c r="I2297" s="112">
        <f>IFERROR(IF(OR(G2297="yes",F2297= "yes"),VLOOKUP(C2297,Summary!$B:$J,6,0),0),0)</f>
        <v>0</v>
      </c>
      <c r="J2297" s="111">
        <f t="shared" si="441"/>
        <v>0</v>
      </c>
      <c r="K2297" s="91">
        <f>VLOOKUP($A2297,'2022-23 Salary &amp; Benefits'!$A:$I,3,FALSE)</f>
        <v>1.06</v>
      </c>
      <c r="L2297" s="91">
        <f>VLOOKUP($A2297,'2022-23 Salary &amp; Benefits'!$A:$I,4,FALSE)</f>
        <v>1.06</v>
      </c>
      <c r="M2297" s="101">
        <f t="shared" ref="M2297:M2348" si="448">IF(I2297&gt;0,I2297,J2297)</f>
        <v>0</v>
      </c>
      <c r="N2297" s="24">
        <v>15</v>
      </c>
      <c r="O2297" s="26">
        <f t="shared" si="439"/>
        <v>0</v>
      </c>
      <c r="P2297" s="24">
        <v>1.1000000000000001</v>
      </c>
      <c r="Q2297" s="24">
        <v>36</v>
      </c>
      <c r="R2297" s="27">
        <f t="shared" si="440"/>
        <v>0</v>
      </c>
      <c r="S2297" s="102">
        <f t="shared" si="442"/>
        <v>0</v>
      </c>
      <c r="T2297" s="21">
        <f>VLOOKUP($A2297,'2022-23 Salary &amp; Benefits'!$A:$I,5,FALSE)</f>
        <v>68937</v>
      </c>
      <c r="U2297" s="21">
        <f>VLOOKUP($A2297,'2022-23 Salary &amp; Benefits'!$A:$I,6,FALSE)</f>
        <v>72728</v>
      </c>
      <c r="V2297" s="22">
        <f t="shared" si="443"/>
        <v>0</v>
      </c>
      <c r="W2297" s="22">
        <f t="shared" si="444"/>
        <v>0</v>
      </c>
      <c r="X2297" s="22">
        <f>'2022-23 Salary &amp; Benefits'!$G$6</f>
        <v>12558.24</v>
      </c>
      <c r="Y2297" s="23">
        <f>'2022-23 Salary &amp; Benefits'!$H$6</f>
        <v>0.2298</v>
      </c>
      <c r="Z2297" s="23">
        <f>'2022-23 Salary &amp; Benefits'!$I$6</f>
        <v>0.22339999999999999</v>
      </c>
      <c r="AA2297" s="22">
        <f t="shared" si="445"/>
        <v>0</v>
      </c>
      <c r="AB2297" s="22">
        <f t="shared" si="446"/>
        <v>0</v>
      </c>
      <c r="AC2297" s="22">
        <f t="shared" si="447"/>
        <v>0</v>
      </c>
      <c r="AD2297" s="22">
        <f t="shared" ref="AD2297:AD2348" si="449">SUM(AB2297:AC2297)</f>
        <v>0</v>
      </c>
      <c r="AE2297" s="22">
        <f t="shared" ref="AE2297:AE2348" si="450">SUM(AA2297,V2297:W2297,AD2297)</f>
        <v>0</v>
      </c>
      <c r="AF2297" s="19" t="str">
        <f>VLOOKUP(C2297,'2021-22 School Level AAFTE'!C:N,12,FALSE)</f>
        <v>No</v>
      </c>
    </row>
    <row r="2298" spans="1:39" customFormat="1">
      <c r="A2298" s="97" t="s">
        <v>2451</v>
      </c>
      <c r="B2298" s="97" t="s">
        <v>1508</v>
      </c>
      <c r="C2298" s="95">
        <v>4471</v>
      </c>
      <c r="D2298" s="95" t="s">
        <v>1513</v>
      </c>
      <c r="E2298" s="129">
        <f>VLOOKUP($C2298,'2021-22 School Level AAFTE'!$C:$Z,11,FALSE)</f>
        <v>0.20176666666666665</v>
      </c>
      <c r="F2298" s="129" t="str">
        <f>VLOOKUP($C2298,'2021-22 School Level AAFTE'!$C:$Z,8,FALSE)</f>
        <v>No</v>
      </c>
      <c r="G2298" s="129" t="str">
        <f>VLOOKUP($C2298,'2021-22 School Level AAFTE'!$C:$Z,12,FALSE)</f>
        <v>No</v>
      </c>
      <c r="H2298" s="127">
        <f>VLOOKUP($C2298,'2021-22 School Level AAFTE'!$C:$I,7,FALSE)</f>
        <v>396.14</v>
      </c>
      <c r="I2298" s="112">
        <f>IFERROR(IF(OR(G2298="yes",F2298= "yes"),VLOOKUP(C2298,Summary!$B:$J,6,0),0),0)</f>
        <v>0</v>
      </c>
      <c r="J2298" s="111">
        <f t="shared" si="441"/>
        <v>0</v>
      </c>
      <c r="K2298" s="91">
        <f>VLOOKUP($A2298,'2022-23 Salary &amp; Benefits'!$A:$I,3,FALSE)</f>
        <v>1.06</v>
      </c>
      <c r="L2298" s="91">
        <f>VLOOKUP($A2298,'2022-23 Salary &amp; Benefits'!$A:$I,4,FALSE)</f>
        <v>1.06</v>
      </c>
      <c r="M2298" s="101">
        <f t="shared" si="448"/>
        <v>0</v>
      </c>
      <c r="N2298" s="24">
        <v>15</v>
      </c>
      <c r="O2298" s="26">
        <f t="shared" si="439"/>
        <v>0</v>
      </c>
      <c r="P2298" s="24">
        <v>1.1000000000000001</v>
      </c>
      <c r="Q2298" s="24">
        <v>36</v>
      </c>
      <c r="R2298" s="27">
        <f t="shared" si="440"/>
        <v>0</v>
      </c>
      <c r="S2298" s="102">
        <f t="shared" si="442"/>
        <v>0</v>
      </c>
      <c r="T2298" s="21">
        <f>VLOOKUP($A2298,'2022-23 Salary &amp; Benefits'!$A:$I,5,FALSE)</f>
        <v>68937</v>
      </c>
      <c r="U2298" s="21">
        <f>VLOOKUP($A2298,'2022-23 Salary &amp; Benefits'!$A:$I,6,FALSE)</f>
        <v>72728</v>
      </c>
      <c r="V2298" s="22">
        <f t="shared" si="443"/>
        <v>0</v>
      </c>
      <c r="W2298" s="22">
        <f t="shared" si="444"/>
        <v>0</v>
      </c>
      <c r="X2298" s="22">
        <f>'2022-23 Salary &amp; Benefits'!$G$6</f>
        <v>12558.24</v>
      </c>
      <c r="Y2298" s="23">
        <f>'2022-23 Salary &amp; Benefits'!$H$6</f>
        <v>0.2298</v>
      </c>
      <c r="Z2298" s="23">
        <f>'2022-23 Salary &amp; Benefits'!$I$6</f>
        <v>0.22339999999999999</v>
      </c>
      <c r="AA2298" s="22">
        <f t="shared" si="445"/>
        <v>0</v>
      </c>
      <c r="AB2298" s="22">
        <f t="shared" si="446"/>
        <v>0</v>
      </c>
      <c r="AC2298" s="22">
        <f t="shared" si="447"/>
        <v>0</v>
      </c>
      <c r="AD2298" s="22">
        <f t="shared" si="449"/>
        <v>0</v>
      </c>
      <c r="AE2298" s="22">
        <f t="shared" si="450"/>
        <v>0</v>
      </c>
      <c r="AF2298" s="19" t="str">
        <f>VLOOKUP(C2298,'2021-22 School Level AAFTE'!C:N,12,FALSE)</f>
        <v>No</v>
      </c>
    </row>
    <row r="2299" spans="1:39" customFormat="1">
      <c r="A2299" s="97" t="s">
        <v>2451</v>
      </c>
      <c r="B2299" s="97" t="s">
        <v>1508</v>
      </c>
      <c r="C2299" s="95">
        <v>4569</v>
      </c>
      <c r="D2299" s="95" t="s">
        <v>1514</v>
      </c>
      <c r="E2299" s="129">
        <f>VLOOKUP($C2299,'2021-22 School Level AAFTE'!$C:$Z,11,FALSE)</f>
        <v>0.24876666666666666</v>
      </c>
      <c r="F2299" s="129" t="str">
        <f>VLOOKUP($C2299,'2021-22 School Level AAFTE'!$C:$Z,8,FALSE)</f>
        <v>No</v>
      </c>
      <c r="G2299" s="129" t="str">
        <f>VLOOKUP($C2299,'2021-22 School Level AAFTE'!$C:$Z,12,FALSE)</f>
        <v>No</v>
      </c>
      <c r="H2299" s="127">
        <f>VLOOKUP($C2299,'2021-22 School Level AAFTE'!$C:$I,7,FALSE)</f>
        <v>1261.2800000000002</v>
      </c>
      <c r="I2299" s="112">
        <f>IFERROR(IF(OR(G2299="yes",F2299= "yes"),VLOOKUP(C2299,Summary!$B:$J,6,0),0),0)</f>
        <v>0</v>
      </c>
      <c r="J2299" s="111">
        <f t="shared" si="441"/>
        <v>0</v>
      </c>
      <c r="K2299" s="91">
        <f>VLOOKUP($A2299,'2022-23 Salary &amp; Benefits'!$A:$I,3,FALSE)</f>
        <v>1.06</v>
      </c>
      <c r="L2299" s="91">
        <f>VLOOKUP($A2299,'2022-23 Salary &amp; Benefits'!$A:$I,4,FALSE)</f>
        <v>1.06</v>
      </c>
      <c r="M2299" s="101">
        <f t="shared" si="448"/>
        <v>0</v>
      </c>
      <c r="N2299" s="24">
        <v>15</v>
      </c>
      <c r="O2299" s="26">
        <f t="shared" si="439"/>
        <v>0</v>
      </c>
      <c r="P2299" s="24">
        <v>1.1000000000000001</v>
      </c>
      <c r="Q2299" s="24">
        <v>36</v>
      </c>
      <c r="R2299" s="27">
        <f t="shared" si="440"/>
        <v>0</v>
      </c>
      <c r="S2299" s="102">
        <f t="shared" si="442"/>
        <v>0</v>
      </c>
      <c r="T2299" s="21">
        <f>VLOOKUP($A2299,'2022-23 Salary &amp; Benefits'!$A:$I,5,FALSE)</f>
        <v>68937</v>
      </c>
      <c r="U2299" s="21">
        <f>VLOOKUP($A2299,'2022-23 Salary &amp; Benefits'!$A:$I,6,FALSE)</f>
        <v>72728</v>
      </c>
      <c r="V2299" s="22">
        <f t="shared" si="443"/>
        <v>0</v>
      </c>
      <c r="W2299" s="22">
        <f t="shared" si="444"/>
        <v>0</v>
      </c>
      <c r="X2299" s="22">
        <f>'2022-23 Salary &amp; Benefits'!$G$6</f>
        <v>12558.24</v>
      </c>
      <c r="Y2299" s="23">
        <f>'2022-23 Salary &amp; Benefits'!$H$6</f>
        <v>0.2298</v>
      </c>
      <c r="Z2299" s="23">
        <f>'2022-23 Salary &amp; Benefits'!$I$6</f>
        <v>0.22339999999999999</v>
      </c>
      <c r="AA2299" s="22">
        <f t="shared" si="445"/>
        <v>0</v>
      </c>
      <c r="AB2299" s="22">
        <f t="shared" si="446"/>
        <v>0</v>
      </c>
      <c r="AC2299" s="22">
        <f t="shared" si="447"/>
        <v>0</v>
      </c>
      <c r="AD2299" s="22">
        <f t="shared" si="449"/>
        <v>0</v>
      </c>
      <c r="AE2299" s="22">
        <f t="shared" si="450"/>
        <v>0</v>
      </c>
      <c r="AF2299" s="19" t="str">
        <f>VLOOKUP(C2299,'2021-22 School Level AAFTE'!C:N,12,FALSE)</f>
        <v>No</v>
      </c>
    </row>
    <row r="2300" spans="1:39" customFormat="1">
      <c r="A2300" s="97" t="s">
        <v>2451</v>
      </c>
      <c r="B2300" s="97" t="s">
        <v>1508</v>
      </c>
      <c r="C2300" s="95">
        <v>5045</v>
      </c>
      <c r="D2300" s="95" t="s">
        <v>3076</v>
      </c>
      <c r="E2300" s="129">
        <f>VLOOKUP($C2300,'2021-22 School Level AAFTE'!$C:$Z,11,FALSE)</f>
        <v>0</v>
      </c>
      <c r="F2300" s="129" t="str">
        <f>VLOOKUP($C2300,'2021-22 School Level AAFTE'!$C:$Z,8,FALSE)</f>
        <v>No</v>
      </c>
      <c r="G2300" s="129" t="str">
        <f>VLOOKUP($C2300,'2021-22 School Level AAFTE'!$C:$Z,12,FALSE)</f>
        <v>No</v>
      </c>
      <c r="H2300" s="127">
        <f>VLOOKUP($C2300,'2021-22 School Level AAFTE'!$C:$I,7,FALSE)</f>
        <v>0.14000000000000001</v>
      </c>
      <c r="I2300" s="112">
        <f>IFERROR(IF(OR(G2300="yes",F2300= "yes"),VLOOKUP(C2300,Summary!$B:$J,6,0),0),0)</f>
        <v>0</v>
      </c>
      <c r="J2300" s="111">
        <f t="shared" si="441"/>
        <v>0</v>
      </c>
      <c r="K2300" s="91">
        <f>VLOOKUP($A2300,'2022-23 Salary &amp; Benefits'!$A:$I,3,FALSE)</f>
        <v>1.06</v>
      </c>
      <c r="L2300" s="91">
        <f>VLOOKUP($A2300,'2022-23 Salary &amp; Benefits'!$A:$I,4,FALSE)</f>
        <v>1.06</v>
      </c>
      <c r="M2300" s="101">
        <f t="shared" si="448"/>
        <v>0</v>
      </c>
      <c r="N2300" s="24">
        <v>15</v>
      </c>
      <c r="O2300" s="26">
        <f t="shared" si="439"/>
        <v>0</v>
      </c>
      <c r="P2300" s="24">
        <v>1.1000000000000001</v>
      </c>
      <c r="Q2300" s="24">
        <v>36</v>
      </c>
      <c r="R2300" s="27">
        <f t="shared" si="440"/>
        <v>0</v>
      </c>
      <c r="S2300" s="102">
        <f t="shared" si="442"/>
        <v>0</v>
      </c>
      <c r="T2300" s="21">
        <f>VLOOKUP($A2300,'2022-23 Salary &amp; Benefits'!$A:$I,5,FALSE)</f>
        <v>68937</v>
      </c>
      <c r="U2300" s="21">
        <f>VLOOKUP($A2300,'2022-23 Salary &amp; Benefits'!$A:$I,6,FALSE)</f>
        <v>72728</v>
      </c>
      <c r="V2300" s="22">
        <f t="shared" si="443"/>
        <v>0</v>
      </c>
      <c r="W2300" s="22">
        <f t="shared" si="444"/>
        <v>0</v>
      </c>
      <c r="X2300" s="22">
        <f>'2022-23 Salary &amp; Benefits'!$G$6</f>
        <v>12558.24</v>
      </c>
      <c r="Y2300" s="23">
        <f>'2022-23 Salary &amp; Benefits'!$H$6</f>
        <v>0.2298</v>
      </c>
      <c r="Z2300" s="23">
        <f>'2022-23 Salary &amp; Benefits'!$I$6</f>
        <v>0.22339999999999999</v>
      </c>
      <c r="AA2300" s="22">
        <f t="shared" si="445"/>
        <v>0</v>
      </c>
      <c r="AB2300" s="22">
        <f t="shared" si="446"/>
        <v>0</v>
      </c>
      <c r="AC2300" s="22">
        <f t="shared" si="447"/>
        <v>0</v>
      </c>
      <c r="AD2300" s="22">
        <f t="shared" si="449"/>
        <v>0</v>
      </c>
      <c r="AE2300" s="22">
        <f t="shared" si="450"/>
        <v>0</v>
      </c>
      <c r="AF2300" s="19" t="str">
        <f>VLOOKUP(C2300,'2021-22 School Level AAFTE'!C:N,12,FALSE)</f>
        <v>No</v>
      </c>
    </row>
    <row r="2301" spans="1:39" customFormat="1">
      <c r="A2301" s="97" t="s">
        <v>2451</v>
      </c>
      <c r="B2301" s="97" t="s">
        <v>1508</v>
      </c>
      <c r="C2301" s="95">
        <v>5564</v>
      </c>
      <c r="D2301" s="95" t="s">
        <v>2833</v>
      </c>
      <c r="E2301" s="129">
        <f>VLOOKUP($C2301,'2021-22 School Level AAFTE'!$C:$Z,11,FALSE)</f>
        <v>0.1822</v>
      </c>
      <c r="F2301" s="129" t="str">
        <f>VLOOKUP($C2301,'2021-22 School Level AAFTE'!$C:$Z,8,FALSE)</f>
        <v>No</v>
      </c>
      <c r="G2301" s="129" t="str">
        <f>VLOOKUP($C2301,'2021-22 School Level AAFTE'!$C:$Z,12,FALSE)</f>
        <v>No</v>
      </c>
      <c r="H2301" s="127">
        <f>VLOOKUP($C2301,'2021-22 School Level AAFTE'!$C:$I,7,FALSE)</f>
        <v>188.72</v>
      </c>
      <c r="I2301" s="112">
        <f>IFERROR(IF(OR(G2301="yes",F2301= "yes"),VLOOKUP(C2301,Summary!$B:$J,6,0),0),0)</f>
        <v>0</v>
      </c>
      <c r="J2301" s="111">
        <f t="shared" si="441"/>
        <v>0</v>
      </c>
      <c r="K2301" s="91">
        <f>VLOOKUP($A2301,'2022-23 Salary &amp; Benefits'!$A:$I,3,FALSE)</f>
        <v>1.06</v>
      </c>
      <c r="L2301" s="91">
        <f>VLOOKUP($A2301,'2022-23 Salary &amp; Benefits'!$A:$I,4,FALSE)</f>
        <v>1.06</v>
      </c>
      <c r="M2301" s="101">
        <f t="shared" si="448"/>
        <v>0</v>
      </c>
      <c r="N2301" s="24">
        <v>15</v>
      </c>
      <c r="O2301" s="26">
        <f t="shared" si="439"/>
        <v>0</v>
      </c>
      <c r="P2301" s="24">
        <v>1.1000000000000001</v>
      </c>
      <c r="Q2301" s="24">
        <v>36</v>
      </c>
      <c r="R2301" s="27">
        <f t="shared" si="440"/>
        <v>0</v>
      </c>
      <c r="S2301" s="102">
        <f t="shared" si="442"/>
        <v>0</v>
      </c>
      <c r="T2301" s="21">
        <f>VLOOKUP($A2301,'2022-23 Salary &amp; Benefits'!$A:$I,5,FALSE)</f>
        <v>68937</v>
      </c>
      <c r="U2301" s="21">
        <f>VLOOKUP($A2301,'2022-23 Salary &amp; Benefits'!$A:$I,6,FALSE)</f>
        <v>72728</v>
      </c>
      <c r="V2301" s="22">
        <f t="shared" si="443"/>
        <v>0</v>
      </c>
      <c r="W2301" s="22">
        <f t="shared" si="444"/>
        <v>0</v>
      </c>
      <c r="X2301" s="22">
        <f>'2022-23 Salary &amp; Benefits'!$G$6</f>
        <v>12558.24</v>
      </c>
      <c r="Y2301" s="23">
        <f>'2022-23 Salary &amp; Benefits'!$H$6</f>
        <v>0.2298</v>
      </c>
      <c r="Z2301" s="23">
        <f>'2022-23 Salary &amp; Benefits'!$I$6</f>
        <v>0.22339999999999999</v>
      </c>
      <c r="AA2301" s="22">
        <f t="shared" si="445"/>
        <v>0</v>
      </c>
      <c r="AB2301" s="22">
        <f t="shared" si="446"/>
        <v>0</v>
      </c>
      <c r="AC2301" s="22">
        <f t="shared" si="447"/>
        <v>0</v>
      </c>
      <c r="AD2301" s="22">
        <f t="shared" si="449"/>
        <v>0</v>
      </c>
      <c r="AE2301" s="22">
        <f t="shared" si="450"/>
        <v>0</v>
      </c>
      <c r="AF2301" s="19" t="str">
        <f>VLOOKUP(C2301,'2021-22 School Level AAFTE'!C:N,12,FALSE)</f>
        <v>No</v>
      </c>
    </row>
    <row r="2302" spans="1:39" customFormat="1">
      <c r="A2302" s="97" t="s">
        <v>2391</v>
      </c>
      <c r="B2302" s="97" t="s">
        <v>1123</v>
      </c>
      <c r="C2302" s="95">
        <v>2330</v>
      </c>
      <c r="D2302" s="95" t="s">
        <v>1124</v>
      </c>
      <c r="E2302" s="129">
        <f>VLOOKUP($C2302,'2021-22 School Level AAFTE'!$C:$Z,11,FALSE)</f>
        <v>0.39183333333333331</v>
      </c>
      <c r="F2302" s="129" t="str">
        <f>VLOOKUP($C2302,'2021-22 School Level AAFTE'!$C:$Z,8,FALSE)</f>
        <v>No</v>
      </c>
      <c r="G2302" s="129" t="str">
        <f>VLOOKUP($C2302,'2021-22 School Level AAFTE'!$C:$Z,12,FALSE)</f>
        <v>No</v>
      </c>
      <c r="H2302" s="127">
        <f>VLOOKUP($C2302,'2021-22 School Level AAFTE'!$C:$I,7,FALSE)</f>
        <v>341.57</v>
      </c>
      <c r="I2302" s="112">
        <f>IFERROR(IF(OR(G2302="yes",F2302= "yes"),VLOOKUP(C2302,Summary!$B:$J,6,0),0),0)</f>
        <v>0</v>
      </c>
      <c r="J2302" s="111">
        <f t="shared" si="441"/>
        <v>0</v>
      </c>
      <c r="K2302" s="91">
        <f>VLOOKUP($A2302,'2022-23 Salary &amp; Benefits'!$A:$I,3,FALSE)</f>
        <v>1</v>
      </c>
      <c r="L2302" s="91">
        <f>VLOOKUP($A2302,'2022-23 Salary &amp; Benefits'!$A:$I,4,FALSE)</f>
        <v>1</v>
      </c>
      <c r="M2302" s="101">
        <f t="shared" si="448"/>
        <v>0</v>
      </c>
      <c r="N2302" s="24">
        <v>15</v>
      </c>
      <c r="O2302" s="26">
        <f t="shared" si="439"/>
        <v>0</v>
      </c>
      <c r="P2302" s="24">
        <v>1.1000000000000001</v>
      </c>
      <c r="Q2302" s="24">
        <v>36</v>
      </c>
      <c r="R2302" s="27">
        <f t="shared" si="440"/>
        <v>0</v>
      </c>
      <c r="S2302" s="102">
        <f t="shared" si="442"/>
        <v>0</v>
      </c>
      <c r="T2302" s="21">
        <f>VLOOKUP($A2302,'2022-23 Salary &amp; Benefits'!$A:$I,5,FALSE)</f>
        <v>68937</v>
      </c>
      <c r="U2302" s="21">
        <f>VLOOKUP($A2302,'2022-23 Salary &amp; Benefits'!$A:$I,6,FALSE)</f>
        <v>72728</v>
      </c>
      <c r="V2302" s="22">
        <f t="shared" si="443"/>
        <v>0</v>
      </c>
      <c r="W2302" s="22">
        <f t="shared" si="444"/>
        <v>0</v>
      </c>
      <c r="X2302" s="22">
        <f>'2022-23 Salary &amp; Benefits'!$G$6</f>
        <v>12558.24</v>
      </c>
      <c r="Y2302" s="23">
        <f>'2022-23 Salary &amp; Benefits'!$H$6</f>
        <v>0.2298</v>
      </c>
      <c r="Z2302" s="23">
        <f>'2022-23 Salary &amp; Benefits'!$I$6</f>
        <v>0.22339999999999999</v>
      </c>
      <c r="AA2302" s="22">
        <f t="shared" si="445"/>
        <v>0</v>
      </c>
      <c r="AB2302" s="22">
        <f t="shared" si="446"/>
        <v>0</v>
      </c>
      <c r="AC2302" s="22">
        <f t="shared" si="447"/>
        <v>0</v>
      </c>
      <c r="AD2302" s="22">
        <f t="shared" si="449"/>
        <v>0</v>
      </c>
      <c r="AE2302" s="22">
        <f t="shared" si="450"/>
        <v>0</v>
      </c>
      <c r="AF2302" s="19" t="str">
        <f>VLOOKUP(C2302,'2021-22 School Level AAFTE'!C:N,12,FALSE)</f>
        <v>No</v>
      </c>
    </row>
    <row r="2303" spans="1:39" customFormat="1">
      <c r="A2303" s="97" t="s">
        <v>2391</v>
      </c>
      <c r="B2303" s="97" t="s">
        <v>1123</v>
      </c>
      <c r="C2303" s="95">
        <v>2997</v>
      </c>
      <c r="D2303" s="95" t="s">
        <v>1125</v>
      </c>
      <c r="E2303" s="129">
        <f>VLOOKUP($C2303,'2021-22 School Level AAFTE'!$C:$Z,11,FALSE)</f>
        <v>0.43273333333333336</v>
      </c>
      <c r="F2303" s="129" t="str">
        <f>VLOOKUP($C2303,'2021-22 School Level AAFTE'!$C:$Z,8,FALSE)</f>
        <v>No</v>
      </c>
      <c r="G2303" s="129" t="str">
        <f>VLOOKUP($C2303,'2021-22 School Level AAFTE'!$C:$Z,12,FALSE)</f>
        <v>No</v>
      </c>
      <c r="H2303" s="127">
        <f>VLOOKUP($C2303,'2021-22 School Level AAFTE'!$C:$I,7,FALSE)</f>
        <v>300.68</v>
      </c>
      <c r="I2303" s="112">
        <f>IFERROR(IF(OR(G2303="yes",F2303= "yes"),VLOOKUP(C2303,Summary!$B:$J,6,0),0),0)</f>
        <v>0</v>
      </c>
      <c r="J2303" s="111">
        <f t="shared" si="441"/>
        <v>0</v>
      </c>
      <c r="K2303" s="91">
        <f>VLOOKUP($A2303,'2022-23 Salary &amp; Benefits'!$A:$I,3,FALSE)</f>
        <v>1</v>
      </c>
      <c r="L2303" s="91">
        <f>VLOOKUP($A2303,'2022-23 Salary &amp; Benefits'!$A:$I,4,FALSE)</f>
        <v>1</v>
      </c>
      <c r="M2303" s="101">
        <f t="shared" si="448"/>
        <v>0</v>
      </c>
      <c r="N2303" s="24">
        <v>15</v>
      </c>
      <c r="O2303" s="26">
        <f t="shared" si="439"/>
        <v>0</v>
      </c>
      <c r="P2303" s="24">
        <v>1.1000000000000001</v>
      </c>
      <c r="Q2303" s="24">
        <v>36</v>
      </c>
      <c r="R2303" s="27">
        <f t="shared" si="440"/>
        <v>0</v>
      </c>
      <c r="S2303" s="102">
        <f t="shared" si="442"/>
        <v>0</v>
      </c>
      <c r="T2303" s="21">
        <f>VLOOKUP($A2303,'2022-23 Salary &amp; Benefits'!$A:$I,5,FALSE)</f>
        <v>68937</v>
      </c>
      <c r="U2303" s="21">
        <f>VLOOKUP($A2303,'2022-23 Salary &amp; Benefits'!$A:$I,6,FALSE)</f>
        <v>72728</v>
      </c>
      <c r="V2303" s="22">
        <f t="shared" si="443"/>
        <v>0</v>
      </c>
      <c r="W2303" s="22">
        <f t="shared" si="444"/>
        <v>0</v>
      </c>
      <c r="X2303" s="22">
        <f>'2022-23 Salary &amp; Benefits'!$G$6</f>
        <v>12558.24</v>
      </c>
      <c r="Y2303" s="23">
        <f>'2022-23 Salary &amp; Benefits'!$H$6</f>
        <v>0.2298</v>
      </c>
      <c r="Z2303" s="23">
        <f>'2022-23 Salary &amp; Benefits'!$I$6</f>
        <v>0.22339999999999999</v>
      </c>
      <c r="AA2303" s="22">
        <f t="shared" si="445"/>
        <v>0</v>
      </c>
      <c r="AB2303" s="22">
        <f t="shared" si="446"/>
        <v>0</v>
      </c>
      <c r="AC2303" s="22">
        <f t="shared" si="447"/>
        <v>0</v>
      </c>
      <c r="AD2303" s="22">
        <f t="shared" si="449"/>
        <v>0</v>
      </c>
      <c r="AE2303" s="22">
        <f t="shared" si="450"/>
        <v>0</v>
      </c>
      <c r="AF2303" s="19" t="str">
        <f>VLOOKUP(C2303,'2021-22 School Level AAFTE'!C:N,12,FALSE)</f>
        <v>No</v>
      </c>
    </row>
    <row r="2304" spans="1:39" customFormat="1">
      <c r="A2304" s="97" t="s">
        <v>2391</v>
      </c>
      <c r="B2304" s="97" t="s">
        <v>1123</v>
      </c>
      <c r="C2304" s="95">
        <v>3394</v>
      </c>
      <c r="D2304" s="95" t="s">
        <v>1126</v>
      </c>
      <c r="E2304" s="129">
        <f>VLOOKUP($C2304,'2021-22 School Level AAFTE'!$C:$Z,11,FALSE)</f>
        <v>0.45153333333333334</v>
      </c>
      <c r="F2304" s="129" t="str">
        <f>VLOOKUP($C2304,'2021-22 School Level AAFTE'!$C:$Z,8,FALSE)</f>
        <v>No</v>
      </c>
      <c r="G2304" s="129" t="str">
        <f>VLOOKUP($C2304,'2021-22 School Level AAFTE'!$C:$Z,12,FALSE)</f>
        <v>No</v>
      </c>
      <c r="H2304" s="127">
        <f>VLOOKUP($C2304,'2021-22 School Level AAFTE'!$C:$I,7,FALSE)</f>
        <v>187.74</v>
      </c>
      <c r="I2304" s="112">
        <f>IFERROR(IF(OR(G2304="yes",F2304= "yes"),VLOOKUP(C2304,Summary!$B:$J,6,0),0),0)</f>
        <v>0</v>
      </c>
      <c r="J2304" s="111">
        <f t="shared" si="441"/>
        <v>0</v>
      </c>
      <c r="K2304" s="91">
        <f>VLOOKUP($A2304,'2022-23 Salary &amp; Benefits'!$A:$I,3,FALSE)</f>
        <v>1</v>
      </c>
      <c r="L2304" s="91">
        <f>VLOOKUP($A2304,'2022-23 Salary &amp; Benefits'!$A:$I,4,FALSE)</f>
        <v>1</v>
      </c>
      <c r="M2304" s="101">
        <f t="shared" si="448"/>
        <v>0</v>
      </c>
      <c r="N2304" s="24">
        <v>15</v>
      </c>
      <c r="O2304" s="26">
        <f t="shared" si="439"/>
        <v>0</v>
      </c>
      <c r="P2304" s="24">
        <v>1.1000000000000001</v>
      </c>
      <c r="Q2304" s="24">
        <v>36</v>
      </c>
      <c r="R2304" s="27">
        <f t="shared" si="440"/>
        <v>0</v>
      </c>
      <c r="S2304" s="102">
        <f t="shared" si="442"/>
        <v>0</v>
      </c>
      <c r="T2304" s="21">
        <f>VLOOKUP($A2304,'2022-23 Salary &amp; Benefits'!$A:$I,5,FALSE)</f>
        <v>68937</v>
      </c>
      <c r="U2304" s="21">
        <f>VLOOKUP($A2304,'2022-23 Salary &amp; Benefits'!$A:$I,6,FALSE)</f>
        <v>72728</v>
      </c>
      <c r="V2304" s="22">
        <f t="shared" si="443"/>
        <v>0</v>
      </c>
      <c r="W2304" s="22">
        <f t="shared" si="444"/>
        <v>0</v>
      </c>
      <c r="X2304" s="22">
        <f>'2022-23 Salary &amp; Benefits'!$G$6</f>
        <v>12558.24</v>
      </c>
      <c r="Y2304" s="23">
        <f>'2022-23 Salary &amp; Benefits'!$H$6</f>
        <v>0.2298</v>
      </c>
      <c r="Z2304" s="23">
        <f>'2022-23 Salary &amp; Benefits'!$I$6</f>
        <v>0.22339999999999999</v>
      </c>
      <c r="AA2304" s="22">
        <f t="shared" si="445"/>
        <v>0</v>
      </c>
      <c r="AB2304" s="22">
        <f t="shared" si="446"/>
        <v>0</v>
      </c>
      <c r="AC2304" s="22">
        <f t="shared" si="447"/>
        <v>0</v>
      </c>
      <c r="AD2304" s="22">
        <f t="shared" si="449"/>
        <v>0</v>
      </c>
      <c r="AE2304" s="22">
        <f t="shared" si="450"/>
        <v>0</v>
      </c>
      <c r="AF2304" s="19" t="str">
        <f>VLOOKUP(C2304,'2021-22 School Level AAFTE'!C:N,12,FALSE)</f>
        <v>No</v>
      </c>
    </row>
    <row r="2305" spans="1:32" customFormat="1">
      <c r="A2305" s="97" t="s">
        <v>2391</v>
      </c>
      <c r="B2305" s="97" t="s">
        <v>1123</v>
      </c>
      <c r="C2305" s="95">
        <v>5077</v>
      </c>
      <c r="D2305" s="95" t="s">
        <v>1127</v>
      </c>
      <c r="E2305" s="129">
        <f>VLOOKUP($C2305,'2021-22 School Level AAFTE'!$C:$Z,11,FALSE)</f>
        <v>0.58090000000000008</v>
      </c>
      <c r="F2305" s="129" t="str">
        <f>VLOOKUP($C2305,'2021-22 School Level AAFTE'!$C:$Z,8,FALSE)</f>
        <v>Yes</v>
      </c>
      <c r="G2305" s="129" t="str">
        <f>VLOOKUP($C2305,'2021-22 School Level AAFTE'!$C:$Z,12,FALSE)</f>
        <v>No</v>
      </c>
      <c r="H2305" s="127">
        <f>VLOOKUP($C2305,'2021-22 School Level AAFTE'!$C:$I,7,FALSE)</f>
        <v>18.649999999999999</v>
      </c>
      <c r="I2305" s="112">
        <f>IFERROR(IF(OR(G2305="yes",F2305= "yes"),VLOOKUP(C2305,Summary!$B:$J,6,0),0),0)</f>
        <v>0</v>
      </c>
      <c r="J2305" s="111">
        <f t="shared" si="441"/>
        <v>18.649999999999999</v>
      </c>
      <c r="K2305" s="91">
        <f>VLOOKUP($A2305,'2022-23 Salary &amp; Benefits'!$A:$I,3,FALSE)</f>
        <v>1</v>
      </c>
      <c r="L2305" s="91">
        <f>VLOOKUP($A2305,'2022-23 Salary &amp; Benefits'!$A:$I,4,FALSE)</f>
        <v>1</v>
      </c>
      <c r="M2305" s="101">
        <f t="shared" si="448"/>
        <v>18.649999999999999</v>
      </c>
      <c r="N2305" s="24">
        <v>15</v>
      </c>
      <c r="O2305" s="26">
        <f t="shared" si="439"/>
        <v>1.2433333333333332</v>
      </c>
      <c r="P2305" s="24">
        <v>1.1000000000000001</v>
      </c>
      <c r="Q2305" s="24">
        <v>36</v>
      </c>
      <c r="R2305" s="27">
        <f t="shared" si="440"/>
        <v>49.235999999999997</v>
      </c>
      <c r="S2305" s="102">
        <f t="shared" si="442"/>
        <v>5.5E-2</v>
      </c>
      <c r="T2305" s="21">
        <f>VLOOKUP($A2305,'2022-23 Salary &amp; Benefits'!$A:$I,5,FALSE)</f>
        <v>68937</v>
      </c>
      <c r="U2305" s="21">
        <f>VLOOKUP($A2305,'2022-23 Salary &amp; Benefits'!$A:$I,6,FALSE)</f>
        <v>72728</v>
      </c>
      <c r="V2305" s="22">
        <f t="shared" si="443"/>
        <v>3791.54</v>
      </c>
      <c r="W2305" s="22">
        <f t="shared" si="444"/>
        <v>208.5</v>
      </c>
      <c r="X2305" s="22">
        <f>'2022-23 Salary &amp; Benefits'!$G$6</f>
        <v>12558.24</v>
      </c>
      <c r="Y2305" s="23">
        <f>'2022-23 Salary &amp; Benefits'!$H$6</f>
        <v>0.2298</v>
      </c>
      <c r="Z2305" s="23">
        <f>'2022-23 Salary &amp; Benefits'!$I$6</f>
        <v>0.22339999999999999</v>
      </c>
      <c r="AA2305" s="22">
        <f t="shared" si="445"/>
        <v>1608.58</v>
      </c>
      <c r="AB2305" s="22">
        <f t="shared" si="446"/>
        <v>66.67</v>
      </c>
      <c r="AC2305" s="22">
        <f t="shared" si="447"/>
        <v>14.89</v>
      </c>
      <c r="AD2305" s="22">
        <f t="shared" si="449"/>
        <v>81.56</v>
      </c>
      <c r="AE2305" s="22">
        <f t="shared" si="450"/>
        <v>5690.18</v>
      </c>
      <c r="AF2305" s="19" t="str">
        <f>VLOOKUP(C2305,'2021-22 School Level AAFTE'!C:N,12,FALSE)</f>
        <v>No</v>
      </c>
    </row>
    <row r="2306" spans="1:32" customFormat="1">
      <c r="A2306" s="97" t="s">
        <v>2391</v>
      </c>
      <c r="B2306" s="97" t="s">
        <v>1123</v>
      </c>
      <c r="C2306" s="95">
        <v>5368</v>
      </c>
      <c r="D2306" s="95" t="s">
        <v>1128</v>
      </c>
      <c r="E2306" s="129">
        <f>VLOOKUP($C2306,'2021-22 School Level AAFTE'!$C:$Z,11,FALSE)</f>
        <v>0.41843333333333338</v>
      </c>
      <c r="F2306" s="129" t="str">
        <f>VLOOKUP($C2306,'2021-22 School Level AAFTE'!$C:$Z,8,FALSE)</f>
        <v>No</v>
      </c>
      <c r="G2306" s="129" t="str">
        <f>VLOOKUP($C2306,'2021-22 School Level AAFTE'!$C:$Z,12,FALSE)</f>
        <v>No</v>
      </c>
      <c r="H2306" s="127">
        <f>VLOOKUP($C2306,'2021-22 School Level AAFTE'!$C:$I,7,FALSE)</f>
        <v>256.29000000000002</v>
      </c>
      <c r="I2306" s="112">
        <f>IFERROR(IF(OR(G2306="yes",F2306= "yes"),VLOOKUP(C2306,Summary!$B:$J,6,0),0),0)</f>
        <v>0</v>
      </c>
      <c r="J2306" s="111">
        <f t="shared" si="441"/>
        <v>0</v>
      </c>
      <c r="K2306" s="91">
        <f>VLOOKUP($A2306,'2022-23 Salary &amp; Benefits'!$A:$I,3,FALSE)</f>
        <v>1</v>
      </c>
      <c r="L2306" s="91">
        <f>VLOOKUP($A2306,'2022-23 Salary &amp; Benefits'!$A:$I,4,FALSE)</f>
        <v>1</v>
      </c>
      <c r="M2306" s="101">
        <f t="shared" si="448"/>
        <v>0</v>
      </c>
      <c r="N2306" s="24">
        <v>15</v>
      </c>
      <c r="O2306" s="26">
        <f t="shared" si="439"/>
        <v>0</v>
      </c>
      <c r="P2306" s="24">
        <v>1.1000000000000001</v>
      </c>
      <c r="Q2306" s="24">
        <v>36</v>
      </c>
      <c r="R2306" s="27">
        <f t="shared" si="440"/>
        <v>0</v>
      </c>
      <c r="S2306" s="102">
        <f t="shared" si="442"/>
        <v>0</v>
      </c>
      <c r="T2306" s="21">
        <f>VLOOKUP($A2306,'2022-23 Salary &amp; Benefits'!$A:$I,5,FALSE)</f>
        <v>68937</v>
      </c>
      <c r="U2306" s="21">
        <f>VLOOKUP($A2306,'2022-23 Salary &amp; Benefits'!$A:$I,6,FALSE)</f>
        <v>72728</v>
      </c>
      <c r="V2306" s="22">
        <f t="shared" si="443"/>
        <v>0</v>
      </c>
      <c r="W2306" s="22">
        <f t="shared" si="444"/>
        <v>0</v>
      </c>
      <c r="X2306" s="22">
        <f>'2022-23 Salary &amp; Benefits'!$G$6</f>
        <v>12558.24</v>
      </c>
      <c r="Y2306" s="23">
        <f>'2022-23 Salary &amp; Benefits'!$H$6</f>
        <v>0.2298</v>
      </c>
      <c r="Z2306" s="23">
        <f>'2022-23 Salary &amp; Benefits'!$I$6</f>
        <v>0.22339999999999999</v>
      </c>
      <c r="AA2306" s="22">
        <f t="shared" si="445"/>
        <v>0</v>
      </c>
      <c r="AB2306" s="22">
        <f t="shared" si="446"/>
        <v>0</v>
      </c>
      <c r="AC2306" s="22">
        <f t="shared" si="447"/>
        <v>0</v>
      </c>
      <c r="AD2306" s="22">
        <f t="shared" si="449"/>
        <v>0</v>
      </c>
      <c r="AE2306" s="22">
        <f t="shared" si="450"/>
        <v>0</v>
      </c>
      <c r="AF2306" s="19" t="str">
        <f>VLOOKUP(C2306,'2021-22 School Level AAFTE'!C:N,12,FALSE)</f>
        <v>No</v>
      </c>
    </row>
    <row r="2307" spans="1:32" customFormat="1">
      <c r="A2307" s="97" t="s">
        <v>2855</v>
      </c>
      <c r="B2307" s="97" t="s">
        <v>2960</v>
      </c>
      <c r="C2307" s="95">
        <v>5662</v>
      </c>
      <c r="D2307" s="95" t="s">
        <v>3054</v>
      </c>
      <c r="E2307" s="129">
        <f>VLOOKUP($C2307,'2021-22 School Level AAFTE'!$C:$Z,11,FALSE)</f>
        <v>0.68630000000000002</v>
      </c>
      <c r="F2307" s="129" t="str">
        <f>VLOOKUP($C2307,'2021-22 School Level AAFTE'!$C:$Z,8,FALSE)</f>
        <v>Yes</v>
      </c>
      <c r="G2307" s="129" t="str">
        <f>VLOOKUP($C2307,'2021-22 School Level AAFTE'!$C:$Z,12,FALSE)</f>
        <v>No</v>
      </c>
      <c r="H2307" s="127">
        <f>VLOOKUP($C2307,'2021-22 School Level AAFTE'!$C:$I,7,FALSE)</f>
        <v>101.43</v>
      </c>
      <c r="I2307" s="112">
        <f>IFERROR(IF(OR(G2307="yes",F2307= "yes"),VLOOKUP(C2307,Summary!$B:$J,6,0),0),0)</f>
        <v>0</v>
      </c>
      <c r="J2307" s="111">
        <f t="shared" si="441"/>
        <v>101.43</v>
      </c>
      <c r="K2307" s="91">
        <f>VLOOKUP($A2307,'2022-23 Salary &amp; Benefits'!$A:$I,3,FALSE)</f>
        <v>1.18</v>
      </c>
      <c r="L2307" s="91">
        <f>VLOOKUP($A2307,'2022-23 Salary &amp; Benefits'!$A:$I,4,FALSE)</f>
        <v>1.18</v>
      </c>
      <c r="M2307" s="101">
        <f t="shared" si="448"/>
        <v>101.43</v>
      </c>
      <c r="N2307" s="24">
        <v>15</v>
      </c>
      <c r="O2307" s="26">
        <f t="shared" si="439"/>
        <v>6.7620000000000005</v>
      </c>
      <c r="P2307" s="24">
        <v>1.1000000000000001</v>
      </c>
      <c r="Q2307" s="24">
        <v>36</v>
      </c>
      <c r="R2307" s="27">
        <f t="shared" si="440"/>
        <v>267.77520000000004</v>
      </c>
      <c r="S2307" s="102">
        <f t="shared" si="442"/>
        <v>0.29799999999999999</v>
      </c>
      <c r="T2307" s="21">
        <f>VLOOKUP($A2307,'2022-23 Salary &amp; Benefits'!$A:$I,5,FALSE)</f>
        <v>68937</v>
      </c>
      <c r="U2307" s="21">
        <f>VLOOKUP($A2307,'2022-23 Salary &amp; Benefits'!$A:$I,6,FALSE)</f>
        <v>72728</v>
      </c>
      <c r="V2307" s="22">
        <f t="shared" si="443"/>
        <v>24241.01</v>
      </c>
      <c r="W2307" s="22">
        <f t="shared" si="444"/>
        <v>1333.0600000000013</v>
      </c>
      <c r="X2307" s="22">
        <f>'2022-23 Salary &amp; Benefits'!$G$6</f>
        <v>12558.24</v>
      </c>
      <c r="Y2307" s="23">
        <f>'2022-23 Salary &amp; Benefits'!$H$6</f>
        <v>0.2298</v>
      </c>
      <c r="Z2307" s="23">
        <f>'2022-23 Salary &amp; Benefits'!$I$6</f>
        <v>0.22339999999999999</v>
      </c>
      <c r="AA2307" s="22">
        <f t="shared" si="445"/>
        <v>9610.75</v>
      </c>
      <c r="AB2307" s="22">
        <f t="shared" si="446"/>
        <v>426.23</v>
      </c>
      <c r="AC2307" s="22">
        <f t="shared" si="447"/>
        <v>95.22</v>
      </c>
      <c r="AD2307" s="22">
        <f t="shared" si="449"/>
        <v>521.45000000000005</v>
      </c>
      <c r="AE2307" s="22">
        <f t="shared" si="450"/>
        <v>35706.26999999999</v>
      </c>
      <c r="AF2307" s="19" t="str">
        <f>VLOOKUP(C2307,'2021-22 School Level AAFTE'!C:N,12,FALSE)</f>
        <v>No</v>
      </c>
    </row>
    <row r="2308" spans="1:32" customFormat="1">
      <c r="A2308" s="97" t="s">
        <v>2411</v>
      </c>
      <c r="B2308" s="97" t="s">
        <v>1195</v>
      </c>
      <c r="C2308" s="95">
        <v>3289</v>
      </c>
      <c r="D2308" s="95" t="s">
        <v>1196</v>
      </c>
      <c r="E2308" s="129">
        <f>VLOOKUP($C2308,'2021-22 School Level AAFTE'!$C:$Z,11,FALSE)</f>
        <v>0.41100000000000003</v>
      </c>
      <c r="F2308" s="129" t="str">
        <f>VLOOKUP($C2308,'2021-22 School Level AAFTE'!$C:$Z,8,FALSE)</f>
        <v>No</v>
      </c>
      <c r="G2308" s="129" t="str">
        <f>VLOOKUP($C2308,'2021-22 School Level AAFTE'!$C:$Z,12,FALSE)</f>
        <v>No</v>
      </c>
      <c r="H2308" s="127">
        <f>VLOOKUP($C2308,'2021-22 School Level AAFTE'!$C:$I,7,FALSE)</f>
        <v>138.57999999999998</v>
      </c>
      <c r="I2308" s="112">
        <f>IFERROR(IF(OR(G2308="yes",F2308= "yes"),VLOOKUP(C2308,Summary!$B:$J,6,0),0),0)</f>
        <v>0</v>
      </c>
      <c r="J2308" s="111">
        <f t="shared" si="441"/>
        <v>0</v>
      </c>
      <c r="K2308" s="91">
        <f>VLOOKUP($A2308,'2022-23 Salary &amp; Benefits'!$A:$I,3,FALSE)</f>
        <v>1</v>
      </c>
      <c r="L2308" s="91">
        <f>VLOOKUP($A2308,'2022-23 Salary &amp; Benefits'!$A:$I,4,FALSE)</f>
        <v>1</v>
      </c>
      <c r="M2308" s="101">
        <f t="shared" si="448"/>
        <v>0</v>
      </c>
      <c r="N2308" s="24">
        <v>15</v>
      </c>
      <c r="O2308" s="26">
        <f t="shared" si="439"/>
        <v>0</v>
      </c>
      <c r="P2308" s="24">
        <v>1.1000000000000001</v>
      </c>
      <c r="Q2308" s="24">
        <v>36</v>
      </c>
      <c r="R2308" s="27">
        <f t="shared" si="440"/>
        <v>0</v>
      </c>
      <c r="S2308" s="102">
        <f t="shared" si="442"/>
        <v>0</v>
      </c>
      <c r="T2308" s="21">
        <f>VLOOKUP($A2308,'2022-23 Salary &amp; Benefits'!$A:$I,5,FALSE)</f>
        <v>68937</v>
      </c>
      <c r="U2308" s="21">
        <f>VLOOKUP($A2308,'2022-23 Salary &amp; Benefits'!$A:$I,6,FALSE)</f>
        <v>72728</v>
      </c>
      <c r="V2308" s="22">
        <f t="shared" si="443"/>
        <v>0</v>
      </c>
      <c r="W2308" s="22">
        <f t="shared" si="444"/>
        <v>0</v>
      </c>
      <c r="X2308" s="22">
        <f>'2022-23 Salary &amp; Benefits'!$G$6</f>
        <v>12558.24</v>
      </c>
      <c r="Y2308" s="23">
        <f>'2022-23 Salary &amp; Benefits'!$H$6</f>
        <v>0.2298</v>
      </c>
      <c r="Z2308" s="23">
        <f>'2022-23 Salary &amp; Benefits'!$I$6</f>
        <v>0.22339999999999999</v>
      </c>
      <c r="AA2308" s="22">
        <f t="shared" si="445"/>
        <v>0</v>
      </c>
      <c r="AB2308" s="22">
        <f t="shared" si="446"/>
        <v>0</v>
      </c>
      <c r="AC2308" s="22">
        <f t="shared" si="447"/>
        <v>0</v>
      </c>
      <c r="AD2308" s="22">
        <f t="shared" si="449"/>
        <v>0</v>
      </c>
      <c r="AE2308" s="22">
        <f t="shared" si="450"/>
        <v>0</v>
      </c>
      <c r="AF2308" s="19" t="str">
        <f>VLOOKUP(C2308,'2021-22 School Level AAFTE'!C:N,12,FALSE)</f>
        <v>No</v>
      </c>
    </row>
    <row r="2309" spans="1:32" customFormat="1">
      <c r="A2309" s="97" t="s">
        <v>2411</v>
      </c>
      <c r="B2309" s="97" t="s">
        <v>1195</v>
      </c>
      <c r="C2309" s="95">
        <v>3290</v>
      </c>
      <c r="D2309" s="98" t="s">
        <v>1197</v>
      </c>
      <c r="E2309" s="129">
        <f>VLOOKUP($C2309,'2021-22 School Level AAFTE'!$C:$Z,11,FALSE)</f>
        <v>0.40770000000000001</v>
      </c>
      <c r="F2309" s="129" t="str">
        <f>VLOOKUP($C2309,'2021-22 School Level AAFTE'!$C:$Z,8,FALSE)</f>
        <v>No</v>
      </c>
      <c r="G2309" s="129" t="str">
        <f>VLOOKUP($C2309,'2021-22 School Level AAFTE'!$C:$Z,12,FALSE)</f>
        <v>No</v>
      </c>
      <c r="H2309" s="127">
        <f>VLOOKUP($C2309,'2021-22 School Level AAFTE'!$C:$I,7,FALSE)</f>
        <v>81.790000000000006</v>
      </c>
      <c r="I2309" s="112">
        <f>IFERROR(IF(OR(G2309="yes",F2309= "yes"),VLOOKUP(C2309,Summary!$B:$J,6,0),0),0)</f>
        <v>0</v>
      </c>
      <c r="J2309" s="111">
        <f t="shared" si="441"/>
        <v>0</v>
      </c>
      <c r="K2309" s="91">
        <f>VLOOKUP($A2309,'2022-23 Salary &amp; Benefits'!$A:$I,3,FALSE)</f>
        <v>1</v>
      </c>
      <c r="L2309" s="91">
        <f>VLOOKUP($A2309,'2022-23 Salary &amp; Benefits'!$A:$I,4,FALSE)</f>
        <v>1</v>
      </c>
      <c r="M2309" s="101">
        <f t="shared" si="448"/>
        <v>0</v>
      </c>
      <c r="N2309" s="24">
        <v>15</v>
      </c>
      <c r="O2309" s="26">
        <f t="shared" si="439"/>
        <v>0</v>
      </c>
      <c r="P2309" s="24">
        <v>1.1000000000000001</v>
      </c>
      <c r="Q2309" s="24">
        <v>36</v>
      </c>
      <c r="R2309" s="27">
        <f t="shared" si="440"/>
        <v>0</v>
      </c>
      <c r="S2309" s="102">
        <f t="shared" si="442"/>
        <v>0</v>
      </c>
      <c r="T2309" s="21">
        <f>VLOOKUP($A2309,'2022-23 Salary &amp; Benefits'!$A:$I,5,FALSE)</f>
        <v>68937</v>
      </c>
      <c r="U2309" s="21">
        <f>VLOOKUP($A2309,'2022-23 Salary &amp; Benefits'!$A:$I,6,FALSE)</f>
        <v>72728</v>
      </c>
      <c r="V2309" s="22">
        <f t="shared" si="443"/>
        <v>0</v>
      </c>
      <c r="W2309" s="22">
        <f t="shared" si="444"/>
        <v>0</v>
      </c>
      <c r="X2309" s="22">
        <f>'2022-23 Salary &amp; Benefits'!$G$6</f>
        <v>12558.24</v>
      </c>
      <c r="Y2309" s="23">
        <f>'2022-23 Salary &amp; Benefits'!$H$6</f>
        <v>0.2298</v>
      </c>
      <c r="Z2309" s="23">
        <f>'2022-23 Salary &amp; Benefits'!$I$6</f>
        <v>0.22339999999999999</v>
      </c>
      <c r="AA2309" s="22">
        <f t="shared" si="445"/>
        <v>0</v>
      </c>
      <c r="AB2309" s="22">
        <f t="shared" si="446"/>
        <v>0</v>
      </c>
      <c r="AC2309" s="22">
        <f t="shared" si="447"/>
        <v>0</v>
      </c>
      <c r="AD2309" s="22">
        <f t="shared" si="449"/>
        <v>0</v>
      </c>
      <c r="AE2309" s="22">
        <f t="shared" si="450"/>
        <v>0</v>
      </c>
      <c r="AF2309" s="19" t="str">
        <f>VLOOKUP(C2309,'2021-22 School Level AAFTE'!C:N,12,FALSE)</f>
        <v>No</v>
      </c>
    </row>
    <row r="2310" spans="1:32" customFormat="1">
      <c r="A2310" s="97" t="s">
        <v>2433</v>
      </c>
      <c r="B2310" s="97" t="s">
        <v>1275</v>
      </c>
      <c r="C2310" s="95">
        <v>2542</v>
      </c>
      <c r="D2310" s="95" t="s">
        <v>1276</v>
      </c>
      <c r="E2310" s="129">
        <f>VLOOKUP($C2310,'2021-22 School Level AAFTE'!$C:$Z,11,FALSE)</f>
        <v>0.3934333333333333</v>
      </c>
      <c r="F2310" s="129" t="str">
        <f>VLOOKUP($C2310,'2021-22 School Level AAFTE'!$C:$Z,8,FALSE)</f>
        <v>No</v>
      </c>
      <c r="G2310" s="129" t="str">
        <f>VLOOKUP($C2310,'2021-22 School Level AAFTE'!$C:$Z,12,FALSE)</f>
        <v>No</v>
      </c>
      <c r="H2310" s="127">
        <f>VLOOKUP($C2310,'2021-22 School Level AAFTE'!$C:$I,7,FALSE)</f>
        <v>209.61</v>
      </c>
      <c r="I2310" s="112">
        <f>IFERROR(IF(OR(G2310="yes",F2310= "yes"),VLOOKUP(C2310,Summary!$B:$J,6,0),0),0)</f>
        <v>0</v>
      </c>
      <c r="J2310" s="111">
        <f t="shared" si="441"/>
        <v>0</v>
      </c>
      <c r="K2310" s="91">
        <f>VLOOKUP($A2310,'2022-23 Salary &amp; Benefits'!$A:$I,3,FALSE)</f>
        <v>1</v>
      </c>
      <c r="L2310" s="91">
        <f>VLOOKUP($A2310,'2022-23 Salary &amp; Benefits'!$A:$I,4,FALSE)</f>
        <v>1</v>
      </c>
      <c r="M2310" s="101">
        <f t="shared" si="448"/>
        <v>0</v>
      </c>
      <c r="N2310" s="24">
        <v>15</v>
      </c>
      <c r="O2310" s="26">
        <f t="shared" si="439"/>
        <v>0</v>
      </c>
      <c r="P2310" s="24">
        <v>1.1000000000000001</v>
      </c>
      <c r="Q2310" s="24">
        <v>36</v>
      </c>
      <c r="R2310" s="27">
        <f t="shared" si="440"/>
        <v>0</v>
      </c>
      <c r="S2310" s="102">
        <f t="shared" si="442"/>
        <v>0</v>
      </c>
      <c r="T2310" s="21">
        <f>VLOOKUP($A2310,'2022-23 Salary &amp; Benefits'!$A:$I,5,FALSE)</f>
        <v>68937</v>
      </c>
      <c r="U2310" s="21">
        <f>VLOOKUP($A2310,'2022-23 Salary &amp; Benefits'!$A:$I,6,FALSE)</f>
        <v>72728</v>
      </c>
      <c r="V2310" s="22">
        <f t="shared" si="443"/>
        <v>0</v>
      </c>
      <c r="W2310" s="22">
        <f t="shared" si="444"/>
        <v>0</v>
      </c>
      <c r="X2310" s="22">
        <f>'2022-23 Salary &amp; Benefits'!$G$6</f>
        <v>12558.24</v>
      </c>
      <c r="Y2310" s="23">
        <f>'2022-23 Salary &amp; Benefits'!$H$6</f>
        <v>0.2298</v>
      </c>
      <c r="Z2310" s="23">
        <f>'2022-23 Salary &amp; Benefits'!$I$6</f>
        <v>0.22339999999999999</v>
      </c>
      <c r="AA2310" s="22">
        <f t="shared" si="445"/>
        <v>0</v>
      </c>
      <c r="AB2310" s="22">
        <f t="shared" si="446"/>
        <v>0</v>
      </c>
      <c r="AC2310" s="22">
        <f t="shared" si="447"/>
        <v>0</v>
      </c>
      <c r="AD2310" s="22">
        <f t="shared" si="449"/>
        <v>0</v>
      </c>
      <c r="AE2310" s="22">
        <f t="shared" si="450"/>
        <v>0</v>
      </c>
      <c r="AF2310" s="19" t="str">
        <f>VLOOKUP(C2310,'2021-22 School Level AAFTE'!C:N,12,FALSE)</f>
        <v>No</v>
      </c>
    </row>
    <row r="2311" spans="1:32" customFormat="1">
      <c r="A2311" s="97" t="s">
        <v>2433</v>
      </c>
      <c r="B2311" s="97" t="s">
        <v>1275</v>
      </c>
      <c r="C2311" s="95">
        <v>3444</v>
      </c>
      <c r="D2311" s="95" t="s">
        <v>1277</v>
      </c>
      <c r="E2311" s="129">
        <f>VLOOKUP($C2311,'2021-22 School Level AAFTE'!$C:$Z,11,FALSE)</f>
        <v>0.41493333333333332</v>
      </c>
      <c r="F2311" s="129" t="str">
        <f>VLOOKUP($C2311,'2021-22 School Level AAFTE'!$C:$Z,8,FALSE)</f>
        <v>No</v>
      </c>
      <c r="G2311" s="129" t="str">
        <f>VLOOKUP($C2311,'2021-22 School Level AAFTE'!$C:$Z,12,FALSE)</f>
        <v>No</v>
      </c>
      <c r="H2311" s="127">
        <f>VLOOKUP($C2311,'2021-22 School Level AAFTE'!$C:$I,7,FALSE)</f>
        <v>149.71</v>
      </c>
      <c r="I2311" s="112">
        <f>IFERROR(IF(OR(G2311="yes",F2311= "yes"),VLOOKUP(C2311,Summary!$B:$J,6,0),0),0)</f>
        <v>0</v>
      </c>
      <c r="J2311" s="111">
        <f t="shared" si="441"/>
        <v>0</v>
      </c>
      <c r="K2311" s="91">
        <f>VLOOKUP($A2311,'2022-23 Salary &amp; Benefits'!$A:$I,3,FALSE)</f>
        <v>1</v>
      </c>
      <c r="L2311" s="91">
        <f>VLOOKUP($A2311,'2022-23 Salary &amp; Benefits'!$A:$I,4,FALSE)</f>
        <v>1</v>
      </c>
      <c r="M2311" s="101">
        <f t="shared" si="448"/>
        <v>0</v>
      </c>
      <c r="N2311" s="24">
        <v>15</v>
      </c>
      <c r="O2311" s="26">
        <f t="shared" si="439"/>
        <v>0</v>
      </c>
      <c r="P2311" s="24">
        <v>1.1000000000000001</v>
      </c>
      <c r="Q2311" s="24">
        <v>36</v>
      </c>
      <c r="R2311" s="27">
        <f t="shared" si="440"/>
        <v>0</v>
      </c>
      <c r="S2311" s="102">
        <f t="shared" si="442"/>
        <v>0</v>
      </c>
      <c r="T2311" s="21">
        <f>VLOOKUP($A2311,'2022-23 Salary &amp; Benefits'!$A:$I,5,FALSE)</f>
        <v>68937</v>
      </c>
      <c r="U2311" s="21">
        <f>VLOOKUP($A2311,'2022-23 Salary &amp; Benefits'!$A:$I,6,FALSE)</f>
        <v>72728</v>
      </c>
      <c r="V2311" s="22">
        <f t="shared" si="443"/>
        <v>0</v>
      </c>
      <c r="W2311" s="22">
        <f t="shared" si="444"/>
        <v>0</v>
      </c>
      <c r="X2311" s="22">
        <f>'2022-23 Salary &amp; Benefits'!$G$6</f>
        <v>12558.24</v>
      </c>
      <c r="Y2311" s="23">
        <f>'2022-23 Salary &amp; Benefits'!$H$6</f>
        <v>0.2298</v>
      </c>
      <c r="Z2311" s="23">
        <f>'2022-23 Salary &amp; Benefits'!$I$6</f>
        <v>0.22339999999999999</v>
      </c>
      <c r="AA2311" s="22">
        <f t="shared" si="445"/>
        <v>0</v>
      </c>
      <c r="AB2311" s="22">
        <f t="shared" si="446"/>
        <v>0</v>
      </c>
      <c r="AC2311" s="22">
        <f t="shared" si="447"/>
        <v>0</v>
      </c>
      <c r="AD2311" s="22">
        <f t="shared" si="449"/>
        <v>0</v>
      </c>
      <c r="AE2311" s="22">
        <f t="shared" si="450"/>
        <v>0</v>
      </c>
      <c r="AF2311" s="19" t="str">
        <f>VLOOKUP(C2311,'2021-22 School Level AAFTE'!C:N,12,FALSE)</f>
        <v>No</v>
      </c>
    </row>
    <row r="2312" spans="1:32" customFormat="1">
      <c r="A2312" s="97" t="s">
        <v>2325</v>
      </c>
      <c r="B2312" s="97" t="s">
        <v>459</v>
      </c>
      <c r="C2312" s="95">
        <v>2472</v>
      </c>
      <c r="D2312" s="95" t="s">
        <v>460</v>
      </c>
      <c r="E2312" s="129">
        <f>VLOOKUP($C2312,'2021-22 School Level AAFTE'!$C:$Z,11,FALSE)</f>
        <v>0.5960333333333333</v>
      </c>
      <c r="F2312" s="129" t="str">
        <f>VLOOKUP($C2312,'2021-22 School Level AAFTE'!$C:$Z,8,FALSE)</f>
        <v>Yes</v>
      </c>
      <c r="G2312" s="129" t="str">
        <f>VLOOKUP($C2312,'2021-22 School Level AAFTE'!$C:$Z,12,FALSE)</f>
        <v>No</v>
      </c>
      <c r="H2312" s="127">
        <f>VLOOKUP($C2312,'2021-22 School Level AAFTE'!$C:$I,7,FALSE)</f>
        <v>55.27</v>
      </c>
      <c r="I2312" s="112">
        <f>IFERROR(IF(OR(G2312="yes",F2312= "yes"),VLOOKUP(C2312,Summary!$B:$J,6,0),0),0)</f>
        <v>0</v>
      </c>
      <c r="J2312" s="111">
        <f t="shared" si="441"/>
        <v>55.27</v>
      </c>
      <c r="K2312" s="91">
        <f>VLOOKUP($A2312,'2022-23 Salary &amp; Benefits'!$A:$I,3,FALSE)</f>
        <v>1</v>
      </c>
      <c r="L2312" s="91">
        <f>VLOOKUP($A2312,'2022-23 Salary &amp; Benefits'!$A:$I,4,FALSE)</f>
        <v>1.04</v>
      </c>
      <c r="M2312" s="101">
        <f t="shared" si="448"/>
        <v>55.27</v>
      </c>
      <c r="N2312" s="24">
        <v>15</v>
      </c>
      <c r="O2312" s="26">
        <f t="shared" si="439"/>
        <v>3.6846666666666668</v>
      </c>
      <c r="P2312" s="24">
        <v>1.1000000000000001</v>
      </c>
      <c r="Q2312" s="24">
        <v>36</v>
      </c>
      <c r="R2312" s="27">
        <f t="shared" si="440"/>
        <v>145.91280000000003</v>
      </c>
      <c r="S2312" s="102">
        <f t="shared" si="442"/>
        <v>0.16200000000000001</v>
      </c>
      <c r="T2312" s="21">
        <f>VLOOKUP($A2312,'2022-23 Salary &amp; Benefits'!$A:$I,5,FALSE)</f>
        <v>68937</v>
      </c>
      <c r="U2312" s="21">
        <f>VLOOKUP($A2312,'2022-23 Salary &amp; Benefits'!$A:$I,6,FALSE)</f>
        <v>72728</v>
      </c>
      <c r="V2312" s="22">
        <f t="shared" si="443"/>
        <v>11167.79</v>
      </c>
      <c r="W2312" s="22">
        <f t="shared" si="444"/>
        <v>1085.4199999999983</v>
      </c>
      <c r="X2312" s="22">
        <f>'2022-23 Salary &amp; Benefits'!$G$6</f>
        <v>12558.24</v>
      </c>
      <c r="Y2312" s="23">
        <f>'2022-23 Salary &amp; Benefits'!$H$6</f>
        <v>0.2298</v>
      </c>
      <c r="Z2312" s="23">
        <f>'2022-23 Salary &amp; Benefits'!$I$6</f>
        <v>0.22339999999999999</v>
      </c>
      <c r="AA2312" s="22">
        <f t="shared" si="445"/>
        <v>4843.28</v>
      </c>
      <c r="AB2312" s="22">
        <f t="shared" si="446"/>
        <v>204.22</v>
      </c>
      <c r="AC2312" s="22">
        <f t="shared" si="447"/>
        <v>45.62</v>
      </c>
      <c r="AD2312" s="22">
        <f t="shared" si="449"/>
        <v>249.84</v>
      </c>
      <c r="AE2312" s="22">
        <f t="shared" si="450"/>
        <v>17346.329999999998</v>
      </c>
      <c r="AF2312" s="19" t="str">
        <f>VLOOKUP(C2312,'2021-22 School Level AAFTE'!C:N,12,FALSE)</f>
        <v>No</v>
      </c>
    </row>
    <row r="2313" spans="1:32" customFormat="1">
      <c r="A2313" s="97" t="s">
        <v>2325</v>
      </c>
      <c r="B2313" s="97" t="s">
        <v>459</v>
      </c>
      <c r="C2313" s="95">
        <v>2473</v>
      </c>
      <c r="D2313" s="95" t="s">
        <v>461</v>
      </c>
      <c r="E2313" s="129">
        <f>VLOOKUP($C2313,'2021-22 School Level AAFTE'!$C:$Z,11,FALSE)</f>
        <v>0.54743333333333333</v>
      </c>
      <c r="F2313" s="129" t="str">
        <f>VLOOKUP($C2313,'2021-22 School Level AAFTE'!$C:$Z,8,FALSE)</f>
        <v>Yes</v>
      </c>
      <c r="G2313" s="129" t="str">
        <f>VLOOKUP($C2313,'2021-22 School Level AAFTE'!$C:$Z,12,FALSE)</f>
        <v>No</v>
      </c>
      <c r="H2313" s="127">
        <f>VLOOKUP($C2313,'2021-22 School Level AAFTE'!$C:$I,7,FALSE)</f>
        <v>57.68</v>
      </c>
      <c r="I2313" s="112">
        <f>IFERROR(IF(OR(G2313="yes",F2313= "yes"),VLOOKUP(C2313,Summary!$B:$J,6,0),0),0)</f>
        <v>0</v>
      </c>
      <c r="J2313" s="111">
        <f t="shared" si="441"/>
        <v>57.68</v>
      </c>
      <c r="K2313" s="91">
        <f>VLOOKUP($A2313,'2022-23 Salary &amp; Benefits'!$A:$I,3,FALSE)</f>
        <v>1</v>
      </c>
      <c r="L2313" s="91">
        <f>VLOOKUP($A2313,'2022-23 Salary &amp; Benefits'!$A:$I,4,FALSE)</f>
        <v>1.04</v>
      </c>
      <c r="M2313" s="101">
        <f t="shared" si="448"/>
        <v>57.68</v>
      </c>
      <c r="N2313" s="24">
        <v>15</v>
      </c>
      <c r="O2313" s="26">
        <f t="shared" si="439"/>
        <v>3.8453333333333335</v>
      </c>
      <c r="P2313" s="24">
        <v>1.1000000000000001</v>
      </c>
      <c r="Q2313" s="24">
        <v>36</v>
      </c>
      <c r="R2313" s="27">
        <f t="shared" si="440"/>
        <v>152.27520000000001</v>
      </c>
      <c r="S2313" s="102">
        <f t="shared" si="442"/>
        <v>0.16900000000000001</v>
      </c>
      <c r="T2313" s="21">
        <f>VLOOKUP($A2313,'2022-23 Salary &amp; Benefits'!$A:$I,5,FALSE)</f>
        <v>68937</v>
      </c>
      <c r="U2313" s="21">
        <f>VLOOKUP($A2313,'2022-23 Salary &amp; Benefits'!$A:$I,6,FALSE)</f>
        <v>72728</v>
      </c>
      <c r="V2313" s="22">
        <f t="shared" si="443"/>
        <v>11650.35</v>
      </c>
      <c r="W2313" s="22">
        <f t="shared" si="444"/>
        <v>1132.3199999999997</v>
      </c>
      <c r="X2313" s="22">
        <f>'2022-23 Salary &amp; Benefits'!$G$6</f>
        <v>12558.24</v>
      </c>
      <c r="Y2313" s="23">
        <f>'2022-23 Salary &amp; Benefits'!$H$6</f>
        <v>0.2298</v>
      </c>
      <c r="Z2313" s="23">
        <f>'2022-23 Salary &amp; Benefits'!$I$6</f>
        <v>0.22339999999999999</v>
      </c>
      <c r="AA2313" s="22">
        <f t="shared" si="445"/>
        <v>5052.55</v>
      </c>
      <c r="AB2313" s="22">
        <f t="shared" si="446"/>
        <v>213.04</v>
      </c>
      <c r="AC2313" s="22">
        <f t="shared" si="447"/>
        <v>47.59</v>
      </c>
      <c r="AD2313" s="22">
        <f t="shared" si="449"/>
        <v>260.63</v>
      </c>
      <c r="AE2313" s="22">
        <f t="shared" si="450"/>
        <v>18095.850000000002</v>
      </c>
      <c r="AF2313" s="19" t="str">
        <f>VLOOKUP(C2313,'2021-22 School Level AAFTE'!C:N,12,FALSE)</f>
        <v>No</v>
      </c>
    </row>
    <row r="2314" spans="1:32" customFormat="1">
      <c r="A2314" s="97" t="s">
        <v>2398</v>
      </c>
      <c r="B2314" s="97" t="s">
        <v>1148</v>
      </c>
      <c r="C2314" s="95">
        <v>2290</v>
      </c>
      <c r="D2314" s="95" t="s">
        <v>1150</v>
      </c>
      <c r="E2314" s="129">
        <f>VLOOKUP($C2314,'2021-22 School Level AAFTE'!$C:$Z,11,FALSE)</f>
        <v>0.81876666666666675</v>
      </c>
      <c r="F2314" s="129" t="str">
        <f>VLOOKUP($C2314,'2021-22 School Level AAFTE'!$C:$Z,8,FALSE)</f>
        <v>Yes</v>
      </c>
      <c r="G2314" s="129" t="str">
        <f>VLOOKUP($C2314,'2021-22 School Level AAFTE'!$C:$Z,12,FALSE)</f>
        <v>No</v>
      </c>
      <c r="H2314" s="127">
        <f>VLOOKUP($C2314,'2021-22 School Level AAFTE'!$C:$I,7,FALSE)</f>
        <v>344.57</v>
      </c>
      <c r="I2314" s="112">
        <f>IFERROR(IF(OR(G2314="yes",F2314= "yes"),VLOOKUP(C2314,Summary!$B:$J,6,0),0),0)</f>
        <v>0</v>
      </c>
      <c r="J2314" s="111">
        <f t="shared" si="441"/>
        <v>344.57</v>
      </c>
      <c r="K2314" s="91">
        <f>VLOOKUP($A2314,'2022-23 Salary &amp; Benefits'!$A:$I,3,FALSE)</f>
        <v>1</v>
      </c>
      <c r="L2314" s="91">
        <f>VLOOKUP($A2314,'2022-23 Salary &amp; Benefits'!$A:$I,4,FALSE)</f>
        <v>1.04</v>
      </c>
      <c r="M2314" s="101">
        <f t="shared" si="448"/>
        <v>344.57</v>
      </c>
      <c r="N2314" s="24">
        <v>15</v>
      </c>
      <c r="O2314" s="26">
        <f t="shared" ref="O2314:O2366" si="451">IF(M2314="no",0,M2314/N2314)</f>
        <v>22.971333333333334</v>
      </c>
      <c r="P2314" s="24">
        <v>1.1000000000000001</v>
      </c>
      <c r="Q2314" s="24">
        <v>36</v>
      </c>
      <c r="R2314" s="27">
        <f t="shared" ref="R2314:R2362" si="452">IF(M2314="no",0,O2314*P2314*Q2314)</f>
        <v>909.66480000000001</v>
      </c>
      <c r="S2314" s="102">
        <f t="shared" si="442"/>
        <v>1.0109999999999999</v>
      </c>
      <c r="T2314" s="21">
        <f>VLOOKUP($A2314,'2022-23 Salary &amp; Benefits'!$A:$I,5,FALSE)</f>
        <v>68937</v>
      </c>
      <c r="U2314" s="21">
        <f>VLOOKUP($A2314,'2022-23 Salary &amp; Benefits'!$A:$I,6,FALSE)</f>
        <v>72728</v>
      </c>
      <c r="V2314" s="22">
        <f t="shared" si="443"/>
        <v>69695.31</v>
      </c>
      <c r="W2314" s="22">
        <f t="shared" si="444"/>
        <v>6773.820000000007</v>
      </c>
      <c r="X2314" s="22">
        <f>'2022-23 Salary &amp; Benefits'!$G$6</f>
        <v>12558.24</v>
      </c>
      <c r="Y2314" s="23">
        <f>'2022-23 Salary &amp; Benefits'!$H$6</f>
        <v>0.2298</v>
      </c>
      <c r="Z2314" s="23">
        <f>'2022-23 Salary &amp; Benefits'!$I$6</f>
        <v>0.22339999999999999</v>
      </c>
      <c r="AA2314" s="22">
        <f t="shared" si="445"/>
        <v>30225.63</v>
      </c>
      <c r="AB2314" s="22">
        <f t="shared" si="446"/>
        <v>1274.49</v>
      </c>
      <c r="AC2314" s="22">
        <f t="shared" si="447"/>
        <v>284.72000000000003</v>
      </c>
      <c r="AD2314" s="22">
        <f t="shared" si="449"/>
        <v>1559.21</v>
      </c>
      <c r="AE2314" s="22">
        <f t="shared" si="450"/>
        <v>108253.97000000002</v>
      </c>
      <c r="AF2314" s="19" t="str">
        <f>VLOOKUP(C2314,'2021-22 School Level AAFTE'!C:N,12,FALSE)</f>
        <v>No</v>
      </c>
    </row>
    <row r="2315" spans="1:32" customFormat="1">
      <c r="A2315" s="97" t="s">
        <v>2398</v>
      </c>
      <c r="B2315" s="97" t="s">
        <v>1148</v>
      </c>
      <c r="C2315" s="95">
        <v>3597</v>
      </c>
      <c r="D2315" s="95" t="s">
        <v>1151</v>
      </c>
      <c r="E2315" s="129">
        <f>VLOOKUP($C2315,'2021-22 School Level AAFTE'!$C:$Z,11,FALSE)</f>
        <v>0.80016666666666669</v>
      </c>
      <c r="F2315" s="129" t="str">
        <f>VLOOKUP($C2315,'2021-22 School Level AAFTE'!$C:$Z,8,FALSE)</f>
        <v>Yes</v>
      </c>
      <c r="G2315" s="129" t="str">
        <f>VLOOKUP($C2315,'2021-22 School Level AAFTE'!$C:$Z,12,FALSE)</f>
        <v>No</v>
      </c>
      <c r="H2315" s="127">
        <f>VLOOKUP($C2315,'2021-22 School Level AAFTE'!$C:$I,7,FALSE)</f>
        <v>202.37</v>
      </c>
      <c r="I2315" s="112">
        <f>IFERROR(IF(OR(G2315="yes",F2315= "yes"),VLOOKUP(C2315,Summary!$B:$J,6,0),0),0)</f>
        <v>0</v>
      </c>
      <c r="J2315" s="111">
        <f t="shared" ref="J2315:J2366" si="453">IF(OR(G2315="yes",F2315= "yes"), H2315,0)</f>
        <v>202.37</v>
      </c>
      <c r="K2315" s="91">
        <f>VLOOKUP($A2315,'2022-23 Salary &amp; Benefits'!$A:$I,3,FALSE)</f>
        <v>1</v>
      </c>
      <c r="L2315" s="91">
        <f>VLOOKUP($A2315,'2022-23 Salary &amp; Benefits'!$A:$I,4,FALSE)</f>
        <v>1.04</v>
      </c>
      <c r="M2315" s="101">
        <f t="shared" si="448"/>
        <v>202.37</v>
      </c>
      <c r="N2315" s="24">
        <v>15</v>
      </c>
      <c r="O2315" s="26">
        <f t="shared" si="451"/>
        <v>13.491333333333333</v>
      </c>
      <c r="P2315" s="24">
        <v>1.1000000000000001</v>
      </c>
      <c r="Q2315" s="24">
        <v>36</v>
      </c>
      <c r="R2315" s="27">
        <f t="shared" si="452"/>
        <v>534.2568</v>
      </c>
      <c r="S2315" s="102">
        <f t="shared" ref="S2315:S2366" si="454">ROUND(IF(M2315="no",0,R2315/900),3)</f>
        <v>0.59399999999999997</v>
      </c>
      <c r="T2315" s="21">
        <f>VLOOKUP($A2315,'2022-23 Salary &amp; Benefits'!$A:$I,5,FALSE)</f>
        <v>68937</v>
      </c>
      <c r="U2315" s="21">
        <f>VLOOKUP($A2315,'2022-23 Salary &amp; Benefits'!$A:$I,6,FALSE)</f>
        <v>72728</v>
      </c>
      <c r="V2315" s="22">
        <f t="shared" ref="V2315:V2366" si="455">ROUND($K2315*$T2315*$S2315,2)</f>
        <v>40948.58</v>
      </c>
      <c r="W2315" s="22">
        <f t="shared" ref="W2315:W2366" si="456">ROUND($L2315*$U2315*$S2315,2)-V2315</f>
        <v>3979.8699999999953</v>
      </c>
      <c r="X2315" s="22">
        <f>'2022-23 Salary &amp; Benefits'!$G$6</f>
        <v>12558.24</v>
      </c>
      <c r="Y2315" s="23">
        <f>'2022-23 Salary &amp; Benefits'!$H$6</f>
        <v>0.2298</v>
      </c>
      <c r="Z2315" s="23">
        <f>'2022-23 Salary &amp; Benefits'!$I$6</f>
        <v>0.22339999999999999</v>
      </c>
      <c r="AA2315" s="22">
        <f t="shared" ref="AA2315:AA2366" si="457">ROUND(V2315*Y2315+W2315*Z2315+S2315*X2315,2)</f>
        <v>17758.68</v>
      </c>
      <c r="AB2315" s="22">
        <f t="shared" ref="AB2315:AB2366" si="458">ROUND(($U2315*$L2315*$S2315/180*3),2)</f>
        <v>748.81</v>
      </c>
      <c r="AC2315" s="22">
        <f t="shared" ref="AC2315:AC2366" si="459">ROUND(AB2315*Z2315,2)</f>
        <v>167.28</v>
      </c>
      <c r="AD2315" s="22">
        <f t="shared" si="449"/>
        <v>916.08999999999992</v>
      </c>
      <c r="AE2315" s="22">
        <f t="shared" si="450"/>
        <v>63603.219999999994</v>
      </c>
      <c r="AF2315" s="19" t="str">
        <f>VLOOKUP(C2315,'2021-22 School Level AAFTE'!C:N,12,FALSE)</f>
        <v>No</v>
      </c>
    </row>
    <row r="2316" spans="1:32" customFormat="1">
      <c r="A2316" s="97" t="s">
        <v>2398</v>
      </c>
      <c r="B2316" s="97" t="s">
        <v>1148</v>
      </c>
      <c r="C2316" s="95">
        <v>4369</v>
      </c>
      <c r="D2316" s="95" t="s">
        <v>1152</v>
      </c>
      <c r="E2316" s="129">
        <f>VLOOKUP($C2316,'2021-22 School Level AAFTE'!$C:$Z,11,FALSE)</f>
        <v>0.86196666666666655</v>
      </c>
      <c r="F2316" s="129" t="str">
        <f>VLOOKUP($C2316,'2021-22 School Level AAFTE'!$C:$Z,8,FALSE)</f>
        <v>Yes</v>
      </c>
      <c r="G2316" s="129" t="str">
        <f>VLOOKUP($C2316,'2021-22 School Level AAFTE'!$C:$Z,12,FALSE)</f>
        <v>No</v>
      </c>
      <c r="H2316" s="127">
        <f>VLOOKUP($C2316,'2021-22 School Level AAFTE'!$C:$I,7,FALSE)</f>
        <v>185.61</v>
      </c>
      <c r="I2316" s="112">
        <f>IFERROR(IF(OR(G2316="yes",F2316= "yes"),VLOOKUP(C2316,Summary!$B:$J,6,0),0),0)</f>
        <v>0</v>
      </c>
      <c r="J2316" s="111">
        <f t="shared" si="453"/>
        <v>185.61</v>
      </c>
      <c r="K2316" s="91">
        <f>VLOOKUP($A2316,'2022-23 Salary &amp; Benefits'!$A:$I,3,FALSE)</f>
        <v>1</v>
      </c>
      <c r="L2316" s="91">
        <f>VLOOKUP($A2316,'2022-23 Salary &amp; Benefits'!$A:$I,4,FALSE)</f>
        <v>1.04</v>
      </c>
      <c r="M2316" s="101">
        <f t="shared" si="448"/>
        <v>185.61</v>
      </c>
      <c r="N2316" s="24">
        <v>15</v>
      </c>
      <c r="O2316" s="26">
        <f t="shared" si="451"/>
        <v>12.374000000000001</v>
      </c>
      <c r="P2316" s="24">
        <v>1.1000000000000001</v>
      </c>
      <c r="Q2316" s="24">
        <v>36</v>
      </c>
      <c r="R2316" s="27">
        <f t="shared" si="452"/>
        <v>490.01040000000006</v>
      </c>
      <c r="S2316" s="102">
        <f t="shared" si="454"/>
        <v>0.54400000000000004</v>
      </c>
      <c r="T2316" s="21">
        <f>VLOOKUP($A2316,'2022-23 Salary &amp; Benefits'!$A:$I,5,FALSE)</f>
        <v>68937</v>
      </c>
      <c r="U2316" s="21">
        <f>VLOOKUP($A2316,'2022-23 Salary &amp; Benefits'!$A:$I,6,FALSE)</f>
        <v>72728</v>
      </c>
      <c r="V2316" s="22">
        <f t="shared" si="455"/>
        <v>37501.730000000003</v>
      </c>
      <c r="W2316" s="22">
        <f t="shared" si="456"/>
        <v>3644.8599999999933</v>
      </c>
      <c r="X2316" s="22">
        <f>'2022-23 Salary &amp; Benefits'!$G$6</f>
        <v>12558.24</v>
      </c>
      <c r="Y2316" s="23">
        <f>'2022-23 Salary &amp; Benefits'!$H$6</f>
        <v>0.2298</v>
      </c>
      <c r="Z2316" s="23">
        <f>'2022-23 Salary &amp; Benefits'!$I$6</f>
        <v>0.22339999999999999</v>
      </c>
      <c r="AA2316" s="22">
        <f t="shared" si="457"/>
        <v>16263.84</v>
      </c>
      <c r="AB2316" s="22">
        <f t="shared" si="458"/>
        <v>685.78</v>
      </c>
      <c r="AC2316" s="22">
        <f t="shared" si="459"/>
        <v>153.19999999999999</v>
      </c>
      <c r="AD2316" s="22">
        <f t="shared" si="449"/>
        <v>838.98</v>
      </c>
      <c r="AE2316" s="22">
        <f t="shared" si="450"/>
        <v>58249.41</v>
      </c>
      <c r="AF2316" s="19" t="str">
        <f>VLOOKUP(C2316,'2021-22 School Level AAFTE'!C:N,12,FALSE)</f>
        <v>No</v>
      </c>
    </row>
    <row r="2317" spans="1:32" customFormat="1">
      <c r="A2317" s="97" t="s">
        <v>2337</v>
      </c>
      <c r="B2317" s="97" t="s">
        <v>505</v>
      </c>
      <c r="C2317" s="95">
        <v>3375</v>
      </c>
      <c r="D2317" s="95" t="s">
        <v>506</v>
      </c>
      <c r="E2317" s="129">
        <f>VLOOKUP($C2317,'2021-22 School Level AAFTE'!$C:$Z,11,FALSE)</f>
        <v>0.62919999999999998</v>
      </c>
      <c r="F2317" s="129" t="str">
        <f>VLOOKUP($C2317,'2021-22 School Level AAFTE'!$C:$Z,8,FALSE)</f>
        <v>Yes</v>
      </c>
      <c r="G2317" s="129" t="str">
        <f>VLOOKUP($C2317,'2021-22 School Level AAFTE'!$C:$Z,12,FALSE)</f>
        <v>No</v>
      </c>
      <c r="H2317" s="127">
        <f>VLOOKUP($C2317,'2021-22 School Level AAFTE'!$C:$I,7,FALSE)</f>
        <v>156.94</v>
      </c>
      <c r="I2317" s="112">
        <f>IFERROR(IF(OR(G2317="yes",F2317= "yes"),VLOOKUP(C2317,Summary!$B:$J,6,0),0),0)</f>
        <v>0</v>
      </c>
      <c r="J2317" s="111">
        <f t="shared" si="453"/>
        <v>156.94</v>
      </c>
      <c r="K2317" s="91">
        <f>VLOOKUP($A2317,'2022-23 Salary &amp; Benefits'!$A:$I,3,FALSE)</f>
        <v>1</v>
      </c>
      <c r="L2317" s="91">
        <f>VLOOKUP($A2317,'2022-23 Salary &amp; Benefits'!$A:$I,4,FALSE)</f>
        <v>1</v>
      </c>
      <c r="M2317" s="101">
        <f t="shared" si="448"/>
        <v>156.94</v>
      </c>
      <c r="N2317" s="24">
        <v>15</v>
      </c>
      <c r="O2317" s="26">
        <f t="shared" si="451"/>
        <v>10.462666666666667</v>
      </c>
      <c r="P2317" s="24">
        <v>1.1000000000000001</v>
      </c>
      <c r="Q2317" s="24">
        <v>36</v>
      </c>
      <c r="R2317" s="27">
        <f t="shared" si="452"/>
        <v>414.32160000000005</v>
      </c>
      <c r="S2317" s="102">
        <f t="shared" si="454"/>
        <v>0.46</v>
      </c>
      <c r="T2317" s="21">
        <f>VLOOKUP($A2317,'2022-23 Salary &amp; Benefits'!$A:$I,5,FALSE)</f>
        <v>68937</v>
      </c>
      <c r="U2317" s="21">
        <f>VLOOKUP($A2317,'2022-23 Salary &amp; Benefits'!$A:$I,6,FALSE)</f>
        <v>72728</v>
      </c>
      <c r="V2317" s="22">
        <f t="shared" si="455"/>
        <v>31711.02</v>
      </c>
      <c r="W2317" s="22">
        <f t="shared" si="456"/>
        <v>1743.8599999999969</v>
      </c>
      <c r="X2317" s="22">
        <f>'2022-23 Salary &amp; Benefits'!$G$6</f>
        <v>12558.24</v>
      </c>
      <c r="Y2317" s="23">
        <f>'2022-23 Salary &amp; Benefits'!$H$6</f>
        <v>0.2298</v>
      </c>
      <c r="Z2317" s="23">
        <f>'2022-23 Salary &amp; Benefits'!$I$6</f>
        <v>0.22339999999999999</v>
      </c>
      <c r="AA2317" s="22">
        <f t="shared" si="457"/>
        <v>13453.56</v>
      </c>
      <c r="AB2317" s="22">
        <f t="shared" si="458"/>
        <v>557.58000000000004</v>
      </c>
      <c r="AC2317" s="22">
        <f t="shared" si="459"/>
        <v>124.56</v>
      </c>
      <c r="AD2317" s="22">
        <f t="shared" si="449"/>
        <v>682.1400000000001</v>
      </c>
      <c r="AE2317" s="22">
        <f t="shared" si="450"/>
        <v>47590.58</v>
      </c>
      <c r="AF2317" s="19" t="str">
        <f>VLOOKUP(C2317,'2021-22 School Level AAFTE'!C:N,12,FALSE)</f>
        <v>No</v>
      </c>
    </row>
    <row r="2318" spans="1:32" customFormat="1">
      <c r="A2318" s="97" t="s">
        <v>2383</v>
      </c>
      <c r="B2318" s="97" t="s">
        <v>1104</v>
      </c>
      <c r="C2318" s="95">
        <v>2605</v>
      </c>
      <c r="D2318" s="95" t="s">
        <v>1105</v>
      </c>
      <c r="E2318" s="129">
        <f>VLOOKUP($C2318,'2021-22 School Level AAFTE'!$C:$Z,11,FALSE)</f>
        <v>0.85683333333333334</v>
      </c>
      <c r="F2318" s="129" t="str">
        <f>VLOOKUP($C2318,'2021-22 School Level AAFTE'!$C:$Z,8,FALSE)</f>
        <v>Yes</v>
      </c>
      <c r="G2318" s="129" t="str">
        <f>VLOOKUP($C2318,'2021-22 School Level AAFTE'!$C:$Z,12,FALSE)</f>
        <v>No</v>
      </c>
      <c r="H2318" s="127">
        <f>VLOOKUP($C2318,'2021-22 School Level AAFTE'!$C:$I,7,FALSE)</f>
        <v>60.1</v>
      </c>
      <c r="I2318" s="112">
        <f>IFERROR(IF(OR(G2318="yes",F2318= "yes"),VLOOKUP(C2318,Summary!$B:$J,6,0),0),0)</f>
        <v>0</v>
      </c>
      <c r="J2318" s="111">
        <f t="shared" si="453"/>
        <v>60.1</v>
      </c>
      <c r="K2318" s="91">
        <f>VLOOKUP($A2318,'2022-23 Salary &amp; Benefits'!$A:$I,3,FALSE)</f>
        <v>1</v>
      </c>
      <c r="L2318" s="91">
        <f>VLOOKUP($A2318,'2022-23 Salary &amp; Benefits'!$A:$I,4,FALSE)</f>
        <v>1</v>
      </c>
      <c r="M2318" s="101">
        <f t="shared" si="448"/>
        <v>60.1</v>
      </c>
      <c r="N2318" s="24">
        <v>15</v>
      </c>
      <c r="O2318" s="26">
        <f t="shared" si="451"/>
        <v>4.0066666666666668</v>
      </c>
      <c r="P2318" s="24">
        <v>1.1000000000000001</v>
      </c>
      <c r="Q2318" s="24">
        <v>36</v>
      </c>
      <c r="R2318" s="27">
        <f t="shared" si="452"/>
        <v>158.66400000000002</v>
      </c>
      <c r="S2318" s="102">
        <f t="shared" si="454"/>
        <v>0.17599999999999999</v>
      </c>
      <c r="T2318" s="21">
        <f>VLOOKUP($A2318,'2022-23 Salary &amp; Benefits'!$A:$I,5,FALSE)</f>
        <v>68937</v>
      </c>
      <c r="U2318" s="21">
        <f>VLOOKUP($A2318,'2022-23 Salary &amp; Benefits'!$A:$I,6,FALSE)</f>
        <v>72728</v>
      </c>
      <c r="V2318" s="22">
        <f t="shared" si="455"/>
        <v>12132.91</v>
      </c>
      <c r="W2318" s="22">
        <f t="shared" si="456"/>
        <v>667.21999999999935</v>
      </c>
      <c r="X2318" s="22">
        <f>'2022-23 Salary &amp; Benefits'!$G$6</f>
        <v>12558.24</v>
      </c>
      <c r="Y2318" s="23">
        <f>'2022-23 Salary &amp; Benefits'!$H$6</f>
        <v>0.2298</v>
      </c>
      <c r="Z2318" s="23">
        <f>'2022-23 Salary &amp; Benefits'!$I$6</f>
        <v>0.22339999999999999</v>
      </c>
      <c r="AA2318" s="22">
        <f t="shared" si="457"/>
        <v>5147.45</v>
      </c>
      <c r="AB2318" s="22">
        <f t="shared" si="458"/>
        <v>213.34</v>
      </c>
      <c r="AC2318" s="22">
        <f t="shared" si="459"/>
        <v>47.66</v>
      </c>
      <c r="AD2318" s="22">
        <f t="shared" si="449"/>
        <v>261</v>
      </c>
      <c r="AE2318" s="22">
        <f t="shared" si="450"/>
        <v>18208.580000000002</v>
      </c>
      <c r="AF2318" s="19" t="str">
        <f>VLOOKUP(C2318,'2021-22 School Level AAFTE'!C:N,12,FALSE)</f>
        <v>No</v>
      </c>
    </row>
    <row r="2319" spans="1:32" customFormat="1">
      <c r="A2319" s="97" t="s">
        <v>2299</v>
      </c>
      <c r="B2319" s="97" t="s">
        <v>320</v>
      </c>
      <c r="C2319" s="95">
        <v>1795</v>
      </c>
      <c r="D2319" s="95" t="s">
        <v>321</v>
      </c>
      <c r="E2319" s="129">
        <f>VLOOKUP($C2319,'2021-22 School Level AAFTE'!$C:$Z,11,FALSE)</f>
        <v>0.53903333333333336</v>
      </c>
      <c r="F2319" s="129" t="str">
        <f>VLOOKUP($C2319,'2021-22 School Level AAFTE'!$C:$Z,8,FALSE)</f>
        <v>Yes</v>
      </c>
      <c r="G2319" s="129" t="str">
        <f>VLOOKUP($C2319,'2021-22 School Level AAFTE'!$C:$Z,12,FALSE)</f>
        <v>No</v>
      </c>
      <c r="H2319" s="127">
        <f>VLOOKUP($C2319,'2021-22 School Level AAFTE'!$C:$I,7,FALSE)</f>
        <v>115.95</v>
      </c>
      <c r="I2319" s="112">
        <f>IFERROR(IF(OR(G2319="yes",F2319= "yes"),VLOOKUP(C2319,Summary!$B:$J,6,0),0),0)</f>
        <v>0</v>
      </c>
      <c r="J2319" s="111">
        <f t="shared" si="453"/>
        <v>115.95</v>
      </c>
      <c r="K2319" s="91">
        <f>VLOOKUP($A2319,'2022-23 Salary &amp; Benefits'!$A:$I,3,FALSE)</f>
        <v>1</v>
      </c>
      <c r="L2319" s="91">
        <f>VLOOKUP($A2319,'2022-23 Salary &amp; Benefits'!$A:$I,4,FALSE)</f>
        <v>1</v>
      </c>
      <c r="M2319" s="101">
        <f t="shared" si="448"/>
        <v>115.95</v>
      </c>
      <c r="N2319" s="24">
        <v>15</v>
      </c>
      <c r="O2319" s="26">
        <f t="shared" si="451"/>
        <v>7.73</v>
      </c>
      <c r="P2319" s="24">
        <v>1.1000000000000001</v>
      </c>
      <c r="Q2319" s="24">
        <v>36</v>
      </c>
      <c r="R2319" s="27">
        <f t="shared" si="452"/>
        <v>306.10800000000006</v>
      </c>
      <c r="S2319" s="102">
        <f t="shared" si="454"/>
        <v>0.34</v>
      </c>
      <c r="T2319" s="21">
        <f>VLOOKUP($A2319,'2022-23 Salary &amp; Benefits'!$A:$I,5,FALSE)</f>
        <v>68937</v>
      </c>
      <c r="U2319" s="21">
        <f>VLOOKUP($A2319,'2022-23 Salary &amp; Benefits'!$A:$I,6,FALSE)</f>
        <v>72728</v>
      </c>
      <c r="V2319" s="22">
        <f t="shared" si="455"/>
        <v>23438.58</v>
      </c>
      <c r="W2319" s="22">
        <f t="shared" si="456"/>
        <v>1288.9399999999987</v>
      </c>
      <c r="X2319" s="22">
        <f>'2022-23 Salary &amp; Benefits'!$G$6</f>
        <v>12558.24</v>
      </c>
      <c r="Y2319" s="23">
        <f>'2022-23 Salary &amp; Benefits'!$H$6</f>
        <v>0.2298</v>
      </c>
      <c r="Z2319" s="23">
        <f>'2022-23 Salary &amp; Benefits'!$I$6</f>
        <v>0.22339999999999999</v>
      </c>
      <c r="AA2319" s="22">
        <f t="shared" si="457"/>
        <v>9943.94</v>
      </c>
      <c r="AB2319" s="22">
        <f t="shared" si="458"/>
        <v>412.13</v>
      </c>
      <c r="AC2319" s="22">
        <f t="shared" si="459"/>
        <v>92.07</v>
      </c>
      <c r="AD2319" s="22">
        <f t="shared" si="449"/>
        <v>504.2</v>
      </c>
      <c r="AE2319" s="22">
        <f t="shared" si="450"/>
        <v>35175.660000000003</v>
      </c>
      <c r="AF2319" s="19" t="str">
        <f>VLOOKUP(C2319,'2021-22 School Level AAFTE'!C:N,12,FALSE)</f>
        <v>No</v>
      </c>
    </row>
    <row r="2320" spans="1:32" s="56" customFormat="1">
      <c r="A2320" s="97" t="s">
        <v>2299</v>
      </c>
      <c r="B2320" s="97" t="s">
        <v>320</v>
      </c>
      <c r="C2320" s="95">
        <v>3513</v>
      </c>
      <c r="D2320" s="95" t="s">
        <v>322</v>
      </c>
      <c r="E2320" s="129">
        <f>VLOOKUP($C2320,'2021-22 School Level AAFTE'!$C:$Z,11,FALSE)</f>
        <v>0.33529999999999999</v>
      </c>
      <c r="F2320" s="129" t="str">
        <f>VLOOKUP($C2320,'2021-22 School Level AAFTE'!$C:$Z,8,FALSE)</f>
        <v>No</v>
      </c>
      <c r="G2320" s="129" t="str">
        <f>VLOOKUP($C2320,'2021-22 School Level AAFTE'!$C:$Z,12,FALSE)</f>
        <v>No</v>
      </c>
      <c r="H2320" s="127">
        <f>VLOOKUP($C2320,'2021-22 School Level AAFTE'!$C:$I,7,FALSE)</f>
        <v>50.71</v>
      </c>
      <c r="I2320" s="112">
        <f>IFERROR(IF(OR(G2320="yes",F2320= "yes"),VLOOKUP(C2320,Summary!$B:$J,6,0),0),0)</f>
        <v>0</v>
      </c>
      <c r="J2320" s="111">
        <f t="shared" si="453"/>
        <v>0</v>
      </c>
      <c r="K2320" s="91">
        <f>VLOOKUP($A2320,'2022-23 Salary &amp; Benefits'!$A:$I,3,FALSE)</f>
        <v>1</v>
      </c>
      <c r="L2320" s="91">
        <f>VLOOKUP($A2320,'2022-23 Salary &amp; Benefits'!$A:$I,4,FALSE)</f>
        <v>1</v>
      </c>
      <c r="M2320" s="101">
        <f t="shared" ref="M2320" si="460">IF(I2320&gt;0,I2320,J2320)</f>
        <v>0</v>
      </c>
      <c r="N2320" s="24">
        <v>15</v>
      </c>
      <c r="O2320" s="26">
        <f t="shared" si="451"/>
        <v>0</v>
      </c>
      <c r="P2320" s="24">
        <v>1.1000000000000001</v>
      </c>
      <c r="Q2320" s="24">
        <v>36</v>
      </c>
      <c r="R2320" s="27">
        <f t="shared" si="452"/>
        <v>0</v>
      </c>
      <c r="S2320" s="102">
        <f t="shared" si="454"/>
        <v>0</v>
      </c>
      <c r="T2320" s="21">
        <f>VLOOKUP($A2320,'2022-23 Salary &amp; Benefits'!$A:$I,5,FALSE)</f>
        <v>68937</v>
      </c>
      <c r="U2320" s="21">
        <f>VLOOKUP($A2320,'2022-23 Salary &amp; Benefits'!$A:$I,6,FALSE)</f>
        <v>72728</v>
      </c>
      <c r="V2320" s="22">
        <f t="shared" si="455"/>
        <v>0</v>
      </c>
      <c r="W2320" s="22">
        <f t="shared" si="456"/>
        <v>0</v>
      </c>
      <c r="X2320" s="22">
        <f>'2022-23 Salary &amp; Benefits'!$G$6</f>
        <v>12558.24</v>
      </c>
      <c r="Y2320" s="23">
        <f>'2022-23 Salary &amp; Benefits'!$H$6</f>
        <v>0.2298</v>
      </c>
      <c r="Z2320" s="23">
        <f>'2022-23 Salary &amp; Benefits'!$I$6</f>
        <v>0.22339999999999999</v>
      </c>
      <c r="AA2320" s="22">
        <f t="shared" si="457"/>
        <v>0</v>
      </c>
      <c r="AB2320" s="22">
        <f t="shared" si="458"/>
        <v>0</v>
      </c>
      <c r="AC2320" s="22">
        <f t="shared" si="459"/>
        <v>0</v>
      </c>
      <c r="AD2320" s="22">
        <f t="shared" ref="AD2320" si="461">SUM(AB2320:AC2320)</f>
        <v>0</v>
      </c>
      <c r="AE2320" s="22">
        <f t="shared" ref="AE2320" si="462">SUM(AA2320,V2320:W2320,AD2320)</f>
        <v>0</v>
      </c>
      <c r="AF2320" s="19" t="str">
        <f>VLOOKUP(C2320,'2021-22 School Level AAFTE'!C:N,12,FALSE)</f>
        <v>No</v>
      </c>
    </row>
    <row r="2321" spans="1:32" customFormat="1">
      <c r="A2321" s="97" t="s">
        <v>2299</v>
      </c>
      <c r="B2321" s="97" t="s">
        <v>320</v>
      </c>
      <c r="C2321" s="95">
        <v>3546</v>
      </c>
      <c r="D2321" s="95" t="s">
        <v>323</v>
      </c>
      <c r="E2321" s="129">
        <f>VLOOKUP($C2321,'2021-22 School Level AAFTE'!$C:$Z,11,FALSE)</f>
        <v>0.42709999999999998</v>
      </c>
      <c r="F2321" s="129" t="str">
        <f>VLOOKUP($C2321,'2021-22 School Level AAFTE'!$C:$Z,8,FALSE)</f>
        <v>No</v>
      </c>
      <c r="G2321" s="129" t="str">
        <f>VLOOKUP($C2321,'2021-22 School Level AAFTE'!$C:$Z,12,FALSE)</f>
        <v>No</v>
      </c>
      <c r="H2321" s="127">
        <f>VLOOKUP($C2321,'2021-22 School Level AAFTE'!$C:$I,7,FALSE)</f>
        <v>652.61999999999989</v>
      </c>
      <c r="I2321" s="112">
        <f>IFERROR(IF(OR(G2321="yes",F2321= "yes"),VLOOKUP(C2321,Summary!$B:$J,6,0),0),0)</f>
        <v>0</v>
      </c>
      <c r="J2321" s="111">
        <f t="shared" si="453"/>
        <v>0</v>
      </c>
      <c r="K2321" s="91">
        <f>VLOOKUP($A2321,'2022-23 Salary &amp; Benefits'!$A:$I,3,FALSE)</f>
        <v>1</v>
      </c>
      <c r="L2321" s="91">
        <f>VLOOKUP($A2321,'2022-23 Salary &amp; Benefits'!$A:$I,4,FALSE)</f>
        <v>1</v>
      </c>
      <c r="M2321" s="101">
        <f t="shared" si="448"/>
        <v>0</v>
      </c>
      <c r="N2321" s="24">
        <v>15</v>
      </c>
      <c r="O2321" s="26">
        <f t="shared" si="451"/>
        <v>0</v>
      </c>
      <c r="P2321" s="24">
        <v>1.1000000000000001</v>
      </c>
      <c r="Q2321" s="24">
        <v>36</v>
      </c>
      <c r="R2321" s="27">
        <f t="shared" si="452"/>
        <v>0</v>
      </c>
      <c r="S2321" s="102">
        <f t="shared" si="454"/>
        <v>0</v>
      </c>
      <c r="T2321" s="21">
        <f>VLOOKUP($A2321,'2022-23 Salary &amp; Benefits'!$A:$I,5,FALSE)</f>
        <v>68937</v>
      </c>
      <c r="U2321" s="21">
        <f>VLOOKUP($A2321,'2022-23 Salary &amp; Benefits'!$A:$I,6,FALSE)</f>
        <v>72728</v>
      </c>
      <c r="V2321" s="22">
        <f t="shared" si="455"/>
        <v>0</v>
      </c>
      <c r="W2321" s="22">
        <f t="shared" si="456"/>
        <v>0</v>
      </c>
      <c r="X2321" s="22">
        <f>'2022-23 Salary &amp; Benefits'!$G$6</f>
        <v>12558.24</v>
      </c>
      <c r="Y2321" s="23">
        <f>'2022-23 Salary &amp; Benefits'!$H$6</f>
        <v>0.2298</v>
      </c>
      <c r="Z2321" s="23">
        <f>'2022-23 Salary &amp; Benefits'!$I$6</f>
        <v>0.22339999999999999</v>
      </c>
      <c r="AA2321" s="22">
        <f t="shared" si="457"/>
        <v>0</v>
      </c>
      <c r="AB2321" s="22">
        <f t="shared" si="458"/>
        <v>0</v>
      </c>
      <c r="AC2321" s="22">
        <f t="shared" si="459"/>
        <v>0</v>
      </c>
      <c r="AD2321" s="22">
        <f t="shared" si="449"/>
        <v>0</v>
      </c>
      <c r="AE2321" s="22">
        <f t="shared" si="450"/>
        <v>0</v>
      </c>
      <c r="AF2321" s="19" t="str">
        <f>VLOOKUP(C2321,'2021-22 School Level AAFTE'!C:N,12,FALSE)</f>
        <v>No</v>
      </c>
    </row>
    <row r="2322" spans="1:32" customFormat="1">
      <c r="A2322" s="97" t="s">
        <v>2299</v>
      </c>
      <c r="B2322" s="97" t="s">
        <v>320</v>
      </c>
      <c r="C2322" s="95">
        <v>5246</v>
      </c>
      <c r="D2322" s="95" t="s">
        <v>324</v>
      </c>
      <c r="E2322" s="129">
        <f>VLOOKUP($C2322,'2021-22 School Level AAFTE'!$C:$Z,11,FALSE)</f>
        <v>0.29580000000000001</v>
      </c>
      <c r="F2322" s="129" t="str">
        <f>VLOOKUP($C2322,'2021-22 School Level AAFTE'!$C:$Z,8,FALSE)</f>
        <v>No</v>
      </c>
      <c r="G2322" s="129" t="str">
        <f>VLOOKUP($C2322,'2021-22 School Level AAFTE'!$C:$Z,12,FALSE)</f>
        <v>No</v>
      </c>
      <c r="H2322" s="127">
        <f>VLOOKUP($C2322,'2021-22 School Level AAFTE'!$C:$I,7,FALSE)</f>
        <v>72.06</v>
      </c>
      <c r="I2322" s="112">
        <f>IFERROR(IF(OR(G2322="yes",F2322= "yes"),VLOOKUP(C2322,Summary!$B:$J,6,0),0),0)</f>
        <v>0</v>
      </c>
      <c r="J2322" s="111">
        <f t="shared" si="453"/>
        <v>0</v>
      </c>
      <c r="K2322" s="91">
        <f>VLOOKUP($A2322,'2022-23 Salary &amp; Benefits'!$A:$I,3,FALSE)</f>
        <v>1</v>
      </c>
      <c r="L2322" s="91">
        <f>VLOOKUP($A2322,'2022-23 Salary &amp; Benefits'!$A:$I,4,FALSE)</f>
        <v>1</v>
      </c>
      <c r="M2322" s="101">
        <f t="shared" si="448"/>
        <v>0</v>
      </c>
      <c r="N2322" s="24">
        <v>15</v>
      </c>
      <c r="O2322" s="26">
        <f t="shared" si="451"/>
        <v>0</v>
      </c>
      <c r="P2322" s="24">
        <v>1.1000000000000001</v>
      </c>
      <c r="Q2322" s="24">
        <v>36</v>
      </c>
      <c r="R2322" s="27">
        <f t="shared" si="452"/>
        <v>0</v>
      </c>
      <c r="S2322" s="102">
        <f t="shared" si="454"/>
        <v>0</v>
      </c>
      <c r="T2322" s="21">
        <f>VLOOKUP($A2322,'2022-23 Salary &amp; Benefits'!$A:$I,5,FALSE)</f>
        <v>68937</v>
      </c>
      <c r="U2322" s="21">
        <f>VLOOKUP($A2322,'2022-23 Salary &amp; Benefits'!$A:$I,6,FALSE)</f>
        <v>72728</v>
      </c>
      <c r="V2322" s="22">
        <f t="shared" si="455"/>
        <v>0</v>
      </c>
      <c r="W2322" s="22">
        <f t="shared" si="456"/>
        <v>0</v>
      </c>
      <c r="X2322" s="22">
        <f>'2022-23 Salary &amp; Benefits'!$G$6</f>
        <v>12558.24</v>
      </c>
      <c r="Y2322" s="23">
        <f>'2022-23 Salary &amp; Benefits'!$H$6</f>
        <v>0.2298</v>
      </c>
      <c r="Z2322" s="23">
        <f>'2022-23 Salary &amp; Benefits'!$I$6</f>
        <v>0.22339999999999999</v>
      </c>
      <c r="AA2322" s="22">
        <f t="shared" si="457"/>
        <v>0</v>
      </c>
      <c r="AB2322" s="22">
        <f t="shared" si="458"/>
        <v>0</v>
      </c>
      <c r="AC2322" s="22">
        <f t="shared" si="459"/>
        <v>0</v>
      </c>
      <c r="AD2322" s="22">
        <f t="shared" si="449"/>
        <v>0</v>
      </c>
      <c r="AE2322" s="22">
        <f t="shared" si="450"/>
        <v>0</v>
      </c>
      <c r="AF2322" s="19" t="str">
        <f>VLOOKUP(C2322,'2021-22 School Level AAFTE'!C:N,12,FALSE)</f>
        <v>No</v>
      </c>
    </row>
    <row r="2323" spans="1:32" customFormat="1">
      <c r="A2323" s="97" t="s">
        <v>2299</v>
      </c>
      <c r="B2323" s="97" t="s">
        <v>320</v>
      </c>
      <c r="C2323" s="95">
        <v>5409</v>
      </c>
      <c r="D2323" s="95" t="s">
        <v>325</v>
      </c>
      <c r="E2323" s="129">
        <f>VLOOKUP($C2323,'2021-22 School Level AAFTE'!$C:$Z,11,FALSE)</f>
        <v>0.44453333333333328</v>
      </c>
      <c r="F2323" s="129" t="str">
        <f>VLOOKUP($C2323,'2021-22 School Level AAFTE'!$C:$Z,8,FALSE)</f>
        <v>No</v>
      </c>
      <c r="G2323" s="129" t="str">
        <f>VLOOKUP($C2323,'2021-22 School Level AAFTE'!$C:$Z,12,FALSE)</f>
        <v>No</v>
      </c>
      <c r="H2323" s="127">
        <f>VLOOKUP($C2323,'2021-22 School Level AAFTE'!$C:$I,7,FALSE)</f>
        <v>659.97</v>
      </c>
      <c r="I2323" s="112">
        <f>IFERROR(IF(OR(G2323="yes",F2323= "yes"),VLOOKUP(C2323,Summary!$B:$J,6,0),0),0)</f>
        <v>0</v>
      </c>
      <c r="J2323" s="111">
        <f t="shared" si="453"/>
        <v>0</v>
      </c>
      <c r="K2323" s="91">
        <f>VLOOKUP($A2323,'2022-23 Salary &amp; Benefits'!$A:$I,3,FALSE)</f>
        <v>1</v>
      </c>
      <c r="L2323" s="91">
        <f>VLOOKUP($A2323,'2022-23 Salary &amp; Benefits'!$A:$I,4,FALSE)</f>
        <v>1</v>
      </c>
      <c r="M2323" s="101">
        <f t="shared" si="448"/>
        <v>0</v>
      </c>
      <c r="N2323" s="24">
        <v>15</v>
      </c>
      <c r="O2323" s="26">
        <f t="shared" si="451"/>
        <v>0</v>
      </c>
      <c r="P2323" s="24">
        <v>1.1000000000000001</v>
      </c>
      <c r="Q2323" s="24">
        <v>36</v>
      </c>
      <c r="R2323" s="27">
        <f t="shared" si="452"/>
        <v>0</v>
      </c>
      <c r="S2323" s="102">
        <f t="shared" si="454"/>
        <v>0</v>
      </c>
      <c r="T2323" s="21">
        <f>VLOOKUP($A2323,'2022-23 Salary &amp; Benefits'!$A:$I,5,FALSE)</f>
        <v>68937</v>
      </c>
      <c r="U2323" s="21">
        <f>VLOOKUP($A2323,'2022-23 Salary &amp; Benefits'!$A:$I,6,FALSE)</f>
        <v>72728</v>
      </c>
      <c r="V2323" s="22">
        <f t="shared" si="455"/>
        <v>0</v>
      </c>
      <c r="W2323" s="22">
        <f t="shared" si="456"/>
        <v>0</v>
      </c>
      <c r="X2323" s="22">
        <f>'2022-23 Salary &amp; Benefits'!$G$6</f>
        <v>12558.24</v>
      </c>
      <c r="Y2323" s="23">
        <f>'2022-23 Salary &amp; Benefits'!$H$6</f>
        <v>0.2298</v>
      </c>
      <c r="Z2323" s="23">
        <f>'2022-23 Salary &amp; Benefits'!$I$6</f>
        <v>0.22339999999999999</v>
      </c>
      <c r="AA2323" s="22">
        <f t="shared" si="457"/>
        <v>0</v>
      </c>
      <c r="AB2323" s="22">
        <f t="shared" si="458"/>
        <v>0</v>
      </c>
      <c r="AC2323" s="22">
        <f t="shared" si="459"/>
        <v>0</v>
      </c>
      <c r="AD2323" s="22">
        <f t="shared" si="449"/>
        <v>0</v>
      </c>
      <c r="AE2323" s="22">
        <f t="shared" si="450"/>
        <v>0</v>
      </c>
      <c r="AF2323" s="19" t="str">
        <f>VLOOKUP(C2323,'2021-22 School Level AAFTE'!C:N,12,FALSE)</f>
        <v>No</v>
      </c>
    </row>
    <row r="2324" spans="1:32" customFormat="1">
      <c r="A2324" s="97" t="s">
        <v>2299</v>
      </c>
      <c r="B2324" s="97" t="s">
        <v>320</v>
      </c>
      <c r="C2324" s="95">
        <v>5599</v>
      </c>
      <c r="D2324" s="95" t="s">
        <v>1637</v>
      </c>
      <c r="E2324" s="129">
        <f>VLOOKUP($C2324,'2021-22 School Level AAFTE'!$C:$Z,11,FALSE)</f>
        <v>0.52806666666666668</v>
      </c>
      <c r="F2324" s="129" t="str">
        <f>VLOOKUP($C2324,'2021-22 School Level AAFTE'!$C:$Z,8,FALSE)</f>
        <v>Yes</v>
      </c>
      <c r="G2324" s="129" t="str">
        <f>VLOOKUP($C2324,'2021-22 School Level AAFTE'!$C:$Z,12,FALSE)</f>
        <v>No</v>
      </c>
      <c r="H2324" s="127">
        <f>VLOOKUP($C2324,'2021-22 School Level AAFTE'!$C:$I,7,FALSE)</f>
        <v>376.8</v>
      </c>
      <c r="I2324" s="112">
        <f>IFERROR(IF(OR(G2324="yes",F2324= "yes"),VLOOKUP(C2324,Summary!$B:$J,6,0),0),0)</f>
        <v>0</v>
      </c>
      <c r="J2324" s="111">
        <f t="shared" si="453"/>
        <v>376.8</v>
      </c>
      <c r="K2324" s="91">
        <f>VLOOKUP($A2324,'2022-23 Salary &amp; Benefits'!$A:$I,3,FALSE)</f>
        <v>1</v>
      </c>
      <c r="L2324" s="91">
        <f>VLOOKUP($A2324,'2022-23 Salary &amp; Benefits'!$A:$I,4,FALSE)</f>
        <v>1</v>
      </c>
      <c r="M2324" s="101">
        <f t="shared" si="448"/>
        <v>376.8</v>
      </c>
      <c r="N2324" s="24">
        <v>15</v>
      </c>
      <c r="O2324" s="26">
        <f t="shared" si="451"/>
        <v>25.12</v>
      </c>
      <c r="P2324" s="24">
        <v>1.1000000000000001</v>
      </c>
      <c r="Q2324" s="24">
        <v>36</v>
      </c>
      <c r="R2324" s="27">
        <f t="shared" si="452"/>
        <v>994.75200000000018</v>
      </c>
      <c r="S2324" s="102">
        <f t="shared" si="454"/>
        <v>1.105</v>
      </c>
      <c r="T2324" s="21">
        <f>VLOOKUP($A2324,'2022-23 Salary &amp; Benefits'!$A:$I,5,FALSE)</f>
        <v>68937</v>
      </c>
      <c r="U2324" s="21">
        <f>VLOOKUP($A2324,'2022-23 Salary &amp; Benefits'!$A:$I,6,FALSE)</f>
        <v>72728</v>
      </c>
      <c r="V2324" s="22">
        <f t="shared" si="455"/>
        <v>76175.39</v>
      </c>
      <c r="W2324" s="22">
        <f t="shared" si="456"/>
        <v>4189.0500000000029</v>
      </c>
      <c r="X2324" s="22">
        <f>'2022-23 Salary &amp; Benefits'!$G$6</f>
        <v>12558.24</v>
      </c>
      <c r="Y2324" s="23">
        <f>'2022-23 Salary &amp; Benefits'!$H$6</f>
        <v>0.2298</v>
      </c>
      <c r="Z2324" s="23">
        <f>'2022-23 Salary &amp; Benefits'!$I$6</f>
        <v>0.22339999999999999</v>
      </c>
      <c r="AA2324" s="22">
        <f t="shared" si="457"/>
        <v>32317.79</v>
      </c>
      <c r="AB2324" s="22">
        <f t="shared" si="458"/>
        <v>1339.41</v>
      </c>
      <c r="AC2324" s="22">
        <f t="shared" si="459"/>
        <v>299.22000000000003</v>
      </c>
      <c r="AD2324" s="22">
        <f t="shared" si="449"/>
        <v>1638.63</v>
      </c>
      <c r="AE2324" s="22">
        <f t="shared" si="450"/>
        <v>114320.86</v>
      </c>
      <c r="AF2324" s="19" t="str">
        <f>VLOOKUP(C2324,'2021-22 School Level AAFTE'!C:N,12,FALSE)</f>
        <v>No</v>
      </c>
    </row>
    <row r="2325" spans="1:32" customFormat="1">
      <c r="A2325" s="97" t="s">
        <v>2299</v>
      </c>
      <c r="B2325" s="97" t="s">
        <v>320</v>
      </c>
      <c r="C2325" s="95">
        <v>5600</v>
      </c>
      <c r="D2325" s="95" t="s">
        <v>2948</v>
      </c>
      <c r="E2325" s="129">
        <f>VLOOKUP($C2325,'2021-22 School Level AAFTE'!$C:$Z,11,FALSE)</f>
        <v>0.34979999999999994</v>
      </c>
      <c r="F2325" s="129" t="str">
        <f>VLOOKUP($C2325,'2021-22 School Level AAFTE'!$C:$Z,8,FALSE)</f>
        <v>No</v>
      </c>
      <c r="G2325" s="129" t="str">
        <f>VLOOKUP($C2325,'2021-22 School Level AAFTE'!$C:$Z,12,FALSE)</f>
        <v>No</v>
      </c>
      <c r="H2325" s="127">
        <f>VLOOKUP($C2325,'2021-22 School Level AAFTE'!$C:$I,7,FALSE)</f>
        <v>415.98</v>
      </c>
      <c r="I2325" s="112">
        <f>IFERROR(IF(OR(G2325="yes",F2325= "yes"),VLOOKUP(C2325,Summary!$B:$J,6,0),0),0)</f>
        <v>0</v>
      </c>
      <c r="J2325" s="111">
        <f t="shared" si="453"/>
        <v>0</v>
      </c>
      <c r="K2325" s="91">
        <f>VLOOKUP($A2325,'2022-23 Salary &amp; Benefits'!$A:$I,3,FALSE)</f>
        <v>1</v>
      </c>
      <c r="L2325" s="91">
        <f>VLOOKUP($A2325,'2022-23 Salary &amp; Benefits'!$A:$I,4,FALSE)</f>
        <v>1</v>
      </c>
      <c r="M2325" s="101">
        <f t="shared" si="448"/>
        <v>0</v>
      </c>
      <c r="N2325" s="24">
        <v>15</v>
      </c>
      <c r="O2325" s="26">
        <f t="shared" si="451"/>
        <v>0</v>
      </c>
      <c r="P2325" s="24">
        <v>1.1000000000000001</v>
      </c>
      <c r="Q2325" s="24">
        <v>36</v>
      </c>
      <c r="R2325" s="27">
        <f t="shared" si="452"/>
        <v>0</v>
      </c>
      <c r="S2325" s="102">
        <f t="shared" si="454"/>
        <v>0</v>
      </c>
      <c r="T2325" s="21">
        <f>VLOOKUP($A2325,'2022-23 Salary &amp; Benefits'!$A:$I,5,FALSE)</f>
        <v>68937</v>
      </c>
      <c r="U2325" s="21">
        <f>VLOOKUP($A2325,'2022-23 Salary &amp; Benefits'!$A:$I,6,FALSE)</f>
        <v>72728</v>
      </c>
      <c r="V2325" s="22">
        <f t="shared" si="455"/>
        <v>0</v>
      </c>
      <c r="W2325" s="22">
        <f t="shared" si="456"/>
        <v>0</v>
      </c>
      <c r="X2325" s="22">
        <f>'2022-23 Salary &amp; Benefits'!$G$6</f>
        <v>12558.24</v>
      </c>
      <c r="Y2325" s="23">
        <f>'2022-23 Salary &amp; Benefits'!$H$6</f>
        <v>0.2298</v>
      </c>
      <c r="Z2325" s="23">
        <f>'2022-23 Salary &amp; Benefits'!$I$6</f>
        <v>0.22339999999999999</v>
      </c>
      <c r="AA2325" s="22">
        <f t="shared" si="457"/>
        <v>0</v>
      </c>
      <c r="AB2325" s="22">
        <f t="shared" si="458"/>
        <v>0</v>
      </c>
      <c r="AC2325" s="22">
        <f t="shared" si="459"/>
        <v>0</v>
      </c>
      <c r="AD2325" s="22">
        <f t="shared" si="449"/>
        <v>0</v>
      </c>
      <c r="AE2325" s="22">
        <f t="shared" si="450"/>
        <v>0</v>
      </c>
      <c r="AF2325" s="19" t="str">
        <f>VLOOKUP(C2325,'2021-22 School Level AAFTE'!C:N,12,FALSE)</f>
        <v>No</v>
      </c>
    </row>
    <row r="2326" spans="1:32" customFormat="1">
      <c r="A2326" s="97" t="s">
        <v>2763</v>
      </c>
      <c r="B2326" s="97" t="s">
        <v>2766</v>
      </c>
      <c r="C2326" s="95">
        <v>5550</v>
      </c>
      <c r="D2326" s="95" t="s">
        <v>2764</v>
      </c>
      <c r="E2326" s="129">
        <f>VLOOKUP($C2326,'2021-22 School Level AAFTE'!$C:$Z,11,FALSE)</f>
        <v>0</v>
      </c>
      <c r="F2326" s="129" t="str">
        <f>VLOOKUP($C2326,'2021-22 School Level AAFTE'!$C:$Z,8,FALSE)</f>
        <v>No</v>
      </c>
      <c r="G2326" s="129" t="str">
        <f>VLOOKUP($C2326,'2021-22 School Level AAFTE'!$C:$Z,12,FALSE)</f>
        <v>No</v>
      </c>
      <c r="H2326" s="127">
        <f>VLOOKUP($C2326,'2021-22 School Level AAFTE'!$C:$I,7,FALSE)</f>
        <v>129.86000000000001</v>
      </c>
      <c r="I2326" s="112">
        <f>IFERROR(IF(OR(G2326="yes",F2326= "yes"),VLOOKUP(C2326,Summary!$B:$J,6,0),0),0)</f>
        <v>0</v>
      </c>
      <c r="J2326" s="111">
        <f t="shared" si="453"/>
        <v>0</v>
      </c>
      <c r="K2326" s="91">
        <f>VLOOKUP($A2326,'2022-23 Salary &amp; Benefits'!$A:$I,3,FALSE)</f>
        <v>1</v>
      </c>
      <c r="L2326" s="91">
        <f>VLOOKUP($A2326,'2022-23 Salary &amp; Benefits'!$A:$I,4,FALSE)</f>
        <v>1</v>
      </c>
      <c r="M2326" s="101">
        <f t="shared" si="448"/>
        <v>0</v>
      </c>
      <c r="N2326" s="24">
        <v>15</v>
      </c>
      <c r="O2326" s="26">
        <f t="shared" si="451"/>
        <v>0</v>
      </c>
      <c r="P2326" s="24">
        <v>1.1000000000000001</v>
      </c>
      <c r="Q2326" s="24">
        <v>36</v>
      </c>
      <c r="R2326" s="27">
        <f t="shared" si="452"/>
        <v>0</v>
      </c>
      <c r="S2326" s="102">
        <f t="shared" si="454"/>
        <v>0</v>
      </c>
      <c r="T2326" s="21">
        <f>VLOOKUP($A2326,'2022-23 Salary &amp; Benefits'!$A:$I,5,FALSE)</f>
        <v>68937</v>
      </c>
      <c r="U2326" s="21">
        <f>VLOOKUP($A2326,'2022-23 Salary &amp; Benefits'!$A:$I,6,FALSE)</f>
        <v>72728</v>
      </c>
      <c r="V2326" s="22">
        <f t="shared" si="455"/>
        <v>0</v>
      </c>
      <c r="W2326" s="22">
        <f t="shared" si="456"/>
        <v>0</v>
      </c>
      <c r="X2326" s="22">
        <f>'2022-23 Salary &amp; Benefits'!$G$6</f>
        <v>12558.24</v>
      </c>
      <c r="Y2326" s="23">
        <f>'2022-23 Salary &amp; Benefits'!$H$6</f>
        <v>0.2298</v>
      </c>
      <c r="Z2326" s="23">
        <f>'2022-23 Salary &amp; Benefits'!$I$6</f>
        <v>0.22339999999999999</v>
      </c>
      <c r="AA2326" s="22">
        <f t="shared" si="457"/>
        <v>0</v>
      </c>
      <c r="AB2326" s="22">
        <f t="shared" si="458"/>
        <v>0</v>
      </c>
      <c r="AC2326" s="22">
        <f t="shared" si="459"/>
        <v>0</v>
      </c>
      <c r="AD2326" s="22">
        <f t="shared" si="449"/>
        <v>0</v>
      </c>
      <c r="AE2326" s="22">
        <f t="shared" si="450"/>
        <v>0</v>
      </c>
      <c r="AF2326" s="19" t="str">
        <f>VLOOKUP(C2326,'2021-22 School Level AAFTE'!C:N,12,FALSE)</f>
        <v>No</v>
      </c>
    </row>
    <row r="2327" spans="1:32" customFormat="1">
      <c r="A2327" s="97" t="s">
        <v>2555</v>
      </c>
      <c r="B2327" s="97" t="s">
        <v>2170</v>
      </c>
      <c r="C2327" s="95">
        <v>2116</v>
      </c>
      <c r="D2327" s="95" t="s">
        <v>2171</v>
      </c>
      <c r="E2327" s="129">
        <f>VLOOKUP($C2327,'2021-22 School Level AAFTE'!$C:$Z,11,FALSE)</f>
        <v>0.77413333333333334</v>
      </c>
      <c r="F2327" s="129" t="str">
        <f>VLOOKUP($C2327,'2021-22 School Level AAFTE'!$C:$Z,8,FALSE)</f>
        <v>Yes</v>
      </c>
      <c r="G2327" s="129" t="str">
        <f>VLOOKUP($C2327,'2021-22 School Level AAFTE'!$C:$Z,12,FALSE)</f>
        <v>No</v>
      </c>
      <c r="H2327" s="127">
        <f>VLOOKUP($C2327,'2021-22 School Level AAFTE'!$C:$I,7,FALSE)</f>
        <v>2513.0100000000002</v>
      </c>
      <c r="I2327" s="112">
        <f>IFERROR(IF(OR(G2327="yes",F2327= "yes"),VLOOKUP(C2327,Summary!$B:$J,6,0),0),0)</f>
        <v>0</v>
      </c>
      <c r="J2327" s="111">
        <f t="shared" si="453"/>
        <v>2513.0100000000002</v>
      </c>
      <c r="K2327" s="91">
        <f>VLOOKUP($A2327,'2022-23 Salary &amp; Benefits'!$A:$I,3,FALSE)</f>
        <v>1</v>
      </c>
      <c r="L2327" s="91">
        <f>VLOOKUP($A2327,'2022-23 Salary &amp; Benefits'!$A:$I,4,FALSE)</f>
        <v>1</v>
      </c>
      <c r="M2327" s="101">
        <f t="shared" si="448"/>
        <v>2513.0100000000002</v>
      </c>
      <c r="N2327" s="24">
        <v>15</v>
      </c>
      <c r="O2327" s="26">
        <f t="shared" si="451"/>
        <v>167.53400000000002</v>
      </c>
      <c r="P2327" s="24">
        <v>1.1000000000000001</v>
      </c>
      <c r="Q2327" s="24">
        <v>36</v>
      </c>
      <c r="R2327" s="27">
        <f t="shared" si="452"/>
        <v>6634.3464000000022</v>
      </c>
      <c r="S2327" s="102">
        <f t="shared" si="454"/>
        <v>7.3710000000000004</v>
      </c>
      <c r="T2327" s="21">
        <f>VLOOKUP($A2327,'2022-23 Salary &amp; Benefits'!$A:$I,5,FALSE)</f>
        <v>68937</v>
      </c>
      <c r="U2327" s="21">
        <f>VLOOKUP($A2327,'2022-23 Salary &amp; Benefits'!$A:$I,6,FALSE)</f>
        <v>72728</v>
      </c>
      <c r="V2327" s="22">
        <f t="shared" si="455"/>
        <v>508134.63</v>
      </c>
      <c r="W2327" s="22">
        <f t="shared" si="456"/>
        <v>27943.459999999963</v>
      </c>
      <c r="X2327" s="22">
        <f>'2022-23 Salary &amp; Benefits'!$G$6</f>
        <v>12558.24</v>
      </c>
      <c r="Y2327" s="23">
        <f>'2022-23 Salary &amp; Benefits'!$H$6</f>
        <v>0.2298</v>
      </c>
      <c r="Z2327" s="23">
        <f>'2022-23 Salary &amp; Benefits'!$I$6</f>
        <v>0.22339999999999999</v>
      </c>
      <c r="AA2327" s="22">
        <f t="shared" si="457"/>
        <v>215578.69</v>
      </c>
      <c r="AB2327" s="22">
        <f t="shared" si="458"/>
        <v>8934.6299999999992</v>
      </c>
      <c r="AC2327" s="22">
        <f t="shared" si="459"/>
        <v>1996</v>
      </c>
      <c r="AD2327" s="22">
        <f t="shared" si="449"/>
        <v>10930.63</v>
      </c>
      <c r="AE2327" s="22">
        <f t="shared" si="450"/>
        <v>762587.41</v>
      </c>
      <c r="AF2327" s="19" t="str">
        <f>VLOOKUP(C2327,'2021-22 School Level AAFTE'!C:N,12,FALSE)</f>
        <v>No</v>
      </c>
    </row>
    <row r="2328" spans="1:32" customFormat="1">
      <c r="A2328" s="97" t="s">
        <v>2555</v>
      </c>
      <c r="B2328" s="97" t="s">
        <v>2170</v>
      </c>
      <c r="C2328" s="95">
        <v>2176</v>
      </c>
      <c r="D2328" s="95" t="s">
        <v>1597</v>
      </c>
      <c r="E2328" s="129">
        <f>VLOOKUP($C2328,'2021-22 School Level AAFTE'!$C:$Z,11,FALSE)</f>
        <v>0.8973000000000001</v>
      </c>
      <c r="F2328" s="129" t="str">
        <f>VLOOKUP($C2328,'2021-22 School Level AAFTE'!$C:$Z,8,FALSE)</f>
        <v>Yes</v>
      </c>
      <c r="G2328" s="129" t="str">
        <f>VLOOKUP($C2328,'2021-22 School Level AAFTE'!$C:$Z,12,FALSE)</f>
        <v>No</v>
      </c>
      <c r="H2328" s="127">
        <f>VLOOKUP($C2328,'2021-22 School Level AAFTE'!$C:$I,7,FALSE)</f>
        <v>490</v>
      </c>
      <c r="I2328" s="112">
        <f>IFERROR(IF(OR(G2328="yes",F2328= "yes"),VLOOKUP(C2328,Summary!$B:$J,6,0),0),0)</f>
        <v>0</v>
      </c>
      <c r="J2328" s="111">
        <f t="shared" si="453"/>
        <v>490</v>
      </c>
      <c r="K2328" s="91">
        <f>VLOOKUP($A2328,'2022-23 Salary &amp; Benefits'!$A:$I,3,FALSE)</f>
        <v>1</v>
      </c>
      <c r="L2328" s="91">
        <f>VLOOKUP($A2328,'2022-23 Salary &amp; Benefits'!$A:$I,4,FALSE)</f>
        <v>1</v>
      </c>
      <c r="M2328" s="101">
        <f t="shared" si="448"/>
        <v>490</v>
      </c>
      <c r="N2328" s="24">
        <v>15</v>
      </c>
      <c r="O2328" s="26">
        <f t="shared" si="451"/>
        <v>32.666666666666664</v>
      </c>
      <c r="P2328" s="24">
        <v>1.1000000000000001</v>
      </c>
      <c r="Q2328" s="24">
        <v>36</v>
      </c>
      <c r="R2328" s="27">
        <f t="shared" si="452"/>
        <v>1293.6000000000001</v>
      </c>
      <c r="S2328" s="102">
        <f t="shared" si="454"/>
        <v>1.4370000000000001</v>
      </c>
      <c r="T2328" s="21">
        <f>VLOOKUP($A2328,'2022-23 Salary &amp; Benefits'!$A:$I,5,FALSE)</f>
        <v>68937</v>
      </c>
      <c r="U2328" s="21">
        <f>VLOOKUP($A2328,'2022-23 Salary &amp; Benefits'!$A:$I,6,FALSE)</f>
        <v>72728</v>
      </c>
      <c r="V2328" s="22">
        <f t="shared" si="455"/>
        <v>99062.47</v>
      </c>
      <c r="W2328" s="22">
        <f t="shared" si="456"/>
        <v>5447.6699999999983</v>
      </c>
      <c r="X2328" s="22">
        <f>'2022-23 Salary &amp; Benefits'!$G$6</f>
        <v>12558.24</v>
      </c>
      <c r="Y2328" s="23">
        <f>'2022-23 Salary &amp; Benefits'!$H$6</f>
        <v>0.2298</v>
      </c>
      <c r="Z2328" s="23">
        <f>'2022-23 Salary &amp; Benefits'!$I$6</f>
        <v>0.22339999999999999</v>
      </c>
      <c r="AA2328" s="22">
        <f t="shared" si="457"/>
        <v>42027.76</v>
      </c>
      <c r="AB2328" s="22">
        <f t="shared" si="458"/>
        <v>1741.84</v>
      </c>
      <c r="AC2328" s="22">
        <f t="shared" si="459"/>
        <v>389.13</v>
      </c>
      <c r="AD2328" s="22">
        <f t="shared" si="449"/>
        <v>2130.9699999999998</v>
      </c>
      <c r="AE2328" s="22">
        <f t="shared" si="450"/>
        <v>148668.87000000002</v>
      </c>
      <c r="AF2328" s="19" t="str">
        <f>VLOOKUP(C2328,'2021-22 School Level AAFTE'!C:N,12,FALSE)</f>
        <v>No</v>
      </c>
    </row>
    <row r="2329" spans="1:32" customFormat="1">
      <c r="A2329" s="97" t="s">
        <v>2555</v>
      </c>
      <c r="B2329" s="97" t="s">
        <v>2170</v>
      </c>
      <c r="C2329" s="95">
        <v>2177</v>
      </c>
      <c r="D2329" s="95" t="s">
        <v>2172</v>
      </c>
      <c r="E2329" s="129">
        <f>VLOOKUP($C2329,'2021-22 School Level AAFTE'!$C:$Z,11,FALSE)</f>
        <v>0.84329999999999983</v>
      </c>
      <c r="F2329" s="129" t="str">
        <f>VLOOKUP($C2329,'2021-22 School Level AAFTE'!$C:$Z,8,FALSE)</f>
        <v>Yes</v>
      </c>
      <c r="G2329" s="129" t="str">
        <f>VLOOKUP($C2329,'2021-22 School Level AAFTE'!$C:$Z,12,FALSE)</f>
        <v>No</v>
      </c>
      <c r="H2329" s="127">
        <f>VLOOKUP($C2329,'2021-22 School Level AAFTE'!$C:$I,7,FALSE)</f>
        <v>405.86</v>
      </c>
      <c r="I2329" s="112">
        <f>IFERROR(IF(OR(G2329="yes",F2329= "yes"),VLOOKUP(C2329,Summary!$B:$J,6,0),0),0)</f>
        <v>0</v>
      </c>
      <c r="J2329" s="111">
        <f t="shared" si="453"/>
        <v>405.86</v>
      </c>
      <c r="K2329" s="91">
        <f>VLOOKUP($A2329,'2022-23 Salary &amp; Benefits'!$A:$I,3,FALSE)</f>
        <v>1</v>
      </c>
      <c r="L2329" s="91">
        <f>VLOOKUP($A2329,'2022-23 Salary &amp; Benefits'!$A:$I,4,FALSE)</f>
        <v>1</v>
      </c>
      <c r="M2329" s="101">
        <f t="shared" si="448"/>
        <v>405.86</v>
      </c>
      <c r="N2329" s="24">
        <v>15</v>
      </c>
      <c r="O2329" s="26">
        <f t="shared" si="451"/>
        <v>27.057333333333336</v>
      </c>
      <c r="P2329" s="24">
        <v>1.1000000000000001</v>
      </c>
      <c r="Q2329" s="24">
        <v>36</v>
      </c>
      <c r="R2329" s="27">
        <f t="shared" si="452"/>
        <v>1071.4704000000002</v>
      </c>
      <c r="S2329" s="102">
        <f t="shared" si="454"/>
        <v>1.1910000000000001</v>
      </c>
      <c r="T2329" s="21">
        <f>VLOOKUP($A2329,'2022-23 Salary &amp; Benefits'!$A:$I,5,FALSE)</f>
        <v>68937</v>
      </c>
      <c r="U2329" s="21">
        <f>VLOOKUP($A2329,'2022-23 Salary &amp; Benefits'!$A:$I,6,FALSE)</f>
        <v>72728</v>
      </c>
      <c r="V2329" s="22">
        <f t="shared" si="455"/>
        <v>82103.97</v>
      </c>
      <c r="W2329" s="22">
        <f t="shared" si="456"/>
        <v>4515.0800000000017</v>
      </c>
      <c r="X2329" s="22">
        <f>'2022-23 Salary &amp; Benefits'!$G$6</f>
        <v>12558.24</v>
      </c>
      <c r="Y2329" s="23">
        <f>'2022-23 Salary &amp; Benefits'!$H$6</f>
        <v>0.2298</v>
      </c>
      <c r="Z2329" s="23">
        <f>'2022-23 Salary &amp; Benefits'!$I$6</f>
        <v>0.22339999999999999</v>
      </c>
      <c r="AA2329" s="22">
        <f t="shared" si="457"/>
        <v>34833.03</v>
      </c>
      <c r="AB2329" s="22">
        <f t="shared" si="458"/>
        <v>1443.65</v>
      </c>
      <c r="AC2329" s="22">
        <f t="shared" si="459"/>
        <v>322.51</v>
      </c>
      <c r="AD2329" s="22">
        <f t="shared" si="449"/>
        <v>1766.16</v>
      </c>
      <c r="AE2329" s="22">
        <f t="shared" si="450"/>
        <v>123218.24000000001</v>
      </c>
      <c r="AF2329" s="19" t="str">
        <f>VLOOKUP(C2329,'2021-22 School Level AAFTE'!C:N,12,FALSE)</f>
        <v>No</v>
      </c>
    </row>
    <row r="2330" spans="1:32" customFormat="1">
      <c r="A2330" s="97" t="s">
        <v>2555</v>
      </c>
      <c r="B2330" s="97" t="s">
        <v>2170</v>
      </c>
      <c r="C2330" s="95">
        <v>2314</v>
      </c>
      <c r="D2330" s="95" t="s">
        <v>631</v>
      </c>
      <c r="E2330" s="129">
        <f>VLOOKUP($C2330,'2021-22 School Level AAFTE'!$C:$Z,11,FALSE)</f>
        <v>0.92230000000000001</v>
      </c>
      <c r="F2330" s="129" t="str">
        <f>VLOOKUP($C2330,'2021-22 School Level AAFTE'!$C:$Z,8,FALSE)</f>
        <v>Yes</v>
      </c>
      <c r="G2330" s="129" t="str">
        <f>VLOOKUP($C2330,'2021-22 School Level AAFTE'!$C:$Z,12,FALSE)</f>
        <v>No</v>
      </c>
      <c r="H2330" s="127">
        <f>VLOOKUP($C2330,'2021-22 School Level AAFTE'!$C:$I,7,FALSE)</f>
        <v>794.61</v>
      </c>
      <c r="I2330" s="112">
        <f>IFERROR(IF(OR(G2330="yes",F2330= "yes"),VLOOKUP(C2330,Summary!$B:$J,6,0),0),0)</f>
        <v>0</v>
      </c>
      <c r="J2330" s="111">
        <f t="shared" si="453"/>
        <v>794.61</v>
      </c>
      <c r="K2330" s="91">
        <f>VLOOKUP($A2330,'2022-23 Salary &amp; Benefits'!$A:$I,3,FALSE)</f>
        <v>1</v>
      </c>
      <c r="L2330" s="91">
        <f>VLOOKUP($A2330,'2022-23 Salary &amp; Benefits'!$A:$I,4,FALSE)</f>
        <v>1</v>
      </c>
      <c r="M2330" s="101">
        <f t="shared" si="448"/>
        <v>794.61</v>
      </c>
      <c r="N2330" s="24">
        <v>15</v>
      </c>
      <c r="O2330" s="26">
        <f t="shared" si="451"/>
        <v>52.974000000000004</v>
      </c>
      <c r="P2330" s="24">
        <v>1.1000000000000001</v>
      </c>
      <c r="Q2330" s="24">
        <v>36</v>
      </c>
      <c r="R2330" s="27">
        <f t="shared" si="452"/>
        <v>2097.7704000000003</v>
      </c>
      <c r="S2330" s="102">
        <f t="shared" si="454"/>
        <v>2.331</v>
      </c>
      <c r="T2330" s="21">
        <f>VLOOKUP($A2330,'2022-23 Salary &amp; Benefits'!$A:$I,5,FALSE)</f>
        <v>68937</v>
      </c>
      <c r="U2330" s="21">
        <f>VLOOKUP($A2330,'2022-23 Salary &amp; Benefits'!$A:$I,6,FALSE)</f>
        <v>72728</v>
      </c>
      <c r="V2330" s="22">
        <f t="shared" si="455"/>
        <v>160692.15</v>
      </c>
      <c r="W2330" s="22">
        <f t="shared" si="456"/>
        <v>8836.820000000007</v>
      </c>
      <c r="X2330" s="22">
        <f>'2022-23 Salary &amp; Benefits'!$G$6</f>
        <v>12558.24</v>
      </c>
      <c r="Y2330" s="23">
        <f>'2022-23 Salary &amp; Benefits'!$H$6</f>
        <v>0.2298</v>
      </c>
      <c r="Z2330" s="23">
        <f>'2022-23 Salary &amp; Benefits'!$I$6</f>
        <v>0.22339999999999999</v>
      </c>
      <c r="AA2330" s="22">
        <f t="shared" si="457"/>
        <v>68174.460000000006</v>
      </c>
      <c r="AB2330" s="22">
        <f t="shared" si="458"/>
        <v>2825.48</v>
      </c>
      <c r="AC2330" s="22">
        <f t="shared" si="459"/>
        <v>631.21</v>
      </c>
      <c r="AD2330" s="22">
        <f t="shared" si="449"/>
        <v>3456.69</v>
      </c>
      <c r="AE2330" s="22">
        <f t="shared" si="450"/>
        <v>241160.12</v>
      </c>
      <c r="AF2330" s="19" t="str">
        <f>VLOOKUP(C2330,'2021-22 School Level AAFTE'!C:N,12,FALSE)</f>
        <v>No</v>
      </c>
    </row>
    <row r="2331" spans="1:32" customFormat="1">
      <c r="A2331" s="97" t="s">
        <v>2555</v>
      </c>
      <c r="B2331" s="97" t="s">
        <v>2170</v>
      </c>
      <c r="C2331" s="95">
        <v>2410</v>
      </c>
      <c r="D2331" s="95" t="s">
        <v>2173</v>
      </c>
      <c r="E2331" s="129">
        <f>VLOOKUP($C2331,'2021-22 School Level AAFTE'!$C:$Z,11,FALSE)</f>
        <v>0.81126666666666669</v>
      </c>
      <c r="F2331" s="129" t="str">
        <f>VLOOKUP($C2331,'2021-22 School Level AAFTE'!$C:$Z,8,FALSE)</f>
        <v>Yes</v>
      </c>
      <c r="G2331" s="129" t="str">
        <f>VLOOKUP($C2331,'2021-22 School Level AAFTE'!$C:$Z,12,FALSE)</f>
        <v>No</v>
      </c>
      <c r="H2331" s="127">
        <f>VLOOKUP($C2331,'2021-22 School Level AAFTE'!$C:$I,7,FALSE)</f>
        <v>874.36</v>
      </c>
      <c r="I2331" s="112">
        <f>IFERROR(IF(OR(G2331="yes",F2331= "yes"),VLOOKUP(C2331,Summary!$B:$J,6,0),0),0)</f>
        <v>0</v>
      </c>
      <c r="J2331" s="111">
        <f t="shared" si="453"/>
        <v>874.36</v>
      </c>
      <c r="K2331" s="91">
        <f>VLOOKUP($A2331,'2022-23 Salary &amp; Benefits'!$A:$I,3,FALSE)</f>
        <v>1</v>
      </c>
      <c r="L2331" s="91">
        <f>VLOOKUP($A2331,'2022-23 Salary &amp; Benefits'!$A:$I,4,FALSE)</f>
        <v>1</v>
      </c>
      <c r="M2331" s="101">
        <f t="shared" si="448"/>
        <v>874.36</v>
      </c>
      <c r="N2331" s="24">
        <v>15</v>
      </c>
      <c r="O2331" s="26">
        <f t="shared" si="451"/>
        <v>58.290666666666667</v>
      </c>
      <c r="P2331" s="24">
        <v>1.1000000000000001</v>
      </c>
      <c r="Q2331" s="24">
        <v>36</v>
      </c>
      <c r="R2331" s="27">
        <f t="shared" si="452"/>
        <v>2308.3104000000003</v>
      </c>
      <c r="S2331" s="102">
        <f t="shared" si="454"/>
        <v>2.5649999999999999</v>
      </c>
      <c r="T2331" s="21">
        <f>VLOOKUP($A2331,'2022-23 Salary &amp; Benefits'!$A:$I,5,FALSE)</f>
        <v>68937</v>
      </c>
      <c r="U2331" s="21">
        <f>VLOOKUP($A2331,'2022-23 Salary &amp; Benefits'!$A:$I,6,FALSE)</f>
        <v>72728</v>
      </c>
      <c r="V2331" s="22">
        <f t="shared" si="455"/>
        <v>176823.41</v>
      </c>
      <c r="W2331" s="22">
        <f t="shared" si="456"/>
        <v>9723.9100000000035</v>
      </c>
      <c r="X2331" s="22">
        <f>'2022-23 Salary &amp; Benefits'!$G$6</f>
        <v>12558.24</v>
      </c>
      <c r="Y2331" s="23">
        <f>'2022-23 Salary &amp; Benefits'!$H$6</f>
        <v>0.2298</v>
      </c>
      <c r="Z2331" s="23">
        <f>'2022-23 Salary &amp; Benefits'!$I$6</f>
        <v>0.22339999999999999</v>
      </c>
      <c r="AA2331" s="22">
        <f t="shared" si="457"/>
        <v>75018.23</v>
      </c>
      <c r="AB2331" s="22">
        <f t="shared" si="458"/>
        <v>3109.12</v>
      </c>
      <c r="AC2331" s="22">
        <f t="shared" si="459"/>
        <v>694.58</v>
      </c>
      <c r="AD2331" s="22">
        <f t="shared" si="449"/>
        <v>3803.7</v>
      </c>
      <c r="AE2331" s="22">
        <f t="shared" si="450"/>
        <v>265369.25</v>
      </c>
      <c r="AF2331" s="19" t="str">
        <f>VLOOKUP(C2331,'2021-22 School Level AAFTE'!C:N,12,FALSE)</f>
        <v>No</v>
      </c>
    </row>
    <row r="2332" spans="1:32" customFormat="1">
      <c r="A2332" s="97" t="s">
        <v>2555</v>
      </c>
      <c r="B2332" s="97" t="s">
        <v>2170</v>
      </c>
      <c r="C2332" s="95">
        <v>2433</v>
      </c>
      <c r="D2332" s="95" t="s">
        <v>1797</v>
      </c>
      <c r="E2332" s="129">
        <f>VLOOKUP($C2332,'2021-22 School Level AAFTE'!$C:$Z,11,FALSE)</f>
        <v>0.85246666666666659</v>
      </c>
      <c r="F2332" s="129" t="str">
        <f>VLOOKUP($C2332,'2021-22 School Level AAFTE'!$C:$Z,8,FALSE)</f>
        <v>Yes</v>
      </c>
      <c r="G2332" s="129" t="str">
        <f>VLOOKUP($C2332,'2021-22 School Level AAFTE'!$C:$Z,12,FALSE)</f>
        <v>No</v>
      </c>
      <c r="H2332" s="127">
        <f>VLOOKUP($C2332,'2021-22 School Level AAFTE'!$C:$I,7,FALSE)</f>
        <v>544.71</v>
      </c>
      <c r="I2332" s="112">
        <f>IFERROR(IF(OR(G2332="yes",F2332= "yes"),VLOOKUP(C2332,Summary!$B:$J,6,0),0),0)</f>
        <v>0</v>
      </c>
      <c r="J2332" s="111">
        <f t="shared" si="453"/>
        <v>544.71</v>
      </c>
      <c r="K2332" s="91">
        <f>VLOOKUP($A2332,'2022-23 Salary &amp; Benefits'!$A:$I,3,FALSE)</f>
        <v>1</v>
      </c>
      <c r="L2332" s="91">
        <f>VLOOKUP($A2332,'2022-23 Salary &amp; Benefits'!$A:$I,4,FALSE)</f>
        <v>1</v>
      </c>
      <c r="M2332" s="101">
        <f t="shared" si="448"/>
        <v>544.71</v>
      </c>
      <c r="N2332" s="24">
        <v>15</v>
      </c>
      <c r="O2332" s="26">
        <f t="shared" si="451"/>
        <v>36.314</v>
      </c>
      <c r="P2332" s="24">
        <v>1.1000000000000001</v>
      </c>
      <c r="Q2332" s="24">
        <v>36</v>
      </c>
      <c r="R2332" s="27">
        <f t="shared" si="452"/>
        <v>1438.0344000000002</v>
      </c>
      <c r="S2332" s="102">
        <f t="shared" si="454"/>
        <v>1.5980000000000001</v>
      </c>
      <c r="T2332" s="21">
        <f>VLOOKUP($A2332,'2022-23 Salary &amp; Benefits'!$A:$I,5,FALSE)</f>
        <v>68937</v>
      </c>
      <c r="U2332" s="21">
        <f>VLOOKUP($A2332,'2022-23 Salary &amp; Benefits'!$A:$I,6,FALSE)</f>
        <v>72728</v>
      </c>
      <c r="V2332" s="22">
        <f t="shared" si="455"/>
        <v>110161.33</v>
      </c>
      <c r="W2332" s="22">
        <f t="shared" si="456"/>
        <v>6058.0099999999948</v>
      </c>
      <c r="X2332" s="22">
        <f>'2022-23 Salary &amp; Benefits'!$G$6</f>
        <v>12558.24</v>
      </c>
      <c r="Y2332" s="23">
        <f>'2022-23 Salary &amp; Benefits'!$H$6</f>
        <v>0.2298</v>
      </c>
      <c r="Z2332" s="23">
        <f>'2022-23 Salary &amp; Benefits'!$I$6</f>
        <v>0.22339999999999999</v>
      </c>
      <c r="AA2332" s="22">
        <f t="shared" si="457"/>
        <v>46736.5</v>
      </c>
      <c r="AB2332" s="22">
        <f t="shared" si="458"/>
        <v>1936.99</v>
      </c>
      <c r="AC2332" s="22">
        <f t="shared" si="459"/>
        <v>432.72</v>
      </c>
      <c r="AD2332" s="22">
        <f t="shared" si="449"/>
        <v>2369.71</v>
      </c>
      <c r="AE2332" s="22">
        <f t="shared" si="450"/>
        <v>165325.55000000002</v>
      </c>
      <c r="AF2332" s="19" t="str">
        <f>VLOOKUP(C2332,'2021-22 School Level AAFTE'!C:N,12,FALSE)</f>
        <v>No</v>
      </c>
    </row>
    <row r="2333" spans="1:32" customFormat="1">
      <c r="A2333" s="97" t="s">
        <v>2555</v>
      </c>
      <c r="B2333" s="97" t="s">
        <v>2170</v>
      </c>
      <c r="C2333" s="95">
        <v>2529</v>
      </c>
      <c r="D2333" s="95" t="s">
        <v>144</v>
      </c>
      <c r="E2333" s="129">
        <f>VLOOKUP($C2333,'2021-22 School Level AAFTE'!$C:$Z,11,FALSE)</f>
        <v>0.80483333333333329</v>
      </c>
      <c r="F2333" s="129" t="str">
        <f>VLOOKUP($C2333,'2021-22 School Level AAFTE'!$C:$Z,8,FALSE)</f>
        <v>Yes</v>
      </c>
      <c r="G2333" s="129" t="str">
        <f>VLOOKUP($C2333,'2021-22 School Level AAFTE'!$C:$Z,12,FALSE)</f>
        <v>No</v>
      </c>
      <c r="H2333" s="127">
        <f>VLOOKUP($C2333,'2021-22 School Level AAFTE'!$C:$I,7,FALSE)</f>
        <v>469.71</v>
      </c>
      <c r="I2333" s="112">
        <f>IFERROR(IF(OR(G2333="yes",F2333= "yes"),VLOOKUP(C2333,Summary!$B:$J,6,0),0),0)</f>
        <v>0</v>
      </c>
      <c r="J2333" s="111">
        <f t="shared" si="453"/>
        <v>469.71</v>
      </c>
      <c r="K2333" s="91">
        <f>VLOOKUP($A2333,'2022-23 Salary &amp; Benefits'!$A:$I,3,FALSE)</f>
        <v>1</v>
      </c>
      <c r="L2333" s="91">
        <f>VLOOKUP($A2333,'2022-23 Salary &amp; Benefits'!$A:$I,4,FALSE)</f>
        <v>1</v>
      </c>
      <c r="M2333" s="101">
        <f t="shared" si="448"/>
        <v>469.71</v>
      </c>
      <c r="N2333" s="24">
        <v>15</v>
      </c>
      <c r="O2333" s="26">
        <f t="shared" si="451"/>
        <v>31.314</v>
      </c>
      <c r="P2333" s="24">
        <v>1.1000000000000001</v>
      </c>
      <c r="Q2333" s="24">
        <v>36</v>
      </c>
      <c r="R2333" s="27">
        <f t="shared" si="452"/>
        <v>1240.0344</v>
      </c>
      <c r="S2333" s="102">
        <f t="shared" si="454"/>
        <v>1.3779999999999999</v>
      </c>
      <c r="T2333" s="21">
        <f>VLOOKUP($A2333,'2022-23 Salary &amp; Benefits'!$A:$I,5,FALSE)</f>
        <v>68937</v>
      </c>
      <c r="U2333" s="21">
        <f>VLOOKUP($A2333,'2022-23 Salary &amp; Benefits'!$A:$I,6,FALSE)</f>
        <v>72728</v>
      </c>
      <c r="V2333" s="22">
        <f t="shared" si="455"/>
        <v>94995.19</v>
      </c>
      <c r="W2333" s="22">
        <f t="shared" si="456"/>
        <v>5223.9899999999907</v>
      </c>
      <c r="X2333" s="22">
        <f>'2022-23 Salary &amp; Benefits'!$G$6</f>
        <v>12558.24</v>
      </c>
      <c r="Y2333" s="23">
        <f>'2022-23 Salary &amp; Benefits'!$H$6</f>
        <v>0.2298</v>
      </c>
      <c r="Z2333" s="23">
        <f>'2022-23 Salary &amp; Benefits'!$I$6</f>
        <v>0.22339999999999999</v>
      </c>
      <c r="AA2333" s="22">
        <f t="shared" si="457"/>
        <v>40302.19</v>
      </c>
      <c r="AB2333" s="22">
        <f t="shared" si="458"/>
        <v>1670.32</v>
      </c>
      <c r="AC2333" s="22">
        <f t="shared" si="459"/>
        <v>373.15</v>
      </c>
      <c r="AD2333" s="22">
        <f t="shared" si="449"/>
        <v>2043.4699999999998</v>
      </c>
      <c r="AE2333" s="22">
        <f t="shared" si="450"/>
        <v>142564.84</v>
      </c>
      <c r="AF2333" s="19" t="str">
        <f>VLOOKUP(C2333,'2021-22 School Level AAFTE'!C:N,12,FALSE)</f>
        <v>No</v>
      </c>
    </row>
    <row r="2334" spans="1:32" customFormat="1">
      <c r="A2334" s="97" t="s">
        <v>2555</v>
      </c>
      <c r="B2334" s="97" t="s">
        <v>2170</v>
      </c>
      <c r="C2334" s="95">
        <v>2592</v>
      </c>
      <c r="D2334" s="95" t="s">
        <v>567</v>
      </c>
      <c r="E2334" s="129">
        <f>VLOOKUP($C2334,'2021-22 School Level AAFTE'!$C:$Z,11,FALSE)</f>
        <v>0.90700000000000003</v>
      </c>
      <c r="F2334" s="129" t="str">
        <f>VLOOKUP($C2334,'2021-22 School Level AAFTE'!$C:$Z,8,FALSE)</f>
        <v>Yes</v>
      </c>
      <c r="G2334" s="129" t="str">
        <f>VLOOKUP($C2334,'2021-22 School Level AAFTE'!$C:$Z,12,FALSE)</f>
        <v>No</v>
      </c>
      <c r="H2334" s="127">
        <f>VLOOKUP($C2334,'2021-22 School Level AAFTE'!$C:$I,7,FALSE)</f>
        <v>632.42999999999995</v>
      </c>
      <c r="I2334" s="112">
        <f>IFERROR(IF(OR(G2334="yes",F2334= "yes"),VLOOKUP(C2334,Summary!$B:$J,6,0),0),0)</f>
        <v>0</v>
      </c>
      <c r="J2334" s="111">
        <f t="shared" si="453"/>
        <v>632.42999999999995</v>
      </c>
      <c r="K2334" s="91">
        <f>VLOOKUP($A2334,'2022-23 Salary &amp; Benefits'!$A:$I,3,FALSE)</f>
        <v>1</v>
      </c>
      <c r="L2334" s="91">
        <f>VLOOKUP($A2334,'2022-23 Salary &amp; Benefits'!$A:$I,4,FALSE)</f>
        <v>1</v>
      </c>
      <c r="M2334" s="101">
        <f t="shared" si="448"/>
        <v>632.42999999999995</v>
      </c>
      <c r="N2334" s="24">
        <v>15</v>
      </c>
      <c r="O2334" s="26">
        <f t="shared" si="451"/>
        <v>42.161999999999999</v>
      </c>
      <c r="P2334" s="24">
        <v>1.1000000000000001</v>
      </c>
      <c r="Q2334" s="24">
        <v>36</v>
      </c>
      <c r="R2334" s="27">
        <f t="shared" si="452"/>
        <v>1669.6152</v>
      </c>
      <c r="S2334" s="102">
        <f t="shared" si="454"/>
        <v>1.855</v>
      </c>
      <c r="T2334" s="21">
        <f>VLOOKUP($A2334,'2022-23 Salary &amp; Benefits'!$A:$I,5,FALSE)</f>
        <v>68937</v>
      </c>
      <c r="U2334" s="21">
        <f>VLOOKUP($A2334,'2022-23 Salary &amp; Benefits'!$A:$I,6,FALSE)</f>
        <v>72728</v>
      </c>
      <c r="V2334" s="22">
        <f t="shared" si="455"/>
        <v>127878.14</v>
      </c>
      <c r="W2334" s="22">
        <f t="shared" si="456"/>
        <v>7032.3000000000029</v>
      </c>
      <c r="X2334" s="22">
        <f>'2022-23 Salary &amp; Benefits'!$G$6</f>
        <v>12558.24</v>
      </c>
      <c r="Y2334" s="23">
        <f>'2022-23 Salary &amp; Benefits'!$H$6</f>
        <v>0.2298</v>
      </c>
      <c r="Z2334" s="23">
        <f>'2022-23 Salary &amp; Benefits'!$I$6</f>
        <v>0.22339999999999999</v>
      </c>
      <c r="AA2334" s="22">
        <f t="shared" si="457"/>
        <v>54252.95</v>
      </c>
      <c r="AB2334" s="22">
        <f t="shared" si="458"/>
        <v>2248.5100000000002</v>
      </c>
      <c r="AC2334" s="22">
        <f t="shared" si="459"/>
        <v>502.32</v>
      </c>
      <c r="AD2334" s="22">
        <f t="shared" si="449"/>
        <v>2750.8300000000004</v>
      </c>
      <c r="AE2334" s="22">
        <f t="shared" si="450"/>
        <v>191914.22</v>
      </c>
      <c r="AF2334" s="19" t="str">
        <f>VLOOKUP(C2334,'2021-22 School Level AAFTE'!C:N,12,FALSE)</f>
        <v>No</v>
      </c>
    </row>
    <row r="2335" spans="1:32" customFormat="1">
      <c r="A2335" s="56" t="s">
        <v>2555</v>
      </c>
      <c r="B2335" s="97" t="s">
        <v>2170</v>
      </c>
      <c r="C2335" s="95">
        <v>2715</v>
      </c>
      <c r="D2335" s="56" t="s">
        <v>2174</v>
      </c>
      <c r="E2335" s="129">
        <f>VLOOKUP($C2335,'2021-22 School Level AAFTE'!$C:$Z,11,FALSE)</f>
        <v>0.85350000000000004</v>
      </c>
      <c r="F2335" s="129" t="str">
        <f>VLOOKUP($C2335,'2021-22 School Level AAFTE'!$C:$Z,8,FALSE)</f>
        <v>Yes</v>
      </c>
      <c r="G2335" s="129" t="str">
        <f>VLOOKUP($C2335,'2021-22 School Level AAFTE'!$C:$Z,12,FALSE)</f>
        <v>No</v>
      </c>
      <c r="H2335" s="127">
        <f>VLOOKUP($C2335,'2021-22 School Level AAFTE'!$C:$I,7,FALSE)</f>
        <v>581.71</v>
      </c>
      <c r="I2335" s="112">
        <f>IFERROR(IF(OR(G2335="yes",F2335= "yes"),VLOOKUP(C2335,Summary!$B:$J,6,0),0),0)</f>
        <v>0</v>
      </c>
      <c r="J2335" s="111">
        <f t="shared" si="453"/>
        <v>581.71</v>
      </c>
      <c r="K2335" s="91">
        <f>VLOOKUP($A2335,'2022-23 Salary &amp; Benefits'!$A:$I,3,FALSE)</f>
        <v>1</v>
      </c>
      <c r="L2335" s="91">
        <f>VLOOKUP($A2335,'2022-23 Salary &amp; Benefits'!$A:$I,4,FALSE)</f>
        <v>1</v>
      </c>
      <c r="M2335" s="101">
        <f t="shared" si="448"/>
        <v>581.71</v>
      </c>
      <c r="N2335" s="24">
        <v>15</v>
      </c>
      <c r="O2335" s="26">
        <f t="shared" si="451"/>
        <v>38.780666666666669</v>
      </c>
      <c r="P2335" s="24">
        <v>1.1000000000000001</v>
      </c>
      <c r="Q2335" s="24">
        <v>36</v>
      </c>
      <c r="R2335" s="27">
        <f t="shared" si="452"/>
        <v>1535.7144000000001</v>
      </c>
      <c r="S2335" s="102">
        <f t="shared" si="454"/>
        <v>1.706</v>
      </c>
      <c r="T2335" s="21">
        <f>VLOOKUP($A2335,'2022-23 Salary &amp; Benefits'!$A:$I,5,FALSE)</f>
        <v>68937</v>
      </c>
      <c r="U2335" s="21">
        <f>VLOOKUP($A2335,'2022-23 Salary &amp; Benefits'!$A:$I,6,FALSE)</f>
        <v>72728</v>
      </c>
      <c r="V2335" s="22">
        <f t="shared" si="455"/>
        <v>117606.52</v>
      </c>
      <c r="W2335" s="22">
        <f t="shared" si="456"/>
        <v>6467.4499999999971</v>
      </c>
      <c r="X2335" s="22">
        <f>'2022-23 Salary &amp; Benefits'!$G$6</f>
        <v>12558.24</v>
      </c>
      <c r="Y2335" s="23">
        <f>'2022-23 Salary &amp; Benefits'!$H$6</f>
        <v>0.2298</v>
      </c>
      <c r="Z2335" s="23">
        <f>'2022-23 Salary &amp; Benefits'!$I$6</f>
        <v>0.22339999999999999</v>
      </c>
      <c r="AA2335" s="22">
        <f t="shared" si="457"/>
        <v>49895.16</v>
      </c>
      <c r="AB2335" s="22">
        <f t="shared" si="458"/>
        <v>2067.9</v>
      </c>
      <c r="AC2335" s="22">
        <f t="shared" si="459"/>
        <v>461.97</v>
      </c>
      <c r="AD2335" s="22">
        <f t="shared" si="449"/>
        <v>2529.87</v>
      </c>
      <c r="AE2335" s="22">
        <f t="shared" si="450"/>
        <v>176499</v>
      </c>
      <c r="AF2335" s="19" t="str">
        <f>VLOOKUP(C2335,'2021-22 School Level AAFTE'!C:N,12,FALSE)</f>
        <v>No</v>
      </c>
    </row>
    <row r="2336" spans="1:32" customFormat="1">
      <c r="A2336" s="97" t="s">
        <v>2555</v>
      </c>
      <c r="B2336" s="97" t="s">
        <v>2170</v>
      </c>
      <c r="C2336" s="95">
        <v>2818</v>
      </c>
      <c r="D2336" s="95" t="s">
        <v>2175</v>
      </c>
      <c r="E2336" s="129">
        <f>VLOOKUP($C2336,'2021-22 School Level AAFTE'!$C:$Z,11,FALSE)</f>
        <v>0.70046666666666668</v>
      </c>
      <c r="F2336" s="129" t="str">
        <f>VLOOKUP($C2336,'2021-22 School Level AAFTE'!$C:$Z,8,FALSE)</f>
        <v>Yes</v>
      </c>
      <c r="G2336" s="129" t="str">
        <f>VLOOKUP($C2336,'2021-22 School Level AAFTE'!$C:$Z,12,FALSE)</f>
        <v>No</v>
      </c>
      <c r="H2336" s="127">
        <f>VLOOKUP($C2336,'2021-22 School Level AAFTE'!$C:$I,7,FALSE)</f>
        <v>393.14</v>
      </c>
      <c r="I2336" s="112">
        <f>IFERROR(IF(OR(G2336="yes",F2336= "yes"),VLOOKUP(C2336,Summary!$B:$J,6,0),0),0)</f>
        <v>0</v>
      </c>
      <c r="J2336" s="111">
        <f t="shared" si="453"/>
        <v>393.14</v>
      </c>
      <c r="K2336" s="91">
        <f>VLOOKUP($A2336,'2022-23 Salary &amp; Benefits'!$A:$I,3,FALSE)</f>
        <v>1</v>
      </c>
      <c r="L2336" s="91">
        <f>VLOOKUP($A2336,'2022-23 Salary &amp; Benefits'!$A:$I,4,FALSE)</f>
        <v>1</v>
      </c>
      <c r="M2336" s="101">
        <f t="shared" si="448"/>
        <v>393.14</v>
      </c>
      <c r="N2336" s="24">
        <v>15</v>
      </c>
      <c r="O2336" s="26">
        <f t="shared" si="451"/>
        <v>26.209333333333333</v>
      </c>
      <c r="P2336" s="24">
        <v>1.1000000000000001</v>
      </c>
      <c r="Q2336" s="24">
        <v>36</v>
      </c>
      <c r="R2336" s="27">
        <f t="shared" si="452"/>
        <v>1037.8896000000002</v>
      </c>
      <c r="S2336" s="102">
        <f t="shared" si="454"/>
        <v>1.153</v>
      </c>
      <c r="T2336" s="21">
        <f>VLOOKUP($A2336,'2022-23 Salary &amp; Benefits'!$A:$I,5,FALSE)</f>
        <v>68937</v>
      </c>
      <c r="U2336" s="21">
        <f>VLOOKUP($A2336,'2022-23 Salary &amp; Benefits'!$A:$I,6,FALSE)</f>
        <v>72728</v>
      </c>
      <c r="V2336" s="22">
        <f t="shared" si="455"/>
        <v>79484.36</v>
      </c>
      <c r="W2336" s="22">
        <f t="shared" si="456"/>
        <v>4371.0200000000041</v>
      </c>
      <c r="X2336" s="22">
        <f>'2022-23 Salary &amp; Benefits'!$G$6</f>
        <v>12558.24</v>
      </c>
      <c r="Y2336" s="23">
        <f>'2022-23 Salary &amp; Benefits'!$H$6</f>
        <v>0.2298</v>
      </c>
      <c r="Z2336" s="23">
        <f>'2022-23 Salary &amp; Benefits'!$I$6</f>
        <v>0.22339999999999999</v>
      </c>
      <c r="AA2336" s="22">
        <f t="shared" si="457"/>
        <v>33721.64</v>
      </c>
      <c r="AB2336" s="22">
        <f t="shared" si="458"/>
        <v>1397.59</v>
      </c>
      <c r="AC2336" s="22">
        <f t="shared" si="459"/>
        <v>312.22000000000003</v>
      </c>
      <c r="AD2336" s="22">
        <f t="shared" si="449"/>
        <v>1709.81</v>
      </c>
      <c r="AE2336" s="22">
        <f t="shared" si="450"/>
        <v>119286.83</v>
      </c>
      <c r="AF2336" s="19" t="str">
        <f>VLOOKUP(C2336,'2021-22 School Level AAFTE'!C:N,12,FALSE)</f>
        <v>No</v>
      </c>
    </row>
    <row r="2337" spans="1:32" customFormat="1">
      <c r="A2337" s="97" t="s">
        <v>2555</v>
      </c>
      <c r="B2337" s="97" t="s">
        <v>2170</v>
      </c>
      <c r="C2337" s="95">
        <v>2819</v>
      </c>
      <c r="D2337" s="95" t="s">
        <v>2176</v>
      </c>
      <c r="E2337" s="129">
        <f>VLOOKUP($C2337,'2021-22 School Level AAFTE'!$C:$Z,11,FALSE)</f>
        <v>0.60733333333333328</v>
      </c>
      <c r="F2337" s="129" t="str">
        <f>VLOOKUP($C2337,'2021-22 School Level AAFTE'!$C:$Z,8,FALSE)</f>
        <v>Yes</v>
      </c>
      <c r="G2337" s="129" t="str">
        <f>VLOOKUP($C2337,'2021-22 School Level AAFTE'!$C:$Z,12,FALSE)</f>
        <v>No</v>
      </c>
      <c r="H2337" s="127">
        <f>VLOOKUP($C2337,'2021-22 School Level AAFTE'!$C:$I,7,FALSE)</f>
        <v>429.63</v>
      </c>
      <c r="I2337" s="112">
        <f>IFERROR(IF(OR(G2337="yes",F2337= "yes"),VLOOKUP(C2337,Summary!$B:$J,6,0),0),0)</f>
        <v>0</v>
      </c>
      <c r="J2337" s="111">
        <f t="shared" si="453"/>
        <v>429.63</v>
      </c>
      <c r="K2337" s="91">
        <f>VLOOKUP($A2337,'2022-23 Salary &amp; Benefits'!$A:$I,3,FALSE)</f>
        <v>1</v>
      </c>
      <c r="L2337" s="91">
        <f>VLOOKUP($A2337,'2022-23 Salary &amp; Benefits'!$A:$I,4,FALSE)</f>
        <v>1</v>
      </c>
      <c r="M2337" s="101">
        <f t="shared" si="448"/>
        <v>429.63</v>
      </c>
      <c r="N2337" s="24">
        <v>15</v>
      </c>
      <c r="O2337" s="26">
        <f t="shared" si="451"/>
        <v>28.641999999999999</v>
      </c>
      <c r="P2337" s="24">
        <v>1.1000000000000001</v>
      </c>
      <c r="Q2337" s="24">
        <v>36</v>
      </c>
      <c r="R2337" s="27">
        <f t="shared" si="452"/>
        <v>1134.2232000000001</v>
      </c>
      <c r="S2337" s="102">
        <f t="shared" si="454"/>
        <v>1.26</v>
      </c>
      <c r="T2337" s="21">
        <f>VLOOKUP($A2337,'2022-23 Salary &amp; Benefits'!$A:$I,5,FALSE)</f>
        <v>68937</v>
      </c>
      <c r="U2337" s="21">
        <f>VLOOKUP($A2337,'2022-23 Salary &amp; Benefits'!$A:$I,6,FALSE)</f>
        <v>72728</v>
      </c>
      <c r="V2337" s="22">
        <f t="shared" si="455"/>
        <v>86860.62</v>
      </c>
      <c r="W2337" s="22">
        <f t="shared" si="456"/>
        <v>4776.6600000000035</v>
      </c>
      <c r="X2337" s="22">
        <f>'2022-23 Salary &amp; Benefits'!$G$6</f>
        <v>12558.24</v>
      </c>
      <c r="Y2337" s="23">
        <f>'2022-23 Salary &amp; Benefits'!$H$6</f>
        <v>0.2298</v>
      </c>
      <c r="Z2337" s="23">
        <f>'2022-23 Salary &amp; Benefits'!$I$6</f>
        <v>0.22339999999999999</v>
      </c>
      <c r="AA2337" s="22">
        <f t="shared" si="457"/>
        <v>36851.06</v>
      </c>
      <c r="AB2337" s="22">
        <f t="shared" si="458"/>
        <v>1527.29</v>
      </c>
      <c r="AC2337" s="22">
        <f t="shared" si="459"/>
        <v>341.2</v>
      </c>
      <c r="AD2337" s="22">
        <f t="shared" si="449"/>
        <v>1868.49</v>
      </c>
      <c r="AE2337" s="22">
        <f t="shared" si="450"/>
        <v>130356.83</v>
      </c>
      <c r="AF2337" s="19" t="str">
        <f>VLOOKUP(C2337,'2021-22 School Level AAFTE'!C:N,12,FALSE)</f>
        <v>No</v>
      </c>
    </row>
    <row r="2338" spans="1:32" customFormat="1">
      <c r="A2338" s="97" t="s">
        <v>2555</v>
      </c>
      <c r="B2338" s="97" t="s">
        <v>2170</v>
      </c>
      <c r="C2338" s="95">
        <v>2899</v>
      </c>
      <c r="D2338" s="95" t="s">
        <v>2177</v>
      </c>
      <c r="E2338" s="129">
        <f>VLOOKUP($C2338,'2021-22 School Level AAFTE'!$C:$Z,11,FALSE)</f>
        <v>0.74153333333333338</v>
      </c>
      <c r="F2338" s="129" t="str">
        <f>VLOOKUP($C2338,'2021-22 School Level AAFTE'!$C:$Z,8,FALSE)</f>
        <v>Yes</v>
      </c>
      <c r="G2338" s="129" t="str">
        <f>VLOOKUP($C2338,'2021-22 School Level AAFTE'!$C:$Z,12,FALSE)</f>
        <v>No</v>
      </c>
      <c r="H2338" s="127">
        <f>VLOOKUP($C2338,'2021-22 School Level AAFTE'!$C:$I,7,FALSE)</f>
        <v>542.57000000000005</v>
      </c>
      <c r="I2338" s="112">
        <f>IFERROR(IF(OR(G2338="yes",F2338= "yes"),VLOOKUP(C2338,Summary!$B:$J,6,0),0),0)</f>
        <v>0</v>
      </c>
      <c r="J2338" s="111">
        <f t="shared" si="453"/>
        <v>542.57000000000005</v>
      </c>
      <c r="K2338" s="91">
        <f>VLOOKUP($A2338,'2022-23 Salary &amp; Benefits'!$A:$I,3,FALSE)</f>
        <v>1</v>
      </c>
      <c r="L2338" s="91">
        <f>VLOOKUP($A2338,'2022-23 Salary &amp; Benefits'!$A:$I,4,FALSE)</f>
        <v>1</v>
      </c>
      <c r="M2338" s="101">
        <f t="shared" si="448"/>
        <v>542.57000000000005</v>
      </c>
      <c r="N2338" s="24">
        <v>15</v>
      </c>
      <c r="O2338" s="26">
        <f t="shared" si="451"/>
        <v>36.171333333333337</v>
      </c>
      <c r="P2338" s="24">
        <v>1.1000000000000001</v>
      </c>
      <c r="Q2338" s="24">
        <v>36</v>
      </c>
      <c r="R2338" s="27">
        <f t="shared" si="452"/>
        <v>1432.3848000000003</v>
      </c>
      <c r="S2338" s="102">
        <f t="shared" si="454"/>
        <v>1.5920000000000001</v>
      </c>
      <c r="T2338" s="21">
        <f>VLOOKUP($A2338,'2022-23 Salary &amp; Benefits'!$A:$I,5,FALSE)</f>
        <v>68937</v>
      </c>
      <c r="U2338" s="21">
        <f>VLOOKUP($A2338,'2022-23 Salary &amp; Benefits'!$A:$I,6,FALSE)</f>
        <v>72728</v>
      </c>
      <c r="V2338" s="22">
        <f t="shared" si="455"/>
        <v>109747.7</v>
      </c>
      <c r="W2338" s="22">
        <f t="shared" si="456"/>
        <v>6035.2799999999988</v>
      </c>
      <c r="X2338" s="22">
        <f>'2022-23 Salary &amp; Benefits'!$G$6</f>
        <v>12558.24</v>
      </c>
      <c r="Y2338" s="23">
        <f>'2022-23 Salary &amp; Benefits'!$H$6</f>
        <v>0.2298</v>
      </c>
      <c r="Z2338" s="23">
        <f>'2022-23 Salary &amp; Benefits'!$I$6</f>
        <v>0.22339999999999999</v>
      </c>
      <c r="AA2338" s="22">
        <f t="shared" si="457"/>
        <v>46561.02</v>
      </c>
      <c r="AB2338" s="22">
        <f t="shared" si="458"/>
        <v>1929.72</v>
      </c>
      <c r="AC2338" s="22">
        <f t="shared" si="459"/>
        <v>431.1</v>
      </c>
      <c r="AD2338" s="22">
        <f t="shared" si="449"/>
        <v>2360.8200000000002</v>
      </c>
      <c r="AE2338" s="22">
        <f t="shared" si="450"/>
        <v>164704.82</v>
      </c>
      <c r="AF2338" s="19" t="str">
        <f>VLOOKUP(C2338,'2021-22 School Level AAFTE'!C:N,12,FALSE)</f>
        <v>No</v>
      </c>
    </row>
    <row r="2339" spans="1:32" customFormat="1">
      <c r="A2339" s="97" t="s">
        <v>2555</v>
      </c>
      <c r="B2339" s="97" t="s">
        <v>2170</v>
      </c>
      <c r="C2339" s="95">
        <v>3023</v>
      </c>
      <c r="D2339" s="95" t="s">
        <v>2178</v>
      </c>
      <c r="E2339" s="129">
        <f>VLOOKUP($C2339,'2021-22 School Level AAFTE'!$C:$Z,11,FALSE)</f>
        <v>0.59710000000000008</v>
      </c>
      <c r="F2339" s="129" t="str">
        <f>VLOOKUP($C2339,'2021-22 School Level AAFTE'!$C:$Z,8,FALSE)</f>
        <v>Yes</v>
      </c>
      <c r="G2339" s="129" t="str">
        <f>VLOOKUP($C2339,'2021-22 School Level AAFTE'!$C:$Z,12,FALSE)</f>
        <v>No</v>
      </c>
      <c r="H2339" s="127">
        <f>VLOOKUP($C2339,'2021-22 School Level AAFTE'!$C:$I,7,FALSE)</f>
        <v>308.29000000000002</v>
      </c>
      <c r="I2339" s="112">
        <f>IFERROR(IF(OR(G2339="yes",F2339= "yes"),VLOOKUP(C2339,Summary!$B:$J,6,0),0),0)</f>
        <v>0</v>
      </c>
      <c r="J2339" s="111">
        <f t="shared" si="453"/>
        <v>308.29000000000002</v>
      </c>
      <c r="K2339" s="91">
        <f>VLOOKUP($A2339,'2022-23 Salary &amp; Benefits'!$A:$I,3,FALSE)</f>
        <v>1</v>
      </c>
      <c r="L2339" s="91">
        <f>VLOOKUP($A2339,'2022-23 Salary &amp; Benefits'!$A:$I,4,FALSE)</f>
        <v>1</v>
      </c>
      <c r="M2339" s="101">
        <f t="shared" si="448"/>
        <v>308.29000000000002</v>
      </c>
      <c r="N2339" s="24">
        <v>15</v>
      </c>
      <c r="O2339" s="26">
        <f t="shared" si="451"/>
        <v>20.552666666666667</v>
      </c>
      <c r="P2339" s="24">
        <v>1.1000000000000001</v>
      </c>
      <c r="Q2339" s="24">
        <v>36</v>
      </c>
      <c r="R2339" s="27">
        <f t="shared" si="452"/>
        <v>813.88560000000007</v>
      </c>
      <c r="S2339" s="102">
        <f t="shared" si="454"/>
        <v>0.90400000000000003</v>
      </c>
      <c r="T2339" s="21">
        <f>VLOOKUP($A2339,'2022-23 Salary &amp; Benefits'!$A:$I,5,FALSE)</f>
        <v>68937</v>
      </c>
      <c r="U2339" s="21">
        <f>VLOOKUP($A2339,'2022-23 Salary &amp; Benefits'!$A:$I,6,FALSE)</f>
        <v>72728</v>
      </c>
      <c r="V2339" s="22">
        <f t="shared" si="455"/>
        <v>62319.05</v>
      </c>
      <c r="W2339" s="22">
        <f t="shared" si="456"/>
        <v>3427.0599999999977</v>
      </c>
      <c r="X2339" s="22">
        <f>'2022-23 Salary &amp; Benefits'!$G$6</f>
        <v>12558.24</v>
      </c>
      <c r="Y2339" s="23">
        <f>'2022-23 Salary &amp; Benefits'!$H$6</f>
        <v>0.2298</v>
      </c>
      <c r="Z2339" s="23">
        <f>'2022-23 Salary &amp; Benefits'!$I$6</f>
        <v>0.22339999999999999</v>
      </c>
      <c r="AA2339" s="22">
        <f t="shared" si="457"/>
        <v>26439.17</v>
      </c>
      <c r="AB2339" s="22">
        <f t="shared" si="458"/>
        <v>1095.77</v>
      </c>
      <c r="AC2339" s="22">
        <f t="shared" si="459"/>
        <v>244.8</v>
      </c>
      <c r="AD2339" s="22">
        <f t="shared" si="449"/>
        <v>1340.57</v>
      </c>
      <c r="AE2339" s="22">
        <f t="shared" si="450"/>
        <v>93525.85</v>
      </c>
      <c r="AF2339" s="19" t="str">
        <f>VLOOKUP(C2339,'2021-22 School Level AAFTE'!C:N,12,FALSE)</f>
        <v>No</v>
      </c>
    </row>
    <row r="2340" spans="1:32" customFormat="1">
      <c r="A2340" s="97" t="s">
        <v>2555</v>
      </c>
      <c r="B2340" s="97" t="s">
        <v>2170</v>
      </c>
      <c r="C2340" s="95">
        <v>3138</v>
      </c>
      <c r="D2340" s="95" t="s">
        <v>2179</v>
      </c>
      <c r="E2340" s="129">
        <f>VLOOKUP($C2340,'2021-22 School Level AAFTE'!$C:$Z,11,FALSE)</f>
        <v>0.91299999999999992</v>
      </c>
      <c r="F2340" s="129" t="str">
        <f>VLOOKUP($C2340,'2021-22 School Level AAFTE'!$C:$Z,8,FALSE)</f>
        <v>Yes</v>
      </c>
      <c r="G2340" s="129" t="str">
        <f>VLOOKUP($C2340,'2021-22 School Level AAFTE'!$C:$Z,12,FALSE)</f>
        <v>No</v>
      </c>
      <c r="H2340" s="127">
        <f>VLOOKUP($C2340,'2021-22 School Level AAFTE'!$C:$I,7,FALSE)</f>
        <v>521.86</v>
      </c>
      <c r="I2340" s="112">
        <f>IFERROR(IF(OR(G2340="yes",F2340= "yes"),VLOOKUP(C2340,Summary!$B:$J,6,0),0),0)</f>
        <v>0</v>
      </c>
      <c r="J2340" s="111">
        <f t="shared" si="453"/>
        <v>521.86</v>
      </c>
      <c r="K2340" s="91">
        <f>VLOOKUP($A2340,'2022-23 Salary &amp; Benefits'!$A:$I,3,FALSE)</f>
        <v>1</v>
      </c>
      <c r="L2340" s="91">
        <f>VLOOKUP($A2340,'2022-23 Salary &amp; Benefits'!$A:$I,4,FALSE)</f>
        <v>1</v>
      </c>
      <c r="M2340" s="101">
        <f t="shared" si="448"/>
        <v>521.86</v>
      </c>
      <c r="N2340" s="24">
        <v>15</v>
      </c>
      <c r="O2340" s="26">
        <f t="shared" si="451"/>
        <v>34.790666666666667</v>
      </c>
      <c r="P2340" s="24">
        <v>1.1000000000000001</v>
      </c>
      <c r="Q2340" s="24">
        <v>36</v>
      </c>
      <c r="R2340" s="27">
        <f t="shared" si="452"/>
        <v>1377.7103999999999</v>
      </c>
      <c r="S2340" s="102">
        <f t="shared" si="454"/>
        <v>1.5309999999999999</v>
      </c>
      <c r="T2340" s="21">
        <f>VLOOKUP($A2340,'2022-23 Salary &amp; Benefits'!$A:$I,5,FALSE)</f>
        <v>68937</v>
      </c>
      <c r="U2340" s="21">
        <f>VLOOKUP($A2340,'2022-23 Salary &amp; Benefits'!$A:$I,6,FALSE)</f>
        <v>72728</v>
      </c>
      <c r="V2340" s="22">
        <f t="shared" si="455"/>
        <v>105542.55</v>
      </c>
      <c r="W2340" s="22">
        <f t="shared" si="456"/>
        <v>5804.0200000000041</v>
      </c>
      <c r="X2340" s="22">
        <f>'2022-23 Salary &amp; Benefits'!$G$6</f>
        <v>12558.24</v>
      </c>
      <c r="Y2340" s="23">
        <f>'2022-23 Salary &amp; Benefits'!$H$6</f>
        <v>0.2298</v>
      </c>
      <c r="Z2340" s="23">
        <f>'2022-23 Salary &amp; Benefits'!$I$6</f>
        <v>0.22339999999999999</v>
      </c>
      <c r="AA2340" s="22">
        <f t="shared" si="457"/>
        <v>44776.959999999999</v>
      </c>
      <c r="AB2340" s="22">
        <f t="shared" si="458"/>
        <v>1855.78</v>
      </c>
      <c r="AC2340" s="22">
        <f t="shared" si="459"/>
        <v>414.58</v>
      </c>
      <c r="AD2340" s="22">
        <f t="shared" si="449"/>
        <v>2270.36</v>
      </c>
      <c r="AE2340" s="22">
        <f t="shared" si="450"/>
        <v>158393.89000000001</v>
      </c>
      <c r="AF2340" s="19" t="str">
        <f>VLOOKUP(C2340,'2021-22 School Level AAFTE'!C:N,12,FALSE)</f>
        <v>No</v>
      </c>
    </row>
    <row r="2341" spans="1:32" customFormat="1">
      <c r="A2341" s="97" t="s">
        <v>2555</v>
      </c>
      <c r="B2341" s="97" t="s">
        <v>2170</v>
      </c>
      <c r="C2341" s="95">
        <v>3206</v>
      </c>
      <c r="D2341" s="95" t="s">
        <v>2180</v>
      </c>
      <c r="E2341" s="129">
        <f>VLOOKUP($C2341,'2021-22 School Level AAFTE'!$C:$Z,11,FALSE)</f>
        <v>0.72286666666666666</v>
      </c>
      <c r="F2341" s="129" t="str">
        <f>VLOOKUP($C2341,'2021-22 School Level AAFTE'!$C:$Z,8,FALSE)</f>
        <v>Yes</v>
      </c>
      <c r="G2341" s="129" t="str">
        <f>VLOOKUP($C2341,'2021-22 School Level AAFTE'!$C:$Z,12,FALSE)</f>
        <v>No</v>
      </c>
      <c r="H2341" s="127">
        <f>VLOOKUP($C2341,'2021-22 School Level AAFTE'!$C:$I,7,FALSE)</f>
        <v>1942.97</v>
      </c>
      <c r="I2341" s="112">
        <f>IFERROR(IF(OR(G2341="yes",F2341= "yes"),VLOOKUP(C2341,Summary!$B:$J,6,0),0),0)</f>
        <v>0</v>
      </c>
      <c r="J2341" s="111">
        <f t="shared" si="453"/>
        <v>1942.97</v>
      </c>
      <c r="K2341" s="91">
        <f>VLOOKUP($A2341,'2022-23 Salary &amp; Benefits'!$A:$I,3,FALSE)</f>
        <v>1</v>
      </c>
      <c r="L2341" s="91">
        <f>VLOOKUP($A2341,'2022-23 Salary &amp; Benefits'!$A:$I,4,FALSE)</f>
        <v>1</v>
      </c>
      <c r="M2341" s="101">
        <f t="shared" si="448"/>
        <v>1942.97</v>
      </c>
      <c r="N2341" s="24">
        <v>15</v>
      </c>
      <c r="O2341" s="26">
        <f t="shared" si="451"/>
        <v>129.53133333333332</v>
      </c>
      <c r="P2341" s="24">
        <v>1.1000000000000001</v>
      </c>
      <c r="Q2341" s="24">
        <v>36</v>
      </c>
      <c r="R2341" s="27">
        <f t="shared" si="452"/>
        <v>5129.4408000000003</v>
      </c>
      <c r="S2341" s="102">
        <f t="shared" si="454"/>
        <v>5.6989999999999998</v>
      </c>
      <c r="T2341" s="21">
        <f>VLOOKUP($A2341,'2022-23 Salary &amp; Benefits'!$A:$I,5,FALSE)</f>
        <v>68937</v>
      </c>
      <c r="U2341" s="21">
        <f>VLOOKUP($A2341,'2022-23 Salary &amp; Benefits'!$A:$I,6,FALSE)</f>
        <v>72728</v>
      </c>
      <c r="V2341" s="22">
        <f t="shared" si="455"/>
        <v>392871.96</v>
      </c>
      <c r="W2341" s="22">
        <f t="shared" si="456"/>
        <v>21604.909999999974</v>
      </c>
      <c r="X2341" s="22">
        <f>'2022-23 Salary &amp; Benefits'!$G$6</f>
        <v>12558.24</v>
      </c>
      <c r="Y2341" s="23">
        <f>'2022-23 Salary &amp; Benefits'!$H$6</f>
        <v>0.2298</v>
      </c>
      <c r="Z2341" s="23">
        <f>'2022-23 Salary &amp; Benefits'!$I$6</f>
        <v>0.22339999999999999</v>
      </c>
      <c r="AA2341" s="22">
        <f t="shared" si="457"/>
        <v>166677.92000000001</v>
      </c>
      <c r="AB2341" s="22">
        <f t="shared" si="458"/>
        <v>6907.95</v>
      </c>
      <c r="AC2341" s="22">
        <f t="shared" si="459"/>
        <v>1543.24</v>
      </c>
      <c r="AD2341" s="22">
        <f t="shared" si="449"/>
        <v>8451.19</v>
      </c>
      <c r="AE2341" s="22">
        <f t="shared" si="450"/>
        <v>589605.98</v>
      </c>
      <c r="AF2341" s="19" t="str">
        <f>VLOOKUP(C2341,'2021-22 School Level AAFTE'!C:N,12,FALSE)</f>
        <v>No</v>
      </c>
    </row>
    <row r="2342" spans="1:32" customFormat="1">
      <c r="A2342" s="97" t="s">
        <v>2555</v>
      </c>
      <c r="B2342" s="97" t="s">
        <v>2170</v>
      </c>
      <c r="C2342" s="95">
        <v>3264</v>
      </c>
      <c r="D2342" s="95" t="s">
        <v>2181</v>
      </c>
      <c r="E2342" s="129">
        <f>VLOOKUP($C2342,'2021-22 School Level AAFTE'!$C:$Z,11,FALSE)</f>
        <v>0.76249999999999984</v>
      </c>
      <c r="F2342" s="129" t="str">
        <f>VLOOKUP($C2342,'2021-22 School Level AAFTE'!$C:$Z,8,FALSE)</f>
        <v>Yes</v>
      </c>
      <c r="G2342" s="129" t="str">
        <f>VLOOKUP($C2342,'2021-22 School Level AAFTE'!$C:$Z,12,FALSE)</f>
        <v>No</v>
      </c>
      <c r="H2342" s="127">
        <f>VLOOKUP($C2342,'2021-22 School Level AAFTE'!$C:$I,7,FALSE)</f>
        <v>452.17</v>
      </c>
      <c r="I2342" s="112">
        <f>IFERROR(IF(OR(G2342="yes",F2342= "yes"),VLOOKUP(C2342,Summary!$B:$J,6,0),0),0)</f>
        <v>0</v>
      </c>
      <c r="J2342" s="111">
        <f t="shared" si="453"/>
        <v>452.17</v>
      </c>
      <c r="K2342" s="91">
        <f>VLOOKUP($A2342,'2022-23 Salary &amp; Benefits'!$A:$I,3,FALSE)</f>
        <v>1</v>
      </c>
      <c r="L2342" s="91">
        <f>VLOOKUP($A2342,'2022-23 Salary &amp; Benefits'!$A:$I,4,FALSE)</f>
        <v>1</v>
      </c>
      <c r="M2342" s="101">
        <f t="shared" si="448"/>
        <v>452.17</v>
      </c>
      <c r="N2342" s="24">
        <v>15</v>
      </c>
      <c r="O2342" s="26">
        <f t="shared" si="451"/>
        <v>30.144666666666669</v>
      </c>
      <c r="P2342" s="24">
        <v>1.1000000000000001</v>
      </c>
      <c r="Q2342" s="24">
        <v>36</v>
      </c>
      <c r="R2342" s="27">
        <f t="shared" si="452"/>
        <v>1193.7288000000001</v>
      </c>
      <c r="S2342" s="102">
        <f t="shared" si="454"/>
        <v>1.3260000000000001</v>
      </c>
      <c r="T2342" s="21">
        <f>VLOOKUP($A2342,'2022-23 Salary &amp; Benefits'!$A:$I,5,FALSE)</f>
        <v>68937</v>
      </c>
      <c r="U2342" s="21">
        <f>VLOOKUP($A2342,'2022-23 Salary &amp; Benefits'!$A:$I,6,FALSE)</f>
        <v>72728</v>
      </c>
      <c r="V2342" s="22">
        <f t="shared" si="455"/>
        <v>91410.46</v>
      </c>
      <c r="W2342" s="22">
        <f t="shared" si="456"/>
        <v>5026.8699999999953</v>
      </c>
      <c r="X2342" s="22">
        <f>'2022-23 Salary &amp; Benefits'!$G$6</f>
        <v>12558.24</v>
      </c>
      <c r="Y2342" s="23">
        <f>'2022-23 Salary &amp; Benefits'!$H$6</f>
        <v>0.2298</v>
      </c>
      <c r="Z2342" s="23">
        <f>'2022-23 Salary &amp; Benefits'!$I$6</f>
        <v>0.22339999999999999</v>
      </c>
      <c r="AA2342" s="22">
        <f t="shared" si="457"/>
        <v>38781.35</v>
      </c>
      <c r="AB2342" s="22">
        <f t="shared" si="458"/>
        <v>1607.29</v>
      </c>
      <c r="AC2342" s="22">
        <f t="shared" si="459"/>
        <v>359.07</v>
      </c>
      <c r="AD2342" s="22">
        <f t="shared" si="449"/>
        <v>1966.36</v>
      </c>
      <c r="AE2342" s="22">
        <f t="shared" si="450"/>
        <v>137185.03999999998</v>
      </c>
      <c r="AF2342" s="19" t="str">
        <f>VLOOKUP(C2342,'2021-22 School Level AAFTE'!C:N,12,FALSE)</f>
        <v>No</v>
      </c>
    </row>
    <row r="2343" spans="1:32" customFormat="1">
      <c r="A2343" s="97" t="s">
        <v>2555</v>
      </c>
      <c r="B2343" s="97" t="s">
        <v>2170</v>
      </c>
      <c r="C2343" s="95">
        <v>3312</v>
      </c>
      <c r="D2343" s="95" t="s">
        <v>2182</v>
      </c>
      <c r="E2343" s="129">
        <f>VLOOKUP($C2343,'2021-22 School Level AAFTE'!$C:$Z,11,FALSE)</f>
        <v>0.64826666666666666</v>
      </c>
      <c r="F2343" s="129" t="str">
        <f>VLOOKUP($C2343,'2021-22 School Level AAFTE'!$C:$Z,8,FALSE)</f>
        <v>Yes</v>
      </c>
      <c r="G2343" s="129" t="str">
        <f>VLOOKUP($C2343,'2021-22 School Level AAFTE'!$C:$Z,12,FALSE)</f>
        <v>No</v>
      </c>
      <c r="H2343" s="127">
        <f>VLOOKUP($C2343,'2021-22 School Level AAFTE'!$C:$I,7,FALSE)</f>
        <v>404</v>
      </c>
      <c r="I2343" s="112">
        <f>IFERROR(IF(OR(G2343="yes",F2343= "yes"),VLOOKUP(C2343,Summary!$B:$J,6,0),0),0)</f>
        <v>0</v>
      </c>
      <c r="J2343" s="111">
        <f t="shared" si="453"/>
        <v>404</v>
      </c>
      <c r="K2343" s="91">
        <f>VLOOKUP($A2343,'2022-23 Salary &amp; Benefits'!$A:$I,3,FALSE)</f>
        <v>1</v>
      </c>
      <c r="L2343" s="91">
        <f>VLOOKUP($A2343,'2022-23 Salary &amp; Benefits'!$A:$I,4,FALSE)</f>
        <v>1</v>
      </c>
      <c r="M2343" s="101">
        <f t="shared" si="448"/>
        <v>404</v>
      </c>
      <c r="N2343" s="24">
        <v>15</v>
      </c>
      <c r="O2343" s="26">
        <f t="shared" si="451"/>
        <v>26.933333333333334</v>
      </c>
      <c r="P2343" s="24">
        <v>1.1000000000000001</v>
      </c>
      <c r="Q2343" s="24">
        <v>36</v>
      </c>
      <c r="R2343" s="27">
        <f t="shared" si="452"/>
        <v>1066.5600000000002</v>
      </c>
      <c r="S2343" s="102">
        <f t="shared" si="454"/>
        <v>1.1850000000000001</v>
      </c>
      <c r="T2343" s="21">
        <f>VLOOKUP($A2343,'2022-23 Salary &amp; Benefits'!$A:$I,5,FALSE)</f>
        <v>68937</v>
      </c>
      <c r="U2343" s="21">
        <f>VLOOKUP($A2343,'2022-23 Salary &amp; Benefits'!$A:$I,6,FALSE)</f>
        <v>72728</v>
      </c>
      <c r="V2343" s="22">
        <f t="shared" si="455"/>
        <v>81690.350000000006</v>
      </c>
      <c r="W2343" s="22">
        <f t="shared" si="456"/>
        <v>4492.3299999999872</v>
      </c>
      <c r="X2343" s="22">
        <f>'2022-23 Salary &amp; Benefits'!$G$6</f>
        <v>12558.24</v>
      </c>
      <c r="Y2343" s="23">
        <f>'2022-23 Salary &amp; Benefits'!$H$6</f>
        <v>0.2298</v>
      </c>
      <c r="Z2343" s="23">
        <f>'2022-23 Salary &amp; Benefits'!$I$6</f>
        <v>0.22339999999999999</v>
      </c>
      <c r="AA2343" s="22">
        <f t="shared" si="457"/>
        <v>34657.54</v>
      </c>
      <c r="AB2343" s="22">
        <f t="shared" si="458"/>
        <v>1436.38</v>
      </c>
      <c r="AC2343" s="22">
        <f t="shared" si="459"/>
        <v>320.89</v>
      </c>
      <c r="AD2343" s="22">
        <f t="shared" si="449"/>
        <v>1757.27</v>
      </c>
      <c r="AE2343" s="22">
        <f t="shared" si="450"/>
        <v>122597.49</v>
      </c>
      <c r="AF2343" s="19" t="str">
        <f>VLOOKUP(C2343,'2021-22 School Level AAFTE'!C:N,12,FALSE)</f>
        <v>No</v>
      </c>
    </row>
    <row r="2344" spans="1:32" customFormat="1">
      <c r="A2344" s="97" t="s">
        <v>2555</v>
      </c>
      <c r="B2344" s="97" t="s">
        <v>2170</v>
      </c>
      <c r="C2344" s="95">
        <v>3368</v>
      </c>
      <c r="D2344" s="95" t="s">
        <v>2183</v>
      </c>
      <c r="E2344" s="129">
        <f>VLOOKUP($C2344,'2021-22 School Level AAFTE'!$C:$Z,11,FALSE)</f>
        <v>0.69906666666666661</v>
      </c>
      <c r="F2344" s="129" t="str">
        <f>VLOOKUP($C2344,'2021-22 School Level AAFTE'!$C:$Z,8,FALSE)</f>
        <v>Yes</v>
      </c>
      <c r="G2344" s="129" t="str">
        <f>VLOOKUP($C2344,'2021-22 School Level AAFTE'!$C:$Z,12,FALSE)</f>
        <v>No</v>
      </c>
      <c r="H2344" s="127">
        <f>VLOOKUP($C2344,'2021-22 School Level AAFTE'!$C:$I,7,FALSE)</f>
        <v>875.86</v>
      </c>
      <c r="I2344" s="112">
        <f>IFERROR(IF(OR(G2344="yes",F2344= "yes"),VLOOKUP(C2344,Summary!$B:$J,6,0),0),0)</f>
        <v>0</v>
      </c>
      <c r="J2344" s="111">
        <f t="shared" si="453"/>
        <v>875.86</v>
      </c>
      <c r="K2344" s="91">
        <f>VLOOKUP($A2344,'2022-23 Salary &amp; Benefits'!$A:$I,3,FALSE)</f>
        <v>1</v>
      </c>
      <c r="L2344" s="91">
        <f>VLOOKUP($A2344,'2022-23 Salary &amp; Benefits'!$A:$I,4,FALSE)</f>
        <v>1</v>
      </c>
      <c r="M2344" s="101">
        <f t="shared" si="448"/>
        <v>875.86</v>
      </c>
      <c r="N2344" s="24">
        <v>15</v>
      </c>
      <c r="O2344" s="26">
        <f t="shared" si="451"/>
        <v>58.390666666666668</v>
      </c>
      <c r="P2344" s="24">
        <v>1.1000000000000001</v>
      </c>
      <c r="Q2344" s="24">
        <v>36</v>
      </c>
      <c r="R2344" s="27">
        <f t="shared" si="452"/>
        <v>2312.2704000000003</v>
      </c>
      <c r="S2344" s="102">
        <f t="shared" si="454"/>
        <v>2.569</v>
      </c>
      <c r="T2344" s="21">
        <f>VLOOKUP($A2344,'2022-23 Salary &amp; Benefits'!$A:$I,5,FALSE)</f>
        <v>68937</v>
      </c>
      <c r="U2344" s="21">
        <f>VLOOKUP($A2344,'2022-23 Salary &amp; Benefits'!$A:$I,6,FALSE)</f>
        <v>72728</v>
      </c>
      <c r="V2344" s="22">
        <f t="shared" si="455"/>
        <v>177099.15</v>
      </c>
      <c r="W2344" s="22">
        <f t="shared" si="456"/>
        <v>9739.0800000000163</v>
      </c>
      <c r="X2344" s="22">
        <f>'2022-23 Salary &amp; Benefits'!$G$6</f>
        <v>12558.24</v>
      </c>
      <c r="Y2344" s="23">
        <f>'2022-23 Salary &amp; Benefits'!$H$6</f>
        <v>0.2298</v>
      </c>
      <c r="Z2344" s="23">
        <f>'2022-23 Salary &amp; Benefits'!$I$6</f>
        <v>0.22339999999999999</v>
      </c>
      <c r="AA2344" s="22">
        <f t="shared" si="457"/>
        <v>75135.210000000006</v>
      </c>
      <c r="AB2344" s="22">
        <f t="shared" si="458"/>
        <v>3113.97</v>
      </c>
      <c r="AC2344" s="22">
        <f t="shared" si="459"/>
        <v>695.66</v>
      </c>
      <c r="AD2344" s="22">
        <f t="shared" si="449"/>
        <v>3809.6299999999997</v>
      </c>
      <c r="AE2344" s="22">
        <f t="shared" si="450"/>
        <v>265783.07</v>
      </c>
      <c r="AF2344" s="19" t="str">
        <f>VLOOKUP(C2344,'2021-22 School Level AAFTE'!C:N,12,FALSE)</f>
        <v>No</v>
      </c>
    </row>
    <row r="2345" spans="1:32" customFormat="1">
      <c r="A2345" s="97" t="s">
        <v>2555</v>
      </c>
      <c r="B2345" s="97" t="s">
        <v>2170</v>
      </c>
      <c r="C2345" s="95">
        <v>3615</v>
      </c>
      <c r="D2345" s="95" t="s">
        <v>2184</v>
      </c>
      <c r="E2345" s="129">
        <f>VLOOKUP($C2345,'2021-22 School Level AAFTE'!$C:$Z,11,FALSE)</f>
        <v>0.87036666666666662</v>
      </c>
      <c r="F2345" s="129" t="str">
        <f>VLOOKUP($C2345,'2021-22 School Level AAFTE'!$C:$Z,8,FALSE)</f>
        <v>Yes</v>
      </c>
      <c r="G2345" s="129" t="str">
        <f>VLOOKUP($C2345,'2021-22 School Level AAFTE'!$C:$Z,12,FALSE)</f>
        <v>No</v>
      </c>
      <c r="H2345" s="127">
        <f>VLOOKUP($C2345,'2021-22 School Level AAFTE'!$C:$I,7,FALSE)</f>
        <v>837.24</v>
      </c>
      <c r="I2345" s="112">
        <f>IFERROR(IF(OR(G2345="yes",F2345= "yes"),VLOOKUP(C2345,Summary!$B:$J,6,0),0),0)</f>
        <v>0</v>
      </c>
      <c r="J2345" s="111">
        <f t="shared" si="453"/>
        <v>837.24</v>
      </c>
      <c r="K2345" s="91">
        <f>VLOOKUP($A2345,'2022-23 Salary &amp; Benefits'!$A:$I,3,FALSE)</f>
        <v>1</v>
      </c>
      <c r="L2345" s="91">
        <f>VLOOKUP($A2345,'2022-23 Salary &amp; Benefits'!$A:$I,4,FALSE)</f>
        <v>1</v>
      </c>
      <c r="M2345" s="101">
        <f t="shared" si="448"/>
        <v>837.24</v>
      </c>
      <c r="N2345" s="24">
        <v>15</v>
      </c>
      <c r="O2345" s="26">
        <f t="shared" si="451"/>
        <v>55.816000000000003</v>
      </c>
      <c r="P2345" s="24">
        <v>1.1000000000000001</v>
      </c>
      <c r="Q2345" s="24">
        <v>36</v>
      </c>
      <c r="R2345" s="27">
        <f t="shared" si="452"/>
        <v>2210.3136</v>
      </c>
      <c r="S2345" s="102">
        <f t="shared" si="454"/>
        <v>2.456</v>
      </c>
      <c r="T2345" s="21">
        <f>VLOOKUP($A2345,'2022-23 Salary &amp; Benefits'!$A:$I,5,FALSE)</f>
        <v>68937</v>
      </c>
      <c r="U2345" s="21">
        <f>VLOOKUP($A2345,'2022-23 Salary &amp; Benefits'!$A:$I,6,FALSE)</f>
        <v>72728</v>
      </c>
      <c r="V2345" s="22">
        <f t="shared" si="455"/>
        <v>169309.27</v>
      </c>
      <c r="W2345" s="22">
        <f t="shared" si="456"/>
        <v>9310.7000000000116</v>
      </c>
      <c r="X2345" s="22">
        <f>'2022-23 Salary &amp; Benefits'!$G$6</f>
        <v>12558.24</v>
      </c>
      <c r="Y2345" s="23">
        <f>'2022-23 Salary &amp; Benefits'!$H$6</f>
        <v>0.2298</v>
      </c>
      <c r="Z2345" s="23">
        <f>'2022-23 Salary &amp; Benefits'!$I$6</f>
        <v>0.22339999999999999</v>
      </c>
      <c r="AA2345" s="22">
        <f t="shared" si="457"/>
        <v>71830.320000000007</v>
      </c>
      <c r="AB2345" s="22">
        <f t="shared" si="458"/>
        <v>2977</v>
      </c>
      <c r="AC2345" s="22">
        <f t="shared" si="459"/>
        <v>665.06</v>
      </c>
      <c r="AD2345" s="22">
        <f t="shared" si="449"/>
        <v>3642.06</v>
      </c>
      <c r="AE2345" s="22">
        <f t="shared" si="450"/>
        <v>254092.35</v>
      </c>
      <c r="AF2345" s="19" t="str">
        <f>VLOOKUP(C2345,'2021-22 School Level AAFTE'!C:N,12,FALSE)</f>
        <v>No</v>
      </c>
    </row>
    <row r="2346" spans="1:32" customFormat="1">
      <c r="A2346" s="97" t="s">
        <v>2555</v>
      </c>
      <c r="B2346" s="97" t="s">
        <v>2170</v>
      </c>
      <c r="C2346" s="95">
        <v>3817</v>
      </c>
      <c r="D2346" s="95" t="s">
        <v>2185</v>
      </c>
      <c r="E2346" s="129">
        <f>VLOOKUP($C2346,'2021-22 School Level AAFTE'!$C:$Z,11,FALSE)</f>
        <v>0.90513333333333323</v>
      </c>
      <c r="F2346" s="129" t="str">
        <f>VLOOKUP($C2346,'2021-22 School Level AAFTE'!$C:$Z,8,FALSE)</f>
        <v>Yes</v>
      </c>
      <c r="G2346" s="129" t="str">
        <f>VLOOKUP($C2346,'2021-22 School Level AAFTE'!$C:$Z,12,FALSE)</f>
        <v>No</v>
      </c>
      <c r="H2346" s="127">
        <f>VLOOKUP($C2346,'2021-22 School Level AAFTE'!$C:$I,7,FALSE)</f>
        <v>531.29</v>
      </c>
      <c r="I2346" s="112">
        <f>IFERROR(IF(OR(G2346="yes",F2346= "yes"),VLOOKUP(C2346,Summary!$B:$J,6,0),0),0)</f>
        <v>0</v>
      </c>
      <c r="J2346" s="111">
        <f t="shared" si="453"/>
        <v>531.29</v>
      </c>
      <c r="K2346" s="91">
        <f>VLOOKUP($A2346,'2022-23 Salary &amp; Benefits'!$A:$I,3,FALSE)</f>
        <v>1</v>
      </c>
      <c r="L2346" s="91">
        <f>VLOOKUP($A2346,'2022-23 Salary &amp; Benefits'!$A:$I,4,FALSE)</f>
        <v>1</v>
      </c>
      <c r="M2346" s="101">
        <f t="shared" si="448"/>
        <v>531.29</v>
      </c>
      <c r="N2346" s="24">
        <v>15</v>
      </c>
      <c r="O2346" s="26">
        <f t="shared" si="451"/>
        <v>35.419333333333334</v>
      </c>
      <c r="P2346" s="24">
        <v>1.1000000000000001</v>
      </c>
      <c r="Q2346" s="24">
        <v>36</v>
      </c>
      <c r="R2346" s="27">
        <f t="shared" si="452"/>
        <v>1402.6056000000003</v>
      </c>
      <c r="S2346" s="102">
        <f t="shared" si="454"/>
        <v>1.5580000000000001</v>
      </c>
      <c r="T2346" s="21">
        <f>VLOOKUP($A2346,'2022-23 Salary &amp; Benefits'!$A:$I,5,FALSE)</f>
        <v>68937</v>
      </c>
      <c r="U2346" s="21">
        <f>VLOOKUP($A2346,'2022-23 Salary &amp; Benefits'!$A:$I,6,FALSE)</f>
        <v>72728</v>
      </c>
      <c r="V2346" s="22">
        <f t="shared" si="455"/>
        <v>107403.85</v>
      </c>
      <c r="W2346" s="22">
        <f t="shared" si="456"/>
        <v>5906.3699999999953</v>
      </c>
      <c r="X2346" s="22">
        <f>'2022-23 Salary &amp; Benefits'!$G$6</f>
        <v>12558.24</v>
      </c>
      <c r="Y2346" s="23">
        <f>'2022-23 Salary &amp; Benefits'!$H$6</f>
        <v>0.2298</v>
      </c>
      <c r="Z2346" s="23">
        <f>'2022-23 Salary &amp; Benefits'!$I$6</f>
        <v>0.22339999999999999</v>
      </c>
      <c r="AA2346" s="22">
        <f t="shared" si="457"/>
        <v>45566.63</v>
      </c>
      <c r="AB2346" s="22">
        <f t="shared" si="458"/>
        <v>1888.5</v>
      </c>
      <c r="AC2346" s="22">
        <f t="shared" si="459"/>
        <v>421.89</v>
      </c>
      <c r="AD2346" s="22">
        <f t="shared" si="449"/>
        <v>2310.39</v>
      </c>
      <c r="AE2346" s="22">
        <f t="shared" si="450"/>
        <v>161187.24000000002</v>
      </c>
      <c r="AF2346" s="19" t="str">
        <f>VLOOKUP(C2346,'2021-22 School Level AAFTE'!C:N,12,FALSE)</f>
        <v>No</v>
      </c>
    </row>
    <row r="2347" spans="1:32" customFormat="1">
      <c r="A2347" s="97" t="s">
        <v>2555</v>
      </c>
      <c r="B2347" s="97" t="s">
        <v>2170</v>
      </c>
      <c r="C2347" s="95">
        <v>4020</v>
      </c>
      <c r="D2347" s="95" t="s">
        <v>2983</v>
      </c>
      <c r="E2347" s="129">
        <f>VLOOKUP($C2347,'2021-22 School Level AAFTE'!$C:$Z,11,FALSE)</f>
        <v>0</v>
      </c>
      <c r="F2347" s="129" t="str">
        <f>VLOOKUP($C2347,'2021-22 School Level AAFTE'!$C:$Z,8,FALSE)</f>
        <v>No</v>
      </c>
      <c r="G2347" s="129" t="str">
        <f>VLOOKUP($C2347,'2021-22 School Level AAFTE'!$C:$Z,12,FALSE)</f>
        <v>No</v>
      </c>
      <c r="H2347" s="127">
        <f>VLOOKUP($C2347,'2021-22 School Level AAFTE'!$C:$I,7,FALSE)</f>
        <v>439.24</v>
      </c>
      <c r="I2347" s="112">
        <f>IFERROR(IF(OR(G2347="yes",F2347= "yes"),VLOOKUP(C2347,Summary!$B:$J,6,0),0),0)</f>
        <v>0</v>
      </c>
      <c r="J2347" s="111">
        <f t="shared" si="453"/>
        <v>0</v>
      </c>
      <c r="K2347" s="91">
        <f>VLOOKUP($A2347,'2022-23 Salary &amp; Benefits'!$A:$I,3,FALSE)</f>
        <v>1</v>
      </c>
      <c r="L2347" s="91">
        <f>VLOOKUP($A2347,'2022-23 Salary &amp; Benefits'!$A:$I,4,FALSE)</f>
        <v>1</v>
      </c>
      <c r="M2347" s="101">
        <f t="shared" si="448"/>
        <v>0</v>
      </c>
      <c r="N2347" s="24">
        <v>15</v>
      </c>
      <c r="O2347" s="26">
        <f t="shared" si="451"/>
        <v>0</v>
      </c>
      <c r="P2347" s="24">
        <v>1.1000000000000001</v>
      </c>
      <c r="Q2347" s="24">
        <v>36</v>
      </c>
      <c r="R2347" s="27">
        <f t="shared" si="452"/>
        <v>0</v>
      </c>
      <c r="S2347" s="102">
        <f t="shared" si="454"/>
        <v>0</v>
      </c>
      <c r="T2347" s="21">
        <f>VLOOKUP($A2347,'2022-23 Salary &amp; Benefits'!$A:$I,5,FALSE)</f>
        <v>68937</v>
      </c>
      <c r="U2347" s="21">
        <f>VLOOKUP($A2347,'2022-23 Salary &amp; Benefits'!$A:$I,6,FALSE)</f>
        <v>72728</v>
      </c>
      <c r="V2347" s="22">
        <f t="shared" si="455"/>
        <v>0</v>
      </c>
      <c r="W2347" s="22">
        <f t="shared" si="456"/>
        <v>0</v>
      </c>
      <c r="X2347" s="22">
        <f>'2022-23 Salary &amp; Benefits'!$G$6</f>
        <v>12558.24</v>
      </c>
      <c r="Y2347" s="23">
        <f>'2022-23 Salary &amp; Benefits'!$H$6</f>
        <v>0.2298</v>
      </c>
      <c r="Z2347" s="23">
        <f>'2022-23 Salary &amp; Benefits'!$I$6</f>
        <v>0.22339999999999999</v>
      </c>
      <c r="AA2347" s="22">
        <f t="shared" si="457"/>
        <v>0</v>
      </c>
      <c r="AB2347" s="22">
        <f t="shared" si="458"/>
        <v>0</v>
      </c>
      <c r="AC2347" s="22">
        <f t="shared" si="459"/>
        <v>0</v>
      </c>
      <c r="AD2347" s="22">
        <f t="shared" si="449"/>
        <v>0</v>
      </c>
      <c r="AE2347" s="22">
        <f t="shared" si="450"/>
        <v>0</v>
      </c>
      <c r="AF2347" s="19" t="str">
        <f>VLOOKUP(C2347,'2021-22 School Level AAFTE'!C:N,12,FALSE)</f>
        <v>No</v>
      </c>
    </row>
    <row r="2348" spans="1:32" customFormat="1">
      <c r="A2348" s="97" t="s">
        <v>2555</v>
      </c>
      <c r="B2348" s="97" t="s">
        <v>2170</v>
      </c>
      <c r="C2348" s="95">
        <v>4093</v>
      </c>
      <c r="D2348" s="95" t="s">
        <v>2186</v>
      </c>
      <c r="E2348" s="129">
        <f>VLOOKUP($C2348,'2021-22 School Level AAFTE'!$C:$Z,11,FALSE)</f>
        <v>0.91930000000000012</v>
      </c>
      <c r="F2348" s="129" t="str">
        <f>VLOOKUP($C2348,'2021-22 School Level AAFTE'!$C:$Z,8,FALSE)</f>
        <v>Yes</v>
      </c>
      <c r="G2348" s="129" t="str">
        <f>VLOOKUP($C2348,'2021-22 School Level AAFTE'!$C:$Z,12,FALSE)</f>
        <v>No</v>
      </c>
      <c r="H2348" s="127">
        <f>VLOOKUP($C2348,'2021-22 School Level AAFTE'!$C:$I,7,FALSE)</f>
        <v>195.3</v>
      </c>
      <c r="I2348" s="112">
        <f>IFERROR(IF(OR(G2348="yes",F2348= "yes"),VLOOKUP(C2348,Summary!$B:$J,6,0),0),0)</f>
        <v>0</v>
      </c>
      <c r="J2348" s="111">
        <f t="shared" si="453"/>
        <v>195.3</v>
      </c>
      <c r="K2348" s="91">
        <f>VLOOKUP($A2348,'2022-23 Salary &amp; Benefits'!$A:$I,3,FALSE)</f>
        <v>1</v>
      </c>
      <c r="L2348" s="91">
        <f>VLOOKUP($A2348,'2022-23 Salary &amp; Benefits'!$A:$I,4,FALSE)</f>
        <v>1</v>
      </c>
      <c r="M2348" s="101">
        <f t="shared" si="448"/>
        <v>195.3</v>
      </c>
      <c r="N2348" s="24">
        <v>15</v>
      </c>
      <c r="O2348" s="26">
        <f t="shared" si="451"/>
        <v>13.020000000000001</v>
      </c>
      <c r="P2348" s="24">
        <v>1.1000000000000001</v>
      </c>
      <c r="Q2348" s="24">
        <v>36</v>
      </c>
      <c r="R2348" s="27">
        <f t="shared" si="452"/>
        <v>515.5920000000001</v>
      </c>
      <c r="S2348" s="102">
        <f t="shared" si="454"/>
        <v>0.57299999999999995</v>
      </c>
      <c r="T2348" s="21">
        <f>VLOOKUP($A2348,'2022-23 Salary &amp; Benefits'!$A:$I,5,FALSE)</f>
        <v>68937</v>
      </c>
      <c r="U2348" s="21">
        <f>VLOOKUP($A2348,'2022-23 Salary &amp; Benefits'!$A:$I,6,FALSE)</f>
        <v>72728</v>
      </c>
      <c r="V2348" s="22">
        <f t="shared" si="455"/>
        <v>39500.9</v>
      </c>
      <c r="W2348" s="22">
        <f t="shared" si="456"/>
        <v>2172.239999999998</v>
      </c>
      <c r="X2348" s="22">
        <f>'2022-23 Salary &amp; Benefits'!$G$6</f>
        <v>12558.24</v>
      </c>
      <c r="Y2348" s="23">
        <f>'2022-23 Salary &amp; Benefits'!$H$6</f>
        <v>0.2298</v>
      </c>
      <c r="Z2348" s="23">
        <f>'2022-23 Salary &amp; Benefits'!$I$6</f>
        <v>0.22339999999999999</v>
      </c>
      <c r="AA2348" s="22">
        <f t="shared" si="457"/>
        <v>16758.46</v>
      </c>
      <c r="AB2348" s="22">
        <f t="shared" si="458"/>
        <v>694.55</v>
      </c>
      <c r="AC2348" s="22">
        <f t="shared" si="459"/>
        <v>155.16</v>
      </c>
      <c r="AD2348" s="22">
        <f t="shared" si="449"/>
        <v>849.70999999999992</v>
      </c>
      <c r="AE2348" s="22">
        <f t="shared" si="450"/>
        <v>59281.31</v>
      </c>
      <c r="AF2348" s="19" t="str">
        <f>VLOOKUP(C2348,'2021-22 School Level AAFTE'!C:N,12,FALSE)</f>
        <v>No</v>
      </c>
    </row>
    <row r="2349" spans="1:32" customFormat="1">
      <c r="A2349" s="97" t="s">
        <v>2555</v>
      </c>
      <c r="B2349" s="97" t="s">
        <v>2170</v>
      </c>
      <c r="C2349" s="95">
        <v>5153</v>
      </c>
      <c r="D2349" s="95" t="s">
        <v>2187</v>
      </c>
      <c r="E2349" s="129">
        <f>VLOOKUP($C2349,'2021-22 School Level AAFTE'!$C:$Z,11,FALSE)</f>
        <v>0.68973333333333331</v>
      </c>
      <c r="F2349" s="129" t="str">
        <f>VLOOKUP($C2349,'2021-22 School Level AAFTE'!$C:$Z,8,FALSE)</f>
        <v>Yes</v>
      </c>
      <c r="G2349" s="129" t="str">
        <f>VLOOKUP($C2349,'2021-22 School Level AAFTE'!$C:$Z,12,FALSE)</f>
        <v>No</v>
      </c>
      <c r="H2349" s="127">
        <f>VLOOKUP($C2349,'2021-22 School Level AAFTE'!$C:$I,7,FALSE)</f>
        <v>307.05</v>
      </c>
      <c r="I2349" s="112">
        <f>IFERROR(IF(OR(G2349="yes",F2349= "yes"),VLOOKUP(C2349,Summary!$B:$J,6,0),0),0)</f>
        <v>0</v>
      </c>
      <c r="J2349" s="111">
        <f t="shared" si="453"/>
        <v>307.05</v>
      </c>
      <c r="K2349" s="91">
        <f>VLOOKUP($A2349,'2022-23 Salary &amp; Benefits'!$A:$I,3,FALSE)</f>
        <v>1</v>
      </c>
      <c r="L2349" s="91">
        <f>VLOOKUP($A2349,'2022-23 Salary &amp; Benefits'!$A:$I,4,FALSE)</f>
        <v>1</v>
      </c>
      <c r="M2349" s="101">
        <f t="shared" ref="M2349:M2366" si="463">IF(I2349&gt;0,I2349,J2349)</f>
        <v>307.05</v>
      </c>
      <c r="N2349" s="24">
        <v>15</v>
      </c>
      <c r="O2349" s="26">
        <f t="shared" si="451"/>
        <v>20.470000000000002</v>
      </c>
      <c r="P2349" s="24">
        <v>1.1000000000000001</v>
      </c>
      <c r="Q2349" s="24">
        <v>36</v>
      </c>
      <c r="R2349" s="27">
        <f t="shared" si="452"/>
        <v>810.61200000000008</v>
      </c>
      <c r="S2349" s="102">
        <f t="shared" si="454"/>
        <v>0.90100000000000002</v>
      </c>
      <c r="T2349" s="21">
        <f>VLOOKUP($A2349,'2022-23 Salary &amp; Benefits'!$A:$I,5,FALSE)</f>
        <v>68937</v>
      </c>
      <c r="U2349" s="21">
        <f>VLOOKUP($A2349,'2022-23 Salary &amp; Benefits'!$A:$I,6,FALSE)</f>
        <v>72728</v>
      </c>
      <c r="V2349" s="22">
        <f t="shared" si="455"/>
        <v>62112.24</v>
      </c>
      <c r="W2349" s="22">
        <f t="shared" si="456"/>
        <v>3415.6900000000023</v>
      </c>
      <c r="X2349" s="22">
        <f>'2022-23 Salary &amp; Benefits'!$G$6</f>
        <v>12558.24</v>
      </c>
      <c r="Y2349" s="23">
        <f>'2022-23 Salary &amp; Benefits'!$H$6</f>
        <v>0.2298</v>
      </c>
      <c r="Z2349" s="23">
        <f>'2022-23 Salary &amp; Benefits'!$I$6</f>
        <v>0.22339999999999999</v>
      </c>
      <c r="AA2349" s="22">
        <f t="shared" si="457"/>
        <v>26351.43</v>
      </c>
      <c r="AB2349" s="22">
        <f t="shared" si="458"/>
        <v>1092.1300000000001</v>
      </c>
      <c r="AC2349" s="22">
        <f t="shared" si="459"/>
        <v>243.98</v>
      </c>
      <c r="AD2349" s="22">
        <f t="shared" ref="AD2349:AD2366" si="464">SUM(AB2349:AC2349)</f>
        <v>1336.1100000000001</v>
      </c>
      <c r="AE2349" s="22">
        <f t="shared" ref="AE2349:AE2366" si="465">SUM(AA2349,V2349:W2349,AD2349)</f>
        <v>93215.47</v>
      </c>
      <c r="AF2349" s="19" t="str">
        <f>VLOOKUP(C2349,'2021-22 School Level AAFTE'!C:N,12,FALSE)</f>
        <v>No</v>
      </c>
    </row>
    <row r="2350" spans="1:32" customFormat="1">
      <c r="A2350" s="56" t="s">
        <v>2555</v>
      </c>
      <c r="B2350" s="97" t="s">
        <v>2170</v>
      </c>
      <c r="C2350" s="95">
        <v>5224</v>
      </c>
      <c r="D2350" s="56" t="s">
        <v>2188</v>
      </c>
      <c r="E2350" s="129">
        <f>VLOOKUP($C2350,'2021-22 School Level AAFTE'!$C:$Z,11,FALSE)</f>
        <v>0.60239999999999994</v>
      </c>
      <c r="F2350" s="129" t="str">
        <f>VLOOKUP($C2350,'2021-22 School Level AAFTE'!$C:$Z,8,FALSE)</f>
        <v>Yes</v>
      </c>
      <c r="G2350" s="129" t="str">
        <f>VLOOKUP($C2350,'2021-22 School Level AAFTE'!$C:$Z,12,FALSE)</f>
        <v>No</v>
      </c>
      <c r="H2350" s="127">
        <f>VLOOKUP($C2350,'2021-22 School Level AAFTE'!$C:$I,7,FALSE)</f>
        <v>48.43</v>
      </c>
      <c r="I2350" s="112">
        <f>IFERROR(IF(OR(G2350="yes",F2350= "yes"),VLOOKUP(C2350,Summary!$B:$J,6,0),0),0)</f>
        <v>0</v>
      </c>
      <c r="J2350" s="111">
        <f t="shared" si="453"/>
        <v>48.43</v>
      </c>
      <c r="K2350" s="91">
        <f>VLOOKUP($A2350,'2022-23 Salary &amp; Benefits'!$A:$I,3,FALSE)</f>
        <v>1</v>
      </c>
      <c r="L2350" s="91">
        <f>VLOOKUP($A2350,'2022-23 Salary &amp; Benefits'!$A:$I,4,FALSE)</f>
        <v>1</v>
      </c>
      <c r="M2350" s="101">
        <f t="shared" si="463"/>
        <v>48.43</v>
      </c>
      <c r="N2350" s="24">
        <v>15</v>
      </c>
      <c r="O2350" s="26">
        <f t="shared" si="451"/>
        <v>3.2286666666666668</v>
      </c>
      <c r="P2350" s="24">
        <v>1.1000000000000001</v>
      </c>
      <c r="Q2350" s="24">
        <v>36</v>
      </c>
      <c r="R2350" s="27">
        <f t="shared" si="452"/>
        <v>127.85520000000002</v>
      </c>
      <c r="S2350" s="102">
        <f t="shared" si="454"/>
        <v>0.14199999999999999</v>
      </c>
      <c r="T2350" s="21">
        <f>VLOOKUP($A2350,'2022-23 Salary &amp; Benefits'!$A:$I,5,FALSE)</f>
        <v>68937</v>
      </c>
      <c r="U2350" s="21">
        <f>VLOOKUP($A2350,'2022-23 Salary &amp; Benefits'!$A:$I,6,FALSE)</f>
        <v>72728</v>
      </c>
      <c r="V2350" s="22">
        <f t="shared" si="455"/>
        <v>9789.0499999999993</v>
      </c>
      <c r="W2350" s="22">
        <f t="shared" si="456"/>
        <v>538.32999999999993</v>
      </c>
      <c r="X2350" s="22">
        <f>'2022-23 Salary &amp; Benefits'!$G$6</f>
        <v>12558.24</v>
      </c>
      <c r="Y2350" s="23">
        <f>'2022-23 Salary &amp; Benefits'!$H$6</f>
        <v>0.2298</v>
      </c>
      <c r="Z2350" s="23">
        <f>'2022-23 Salary &amp; Benefits'!$I$6</f>
        <v>0.22339999999999999</v>
      </c>
      <c r="AA2350" s="22">
        <f t="shared" si="457"/>
        <v>4153.0600000000004</v>
      </c>
      <c r="AB2350" s="22">
        <f t="shared" si="458"/>
        <v>172.12</v>
      </c>
      <c r="AC2350" s="22">
        <f t="shared" si="459"/>
        <v>38.450000000000003</v>
      </c>
      <c r="AD2350" s="22">
        <f t="shared" si="464"/>
        <v>210.57</v>
      </c>
      <c r="AE2350" s="22">
        <f t="shared" si="465"/>
        <v>14691.01</v>
      </c>
      <c r="AF2350" s="19" t="str">
        <f>VLOOKUP(C2350,'2021-22 School Level AAFTE'!C:N,12,FALSE)</f>
        <v>No</v>
      </c>
    </row>
    <row r="2351" spans="1:32" customFormat="1">
      <c r="A2351" s="56" t="s">
        <v>2555</v>
      </c>
      <c r="B2351" s="97" t="s">
        <v>2170</v>
      </c>
      <c r="C2351" s="95">
        <v>5264</v>
      </c>
      <c r="D2351" s="56" t="s">
        <v>2986</v>
      </c>
      <c r="E2351" s="129">
        <f>VLOOKUP($C2351,'2021-22 School Level AAFTE'!$C:$Z,11,FALSE)</f>
        <v>0</v>
      </c>
      <c r="F2351" s="129" t="str">
        <f>VLOOKUP($C2351,'2021-22 School Level AAFTE'!$C:$Z,8,FALSE)</f>
        <v>No</v>
      </c>
      <c r="G2351" s="129" t="str">
        <f>VLOOKUP($C2351,'2021-22 School Level AAFTE'!$C:$Z,12,FALSE)</f>
        <v>No</v>
      </c>
      <c r="H2351" s="127">
        <f>VLOOKUP($C2351,'2021-22 School Level AAFTE'!$C:$I,7,FALSE)</f>
        <v>7.0000000000000007E-2</v>
      </c>
      <c r="I2351" s="112">
        <f>IFERROR(IF(OR(G2351="yes",F2351= "yes"),VLOOKUP(C2351,Summary!$B:$J,6,0),0),0)</f>
        <v>0</v>
      </c>
      <c r="J2351" s="111">
        <f t="shared" si="453"/>
        <v>0</v>
      </c>
      <c r="K2351" s="91">
        <f>VLOOKUP($A2351,'2022-23 Salary &amp; Benefits'!$A:$I,3,FALSE)</f>
        <v>1</v>
      </c>
      <c r="L2351" s="91">
        <f>VLOOKUP($A2351,'2022-23 Salary &amp; Benefits'!$A:$I,4,FALSE)</f>
        <v>1</v>
      </c>
      <c r="M2351" s="101">
        <f t="shared" si="463"/>
        <v>0</v>
      </c>
      <c r="N2351" s="24">
        <v>15</v>
      </c>
      <c r="O2351" s="26">
        <f t="shared" si="451"/>
        <v>0</v>
      </c>
      <c r="P2351" s="24">
        <v>1.1000000000000001</v>
      </c>
      <c r="Q2351" s="24">
        <v>36</v>
      </c>
      <c r="R2351" s="27">
        <f t="shared" si="452"/>
        <v>0</v>
      </c>
      <c r="S2351" s="102">
        <f t="shared" si="454"/>
        <v>0</v>
      </c>
      <c r="T2351" s="21">
        <f>VLOOKUP($A2351,'2022-23 Salary &amp; Benefits'!$A:$I,5,FALSE)</f>
        <v>68937</v>
      </c>
      <c r="U2351" s="21">
        <f>VLOOKUP($A2351,'2022-23 Salary &amp; Benefits'!$A:$I,6,FALSE)</f>
        <v>72728</v>
      </c>
      <c r="V2351" s="22">
        <f t="shared" si="455"/>
        <v>0</v>
      </c>
      <c r="W2351" s="22">
        <f t="shared" si="456"/>
        <v>0</v>
      </c>
      <c r="X2351" s="22">
        <f>'2022-23 Salary &amp; Benefits'!$G$6</f>
        <v>12558.24</v>
      </c>
      <c r="Y2351" s="23">
        <f>'2022-23 Salary &amp; Benefits'!$H$6</f>
        <v>0.2298</v>
      </c>
      <c r="Z2351" s="23">
        <f>'2022-23 Salary &amp; Benefits'!$I$6</f>
        <v>0.22339999999999999</v>
      </c>
      <c r="AA2351" s="22">
        <f t="shared" si="457"/>
        <v>0</v>
      </c>
      <c r="AB2351" s="22">
        <f t="shared" si="458"/>
        <v>0</v>
      </c>
      <c r="AC2351" s="22">
        <f t="shared" si="459"/>
        <v>0</v>
      </c>
      <c r="AD2351" s="22">
        <f t="shared" si="464"/>
        <v>0</v>
      </c>
      <c r="AE2351" s="22">
        <f t="shared" si="465"/>
        <v>0</v>
      </c>
      <c r="AF2351" s="19" t="str">
        <f>VLOOKUP(C2351,'2021-22 School Level AAFTE'!C:N,12,FALSE)</f>
        <v>No</v>
      </c>
    </row>
    <row r="2352" spans="1:32" customFormat="1">
      <c r="A2352" s="56" t="s">
        <v>2555</v>
      </c>
      <c r="B2352" s="97" t="s">
        <v>2170</v>
      </c>
      <c r="C2352" s="95">
        <v>5355</v>
      </c>
      <c r="D2352" s="56" t="s">
        <v>2189</v>
      </c>
      <c r="E2352" s="129">
        <f>VLOOKUP($C2352,'2021-22 School Level AAFTE'!$C:$Z,11,FALSE)</f>
        <v>0.81786666666666663</v>
      </c>
      <c r="F2352" s="129" t="str">
        <f>VLOOKUP($C2352,'2021-22 School Level AAFTE'!$C:$Z,8,FALSE)</f>
        <v>Yes</v>
      </c>
      <c r="G2352" s="129" t="str">
        <f>VLOOKUP($C2352,'2021-22 School Level AAFTE'!$C:$Z,12,FALSE)</f>
        <v>No</v>
      </c>
      <c r="H2352" s="127">
        <f>VLOOKUP($C2352,'2021-22 School Level AAFTE'!$C:$I,7,FALSE)</f>
        <v>46.71</v>
      </c>
      <c r="I2352" s="112">
        <f>IFERROR(IF(OR(G2352="yes",F2352= "yes"),VLOOKUP(C2352,Summary!$B:$J,6,0),0),0)</f>
        <v>0</v>
      </c>
      <c r="J2352" s="111">
        <f t="shared" si="453"/>
        <v>46.71</v>
      </c>
      <c r="K2352" s="91">
        <f>VLOOKUP($A2352,'2022-23 Salary &amp; Benefits'!$A:$I,3,FALSE)</f>
        <v>1</v>
      </c>
      <c r="L2352" s="91">
        <f>VLOOKUP($A2352,'2022-23 Salary &amp; Benefits'!$A:$I,4,FALSE)</f>
        <v>1</v>
      </c>
      <c r="M2352" s="101">
        <f t="shared" si="463"/>
        <v>46.71</v>
      </c>
      <c r="N2352" s="24">
        <v>15</v>
      </c>
      <c r="O2352" s="26">
        <f t="shared" si="451"/>
        <v>3.1139999999999999</v>
      </c>
      <c r="P2352" s="24">
        <v>1.1000000000000001</v>
      </c>
      <c r="Q2352" s="24">
        <v>36</v>
      </c>
      <c r="R2352" s="27">
        <f t="shared" si="452"/>
        <v>123.31440000000001</v>
      </c>
      <c r="S2352" s="102">
        <f t="shared" si="454"/>
        <v>0.13700000000000001</v>
      </c>
      <c r="T2352" s="21">
        <f>VLOOKUP($A2352,'2022-23 Salary &amp; Benefits'!$A:$I,5,FALSE)</f>
        <v>68937</v>
      </c>
      <c r="U2352" s="21">
        <f>VLOOKUP($A2352,'2022-23 Salary &amp; Benefits'!$A:$I,6,FALSE)</f>
        <v>72728</v>
      </c>
      <c r="V2352" s="22">
        <f t="shared" si="455"/>
        <v>9444.3700000000008</v>
      </c>
      <c r="W2352" s="22">
        <f t="shared" si="456"/>
        <v>519.36999999999898</v>
      </c>
      <c r="X2352" s="22">
        <f>'2022-23 Salary &amp; Benefits'!$G$6</f>
        <v>12558.24</v>
      </c>
      <c r="Y2352" s="23">
        <f>'2022-23 Salary &amp; Benefits'!$H$6</f>
        <v>0.2298</v>
      </c>
      <c r="Z2352" s="23">
        <f>'2022-23 Salary &amp; Benefits'!$I$6</f>
        <v>0.22339999999999999</v>
      </c>
      <c r="AA2352" s="22">
        <f t="shared" si="457"/>
        <v>4006.82</v>
      </c>
      <c r="AB2352" s="22">
        <f t="shared" si="458"/>
        <v>166.06</v>
      </c>
      <c r="AC2352" s="22">
        <f t="shared" si="459"/>
        <v>37.1</v>
      </c>
      <c r="AD2352" s="22">
        <f t="shared" si="464"/>
        <v>203.16</v>
      </c>
      <c r="AE2352" s="22">
        <f t="shared" si="465"/>
        <v>14173.72</v>
      </c>
      <c r="AF2352" s="19" t="str">
        <f>VLOOKUP(C2352,'2021-22 School Level AAFTE'!C:N,12,FALSE)</f>
        <v>No</v>
      </c>
    </row>
    <row r="2353" spans="1:32" customFormat="1">
      <c r="A2353" s="56" t="s">
        <v>2515</v>
      </c>
      <c r="B2353" s="97" t="s">
        <v>1964</v>
      </c>
      <c r="C2353" s="95">
        <v>1627</v>
      </c>
      <c r="D2353" s="56" t="s">
        <v>1965</v>
      </c>
      <c r="E2353" s="129">
        <f>VLOOKUP($C2353,'2021-22 School Level AAFTE'!$C:$Z,11,FALSE)</f>
        <v>0.57240000000000002</v>
      </c>
      <c r="F2353" s="129" t="str">
        <f>VLOOKUP($C2353,'2021-22 School Level AAFTE'!$C:$Z,8,FALSE)</f>
        <v>Yes</v>
      </c>
      <c r="G2353" s="129" t="str">
        <f>VLOOKUP($C2353,'2021-22 School Level AAFTE'!$C:$Z,12,FALSE)</f>
        <v>No</v>
      </c>
      <c r="H2353" s="127">
        <f>VLOOKUP($C2353,'2021-22 School Level AAFTE'!$C:$I,7,FALSE)</f>
        <v>108.85000000000001</v>
      </c>
      <c r="I2353" s="112">
        <f>IFERROR(IF(OR(G2353="yes",F2353= "yes"),VLOOKUP(C2353,Summary!$B:$J,6,0),0),0)</f>
        <v>0</v>
      </c>
      <c r="J2353" s="111">
        <f t="shared" si="453"/>
        <v>108.85000000000001</v>
      </c>
      <c r="K2353" s="91">
        <f>VLOOKUP($A2353,'2022-23 Salary &amp; Benefits'!$A:$I,3,FALSE)</f>
        <v>1</v>
      </c>
      <c r="L2353" s="91">
        <f>VLOOKUP($A2353,'2022-23 Salary &amp; Benefits'!$A:$I,4,FALSE)</f>
        <v>1</v>
      </c>
      <c r="M2353" s="101">
        <f t="shared" si="463"/>
        <v>108.85000000000001</v>
      </c>
      <c r="N2353" s="24">
        <v>15</v>
      </c>
      <c r="O2353" s="26">
        <f t="shared" si="451"/>
        <v>7.2566666666666668</v>
      </c>
      <c r="P2353" s="24">
        <v>1.1000000000000001</v>
      </c>
      <c r="Q2353" s="24">
        <v>36</v>
      </c>
      <c r="R2353" s="27">
        <f t="shared" si="452"/>
        <v>287.36400000000003</v>
      </c>
      <c r="S2353" s="102">
        <f t="shared" si="454"/>
        <v>0.31900000000000001</v>
      </c>
      <c r="T2353" s="21">
        <f>VLOOKUP($A2353,'2022-23 Salary &amp; Benefits'!$A:$I,5,FALSE)</f>
        <v>68937</v>
      </c>
      <c r="U2353" s="21">
        <f>VLOOKUP($A2353,'2022-23 Salary &amp; Benefits'!$A:$I,6,FALSE)</f>
        <v>72728</v>
      </c>
      <c r="V2353" s="22">
        <f t="shared" si="455"/>
        <v>21990.9</v>
      </c>
      <c r="W2353" s="22">
        <f t="shared" si="456"/>
        <v>1209.3299999999981</v>
      </c>
      <c r="X2353" s="22">
        <f>'2022-23 Salary &amp; Benefits'!$G$6</f>
        <v>12558.24</v>
      </c>
      <c r="Y2353" s="23">
        <f>'2022-23 Salary &amp; Benefits'!$H$6</f>
        <v>0.2298</v>
      </c>
      <c r="Z2353" s="23">
        <f>'2022-23 Salary &amp; Benefits'!$I$6</f>
        <v>0.22339999999999999</v>
      </c>
      <c r="AA2353" s="22">
        <f t="shared" si="457"/>
        <v>9329.75</v>
      </c>
      <c r="AB2353" s="22">
        <f t="shared" si="458"/>
        <v>386.67</v>
      </c>
      <c r="AC2353" s="22">
        <f t="shared" si="459"/>
        <v>86.38</v>
      </c>
      <c r="AD2353" s="22">
        <f t="shared" si="464"/>
        <v>473.05</v>
      </c>
      <c r="AE2353" s="22">
        <f t="shared" si="465"/>
        <v>33003.03</v>
      </c>
      <c r="AF2353" s="19" t="str">
        <f>VLOOKUP(C2353,'2021-22 School Level AAFTE'!C:N,12,FALSE)</f>
        <v>No</v>
      </c>
    </row>
    <row r="2354" spans="1:32" customFormat="1">
      <c r="A2354" s="56" t="s">
        <v>2515</v>
      </c>
      <c r="B2354" s="97" t="s">
        <v>1964</v>
      </c>
      <c r="C2354" s="95">
        <v>2260</v>
      </c>
      <c r="D2354" s="56" t="s">
        <v>1966</v>
      </c>
      <c r="E2354" s="129">
        <f>VLOOKUP($C2354,'2021-22 School Level AAFTE'!$C:$Z,11,FALSE)</f>
        <v>0.49886666666666662</v>
      </c>
      <c r="F2354" s="129" t="str">
        <f>VLOOKUP($C2354,'2021-22 School Level AAFTE'!$C:$Z,8,FALSE)</f>
        <v>No</v>
      </c>
      <c r="G2354" s="129" t="str">
        <f>VLOOKUP($C2354,'2021-22 School Level AAFTE'!$C:$Z,12,FALSE)</f>
        <v>No</v>
      </c>
      <c r="H2354" s="127">
        <f>VLOOKUP($C2354,'2021-22 School Level AAFTE'!$C:$I,7,FALSE)</f>
        <v>363.57</v>
      </c>
      <c r="I2354" s="112">
        <f>IFERROR(IF(OR(G2354="yes",F2354= "yes"),VLOOKUP(C2354,Summary!$B:$J,6,0),0),0)</f>
        <v>0</v>
      </c>
      <c r="J2354" s="111">
        <f t="shared" si="453"/>
        <v>0</v>
      </c>
      <c r="K2354" s="91">
        <f>VLOOKUP($A2354,'2022-23 Salary &amp; Benefits'!$A:$I,3,FALSE)</f>
        <v>1</v>
      </c>
      <c r="L2354" s="91">
        <f>VLOOKUP($A2354,'2022-23 Salary &amp; Benefits'!$A:$I,4,FALSE)</f>
        <v>1</v>
      </c>
      <c r="M2354" s="101">
        <f t="shared" si="463"/>
        <v>0</v>
      </c>
      <c r="N2354" s="24">
        <v>15</v>
      </c>
      <c r="O2354" s="26">
        <f t="shared" si="451"/>
        <v>0</v>
      </c>
      <c r="P2354" s="24">
        <v>1.1000000000000001</v>
      </c>
      <c r="Q2354" s="24">
        <v>36</v>
      </c>
      <c r="R2354" s="27">
        <f t="shared" si="452"/>
        <v>0</v>
      </c>
      <c r="S2354" s="102">
        <f t="shared" si="454"/>
        <v>0</v>
      </c>
      <c r="T2354" s="21">
        <f>VLOOKUP($A2354,'2022-23 Salary &amp; Benefits'!$A:$I,5,FALSE)</f>
        <v>68937</v>
      </c>
      <c r="U2354" s="21">
        <f>VLOOKUP($A2354,'2022-23 Salary &amp; Benefits'!$A:$I,6,FALSE)</f>
        <v>72728</v>
      </c>
      <c r="V2354" s="22">
        <f t="shared" si="455"/>
        <v>0</v>
      </c>
      <c r="W2354" s="22">
        <f t="shared" si="456"/>
        <v>0</v>
      </c>
      <c r="X2354" s="22">
        <f>'2022-23 Salary &amp; Benefits'!$G$6</f>
        <v>12558.24</v>
      </c>
      <c r="Y2354" s="23">
        <f>'2022-23 Salary &amp; Benefits'!$H$6</f>
        <v>0.2298</v>
      </c>
      <c r="Z2354" s="23">
        <f>'2022-23 Salary &amp; Benefits'!$I$6</f>
        <v>0.22339999999999999</v>
      </c>
      <c r="AA2354" s="22">
        <f t="shared" si="457"/>
        <v>0</v>
      </c>
      <c r="AB2354" s="22">
        <f t="shared" si="458"/>
        <v>0</v>
      </c>
      <c r="AC2354" s="22">
        <f t="shared" si="459"/>
        <v>0</v>
      </c>
      <c r="AD2354" s="22">
        <f t="shared" si="464"/>
        <v>0</v>
      </c>
      <c r="AE2354" s="22">
        <f t="shared" si="465"/>
        <v>0</v>
      </c>
      <c r="AF2354" s="19" t="str">
        <f>VLOOKUP(C2354,'2021-22 School Level AAFTE'!C:N,12,FALSE)</f>
        <v>No</v>
      </c>
    </row>
    <row r="2355" spans="1:32" customFormat="1">
      <c r="A2355" s="56" t="s">
        <v>2515</v>
      </c>
      <c r="B2355" s="97" t="s">
        <v>1964</v>
      </c>
      <c r="C2355" s="95">
        <v>2481</v>
      </c>
      <c r="D2355" s="56" t="s">
        <v>1967</v>
      </c>
      <c r="E2355" s="129">
        <f>VLOOKUP($C2355,'2021-22 School Level AAFTE'!$C:$Z,11,FALSE)</f>
        <v>0.49103333333333338</v>
      </c>
      <c r="F2355" s="129" t="str">
        <f>VLOOKUP($C2355,'2021-22 School Level AAFTE'!$C:$Z,8,FALSE)</f>
        <v>No</v>
      </c>
      <c r="G2355" s="129" t="str">
        <f>VLOOKUP($C2355,'2021-22 School Level AAFTE'!$C:$Z,12,FALSE)</f>
        <v>No</v>
      </c>
      <c r="H2355" s="127">
        <f>VLOOKUP($C2355,'2021-22 School Level AAFTE'!$C:$I,7,FALSE)</f>
        <v>672.69</v>
      </c>
      <c r="I2355" s="112">
        <f>IFERROR(IF(OR(G2355="yes",F2355= "yes"),VLOOKUP(C2355,Summary!$B:$J,6,0),0),0)</f>
        <v>0</v>
      </c>
      <c r="J2355" s="111">
        <f t="shared" si="453"/>
        <v>0</v>
      </c>
      <c r="K2355" s="91">
        <f>VLOOKUP($A2355,'2022-23 Salary &amp; Benefits'!$A:$I,3,FALSE)</f>
        <v>1</v>
      </c>
      <c r="L2355" s="91">
        <f>VLOOKUP($A2355,'2022-23 Salary &amp; Benefits'!$A:$I,4,FALSE)</f>
        <v>1</v>
      </c>
      <c r="M2355" s="101">
        <f t="shared" si="463"/>
        <v>0</v>
      </c>
      <c r="N2355" s="24">
        <v>15</v>
      </c>
      <c r="O2355" s="26">
        <f t="shared" si="451"/>
        <v>0</v>
      </c>
      <c r="P2355" s="24">
        <v>1.1000000000000001</v>
      </c>
      <c r="Q2355" s="24">
        <v>36</v>
      </c>
      <c r="R2355" s="27">
        <f t="shared" si="452"/>
        <v>0</v>
      </c>
      <c r="S2355" s="102">
        <f t="shared" si="454"/>
        <v>0</v>
      </c>
      <c r="T2355" s="21">
        <f>VLOOKUP($A2355,'2022-23 Salary &amp; Benefits'!$A:$I,5,FALSE)</f>
        <v>68937</v>
      </c>
      <c r="U2355" s="21">
        <f>VLOOKUP($A2355,'2022-23 Salary &amp; Benefits'!$A:$I,6,FALSE)</f>
        <v>72728</v>
      </c>
      <c r="V2355" s="22">
        <f t="shared" si="455"/>
        <v>0</v>
      </c>
      <c r="W2355" s="22">
        <f t="shared" si="456"/>
        <v>0</v>
      </c>
      <c r="X2355" s="22">
        <f>'2022-23 Salary &amp; Benefits'!$G$6</f>
        <v>12558.24</v>
      </c>
      <c r="Y2355" s="23">
        <f>'2022-23 Salary &amp; Benefits'!$H$6</f>
        <v>0.2298</v>
      </c>
      <c r="Z2355" s="23">
        <f>'2022-23 Salary &amp; Benefits'!$I$6</f>
        <v>0.22339999999999999</v>
      </c>
      <c r="AA2355" s="22">
        <f t="shared" si="457"/>
        <v>0</v>
      </c>
      <c r="AB2355" s="22">
        <f t="shared" si="458"/>
        <v>0</v>
      </c>
      <c r="AC2355" s="22">
        <f t="shared" si="459"/>
        <v>0</v>
      </c>
      <c r="AD2355" s="22">
        <f t="shared" si="464"/>
        <v>0</v>
      </c>
      <c r="AE2355" s="22">
        <f t="shared" si="465"/>
        <v>0</v>
      </c>
      <c r="AF2355" s="19" t="str">
        <f>VLOOKUP(C2355,'2021-22 School Level AAFTE'!C:N,12,FALSE)</f>
        <v>No</v>
      </c>
    </row>
    <row r="2356" spans="1:32" customFormat="1">
      <c r="A2356" s="56" t="s">
        <v>2515</v>
      </c>
      <c r="B2356" s="97" t="s">
        <v>1964</v>
      </c>
      <c r="C2356" s="95">
        <v>2633</v>
      </c>
      <c r="D2356" s="56" t="s">
        <v>1968</v>
      </c>
      <c r="E2356" s="129">
        <f>VLOOKUP($C2356,'2021-22 School Level AAFTE'!$C:$Z,11,FALSE)</f>
        <v>0.40549999999999997</v>
      </c>
      <c r="F2356" s="129" t="str">
        <f>VLOOKUP($C2356,'2021-22 School Level AAFTE'!$C:$Z,8,FALSE)</f>
        <v>No</v>
      </c>
      <c r="G2356" s="129" t="str">
        <f>VLOOKUP($C2356,'2021-22 School Level AAFTE'!$C:$Z,12,FALSE)</f>
        <v>No</v>
      </c>
      <c r="H2356" s="127">
        <f>VLOOKUP($C2356,'2021-22 School Level AAFTE'!$C:$I,7,FALSE)</f>
        <v>1565.45</v>
      </c>
      <c r="I2356" s="112">
        <f>IFERROR(IF(OR(G2356="yes",F2356= "yes"),VLOOKUP(C2356,Summary!$B:$J,6,0),0),0)</f>
        <v>0</v>
      </c>
      <c r="J2356" s="111">
        <f t="shared" si="453"/>
        <v>0</v>
      </c>
      <c r="K2356" s="91">
        <f>VLOOKUP($A2356,'2022-23 Salary &amp; Benefits'!$A:$I,3,FALSE)</f>
        <v>1</v>
      </c>
      <c r="L2356" s="91">
        <f>VLOOKUP($A2356,'2022-23 Salary &amp; Benefits'!$A:$I,4,FALSE)</f>
        <v>1</v>
      </c>
      <c r="M2356" s="101">
        <f t="shared" si="463"/>
        <v>0</v>
      </c>
      <c r="N2356" s="24">
        <v>15</v>
      </c>
      <c r="O2356" s="26">
        <f t="shared" si="451"/>
        <v>0</v>
      </c>
      <c r="P2356" s="24">
        <v>1.1000000000000001</v>
      </c>
      <c r="Q2356" s="24">
        <v>36</v>
      </c>
      <c r="R2356" s="27">
        <f t="shared" si="452"/>
        <v>0</v>
      </c>
      <c r="S2356" s="102">
        <f t="shared" si="454"/>
        <v>0</v>
      </c>
      <c r="T2356" s="21">
        <f>VLOOKUP($A2356,'2022-23 Salary &amp; Benefits'!$A:$I,5,FALSE)</f>
        <v>68937</v>
      </c>
      <c r="U2356" s="21">
        <f>VLOOKUP($A2356,'2022-23 Salary &amp; Benefits'!$A:$I,6,FALSE)</f>
        <v>72728</v>
      </c>
      <c r="V2356" s="22">
        <f t="shared" si="455"/>
        <v>0</v>
      </c>
      <c r="W2356" s="22">
        <f t="shared" si="456"/>
        <v>0</v>
      </c>
      <c r="X2356" s="22">
        <f>'2022-23 Salary &amp; Benefits'!$G$6</f>
        <v>12558.24</v>
      </c>
      <c r="Y2356" s="23">
        <f>'2022-23 Salary &amp; Benefits'!$H$6</f>
        <v>0.2298</v>
      </c>
      <c r="Z2356" s="23">
        <f>'2022-23 Salary &amp; Benefits'!$I$6</f>
        <v>0.22339999999999999</v>
      </c>
      <c r="AA2356" s="22">
        <f t="shared" si="457"/>
        <v>0</v>
      </c>
      <c r="AB2356" s="22">
        <f t="shared" si="458"/>
        <v>0</v>
      </c>
      <c r="AC2356" s="22">
        <f t="shared" si="459"/>
        <v>0</v>
      </c>
      <c r="AD2356" s="22">
        <f t="shared" si="464"/>
        <v>0</v>
      </c>
      <c r="AE2356" s="22">
        <f t="shared" si="465"/>
        <v>0</v>
      </c>
      <c r="AF2356" s="19" t="str">
        <f>VLOOKUP(C2356,'2021-22 School Level AAFTE'!C:N,12,FALSE)</f>
        <v>No</v>
      </c>
    </row>
    <row r="2357" spans="1:32" customFormat="1">
      <c r="A2357" s="56" t="s">
        <v>2515</v>
      </c>
      <c r="B2357" s="97" t="s">
        <v>1964</v>
      </c>
      <c r="C2357" s="95">
        <v>3848</v>
      </c>
      <c r="D2357" s="56" t="s">
        <v>1969</v>
      </c>
      <c r="E2357" s="129">
        <f>VLOOKUP($C2357,'2021-22 School Level AAFTE'!$C:$Z,11,FALSE)</f>
        <v>0.40126666666666666</v>
      </c>
      <c r="F2357" s="129" t="str">
        <f>VLOOKUP($C2357,'2021-22 School Level AAFTE'!$C:$Z,8,FALSE)</f>
        <v>No</v>
      </c>
      <c r="G2357" s="129" t="str">
        <f>VLOOKUP($C2357,'2021-22 School Level AAFTE'!$C:$Z,12,FALSE)</f>
        <v>No</v>
      </c>
      <c r="H2357" s="127">
        <f>VLOOKUP($C2357,'2021-22 School Level AAFTE'!$C:$I,7,FALSE)</f>
        <v>578.73</v>
      </c>
      <c r="I2357" s="112">
        <f>IFERROR(IF(OR(G2357="yes",F2357= "yes"),VLOOKUP(C2357,Summary!$B:$J,6,0),0),0)</f>
        <v>0</v>
      </c>
      <c r="J2357" s="111">
        <f t="shared" si="453"/>
        <v>0</v>
      </c>
      <c r="K2357" s="91">
        <f>VLOOKUP($A2357,'2022-23 Salary &amp; Benefits'!$A:$I,3,FALSE)</f>
        <v>1</v>
      </c>
      <c r="L2357" s="91">
        <f>VLOOKUP($A2357,'2022-23 Salary &amp; Benefits'!$A:$I,4,FALSE)</f>
        <v>1</v>
      </c>
      <c r="M2357" s="101">
        <f t="shared" si="463"/>
        <v>0</v>
      </c>
      <c r="N2357" s="24">
        <v>15</v>
      </c>
      <c r="O2357" s="26">
        <f t="shared" si="451"/>
        <v>0</v>
      </c>
      <c r="P2357" s="24">
        <v>1.1000000000000001</v>
      </c>
      <c r="Q2357" s="24">
        <v>36</v>
      </c>
      <c r="R2357" s="27">
        <f t="shared" si="452"/>
        <v>0</v>
      </c>
      <c r="S2357" s="102">
        <f t="shared" si="454"/>
        <v>0</v>
      </c>
      <c r="T2357" s="21">
        <f>VLOOKUP($A2357,'2022-23 Salary &amp; Benefits'!$A:$I,5,FALSE)</f>
        <v>68937</v>
      </c>
      <c r="U2357" s="21">
        <f>VLOOKUP($A2357,'2022-23 Salary &amp; Benefits'!$A:$I,6,FALSE)</f>
        <v>72728</v>
      </c>
      <c r="V2357" s="22">
        <f t="shared" si="455"/>
        <v>0</v>
      </c>
      <c r="W2357" s="22">
        <f t="shared" si="456"/>
        <v>0</v>
      </c>
      <c r="X2357" s="22">
        <f>'2022-23 Salary &amp; Benefits'!$G$6</f>
        <v>12558.24</v>
      </c>
      <c r="Y2357" s="23">
        <f>'2022-23 Salary &amp; Benefits'!$H$6</f>
        <v>0.2298</v>
      </c>
      <c r="Z2357" s="23">
        <f>'2022-23 Salary &amp; Benefits'!$I$6</f>
        <v>0.22339999999999999</v>
      </c>
      <c r="AA2357" s="22">
        <f t="shared" si="457"/>
        <v>0</v>
      </c>
      <c r="AB2357" s="22">
        <f t="shared" si="458"/>
        <v>0</v>
      </c>
      <c r="AC2357" s="22">
        <f t="shared" si="459"/>
        <v>0</v>
      </c>
      <c r="AD2357" s="22">
        <f t="shared" si="464"/>
        <v>0</v>
      </c>
      <c r="AE2357" s="22">
        <f t="shared" si="465"/>
        <v>0</v>
      </c>
      <c r="AF2357" s="19" t="str">
        <f>VLOOKUP(C2357,'2021-22 School Level AAFTE'!C:N,12,FALSE)</f>
        <v>No</v>
      </c>
    </row>
    <row r="2358" spans="1:32" customFormat="1">
      <c r="A2358" s="56" t="s">
        <v>2515</v>
      </c>
      <c r="B2358" s="97" t="s">
        <v>1964</v>
      </c>
      <c r="C2358" s="95">
        <v>4224</v>
      </c>
      <c r="D2358" s="56" t="s">
        <v>1970</v>
      </c>
      <c r="E2358" s="129">
        <f>VLOOKUP($C2358,'2021-22 School Level AAFTE'!$C:$Z,11,FALSE)</f>
        <v>0.44989999999999997</v>
      </c>
      <c r="F2358" s="129" t="str">
        <f>VLOOKUP($C2358,'2021-22 School Level AAFTE'!$C:$Z,8,FALSE)</f>
        <v>No</v>
      </c>
      <c r="G2358" s="129" t="str">
        <f>VLOOKUP($C2358,'2021-22 School Level AAFTE'!$C:$Z,12,FALSE)</f>
        <v>No</v>
      </c>
      <c r="H2358" s="127">
        <f>VLOOKUP($C2358,'2021-22 School Level AAFTE'!$C:$I,7,FALSE)</f>
        <v>414.7</v>
      </c>
      <c r="I2358" s="112">
        <f>IFERROR(IF(OR(G2358="yes",F2358= "yes"),VLOOKUP(C2358,Summary!$B:$J,6,0),0),0)</f>
        <v>0</v>
      </c>
      <c r="J2358" s="111">
        <f t="shared" si="453"/>
        <v>0</v>
      </c>
      <c r="K2358" s="91">
        <f>VLOOKUP($A2358,'2022-23 Salary &amp; Benefits'!$A:$I,3,FALSE)</f>
        <v>1</v>
      </c>
      <c r="L2358" s="91">
        <f>VLOOKUP($A2358,'2022-23 Salary &amp; Benefits'!$A:$I,4,FALSE)</f>
        <v>1</v>
      </c>
      <c r="M2358" s="101">
        <f t="shared" si="463"/>
        <v>0</v>
      </c>
      <c r="N2358" s="24">
        <v>15</v>
      </c>
      <c r="O2358" s="26">
        <f t="shared" si="451"/>
        <v>0</v>
      </c>
      <c r="P2358" s="24">
        <v>1.1000000000000001</v>
      </c>
      <c r="Q2358" s="24">
        <v>36</v>
      </c>
      <c r="R2358" s="27">
        <f t="shared" si="452"/>
        <v>0</v>
      </c>
      <c r="S2358" s="102">
        <f t="shared" si="454"/>
        <v>0</v>
      </c>
      <c r="T2358" s="21">
        <f>VLOOKUP($A2358,'2022-23 Salary &amp; Benefits'!$A:$I,5,FALSE)</f>
        <v>68937</v>
      </c>
      <c r="U2358" s="21">
        <f>VLOOKUP($A2358,'2022-23 Salary &amp; Benefits'!$A:$I,6,FALSE)</f>
        <v>72728</v>
      </c>
      <c r="V2358" s="22">
        <f t="shared" si="455"/>
        <v>0</v>
      </c>
      <c r="W2358" s="22">
        <f t="shared" si="456"/>
        <v>0</v>
      </c>
      <c r="X2358" s="22">
        <f>'2022-23 Salary &amp; Benefits'!$G$6</f>
        <v>12558.24</v>
      </c>
      <c r="Y2358" s="23">
        <f>'2022-23 Salary &amp; Benefits'!$H$6</f>
        <v>0.2298</v>
      </c>
      <c r="Z2358" s="23">
        <f>'2022-23 Salary &amp; Benefits'!$I$6</f>
        <v>0.22339999999999999</v>
      </c>
      <c r="AA2358" s="22">
        <f t="shared" si="457"/>
        <v>0</v>
      </c>
      <c r="AB2358" s="22">
        <f t="shared" si="458"/>
        <v>0</v>
      </c>
      <c r="AC2358" s="22">
        <f t="shared" si="459"/>
        <v>0</v>
      </c>
      <c r="AD2358" s="22">
        <f t="shared" si="464"/>
        <v>0</v>
      </c>
      <c r="AE2358" s="22">
        <f t="shared" si="465"/>
        <v>0</v>
      </c>
      <c r="AF2358" s="19" t="str">
        <f>VLOOKUP(C2358,'2021-22 School Level AAFTE'!C:N,12,FALSE)</f>
        <v>No</v>
      </c>
    </row>
    <row r="2359" spans="1:32" customFormat="1">
      <c r="A2359" s="56" t="s">
        <v>2515</v>
      </c>
      <c r="B2359" s="97" t="s">
        <v>1964</v>
      </c>
      <c r="C2359" s="95">
        <v>4346</v>
      </c>
      <c r="D2359" s="56" t="s">
        <v>1971</v>
      </c>
      <c r="E2359" s="129">
        <f>VLOOKUP($C2359,'2021-22 School Level AAFTE'!$C:$Z,11,FALSE)</f>
        <v>0.60653333333333337</v>
      </c>
      <c r="F2359" s="129" t="str">
        <f>VLOOKUP($C2359,'2021-22 School Level AAFTE'!$C:$Z,8,FALSE)</f>
        <v>Yes</v>
      </c>
      <c r="G2359" s="129" t="str">
        <f>VLOOKUP($C2359,'2021-22 School Level AAFTE'!$C:$Z,12,FALSE)</f>
        <v>No</v>
      </c>
      <c r="H2359" s="127">
        <f>VLOOKUP($C2359,'2021-22 School Level AAFTE'!$C:$I,7,FALSE)</f>
        <v>451.81</v>
      </c>
      <c r="I2359" s="112">
        <f>IFERROR(IF(OR(G2359="yes",F2359= "yes"),VLOOKUP(C2359,Summary!$B:$J,6,0),0),0)</f>
        <v>0</v>
      </c>
      <c r="J2359" s="111">
        <f t="shared" si="453"/>
        <v>451.81</v>
      </c>
      <c r="K2359" s="91">
        <f>VLOOKUP($A2359,'2022-23 Salary &amp; Benefits'!$A:$I,3,FALSE)</f>
        <v>1</v>
      </c>
      <c r="L2359" s="91">
        <f>VLOOKUP($A2359,'2022-23 Salary &amp; Benefits'!$A:$I,4,FALSE)</f>
        <v>1</v>
      </c>
      <c r="M2359" s="101">
        <f t="shared" si="463"/>
        <v>451.81</v>
      </c>
      <c r="N2359" s="24">
        <v>15</v>
      </c>
      <c r="O2359" s="26">
        <f t="shared" si="451"/>
        <v>30.120666666666668</v>
      </c>
      <c r="P2359" s="24">
        <v>1.1000000000000001</v>
      </c>
      <c r="Q2359" s="24">
        <v>36</v>
      </c>
      <c r="R2359" s="27">
        <f t="shared" si="452"/>
        <v>1192.7784000000004</v>
      </c>
      <c r="S2359" s="102">
        <f t="shared" si="454"/>
        <v>1.325</v>
      </c>
      <c r="T2359" s="21">
        <f>VLOOKUP($A2359,'2022-23 Salary &amp; Benefits'!$A:$I,5,FALSE)</f>
        <v>68937</v>
      </c>
      <c r="U2359" s="21">
        <f>VLOOKUP($A2359,'2022-23 Salary &amp; Benefits'!$A:$I,6,FALSE)</f>
        <v>72728</v>
      </c>
      <c r="V2359" s="22">
        <f t="shared" si="455"/>
        <v>91341.53</v>
      </c>
      <c r="W2359" s="22">
        <f t="shared" si="456"/>
        <v>5023.070000000007</v>
      </c>
      <c r="X2359" s="22">
        <f>'2022-23 Salary &amp; Benefits'!$G$6</f>
        <v>12558.24</v>
      </c>
      <c r="Y2359" s="23">
        <f>'2022-23 Salary &amp; Benefits'!$H$6</f>
        <v>0.2298</v>
      </c>
      <c r="Z2359" s="23">
        <f>'2022-23 Salary &amp; Benefits'!$I$6</f>
        <v>0.22339999999999999</v>
      </c>
      <c r="AA2359" s="22">
        <f t="shared" si="457"/>
        <v>38752.11</v>
      </c>
      <c r="AB2359" s="22">
        <f t="shared" si="458"/>
        <v>1606.08</v>
      </c>
      <c r="AC2359" s="22">
        <f t="shared" si="459"/>
        <v>358.8</v>
      </c>
      <c r="AD2359" s="22">
        <f t="shared" si="464"/>
        <v>1964.8799999999999</v>
      </c>
      <c r="AE2359" s="22">
        <f t="shared" si="465"/>
        <v>137081.59000000003</v>
      </c>
      <c r="AF2359" s="19" t="str">
        <f>VLOOKUP(C2359,'2021-22 School Level AAFTE'!C:N,12,FALSE)</f>
        <v>No</v>
      </c>
    </row>
    <row r="2360" spans="1:32" customFormat="1">
      <c r="A2360" s="56" t="s">
        <v>2515</v>
      </c>
      <c r="B2360" s="97" t="s">
        <v>1964</v>
      </c>
      <c r="C2360" s="95">
        <v>4451</v>
      </c>
      <c r="D2360" s="56" t="s">
        <v>1972</v>
      </c>
      <c r="E2360" s="129">
        <f>VLOOKUP($C2360,'2021-22 School Level AAFTE'!$C:$Z,11,FALSE)</f>
        <v>0.4336666666666667</v>
      </c>
      <c r="F2360" s="129" t="str">
        <f>VLOOKUP($C2360,'2021-22 School Level AAFTE'!$C:$Z,8,FALSE)</f>
        <v>No</v>
      </c>
      <c r="G2360" s="129" t="str">
        <f>VLOOKUP($C2360,'2021-22 School Level AAFTE'!$C:$Z,12,FALSE)</f>
        <v>No</v>
      </c>
      <c r="H2360" s="127">
        <f>VLOOKUP($C2360,'2021-22 School Level AAFTE'!$C:$I,7,FALSE)</f>
        <v>309.24</v>
      </c>
      <c r="I2360" s="112">
        <f>IFERROR(IF(OR(G2360="yes",F2360= "yes"),VLOOKUP(C2360,Summary!$B:$J,6,0),0),0)</f>
        <v>0</v>
      </c>
      <c r="J2360" s="111">
        <f t="shared" si="453"/>
        <v>0</v>
      </c>
      <c r="K2360" s="91">
        <f>VLOOKUP($A2360,'2022-23 Salary &amp; Benefits'!$A:$I,3,FALSE)</f>
        <v>1</v>
      </c>
      <c r="L2360" s="91">
        <f>VLOOKUP($A2360,'2022-23 Salary &amp; Benefits'!$A:$I,4,FALSE)</f>
        <v>1</v>
      </c>
      <c r="M2360" s="101">
        <f t="shared" si="463"/>
        <v>0</v>
      </c>
      <c r="N2360" s="24">
        <v>15</v>
      </c>
      <c r="O2360" s="26">
        <f t="shared" si="451"/>
        <v>0</v>
      </c>
      <c r="P2360" s="24">
        <v>1.1000000000000001</v>
      </c>
      <c r="Q2360" s="24">
        <v>36</v>
      </c>
      <c r="R2360" s="27">
        <f t="shared" si="452"/>
        <v>0</v>
      </c>
      <c r="S2360" s="102">
        <f t="shared" si="454"/>
        <v>0</v>
      </c>
      <c r="T2360" s="21">
        <f>VLOOKUP($A2360,'2022-23 Salary &amp; Benefits'!$A:$I,5,FALSE)</f>
        <v>68937</v>
      </c>
      <c r="U2360" s="21">
        <f>VLOOKUP($A2360,'2022-23 Salary &amp; Benefits'!$A:$I,6,FALSE)</f>
        <v>72728</v>
      </c>
      <c r="V2360" s="22">
        <f t="shared" si="455"/>
        <v>0</v>
      </c>
      <c r="W2360" s="22">
        <f t="shared" si="456"/>
        <v>0</v>
      </c>
      <c r="X2360" s="22">
        <f>'2022-23 Salary &amp; Benefits'!$G$6</f>
        <v>12558.24</v>
      </c>
      <c r="Y2360" s="23">
        <f>'2022-23 Salary &amp; Benefits'!$H$6</f>
        <v>0.2298</v>
      </c>
      <c r="Z2360" s="23">
        <f>'2022-23 Salary &amp; Benefits'!$I$6</f>
        <v>0.22339999999999999</v>
      </c>
      <c r="AA2360" s="22">
        <f t="shared" si="457"/>
        <v>0</v>
      </c>
      <c r="AB2360" s="22">
        <f t="shared" si="458"/>
        <v>0</v>
      </c>
      <c r="AC2360" s="22">
        <f t="shared" si="459"/>
        <v>0</v>
      </c>
      <c r="AD2360" s="22">
        <f t="shared" si="464"/>
        <v>0</v>
      </c>
      <c r="AE2360" s="22">
        <f t="shared" si="465"/>
        <v>0</v>
      </c>
      <c r="AF2360" s="19" t="str">
        <f>VLOOKUP(C2360,'2021-22 School Level AAFTE'!C:N,12,FALSE)</f>
        <v>No</v>
      </c>
    </row>
    <row r="2361" spans="1:32" customFormat="1">
      <c r="A2361" s="56" t="s">
        <v>2515</v>
      </c>
      <c r="B2361" s="97" t="s">
        <v>1964</v>
      </c>
      <c r="C2361" s="95">
        <v>5018</v>
      </c>
      <c r="D2361" s="56" t="s">
        <v>1973</v>
      </c>
      <c r="E2361" s="129">
        <f>VLOOKUP($C2361,'2021-22 School Level AAFTE'!$C:$Z,11,FALSE)</f>
        <v>0.46483333333333327</v>
      </c>
      <c r="F2361" s="129" t="str">
        <f>VLOOKUP($C2361,'2021-22 School Level AAFTE'!$C:$Z,8,FALSE)</f>
        <v>No</v>
      </c>
      <c r="G2361" s="129" t="str">
        <f>VLOOKUP($C2361,'2021-22 School Level AAFTE'!$C:$Z,12,FALSE)</f>
        <v>No</v>
      </c>
      <c r="H2361" s="127">
        <f>VLOOKUP($C2361,'2021-22 School Level AAFTE'!$C:$I,7,FALSE)</f>
        <v>309.33999999999997</v>
      </c>
      <c r="I2361" s="112">
        <f>IFERROR(IF(OR(G2361="yes",F2361= "yes"),VLOOKUP(C2361,Summary!$B:$J,6,0),0),0)</f>
        <v>0</v>
      </c>
      <c r="J2361" s="111">
        <f t="shared" si="453"/>
        <v>0</v>
      </c>
      <c r="K2361" s="91">
        <f>VLOOKUP($A2361,'2022-23 Salary &amp; Benefits'!$A:$I,3,FALSE)</f>
        <v>1</v>
      </c>
      <c r="L2361" s="91">
        <f>VLOOKUP($A2361,'2022-23 Salary &amp; Benefits'!$A:$I,4,FALSE)</f>
        <v>1</v>
      </c>
      <c r="M2361" s="101">
        <f t="shared" si="463"/>
        <v>0</v>
      </c>
      <c r="N2361" s="24">
        <v>15</v>
      </c>
      <c r="O2361" s="26">
        <f t="shared" si="451"/>
        <v>0</v>
      </c>
      <c r="P2361" s="24">
        <v>1.1000000000000001</v>
      </c>
      <c r="Q2361" s="24">
        <v>36</v>
      </c>
      <c r="R2361" s="27">
        <f t="shared" si="452"/>
        <v>0</v>
      </c>
      <c r="S2361" s="102">
        <f t="shared" si="454"/>
        <v>0</v>
      </c>
      <c r="T2361" s="21">
        <f>VLOOKUP($A2361,'2022-23 Salary &amp; Benefits'!$A:$I,5,FALSE)</f>
        <v>68937</v>
      </c>
      <c r="U2361" s="21">
        <f>VLOOKUP($A2361,'2022-23 Salary &amp; Benefits'!$A:$I,6,FALSE)</f>
        <v>72728</v>
      </c>
      <c r="V2361" s="22">
        <f t="shared" si="455"/>
        <v>0</v>
      </c>
      <c r="W2361" s="22">
        <f t="shared" si="456"/>
        <v>0</v>
      </c>
      <c r="X2361" s="22">
        <f>'2022-23 Salary &amp; Benefits'!$G$6</f>
        <v>12558.24</v>
      </c>
      <c r="Y2361" s="23">
        <f>'2022-23 Salary &amp; Benefits'!$H$6</f>
        <v>0.2298</v>
      </c>
      <c r="Z2361" s="23">
        <f>'2022-23 Salary &amp; Benefits'!$I$6</f>
        <v>0.22339999999999999</v>
      </c>
      <c r="AA2361" s="22">
        <f t="shared" si="457"/>
        <v>0</v>
      </c>
      <c r="AB2361" s="22">
        <f t="shared" si="458"/>
        <v>0</v>
      </c>
      <c r="AC2361" s="22">
        <f t="shared" si="459"/>
        <v>0</v>
      </c>
      <c r="AD2361" s="22">
        <f t="shared" si="464"/>
        <v>0</v>
      </c>
      <c r="AE2361" s="22">
        <f t="shared" si="465"/>
        <v>0</v>
      </c>
      <c r="AF2361" s="19" t="str">
        <f>VLOOKUP(C2361,'2021-22 School Level AAFTE'!C:N,12,FALSE)</f>
        <v>No</v>
      </c>
    </row>
    <row r="2362" spans="1:32" customFormat="1">
      <c r="A2362" s="56" t="s">
        <v>2515</v>
      </c>
      <c r="B2362" s="97" t="s">
        <v>1964</v>
      </c>
      <c r="C2362" s="95">
        <v>5052</v>
      </c>
      <c r="D2362" s="56" t="s">
        <v>1974</v>
      </c>
      <c r="E2362" s="129">
        <f>VLOOKUP($C2362,'2021-22 School Level AAFTE'!$C:$Z,11,FALSE)</f>
        <v>0.45540000000000003</v>
      </c>
      <c r="F2362" s="129" t="str">
        <f>VLOOKUP($C2362,'2021-22 School Level AAFTE'!$C:$Z,8,FALSE)</f>
        <v>No</v>
      </c>
      <c r="G2362" s="129" t="str">
        <f>VLOOKUP($C2362,'2021-22 School Level AAFTE'!$C:$Z,12,FALSE)</f>
        <v>No</v>
      </c>
      <c r="H2362" s="127">
        <f>VLOOKUP($C2362,'2021-22 School Level AAFTE'!$C:$I,7,FALSE)</f>
        <v>586.11</v>
      </c>
      <c r="I2362" s="112">
        <f>IFERROR(IF(OR(G2362="yes",F2362= "yes"),VLOOKUP(C2362,Summary!$B:$J,6,0),0),0)</f>
        <v>0</v>
      </c>
      <c r="J2362" s="111">
        <f t="shared" si="453"/>
        <v>0</v>
      </c>
      <c r="K2362" s="91">
        <f>VLOOKUP($A2362,'2022-23 Salary &amp; Benefits'!$A:$I,3,FALSE)</f>
        <v>1</v>
      </c>
      <c r="L2362" s="91">
        <f>VLOOKUP($A2362,'2022-23 Salary &amp; Benefits'!$A:$I,4,FALSE)</f>
        <v>1</v>
      </c>
      <c r="M2362" s="101">
        <f t="shared" si="463"/>
        <v>0</v>
      </c>
      <c r="N2362" s="24">
        <v>15</v>
      </c>
      <c r="O2362" s="26">
        <f t="shared" si="451"/>
        <v>0</v>
      </c>
      <c r="P2362" s="24">
        <v>1.1000000000000001</v>
      </c>
      <c r="Q2362" s="24">
        <v>36</v>
      </c>
      <c r="R2362" s="27">
        <f t="shared" si="452"/>
        <v>0</v>
      </c>
      <c r="S2362" s="102">
        <f t="shared" si="454"/>
        <v>0</v>
      </c>
      <c r="T2362" s="21">
        <f>VLOOKUP($A2362,'2022-23 Salary &amp; Benefits'!$A:$I,5,FALSE)</f>
        <v>68937</v>
      </c>
      <c r="U2362" s="21">
        <f>VLOOKUP($A2362,'2022-23 Salary &amp; Benefits'!$A:$I,6,FALSE)</f>
        <v>72728</v>
      </c>
      <c r="V2362" s="22">
        <f t="shared" si="455"/>
        <v>0</v>
      </c>
      <c r="W2362" s="22">
        <f t="shared" si="456"/>
        <v>0</v>
      </c>
      <c r="X2362" s="22">
        <f>'2022-23 Salary &amp; Benefits'!$G$6</f>
        <v>12558.24</v>
      </c>
      <c r="Y2362" s="23">
        <f>'2022-23 Salary &amp; Benefits'!$H$6</f>
        <v>0.2298</v>
      </c>
      <c r="Z2362" s="23">
        <f>'2022-23 Salary &amp; Benefits'!$I$6</f>
        <v>0.22339999999999999</v>
      </c>
      <c r="AA2362" s="22">
        <f t="shared" si="457"/>
        <v>0</v>
      </c>
      <c r="AB2362" s="22">
        <f t="shared" si="458"/>
        <v>0</v>
      </c>
      <c r="AC2362" s="22">
        <f t="shared" si="459"/>
        <v>0</v>
      </c>
      <c r="AD2362" s="22">
        <f t="shared" si="464"/>
        <v>0</v>
      </c>
      <c r="AE2362" s="22">
        <f t="shared" si="465"/>
        <v>0</v>
      </c>
      <c r="AF2362" s="19" t="str">
        <f>VLOOKUP(C2362,'2021-22 School Level AAFTE'!C:N,12,FALSE)</f>
        <v>No</v>
      </c>
    </row>
    <row r="2363" spans="1:32" customFormat="1">
      <c r="A2363" s="56" t="s">
        <v>2564</v>
      </c>
      <c r="B2363" s="97" t="s">
        <v>2235</v>
      </c>
      <c r="C2363" s="95">
        <v>2240</v>
      </c>
      <c r="D2363" s="56" t="s">
        <v>2236</v>
      </c>
      <c r="E2363" s="129">
        <f>VLOOKUP($C2363,'2021-22 School Level AAFTE'!$C:$Z,11,FALSE)</f>
        <v>0.53539999999999999</v>
      </c>
      <c r="F2363" s="129" t="str">
        <f>VLOOKUP($C2363,'2021-22 School Level AAFTE'!$C:$Z,8,FALSE)</f>
        <v>Yes</v>
      </c>
      <c r="G2363" s="129" t="str">
        <f>VLOOKUP($C2363,'2021-22 School Level AAFTE'!$C:$Z,12,FALSE)</f>
        <v>No</v>
      </c>
      <c r="H2363" s="127">
        <f>VLOOKUP($C2363,'2021-22 School Level AAFTE'!$C:$I,7,FALSE)</f>
        <v>430.57</v>
      </c>
      <c r="I2363" s="112">
        <f>IFERROR(IF(OR(G2363="yes",F2363= "yes"),VLOOKUP(C2363,Summary!$B:$J,6,0),0),0)</f>
        <v>0</v>
      </c>
      <c r="J2363" s="111">
        <f t="shared" si="453"/>
        <v>430.57</v>
      </c>
      <c r="K2363" s="91">
        <f>VLOOKUP($A2363,'2022-23 Salary &amp; Benefits'!$A:$I,3,FALSE)</f>
        <v>1</v>
      </c>
      <c r="L2363" s="91">
        <f>VLOOKUP($A2363,'2022-23 Salary &amp; Benefits'!$A:$I,4,FALSE)</f>
        <v>1</v>
      </c>
      <c r="M2363" s="101">
        <f t="shared" si="463"/>
        <v>430.57</v>
      </c>
      <c r="N2363" s="24">
        <v>15</v>
      </c>
      <c r="O2363" s="26">
        <f t="shared" si="451"/>
        <v>28.704666666666665</v>
      </c>
      <c r="P2363" s="24">
        <v>1.1000000000000001</v>
      </c>
      <c r="Q2363" s="24">
        <v>36</v>
      </c>
      <c r="R2363" s="27">
        <f>IF(N2363="no",0,O2363*P2363*Q2363)</f>
        <v>1136.7048</v>
      </c>
      <c r="S2363" s="102">
        <f>ROUND(IF(M2363="no",0,R2363/900),3)</f>
        <v>1.2629999999999999</v>
      </c>
      <c r="T2363" s="21">
        <f>VLOOKUP($A2363,'2022-23 Salary &amp; Benefits'!$A:$I,5,FALSE)</f>
        <v>68937</v>
      </c>
      <c r="U2363" s="21">
        <f>VLOOKUP($A2363,'2022-23 Salary &amp; Benefits'!$A:$I,6,FALSE)</f>
        <v>72728</v>
      </c>
      <c r="V2363" s="22">
        <f t="shared" si="455"/>
        <v>87067.43</v>
      </c>
      <c r="W2363" s="22">
        <f t="shared" si="456"/>
        <v>4788.0300000000134</v>
      </c>
      <c r="X2363" s="22">
        <f>'2022-23 Salary &amp; Benefits'!$G$6</f>
        <v>12558.24</v>
      </c>
      <c r="Y2363" s="23">
        <f>'2022-23 Salary &amp; Benefits'!$H$6</f>
        <v>0.2298</v>
      </c>
      <c r="Z2363" s="23">
        <f>'2022-23 Salary &amp; Benefits'!$I$6</f>
        <v>0.22339999999999999</v>
      </c>
      <c r="AA2363" s="22">
        <f t="shared" si="457"/>
        <v>36938.800000000003</v>
      </c>
      <c r="AB2363" s="22">
        <f t="shared" si="458"/>
        <v>1530.92</v>
      </c>
      <c r="AC2363" s="22">
        <f t="shared" si="459"/>
        <v>342.01</v>
      </c>
      <c r="AD2363" s="22">
        <f t="shared" si="464"/>
        <v>1872.93</v>
      </c>
      <c r="AE2363" s="22">
        <f t="shared" si="465"/>
        <v>130667.19</v>
      </c>
      <c r="AF2363" s="19" t="str">
        <f>VLOOKUP(C2363,'2021-22 School Level AAFTE'!C:N,12,FALSE)</f>
        <v>No</v>
      </c>
    </row>
    <row r="2364" spans="1:32" customFormat="1">
      <c r="A2364" s="56" t="s">
        <v>2564</v>
      </c>
      <c r="B2364" s="97" t="s">
        <v>2235</v>
      </c>
      <c r="C2364" s="95">
        <v>2783</v>
      </c>
      <c r="D2364" s="56" t="s">
        <v>2237</v>
      </c>
      <c r="E2364" s="129">
        <f>VLOOKUP($C2364,'2021-22 School Level AAFTE'!$C:$Z,11,FALSE)</f>
        <v>0.56753333333333333</v>
      </c>
      <c r="F2364" s="129" t="str">
        <f>VLOOKUP($C2364,'2021-22 School Level AAFTE'!$C:$Z,8,FALSE)</f>
        <v>Yes</v>
      </c>
      <c r="G2364" s="129" t="str">
        <f>VLOOKUP($C2364,'2021-22 School Level AAFTE'!$C:$Z,12,FALSE)</f>
        <v>No</v>
      </c>
      <c r="H2364" s="127">
        <f>VLOOKUP($C2364,'2021-22 School Level AAFTE'!$C:$I,7,FALSE)</f>
        <v>276.7</v>
      </c>
      <c r="I2364" s="112">
        <f>IFERROR(IF(OR(G2364="yes",F2364= "yes"),VLOOKUP(C2364,Summary!$B:$J,6,0),0),0)</f>
        <v>0</v>
      </c>
      <c r="J2364" s="111">
        <f t="shared" si="453"/>
        <v>276.7</v>
      </c>
      <c r="K2364" s="91">
        <f>VLOOKUP($A2364,'2022-23 Salary &amp; Benefits'!$A:$I,3,FALSE)</f>
        <v>1</v>
      </c>
      <c r="L2364" s="91">
        <f>VLOOKUP($A2364,'2022-23 Salary &amp; Benefits'!$A:$I,4,FALSE)</f>
        <v>1</v>
      </c>
      <c r="M2364" s="101">
        <f t="shared" si="463"/>
        <v>276.7</v>
      </c>
      <c r="N2364" s="24">
        <v>15</v>
      </c>
      <c r="O2364" s="26">
        <f t="shared" si="451"/>
        <v>18.446666666666665</v>
      </c>
      <c r="P2364" s="24">
        <v>1.1000000000000001</v>
      </c>
      <c r="Q2364" s="24">
        <v>36</v>
      </c>
      <c r="R2364" s="27">
        <f>IF(N2364="no",0,O2364*P2364*Q2364)</f>
        <v>730.48800000000006</v>
      </c>
      <c r="S2364" s="102">
        <f t="shared" si="454"/>
        <v>0.81200000000000006</v>
      </c>
      <c r="T2364" s="21">
        <f>VLOOKUP($A2364,'2022-23 Salary &amp; Benefits'!$A:$I,5,FALSE)</f>
        <v>68937</v>
      </c>
      <c r="U2364" s="21">
        <f>VLOOKUP($A2364,'2022-23 Salary &amp; Benefits'!$A:$I,6,FALSE)</f>
        <v>72728</v>
      </c>
      <c r="V2364" s="22">
        <f t="shared" si="455"/>
        <v>55976.84</v>
      </c>
      <c r="W2364" s="22">
        <f t="shared" si="456"/>
        <v>3078.3000000000029</v>
      </c>
      <c r="X2364" s="22">
        <f>'2022-23 Salary &amp; Benefits'!$G$6</f>
        <v>12558.24</v>
      </c>
      <c r="Y2364" s="23">
        <f>'2022-23 Salary &amp; Benefits'!$H$6</f>
        <v>0.2298</v>
      </c>
      <c r="Z2364" s="23">
        <f>'2022-23 Salary &amp; Benefits'!$I$6</f>
        <v>0.22339999999999999</v>
      </c>
      <c r="AA2364" s="22">
        <f t="shared" si="457"/>
        <v>23748.46</v>
      </c>
      <c r="AB2364" s="22">
        <f t="shared" si="458"/>
        <v>984.25</v>
      </c>
      <c r="AC2364" s="22">
        <f t="shared" si="459"/>
        <v>219.88</v>
      </c>
      <c r="AD2364" s="22">
        <f t="shared" si="464"/>
        <v>1204.1300000000001</v>
      </c>
      <c r="AE2364" s="22">
        <f t="shared" si="465"/>
        <v>84007.73</v>
      </c>
      <c r="AF2364" s="19" t="str">
        <f>VLOOKUP(C2364,'2021-22 School Level AAFTE'!C:N,12,FALSE)</f>
        <v>No</v>
      </c>
    </row>
    <row r="2365" spans="1:32" customFormat="1">
      <c r="A2365" s="56" t="s">
        <v>2564</v>
      </c>
      <c r="B2365" s="97" t="s">
        <v>2235</v>
      </c>
      <c r="C2365" s="95">
        <v>4221</v>
      </c>
      <c r="D2365" s="56" t="s">
        <v>2238</v>
      </c>
      <c r="E2365" s="129">
        <f>VLOOKUP($C2365,'2021-22 School Level AAFTE'!$C:$Z,11,FALSE)</f>
        <v>0.62539999999999996</v>
      </c>
      <c r="F2365" s="129" t="str">
        <f>VLOOKUP($C2365,'2021-22 School Level AAFTE'!$C:$Z,8,FALSE)</f>
        <v>Yes</v>
      </c>
      <c r="G2365" s="129" t="str">
        <f>VLOOKUP($C2365,'2021-22 School Level AAFTE'!$C:$Z,12,FALSE)</f>
        <v>No</v>
      </c>
      <c r="H2365" s="127">
        <f>VLOOKUP($C2365,'2021-22 School Level AAFTE'!$C:$I,7,FALSE)</f>
        <v>251.36</v>
      </c>
      <c r="I2365" s="112">
        <f>IFERROR(IF(OR(G2365="yes",F2365= "yes"),VLOOKUP(C2365,Summary!$B:$J,6,0),0),0)</f>
        <v>0</v>
      </c>
      <c r="J2365" s="111">
        <f t="shared" si="453"/>
        <v>251.36</v>
      </c>
      <c r="K2365" s="91">
        <f>VLOOKUP($A2365,'2022-23 Salary &amp; Benefits'!$A:$I,3,FALSE)</f>
        <v>1</v>
      </c>
      <c r="L2365" s="91">
        <f>VLOOKUP($A2365,'2022-23 Salary &amp; Benefits'!$A:$I,4,FALSE)</f>
        <v>1</v>
      </c>
      <c r="M2365" s="101">
        <f t="shared" si="463"/>
        <v>251.36</v>
      </c>
      <c r="N2365" s="24">
        <v>15</v>
      </c>
      <c r="O2365" s="26">
        <f t="shared" si="451"/>
        <v>16.757333333333335</v>
      </c>
      <c r="P2365" s="24">
        <v>1.1000000000000001</v>
      </c>
      <c r="Q2365" s="24">
        <v>36</v>
      </c>
      <c r="R2365" s="27">
        <f t="shared" ref="R2365:R2366" si="466">IF(N2365="no",0,O2365*P2365*Q2365)</f>
        <v>663.59040000000005</v>
      </c>
      <c r="S2365" s="102">
        <f t="shared" si="454"/>
        <v>0.73699999999999999</v>
      </c>
      <c r="T2365" s="21">
        <f>VLOOKUP($A2365,'2022-23 Salary &amp; Benefits'!$A:$I,5,FALSE)</f>
        <v>68937</v>
      </c>
      <c r="U2365" s="21">
        <f>VLOOKUP($A2365,'2022-23 Salary &amp; Benefits'!$A:$I,6,FALSE)</f>
        <v>72728</v>
      </c>
      <c r="V2365" s="22">
        <f t="shared" si="455"/>
        <v>50806.57</v>
      </c>
      <c r="W2365" s="22">
        <f t="shared" si="456"/>
        <v>2793.9700000000012</v>
      </c>
      <c r="X2365" s="22">
        <f>'2022-23 Salary &amp; Benefits'!$G$6</f>
        <v>12558.24</v>
      </c>
      <c r="Y2365" s="23">
        <f>'2022-23 Salary &amp; Benefits'!$H$6</f>
        <v>0.2298</v>
      </c>
      <c r="Z2365" s="23">
        <f>'2022-23 Salary &amp; Benefits'!$I$6</f>
        <v>0.22339999999999999</v>
      </c>
      <c r="AA2365" s="22">
        <f t="shared" si="457"/>
        <v>21554.95</v>
      </c>
      <c r="AB2365" s="22">
        <f t="shared" si="458"/>
        <v>893.34</v>
      </c>
      <c r="AC2365" s="22">
        <f t="shared" si="459"/>
        <v>199.57</v>
      </c>
      <c r="AD2365" s="22">
        <f t="shared" si="464"/>
        <v>1092.9100000000001</v>
      </c>
      <c r="AE2365" s="22">
        <f t="shared" si="465"/>
        <v>76248.400000000009</v>
      </c>
      <c r="AF2365" s="19" t="str">
        <f>VLOOKUP(C2365,'2021-22 School Level AAFTE'!C:N,12,FALSE)</f>
        <v>No</v>
      </c>
    </row>
    <row r="2366" spans="1:32" customFormat="1">
      <c r="A2366" s="56" t="s">
        <v>2564</v>
      </c>
      <c r="B2366" s="97" t="s">
        <v>2235</v>
      </c>
      <c r="C2366" s="95">
        <v>4481</v>
      </c>
      <c r="D2366" s="56" t="s">
        <v>2239</v>
      </c>
      <c r="E2366" s="129">
        <f>VLOOKUP($C2366,'2021-22 School Level AAFTE'!$C:$Z,11,FALSE)</f>
        <v>0.60106666666666664</v>
      </c>
      <c r="F2366" s="129" t="str">
        <f>VLOOKUP($C2366,'2021-22 School Level AAFTE'!$C:$Z,8,FALSE)</f>
        <v>Yes</v>
      </c>
      <c r="G2366" s="129" t="str">
        <f>VLOOKUP($C2366,'2021-22 School Level AAFTE'!$C:$Z,12,FALSE)</f>
        <v>No</v>
      </c>
      <c r="H2366" s="127">
        <f>VLOOKUP($C2366,'2021-22 School Level AAFTE'!$C:$I,7,FALSE)</f>
        <v>301.99</v>
      </c>
      <c r="I2366" s="112">
        <f>IFERROR(IF(OR(G2366="yes",F2366= "yes"),VLOOKUP(C2366,Summary!$B:$J,6,0),0),0)</f>
        <v>0</v>
      </c>
      <c r="J2366" s="111">
        <f t="shared" si="453"/>
        <v>301.99</v>
      </c>
      <c r="K2366" s="91">
        <f>VLOOKUP($A2366,'2022-23 Salary &amp; Benefits'!$A:$I,3,FALSE)</f>
        <v>1</v>
      </c>
      <c r="L2366" s="91">
        <f>VLOOKUP($A2366,'2022-23 Salary &amp; Benefits'!$A:$I,4,FALSE)</f>
        <v>1</v>
      </c>
      <c r="M2366" s="101">
        <f t="shared" si="463"/>
        <v>301.99</v>
      </c>
      <c r="N2366" s="24">
        <v>15</v>
      </c>
      <c r="O2366" s="26">
        <f t="shared" si="451"/>
        <v>20.132666666666669</v>
      </c>
      <c r="P2366" s="24">
        <v>1.1000000000000001</v>
      </c>
      <c r="Q2366" s="24">
        <v>36</v>
      </c>
      <c r="R2366" s="27">
        <f t="shared" si="466"/>
        <v>797.25360000000023</v>
      </c>
      <c r="S2366" s="102">
        <f t="shared" si="454"/>
        <v>0.88600000000000001</v>
      </c>
      <c r="T2366" s="21">
        <f>VLOOKUP($A2366,'2022-23 Salary &amp; Benefits'!$A:$I,5,FALSE)</f>
        <v>68937</v>
      </c>
      <c r="U2366" s="21">
        <f>VLOOKUP($A2366,'2022-23 Salary &amp; Benefits'!$A:$I,6,FALSE)</f>
        <v>72728</v>
      </c>
      <c r="V2366" s="22">
        <f t="shared" si="455"/>
        <v>61078.18</v>
      </c>
      <c r="W2366" s="22">
        <f t="shared" si="456"/>
        <v>3358.8300000000017</v>
      </c>
      <c r="X2366" s="22">
        <f>'2022-23 Salary &amp; Benefits'!$G$6</f>
        <v>12558.24</v>
      </c>
      <c r="Y2366" s="23">
        <f>'2022-23 Salary &amp; Benefits'!$H$6</f>
        <v>0.2298</v>
      </c>
      <c r="Z2366" s="23">
        <f>'2022-23 Salary &amp; Benefits'!$I$6</f>
        <v>0.22339999999999999</v>
      </c>
      <c r="AA2366" s="22">
        <f t="shared" si="457"/>
        <v>25912.73</v>
      </c>
      <c r="AB2366" s="22">
        <f t="shared" si="458"/>
        <v>1073.95</v>
      </c>
      <c r="AC2366" s="22">
        <f t="shared" si="459"/>
        <v>239.92</v>
      </c>
      <c r="AD2366" s="22">
        <f t="shared" si="464"/>
        <v>1313.8700000000001</v>
      </c>
      <c r="AE2366" s="22">
        <f t="shared" si="465"/>
        <v>91663.61</v>
      </c>
      <c r="AF2366" s="19" t="str">
        <f>VLOOKUP(C2366,'2021-22 School Level AAFTE'!C:N,12,FALSE)</f>
        <v>No</v>
      </c>
    </row>
  </sheetData>
  <autoFilter ref="A9:AF2366" xr:uid="{00000000-0009-0000-0000-000002000000}"/>
  <mergeCells count="1">
    <mergeCell ref="J8:L8"/>
  </mergeCells>
  <pageMargins left="0.7" right="0.7" top="0.75" bottom="0.75" header="0.3" footer="0.3"/>
  <pageSetup scale="28" fitToHeight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322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RowHeight="14.4"/>
  <cols>
    <col min="1" max="1" width="9.109375" style="29"/>
    <col min="2" max="2" width="53.33203125" style="29" bestFit="1" customWidth="1"/>
    <col min="3" max="3" width="23.33203125" customWidth="1"/>
    <col min="4" max="4" width="14.6640625" customWidth="1"/>
    <col min="5" max="5" width="9.109375" customWidth="1"/>
    <col min="6" max="6" width="9.109375" style="56" customWidth="1"/>
    <col min="9" max="9" width="12.109375" bestFit="1" customWidth="1"/>
    <col min="12" max="12" width="10.109375" customWidth="1"/>
    <col min="14" max="14" width="10.6640625" bestFit="1" customWidth="1"/>
    <col min="18" max="18" width="9.88671875" bestFit="1" customWidth="1"/>
    <col min="19" max="19" width="13.6640625" bestFit="1" customWidth="1"/>
    <col min="23" max="23" width="9.88671875" bestFit="1" customWidth="1"/>
    <col min="24" max="26" width="9.88671875" style="56" customWidth="1"/>
    <col min="27" max="27" width="12.6640625" bestFit="1" customWidth="1"/>
    <col min="28" max="29" width="15.6640625" bestFit="1" customWidth="1"/>
  </cols>
  <sheetData>
    <row r="1" spans="1:29">
      <c r="A1" s="29">
        <f>COLUMN(A1)</f>
        <v>1</v>
      </c>
      <c r="B1" s="29">
        <f t="shared" ref="B1:AA1" si="0">COLUMN(B1)</f>
        <v>2</v>
      </c>
      <c r="C1" s="29">
        <f t="shared" si="0"/>
        <v>3</v>
      </c>
      <c r="D1" s="29">
        <f t="shared" si="0"/>
        <v>4</v>
      </c>
      <c r="E1" s="29">
        <f t="shared" si="0"/>
        <v>5</v>
      </c>
      <c r="F1" s="59">
        <f t="shared" si="0"/>
        <v>6</v>
      </c>
      <c r="G1" s="29">
        <f t="shared" si="0"/>
        <v>7</v>
      </c>
      <c r="H1" s="29">
        <f t="shared" si="0"/>
        <v>8</v>
      </c>
      <c r="I1" s="29">
        <f t="shared" si="0"/>
        <v>9</v>
      </c>
      <c r="J1" s="29">
        <f t="shared" si="0"/>
        <v>10</v>
      </c>
      <c r="K1" s="29">
        <f t="shared" si="0"/>
        <v>11</v>
      </c>
      <c r="L1" s="29">
        <f t="shared" si="0"/>
        <v>12</v>
      </c>
      <c r="M1" s="29">
        <f t="shared" si="0"/>
        <v>13</v>
      </c>
      <c r="N1" s="29">
        <f t="shared" si="0"/>
        <v>14</v>
      </c>
      <c r="O1" s="29">
        <f t="shared" si="0"/>
        <v>15</v>
      </c>
      <c r="P1" s="29">
        <f t="shared" si="0"/>
        <v>16</v>
      </c>
      <c r="Q1" s="29">
        <f t="shared" si="0"/>
        <v>17</v>
      </c>
      <c r="R1" s="29">
        <f t="shared" si="0"/>
        <v>18</v>
      </c>
      <c r="S1" s="29">
        <f t="shared" si="0"/>
        <v>19</v>
      </c>
      <c r="T1" s="29">
        <f t="shared" si="0"/>
        <v>20</v>
      </c>
      <c r="U1" s="29">
        <f t="shared" si="0"/>
        <v>21</v>
      </c>
      <c r="V1" s="29">
        <f t="shared" si="0"/>
        <v>22</v>
      </c>
      <c r="W1" s="29">
        <f t="shared" si="0"/>
        <v>23</v>
      </c>
      <c r="X1" s="59"/>
      <c r="Y1" s="59"/>
      <c r="Z1" s="59"/>
      <c r="AA1" s="29">
        <f t="shared" si="0"/>
        <v>27</v>
      </c>
    </row>
    <row r="2" spans="1:29" s="56" customFormat="1">
      <c r="A2" s="59"/>
      <c r="B2" s="59"/>
      <c r="C2" s="136"/>
      <c r="D2" s="135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C2" s="178"/>
    </row>
    <row r="3" spans="1:29">
      <c r="D3" t="s">
        <v>2685</v>
      </c>
      <c r="AA3" s="168">
        <f>SUM(AA5:AA322)</f>
        <v>340528559.92000002</v>
      </c>
      <c r="AB3" s="77"/>
      <c r="AC3" s="168"/>
    </row>
    <row r="4" spans="1:29" ht="57">
      <c r="A4" s="29" t="s">
        <v>2707</v>
      </c>
      <c r="B4" s="29" t="s">
        <v>2571</v>
      </c>
      <c r="C4" s="15" t="s">
        <v>3062</v>
      </c>
      <c r="D4" s="11" t="s">
        <v>3081</v>
      </c>
      <c r="E4" s="37" t="s">
        <v>3063</v>
      </c>
      <c r="F4" s="37" t="s">
        <v>3064</v>
      </c>
      <c r="G4" s="38" t="s">
        <v>2691</v>
      </c>
      <c r="H4" s="38" t="s">
        <v>2689</v>
      </c>
      <c r="I4" s="38" t="s">
        <v>2690</v>
      </c>
      <c r="J4" s="38" t="s">
        <v>2580</v>
      </c>
      <c r="K4" s="38" t="s">
        <v>2581</v>
      </c>
      <c r="L4" s="38" t="s">
        <v>2582</v>
      </c>
      <c r="M4" s="38" t="s">
        <v>2583</v>
      </c>
      <c r="N4" s="38" t="s">
        <v>2584</v>
      </c>
      <c r="O4" s="40" t="s">
        <v>2574</v>
      </c>
      <c r="P4" s="12" t="s">
        <v>2572</v>
      </c>
      <c r="Q4" s="12" t="s">
        <v>2573</v>
      </c>
      <c r="R4" s="36" t="s">
        <v>2575</v>
      </c>
      <c r="S4" s="36" t="s">
        <v>2576</v>
      </c>
      <c r="T4" s="13" t="s">
        <v>2577</v>
      </c>
      <c r="U4" s="13" t="s">
        <v>2578</v>
      </c>
      <c r="V4" s="13" t="s">
        <v>2579</v>
      </c>
      <c r="W4" s="36" t="s">
        <v>2588</v>
      </c>
      <c r="X4" s="94" t="s">
        <v>2759</v>
      </c>
      <c r="Y4" s="94" t="s">
        <v>2760</v>
      </c>
      <c r="Z4" s="94" t="s">
        <v>2761</v>
      </c>
      <c r="AA4" s="13" t="s">
        <v>2695</v>
      </c>
    </row>
    <row r="5" spans="1:29">
      <c r="A5" s="125" t="s">
        <v>2327</v>
      </c>
      <c r="B5" s="3" t="s">
        <v>465</v>
      </c>
      <c r="C5" s="93">
        <f>IF(A5=Summary!$B$9,Summary!$G$9,0)</f>
        <v>0</v>
      </c>
      <c r="D5" s="134">
        <f>VLOOKUP(A5,AAFTE!$A:$S,3,0)</f>
        <v>3111.81</v>
      </c>
      <c r="E5" s="20">
        <f>VLOOKUP($A5,'2022-23 Salary &amp; Benefits'!$A:$I,3,)</f>
        <v>1</v>
      </c>
      <c r="F5" s="20">
        <f>VLOOKUP($A5,'2022-23 Salary &amp; Benefits'!$A:$I,4,)</f>
        <v>1</v>
      </c>
      <c r="G5" s="34">
        <f>VLOOKUP(A5,'CEDARS District FRPL'!$A:$C,3,)</f>
        <v>0.72529999999999994</v>
      </c>
      <c r="H5" s="25">
        <f t="shared" ref="H5:H70" si="1">IF(C5&gt;0,C5,D5)</f>
        <v>3111.81</v>
      </c>
      <c r="I5" s="39">
        <f>ROUND(H5*G5,2)</f>
        <v>2257</v>
      </c>
      <c r="J5" s="24">
        <v>15</v>
      </c>
      <c r="K5" s="26">
        <f t="shared" ref="K5:K71" si="2">I5/J5</f>
        <v>150.46666666666667</v>
      </c>
      <c r="L5" s="24">
        <v>2.3975</v>
      </c>
      <c r="M5" s="24">
        <v>36</v>
      </c>
      <c r="N5" s="27">
        <f t="shared" ref="N5:N71" si="3">K5*L5*M5</f>
        <v>12986.778</v>
      </c>
      <c r="O5" s="102">
        <f>ROUND(N5/900,3)</f>
        <v>14.43</v>
      </c>
      <c r="P5" s="21">
        <f>VLOOKUP(A5,'2022-23 Salary &amp; Benefits'!$A:$I,5,)</f>
        <v>68937</v>
      </c>
      <c r="Q5" s="21">
        <f>VLOOKUP(A5,'2022-23 Salary &amp; Benefits'!$A:$I,6,FALSE)</f>
        <v>72728</v>
      </c>
      <c r="R5" s="22">
        <f>ROUND($E5*$P5*$O5,2)</f>
        <v>994760.91</v>
      </c>
      <c r="S5" s="22">
        <f>ROUND(($Q5*$F5*$O5-$R5),2)</f>
        <v>54704.13</v>
      </c>
      <c r="T5" s="22">
        <f>'2022-23 Salary &amp; Benefits'!$G$6</f>
        <v>12558.24</v>
      </c>
      <c r="U5" s="23">
        <f>'2022-23 Salary &amp; Benefits'!$H$6</f>
        <v>0.2298</v>
      </c>
      <c r="V5" s="23">
        <f>'2022-23 Salary &amp; Benefits'!$I$6</f>
        <v>0.22339999999999999</v>
      </c>
      <c r="W5" s="22">
        <f>ROUND(R5*U5+S5*V5+O5*T5,2)</f>
        <v>422032.36</v>
      </c>
      <c r="X5" s="22">
        <f>ROUND(($Q5*$F5*$O5/180*3),2)</f>
        <v>17491.080000000002</v>
      </c>
      <c r="Y5" s="22">
        <f>ROUND(X5*V5,2)</f>
        <v>3907.51</v>
      </c>
      <c r="Z5" s="22">
        <f>SUM(X5:Y5)</f>
        <v>21398.590000000004</v>
      </c>
      <c r="AA5" s="22">
        <f>SUM(W5,R5:S5,Z5)</f>
        <v>1492895.99</v>
      </c>
    </row>
    <row r="6" spans="1:29">
      <c r="A6" s="125" t="s">
        <v>2397</v>
      </c>
      <c r="B6" s="3" t="s">
        <v>1145</v>
      </c>
      <c r="C6" s="93">
        <f>IF(A6=Summary!$B$9,Summary!$G$9,0)</f>
        <v>0</v>
      </c>
      <c r="D6" s="134">
        <f>VLOOKUP(A6,AAFTE!$A:$S,3,0)</f>
        <v>616.02</v>
      </c>
      <c r="E6" s="20">
        <f>VLOOKUP($A6,'2022-23 Salary &amp; Benefits'!$A:$I,3,)</f>
        <v>1</v>
      </c>
      <c r="F6" s="20">
        <f>VLOOKUP($A6,'2022-23 Salary &amp; Benefits'!$A:$I,4,)</f>
        <v>1.04</v>
      </c>
      <c r="G6" s="34">
        <f>VLOOKUP(A6,'CEDARS District FRPL'!$A:$C,3,)</f>
        <v>0.25719999999999998</v>
      </c>
      <c r="H6" s="25">
        <f t="shared" si="1"/>
        <v>616.02</v>
      </c>
      <c r="I6" s="39">
        <f t="shared" ref="I6:I69" si="4">ROUND(H6*G6,2)</f>
        <v>158.44</v>
      </c>
      <c r="J6" s="24">
        <v>15</v>
      </c>
      <c r="K6" s="26">
        <f t="shared" si="2"/>
        <v>10.562666666666667</v>
      </c>
      <c r="L6" s="24">
        <v>2.3975</v>
      </c>
      <c r="M6" s="24">
        <v>36</v>
      </c>
      <c r="N6" s="27">
        <f t="shared" si="3"/>
        <v>911.66376000000002</v>
      </c>
      <c r="O6" s="102">
        <f t="shared" ref="O6:O69" si="5">ROUND(N6/900,3)</f>
        <v>1.0129999999999999</v>
      </c>
      <c r="P6" s="21">
        <f>VLOOKUP(A6,'2022-23 Salary &amp; Benefits'!$A:$I,5,)</f>
        <v>68937</v>
      </c>
      <c r="Q6" s="21">
        <f>VLOOKUP(A6,'2022-23 Salary &amp; Benefits'!$A:$I,6,FALSE)</f>
        <v>72728</v>
      </c>
      <c r="R6" s="22">
        <f t="shared" ref="R6:R69" si="6">ROUND($E6*$P6*$O6,2)</f>
        <v>69833.179999999993</v>
      </c>
      <c r="S6" s="22">
        <f t="shared" ref="S6:S69" si="7">ROUND(($Q6*$F6*$O6-$R6),2)</f>
        <v>6787.22</v>
      </c>
      <c r="T6" s="22">
        <f>'2022-23 Salary &amp; Benefits'!$G$6</f>
        <v>12558.24</v>
      </c>
      <c r="U6" s="23">
        <f>'2022-23 Salary &amp; Benefits'!$H$6</f>
        <v>0.2298</v>
      </c>
      <c r="V6" s="23">
        <f>'2022-23 Salary &amp; Benefits'!$I$6</f>
        <v>0.22339999999999999</v>
      </c>
      <c r="W6" s="22">
        <f t="shared" ref="W6:W69" si="8">ROUND(R6*U6+S6*V6+O6*T6,2)</f>
        <v>30285.43</v>
      </c>
      <c r="X6" s="22">
        <f t="shared" ref="X6:X69" si="9">ROUND(($Q6*$F6*$O6/180*3),2)</f>
        <v>1277.01</v>
      </c>
      <c r="Y6" s="22">
        <f t="shared" ref="Y6:Y69" si="10">ROUND(X6*V6,2)</f>
        <v>285.27999999999997</v>
      </c>
      <c r="Z6" s="22">
        <f t="shared" ref="Z6:Z72" si="11">SUM(X6:Y6)</f>
        <v>1562.29</v>
      </c>
      <c r="AA6" s="22">
        <f t="shared" ref="AA6:AA72" si="12">SUM(W6,R6:S6,Z6)</f>
        <v>108468.11999999998</v>
      </c>
    </row>
    <row r="7" spans="1:29">
      <c r="A7" s="125" t="s">
        <v>2408</v>
      </c>
      <c r="B7" s="3" t="s">
        <v>1187</v>
      </c>
      <c r="C7" s="93">
        <f>IF(A7=Summary!$B$9,Summary!$G$9,0)</f>
        <v>0</v>
      </c>
      <c r="D7" s="134">
        <f>VLOOKUP(A7,AAFTE!$A:$S,3,0)</f>
        <v>96.41</v>
      </c>
      <c r="E7" s="20">
        <f>VLOOKUP($A7,'2022-23 Salary &amp; Benefits'!$A:$I,3,)</f>
        <v>1</v>
      </c>
      <c r="F7" s="20">
        <f>VLOOKUP($A7,'2022-23 Salary &amp; Benefits'!$A:$I,4,)</f>
        <v>1.04</v>
      </c>
      <c r="G7" s="34">
        <f>VLOOKUP(A7,'CEDARS District FRPL'!$A:$C,3,)</f>
        <v>0.30830000000000002</v>
      </c>
      <c r="H7" s="25">
        <f t="shared" si="1"/>
        <v>96.41</v>
      </c>
      <c r="I7" s="39">
        <f t="shared" si="4"/>
        <v>29.72</v>
      </c>
      <c r="J7" s="24">
        <v>15</v>
      </c>
      <c r="K7" s="26">
        <f t="shared" si="2"/>
        <v>1.9813333333333332</v>
      </c>
      <c r="L7" s="24">
        <v>2.3975</v>
      </c>
      <c r="M7" s="24">
        <v>36</v>
      </c>
      <c r="N7" s="27">
        <f t="shared" si="3"/>
        <v>171.00888</v>
      </c>
      <c r="O7" s="102">
        <f t="shared" si="5"/>
        <v>0.19</v>
      </c>
      <c r="P7" s="21">
        <f>VLOOKUP(A7,'2022-23 Salary &amp; Benefits'!$A:$I,5,)</f>
        <v>68937</v>
      </c>
      <c r="Q7" s="21">
        <f>VLOOKUP(A7,'2022-23 Salary &amp; Benefits'!$A:$I,6,FALSE)</f>
        <v>72728</v>
      </c>
      <c r="R7" s="22">
        <f t="shared" si="6"/>
        <v>13098.03</v>
      </c>
      <c r="S7" s="22">
        <f t="shared" si="7"/>
        <v>1273.02</v>
      </c>
      <c r="T7" s="22">
        <f>'2022-23 Salary &amp; Benefits'!$G$6</f>
        <v>12558.24</v>
      </c>
      <c r="U7" s="23">
        <f>'2022-23 Salary &amp; Benefits'!$H$6</f>
        <v>0.2298</v>
      </c>
      <c r="V7" s="23">
        <f>'2022-23 Salary &amp; Benefits'!$I$6</f>
        <v>0.22339999999999999</v>
      </c>
      <c r="W7" s="22">
        <f t="shared" si="8"/>
        <v>5680.39</v>
      </c>
      <c r="X7" s="22">
        <f t="shared" si="9"/>
        <v>239.52</v>
      </c>
      <c r="Y7" s="22">
        <f t="shared" si="10"/>
        <v>53.51</v>
      </c>
      <c r="Z7" s="22">
        <f t="shared" si="11"/>
        <v>293.03000000000003</v>
      </c>
      <c r="AA7" s="22">
        <f t="shared" si="12"/>
        <v>20344.47</v>
      </c>
    </row>
    <row r="8" spans="1:29">
      <c r="A8" s="125" t="s">
        <v>2463</v>
      </c>
      <c r="B8" s="3" t="s">
        <v>1562</v>
      </c>
      <c r="C8" s="93">
        <f>IF(A8=Summary!$B$9,Summary!$G$9,0)</f>
        <v>0</v>
      </c>
      <c r="D8" s="134">
        <f>VLOOKUP(A8,AAFTE!$A:$S,3,0)</f>
        <v>2501.83</v>
      </c>
      <c r="E8" s="20">
        <f>VLOOKUP($A8,'2022-23 Salary &amp; Benefits'!$A:$I,3,)</f>
        <v>1.1200000000000001</v>
      </c>
      <c r="F8" s="20">
        <f>VLOOKUP($A8,'2022-23 Salary &amp; Benefits'!$A:$I,4,)</f>
        <v>1.1200000000000001</v>
      </c>
      <c r="G8" s="34">
        <f>VLOOKUP(A8,'CEDARS District FRPL'!$A:$C,3,)</f>
        <v>0.28989999999999999</v>
      </c>
      <c r="H8" s="25">
        <f t="shared" si="1"/>
        <v>2501.83</v>
      </c>
      <c r="I8" s="39">
        <f t="shared" si="4"/>
        <v>725.28</v>
      </c>
      <c r="J8" s="24">
        <v>15</v>
      </c>
      <c r="K8" s="26">
        <f t="shared" si="2"/>
        <v>48.351999999999997</v>
      </c>
      <c r="L8" s="24">
        <v>2.3975</v>
      </c>
      <c r="M8" s="24">
        <v>36</v>
      </c>
      <c r="N8" s="27">
        <f t="shared" si="3"/>
        <v>4173.2611200000001</v>
      </c>
      <c r="O8" s="102">
        <f t="shared" si="5"/>
        <v>4.6369999999999996</v>
      </c>
      <c r="P8" s="21">
        <f>VLOOKUP(A8,'2022-23 Salary &amp; Benefits'!$A:$I,5,)</f>
        <v>68937</v>
      </c>
      <c r="Q8" s="21">
        <f>VLOOKUP(A8,'2022-23 Salary &amp; Benefits'!$A:$I,6,FALSE)</f>
        <v>72728</v>
      </c>
      <c r="R8" s="22">
        <f t="shared" si="6"/>
        <v>358020.17</v>
      </c>
      <c r="S8" s="22">
        <f t="shared" si="7"/>
        <v>19688.330000000002</v>
      </c>
      <c r="T8" s="22">
        <f>'2022-23 Salary &amp; Benefits'!$G$6</f>
        <v>12558.24</v>
      </c>
      <c r="U8" s="23">
        <f>'2022-23 Salary &amp; Benefits'!$H$6</f>
        <v>0.2298</v>
      </c>
      <c r="V8" s="23">
        <f>'2022-23 Salary &amp; Benefits'!$I$6</f>
        <v>0.22339999999999999</v>
      </c>
      <c r="W8" s="22">
        <f t="shared" si="8"/>
        <v>144903.97</v>
      </c>
      <c r="X8" s="22">
        <f t="shared" si="9"/>
        <v>6295.14</v>
      </c>
      <c r="Y8" s="22">
        <f t="shared" si="10"/>
        <v>1406.33</v>
      </c>
      <c r="Z8" s="22">
        <f t="shared" si="11"/>
        <v>7701.47</v>
      </c>
      <c r="AA8" s="22">
        <f t="shared" si="12"/>
        <v>530313.94000000006</v>
      </c>
    </row>
    <row r="9" spans="1:29">
      <c r="A9" s="125" t="s">
        <v>2476</v>
      </c>
      <c r="B9" s="3" t="s">
        <v>1681</v>
      </c>
      <c r="C9" s="93">
        <f>IF(A9=Summary!$B$9,Summary!$G$9,0)</f>
        <v>0</v>
      </c>
      <c r="D9" s="134">
        <f>VLOOKUP(A9,AAFTE!$A:$S,3,0)</f>
        <v>5343.29</v>
      </c>
      <c r="E9" s="20">
        <f>VLOOKUP($A9,'2022-23 Salary &amp; Benefits'!$A:$I,3,)</f>
        <v>1.1499999999999999</v>
      </c>
      <c r="F9" s="20">
        <f>VLOOKUP($A9,'2022-23 Salary &amp; Benefits'!$A:$I,4,)</f>
        <v>1.1499999999999999</v>
      </c>
      <c r="G9" s="34">
        <f>VLOOKUP(A9,'CEDARS District FRPL'!$A:$C,3,)</f>
        <v>0.32400000000000001</v>
      </c>
      <c r="H9" s="25">
        <f t="shared" si="1"/>
        <v>5343.29</v>
      </c>
      <c r="I9" s="39">
        <f t="shared" si="4"/>
        <v>1731.23</v>
      </c>
      <c r="J9" s="24">
        <v>15</v>
      </c>
      <c r="K9" s="26">
        <f t="shared" si="2"/>
        <v>115.41533333333334</v>
      </c>
      <c r="L9" s="24">
        <v>2.3975</v>
      </c>
      <c r="M9" s="24">
        <v>36</v>
      </c>
      <c r="N9" s="27">
        <f t="shared" si="3"/>
        <v>9961.4974199999997</v>
      </c>
      <c r="O9" s="102">
        <f t="shared" si="5"/>
        <v>11.068</v>
      </c>
      <c r="P9" s="21">
        <f>VLOOKUP(A9,'2022-23 Salary &amp; Benefits'!$A:$I,5,)</f>
        <v>68937</v>
      </c>
      <c r="Q9" s="21">
        <f>VLOOKUP(A9,'2022-23 Salary &amp; Benefits'!$A:$I,6,FALSE)</f>
        <v>72728</v>
      </c>
      <c r="R9" s="22">
        <f t="shared" si="6"/>
        <v>877443.92</v>
      </c>
      <c r="S9" s="22">
        <f t="shared" si="7"/>
        <v>48252.61</v>
      </c>
      <c r="T9" s="22">
        <f>'2022-23 Salary &amp; Benefits'!$G$6</f>
        <v>12558.24</v>
      </c>
      <c r="U9" s="23">
        <f>'2022-23 Salary &amp; Benefits'!$H$6</f>
        <v>0.2298</v>
      </c>
      <c r="V9" s="23">
        <f>'2022-23 Salary &amp; Benefits'!$I$6</f>
        <v>0.22339999999999999</v>
      </c>
      <c r="W9" s="22">
        <f t="shared" si="8"/>
        <v>351410.85</v>
      </c>
      <c r="X9" s="22">
        <f t="shared" si="9"/>
        <v>15428.28</v>
      </c>
      <c r="Y9" s="22">
        <f t="shared" si="10"/>
        <v>3446.68</v>
      </c>
      <c r="Z9" s="22">
        <f t="shared" si="11"/>
        <v>18874.96</v>
      </c>
      <c r="AA9" s="22">
        <f t="shared" si="12"/>
        <v>1295982.3400000001</v>
      </c>
    </row>
    <row r="10" spans="1:29">
      <c r="A10" s="125" t="s">
        <v>2263</v>
      </c>
      <c r="B10" s="3" t="s">
        <v>30</v>
      </c>
      <c r="C10" s="93">
        <f>IF(A10=Summary!$B$9,Summary!$G$9,0)</f>
        <v>0</v>
      </c>
      <c r="D10" s="134">
        <f>VLOOKUP(A10,AAFTE!$A:$S,3,0)</f>
        <v>607.87</v>
      </c>
      <c r="E10" s="20">
        <f>VLOOKUP($A10,'2022-23 Salary &amp; Benefits'!$A:$I,3,)</f>
        <v>1</v>
      </c>
      <c r="F10" s="20">
        <f>VLOOKUP($A10,'2022-23 Salary &amp; Benefits'!$A:$I,4,)</f>
        <v>1</v>
      </c>
      <c r="G10" s="34">
        <f>VLOOKUP(A10,'CEDARS District FRPL'!$A:$C,3,)</f>
        <v>0.2616</v>
      </c>
      <c r="H10" s="25">
        <f t="shared" si="1"/>
        <v>607.87</v>
      </c>
      <c r="I10" s="39">
        <f t="shared" si="4"/>
        <v>159.02000000000001</v>
      </c>
      <c r="J10" s="24">
        <v>15</v>
      </c>
      <c r="K10" s="26">
        <f t="shared" si="2"/>
        <v>10.601333333333335</v>
      </c>
      <c r="L10" s="24">
        <v>2.3975</v>
      </c>
      <c r="M10" s="24">
        <v>36</v>
      </c>
      <c r="N10" s="27">
        <f t="shared" si="3"/>
        <v>915.00108000000012</v>
      </c>
      <c r="O10" s="102">
        <f t="shared" si="5"/>
        <v>1.0169999999999999</v>
      </c>
      <c r="P10" s="21">
        <f>VLOOKUP(A10,'2022-23 Salary &amp; Benefits'!$A:$I,5,)</f>
        <v>68937</v>
      </c>
      <c r="Q10" s="21">
        <f>VLOOKUP(A10,'2022-23 Salary &amp; Benefits'!$A:$I,6,FALSE)</f>
        <v>72728</v>
      </c>
      <c r="R10" s="22">
        <f t="shared" si="6"/>
        <v>70108.929999999993</v>
      </c>
      <c r="S10" s="22">
        <f t="shared" si="7"/>
        <v>3855.45</v>
      </c>
      <c r="T10" s="22">
        <f>'2022-23 Salary &amp; Benefits'!$G$6</f>
        <v>12558.24</v>
      </c>
      <c r="U10" s="23">
        <f>'2022-23 Salary &amp; Benefits'!$H$6</f>
        <v>0.2298</v>
      </c>
      <c r="V10" s="23">
        <f>'2022-23 Salary &amp; Benefits'!$I$6</f>
        <v>0.22339999999999999</v>
      </c>
      <c r="W10" s="22">
        <f t="shared" si="8"/>
        <v>29744.07</v>
      </c>
      <c r="X10" s="22">
        <f t="shared" si="9"/>
        <v>1232.74</v>
      </c>
      <c r="Y10" s="22">
        <f t="shared" si="10"/>
        <v>275.39</v>
      </c>
      <c r="Z10" s="22">
        <f t="shared" si="11"/>
        <v>1508.13</v>
      </c>
      <c r="AA10" s="22">
        <f t="shared" si="12"/>
        <v>105216.58</v>
      </c>
    </row>
    <row r="11" spans="1:29">
      <c r="A11" s="125" t="s">
        <v>2359</v>
      </c>
      <c r="B11" s="3" t="s">
        <v>808</v>
      </c>
      <c r="C11" s="93">
        <f>IF(A11=Summary!$B$9,Summary!$G$9,0)</f>
        <v>0</v>
      </c>
      <c r="D11" s="134">
        <f>VLOOKUP(A11,AAFTE!$A:$S,3,0)</f>
        <v>16795.96</v>
      </c>
      <c r="E11" s="20">
        <f>VLOOKUP($A11,'2022-23 Salary &amp; Benefits'!$A:$I,3,)</f>
        <v>1.1499999999999999</v>
      </c>
      <c r="F11" s="20">
        <f>VLOOKUP($A11,'2022-23 Salary &amp; Benefits'!$A:$I,4,)</f>
        <v>1.1499999999999999</v>
      </c>
      <c r="G11" s="34">
        <f>VLOOKUP(A11,'CEDARS District FRPL'!$A:$C,3,)</f>
        <v>0.56840000000000002</v>
      </c>
      <c r="H11" s="25">
        <f t="shared" si="1"/>
        <v>16795.96</v>
      </c>
      <c r="I11" s="39">
        <f t="shared" si="4"/>
        <v>9546.82</v>
      </c>
      <c r="J11" s="24">
        <v>15</v>
      </c>
      <c r="K11" s="26">
        <f t="shared" si="2"/>
        <v>636.45466666666664</v>
      </c>
      <c r="L11" s="24">
        <v>2.3975</v>
      </c>
      <c r="M11" s="24">
        <v>36</v>
      </c>
      <c r="N11" s="27">
        <f t="shared" si="3"/>
        <v>54932.402279999995</v>
      </c>
      <c r="O11" s="102">
        <f t="shared" si="5"/>
        <v>61.036000000000001</v>
      </c>
      <c r="P11" s="21">
        <f>VLOOKUP(A11,'2022-23 Salary &amp; Benefits'!$A:$I,5,)</f>
        <v>68937</v>
      </c>
      <c r="Q11" s="21">
        <f>VLOOKUP(A11,'2022-23 Salary &amp; Benefits'!$A:$I,6,FALSE)</f>
        <v>72728</v>
      </c>
      <c r="R11" s="22">
        <f t="shared" si="6"/>
        <v>4838784.54</v>
      </c>
      <c r="S11" s="22">
        <f t="shared" si="7"/>
        <v>266095.59999999998</v>
      </c>
      <c r="T11" s="22">
        <f>'2022-23 Salary &amp; Benefits'!$G$6</f>
        <v>12558.24</v>
      </c>
      <c r="U11" s="23">
        <f>'2022-23 Salary &amp; Benefits'!$H$6</f>
        <v>0.2298</v>
      </c>
      <c r="V11" s="23">
        <f>'2022-23 Salary &amp; Benefits'!$I$6</f>
        <v>0.22339999999999999</v>
      </c>
      <c r="W11" s="22">
        <f t="shared" si="8"/>
        <v>1937903.18</v>
      </c>
      <c r="X11" s="22">
        <f t="shared" si="9"/>
        <v>85081.34</v>
      </c>
      <c r="Y11" s="22">
        <f t="shared" si="10"/>
        <v>19007.169999999998</v>
      </c>
      <c r="Z11" s="22">
        <f t="shared" si="11"/>
        <v>104088.51</v>
      </c>
      <c r="AA11" s="22">
        <f t="shared" si="12"/>
        <v>7146871.8299999991</v>
      </c>
    </row>
    <row r="12" spans="1:29">
      <c r="A12" s="125" t="s">
        <v>2372</v>
      </c>
      <c r="B12" s="3" t="s">
        <v>1028</v>
      </c>
      <c r="C12" s="93">
        <f>IF(A12=Summary!$B$9,Summary!$G$9,0)</f>
        <v>0</v>
      </c>
      <c r="D12" s="134">
        <f>VLOOKUP(A12,AAFTE!$A:$S,3,0)</f>
        <v>3587.84</v>
      </c>
      <c r="E12" s="20">
        <f>VLOOKUP($A12,'2022-23 Salary &amp; Benefits'!$A:$I,3,)</f>
        <v>1.18</v>
      </c>
      <c r="F12" s="20">
        <f>VLOOKUP($A12,'2022-23 Salary &amp; Benefits'!$A:$I,4,)</f>
        <v>1.18</v>
      </c>
      <c r="G12" s="34">
        <f>VLOOKUP(A12,'CEDARS District FRPL'!$A:$C,3,)</f>
        <v>6.9800000000000001E-2</v>
      </c>
      <c r="H12" s="25">
        <f t="shared" si="1"/>
        <v>3587.84</v>
      </c>
      <c r="I12" s="39">
        <f t="shared" si="4"/>
        <v>250.43</v>
      </c>
      <c r="J12" s="24">
        <v>15</v>
      </c>
      <c r="K12" s="26">
        <f t="shared" si="2"/>
        <v>16.695333333333334</v>
      </c>
      <c r="L12" s="24">
        <v>2.3975</v>
      </c>
      <c r="M12" s="24">
        <v>36</v>
      </c>
      <c r="N12" s="27">
        <f t="shared" si="3"/>
        <v>1440.9742200000001</v>
      </c>
      <c r="O12" s="102">
        <f t="shared" si="5"/>
        <v>1.601</v>
      </c>
      <c r="P12" s="21">
        <f>VLOOKUP(A12,'2022-23 Salary &amp; Benefits'!$A:$I,5,)</f>
        <v>68937</v>
      </c>
      <c r="Q12" s="21">
        <f>VLOOKUP(A12,'2022-23 Salary &amp; Benefits'!$A:$I,6,FALSE)</f>
        <v>72728</v>
      </c>
      <c r="R12" s="22">
        <f t="shared" si="6"/>
        <v>130234.4</v>
      </c>
      <c r="S12" s="22">
        <f t="shared" si="7"/>
        <v>7161.88</v>
      </c>
      <c r="T12" s="22">
        <f>'2022-23 Salary &amp; Benefits'!$G$6</f>
        <v>12558.24</v>
      </c>
      <c r="U12" s="23">
        <f>'2022-23 Salary &amp; Benefits'!$H$6</f>
        <v>0.2298</v>
      </c>
      <c r="V12" s="23">
        <f>'2022-23 Salary &amp; Benefits'!$I$6</f>
        <v>0.22339999999999999</v>
      </c>
      <c r="W12" s="22">
        <f t="shared" si="8"/>
        <v>51633.57</v>
      </c>
      <c r="X12" s="22">
        <f t="shared" si="9"/>
        <v>2289.94</v>
      </c>
      <c r="Y12" s="22">
        <f t="shared" si="10"/>
        <v>511.57</v>
      </c>
      <c r="Z12" s="22">
        <f t="shared" si="11"/>
        <v>2801.51</v>
      </c>
      <c r="AA12" s="22">
        <f t="shared" si="12"/>
        <v>191831.36000000002</v>
      </c>
    </row>
    <row r="13" spans="1:29">
      <c r="A13" s="125" t="s">
        <v>2290</v>
      </c>
      <c r="B13" s="3" t="s">
        <v>265</v>
      </c>
      <c r="C13" s="93">
        <f>IF(A13=Summary!$B$9,Summary!$G$9,0)</f>
        <v>0</v>
      </c>
      <c r="D13" s="134">
        <f>VLOOKUP(A13,AAFTE!$A:$S,3,0)</f>
        <v>11718.48</v>
      </c>
      <c r="E13" s="20">
        <f>VLOOKUP($A13,'2022-23 Salary &amp; Benefits'!$A:$I,3,)</f>
        <v>1.06</v>
      </c>
      <c r="F13" s="20">
        <f>VLOOKUP($A13,'2022-23 Salary &amp; Benefits'!$A:$I,4,)</f>
        <v>1.06</v>
      </c>
      <c r="G13" s="34">
        <f>VLOOKUP(A13,'CEDARS District FRPL'!$A:$C,3,)</f>
        <v>0.34350000000000003</v>
      </c>
      <c r="H13" s="25">
        <f t="shared" si="1"/>
        <v>11718.48</v>
      </c>
      <c r="I13" s="39">
        <f t="shared" si="4"/>
        <v>4025.3</v>
      </c>
      <c r="J13" s="24">
        <v>15</v>
      </c>
      <c r="K13" s="26">
        <f t="shared" si="2"/>
        <v>268.35333333333335</v>
      </c>
      <c r="L13" s="24">
        <v>2.3975</v>
      </c>
      <c r="M13" s="24">
        <v>36</v>
      </c>
      <c r="N13" s="27">
        <f t="shared" si="3"/>
        <v>23161.5762</v>
      </c>
      <c r="O13" s="102">
        <f t="shared" si="5"/>
        <v>25.734999999999999</v>
      </c>
      <c r="P13" s="21">
        <f>VLOOKUP(A13,'2022-23 Salary &amp; Benefits'!$A:$I,5,)</f>
        <v>68937</v>
      </c>
      <c r="Q13" s="21">
        <f>VLOOKUP(A13,'2022-23 Salary &amp; Benefits'!$A:$I,6,FALSE)</f>
        <v>72728</v>
      </c>
      <c r="R13" s="22">
        <f t="shared" si="6"/>
        <v>1880539.32</v>
      </c>
      <c r="S13" s="22">
        <f t="shared" si="7"/>
        <v>103415.06</v>
      </c>
      <c r="T13" s="22">
        <f>'2022-23 Salary &amp; Benefits'!$G$6</f>
        <v>12558.24</v>
      </c>
      <c r="U13" s="23">
        <f>'2022-23 Salary &amp; Benefits'!$H$6</f>
        <v>0.2298</v>
      </c>
      <c r="V13" s="23">
        <f>'2022-23 Salary &amp; Benefits'!$I$6</f>
        <v>0.22339999999999999</v>
      </c>
      <c r="W13" s="22">
        <f t="shared" si="8"/>
        <v>778437.17</v>
      </c>
      <c r="X13" s="22">
        <f t="shared" si="9"/>
        <v>33065.910000000003</v>
      </c>
      <c r="Y13" s="22">
        <f t="shared" si="10"/>
        <v>7386.92</v>
      </c>
      <c r="Z13" s="22">
        <f t="shared" si="11"/>
        <v>40452.83</v>
      </c>
      <c r="AA13" s="22">
        <f t="shared" si="12"/>
        <v>2802844.3800000004</v>
      </c>
    </row>
    <row r="14" spans="1:29">
      <c r="A14" s="125" t="s">
        <v>2356</v>
      </c>
      <c r="B14" s="3" t="s">
        <v>763</v>
      </c>
      <c r="C14" s="93">
        <f>IF(A14=Summary!$B$9,Summary!$G$9,0)</f>
        <v>0</v>
      </c>
      <c r="D14" s="134">
        <f>VLOOKUP(A14,AAFTE!$A:$S,3,0)</f>
        <v>18936.25</v>
      </c>
      <c r="E14" s="20">
        <f>VLOOKUP($A14,'2022-23 Salary &amp; Benefits'!$A:$I,3,)</f>
        <v>1.18</v>
      </c>
      <c r="F14" s="20">
        <f>VLOOKUP($A14,'2022-23 Salary &amp; Benefits'!$A:$I,4,)</f>
        <v>1.18</v>
      </c>
      <c r="G14" s="34">
        <f>VLOOKUP(A14,'CEDARS District FRPL'!$A:$C,3,)</f>
        <v>0.1701</v>
      </c>
      <c r="H14" s="25">
        <f t="shared" si="1"/>
        <v>18936.25</v>
      </c>
      <c r="I14" s="39">
        <f t="shared" si="4"/>
        <v>3221.06</v>
      </c>
      <c r="J14" s="24">
        <v>15</v>
      </c>
      <c r="K14" s="26">
        <f t="shared" si="2"/>
        <v>214.73733333333334</v>
      </c>
      <c r="L14" s="24">
        <v>2.3975</v>
      </c>
      <c r="M14" s="24">
        <v>36</v>
      </c>
      <c r="N14" s="27">
        <f t="shared" si="3"/>
        <v>18533.979240000001</v>
      </c>
      <c r="O14" s="102">
        <f t="shared" si="5"/>
        <v>20.593</v>
      </c>
      <c r="P14" s="21">
        <f>VLOOKUP(A14,'2022-23 Salary &amp; Benefits'!$A:$I,5,)</f>
        <v>68937</v>
      </c>
      <c r="Q14" s="21">
        <f>VLOOKUP(A14,'2022-23 Salary &amp; Benefits'!$A:$I,6,FALSE)</f>
        <v>72728</v>
      </c>
      <c r="R14" s="22">
        <f t="shared" si="6"/>
        <v>1675151.18</v>
      </c>
      <c r="S14" s="22">
        <f t="shared" si="7"/>
        <v>92120.31</v>
      </c>
      <c r="T14" s="22">
        <f>'2022-23 Salary &amp; Benefits'!$G$6</f>
        <v>12558.24</v>
      </c>
      <c r="U14" s="23">
        <f>'2022-23 Salary &amp; Benefits'!$H$6</f>
        <v>0.2298</v>
      </c>
      <c r="V14" s="23">
        <f>'2022-23 Salary &amp; Benefits'!$I$6</f>
        <v>0.22339999999999999</v>
      </c>
      <c r="W14" s="22">
        <f t="shared" si="8"/>
        <v>664141.25</v>
      </c>
      <c r="X14" s="22">
        <f t="shared" si="9"/>
        <v>29454.52</v>
      </c>
      <c r="Y14" s="22">
        <f t="shared" si="10"/>
        <v>6580.14</v>
      </c>
      <c r="Z14" s="22">
        <f t="shared" si="11"/>
        <v>36034.660000000003</v>
      </c>
      <c r="AA14" s="22">
        <f t="shared" si="12"/>
        <v>2467447.4</v>
      </c>
    </row>
    <row r="15" spans="1:29">
      <c r="A15" s="125" t="s">
        <v>2532</v>
      </c>
      <c r="B15" s="3" t="s">
        <v>2064</v>
      </c>
      <c r="C15" s="93">
        <f>IF(A15=Summary!$B$9,Summary!$G$9,0)</f>
        <v>0</v>
      </c>
      <c r="D15" s="134">
        <f>VLOOKUP(A15,AAFTE!$A:$S,3,0)</f>
        <v>11263.21</v>
      </c>
      <c r="E15" s="20">
        <f>VLOOKUP($A15,'2022-23 Salary &amp; Benefits'!$A:$I,3,)</f>
        <v>1.0900000000000001</v>
      </c>
      <c r="F15" s="20">
        <f>VLOOKUP($A15,'2022-23 Salary &amp; Benefits'!$A:$I,4,)</f>
        <v>1.0900000000000001</v>
      </c>
      <c r="G15" s="34">
        <f>VLOOKUP(A15,'CEDARS District FRPL'!$A:$C,3,)</f>
        <v>0.38069999999999998</v>
      </c>
      <c r="H15" s="25">
        <f t="shared" si="1"/>
        <v>11263.21</v>
      </c>
      <c r="I15" s="39">
        <f t="shared" si="4"/>
        <v>4287.8999999999996</v>
      </c>
      <c r="J15" s="24">
        <v>15</v>
      </c>
      <c r="K15" s="26">
        <f t="shared" si="2"/>
        <v>285.85999999999996</v>
      </c>
      <c r="L15" s="24">
        <v>2.3975</v>
      </c>
      <c r="M15" s="24">
        <v>36</v>
      </c>
      <c r="N15" s="27">
        <f t="shared" si="3"/>
        <v>24672.576599999993</v>
      </c>
      <c r="O15" s="102">
        <f t="shared" si="5"/>
        <v>27.414000000000001</v>
      </c>
      <c r="P15" s="21">
        <f>VLOOKUP(A15,'2022-23 Salary &amp; Benefits'!$A:$I,5,)</f>
        <v>68937</v>
      </c>
      <c r="Q15" s="21">
        <f>VLOOKUP(A15,'2022-23 Salary &amp; Benefits'!$A:$I,6,FALSE)</f>
        <v>72728</v>
      </c>
      <c r="R15" s="22">
        <f t="shared" si="6"/>
        <v>2059924.42</v>
      </c>
      <c r="S15" s="22">
        <f t="shared" si="7"/>
        <v>113279.86</v>
      </c>
      <c r="T15" s="22">
        <f>'2022-23 Salary &amp; Benefits'!$G$6</f>
        <v>12558.24</v>
      </c>
      <c r="U15" s="23">
        <f>'2022-23 Salary &amp; Benefits'!$H$6</f>
        <v>0.2298</v>
      </c>
      <c r="V15" s="23">
        <f>'2022-23 Salary &amp; Benefits'!$I$6</f>
        <v>0.22339999999999999</v>
      </c>
      <c r="W15" s="22">
        <f t="shared" si="8"/>
        <v>842948.94</v>
      </c>
      <c r="X15" s="22">
        <f t="shared" si="9"/>
        <v>36220.07</v>
      </c>
      <c r="Y15" s="22">
        <f t="shared" si="10"/>
        <v>8091.56</v>
      </c>
      <c r="Z15" s="22">
        <f t="shared" si="11"/>
        <v>44311.63</v>
      </c>
      <c r="AA15" s="22">
        <f t="shared" si="12"/>
        <v>3060464.8499999996</v>
      </c>
    </row>
    <row r="16" spans="1:29">
      <c r="A16" s="125" t="s">
        <v>2258</v>
      </c>
      <c r="B16" s="3" t="s">
        <v>2</v>
      </c>
      <c r="C16" s="93">
        <f>IF(A16=Summary!$B$9,Summary!$G$9,0)</f>
        <v>0</v>
      </c>
      <c r="D16" s="134">
        <f>VLOOKUP(A16,AAFTE!$A:$S,3,0)</f>
        <v>11.57</v>
      </c>
      <c r="E16" s="20">
        <f>VLOOKUP($A16,'2022-23 Salary &amp; Benefits'!$A:$I,3,)</f>
        <v>1</v>
      </c>
      <c r="F16" s="20">
        <f>VLOOKUP($A16,'2022-23 Salary &amp; Benefits'!$A:$I,4,)</f>
        <v>1</v>
      </c>
      <c r="G16" s="34">
        <f>VLOOKUP(A16,'CEDARS District FRPL'!$A:$C,3,)</f>
        <v>0.16669999999999999</v>
      </c>
      <c r="H16" s="25">
        <f t="shared" si="1"/>
        <v>11.57</v>
      </c>
      <c r="I16" s="39">
        <f t="shared" si="4"/>
        <v>1.93</v>
      </c>
      <c r="J16" s="24">
        <v>15</v>
      </c>
      <c r="K16" s="26">
        <f t="shared" si="2"/>
        <v>0.12866666666666665</v>
      </c>
      <c r="L16" s="24">
        <v>2.3975</v>
      </c>
      <c r="M16" s="24">
        <v>36</v>
      </c>
      <c r="N16" s="27">
        <f t="shared" si="3"/>
        <v>11.105219999999999</v>
      </c>
      <c r="O16" s="102">
        <f t="shared" si="5"/>
        <v>1.2E-2</v>
      </c>
      <c r="P16" s="21">
        <f>VLOOKUP(A16,'2022-23 Salary &amp; Benefits'!$A:$I,5,)</f>
        <v>68937</v>
      </c>
      <c r="Q16" s="21">
        <f>VLOOKUP(A16,'2022-23 Salary &amp; Benefits'!$A:$I,6,FALSE)</f>
        <v>72728</v>
      </c>
      <c r="R16" s="22">
        <f t="shared" si="6"/>
        <v>827.24</v>
      </c>
      <c r="S16" s="22">
        <f t="shared" si="7"/>
        <v>45.5</v>
      </c>
      <c r="T16" s="22">
        <f>'2022-23 Salary &amp; Benefits'!$G$6</f>
        <v>12558.24</v>
      </c>
      <c r="U16" s="23">
        <f>'2022-23 Salary &amp; Benefits'!$H$6</f>
        <v>0.2298</v>
      </c>
      <c r="V16" s="23">
        <f>'2022-23 Salary &amp; Benefits'!$I$6</f>
        <v>0.22339999999999999</v>
      </c>
      <c r="W16" s="22">
        <f t="shared" si="8"/>
        <v>350.96</v>
      </c>
      <c r="X16" s="22">
        <f t="shared" si="9"/>
        <v>14.55</v>
      </c>
      <c r="Y16" s="22">
        <f t="shared" si="10"/>
        <v>3.25</v>
      </c>
      <c r="Z16" s="22">
        <f t="shared" si="11"/>
        <v>17.8</v>
      </c>
      <c r="AA16" s="22">
        <f t="shared" si="12"/>
        <v>1241.5</v>
      </c>
    </row>
    <row r="17" spans="1:27">
      <c r="A17" s="125" t="s">
        <v>2449</v>
      </c>
      <c r="B17" s="3" t="s">
        <v>1473</v>
      </c>
      <c r="C17" s="93">
        <f>IF(A17=Summary!$B$9,Summary!$G$9,0)</f>
        <v>0</v>
      </c>
      <c r="D17" s="134">
        <f>VLOOKUP(A17,AAFTE!$A:$S,3,0)</f>
        <v>20148.52</v>
      </c>
      <c r="E17" s="20">
        <f>VLOOKUP($A17,'2022-23 Salary &amp; Benefits'!$A:$I,3,)</f>
        <v>1</v>
      </c>
      <c r="F17" s="20">
        <f>VLOOKUP($A17,'2022-23 Salary &amp; Benefits'!$A:$I,4,)</f>
        <v>1</v>
      </c>
      <c r="G17" s="34">
        <f>VLOOKUP(A17,'CEDARS District FRPL'!$A:$C,3,)</f>
        <v>0.45779999999999998</v>
      </c>
      <c r="H17" s="25">
        <f t="shared" si="1"/>
        <v>20148.52</v>
      </c>
      <c r="I17" s="39">
        <f t="shared" si="4"/>
        <v>9223.99</v>
      </c>
      <c r="J17" s="24">
        <v>15</v>
      </c>
      <c r="K17" s="26">
        <f t="shared" si="2"/>
        <v>614.93266666666671</v>
      </c>
      <c r="L17" s="24">
        <v>2.3975</v>
      </c>
      <c r="M17" s="24">
        <v>36</v>
      </c>
      <c r="N17" s="27">
        <f t="shared" si="3"/>
        <v>53074.838460000006</v>
      </c>
      <c r="O17" s="102">
        <f t="shared" si="5"/>
        <v>58.972000000000001</v>
      </c>
      <c r="P17" s="21">
        <f>VLOOKUP(A17,'2022-23 Salary &amp; Benefits'!$A:$I,5,)</f>
        <v>68937</v>
      </c>
      <c r="Q17" s="21">
        <f>VLOOKUP(A17,'2022-23 Salary &amp; Benefits'!$A:$I,6,FALSE)</f>
        <v>72728</v>
      </c>
      <c r="R17" s="22">
        <f t="shared" si="6"/>
        <v>4065352.76</v>
      </c>
      <c r="S17" s="22">
        <f t="shared" si="7"/>
        <v>223562.86</v>
      </c>
      <c r="T17" s="22">
        <f>'2022-23 Salary &amp; Benefits'!$G$6</f>
        <v>12558.24</v>
      </c>
      <c r="U17" s="23">
        <f>'2022-23 Salary &amp; Benefits'!$H$6</f>
        <v>0.2298</v>
      </c>
      <c r="V17" s="23">
        <f>'2022-23 Salary &amp; Benefits'!$I$6</f>
        <v>0.22339999999999999</v>
      </c>
      <c r="W17" s="22">
        <f t="shared" si="8"/>
        <v>1724746.54</v>
      </c>
      <c r="X17" s="22">
        <f t="shared" si="9"/>
        <v>71481.929999999993</v>
      </c>
      <c r="Y17" s="22">
        <f t="shared" si="10"/>
        <v>15969.06</v>
      </c>
      <c r="Z17" s="22">
        <f t="shared" si="11"/>
        <v>87450.989999999991</v>
      </c>
      <c r="AA17" s="22">
        <f t="shared" si="12"/>
        <v>6101113.1500000004</v>
      </c>
    </row>
    <row r="18" spans="1:27">
      <c r="A18" s="125" t="s">
        <v>2384</v>
      </c>
      <c r="B18" s="3" t="s">
        <v>1106</v>
      </c>
      <c r="C18" s="93">
        <f>IF(A18=Summary!$B$9,Summary!$G$9,0)</f>
        <v>0</v>
      </c>
      <c r="D18" s="134">
        <f>VLOOKUP(A18,AAFTE!$A:$S,3,0)</f>
        <v>113.01</v>
      </c>
      <c r="E18" s="20">
        <f>VLOOKUP($A18,'2022-23 Salary &amp; Benefits'!$A:$I,3,)</f>
        <v>1</v>
      </c>
      <c r="F18" s="20">
        <f>VLOOKUP($A18,'2022-23 Salary &amp; Benefits'!$A:$I,4,)</f>
        <v>1</v>
      </c>
      <c r="G18" s="34">
        <f>VLOOKUP(A18,'CEDARS District FRPL'!$A:$C,3,)</f>
        <v>0.47370000000000001</v>
      </c>
      <c r="H18" s="25">
        <f t="shared" si="1"/>
        <v>113.01</v>
      </c>
      <c r="I18" s="39">
        <f t="shared" si="4"/>
        <v>53.53</v>
      </c>
      <c r="J18" s="24">
        <v>15</v>
      </c>
      <c r="K18" s="26">
        <f t="shared" si="2"/>
        <v>3.5686666666666667</v>
      </c>
      <c r="L18" s="24">
        <v>2.3975</v>
      </c>
      <c r="M18" s="24">
        <v>36</v>
      </c>
      <c r="N18" s="27">
        <f t="shared" si="3"/>
        <v>308.01161999999999</v>
      </c>
      <c r="O18" s="102">
        <f t="shared" si="5"/>
        <v>0.34200000000000003</v>
      </c>
      <c r="P18" s="21">
        <f>VLOOKUP(A18,'2022-23 Salary &amp; Benefits'!$A:$I,5,)</f>
        <v>68937</v>
      </c>
      <c r="Q18" s="21">
        <f>VLOOKUP(A18,'2022-23 Salary &amp; Benefits'!$A:$I,6,FALSE)</f>
        <v>72728</v>
      </c>
      <c r="R18" s="22">
        <f t="shared" si="6"/>
        <v>23576.45</v>
      </c>
      <c r="S18" s="22">
        <f t="shared" si="7"/>
        <v>1296.53</v>
      </c>
      <c r="T18" s="22">
        <f>'2022-23 Salary &amp; Benefits'!$G$6</f>
        <v>12558.24</v>
      </c>
      <c r="U18" s="23">
        <f>'2022-23 Salary &amp; Benefits'!$H$6</f>
        <v>0.2298</v>
      </c>
      <c r="V18" s="23">
        <f>'2022-23 Salary &amp; Benefits'!$I$6</f>
        <v>0.22339999999999999</v>
      </c>
      <c r="W18" s="22">
        <f t="shared" si="8"/>
        <v>10002.43</v>
      </c>
      <c r="X18" s="22">
        <f t="shared" si="9"/>
        <v>414.55</v>
      </c>
      <c r="Y18" s="22">
        <f t="shared" si="10"/>
        <v>92.61</v>
      </c>
      <c r="Z18" s="22">
        <f t="shared" si="11"/>
        <v>507.16</v>
      </c>
      <c r="AA18" s="22">
        <f t="shared" si="12"/>
        <v>35382.570000000007</v>
      </c>
    </row>
    <row r="19" spans="1:27">
      <c r="A19" s="125" t="s">
        <v>2534</v>
      </c>
      <c r="B19" s="3" t="s">
        <v>2096</v>
      </c>
      <c r="C19" s="93">
        <f>IF(A19=Summary!$B$9,Summary!$G$9,0)</f>
        <v>0</v>
      </c>
      <c r="D19" s="134">
        <f>VLOOKUP(A19,AAFTE!$A:$S,3,0)</f>
        <v>2102.3200000000002</v>
      </c>
      <c r="E19" s="20">
        <f>VLOOKUP($A19,'2022-23 Salary &amp; Benefits'!$A:$I,3,)</f>
        <v>1.1200000000000001</v>
      </c>
      <c r="F19" s="20">
        <f>VLOOKUP($A19,'2022-23 Salary &amp; Benefits'!$A:$I,4,)</f>
        <v>1.1600000000000001</v>
      </c>
      <c r="G19" s="34">
        <f>VLOOKUP(A19,'CEDARS District FRPL'!$A:$C,3,)</f>
        <v>0.45669999999999999</v>
      </c>
      <c r="H19" s="25">
        <f t="shared" si="1"/>
        <v>2102.3200000000002</v>
      </c>
      <c r="I19" s="39">
        <f t="shared" si="4"/>
        <v>960.13</v>
      </c>
      <c r="J19" s="24">
        <v>15</v>
      </c>
      <c r="K19" s="26">
        <f t="shared" si="2"/>
        <v>64.00866666666667</v>
      </c>
      <c r="L19" s="24">
        <v>2.3975</v>
      </c>
      <c r="M19" s="24">
        <v>36</v>
      </c>
      <c r="N19" s="27">
        <f t="shared" si="3"/>
        <v>5524.5880200000001</v>
      </c>
      <c r="O19" s="102">
        <f t="shared" si="5"/>
        <v>6.1379999999999999</v>
      </c>
      <c r="P19" s="21">
        <f>VLOOKUP(A19,'2022-23 Salary &amp; Benefits'!$A:$I,5,)</f>
        <v>68937</v>
      </c>
      <c r="Q19" s="21">
        <f>VLOOKUP(A19,'2022-23 Salary &amp; Benefits'!$A:$I,6,FALSE)</f>
        <v>72728</v>
      </c>
      <c r="R19" s="22">
        <f t="shared" si="6"/>
        <v>473911.54</v>
      </c>
      <c r="S19" s="22">
        <f t="shared" si="7"/>
        <v>43917.64</v>
      </c>
      <c r="T19" s="22">
        <f>'2022-23 Salary &amp; Benefits'!$G$6</f>
        <v>12558.24</v>
      </c>
      <c r="U19" s="23">
        <f>'2022-23 Salary &amp; Benefits'!$H$6</f>
        <v>0.2298</v>
      </c>
      <c r="V19" s="23">
        <f>'2022-23 Salary &amp; Benefits'!$I$6</f>
        <v>0.22339999999999999</v>
      </c>
      <c r="W19" s="22">
        <f t="shared" si="8"/>
        <v>195798.55</v>
      </c>
      <c r="X19" s="22">
        <f t="shared" si="9"/>
        <v>8630.49</v>
      </c>
      <c r="Y19" s="22">
        <f t="shared" si="10"/>
        <v>1928.05</v>
      </c>
      <c r="Z19" s="22">
        <f t="shared" si="11"/>
        <v>10558.539999999999</v>
      </c>
      <c r="AA19" s="22">
        <f t="shared" si="12"/>
        <v>724186.27</v>
      </c>
    </row>
    <row r="20" spans="1:27">
      <c r="A20" s="125" t="s">
        <v>2399</v>
      </c>
      <c r="B20" s="3" t="s">
        <v>1153</v>
      </c>
      <c r="C20" s="93">
        <f>IF(A20=Summary!$B$9,Summary!$G$9,0)</f>
        <v>0</v>
      </c>
      <c r="D20" s="134">
        <f>VLOOKUP(A20,AAFTE!$A:$S,3,0)</f>
        <v>85.66</v>
      </c>
      <c r="E20" s="20">
        <f>VLOOKUP($A20,'2022-23 Salary &amp; Benefits'!$A:$I,3,)</f>
        <v>1</v>
      </c>
      <c r="F20" s="20">
        <f>VLOOKUP($A20,'2022-23 Salary &amp; Benefits'!$A:$I,4,)</f>
        <v>1</v>
      </c>
      <c r="G20" s="34">
        <f>VLOOKUP(A20,'CEDARS District FRPL'!$A:$C,3,)</f>
        <v>0.48859999999999998</v>
      </c>
      <c r="H20" s="25">
        <f t="shared" si="1"/>
        <v>85.66</v>
      </c>
      <c r="I20" s="39">
        <f t="shared" si="4"/>
        <v>41.85</v>
      </c>
      <c r="J20" s="24">
        <v>15</v>
      </c>
      <c r="K20" s="26">
        <f t="shared" si="2"/>
        <v>2.79</v>
      </c>
      <c r="L20" s="24">
        <v>2.3975</v>
      </c>
      <c r="M20" s="24">
        <v>36</v>
      </c>
      <c r="N20" s="27">
        <f t="shared" si="3"/>
        <v>240.8049</v>
      </c>
      <c r="O20" s="102">
        <f t="shared" si="5"/>
        <v>0.26800000000000002</v>
      </c>
      <c r="P20" s="21">
        <f>VLOOKUP(A20,'2022-23 Salary &amp; Benefits'!$A:$I,5,)</f>
        <v>68937</v>
      </c>
      <c r="Q20" s="21">
        <f>VLOOKUP(A20,'2022-23 Salary &amp; Benefits'!$A:$I,6,FALSE)</f>
        <v>72728</v>
      </c>
      <c r="R20" s="22">
        <f t="shared" si="6"/>
        <v>18475.12</v>
      </c>
      <c r="S20" s="22">
        <f t="shared" si="7"/>
        <v>1015.98</v>
      </c>
      <c r="T20" s="22">
        <f>'2022-23 Salary &amp; Benefits'!$G$6</f>
        <v>12558.24</v>
      </c>
      <c r="U20" s="23">
        <f>'2022-23 Salary &amp; Benefits'!$H$6</f>
        <v>0.2298</v>
      </c>
      <c r="V20" s="23">
        <f>'2022-23 Salary &amp; Benefits'!$I$6</f>
        <v>0.22339999999999999</v>
      </c>
      <c r="W20" s="22">
        <f t="shared" si="8"/>
        <v>7838.16</v>
      </c>
      <c r="X20" s="22">
        <f t="shared" si="9"/>
        <v>324.85000000000002</v>
      </c>
      <c r="Y20" s="22">
        <f t="shared" si="10"/>
        <v>72.569999999999993</v>
      </c>
      <c r="Z20" s="22">
        <f t="shared" si="11"/>
        <v>397.42</v>
      </c>
      <c r="AA20" s="22">
        <f t="shared" si="12"/>
        <v>27726.679999999997</v>
      </c>
    </row>
    <row r="21" spans="1:27">
      <c r="A21" s="125" t="s">
        <v>2371</v>
      </c>
      <c r="B21" s="3" t="s">
        <v>1017</v>
      </c>
      <c r="C21" s="93">
        <f>IF(A21=Summary!$B$9,Summary!$G$9,0)</f>
        <v>0</v>
      </c>
      <c r="D21" s="134">
        <f>VLOOKUP(A21,AAFTE!$A:$S,3,0)</f>
        <v>4557.6400000000003</v>
      </c>
      <c r="E21" s="20">
        <f>VLOOKUP($A21,'2022-23 Salary &amp; Benefits'!$A:$I,3,)</f>
        <v>1.18</v>
      </c>
      <c r="F21" s="20">
        <f>VLOOKUP($A21,'2022-23 Salary &amp; Benefits'!$A:$I,4,)</f>
        <v>1.18</v>
      </c>
      <c r="G21" s="34">
        <f>VLOOKUP(A21,'CEDARS District FRPL'!$A:$C,3,)</f>
        <v>0.64629999999999999</v>
      </c>
      <c r="H21" s="25">
        <f t="shared" si="1"/>
        <v>4557.6400000000003</v>
      </c>
      <c r="I21" s="39">
        <f t="shared" si="4"/>
        <v>2945.6</v>
      </c>
      <c r="J21" s="24">
        <v>15</v>
      </c>
      <c r="K21" s="26">
        <f t="shared" si="2"/>
        <v>196.37333333333333</v>
      </c>
      <c r="L21" s="24">
        <v>2.3975</v>
      </c>
      <c r="M21" s="24">
        <v>36</v>
      </c>
      <c r="N21" s="27">
        <f t="shared" si="3"/>
        <v>16948.982400000001</v>
      </c>
      <c r="O21" s="102">
        <f t="shared" si="5"/>
        <v>18.832000000000001</v>
      </c>
      <c r="P21" s="21">
        <f>VLOOKUP(A21,'2022-23 Salary &amp; Benefits'!$A:$I,5,)</f>
        <v>68937</v>
      </c>
      <c r="Q21" s="21">
        <f>VLOOKUP(A21,'2022-23 Salary &amp; Benefits'!$A:$I,6,FALSE)</f>
        <v>72728</v>
      </c>
      <c r="R21" s="22">
        <f t="shared" si="6"/>
        <v>1531901.47</v>
      </c>
      <c r="S21" s="22">
        <f t="shared" si="7"/>
        <v>84242.69</v>
      </c>
      <c r="T21" s="22">
        <f>'2022-23 Salary &amp; Benefits'!$G$6</f>
        <v>12558.24</v>
      </c>
      <c r="U21" s="23">
        <f>'2022-23 Salary &amp; Benefits'!$H$6</f>
        <v>0.2298</v>
      </c>
      <c r="V21" s="23">
        <f>'2022-23 Salary &amp; Benefits'!$I$6</f>
        <v>0.22339999999999999</v>
      </c>
      <c r="W21" s="22">
        <f t="shared" si="8"/>
        <v>607347.55000000005</v>
      </c>
      <c r="X21" s="22">
        <f t="shared" si="9"/>
        <v>26935.74</v>
      </c>
      <c r="Y21" s="22">
        <f t="shared" si="10"/>
        <v>6017.44</v>
      </c>
      <c r="Z21" s="22">
        <f t="shared" si="11"/>
        <v>32953.18</v>
      </c>
      <c r="AA21" s="22">
        <f t="shared" si="12"/>
        <v>2256444.89</v>
      </c>
    </row>
    <row r="22" spans="1:27">
      <c r="A22" s="125" t="s">
        <v>2424</v>
      </c>
      <c r="B22" s="3" t="s">
        <v>1242</v>
      </c>
      <c r="C22" s="93">
        <f>IF(A22=Summary!$B$9,Summary!$G$9,0)</f>
        <v>0</v>
      </c>
      <c r="D22" s="134">
        <f>VLOOKUP(A22,AAFTE!$A:$S,3,0)</f>
        <v>953</v>
      </c>
      <c r="E22" s="20">
        <f>VLOOKUP($A22,'2022-23 Salary &amp; Benefits'!$A:$I,3,)</f>
        <v>1</v>
      </c>
      <c r="F22" s="20">
        <f>VLOOKUP($A22,'2022-23 Salary &amp; Benefits'!$A:$I,4,)</f>
        <v>1</v>
      </c>
      <c r="G22" s="34">
        <f>VLOOKUP(A22,'CEDARS District FRPL'!$A:$C,3,)</f>
        <v>0.94989999999999997</v>
      </c>
      <c r="H22" s="25">
        <f t="shared" si="1"/>
        <v>953</v>
      </c>
      <c r="I22" s="39">
        <f t="shared" si="4"/>
        <v>905.25</v>
      </c>
      <c r="J22" s="24">
        <v>15</v>
      </c>
      <c r="K22" s="26">
        <f t="shared" si="2"/>
        <v>60.35</v>
      </c>
      <c r="L22" s="24">
        <v>2.3975</v>
      </c>
      <c r="M22" s="24">
        <v>36</v>
      </c>
      <c r="N22" s="27">
        <f t="shared" si="3"/>
        <v>5208.8084999999992</v>
      </c>
      <c r="O22" s="102">
        <f t="shared" si="5"/>
        <v>5.7880000000000003</v>
      </c>
      <c r="P22" s="21">
        <f>VLOOKUP(A22,'2022-23 Salary &amp; Benefits'!$A:$I,5,)</f>
        <v>68937</v>
      </c>
      <c r="Q22" s="21">
        <f>VLOOKUP(A22,'2022-23 Salary &amp; Benefits'!$A:$I,6,FALSE)</f>
        <v>72728</v>
      </c>
      <c r="R22" s="22">
        <f t="shared" si="6"/>
        <v>399007.36</v>
      </c>
      <c r="S22" s="22">
        <f t="shared" si="7"/>
        <v>21942.3</v>
      </c>
      <c r="T22" s="22">
        <f>'2022-23 Salary &amp; Benefits'!$G$6</f>
        <v>12558.24</v>
      </c>
      <c r="U22" s="23">
        <f>'2022-23 Salary &amp; Benefits'!$H$6</f>
        <v>0.2298</v>
      </c>
      <c r="V22" s="23">
        <f>'2022-23 Salary &amp; Benefits'!$I$6</f>
        <v>0.22339999999999999</v>
      </c>
      <c r="W22" s="22">
        <f t="shared" si="8"/>
        <v>169280.89</v>
      </c>
      <c r="X22" s="22">
        <f t="shared" si="9"/>
        <v>7015.83</v>
      </c>
      <c r="Y22" s="22">
        <f t="shared" si="10"/>
        <v>1567.34</v>
      </c>
      <c r="Z22" s="22">
        <f t="shared" si="11"/>
        <v>8583.17</v>
      </c>
      <c r="AA22" s="22">
        <f t="shared" si="12"/>
        <v>598813.72000000009</v>
      </c>
    </row>
    <row r="23" spans="1:27">
      <c r="A23" s="125" t="s">
        <v>2302</v>
      </c>
      <c r="B23" s="3" t="s">
        <v>339</v>
      </c>
      <c r="C23" s="93">
        <f>IF(A23=Summary!$B$9,Summary!$G$9,0)</f>
        <v>0</v>
      </c>
      <c r="D23" s="134">
        <f>VLOOKUP(A23,AAFTE!$A:$S,3,0)</f>
        <v>741.18</v>
      </c>
      <c r="E23" s="20">
        <f>VLOOKUP($A23,'2022-23 Salary &amp; Benefits'!$A:$I,3,)</f>
        <v>1</v>
      </c>
      <c r="F23" s="20">
        <f>VLOOKUP($A23,'2022-23 Salary &amp; Benefits'!$A:$I,4,)</f>
        <v>1</v>
      </c>
      <c r="G23" s="34">
        <f>VLOOKUP(A23,'CEDARS District FRPL'!$A:$C,3,)</f>
        <v>0.95469999999999999</v>
      </c>
      <c r="H23" s="25">
        <f t="shared" si="1"/>
        <v>741.18</v>
      </c>
      <c r="I23" s="39">
        <f t="shared" si="4"/>
        <v>707.6</v>
      </c>
      <c r="J23" s="24">
        <v>15</v>
      </c>
      <c r="K23" s="26">
        <f t="shared" si="2"/>
        <v>47.173333333333332</v>
      </c>
      <c r="L23" s="24">
        <v>2.3975</v>
      </c>
      <c r="M23" s="24">
        <v>36</v>
      </c>
      <c r="N23" s="27">
        <f t="shared" si="3"/>
        <v>4071.5304000000001</v>
      </c>
      <c r="O23" s="102">
        <f t="shared" si="5"/>
        <v>4.524</v>
      </c>
      <c r="P23" s="21">
        <f>VLOOKUP(A23,'2022-23 Salary &amp; Benefits'!$A:$I,5,)</f>
        <v>68937</v>
      </c>
      <c r="Q23" s="21">
        <f>VLOOKUP(A23,'2022-23 Salary &amp; Benefits'!$A:$I,6,FALSE)</f>
        <v>72728</v>
      </c>
      <c r="R23" s="22">
        <f t="shared" si="6"/>
        <v>311870.99</v>
      </c>
      <c r="S23" s="22">
        <f t="shared" si="7"/>
        <v>17150.48</v>
      </c>
      <c r="T23" s="22">
        <f>'2022-23 Salary &amp; Benefits'!$G$6</f>
        <v>12558.24</v>
      </c>
      <c r="U23" s="23">
        <f>'2022-23 Salary &amp; Benefits'!$H$6</f>
        <v>0.2298</v>
      </c>
      <c r="V23" s="23">
        <f>'2022-23 Salary &amp; Benefits'!$I$6</f>
        <v>0.22339999999999999</v>
      </c>
      <c r="W23" s="22">
        <f t="shared" si="8"/>
        <v>132312.85</v>
      </c>
      <c r="X23" s="22">
        <f t="shared" si="9"/>
        <v>5483.69</v>
      </c>
      <c r="Y23" s="22">
        <f t="shared" si="10"/>
        <v>1225.06</v>
      </c>
      <c r="Z23" s="22">
        <f t="shared" si="11"/>
        <v>6708.75</v>
      </c>
      <c r="AA23" s="22">
        <f t="shared" si="12"/>
        <v>468043.06999999995</v>
      </c>
    </row>
    <row r="24" spans="1:27">
      <c r="A24" s="125" t="s">
        <v>2344</v>
      </c>
      <c r="B24" s="3" t="s">
        <v>534</v>
      </c>
      <c r="C24" s="93">
        <f>IF(A24=Summary!$B$9,Summary!$G$9,0)</f>
        <v>0</v>
      </c>
      <c r="D24" s="134">
        <f>VLOOKUP(A24,AAFTE!$A:$S,3,0)</f>
        <v>72.239999999999995</v>
      </c>
      <c r="E24" s="20">
        <f>VLOOKUP($A24,'2022-23 Salary &amp; Benefits'!$A:$I,3,)</f>
        <v>1</v>
      </c>
      <c r="F24" s="20">
        <f>VLOOKUP($A24,'2022-23 Salary &amp; Benefits'!$A:$I,4,)</f>
        <v>1</v>
      </c>
      <c r="G24" s="34">
        <f>VLOOKUP(A24,'CEDARS District FRPL'!$A:$C,3,)</f>
        <v>0.76119999999999999</v>
      </c>
      <c r="H24" s="25">
        <f t="shared" si="1"/>
        <v>72.239999999999995</v>
      </c>
      <c r="I24" s="39">
        <f t="shared" si="4"/>
        <v>54.99</v>
      </c>
      <c r="J24" s="24">
        <v>15</v>
      </c>
      <c r="K24" s="26">
        <f t="shared" si="2"/>
        <v>3.6659999999999999</v>
      </c>
      <c r="L24" s="24">
        <v>2.3975</v>
      </c>
      <c r="M24" s="24">
        <v>36</v>
      </c>
      <c r="N24" s="27">
        <f t="shared" si="3"/>
        <v>316.41246000000001</v>
      </c>
      <c r="O24" s="102">
        <f t="shared" si="5"/>
        <v>0.35199999999999998</v>
      </c>
      <c r="P24" s="21">
        <f>VLOOKUP(A24,'2022-23 Salary &amp; Benefits'!$A:$I,5,)</f>
        <v>68937</v>
      </c>
      <c r="Q24" s="21">
        <f>VLOOKUP(A24,'2022-23 Salary &amp; Benefits'!$A:$I,6,FALSE)</f>
        <v>72728</v>
      </c>
      <c r="R24" s="22">
        <f t="shared" si="6"/>
        <v>24265.82</v>
      </c>
      <c r="S24" s="22">
        <f t="shared" si="7"/>
        <v>1334.44</v>
      </c>
      <c r="T24" s="22">
        <f>'2022-23 Salary &amp; Benefits'!$G$6</f>
        <v>12558.24</v>
      </c>
      <c r="U24" s="23">
        <f>'2022-23 Salary &amp; Benefits'!$H$6</f>
        <v>0.2298</v>
      </c>
      <c r="V24" s="23">
        <f>'2022-23 Salary &amp; Benefits'!$I$6</f>
        <v>0.22339999999999999</v>
      </c>
      <c r="W24" s="22">
        <f t="shared" si="8"/>
        <v>10294.9</v>
      </c>
      <c r="X24" s="22">
        <f t="shared" si="9"/>
        <v>426.67</v>
      </c>
      <c r="Y24" s="22">
        <f t="shared" si="10"/>
        <v>95.32</v>
      </c>
      <c r="Z24" s="22">
        <f t="shared" si="11"/>
        <v>521.99</v>
      </c>
      <c r="AA24" s="22">
        <f t="shared" si="12"/>
        <v>36417.15</v>
      </c>
    </row>
    <row r="25" spans="1:27">
      <c r="A25" s="125" t="s">
        <v>2461</v>
      </c>
      <c r="B25" s="3" t="s">
        <v>1546</v>
      </c>
      <c r="C25" s="93">
        <f>IF(A25=Summary!$B$9,Summary!$G$9,0)</f>
        <v>0</v>
      </c>
      <c r="D25" s="134">
        <f>VLOOKUP(A25,AAFTE!$A:$S,3,0)</f>
        <v>3269.27</v>
      </c>
      <c r="E25" s="20">
        <f>VLOOKUP($A25,'2022-23 Salary &amp; Benefits'!$A:$I,3,)</f>
        <v>1.1499999999999999</v>
      </c>
      <c r="F25" s="20">
        <f>VLOOKUP($A25,'2022-23 Salary &amp; Benefits'!$A:$I,4,)</f>
        <v>1.1499999999999999</v>
      </c>
      <c r="G25" s="34">
        <f>VLOOKUP(A25,'CEDARS District FRPL'!$A:$C,3,)</f>
        <v>0.54559999999999997</v>
      </c>
      <c r="H25" s="25">
        <f t="shared" si="1"/>
        <v>3269.27</v>
      </c>
      <c r="I25" s="39">
        <f t="shared" si="4"/>
        <v>1783.71</v>
      </c>
      <c r="J25" s="24">
        <v>15</v>
      </c>
      <c r="K25" s="26">
        <f t="shared" si="2"/>
        <v>118.914</v>
      </c>
      <c r="L25" s="24">
        <v>2.3975</v>
      </c>
      <c r="M25" s="24">
        <v>36</v>
      </c>
      <c r="N25" s="27">
        <f t="shared" si="3"/>
        <v>10263.467339999999</v>
      </c>
      <c r="O25" s="102">
        <f t="shared" si="5"/>
        <v>11.404</v>
      </c>
      <c r="P25" s="21">
        <f>VLOOKUP(A25,'2022-23 Salary &amp; Benefits'!$A:$I,5,)</f>
        <v>68937</v>
      </c>
      <c r="Q25" s="21">
        <f>VLOOKUP(A25,'2022-23 Salary &amp; Benefits'!$A:$I,6,FALSE)</f>
        <v>72728</v>
      </c>
      <c r="R25" s="22">
        <f t="shared" si="6"/>
        <v>904081.18</v>
      </c>
      <c r="S25" s="22">
        <f t="shared" si="7"/>
        <v>49717.45</v>
      </c>
      <c r="T25" s="22">
        <f>'2022-23 Salary &amp; Benefits'!$G$6</f>
        <v>12558.24</v>
      </c>
      <c r="U25" s="23">
        <f>'2022-23 Salary &amp; Benefits'!$H$6</f>
        <v>0.2298</v>
      </c>
      <c r="V25" s="23">
        <f>'2022-23 Salary &amp; Benefits'!$I$6</f>
        <v>0.22339999999999999</v>
      </c>
      <c r="W25" s="22">
        <f t="shared" si="8"/>
        <v>362078.9</v>
      </c>
      <c r="X25" s="22">
        <f t="shared" si="9"/>
        <v>15896.64</v>
      </c>
      <c r="Y25" s="22">
        <f t="shared" si="10"/>
        <v>3551.31</v>
      </c>
      <c r="Z25" s="22">
        <f t="shared" si="11"/>
        <v>19447.95</v>
      </c>
      <c r="AA25" s="22">
        <f t="shared" si="12"/>
        <v>1335325.48</v>
      </c>
    </row>
    <row r="26" spans="1:27">
      <c r="A26" s="125" t="s">
        <v>2289</v>
      </c>
      <c r="B26" s="3" t="s">
        <v>255</v>
      </c>
      <c r="C26" s="93">
        <f>IF(A26=Summary!$B$9,Summary!$G$9,0)</f>
        <v>0</v>
      </c>
      <c r="D26" s="134">
        <f>VLOOKUP(A26,AAFTE!$A:$S,3,0)</f>
        <v>7046.78</v>
      </c>
      <c r="E26" s="20">
        <f>VLOOKUP($A26,'2022-23 Salary &amp; Benefits'!$A:$I,3,)</f>
        <v>1.0900000000000001</v>
      </c>
      <c r="F26" s="20">
        <f>VLOOKUP($A26,'2022-23 Salary &amp; Benefits'!$A:$I,4,)</f>
        <v>1.0900000000000001</v>
      </c>
      <c r="G26" s="34">
        <f>VLOOKUP(A26,'CEDARS District FRPL'!$A:$C,3,)</f>
        <v>0.15210000000000001</v>
      </c>
      <c r="H26" s="25">
        <f t="shared" si="1"/>
        <v>7046.78</v>
      </c>
      <c r="I26" s="39">
        <f t="shared" si="4"/>
        <v>1071.82</v>
      </c>
      <c r="J26" s="24">
        <v>15</v>
      </c>
      <c r="K26" s="26">
        <f t="shared" si="2"/>
        <v>71.454666666666668</v>
      </c>
      <c r="L26" s="24">
        <v>2.3975</v>
      </c>
      <c r="M26" s="24">
        <v>36</v>
      </c>
      <c r="N26" s="27">
        <f t="shared" si="3"/>
        <v>6167.2522800000006</v>
      </c>
      <c r="O26" s="102">
        <f t="shared" si="5"/>
        <v>6.8529999999999998</v>
      </c>
      <c r="P26" s="21">
        <f>VLOOKUP(A26,'2022-23 Salary &amp; Benefits'!$A:$I,5,)</f>
        <v>68937</v>
      </c>
      <c r="Q26" s="21">
        <f>VLOOKUP(A26,'2022-23 Salary &amp; Benefits'!$A:$I,6,FALSE)</f>
        <v>72728</v>
      </c>
      <c r="R26" s="22">
        <f t="shared" si="6"/>
        <v>514943.53</v>
      </c>
      <c r="S26" s="22">
        <f t="shared" si="7"/>
        <v>28317.9</v>
      </c>
      <c r="T26" s="22">
        <f>'2022-23 Salary &amp; Benefits'!$G$6</f>
        <v>12558.24</v>
      </c>
      <c r="U26" s="23">
        <f>'2022-23 Salary &amp; Benefits'!$H$6</f>
        <v>0.2298</v>
      </c>
      <c r="V26" s="23">
        <f>'2022-23 Salary &amp; Benefits'!$I$6</f>
        <v>0.22339999999999999</v>
      </c>
      <c r="W26" s="22">
        <f t="shared" si="8"/>
        <v>210721.86</v>
      </c>
      <c r="X26" s="22">
        <f t="shared" si="9"/>
        <v>9054.36</v>
      </c>
      <c r="Y26" s="22">
        <f t="shared" si="10"/>
        <v>2022.74</v>
      </c>
      <c r="Z26" s="22">
        <f t="shared" si="11"/>
        <v>11077.1</v>
      </c>
      <c r="AA26" s="22">
        <f t="shared" si="12"/>
        <v>765060.39</v>
      </c>
    </row>
    <row r="27" spans="1:27">
      <c r="A27" s="125" t="s">
        <v>2280</v>
      </c>
      <c r="B27" s="3" t="s">
        <v>153</v>
      </c>
      <c r="C27" s="93">
        <f>IF(A27=Summary!$B$9,Summary!$G$9,0)</f>
        <v>0</v>
      </c>
      <c r="D27" s="134">
        <f>VLOOKUP(A27,AAFTE!$A:$S,3,0)</f>
        <v>480.79</v>
      </c>
      <c r="E27" s="20">
        <f>VLOOKUP($A27,'2022-23 Salary &amp; Benefits'!$A:$I,3,)</f>
        <v>1</v>
      </c>
      <c r="F27" s="20">
        <f>VLOOKUP($A27,'2022-23 Salary &amp; Benefits'!$A:$I,4,)</f>
        <v>1</v>
      </c>
      <c r="G27" s="34">
        <f>VLOOKUP(A27,'CEDARS District FRPL'!$A:$C,3,)</f>
        <v>0.66469999999999996</v>
      </c>
      <c r="H27" s="25">
        <f t="shared" si="1"/>
        <v>480.79</v>
      </c>
      <c r="I27" s="39">
        <f t="shared" si="4"/>
        <v>319.58</v>
      </c>
      <c r="J27" s="24">
        <v>15</v>
      </c>
      <c r="K27" s="26">
        <f t="shared" si="2"/>
        <v>21.305333333333333</v>
      </c>
      <c r="L27" s="24">
        <v>2.3975</v>
      </c>
      <c r="M27" s="24">
        <v>36</v>
      </c>
      <c r="N27" s="27">
        <f t="shared" si="3"/>
        <v>1838.8633200000002</v>
      </c>
      <c r="O27" s="102">
        <f t="shared" si="5"/>
        <v>2.0430000000000001</v>
      </c>
      <c r="P27" s="21">
        <f>VLOOKUP(A27,'2022-23 Salary &amp; Benefits'!$A:$I,5,)</f>
        <v>68937</v>
      </c>
      <c r="Q27" s="21">
        <f>VLOOKUP(A27,'2022-23 Salary &amp; Benefits'!$A:$I,6,FALSE)</f>
        <v>72728</v>
      </c>
      <c r="R27" s="22">
        <f t="shared" si="6"/>
        <v>140838.29</v>
      </c>
      <c r="S27" s="22">
        <f t="shared" si="7"/>
        <v>7745.01</v>
      </c>
      <c r="T27" s="22">
        <f>'2022-23 Salary &amp; Benefits'!$G$6</f>
        <v>12558.24</v>
      </c>
      <c r="U27" s="23">
        <f>'2022-23 Salary &amp; Benefits'!$H$6</f>
        <v>0.2298</v>
      </c>
      <c r="V27" s="23">
        <f>'2022-23 Salary &amp; Benefits'!$I$6</f>
        <v>0.22339999999999999</v>
      </c>
      <c r="W27" s="22">
        <f t="shared" si="8"/>
        <v>59751.360000000001</v>
      </c>
      <c r="X27" s="22">
        <f t="shared" si="9"/>
        <v>2476.39</v>
      </c>
      <c r="Y27" s="22">
        <f t="shared" si="10"/>
        <v>553.23</v>
      </c>
      <c r="Z27" s="22">
        <f t="shared" si="11"/>
        <v>3029.62</v>
      </c>
      <c r="AA27" s="22">
        <f t="shared" si="12"/>
        <v>211364.28000000003</v>
      </c>
    </row>
    <row r="28" spans="1:27">
      <c r="A28" s="125" t="s">
        <v>2441</v>
      </c>
      <c r="B28" s="3" t="s">
        <v>1385</v>
      </c>
      <c r="C28" s="93">
        <f>IF(A28=Summary!$B$9,Summary!$G$9,0)</f>
        <v>0</v>
      </c>
      <c r="D28" s="134">
        <f>VLOOKUP(A28,AAFTE!$A:$S,3,0)</f>
        <v>177.35</v>
      </c>
      <c r="E28" s="20">
        <f>VLOOKUP($A28,'2022-23 Salary &amp; Benefits'!$A:$I,3,)</f>
        <v>1.06</v>
      </c>
      <c r="F28" s="20">
        <f>VLOOKUP($A28,'2022-23 Salary &amp; Benefits'!$A:$I,4,)</f>
        <v>1.1000000000000001</v>
      </c>
      <c r="G28" s="34">
        <f>VLOOKUP(A28,'CEDARS District FRPL'!$A:$C,3,)</f>
        <v>0.2402</v>
      </c>
      <c r="H28" s="25">
        <f t="shared" si="1"/>
        <v>177.35</v>
      </c>
      <c r="I28" s="39">
        <f t="shared" si="4"/>
        <v>42.6</v>
      </c>
      <c r="J28" s="24">
        <v>15</v>
      </c>
      <c r="K28" s="26">
        <f t="shared" si="2"/>
        <v>2.8400000000000003</v>
      </c>
      <c r="L28" s="24">
        <v>2.3975</v>
      </c>
      <c r="M28" s="24">
        <v>36</v>
      </c>
      <c r="N28" s="27">
        <f t="shared" si="3"/>
        <v>245.12040000000002</v>
      </c>
      <c r="O28" s="102">
        <f t="shared" si="5"/>
        <v>0.27200000000000002</v>
      </c>
      <c r="P28" s="21">
        <f>VLOOKUP(A28,'2022-23 Salary &amp; Benefits'!$A:$I,5,)</f>
        <v>68937</v>
      </c>
      <c r="Q28" s="21">
        <f>VLOOKUP(A28,'2022-23 Salary &amp; Benefits'!$A:$I,6,FALSE)</f>
        <v>72728</v>
      </c>
      <c r="R28" s="22">
        <f t="shared" si="6"/>
        <v>19875.919999999998</v>
      </c>
      <c r="S28" s="22">
        <f t="shared" si="7"/>
        <v>1884.3</v>
      </c>
      <c r="T28" s="22">
        <f>'2022-23 Salary &amp; Benefits'!$G$6</f>
        <v>12558.24</v>
      </c>
      <c r="U28" s="23">
        <f>'2022-23 Salary &amp; Benefits'!$H$6</f>
        <v>0.2298</v>
      </c>
      <c r="V28" s="23">
        <f>'2022-23 Salary &amp; Benefits'!$I$6</f>
        <v>0.22339999999999999</v>
      </c>
      <c r="W28" s="22">
        <f t="shared" si="8"/>
        <v>8404.2800000000007</v>
      </c>
      <c r="X28" s="22">
        <f t="shared" si="9"/>
        <v>362.67</v>
      </c>
      <c r="Y28" s="22">
        <f t="shared" si="10"/>
        <v>81.02</v>
      </c>
      <c r="Z28" s="22">
        <f t="shared" si="11"/>
        <v>443.69</v>
      </c>
      <c r="AA28" s="22">
        <f t="shared" si="12"/>
        <v>30608.189999999995</v>
      </c>
    </row>
    <row r="29" spans="1:27">
      <c r="A29" s="29" t="s">
        <v>2275</v>
      </c>
      <c r="B29" s="29" t="s">
        <v>115</v>
      </c>
      <c r="C29" s="93">
        <f>IF(A29=Summary!$B$9,Summary!$G$9,0)</f>
        <v>0</v>
      </c>
      <c r="D29" s="134">
        <f>VLOOKUP(A29,AAFTE!$A:$S,3,0)</f>
        <v>1233.19</v>
      </c>
      <c r="E29" s="20">
        <f>VLOOKUP($A29,'2022-23 Salary &amp; Benefits'!$A:$I,3,)</f>
        <v>1</v>
      </c>
      <c r="F29" s="20">
        <f>VLOOKUP($A29,'2022-23 Salary &amp; Benefits'!$A:$I,4,)</f>
        <v>1</v>
      </c>
      <c r="G29" s="34">
        <f>VLOOKUP(A29,'CEDARS District FRPL'!$A:$C,3,)</f>
        <v>0.38240000000000002</v>
      </c>
      <c r="H29" s="25">
        <f>IF(C29&gt;0,C29,D29)</f>
        <v>1233.19</v>
      </c>
      <c r="I29" s="39">
        <f t="shared" si="4"/>
        <v>471.57</v>
      </c>
      <c r="J29" s="24">
        <v>15</v>
      </c>
      <c r="K29" s="26">
        <f>I29/J29</f>
        <v>31.437999999999999</v>
      </c>
      <c r="L29" s="24">
        <v>2.3975</v>
      </c>
      <c r="M29" s="24">
        <v>36</v>
      </c>
      <c r="N29" s="27">
        <f>K29*L29*M29</f>
        <v>2713.4137799999999</v>
      </c>
      <c r="O29" s="102">
        <f t="shared" si="5"/>
        <v>3.0150000000000001</v>
      </c>
      <c r="P29" s="21">
        <f>VLOOKUP(A29,'2022-23 Salary &amp; Benefits'!$A:$I,5,)</f>
        <v>68937</v>
      </c>
      <c r="Q29" s="21">
        <f>VLOOKUP(A29,'2022-23 Salary &amp; Benefits'!$A:$I,6,FALSE)</f>
        <v>72728</v>
      </c>
      <c r="R29" s="22">
        <f t="shared" si="6"/>
        <v>207845.06</v>
      </c>
      <c r="S29" s="22">
        <f t="shared" si="7"/>
        <v>11429.86</v>
      </c>
      <c r="T29" s="22">
        <f>'2022-23 Salary &amp; Benefits'!$G$6</f>
        <v>12558.24</v>
      </c>
      <c r="U29" s="23">
        <f>'2022-23 Salary &amp; Benefits'!$H$6</f>
        <v>0.2298</v>
      </c>
      <c r="V29" s="23">
        <f>'2022-23 Salary &amp; Benefits'!$I$6</f>
        <v>0.22339999999999999</v>
      </c>
      <c r="W29" s="22">
        <f t="shared" si="8"/>
        <v>88179.32</v>
      </c>
      <c r="X29" s="22">
        <f t="shared" si="9"/>
        <v>3654.58</v>
      </c>
      <c r="Y29" s="22">
        <f t="shared" si="10"/>
        <v>816.43</v>
      </c>
      <c r="Z29" s="22">
        <f>SUM(X29:Y29)</f>
        <v>4471.01</v>
      </c>
      <c r="AA29" s="22">
        <f>SUM(W29,R29:S29,Z29)</f>
        <v>311925.25</v>
      </c>
    </row>
    <row r="30" spans="1:27">
      <c r="A30" s="125" t="s">
        <v>2274</v>
      </c>
      <c r="B30" s="3" t="s">
        <v>2585</v>
      </c>
      <c r="C30" s="93">
        <f>IF(A30=Summary!$B$9,Summary!$G$9,0)</f>
        <v>0</v>
      </c>
      <c r="D30" s="134">
        <f>VLOOKUP(A30,AAFTE!$A:$S,3,0)</f>
        <v>1563.24</v>
      </c>
      <c r="E30" s="20">
        <f>VLOOKUP($A30,'2022-23 Salary &amp; Benefits'!$A:$I,3,)</f>
        <v>1</v>
      </c>
      <c r="F30" s="20">
        <f>VLOOKUP($A30,'2022-23 Salary &amp; Benefits'!$A:$I,4,)</f>
        <v>1.04</v>
      </c>
      <c r="G30" s="34">
        <f>VLOOKUP(A30,'CEDARS District FRPL'!$A:$C,3,)</f>
        <v>0.42109999999999997</v>
      </c>
      <c r="H30" s="25">
        <f t="shared" si="1"/>
        <v>1563.24</v>
      </c>
      <c r="I30" s="39">
        <f t="shared" si="4"/>
        <v>658.28</v>
      </c>
      <c r="J30" s="24">
        <v>15</v>
      </c>
      <c r="K30" s="26">
        <f t="shared" si="2"/>
        <v>43.885333333333328</v>
      </c>
      <c r="L30" s="24">
        <v>2.3975</v>
      </c>
      <c r="M30" s="24">
        <v>36</v>
      </c>
      <c r="N30" s="27">
        <f t="shared" si="3"/>
        <v>3787.7431199999992</v>
      </c>
      <c r="O30" s="102">
        <f t="shared" si="5"/>
        <v>4.2089999999999996</v>
      </c>
      <c r="P30" s="21">
        <f>VLOOKUP(A30,'2022-23 Salary &amp; Benefits'!$A:$I,5,)</f>
        <v>68937</v>
      </c>
      <c r="Q30" s="21">
        <f>VLOOKUP(A30,'2022-23 Salary &amp; Benefits'!$A:$I,6,FALSE)</f>
        <v>72728</v>
      </c>
      <c r="R30" s="22">
        <f t="shared" si="6"/>
        <v>290155.83</v>
      </c>
      <c r="S30" s="22">
        <f t="shared" si="7"/>
        <v>28200.81</v>
      </c>
      <c r="T30" s="22">
        <f>'2022-23 Salary &amp; Benefits'!$G$6</f>
        <v>12558.24</v>
      </c>
      <c r="U30" s="23">
        <f>'2022-23 Salary &amp; Benefits'!$H$6</f>
        <v>0.2298</v>
      </c>
      <c r="V30" s="23">
        <f>'2022-23 Salary &amp; Benefits'!$I$6</f>
        <v>0.22339999999999999</v>
      </c>
      <c r="W30" s="22">
        <f t="shared" si="8"/>
        <v>125835.5</v>
      </c>
      <c r="X30" s="22">
        <f t="shared" si="9"/>
        <v>5305.94</v>
      </c>
      <c r="Y30" s="22">
        <f t="shared" si="10"/>
        <v>1185.3499999999999</v>
      </c>
      <c r="Z30" s="22">
        <f t="shared" si="11"/>
        <v>6491.2899999999991</v>
      </c>
      <c r="AA30" s="22">
        <f t="shared" si="12"/>
        <v>450683.43</v>
      </c>
    </row>
    <row r="31" spans="1:27">
      <c r="A31" s="125" t="s">
        <v>2297</v>
      </c>
      <c r="B31" s="3" t="s">
        <v>314</v>
      </c>
      <c r="C31" s="93">
        <f>IF(A31=Summary!$B$9,Summary!$G$9,0)</f>
        <v>0</v>
      </c>
      <c r="D31" s="134">
        <f>VLOOKUP(A31,AAFTE!$A:$S,3,0)</f>
        <v>1402.43</v>
      </c>
      <c r="E31" s="20">
        <f>VLOOKUP($A31,'2022-23 Salary &amp; Benefits'!$A:$I,3,)</f>
        <v>1</v>
      </c>
      <c r="F31" s="20">
        <f>VLOOKUP($A31,'2022-23 Salary &amp; Benefits'!$A:$I,4,)</f>
        <v>1</v>
      </c>
      <c r="G31" s="34">
        <f>VLOOKUP(A31,'CEDARS District FRPL'!$A:$C,3,)</f>
        <v>0.51829999999999998</v>
      </c>
      <c r="H31" s="25">
        <f t="shared" si="1"/>
        <v>1402.43</v>
      </c>
      <c r="I31" s="39">
        <f t="shared" si="4"/>
        <v>726.88</v>
      </c>
      <c r="J31" s="24">
        <v>15</v>
      </c>
      <c r="K31" s="26">
        <f t="shared" si="2"/>
        <v>48.458666666666666</v>
      </c>
      <c r="L31" s="24">
        <v>2.3975</v>
      </c>
      <c r="M31" s="24">
        <v>36</v>
      </c>
      <c r="N31" s="27">
        <f t="shared" si="3"/>
        <v>4182.4675200000001</v>
      </c>
      <c r="O31" s="102">
        <f t="shared" si="5"/>
        <v>4.6470000000000002</v>
      </c>
      <c r="P31" s="21">
        <f>VLOOKUP(A31,'2022-23 Salary &amp; Benefits'!$A:$I,5,)</f>
        <v>68937</v>
      </c>
      <c r="Q31" s="21">
        <f>VLOOKUP(A31,'2022-23 Salary &amp; Benefits'!$A:$I,6,FALSE)</f>
        <v>72728</v>
      </c>
      <c r="R31" s="22">
        <f t="shared" si="6"/>
        <v>320350.24</v>
      </c>
      <c r="S31" s="22">
        <f t="shared" si="7"/>
        <v>17616.78</v>
      </c>
      <c r="T31" s="22">
        <f>'2022-23 Salary &amp; Benefits'!$G$6</f>
        <v>12558.24</v>
      </c>
      <c r="U31" s="23">
        <f>'2022-23 Salary &amp; Benefits'!$H$6</f>
        <v>0.2298</v>
      </c>
      <c r="V31" s="23">
        <f>'2022-23 Salary &amp; Benefits'!$I$6</f>
        <v>0.22339999999999999</v>
      </c>
      <c r="W31" s="22">
        <f t="shared" si="8"/>
        <v>135910.22</v>
      </c>
      <c r="X31" s="22">
        <f t="shared" si="9"/>
        <v>5632.78</v>
      </c>
      <c r="Y31" s="22">
        <f t="shared" si="10"/>
        <v>1258.3599999999999</v>
      </c>
      <c r="Z31" s="22">
        <f t="shared" si="11"/>
        <v>6891.1399999999994</v>
      </c>
      <c r="AA31" s="22">
        <f t="shared" si="12"/>
        <v>480768.38</v>
      </c>
    </row>
    <row r="32" spans="1:27">
      <c r="A32" s="125" t="s">
        <v>2856</v>
      </c>
      <c r="B32" s="3" t="s">
        <v>2869</v>
      </c>
      <c r="C32" s="93">
        <f>IF(A32=Summary!$B$9,Summary!$G$9,0)</f>
        <v>0</v>
      </c>
      <c r="D32" s="134">
        <f>VLOOKUP(A32,AAFTE!$A:$S,3,0)</f>
        <v>301.14</v>
      </c>
      <c r="E32" s="20">
        <f>VLOOKUP($A32,'2022-23 Salary &amp; Benefits'!$A:$I,3,)</f>
        <v>1.18</v>
      </c>
      <c r="F32" s="20">
        <f>VLOOKUP($A32,'2022-23 Salary &amp; Benefits'!$A:$I,4,)</f>
        <v>1.18</v>
      </c>
      <c r="G32" s="34">
        <f>VLOOKUP(A32,'CEDARS District FRPL'!$A:$C,3,)</f>
        <v>0.51339999999999997</v>
      </c>
      <c r="H32" s="25">
        <f t="shared" si="1"/>
        <v>301.14</v>
      </c>
      <c r="I32" s="39">
        <f t="shared" si="4"/>
        <v>154.61000000000001</v>
      </c>
      <c r="J32" s="24">
        <v>15</v>
      </c>
      <c r="K32" s="26">
        <f t="shared" si="2"/>
        <v>10.307333333333334</v>
      </c>
      <c r="L32" s="24">
        <v>2.3975</v>
      </c>
      <c r="M32" s="24">
        <v>36</v>
      </c>
      <c r="N32" s="27">
        <f t="shared" si="3"/>
        <v>889.62594000000013</v>
      </c>
      <c r="O32" s="102">
        <f t="shared" si="5"/>
        <v>0.98799999999999999</v>
      </c>
      <c r="P32" s="21">
        <f>VLOOKUP(A32,'2022-23 Salary &amp; Benefits'!$A:$I,5,)</f>
        <v>68937</v>
      </c>
      <c r="Q32" s="21">
        <f>VLOOKUP(A32,'2022-23 Salary &amp; Benefits'!$A:$I,6,FALSE)</f>
        <v>72728</v>
      </c>
      <c r="R32" s="22">
        <f t="shared" si="6"/>
        <v>80369.509999999995</v>
      </c>
      <c r="S32" s="22">
        <f t="shared" si="7"/>
        <v>4419.7</v>
      </c>
      <c r="T32" s="22">
        <f>'2022-23 Salary &amp; Benefits'!$G$6</f>
        <v>12558.24</v>
      </c>
      <c r="U32" s="23">
        <f>'2022-23 Salary &amp; Benefits'!$H$6</f>
        <v>0.2298</v>
      </c>
      <c r="V32" s="23">
        <f>'2022-23 Salary &amp; Benefits'!$I$6</f>
        <v>0.22339999999999999</v>
      </c>
      <c r="W32" s="22">
        <f t="shared" si="8"/>
        <v>31863.82</v>
      </c>
      <c r="X32" s="22">
        <f t="shared" si="9"/>
        <v>1413.15</v>
      </c>
      <c r="Y32" s="22">
        <f t="shared" si="10"/>
        <v>315.7</v>
      </c>
      <c r="Z32" s="22">
        <f t="shared" si="11"/>
        <v>1728.8500000000001</v>
      </c>
      <c r="AA32" s="22">
        <f t="shared" si="12"/>
        <v>118381.87999999999</v>
      </c>
    </row>
    <row r="33" spans="1:27">
      <c r="A33" s="29" t="s">
        <v>2385</v>
      </c>
      <c r="B33" s="29" t="s">
        <v>1108</v>
      </c>
      <c r="C33" s="93">
        <f>IF(A33=Summary!$B$9,Summary!$G$9,0)</f>
        <v>0</v>
      </c>
      <c r="D33" s="134">
        <f>VLOOKUP(A33,AAFTE!$A:$S,3,0)</f>
        <v>86</v>
      </c>
      <c r="E33" s="20">
        <f>VLOOKUP($A33,'2022-23 Salary &amp; Benefits'!$A:$I,3,)</f>
        <v>1</v>
      </c>
      <c r="F33" s="20">
        <f>VLOOKUP($A33,'2022-23 Salary &amp; Benefits'!$A:$I,4,)</f>
        <v>1.04</v>
      </c>
      <c r="G33" s="34">
        <f>VLOOKUP(A33,'CEDARS District FRPL'!$A:$C,3,)</f>
        <v>0.31030000000000002</v>
      </c>
      <c r="H33" s="25">
        <f>IF(C33&gt;0,C33,D33)</f>
        <v>86</v>
      </c>
      <c r="I33" s="39">
        <f t="shared" si="4"/>
        <v>26.69</v>
      </c>
      <c r="J33" s="24">
        <v>15</v>
      </c>
      <c r="K33" s="26">
        <f>I33/J33</f>
        <v>1.7793333333333334</v>
      </c>
      <c r="L33" s="24">
        <v>2.3975</v>
      </c>
      <c r="M33" s="24">
        <v>36</v>
      </c>
      <c r="N33" s="27">
        <f>K33*L33*M33</f>
        <v>153.57426000000001</v>
      </c>
      <c r="O33" s="102">
        <f t="shared" si="5"/>
        <v>0.17100000000000001</v>
      </c>
      <c r="P33" s="21">
        <f>VLOOKUP(A33,'2022-23 Salary &amp; Benefits'!$A:$I,5,)</f>
        <v>68937</v>
      </c>
      <c r="Q33" s="21">
        <f>VLOOKUP(A33,'2022-23 Salary &amp; Benefits'!$A:$I,6,FALSE)</f>
        <v>72728</v>
      </c>
      <c r="R33" s="22">
        <f t="shared" si="6"/>
        <v>11788.23</v>
      </c>
      <c r="S33" s="22">
        <f t="shared" si="7"/>
        <v>1145.72</v>
      </c>
      <c r="T33" s="22">
        <f>'2022-23 Salary &amp; Benefits'!$G$6</f>
        <v>12558.24</v>
      </c>
      <c r="U33" s="23">
        <f>'2022-23 Salary &amp; Benefits'!$H$6</f>
        <v>0.2298</v>
      </c>
      <c r="V33" s="23">
        <f>'2022-23 Salary &amp; Benefits'!$I$6</f>
        <v>0.22339999999999999</v>
      </c>
      <c r="W33" s="22">
        <f t="shared" si="8"/>
        <v>5112.3500000000004</v>
      </c>
      <c r="X33" s="22">
        <f t="shared" si="9"/>
        <v>215.57</v>
      </c>
      <c r="Y33" s="22">
        <f t="shared" si="10"/>
        <v>48.16</v>
      </c>
      <c r="Z33" s="22">
        <f>SUM(X33:Y33)</f>
        <v>263.73</v>
      </c>
      <c r="AA33" s="22">
        <f>SUM(W33,R33:S33,Z33)</f>
        <v>18310.030000000002</v>
      </c>
    </row>
    <row r="34" spans="1:27">
      <c r="A34" s="125" t="s">
        <v>2374</v>
      </c>
      <c r="B34" s="3" t="s">
        <v>1050</v>
      </c>
      <c r="C34" s="93">
        <f>IF(A34=Summary!$B$9,Summary!$G$9,0)</f>
        <v>0</v>
      </c>
      <c r="D34" s="134">
        <f>VLOOKUP(A34,AAFTE!$A:$S,3,0)</f>
        <v>11131.92</v>
      </c>
      <c r="E34" s="20">
        <f>VLOOKUP($A34,'2022-23 Salary &amp; Benefits'!$A:$I,3,)</f>
        <v>1.18</v>
      </c>
      <c r="F34" s="20">
        <f>VLOOKUP($A34,'2022-23 Salary &amp; Benefits'!$A:$I,4,)</f>
        <v>1.18</v>
      </c>
      <c r="G34" s="34">
        <f>VLOOKUP(A34,'CEDARS District FRPL'!$A:$C,3,)</f>
        <v>0.3654</v>
      </c>
      <c r="H34" s="25">
        <f t="shared" si="1"/>
        <v>11131.92</v>
      </c>
      <c r="I34" s="39">
        <f t="shared" si="4"/>
        <v>4067.6</v>
      </c>
      <c r="J34" s="24">
        <v>15</v>
      </c>
      <c r="K34" s="26">
        <f t="shared" si="2"/>
        <v>271.17333333333335</v>
      </c>
      <c r="L34" s="24">
        <v>2.3975</v>
      </c>
      <c r="M34" s="24">
        <v>36</v>
      </c>
      <c r="N34" s="27">
        <f t="shared" si="3"/>
        <v>23404.970399999998</v>
      </c>
      <c r="O34" s="102">
        <f t="shared" si="5"/>
        <v>26.006</v>
      </c>
      <c r="P34" s="21">
        <f>VLOOKUP(A34,'2022-23 Salary &amp; Benefits'!$A:$I,5,)</f>
        <v>68937</v>
      </c>
      <c r="Q34" s="21">
        <f>VLOOKUP(A34,'2022-23 Salary &amp; Benefits'!$A:$I,6,FALSE)</f>
        <v>72728</v>
      </c>
      <c r="R34" s="22">
        <f t="shared" si="6"/>
        <v>2115475.23</v>
      </c>
      <c r="S34" s="22">
        <f t="shared" si="7"/>
        <v>116334.72</v>
      </c>
      <c r="T34" s="22">
        <f>'2022-23 Salary &amp; Benefits'!$G$6</f>
        <v>12558.24</v>
      </c>
      <c r="U34" s="23">
        <f>'2022-23 Salary &amp; Benefits'!$H$6</f>
        <v>0.2298</v>
      </c>
      <c r="V34" s="23">
        <f>'2022-23 Salary &amp; Benefits'!$I$6</f>
        <v>0.22339999999999999</v>
      </c>
      <c r="W34" s="22">
        <f t="shared" si="8"/>
        <v>838714.97</v>
      </c>
      <c r="X34" s="22">
        <f t="shared" si="9"/>
        <v>37196.83</v>
      </c>
      <c r="Y34" s="22">
        <f t="shared" si="10"/>
        <v>8309.77</v>
      </c>
      <c r="Z34" s="22">
        <f t="shared" si="11"/>
        <v>45506.600000000006</v>
      </c>
      <c r="AA34" s="22">
        <f t="shared" si="12"/>
        <v>3116031.5200000005</v>
      </c>
    </row>
    <row r="35" spans="1:27">
      <c r="A35" s="125" t="s">
        <v>2492</v>
      </c>
      <c r="B35" s="3" t="s">
        <v>1849</v>
      </c>
      <c r="C35" s="93">
        <f>IF(A35=Summary!$B$9,Summary!$G$9,0)</f>
        <v>0</v>
      </c>
      <c r="D35" s="134">
        <f>VLOOKUP(A35,AAFTE!$A:$S,3,0)</f>
        <v>14060.24</v>
      </c>
      <c r="E35" s="20">
        <f>VLOOKUP($A35,'2022-23 Salary &amp; Benefits'!$A:$I,3,)</f>
        <v>1</v>
      </c>
      <c r="F35" s="20">
        <f>VLOOKUP($A35,'2022-23 Salary &amp; Benefits'!$A:$I,4,)</f>
        <v>1</v>
      </c>
      <c r="G35" s="34">
        <f>VLOOKUP(A35,'CEDARS District FRPL'!$A:$C,3,)</f>
        <v>0.35980000000000001</v>
      </c>
      <c r="H35" s="25">
        <f t="shared" si="1"/>
        <v>14060.24</v>
      </c>
      <c r="I35" s="39">
        <f t="shared" si="4"/>
        <v>5058.87</v>
      </c>
      <c r="J35" s="24">
        <v>15</v>
      </c>
      <c r="K35" s="26">
        <f t="shared" si="2"/>
        <v>337.25799999999998</v>
      </c>
      <c r="L35" s="24">
        <v>2.3975</v>
      </c>
      <c r="M35" s="24">
        <v>36</v>
      </c>
      <c r="N35" s="27">
        <f t="shared" si="3"/>
        <v>29108.737979999998</v>
      </c>
      <c r="O35" s="102">
        <f t="shared" si="5"/>
        <v>32.343000000000004</v>
      </c>
      <c r="P35" s="21">
        <f>VLOOKUP(A35,'2022-23 Salary &amp; Benefits'!$A:$I,5,)</f>
        <v>68937</v>
      </c>
      <c r="Q35" s="21">
        <f>VLOOKUP(A35,'2022-23 Salary &amp; Benefits'!$A:$I,6,FALSE)</f>
        <v>72728</v>
      </c>
      <c r="R35" s="22">
        <f t="shared" si="6"/>
        <v>2229629.39</v>
      </c>
      <c r="S35" s="22">
        <f t="shared" si="7"/>
        <v>122612.31</v>
      </c>
      <c r="T35" s="22">
        <f>'2022-23 Salary &amp; Benefits'!$G$6</f>
        <v>12558.24</v>
      </c>
      <c r="U35" s="23">
        <f>'2022-23 Salary &amp; Benefits'!$H$6</f>
        <v>0.2298</v>
      </c>
      <c r="V35" s="23">
        <f>'2022-23 Salary &amp; Benefits'!$I$6</f>
        <v>0.22339999999999999</v>
      </c>
      <c r="W35" s="22">
        <f t="shared" si="8"/>
        <v>945931.58</v>
      </c>
      <c r="X35" s="22">
        <f t="shared" si="9"/>
        <v>39204.03</v>
      </c>
      <c r="Y35" s="22">
        <f t="shared" si="10"/>
        <v>8758.18</v>
      </c>
      <c r="Z35" s="22">
        <f t="shared" si="11"/>
        <v>47962.21</v>
      </c>
      <c r="AA35" s="22">
        <f t="shared" si="12"/>
        <v>3346135.49</v>
      </c>
    </row>
    <row r="36" spans="1:27">
      <c r="A36" s="125" t="s">
        <v>2405</v>
      </c>
      <c r="B36" s="3" t="s">
        <v>1173</v>
      </c>
      <c r="C36" s="93">
        <f>IF(A36=Summary!$B$9,Summary!$G$9,0)</f>
        <v>0</v>
      </c>
      <c r="D36" s="134">
        <f>VLOOKUP(A36,AAFTE!$A:$S,3,0)</f>
        <v>3365.81</v>
      </c>
      <c r="E36" s="20">
        <f>VLOOKUP($A36,'2022-23 Salary &amp; Benefits'!$A:$I,3,)</f>
        <v>1</v>
      </c>
      <c r="F36" s="20">
        <f>VLOOKUP($A36,'2022-23 Salary &amp; Benefits'!$A:$I,4,)</f>
        <v>1</v>
      </c>
      <c r="G36" s="34">
        <f>VLOOKUP(A36,'CEDARS District FRPL'!$A:$C,3,)</f>
        <v>0.80730000000000002</v>
      </c>
      <c r="H36" s="25">
        <f t="shared" si="1"/>
        <v>3365.81</v>
      </c>
      <c r="I36" s="39">
        <f t="shared" si="4"/>
        <v>2717.22</v>
      </c>
      <c r="J36" s="24">
        <v>15</v>
      </c>
      <c r="K36" s="26">
        <f t="shared" si="2"/>
        <v>181.148</v>
      </c>
      <c r="L36" s="24">
        <v>2.3975</v>
      </c>
      <c r="M36" s="24">
        <v>36</v>
      </c>
      <c r="N36" s="27">
        <f t="shared" si="3"/>
        <v>15634.883879999999</v>
      </c>
      <c r="O36" s="102">
        <f t="shared" si="5"/>
        <v>17.372</v>
      </c>
      <c r="P36" s="21">
        <f>VLOOKUP(A36,'2022-23 Salary &amp; Benefits'!$A:$I,5,)</f>
        <v>68937</v>
      </c>
      <c r="Q36" s="21">
        <f>VLOOKUP(A36,'2022-23 Salary &amp; Benefits'!$A:$I,6,FALSE)</f>
        <v>72728</v>
      </c>
      <c r="R36" s="22">
        <f t="shared" si="6"/>
        <v>1197573.56</v>
      </c>
      <c r="S36" s="22">
        <f t="shared" si="7"/>
        <v>65857.259999999995</v>
      </c>
      <c r="T36" s="22">
        <f>'2022-23 Salary &amp; Benefits'!$G$6</f>
        <v>12558.24</v>
      </c>
      <c r="U36" s="23">
        <f>'2022-23 Salary &amp; Benefits'!$H$6</f>
        <v>0.2298</v>
      </c>
      <c r="V36" s="23">
        <f>'2022-23 Salary &amp; Benefits'!$I$6</f>
        <v>0.22339999999999999</v>
      </c>
      <c r="W36" s="22">
        <f t="shared" si="8"/>
        <v>508076.66</v>
      </c>
      <c r="X36" s="22">
        <f t="shared" si="9"/>
        <v>21057.18</v>
      </c>
      <c r="Y36" s="22">
        <f t="shared" si="10"/>
        <v>4704.17</v>
      </c>
      <c r="Z36" s="22">
        <f t="shared" si="11"/>
        <v>25761.35</v>
      </c>
      <c r="AA36" s="22">
        <f t="shared" si="12"/>
        <v>1797268.83</v>
      </c>
    </row>
    <row r="37" spans="1:27">
      <c r="A37" s="125" t="s">
        <v>2403</v>
      </c>
      <c r="B37" s="3" t="s">
        <v>1166</v>
      </c>
      <c r="C37" s="93">
        <f>IF(A37=Summary!$B$9,Summary!$G$9,0)</f>
        <v>0</v>
      </c>
      <c r="D37" s="134">
        <f>VLOOKUP(A37,AAFTE!$A:$S,3,0)</f>
        <v>2839.71</v>
      </c>
      <c r="E37" s="20">
        <f>VLOOKUP($A37,'2022-23 Salary &amp; Benefits'!$A:$I,3,)</f>
        <v>1</v>
      </c>
      <c r="F37" s="20">
        <f>VLOOKUP($A37,'2022-23 Salary &amp; Benefits'!$A:$I,4,)</f>
        <v>1.04</v>
      </c>
      <c r="G37" s="34">
        <f>VLOOKUP(A37,'CEDARS District FRPL'!$A:$C,3,)</f>
        <v>0.45810000000000001</v>
      </c>
      <c r="H37" s="25">
        <f t="shared" si="1"/>
        <v>2839.71</v>
      </c>
      <c r="I37" s="39">
        <f t="shared" si="4"/>
        <v>1300.8699999999999</v>
      </c>
      <c r="J37" s="24">
        <v>15</v>
      </c>
      <c r="K37" s="26">
        <f t="shared" si="2"/>
        <v>86.724666666666664</v>
      </c>
      <c r="L37" s="24">
        <v>2.3975</v>
      </c>
      <c r="M37" s="24">
        <v>36</v>
      </c>
      <c r="N37" s="27">
        <f t="shared" si="3"/>
        <v>7485.2059799999997</v>
      </c>
      <c r="O37" s="102">
        <f t="shared" si="5"/>
        <v>8.3170000000000002</v>
      </c>
      <c r="P37" s="21">
        <f>VLOOKUP(A37,'2022-23 Salary &amp; Benefits'!$A:$I,5,)</f>
        <v>68937</v>
      </c>
      <c r="Q37" s="21">
        <f>VLOOKUP(A37,'2022-23 Salary &amp; Benefits'!$A:$I,6,FALSE)</f>
        <v>72728</v>
      </c>
      <c r="R37" s="22">
        <f t="shared" si="6"/>
        <v>573349.03</v>
      </c>
      <c r="S37" s="22">
        <f t="shared" si="7"/>
        <v>55724.9</v>
      </c>
      <c r="T37" s="22">
        <f>'2022-23 Salary &amp; Benefits'!$G$6</f>
        <v>12558.24</v>
      </c>
      <c r="U37" s="23">
        <f>'2022-23 Salary &amp; Benefits'!$H$6</f>
        <v>0.2298</v>
      </c>
      <c r="V37" s="23">
        <f>'2022-23 Salary &amp; Benefits'!$I$6</f>
        <v>0.22339999999999999</v>
      </c>
      <c r="W37" s="22">
        <f t="shared" si="8"/>
        <v>248651.43</v>
      </c>
      <c r="X37" s="22">
        <f t="shared" si="9"/>
        <v>10484.57</v>
      </c>
      <c r="Y37" s="22">
        <f t="shared" si="10"/>
        <v>2342.25</v>
      </c>
      <c r="Z37" s="22">
        <f t="shared" si="11"/>
        <v>12826.82</v>
      </c>
      <c r="AA37" s="22">
        <f t="shared" si="12"/>
        <v>890552.17999999993</v>
      </c>
    </row>
    <row r="38" spans="1:27">
      <c r="A38" s="125" t="s">
        <v>2494</v>
      </c>
      <c r="B38" s="3" t="s">
        <v>1875</v>
      </c>
      <c r="C38" s="93">
        <f>IF(A38=Summary!$B$9,Summary!$G$9,0)</f>
        <v>0</v>
      </c>
      <c r="D38" s="134">
        <f>VLOOKUP(A38,AAFTE!$A:$S,3,0)</f>
        <v>5161.33</v>
      </c>
      <c r="E38" s="20">
        <f>VLOOKUP($A38,'2022-23 Salary &amp; Benefits'!$A:$I,3,)</f>
        <v>1</v>
      </c>
      <c r="F38" s="20">
        <f>VLOOKUP($A38,'2022-23 Salary &amp; Benefits'!$A:$I,4,)</f>
        <v>1</v>
      </c>
      <c r="G38" s="34">
        <f>VLOOKUP(A38,'CEDARS District FRPL'!$A:$C,3,)</f>
        <v>0.45519999999999999</v>
      </c>
      <c r="H38" s="25">
        <f t="shared" si="1"/>
        <v>5161.33</v>
      </c>
      <c r="I38" s="39">
        <f t="shared" si="4"/>
        <v>2349.44</v>
      </c>
      <c r="J38" s="24">
        <v>15</v>
      </c>
      <c r="K38" s="26">
        <f t="shared" si="2"/>
        <v>156.62933333333334</v>
      </c>
      <c r="L38" s="24">
        <v>2.3975</v>
      </c>
      <c r="M38" s="24">
        <v>36</v>
      </c>
      <c r="N38" s="27">
        <f t="shared" si="3"/>
        <v>13518.677759999999</v>
      </c>
      <c r="O38" s="102">
        <f t="shared" si="5"/>
        <v>15.021000000000001</v>
      </c>
      <c r="P38" s="21">
        <f>VLOOKUP(A38,'2022-23 Salary &amp; Benefits'!$A:$I,5,)</f>
        <v>68937</v>
      </c>
      <c r="Q38" s="21">
        <f>VLOOKUP(A38,'2022-23 Salary &amp; Benefits'!$A:$I,6,FALSE)</f>
        <v>72728</v>
      </c>
      <c r="R38" s="22">
        <f t="shared" si="6"/>
        <v>1035502.68</v>
      </c>
      <c r="S38" s="22">
        <f t="shared" si="7"/>
        <v>56944.61</v>
      </c>
      <c r="T38" s="22">
        <f>'2022-23 Salary &amp; Benefits'!$G$6</f>
        <v>12558.24</v>
      </c>
      <c r="U38" s="23">
        <f>'2022-23 Salary &amp; Benefits'!$H$6</f>
        <v>0.2298</v>
      </c>
      <c r="V38" s="23">
        <f>'2022-23 Salary &amp; Benefits'!$I$6</f>
        <v>0.22339999999999999</v>
      </c>
      <c r="W38" s="22">
        <f t="shared" si="8"/>
        <v>439317.26</v>
      </c>
      <c r="X38" s="22">
        <f t="shared" si="9"/>
        <v>18207.45</v>
      </c>
      <c r="Y38" s="22">
        <f t="shared" si="10"/>
        <v>4067.54</v>
      </c>
      <c r="Z38" s="22">
        <f t="shared" si="11"/>
        <v>22274.99</v>
      </c>
      <c r="AA38" s="22">
        <f t="shared" si="12"/>
        <v>1554039.54</v>
      </c>
    </row>
    <row r="39" spans="1:27">
      <c r="A39" s="125" t="s">
        <v>2504</v>
      </c>
      <c r="B39" s="3" t="s">
        <v>1925</v>
      </c>
      <c r="C39" s="93">
        <f>IF(A39=Summary!$B$9,Summary!$G$9,0)</f>
        <v>0</v>
      </c>
      <c r="D39" s="134">
        <f>VLOOKUP(A39,AAFTE!$A:$S,3,0)</f>
        <v>767.63</v>
      </c>
      <c r="E39" s="20">
        <f>VLOOKUP($A39,'2022-23 Salary &amp; Benefits'!$A:$I,3,)</f>
        <v>1</v>
      </c>
      <c r="F39" s="20">
        <f>VLOOKUP($A39,'2022-23 Salary &amp; Benefits'!$A:$I,4,)</f>
        <v>1</v>
      </c>
      <c r="G39" s="34">
        <f>VLOOKUP(A39,'CEDARS District FRPL'!$A:$C,3,)</f>
        <v>0.58360000000000001</v>
      </c>
      <c r="H39" s="25">
        <f t="shared" si="1"/>
        <v>767.63</v>
      </c>
      <c r="I39" s="39">
        <f t="shared" si="4"/>
        <v>447.99</v>
      </c>
      <c r="J39" s="24">
        <v>15</v>
      </c>
      <c r="K39" s="26">
        <f t="shared" si="2"/>
        <v>29.866</v>
      </c>
      <c r="L39" s="24">
        <v>2.3975</v>
      </c>
      <c r="M39" s="24">
        <v>36</v>
      </c>
      <c r="N39" s="27">
        <f t="shared" si="3"/>
        <v>2577.7344600000001</v>
      </c>
      <c r="O39" s="102">
        <f t="shared" si="5"/>
        <v>2.8639999999999999</v>
      </c>
      <c r="P39" s="21">
        <f>VLOOKUP(A39,'2022-23 Salary &amp; Benefits'!$A:$I,5,)</f>
        <v>68937</v>
      </c>
      <c r="Q39" s="21">
        <f>VLOOKUP(A39,'2022-23 Salary &amp; Benefits'!$A:$I,6,FALSE)</f>
        <v>72728</v>
      </c>
      <c r="R39" s="22">
        <f t="shared" si="6"/>
        <v>197435.57</v>
      </c>
      <c r="S39" s="22">
        <f t="shared" si="7"/>
        <v>10857.42</v>
      </c>
      <c r="T39" s="22">
        <f>'2022-23 Salary &amp; Benefits'!$G$6</f>
        <v>12558.24</v>
      </c>
      <c r="U39" s="23">
        <f>'2022-23 Salary &amp; Benefits'!$H$6</f>
        <v>0.2298</v>
      </c>
      <c r="V39" s="23">
        <f>'2022-23 Salary &amp; Benefits'!$I$6</f>
        <v>0.22339999999999999</v>
      </c>
      <c r="W39" s="22">
        <f t="shared" si="8"/>
        <v>83763.039999999994</v>
      </c>
      <c r="X39" s="22">
        <f t="shared" si="9"/>
        <v>3471.55</v>
      </c>
      <c r="Y39" s="22">
        <f t="shared" si="10"/>
        <v>775.54</v>
      </c>
      <c r="Z39" s="22">
        <f t="shared" si="11"/>
        <v>4247.09</v>
      </c>
      <c r="AA39" s="22">
        <f t="shared" si="12"/>
        <v>296303.12</v>
      </c>
    </row>
    <row r="40" spans="1:27">
      <c r="A40" s="125" t="s">
        <v>2762</v>
      </c>
      <c r="B40" s="106" t="s">
        <v>2964</v>
      </c>
      <c r="C40" s="93">
        <f>IF(A40=Summary!$B$9,Summary!$G$9,0)</f>
        <v>0</v>
      </c>
      <c r="D40" s="134">
        <f>VLOOKUP(A40,AAFTE!$A:$S,3,0)</f>
        <v>580.71</v>
      </c>
      <c r="E40" s="20">
        <f>VLOOKUP($A40,'2022-23 Salary &amp; Benefits'!$A:$I,3,)</f>
        <v>1.06</v>
      </c>
      <c r="F40" s="20">
        <f>VLOOKUP($A40,'2022-23 Salary &amp; Benefits'!$A:$I,4,)</f>
        <v>1.06</v>
      </c>
      <c r="G40" s="34">
        <f>VLOOKUP(A40,'CEDARS District FRPL'!$A:$C,3,)</f>
        <v>0.52859999999999996</v>
      </c>
      <c r="H40" s="25">
        <f t="shared" si="1"/>
        <v>580.71</v>
      </c>
      <c r="I40" s="39">
        <f t="shared" si="4"/>
        <v>306.95999999999998</v>
      </c>
      <c r="J40" s="24">
        <v>15</v>
      </c>
      <c r="K40" s="26">
        <f t="shared" si="2"/>
        <v>20.463999999999999</v>
      </c>
      <c r="L40" s="24">
        <v>2.3975</v>
      </c>
      <c r="M40" s="24">
        <v>36</v>
      </c>
      <c r="N40" s="27">
        <f t="shared" si="3"/>
        <v>1766.2478399999998</v>
      </c>
      <c r="O40" s="102">
        <f t="shared" si="5"/>
        <v>1.962</v>
      </c>
      <c r="P40" s="21">
        <f>VLOOKUP(A40,'2022-23 Salary &amp; Benefits'!$A:$I,5,)</f>
        <v>68937</v>
      </c>
      <c r="Q40" s="21">
        <f>VLOOKUP(A40,'2022-23 Salary &amp; Benefits'!$A:$I,6,FALSE)</f>
        <v>72728</v>
      </c>
      <c r="R40" s="22">
        <f t="shared" si="6"/>
        <v>143369.66</v>
      </c>
      <c r="S40" s="22">
        <f t="shared" si="7"/>
        <v>7884.22</v>
      </c>
      <c r="T40" s="22">
        <f>'2022-23 Salary &amp; Benefits'!$G$6</f>
        <v>12558.24</v>
      </c>
      <c r="U40" s="23">
        <f>'2022-23 Salary &amp; Benefits'!$H$6</f>
        <v>0.2298</v>
      </c>
      <c r="V40" s="23">
        <f>'2022-23 Salary &amp; Benefits'!$I$6</f>
        <v>0.22339999999999999</v>
      </c>
      <c r="W40" s="22">
        <f t="shared" si="8"/>
        <v>59346.95</v>
      </c>
      <c r="X40" s="22">
        <f t="shared" si="9"/>
        <v>2520.9</v>
      </c>
      <c r="Y40" s="22">
        <f t="shared" si="10"/>
        <v>563.16999999999996</v>
      </c>
      <c r="Z40" s="22">
        <f t="shared" si="11"/>
        <v>3084.07</v>
      </c>
      <c r="AA40" s="22">
        <f t="shared" si="12"/>
        <v>213684.9</v>
      </c>
    </row>
    <row r="41" spans="1:27" s="56" customFormat="1">
      <c r="A41" s="125" t="s">
        <v>2346</v>
      </c>
      <c r="B41" s="3" t="s">
        <v>539</v>
      </c>
      <c r="C41" s="93">
        <f>IF(A41=Summary!$B$9,Summary!$G$9,0)</f>
        <v>0</v>
      </c>
      <c r="D41" s="134">
        <f>VLOOKUP(A41,AAFTE!$A:$S,3,0)</f>
        <v>673.68</v>
      </c>
      <c r="E41" s="20">
        <f>VLOOKUP($A41,'2022-23 Salary &amp; Benefits'!$A:$I,3,)</f>
        <v>1.1200000000000001</v>
      </c>
      <c r="F41" s="20">
        <f>VLOOKUP($A41,'2022-23 Salary &amp; Benefits'!$A:$I,4,)</f>
        <v>1.1200000000000001</v>
      </c>
      <c r="G41" s="34">
        <f>VLOOKUP(A41,'CEDARS District FRPL'!$A:$C,3,)</f>
        <v>0.51580000000000004</v>
      </c>
      <c r="H41" s="25">
        <f t="shared" si="1"/>
        <v>673.68</v>
      </c>
      <c r="I41" s="39">
        <f t="shared" si="4"/>
        <v>347.48</v>
      </c>
      <c r="J41" s="24">
        <v>15</v>
      </c>
      <c r="K41" s="26">
        <f t="shared" ref="K41" si="13">I41/J41</f>
        <v>23.165333333333333</v>
      </c>
      <c r="L41" s="24">
        <v>2.3975</v>
      </c>
      <c r="M41" s="24">
        <v>36</v>
      </c>
      <c r="N41" s="27">
        <f t="shared" ref="N41" si="14">K41*L41*M41</f>
        <v>1999.3999199999998</v>
      </c>
      <c r="O41" s="102">
        <f t="shared" si="5"/>
        <v>2.222</v>
      </c>
      <c r="P41" s="21">
        <f>VLOOKUP(A41,'2022-23 Salary &amp; Benefits'!$A:$I,5,)</f>
        <v>68937</v>
      </c>
      <c r="Q41" s="21">
        <f>VLOOKUP(A41,'2022-23 Salary &amp; Benefits'!$A:$I,6,FALSE)</f>
        <v>72728</v>
      </c>
      <c r="R41" s="22">
        <f t="shared" si="6"/>
        <v>171559.38</v>
      </c>
      <c r="S41" s="22">
        <f t="shared" si="7"/>
        <v>9434.43</v>
      </c>
      <c r="T41" s="22">
        <f>'2022-23 Salary &amp; Benefits'!$G$6</f>
        <v>12558.24</v>
      </c>
      <c r="U41" s="23">
        <f>'2022-23 Salary &amp; Benefits'!$H$6</f>
        <v>0.2298</v>
      </c>
      <c r="V41" s="23">
        <f>'2022-23 Salary &amp; Benefits'!$I$6</f>
        <v>0.22339999999999999</v>
      </c>
      <c r="W41" s="22">
        <f t="shared" si="8"/>
        <v>69436.41</v>
      </c>
      <c r="X41" s="22">
        <f t="shared" si="9"/>
        <v>3016.56</v>
      </c>
      <c r="Y41" s="22">
        <f t="shared" si="10"/>
        <v>673.9</v>
      </c>
      <c r="Z41" s="22">
        <f t="shared" ref="Z41" si="15">SUM(X41:Y41)</f>
        <v>3690.46</v>
      </c>
      <c r="AA41" s="22">
        <f t="shared" ref="AA41" si="16">SUM(W41,R41:S41,Z41)</f>
        <v>254120.68</v>
      </c>
    </row>
    <row r="42" spans="1:27">
      <c r="A42" s="125" t="s">
        <v>2262</v>
      </c>
      <c r="B42" s="3" t="s">
        <v>20</v>
      </c>
      <c r="C42" s="93">
        <f>IF(A42=Summary!$B$9,Summary!$G$9,0)</f>
        <v>0</v>
      </c>
      <c r="D42" s="134">
        <f>VLOOKUP(A42,AAFTE!$A:$S,3,0)</f>
        <v>2431.79</v>
      </c>
      <c r="E42" s="20">
        <f>VLOOKUP($A42,'2022-23 Salary &amp; Benefits'!$A:$I,3,)</f>
        <v>1</v>
      </c>
      <c r="F42" s="20">
        <f>VLOOKUP($A42,'2022-23 Salary &amp; Benefits'!$A:$I,4,)</f>
        <v>1</v>
      </c>
      <c r="G42" s="34">
        <f>VLOOKUP(A42,'CEDARS District FRPL'!$A:$C,3,)</f>
        <v>0.5544</v>
      </c>
      <c r="H42" s="25">
        <f t="shared" si="1"/>
        <v>2431.79</v>
      </c>
      <c r="I42" s="39">
        <f t="shared" si="4"/>
        <v>1348.18</v>
      </c>
      <c r="J42" s="24">
        <v>15</v>
      </c>
      <c r="K42" s="26">
        <f t="shared" si="2"/>
        <v>89.878666666666675</v>
      </c>
      <c r="L42" s="24">
        <v>2.3975</v>
      </c>
      <c r="M42" s="24">
        <v>36</v>
      </c>
      <c r="N42" s="27">
        <f t="shared" si="3"/>
        <v>7757.4277199999997</v>
      </c>
      <c r="O42" s="102">
        <f t="shared" si="5"/>
        <v>8.6189999999999998</v>
      </c>
      <c r="P42" s="21">
        <f>VLOOKUP(A42,'2022-23 Salary &amp; Benefits'!$A:$I,5,)</f>
        <v>68937</v>
      </c>
      <c r="Q42" s="21">
        <f>VLOOKUP(A42,'2022-23 Salary &amp; Benefits'!$A:$I,6,FALSE)</f>
        <v>72728</v>
      </c>
      <c r="R42" s="22">
        <f t="shared" si="6"/>
        <v>594168</v>
      </c>
      <c r="S42" s="22">
        <f t="shared" si="7"/>
        <v>32674.63</v>
      </c>
      <c r="T42" s="22">
        <f>'2022-23 Salary &amp; Benefits'!$G$6</f>
        <v>12558.24</v>
      </c>
      <c r="U42" s="23">
        <f>'2022-23 Salary &amp; Benefits'!$H$6</f>
        <v>0.2298</v>
      </c>
      <c r="V42" s="23">
        <f>'2022-23 Salary &amp; Benefits'!$I$6</f>
        <v>0.22339999999999999</v>
      </c>
      <c r="W42" s="22">
        <f t="shared" si="8"/>
        <v>252078.79</v>
      </c>
      <c r="X42" s="22">
        <f t="shared" si="9"/>
        <v>10447.379999999999</v>
      </c>
      <c r="Y42" s="22">
        <f t="shared" si="10"/>
        <v>2333.94</v>
      </c>
      <c r="Z42" s="22">
        <f t="shared" si="11"/>
        <v>12781.32</v>
      </c>
      <c r="AA42" s="22">
        <f t="shared" si="12"/>
        <v>891702.74</v>
      </c>
    </row>
    <row r="43" spans="1:27">
      <c r="A43" s="125" t="s">
        <v>2382</v>
      </c>
      <c r="B43" s="3" t="s">
        <v>1099</v>
      </c>
      <c r="C43" s="93">
        <f>IF(A43=Summary!$B$9,Summary!$G$9,0)</f>
        <v>0</v>
      </c>
      <c r="D43" s="134">
        <f>VLOOKUP(A43,AAFTE!$A:$S,3,0)</f>
        <v>881.17</v>
      </c>
      <c r="E43" s="20">
        <f>VLOOKUP($A43,'2022-23 Salary &amp; Benefits'!$A:$I,3,)</f>
        <v>1</v>
      </c>
      <c r="F43" s="20">
        <f>VLOOKUP($A43,'2022-23 Salary &amp; Benefits'!$A:$I,4,)</f>
        <v>1</v>
      </c>
      <c r="G43" s="34">
        <f>VLOOKUP(A43,'CEDARS District FRPL'!$A:$C,3,)</f>
        <v>0.3548</v>
      </c>
      <c r="H43" s="25">
        <f t="shared" si="1"/>
        <v>881.17</v>
      </c>
      <c r="I43" s="39">
        <f t="shared" si="4"/>
        <v>312.64</v>
      </c>
      <c r="J43" s="24">
        <v>15</v>
      </c>
      <c r="K43" s="26">
        <f t="shared" si="2"/>
        <v>20.842666666666666</v>
      </c>
      <c r="L43" s="24">
        <v>2.3975</v>
      </c>
      <c r="M43" s="24">
        <v>36</v>
      </c>
      <c r="N43" s="27">
        <f t="shared" si="3"/>
        <v>1798.9305599999998</v>
      </c>
      <c r="O43" s="102">
        <f t="shared" si="5"/>
        <v>1.9990000000000001</v>
      </c>
      <c r="P43" s="21">
        <f>VLOOKUP(A43,'2022-23 Salary &amp; Benefits'!$A:$I,5,)</f>
        <v>68937</v>
      </c>
      <c r="Q43" s="21">
        <f>VLOOKUP(A43,'2022-23 Salary &amp; Benefits'!$A:$I,6,FALSE)</f>
        <v>72728</v>
      </c>
      <c r="R43" s="22">
        <f t="shared" si="6"/>
        <v>137805.06</v>
      </c>
      <c r="S43" s="22">
        <f t="shared" si="7"/>
        <v>7578.21</v>
      </c>
      <c r="T43" s="22">
        <f>'2022-23 Salary &amp; Benefits'!$G$6</f>
        <v>12558.24</v>
      </c>
      <c r="U43" s="23">
        <f>'2022-23 Salary &amp; Benefits'!$H$6</f>
        <v>0.2298</v>
      </c>
      <c r="V43" s="23">
        <f>'2022-23 Salary &amp; Benefits'!$I$6</f>
        <v>0.22339999999999999</v>
      </c>
      <c r="W43" s="22">
        <f t="shared" si="8"/>
        <v>58464.5</v>
      </c>
      <c r="X43" s="22">
        <f t="shared" si="9"/>
        <v>2423.0500000000002</v>
      </c>
      <c r="Y43" s="22">
        <f t="shared" si="10"/>
        <v>541.30999999999995</v>
      </c>
      <c r="Z43" s="22">
        <f t="shared" si="11"/>
        <v>2964.36</v>
      </c>
      <c r="AA43" s="22">
        <f t="shared" si="12"/>
        <v>206812.12999999998</v>
      </c>
    </row>
    <row r="44" spans="1:27">
      <c r="A44" s="125" t="s">
        <v>2446</v>
      </c>
      <c r="B44" s="3" t="s">
        <v>1418</v>
      </c>
      <c r="C44" s="93">
        <f>IF(A44=Summary!$B$9,Summary!$G$9,0)</f>
        <v>0</v>
      </c>
      <c r="D44" s="134">
        <f>VLOOKUP(A44,AAFTE!$A:$S,3,0)</f>
        <v>11989.59</v>
      </c>
      <c r="E44" s="20">
        <f>VLOOKUP($A44,'2022-23 Salary &amp; Benefits'!$A:$I,3,)</f>
        <v>1.06</v>
      </c>
      <c r="F44" s="20">
        <f>VLOOKUP($A44,'2022-23 Salary &amp; Benefits'!$A:$I,4,)</f>
        <v>1.06</v>
      </c>
      <c r="G44" s="34">
        <f>VLOOKUP(A44,'CEDARS District FRPL'!$A:$C,3,)</f>
        <v>0.68879999999999997</v>
      </c>
      <c r="H44" s="25">
        <f t="shared" si="1"/>
        <v>11989.59</v>
      </c>
      <c r="I44" s="39">
        <f t="shared" si="4"/>
        <v>8258.43</v>
      </c>
      <c r="J44" s="24">
        <v>15</v>
      </c>
      <c r="K44" s="26">
        <f t="shared" si="2"/>
        <v>550.56200000000001</v>
      </c>
      <c r="L44" s="24">
        <v>2.3975</v>
      </c>
      <c r="M44" s="24">
        <v>36</v>
      </c>
      <c r="N44" s="27">
        <f t="shared" si="3"/>
        <v>47519.006220000003</v>
      </c>
      <c r="O44" s="102">
        <f t="shared" si="5"/>
        <v>52.798999999999999</v>
      </c>
      <c r="P44" s="21">
        <f>VLOOKUP(A44,'2022-23 Salary &amp; Benefits'!$A:$I,5,)</f>
        <v>68937</v>
      </c>
      <c r="Q44" s="21">
        <f>VLOOKUP(A44,'2022-23 Salary &amp; Benefits'!$A:$I,6,FALSE)</f>
        <v>72728</v>
      </c>
      <c r="R44" s="22">
        <f t="shared" si="6"/>
        <v>3858192.94</v>
      </c>
      <c r="S44" s="22">
        <f t="shared" si="7"/>
        <v>212170.67</v>
      </c>
      <c r="T44" s="22">
        <f>'2022-23 Salary &amp; Benefits'!$G$6</f>
        <v>12558.24</v>
      </c>
      <c r="U44" s="23">
        <f>'2022-23 Salary &amp; Benefits'!$H$6</f>
        <v>0.2298</v>
      </c>
      <c r="V44" s="23">
        <f>'2022-23 Salary &amp; Benefits'!$I$6</f>
        <v>0.22339999999999999</v>
      </c>
      <c r="W44" s="22">
        <f t="shared" si="8"/>
        <v>1597074.18</v>
      </c>
      <c r="X44" s="22">
        <f t="shared" si="9"/>
        <v>67839.39</v>
      </c>
      <c r="Y44" s="22">
        <f t="shared" si="10"/>
        <v>15155.32</v>
      </c>
      <c r="Z44" s="22">
        <f t="shared" si="11"/>
        <v>82994.709999999992</v>
      </c>
      <c r="AA44" s="22">
        <f t="shared" si="12"/>
        <v>5750432.5</v>
      </c>
    </row>
    <row r="45" spans="1:27">
      <c r="A45" s="125" t="s">
        <v>2544</v>
      </c>
      <c r="B45" s="3" t="s">
        <v>2140</v>
      </c>
      <c r="C45" s="93">
        <f>IF(A45=Summary!$B$9,Summary!$G$9,0)</f>
        <v>0</v>
      </c>
      <c r="D45" s="134">
        <f>VLOOKUP(A45,AAFTE!$A:$S,3,0)</f>
        <v>515.82000000000005</v>
      </c>
      <c r="E45" s="20">
        <f>VLOOKUP($A45,'2022-23 Salary &amp; Benefits'!$A:$I,3,)</f>
        <v>1</v>
      </c>
      <c r="F45" s="20">
        <f>VLOOKUP($A45,'2022-23 Salary &amp; Benefits'!$A:$I,4,)</f>
        <v>1</v>
      </c>
      <c r="G45" s="34">
        <f>VLOOKUP(A45,'CEDARS District FRPL'!$A:$C,3,)</f>
        <v>0.32319999999999999</v>
      </c>
      <c r="H45" s="25">
        <f t="shared" si="1"/>
        <v>515.82000000000005</v>
      </c>
      <c r="I45" s="39">
        <f t="shared" si="4"/>
        <v>166.71</v>
      </c>
      <c r="J45" s="24">
        <v>15</v>
      </c>
      <c r="K45" s="26">
        <f t="shared" si="2"/>
        <v>11.114000000000001</v>
      </c>
      <c r="L45" s="24">
        <v>2.3975</v>
      </c>
      <c r="M45" s="24">
        <v>36</v>
      </c>
      <c r="N45" s="27">
        <f t="shared" si="3"/>
        <v>959.24934000000007</v>
      </c>
      <c r="O45" s="102">
        <f t="shared" si="5"/>
        <v>1.0660000000000001</v>
      </c>
      <c r="P45" s="21">
        <f>VLOOKUP(A45,'2022-23 Salary &amp; Benefits'!$A:$I,5,)</f>
        <v>68937</v>
      </c>
      <c r="Q45" s="21">
        <f>VLOOKUP(A45,'2022-23 Salary &amp; Benefits'!$A:$I,6,FALSE)</f>
        <v>72728</v>
      </c>
      <c r="R45" s="22">
        <f t="shared" si="6"/>
        <v>73486.84</v>
      </c>
      <c r="S45" s="22">
        <f t="shared" si="7"/>
        <v>4041.21</v>
      </c>
      <c r="T45" s="22">
        <f>'2022-23 Salary &amp; Benefits'!$G$6</f>
        <v>12558.24</v>
      </c>
      <c r="U45" s="23">
        <f>'2022-23 Salary &amp; Benefits'!$H$6</f>
        <v>0.2298</v>
      </c>
      <c r="V45" s="23">
        <f>'2022-23 Salary &amp; Benefits'!$I$6</f>
        <v>0.22339999999999999</v>
      </c>
      <c r="W45" s="22">
        <f t="shared" si="8"/>
        <v>31177.17</v>
      </c>
      <c r="X45" s="22">
        <f t="shared" si="9"/>
        <v>1292.1300000000001</v>
      </c>
      <c r="Y45" s="22">
        <f t="shared" si="10"/>
        <v>288.66000000000003</v>
      </c>
      <c r="Z45" s="22">
        <f t="shared" si="11"/>
        <v>1580.7900000000002</v>
      </c>
      <c r="AA45" s="22">
        <f t="shared" si="12"/>
        <v>110286.01</v>
      </c>
    </row>
    <row r="46" spans="1:27">
      <c r="A46" s="125" t="s">
        <v>2527</v>
      </c>
      <c r="B46" s="3" t="s">
        <v>2049</v>
      </c>
      <c r="C46" s="93">
        <f>IF(A46=Summary!$B$9,Summary!$G$9,0)</f>
        <v>0</v>
      </c>
      <c r="D46" s="134">
        <f>VLOOKUP(A46,AAFTE!$A:$S,3,0)</f>
        <v>1522.54</v>
      </c>
      <c r="E46" s="20">
        <f>VLOOKUP($A46,'2022-23 Salary &amp; Benefits'!$A:$I,3,)</f>
        <v>1</v>
      </c>
      <c r="F46" s="20">
        <f>VLOOKUP($A46,'2022-23 Salary &amp; Benefits'!$A:$I,4,)</f>
        <v>1</v>
      </c>
      <c r="G46" s="34">
        <f>VLOOKUP(A46,'CEDARS District FRPL'!$A:$C,3,)</f>
        <v>0.54490000000000005</v>
      </c>
      <c r="H46" s="25">
        <f t="shared" si="1"/>
        <v>1522.54</v>
      </c>
      <c r="I46" s="39">
        <f t="shared" si="4"/>
        <v>829.63</v>
      </c>
      <c r="J46" s="24">
        <v>15</v>
      </c>
      <c r="K46" s="26">
        <f t="shared" si="2"/>
        <v>55.308666666666667</v>
      </c>
      <c r="L46" s="24">
        <v>2.3975</v>
      </c>
      <c r="M46" s="24">
        <v>36</v>
      </c>
      <c r="N46" s="27">
        <f t="shared" si="3"/>
        <v>4773.6910200000002</v>
      </c>
      <c r="O46" s="102">
        <f t="shared" si="5"/>
        <v>5.3040000000000003</v>
      </c>
      <c r="P46" s="21">
        <f>VLOOKUP(A46,'2022-23 Salary &amp; Benefits'!$A:$I,5,)</f>
        <v>68937</v>
      </c>
      <c r="Q46" s="21">
        <f>VLOOKUP(A46,'2022-23 Salary &amp; Benefits'!$A:$I,6,FALSE)</f>
        <v>72728</v>
      </c>
      <c r="R46" s="22">
        <f t="shared" si="6"/>
        <v>365641.85</v>
      </c>
      <c r="S46" s="22">
        <f t="shared" si="7"/>
        <v>20107.46</v>
      </c>
      <c r="T46" s="22">
        <f>'2022-23 Salary &amp; Benefits'!$G$6</f>
        <v>12558.24</v>
      </c>
      <c r="U46" s="23">
        <f>'2022-23 Salary &amp; Benefits'!$H$6</f>
        <v>0.2298</v>
      </c>
      <c r="V46" s="23">
        <f>'2022-23 Salary &amp; Benefits'!$I$6</f>
        <v>0.22339999999999999</v>
      </c>
      <c r="W46" s="22">
        <f t="shared" si="8"/>
        <v>155125.41</v>
      </c>
      <c r="X46" s="22">
        <f t="shared" si="9"/>
        <v>6429.16</v>
      </c>
      <c r="Y46" s="22">
        <f t="shared" si="10"/>
        <v>1436.27</v>
      </c>
      <c r="Z46" s="22">
        <f t="shared" si="11"/>
        <v>7865.43</v>
      </c>
      <c r="AA46" s="22">
        <f t="shared" si="12"/>
        <v>548740.15</v>
      </c>
    </row>
    <row r="47" spans="1:27">
      <c r="A47" s="125" t="s">
        <v>2548</v>
      </c>
      <c r="B47" s="3" t="s">
        <v>2152</v>
      </c>
      <c r="C47" s="93">
        <f>IF(A47=Summary!$B$9,Summary!$G$9,0)</f>
        <v>0</v>
      </c>
      <c r="D47" s="134">
        <f>VLOOKUP(A47,AAFTE!$A:$S,3,0)</f>
        <v>157.51</v>
      </c>
      <c r="E47" s="20">
        <f>VLOOKUP($A47,'2022-23 Salary &amp; Benefits'!$A:$I,3,)</f>
        <v>1</v>
      </c>
      <c r="F47" s="20">
        <f>VLOOKUP($A47,'2022-23 Salary &amp; Benefits'!$A:$I,4,)</f>
        <v>1.04</v>
      </c>
      <c r="G47" s="34">
        <f>VLOOKUP(A47,'CEDARS District FRPL'!$A:$C,3,)</f>
        <v>0.31009999999999999</v>
      </c>
      <c r="H47" s="25">
        <f t="shared" si="1"/>
        <v>157.51</v>
      </c>
      <c r="I47" s="39">
        <f t="shared" si="4"/>
        <v>48.84</v>
      </c>
      <c r="J47" s="24">
        <v>15</v>
      </c>
      <c r="K47" s="26">
        <f t="shared" si="2"/>
        <v>3.2560000000000002</v>
      </c>
      <c r="L47" s="24">
        <v>2.3975</v>
      </c>
      <c r="M47" s="24">
        <v>36</v>
      </c>
      <c r="N47" s="27">
        <f t="shared" si="3"/>
        <v>281.02536000000003</v>
      </c>
      <c r="O47" s="102">
        <f t="shared" si="5"/>
        <v>0.312</v>
      </c>
      <c r="P47" s="21">
        <f>VLOOKUP(A47,'2022-23 Salary &amp; Benefits'!$A:$I,5,)</f>
        <v>68937</v>
      </c>
      <c r="Q47" s="21">
        <f>VLOOKUP(A47,'2022-23 Salary &amp; Benefits'!$A:$I,6,FALSE)</f>
        <v>72728</v>
      </c>
      <c r="R47" s="22">
        <f t="shared" si="6"/>
        <v>21508.34</v>
      </c>
      <c r="S47" s="22">
        <f t="shared" si="7"/>
        <v>2090.44</v>
      </c>
      <c r="T47" s="22">
        <f>'2022-23 Salary &amp; Benefits'!$G$6</f>
        <v>12558.24</v>
      </c>
      <c r="U47" s="23">
        <f>'2022-23 Salary &amp; Benefits'!$H$6</f>
        <v>0.2298</v>
      </c>
      <c r="V47" s="23">
        <f>'2022-23 Salary &amp; Benefits'!$I$6</f>
        <v>0.22339999999999999</v>
      </c>
      <c r="W47" s="22">
        <f t="shared" si="8"/>
        <v>9327.7900000000009</v>
      </c>
      <c r="X47" s="22">
        <f t="shared" si="9"/>
        <v>393.31</v>
      </c>
      <c r="Y47" s="22">
        <f t="shared" si="10"/>
        <v>87.87</v>
      </c>
      <c r="Z47" s="22">
        <f t="shared" si="11"/>
        <v>481.18</v>
      </c>
      <c r="AA47" s="22">
        <f t="shared" si="12"/>
        <v>33407.75</v>
      </c>
    </row>
    <row r="48" spans="1:27">
      <c r="A48" s="125" t="s">
        <v>2511</v>
      </c>
      <c r="B48" s="3" t="s">
        <v>1949</v>
      </c>
      <c r="C48" s="93">
        <f>IF(A48=Summary!$B$9,Summary!$G$9,0)</f>
        <v>0</v>
      </c>
      <c r="D48" s="134">
        <f>VLOOKUP(A48,AAFTE!$A:$S,3,0)</f>
        <v>106.41</v>
      </c>
      <c r="E48" s="20">
        <f>VLOOKUP($A48,'2022-23 Salary &amp; Benefits'!$A:$I,3,)</f>
        <v>1</v>
      </c>
      <c r="F48" s="20">
        <f>VLOOKUP($A48,'2022-23 Salary &amp; Benefits'!$A:$I,4,)</f>
        <v>1</v>
      </c>
      <c r="G48" s="34">
        <f>VLOOKUP(A48,'CEDARS District FRPL'!$A:$C,3,)</f>
        <v>0.72550000000000003</v>
      </c>
      <c r="H48" s="25">
        <f t="shared" si="1"/>
        <v>106.41</v>
      </c>
      <c r="I48" s="39">
        <f t="shared" si="4"/>
        <v>77.2</v>
      </c>
      <c r="J48" s="24">
        <v>15</v>
      </c>
      <c r="K48" s="26">
        <f t="shared" si="2"/>
        <v>5.1466666666666665</v>
      </c>
      <c r="L48" s="24">
        <v>2.3975</v>
      </c>
      <c r="M48" s="24">
        <v>36</v>
      </c>
      <c r="N48" s="27">
        <f t="shared" si="3"/>
        <v>444.2088</v>
      </c>
      <c r="O48" s="102">
        <f t="shared" si="5"/>
        <v>0.49399999999999999</v>
      </c>
      <c r="P48" s="21">
        <f>VLOOKUP(A48,'2022-23 Salary &amp; Benefits'!$A:$I,5,)</f>
        <v>68937</v>
      </c>
      <c r="Q48" s="21">
        <f>VLOOKUP(A48,'2022-23 Salary &amp; Benefits'!$A:$I,6,FALSE)</f>
        <v>72728</v>
      </c>
      <c r="R48" s="22">
        <f t="shared" si="6"/>
        <v>34054.879999999997</v>
      </c>
      <c r="S48" s="22">
        <f t="shared" si="7"/>
        <v>1872.75</v>
      </c>
      <c r="T48" s="22">
        <f>'2022-23 Salary &amp; Benefits'!$G$6</f>
        <v>12558.24</v>
      </c>
      <c r="U48" s="23">
        <f>'2022-23 Salary &amp; Benefits'!$H$6</f>
        <v>0.2298</v>
      </c>
      <c r="V48" s="23">
        <f>'2022-23 Salary &amp; Benefits'!$I$6</f>
        <v>0.22339999999999999</v>
      </c>
      <c r="W48" s="22">
        <f t="shared" si="8"/>
        <v>14447.95</v>
      </c>
      <c r="X48" s="22">
        <f t="shared" si="9"/>
        <v>598.79</v>
      </c>
      <c r="Y48" s="22">
        <f t="shared" si="10"/>
        <v>133.77000000000001</v>
      </c>
      <c r="Z48" s="22">
        <f t="shared" si="11"/>
        <v>732.56</v>
      </c>
      <c r="AA48" s="22">
        <f t="shared" si="12"/>
        <v>51108.14</v>
      </c>
    </row>
    <row r="49" spans="1:27">
      <c r="A49" s="125" t="s">
        <v>2529</v>
      </c>
      <c r="B49" s="3" t="s">
        <v>2055</v>
      </c>
      <c r="C49" s="93">
        <f>IF(A49=Summary!$B$9,Summary!$G$9,0)</f>
        <v>0</v>
      </c>
      <c r="D49" s="134">
        <f>VLOOKUP(A49,AAFTE!$A:$S,3,0)</f>
        <v>714.36</v>
      </c>
      <c r="E49" s="20">
        <f>VLOOKUP($A49,'2022-23 Salary &amp; Benefits'!$A:$I,3,)</f>
        <v>1</v>
      </c>
      <c r="F49" s="20">
        <f>VLOOKUP($A49,'2022-23 Salary &amp; Benefits'!$A:$I,4,)</f>
        <v>1.04</v>
      </c>
      <c r="G49" s="34">
        <f>VLOOKUP(A49,'CEDARS District FRPL'!$A:$C,3,)</f>
        <v>0.56020000000000003</v>
      </c>
      <c r="H49" s="25">
        <f t="shared" si="1"/>
        <v>714.36</v>
      </c>
      <c r="I49" s="39">
        <f t="shared" si="4"/>
        <v>400.18</v>
      </c>
      <c r="J49" s="24">
        <v>15</v>
      </c>
      <c r="K49" s="26">
        <f t="shared" si="2"/>
        <v>26.678666666666668</v>
      </c>
      <c r="L49" s="24">
        <v>2.3975</v>
      </c>
      <c r="M49" s="24">
        <v>36</v>
      </c>
      <c r="N49" s="27">
        <f t="shared" si="3"/>
        <v>2302.6357200000002</v>
      </c>
      <c r="O49" s="102">
        <f t="shared" si="5"/>
        <v>2.5579999999999998</v>
      </c>
      <c r="P49" s="21">
        <f>VLOOKUP(A49,'2022-23 Salary &amp; Benefits'!$A:$I,5,)</f>
        <v>68937</v>
      </c>
      <c r="Q49" s="21">
        <f>VLOOKUP(A49,'2022-23 Salary &amp; Benefits'!$A:$I,6,FALSE)</f>
        <v>72728</v>
      </c>
      <c r="R49" s="22">
        <f t="shared" si="6"/>
        <v>176340.85</v>
      </c>
      <c r="S49" s="22">
        <f t="shared" si="7"/>
        <v>17138.900000000001</v>
      </c>
      <c r="T49" s="22">
        <f>'2022-23 Salary &amp; Benefits'!$G$6</f>
        <v>12558.24</v>
      </c>
      <c r="U49" s="23">
        <f>'2022-23 Salary &amp; Benefits'!$H$6</f>
        <v>0.2298</v>
      </c>
      <c r="V49" s="23">
        <f>'2022-23 Salary &amp; Benefits'!$I$6</f>
        <v>0.22339999999999999</v>
      </c>
      <c r="W49" s="22">
        <f t="shared" si="8"/>
        <v>76475.94</v>
      </c>
      <c r="X49" s="22">
        <f t="shared" si="9"/>
        <v>3224.66</v>
      </c>
      <c r="Y49" s="22">
        <f t="shared" si="10"/>
        <v>720.39</v>
      </c>
      <c r="Z49" s="22">
        <f t="shared" si="11"/>
        <v>3945.0499999999997</v>
      </c>
      <c r="AA49" s="22">
        <f t="shared" si="12"/>
        <v>273900.74</v>
      </c>
    </row>
    <row r="50" spans="1:27">
      <c r="A50" s="125" t="s">
        <v>2507</v>
      </c>
      <c r="B50" s="3" t="s">
        <v>1936</v>
      </c>
      <c r="C50" s="93">
        <f>IF(A50=Summary!$B$9,Summary!$G$9,0)</f>
        <v>0</v>
      </c>
      <c r="D50" s="134">
        <f>VLOOKUP(A50,AAFTE!$A:$S,3,0)</f>
        <v>1630.3</v>
      </c>
      <c r="E50" s="20">
        <f>VLOOKUP($A50,'2022-23 Salary &amp; Benefits'!$A:$I,3,)</f>
        <v>1</v>
      </c>
      <c r="F50" s="20">
        <f>VLOOKUP($A50,'2022-23 Salary &amp; Benefits'!$A:$I,4,)</f>
        <v>1.04</v>
      </c>
      <c r="G50" s="34">
        <f>VLOOKUP(A50,'CEDARS District FRPL'!$A:$C,3,)</f>
        <v>0.53720000000000001</v>
      </c>
      <c r="H50" s="25">
        <f t="shared" si="1"/>
        <v>1630.3</v>
      </c>
      <c r="I50" s="39">
        <f t="shared" si="4"/>
        <v>875.8</v>
      </c>
      <c r="J50" s="24">
        <v>15</v>
      </c>
      <c r="K50" s="26">
        <f t="shared" si="2"/>
        <v>58.386666666666663</v>
      </c>
      <c r="L50" s="24">
        <v>2.3975</v>
      </c>
      <c r="M50" s="24">
        <v>36</v>
      </c>
      <c r="N50" s="27">
        <f t="shared" si="3"/>
        <v>5039.3531999999996</v>
      </c>
      <c r="O50" s="102">
        <f t="shared" si="5"/>
        <v>5.5990000000000002</v>
      </c>
      <c r="P50" s="21">
        <f>VLOOKUP(A50,'2022-23 Salary &amp; Benefits'!$A:$I,5,)</f>
        <v>68937</v>
      </c>
      <c r="Q50" s="21">
        <f>VLOOKUP(A50,'2022-23 Salary &amp; Benefits'!$A:$I,6,FALSE)</f>
        <v>72728</v>
      </c>
      <c r="R50" s="22">
        <f t="shared" si="6"/>
        <v>385978.26</v>
      </c>
      <c r="S50" s="22">
        <f t="shared" si="7"/>
        <v>37513.97</v>
      </c>
      <c r="T50" s="22">
        <f>'2022-23 Salary &amp; Benefits'!$G$6</f>
        <v>12558.24</v>
      </c>
      <c r="U50" s="23">
        <f>'2022-23 Salary &amp; Benefits'!$H$6</f>
        <v>0.2298</v>
      </c>
      <c r="V50" s="23">
        <f>'2022-23 Salary &amp; Benefits'!$I$6</f>
        <v>0.22339999999999999</v>
      </c>
      <c r="W50" s="22">
        <f t="shared" si="8"/>
        <v>167392.01</v>
      </c>
      <c r="X50" s="22">
        <f t="shared" si="9"/>
        <v>7058.2</v>
      </c>
      <c r="Y50" s="22">
        <f t="shared" si="10"/>
        <v>1576.8</v>
      </c>
      <c r="Z50" s="22">
        <f t="shared" si="11"/>
        <v>8635</v>
      </c>
      <c r="AA50" s="22">
        <f t="shared" si="12"/>
        <v>599519.24</v>
      </c>
    </row>
    <row r="51" spans="1:27">
      <c r="A51" s="125" t="s">
        <v>2460</v>
      </c>
      <c r="B51" s="3" t="s">
        <v>1542</v>
      </c>
      <c r="C51" s="93">
        <f>IF(A51=Summary!$B$9,Summary!$G$9,0)</f>
        <v>0</v>
      </c>
      <c r="D51" s="134">
        <f>VLOOKUP(A51,AAFTE!$A:$S,3,0)</f>
        <v>486.61</v>
      </c>
      <c r="E51" s="20">
        <f>VLOOKUP($A51,'2022-23 Salary &amp; Benefits'!$A:$I,3,)</f>
        <v>1.1200000000000001</v>
      </c>
      <c r="F51" s="20">
        <f>VLOOKUP($A51,'2022-23 Salary &amp; Benefits'!$A:$I,4,)</f>
        <v>1.1200000000000001</v>
      </c>
      <c r="G51" s="34">
        <f>VLOOKUP(A51,'CEDARS District FRPL'!$A:$C,3,)</f>
        <v>0.70440000000000003</v>
      </c>
      <c r="H51" s="25">
        <f t="shared" si="1"/>
        <v>486.61</v>
      </c>
      <c r="I51" s="39">
        <f t="shared" si="4"/>
        <v>342.77</v>
      </c>
      <c r="J51" s="24">
        <v>15</v>
      </c>
      <c r="K51" s="26">
        <f t="shared" si="2"/>
        <v>22.851333333333333</v>
      </c>
      <c r="L51" s="24">
        <v>2.3975</v>
      </c>
      <c r="M51" s="24">
        <v>36</v>
      </c>
      <c r="N51" s="27">
        <f t="shared" si="3"/>
        <v>1972.2985799999999</v>
      </c>
      <c r="O51" s="102">
        <f t="shared" si="5"/>
        <v>2.1909999999999998</v>
      </c>
      <c r="P51" s="21">
        <f>VLOOKUP(A51,'2022-23 Salary &amp; Benefits'!$A:$I,5,)</f>
        <v>68937</v>
      </c>
      <c r="Q51" s="21">
        <f>VLOOKUP(A51,'2022-23 Salary &amp; Benefits'!$A:$I,6,FALSE)</f>
        <v>72728</v>
      </c>
      <c r="R51" s="22">
        <f t="shared" si="6"/>
        <v>169165.88</v>
      </c>
      <c r="S51" s="22">
        <f t="shared" si="7"/>
        <v>9302.81</v>
      </c>
      <c r="T51" s="22">
        <f>'2022-23 Salary &amp; Benefits'!$G$6</f>
        <v>12558.24</v>
      </c>
      <c r="U51" s="23">
        <f>'2022-23 Salary &amp; Benefits'!$H$6</f>
        <v>0.2298</v>
      </c>
      <c r="V51" s="23">
        <f>'2022-23 Salary &amp; Benefits'!$I$6</f>
        <v>0.22339999999999999</v>
      </c>
      <c r="W51" s="22">
        <f t="shared" si="8"/>
        <v>68467.67</v>
      </c>
      <c r="X51" s="22">
        <f t="shared" si="9"/>
        <v>2974.48</v>
      </c>
      <c r="Y51" s="22">
        <f t="shared" si="10"/>
        <v>664.5</v>
      </c>
      <c r="Z51" s="22">
        <f t="shared" si="11"/>
        <v>3638.98</v>
      </c>
      <c r="AA51" s="22">
        <f t="shared" si="12"/>
        <v>250575.34</v>
      </c>
    </row>
    <row r="52" spans="1:27">
      <c r="A52" s="125" t="s">
        <v>2465</v>
      </c>
      <c r="B52" s="3" t="s">
        <v>1573</v>
      </c>
      <c r="C52" s="93">
        <f>IF(A52=Summary!$B$9,Summary!$G$9,0)</f>
        <v>0</v>
      </c>
      <c r="D52" s="134">
        <f>VLOOKUP(A52,AAFTE!$A:$S,3,0)</f>
        <v>450.34</v>
      </c>
      <c r="E52" s="20">
        <f>VLOOKUP($A52,'2022-23 Salary &amp; Benefits'!$A:$I,3,)</f>
        <v>1.0900000000000001</v>
      </c>
      <c r="F52" s="20">
        <f>VLOOKUP($A52,'2022-23 Salary &amp; Benefits'!$A:$I,4,)</f>
        <v>1.1299999999999999</v>
      </c>
      <c r="G52" s="34">
        <f>VLOOKUP(A52,'CEDARS District FRPL'!$A:$C,3,)</f>
        <v>0.19209999999999999</v>
      </c>
      <c r="H52" s="25">
        <f t="shared" si="1"/>
        <v>450.34</v>
      </c>
      <c r="I52" s="39">
        <f t="shared" si="4"/>
        <v>86.51</v>
      </c>
      <c r="J52" s="24">
        <v>15</v>
      </c>
      <c r="K52" s="26">
        <f t="shared" si="2"/>
        <v>5.7673333333333341</v>
      </c>
      <c r="L52" s="24">
        <v>2.3975</v>
      </c>
      <c r="M52" s="24">
        <v>36</v>
      </c>
      <c r="N52" s="27">
        <f t="shared" si="3"/>
        <v>497.77854000000002</v>
      </c>
      <c r="O52" s="102">
        <f t="shared" si="5"/>
        <v>0.55300000000000005</v>
      </c>
      <c r="P52" s="21">
        <f>VLOOKUP(A52,'2022-23 Salary &amp; Benefits'!$A:$I,5,)</f>
        <v>68937</v>
      </c>
      <c r="Q52" s="21">
        <f>VLOOKUP(A52,'2022-23 Salary &amp; Benefits'!$A:$I,6,FALSE)</f>
        <v>72728</v>
      </c>
      <c r="R52" s="22">
        <f t="shared" si="6"/>
        <v>41553.160000000003</v>
      </c>
      <c r="S52" s="22">
        <f t="shared" si="7"/>
        <v>3893.84</v>
      </c>
      <c r="T52" s="22">
        <f>'2022-23 Salary &amp; Benefits'!$G$6</f>
        <v>12558.24</v>
      </c>
      <c r="U52" s="23">
        <f>'2022-23 Salary &amp; Benefits'!$H$6</f>
        <v>0.2298</v>
      </c>
      <c r="V52" s="23">
        <f>'2022-23 Salary &amp; Benefits'!$I$6</f>
        <v>0.22339999999999999</v>
      </c>
      <c r="W52" s="22">
        <f t="shared" si="8"/>
        <v>17363.509999999998</v>
      </c>
      <c r="X52" s="22">
        <f t="shared" si="9"/>
        <v>757.45</v>
      </c>
      <c r="Y52" s="22">
        <f t="shared" si="10"/>
        <v>169.21</v>
      </c>
      <c r="Z52" s="22">
        <f t="shared" si="11"/>
        <v>926.66000000000008</v>
      </c>
      <c r="AA52" s="22">
        <f t="shared" si="12"/>
        <v>63737.17</v>
      </c>
    </row>
    <row r="53" spans="1:27">
      <c r="A53" s="125" t="s">
        <v>2335</v>
      </c>
      <c r="B53" s="3" t="s">
        <v>501</v>
      </c>
      <c r="C53" s="93">
        <f>IF(A53=Summary!$B$9,Summary!$G$9,0)</f>
        <v>0</v>
      </c>
      <c r="D53" s="134">
        <f>VLOOKUP(A53,AAFTE!$A:$S,3,0)</f>
        <v>164.64</v>
      </c>
      <c r="E53" s="20">
        <f>VLOOKUP($A53,'2022-23 Salary &amp; Benefits'!$A:$I,3,)</f>
        <v>1</v>
      </c>
      <c r="F53" s="20">
        <f>VLOOKUP($A53,'2022-23 Salary &amp; Benefits'!$A:$I,4,)</f>
        <v>1</v>
      </c>
      <c r="G53" s="34">
        <f>VLOOKUP(A53,'CEDARS District FRPL'!$A:$C,3,)</f>
        <v>0.41920000000000002</v>
      </c>
      <c r="H53" s="25">
        <f t="shared" si="1"/>
        <v>164.64</v>
      </c>
      <c r="I53" s="39">
        <f t="shared" si="4"/>
        <v>69.02</v>
      </c>
      <c r="J53" s="24">
        <v>15</v>
      </c>
      <c r="K53" s="26">
        <f t="shared" si="2"/>
        <v>4.6013333333333328</v>
      </c>
      <c r="L53" s="24">
        <v>2.3975</v>
      </c>
      <c r="M53" s="24">
        <v>36</v>
      </c>
      <c r="N53" s="27">
        <f t="shared" si="3"/>
        <v>397.14107999999993</v>
      </c>
      <c r="O53" s="102">
        <f t="shared" si="5"/>
        <v>0.441</v>
      </c>
      <c r="P53" s="21">
        <f>VLOOKUP(A53,'2022-23 Salary &amp; Benefits'!$A:$I,5,)</f>
        <v>68937</v>
      </c>
      <c r="Q53" s="21">
        <f>VLOOKUP(A53,'2022-23 Salary &amp; Benefits'!$A:$I,6,FALSE)</f>
        <v>72728</v>
      </c>
      <c r="R53" s="22">
        <f t="shared" si="6"/>
        <v>30401.22</v>
      </c>
      <c r="S53" s="22">
        <f t="shared" si="7"/>
        <v>1671.83</v>
      </c>
      <c r="T53" s="22">
        <f>'2022-23 Salary &amp; Benefits'!$G$6</f>
        <v>12558.24</v>
      </c>
      <c r="U53" s="23">
        <f>'2022-23 Salary &amp; Benefits'!$H$6</f>
        <v>0.2298</v>
      </c>
      <c r="V53" s="23">
        <f>'2022-23 Salary &amp; Benefits'!$I$6</f>
        <v>0.22339999999999999</v>
      </c>
      <c r="W53" s="22">
        <f t="shared" si="8"/>
        <v>12897.87</v>
      </c>
      <c r="X53" s="22">
        <f t="shared" si="9"/>
        <v>534.54999999999995</v>
      </c>
      <c r="Y53" s="22">
        <f t="shared" si="10"/>
        <v>119.42</v>
      </c>
      <c r="Z53" s="22">
        <f t="shared" si="11"/>
        <v>653.96999999999991</v>
      </c>
      <c r="AA53" s="22">
        <f t="shared" si="12"/>
        <v>45624.890000000007</v>
      </c>
    </row>
    <row r="54" spans="1:27">
      <c r="A54" s="125" t="s">
        <v>2320</v>
      </c>
      <c r="B54" s="3" t="s">
        <v>425</v>
      </c>
      <c r="C54" s="93">
        <f>IF(A54=Summary!$B$9,Summary!$G$9,0)</f>
        <v>0</v>
      </c>
      <c r="D54" s="134">
        <f>VLOOKUP(A54,AAFTE!$A:$S,3,0)</f>
        <v>214.85</v>
      </c>
      <c r="E54" s="20">
        <f>VLOOKUP($A54,'2022-23 Salary &amp; Benefits'!$A:$I,3,)</f>
        <v>1</v>
      </c>
      <c r="F54" s="20">
        <f>VLOOKUP($A54,'2022-23 Salary &amp; Benefits'!$A:$I,4,)</f>
        <v>1</v>
      </c>
      <c r="G54" s="34">
        <f>VLOOKUP(A54,'CEDARS District FRPL'!$A:$C,3,)</f>
        <v>0.4098</v>
      </c>
      <c r="H54" s="25">
        <f t="shared" si="1"/>
        <v>214.85</v>
      </c>
      <c r="I54" s="39">
        <f t="shared" si="4"/>
        <v>88.05</v>
      </c>
      <c r="J54" s="24">
        <v>15</v>
      </c>
      <c r="K54" s="26">
        <f t="shared" si="2"/>
        <v>5.87</v>
      </c>
      <c r="L54" s="24">
        <v>2.3975</v>
      </c>
      <c r="M54" s="24">
        <v>36</v>
      </c>
      <c r="N54" s="27">
        <f t="shared" si="3"/>
        <v>506.6397</v>
      </c>
      <c r="O54" s="102">
        <f t="shared" si="5"/>
        <v>0.56299999999999994</v>
      </c>
      <c r="P54" s="21">
        <f>VLOOKUP(A54,'2022-23 Salary &amp; Benefits'!$A:$I,5,)</f>
        <v>68937</v>
      </c>
      <c r="Q54" s="21">
        <f>VLOOKUP(A54,'2022-23 Salary &amp; Benefits'!$A:$I,6,FALSE)</f>
        <v>72728</v>
      </c>
      <c r="R54" s="22">
        <f t="shared" si="6"/>
        <v>38811.53</v>
      </c>
      <c r="S54" s="22">
        <f t="shared" si="7"/>
        <v>2134.33</v>
      </c>
      <c r="T54" s="22">
        <f>'2022-23 Salary &amp; Benefits'!$G$6</f>
        <v>12558.24</v>
      </c>
      <c r="U54" s="23">
        <f>'2022-23 Salary &amp; Benefits'!$H$6</f>
        <v>0.2298</v>
      </c>
      <c r="V54" s="23">
        <f>'2022-23 Salary &amp; Benefits'!$I$6</f>
        <v>0.22339999999999999</v>
      </c>
      <c r="W54" s="22">
        <f t="shared" si="8"/>
        <v>16465.990000000002</v>
      </c>
      <c r="X54" s="22">
        <f t="shared" si="9"/>
        <v>682.43</v>
      </c>
      <c r="Y54" s="22">
        <f t="shared" si="10"/>
        <v>152.44999999999999</v>
      </c>
      <c r="Z54" s="22">
        <f t="shared" si="11"/>
        <v>834.87999999999988</v>
      </c>
      <c r="AA54" s="22">
        <f t="shared" si="12"/>
        <v>58246.73</v>
      </c>
    </row>
    <row r="55" spans="1:27">
      <c r="A55" s="125" t="s">
        <v>2341</v>
      </c>
      <c r="B55" s="3" t="s">
        <v>522</v>
      </c>
      <c r="C55" s="93">
        <f>IF(A55=Summary!$B$9,Summary!$G$9,0)</f>
        <v>0</v>
      </c>
      <c r="D55" s="134">
        <f>VLOOKUP(A55,AAFTE!$A:$S,3,0)</f>
        <v>966.05</v>
      </c>
      <c r="E55" s="20">
        <f>VLOOKUP($A55,'2022-23 Salary &amp; Benefits'!$A:$I,3,)</f>
        <v>1.1200000000000001</v>
      </c>
      <c r="F55" s="20">
        <f>VLOOKUP($A55,'2022-23 Salary &amp; Benefits'!$A:$I,4,)</f>
        <v>1.1600000000000001</v>
      </c>
      <c r="G55" s="34">
        <f>VLOOKUP(A55,'CEDARS District FRPL'!$A:$C,3,)</f>
        <v>0.33189999999999997</v>
      </c>
      <c r="H55" s="25">
        <f t="shared" si="1"/>
        <v>966.05</v>
      </c>
      <c r="I55" s="39">
        <f t="shared" si="4"/>
        <v>320.63</v>
      </c>
      <c r="J55" s="24">
        <v>15</v>
      </c>
      <c r="K55" s="26">
        <f t="shared" si="2"/>
        <v>21.375333333333334</v>
      </c>
      <c r="L55" s="24">
        <v>2.3975</v>
      </c>
      <c r="M55" s="24">
        <v>36</v>
      </c>
      <c r="N55" s="27">
        <f t="shared" si="3"/>
        <v>1844.9050200000001</v>
      </c>
      <c r="O55" s="102">
        <f t="shared" si="5"/>
        <v>2.0499999999999998</v>
      </c>
      <c r="P55" s="21">
        <f>VLOOKUP(A55,'2022-23 Salary &amp; Benefits'!$A:$I,5,)</f>
        <v>68937</v>
      </c>
      <c r="Q55" s="21">
        <f>VLOOKUP(A55,'2022-23 Salary &amp; Benefits'!$A:$I,6,FALSE)</f>
        <v>72728</v>
      </c>
      <c r="R55" s="22">
        <f t="shared" si="6"/>
        <v>158279.35</v>
      </c>
      <c r="S55" s="22">
        <f t="shared" si="7"/>
        <v>14667.83</v>
      </c>
      <c r="T55" s="22">
        <f>'2022-23 Salary &amp; Benefits'!$G$6</f>
        <v>12558.24</v>
      </c>
      <c r="U55" s="23">
        <f>'2022-23 Salary &amp; Benefits'!$H$6</f>
        <v>0.2298</v>
      </c>
      <c r="V55" s="23">
        <f>'2022-23 Salary &amp; Benefits'!$I$6</f>
        <v>0.22339999999999999</v>
      </c>
      <c r="W55" s="22">
        <f t="shared" si="8"/>
        <v>65393.78</v>
      </c>
      <c r="X55" s="22">
        <f t="shared" si="9"/>
        <v>2882.45</v>
      </c>
      <c r="Y55" s="22">
        <f t="shared" si="10"/>
        <v>643.94000000000005</v>
      </c>
      <c r="Z55" s="22">
        <f t="shared" si="11"/>
        <v>3526.39</v>
      </c>
      <c r="AA55" s="22">
        <f t="shared" si="12"/>
        <v>241867.35</v>
      </c>
    </row>
    <row r="56" spans="1:27">
      <c r="A56" s="125" t="s">
        <v>2278</v>
      </c>
      <c r="B56" s="3" t="s">
        <v>145</v>
      </c>
      <c r="C56" s="93">
        <f>IF(A56=Summary!$B$9,Summary!$G$9,0)</f>
        <v>0</v>
      </c>
      <c r="D56" s="134">
        <f>VLOOKUP(A56,AAFTE!$A:$S,3,0)</f>
        <v>307.98</v>
      </c>
      <c r="E56" s="20">
        <f>VLOOKUP($A56,'2022-23 Salary &amp; Benefits'!$A:$I,3,)</f>
        <v>1</v>
      </c>
      <c r="F56" s="20">
        <f>VLOOKUP($A56,'2022-23 Salary &amp; Benefits'!$A:$I,4,)</f>
        <v>1</v>
      </c>
      <c r="G56" s="34">
        <f>VLOOKUP(A56,'CEDARS District FRPL'!$A:$C,3,)</f>
        <v>0.59550000000000003</v>
      </c>
      <c r="H56" s="25">
        <f t="shared" si="1"/>
        <v>307.98</v>
      </c>
      <c r="I56" s="39">
        <f t="shared" si="4"/>
        <v>183.4</v>
      </c>
      <c r="J56" s="24">
        <v>15</v>
      </c>
      <c r="K56" s="26">
        <f t="shared" si="2"/>
        <v>12.226666666666667</v>
      </c>
      <c r="L56" s="24">
        <v>2.3975</v>
      </c>
      <c r="M56" s="24">
        <v>36</v>
      </c>
      <c r="N56" s="27">
        <f t="shared" si="3"/>
        <v>1055.2836</v>
      </c>
      <c r="O56" s="102">
        <f t="shared" si="5"/>
        <v>1.173</v>
      </c>
      <c r="P56" s="21">
        <f>VLOOKUP(A56,'2022-23 Salary &amp; Benefits'!$A:$I,5,)</f>
        <v>68937</v>
      </c>
      <c r="Q56" s="21">
        <f>VLOOKUP(A56,'2022-23 Salary &amp; Benefits'!$A:$I,6,FALSE)</f>
        <v>72728</v>
      </c>
      <c r="R56" s="22">
        <f t="shared" si="6"/>
        <v>80863.100000000006</v>
      </c>
      <c r="S56" s="22">
        <f t="shared" si="7"/>
        <v>4446.84</v>
      </c>
      <c r="T56" s="22">
        <f>'2022-23 Salary &amp; Benefits'!$G$6</f>
        <v>12558.24</v>
      </c>
      <c r="U56" s="23">
        <f>'2022-23 Salary &amp; Benefits'!$H$6</f>
        <v>0.2298</v>
      </c>
      <c r="V56" s="23">
        <f>'2022-23 Salary &amp; Benefits'!$I$6</f>
        <v>0.22339999999999999</v>
      </c>
      <c r="W56" s="22">
        <f t="shared" si="8"/>
        <v>34306.58</v>
      </c>
      <c r="X56" s="22">
        <f t="shared" si="9"/>
        <v>1421.83</v>
      </c>
      <c r="Y56" s="22">
        <f t="shared" si="10"/>
        <v>317.64</v>
      </c>
      <c r="Z56" s="22">
        <f t="shared" si="11"/>
        <v>1739.4699999999998</v>
      </c>
      <c r="AA56" s="22">
        <f t="shared" si="12"/>
        <v>121355.99</v>
      </c>
    </row>
    <row r="57" spans="1:27">
      <c r="A57" s="125" t="s">
        <v>2409</v>
      </c>
      <c r="B57" s="3" t="s">
        <v>1189</v>
      </c>
      <c r="C57" s="93">
        <f>IF(A57=Summary!$B$9,Summary!$G$9,0)</f>
        <v>0</v>
      </c>
      <c r="D57" s="134">
        <f>VLOOKUP(A57,AAFTE!$A:$S,3,0)</f>
        <v>87.01</v>
      </c>
      <c r="E57" s="20">
        <f>VLOOKUP($A57,'2022-23 Salary &amp; Benefits'!$A:$I,3,)</f>
        <v>1</v>
      </c>
      <c r="F57" s="20">
        <f>VLOOKUP($A57,'2022-23 Salary &amp; Benefits'!$A:$I,4,)</f>
        <v>1.04</v>
      </c>
      <c r="G57" s="34">
        <f>VLOOKUP(A57,'CEDARS District FRPL'!$A:$C,3,)</f>
        <v>0.4884</v>
      </c>
      <c r="H57" s="25">
        <f t="shared" si="1"/>
        <v>87.01</v>
      </c>
      <c r="I57" s="39">
        <f t="shared" si="4"/>
        <v>42.5</v>
      </c>
      <c r="J57" s="24">
        <v>15</v>
      </c>
      <c r="K57" s="26">
        <f t="shared" si="2"/>
        <v>2.8333333333333335</v>
      </c>
      <c r="L57" s="24">
        <v>2.3975</v>
      </c>
      <c r="M57" s="24">
        <v>36</v>
      </c>
      <c r="N57" s="27">
        <f t="shared" si="3"/>
        <v>244.54500000000002</v>
      </c>
      <c r="O57" s="102">
        <f t="shared" si="5"/>
        <v>0.27200000000000002</v>
      </c>
      <c r="P57" s="21">
        <f>VLOOKUP(A57,'2022-23 Salary &amp; Benefits'!$A:$I,5,)</f>
        <v>68937</v>
      </c>
      <c r="Q57" s="21">
        <f>VLOOKUP(A57,'2022-23 Salary &amp; Benefits'!$A:$I,6,FALSE)</f>
        <v>72728</v>
      </c>
      <c r="R57" s="22">
        <f t="shared" si="6"/>
        <v>18750.86</v>
      </c>
      <c r="S57" s="22">
        <f t="shared" si="7"/>
        <v>1822.44</v>
      </c>
      <c r="T57" s="22">
        <f>'2022-23 Salary &amp; Benefits'!$G$6</f>
        <v>12558.24</v>
      </c>
      <c r="U57" s="23">
        <f>'2022-23 Salary &amp; Benefits'!$H$6</f>
        <v>0.2298</v>
      </c>
      <c r="V57" s="23">
        <f>'2022-23 Salary &amp; Benefits'!$I$6</f>
        <v>0.22339999999999999</v>
      </c>
      <c r="W57" s="22">
        <f t="shared" si="8"/>
        <v>8131.92</v>
      </c>
      <c r="X57" s="22">
        <f t="shared" si="9"/>
        <v>342.89</v>
      </c>
      <c r="Y57" s="22">
        <f t="shared" si="10"/>
        <v>76.599999999999994</v>
      </c>
      <c r="Z57" s="22">
        <f t="shared" si="11"/>
        <v>419.49</v>
      </c>
      <c r="AA57" s="22">
        <f t="shared" si="12"/>
        <v>29124.71</v>
      </c>
    </row>
    <row r="58" spans="1:27">
      <c r="A58" s="125" t="s">
        <v>2308</v>
      </c>
      <c r="B58" s="3" t="s">
        <v>360</v>
      </c>
      <c r="C58" s="93">
        <f>IF(A58=Summary!$B$9,Summary!$G$9,0)</f>
        <v>0</v>
      </c>
      <c r="D58" s="134">
        <f>VLOOKUP(A58,AAFTE!$A:$S,3,0)</f>
        <v>248.33</v>
      </c>
      <c r="E58" s="20">
        <f>VLOOKUP($A58,'2022-23 Salary &amp; Benefits'!$A:$I,3,)</f>
        <v>1</v>
      </c>
      <c r="F58" s="20">
        <f>VLOOKUP($A58,'2022-23 Salary &amp; Benefits'!$A:$I,4,)</f>
        <v>1.04</v>
      </c>
      <c r="G58" s="34">
        <f>VLOOKUP(A58,'CEDARS District FRPL'!$A:$C,3,)</f>
        <v>0.53210000000000002</v>
      </c>
      <c r="H58" s="25">
        <f t="shared" si="1"/>
        <v>248.33</v>
      </c>
      <c r="I58" s="39">
        <f t="shared" si="4"/>
        <v>132.13999999999999</v>
      </c>
      <c r="J58" s="24">
        <v>15</v>
      </c>
      <c r="K58" s="26">
        <f t="shared" si="2"/>
        <v>8.809333333333333</v>
      </c>
      <c r="L58" s="24">
        <v>2.3975</v>
      </c>
      <c r="M58" s="24">
        <v>36</v>
      </c>
      <c r="N58" s="27">
        <f t="shared" si="3"/>
        <v>760.33355999999992</v>
      </c>
      <c r="O58" s="102">
        <f t="shared" si="5"/>
        <v>0.84499999999999997</v>
      </c>
      <c r="P58" s="21">
        <f>VLOOKUP(A58,'2022-23 Salary &amp; Benefits'!$A:$I,5,)</f>
        <v>68937</v>
      </c>
      <c r="Q58" s="21">
        <f>VLOOKUP(A58,'2022-23 Salary &amp; Benefits'!$A:$I,6,FALSE)</f>
        <v>72728</v>
      </c>
      <c r="R58" s="22">
        <f t="shared" si="6"/>
        <v>58251.77</v>
      </c>
      <c r="S58" s="22">
        <f t="shared" si="7"/>
        <v>5661.6</v>
      </c>
      <c r="T58" s="22">
        <f>'2022-23 Salary &amp; Benefits'!$G$6</f>
        <v>12558.24</v>
      </c>
      <c r="U58" s="23">
        <f>'2022-23 Salary &amp; Benefits'!$H$6</f>
        <v>0.2298</v>
      </c>
      <c r="V58" s="23">
        <f>'2022-23 Salary &amp; Benefits'!$I$6</f>
        <v>0.22339999999999999</v>
      </c>
      <c r="W58" s="22">
        <f t="shared" si="8"/>
        <v>25262.77</v>
      </c>
      <c r="X58" s="22">
        <f t="shared" si="9"/>
        <v>1065.22</v>
      </c>
      <c r="Y58" s="22">
        <f t="shared" si="10"/>
        <v>237.97</v>
      </c>
      <c r="Z58" s="22">
        <f t="shared" si="11"/>
        <v>1303.19</v>
      </c>
      <c r="AA58" s="22">
        <f t="shared" si="12"/>
        <v>90479.33</v>
      </c>
    </row>
    <row r="59" spans="1:27">
      <c r="A59" s="125" t="s">
        <v>2436</v>
      </c>
      <c r="B59" s="3" t="s">
        <v>1285</v>
      </c>
      <c r="C59" s="93">
        <f>IF(A59=Summary!$B$9,Summary!$G$9,0)</f>
        <v>0</v>
      </c>
      <c r="D59" s="134">
        <f>VLOOKUP(A59,AAFTE!$A:$S,3,0)</f>
        <v>322.45999999999998</v>
      </c>
      <c r="E59" s="20">
        <f>VLOOKUP($A59,'2022-23 Salary &amp; Benefits'!$A:$I,3,)</f>
        <v>1</v>
      </c>
      <c r="F59" s="20">
        <f>VLOOKUP($A59,'2022-23 Salary &amp; Benefits'!$A:$I,4,)</f>
        <v>1</v>
      </c>
      <c r="G59" s="34">
        <f>VLOOKUP(A59,'CEDARS District FRPL'!$A:$C,3,)</f>
        <v>0.69210000000000005</v>
      </c>
      <c r="H59" s="25">
        <f t="shared" si="1"/>
        <v>322.45999999999998</v>
      </c>
      <c r="I59" s="39">
        <f t="shared" si="4"/>
        <v>223.17</v>
      </c>
      <c r="J59" s="24">
        <v>15</v>
      </c>
      <c r="K59" s="26">
        <f t="shared" si="2"/>
        <v>14.877999999999998</v>
      </c>
      <c r="L59" s="24">
        <v>2.3975</v>
      </c>
      <c r="M59" s="24">
        <v>36</v>
      </c>
      <c r="N59" s="27">
        <f t="shared" si="3"/>
        <v>1284.1201799999999</v>
      </c>
      <c r="O59" s="102">
        <f t="shared" si="5"/>
        <v>1.427</v>
      </c>
      <c r="P59" s="21">
        <f>VLOOKUP(A59,'2022-23 Salary &amp; Benefits'!$A:$I,5,)</f>
        <v>68937</v>
      </c>
      <c r="Q59" s="21">
        <f>VLOOKUP(A59,'2022-23 Salary &amp; Benefits'!$A:$I,6,FALSE)</f>
        <v>72728</v>
      </c>
      <c r="R59" s="22">
        <f t="shared" si="6"/>
        <v>98373.1</v>
      </c>
      <c r="S59" s="22">
        <f t="shared" si="7"/>
        <v>5409.76</v>
      </c>
      <c r="T59" s="22">
        <f>'2022-23 Salary &amp; Benefits'!$G$6</f>
        <v>12558.24</v>
      </c>
      <c r="U59" s="23">
        <f>'2022-23 Salary &amp; Benefits'!$H$6</f>
        <v>0.2298</v>
      </c>
      <c r="V59" s="23">
        <f>'2022-23 Salary &amp; Benefits'!$I$6</f>
        <v>0.22339999999999999</v>
      </c>
      <c r="W59" s="22">
        <f t="shared" si="8"/>
        <v>41735.29</v>
      </c>
      <c r="X59" s="22">
        <f t="shared" si="9"/>
        <v>1729.71</v>
      </c>
      <c r="Y59" s="22">
        <f t="shared" si="10"/>
        <v>386.42</v>
      </c>
      <c r="Z59" s="22">
        <f t="shared" si="11"/>
        <v>2116.13</v>
      </c>
      <c r="AA59" s="22">
        <f t="shared" si="12"/>
        <v>147634.28000000003</v>
      </c>
    </row>
    <row r="60" spans="1:27">
      <c r="A60" s="125" t="s">
        <v>2377</v>
      </c>
      <c r="B60" s="3" t="s">
        <v>1083</v>
      </c>
      <c r="C60" s="93">
        <f>IF(A60=Summary!$B$9,Summary!$G$9,0)</f>
        <v>0</v>
      </c>
      <c r="D60" s="134">
        <f>VLOOKUP(A60,AAFTE!$A:$S,3,0)</f>
        <v>41.01</v>
      </c>
      <c r="E60" s="20">
        <f>VLOOKUP($A60,'2022-23 Salary &amp; Benefits'!$A:$I,3,)</f>
        <v>1</v>
      </c>
      <c r="F60" s="20">
        <f>VLOOKUP($A60,'2022-23 Salary &amp; Benefits'!$A:$I,4,)</f>
        <v>1</v>
      </c>
      <c r="G60" s="34">
        <f>VLOOKUP(A60,'CEDARS District FRPL'!$A:$C,3,)</f>
        <v>0</v>
      </c>
      <c r="H60" s="25">
        <f t="shared" si="1"/>
        <v>41.01</v>
      </c>
      <c r="I60" s="39">
        <f t="shared" si="4"/>
        <v>0</v>
      </c>
      <c r="J60" s="24">
        <v>15</v>
      </c>
      <c r="K60" s="26">
        <f t="shared" si="2"/>
        <v>0</v>
      </c>
      <c r="L60" s="24">
        <v>2.3975</v>
      </c>
      <c r="M60" s="24">
        <v>36</v>
      </c>
      <c r="N60" s="27">
        <f t="shared" si="3"/>
        <v>0</v>
      </c>
      <c r="O60" s="102">
        <f t="shared" si="5"/>
        <v>0</v>
      </c>
      <c r="P60" s="21">
        <f>VLOOKUP(A60,'2022-23 Salary &amp; Benefits'!$A:$I,5,)</f>
        <v>68937</v>
      </c>
      <c r="Q60" s="21">
        <f>VLOOKUP(A60,'2022-23 Salary &amp; Benefits'!$A:$I,6,FALSE)</f>
        <v>72728</v>
      </c>
      <c r="R60" s="22">
        <f t="shared" si="6"/>
        <v>0</v>
      </c>
      <c r="S60" s="22">
        <f t="shared" si="7"/>
        <v>0</v>
      </c>
      <c r="T60" s="22">
        <f>'2022-23 Salary &amp; Benefits'!$G$6</f>
        <v>12558.24</v>
      </c>
      <c r="U60" s="23">
        <f>'2022-23 Salary &amp; Benefits'!$H$6</f>
        <v>0.2298</v>
      </c>
      <c r="V60" s="23">
        <f>'2022-23 Salary &amp; Benefits'!$I$6</f>
        <v>0.22339999999999999</v>
      </c>
      <c r="W60" s="22">
        <f t="shared" si="8"/>
        <v>0</v>
      </c>
      <c r="X60" s="22">
        <f t="shared" si="9"/>
        <v>0</v>
      </c>
      <c r="Y60" s="22">
        <f t="shared" si="10"/>
        <v>0</v>
      </c>
      <c r="Z60" s="22">
        <f t="shared" si="11"/>
        <v>0</v>
      </c>
      <c r="AA60" s="22">
        <f t="shared" si="12"/>
        <v>0</v>
      </c>
    </row>
    <row r="61" spans="1:27">
      <c r="A61" s="125" t="s">
        <v>2483</v>
      </c>
      <c r="B61" s="3" t="s">
        <v>1752</v>
      </c>
      <c r="C61" s="93">
        <f>IF(A61=Summary!$B$9,Summary!$G$9,0)</f>
        <v>0</v>
      </c>
      <c r="D61" s="134">
        <f>VLOOKUP(A61,AAFTE!$A:$S,3,0)</f>
        <v>406.59</v>
      </c>
      <c r="E61" s="20">
        <f>VLOOKUP($A61,'2022-23 Salary &amp; Benefits'!$A:$I,3,)</f>
        <v>1.1200000000000001</v>
      </c>
      <c r="F61" s="20">
        <f>VLOOKUP($A61,'2022-23 Salary &amp; Benefits'!$A:$I,4,)</f>
        <v>1.1200000000000001</v>
      </c>
      <c r="G61" s="34">
        <f>VLOOKUP(A61,'CEDARS District FRPL'!$A:$C,3,)</f>
        <v>0.4501</v>
      </c>
      <c r="H61" s="25">
        <f t="shared" si="1"/>
        <v>406.59</v>
      </c>
      <c r="I61" s="39">
        <f t="shared" si="4"/>
        <v>183.01</v>
      </c>
      <c r="J61" s="24">
        <v>15</v>
      </c>
      <c r="K61" s="26">
        <f t="shared" si="2"/>
        <v>12.200666666666667</v>
      </c>
      <c r="L61" s="24">
        <v>2.3975</v>
      </c>
      <c r="M61" s="24">
        <v>36</v>
      </c>
      <c r="N61" s="27">
        <f t="shared" si="3"/>
        <v>1053.03954</v>
      </c>
      <c r="O61" s="102">
        <f t="shared" si="5"/>
        <v>1.17</v>
      </c>
      <c r="P61" s="21">
        <f>VLOOKUP(A61,'2022-23 Salary &amp; Benefits'!$A:$I,5,)</f>
        <v>68937</v>
      </c>
      <c r="Q61" s="21">
        <f>VLOOKUP(A61,'2022-23 Salary &amp; Benefits'!$A:$I,6,FALSE)</f>
        <v>72728</v>
      </c>
      <c r="R61" s="22">
        <f t="shared" si="6"/>
        <v>90335.039999999994</v>
      </c>
      <c r="S61" s="22">
        <f t="shared" si="7"/>
        <v>4967.7299999999996</v>
      </c>
      <c r="T61" s="22">
        <f>'2022-23 Salary &amp; Benefits'!$G$6</f>
        <v>12558.24</v>
      </c>
      <c r="U61" s="23">
        <f>'2022-23 Salary &amp; Benefits'!$H$6</f>
        <v>0.2298</v>
      </c>
      <c r="V61" s="23">
        <f>'2022-23 Salary &amp; Benefits'!$I$6</f>
        <v>0.22339999999999999</v>
      </c>
      <c r="W61" s="22">
        <f t="shared" si="8"/>
        <v>36561.919999999998</v>
      </c>
      <c r="X61" s="22">
        <f t="shared" si="9"/>
        <v>1588.38</v>
      </c>
      <c r="Y61" s="22">
        <f t="shared" si="10"/>
        <v>354.84</v>
      </c>
      <c r="Z61" s="22">
        <f t="shared" si="11"/>
        <v>1943.22</v>
      </c>
      <c r="AA61" s="22">
        <f t="shared" si="12"/>
        <v>133807.91</v>
      </c>
    </row>
    <row r="62" spans="1:27">
      <c r="A62" s="125" t="s">
        <v>2413</v>
      </c>
      <c r="B62" s="3" t="s">
        <v>1201</v>
      </c>
      <c r="C62" s="93">
        <f>IF(A62=Summary!$B$9,Summary!$G$9,0)</f>
        <v>0</v>
      </c>
      <c r="D62" s="134">
        <f>VLOOKUP(A62,AAFTE!$A:$S,3,0)</f>
        <v>570.62</v>
      </c>
      <c r="E62" s="20">
        <f>VLOOKUP($A62,'2022-23 Salary &amp; Benefits'!$A:$I,3,)</f>
        <v>1</v>
      </c>
      <c r="F62" s="20">
        <f>VLOOKUP($A62,'2022-23 Salary &amp; Benefits'!$A:$I,4,)</f>
        <v>1</v>
      </c>
      <c r="G62" s="34">
        <f>VLOOKUP(A62,'CEDARS District FRPL'!$A:$C,3,)</f>
        <v>0.48949999999999999</v>
      </c>
      <c r="H62" s="25">
        <f t="shared" si="1"/>
        <v>570.62</v>
      </c>
      <c r="I62" s="39">
        <f t="shared" si="4"/>
        <v>279.32</v>
      </c>
      <c r="J62" s="24">
        <v>15</v>
      </c>
      <c r="K62" s="26">
        <f t="shared" si="2"/>
        <v>18.621333333333332</v>
      </c>
      <c r="L62" s="24">
        <v>2.3975</v>
      </c>
      <c r="M62" s="24">
        <v>36</v>
      </c>
      <c r="N62" s="27">
        <f t="shared" si="3"/>
        <v>1607.2072800000001</v>
      </c>
      <c r="O62" s="102">
        <f t="shared" si="5"/>
        <v>1.786</v>
      </c>
      <c r="P62" s="21">
        <f>VLOOKUP(A62,'2022-23 Salary &amp; Benefits'!$A:$I,5,)</f>
        <v>68937</v>
      </c>
      <c r="Q62" s="21">
        <f>VLOOKUP(A62,'2022-23 Salary &amp; Benefits'!$A:$I,6,FALSE)</f>
        <v>72728</v>
      </c>
      <c r="R62" s="22">
        <f t="shared" si="6"/>
        <v>123121.48</v>
      </c>
      <c r="S62" s="22">
        <f t="shared" si="7"/>
        <v>6770.73</v>
      </c>
      <c r="T62" s="22">
        <f>'2022-23 Salary &amp; Benefits'!$G$6</f>
        <v>12558.24</v>
      </c>
      <c r="U62" s="23">
        <f>'2022-23 Salary &amp; Benefits'!$H$6</f>
        <v>0.2298</v>
      </c>
      <c r="V62" s="23">
        <f>'2022-23 Salary &amp; Benefits'!$I$6</f>
        <v>0.22339999999999999</v>
      </c>
      <c r="W62" s="22">
        <f t="shared" si="8"/>
        <v>52234.91</v>
      </c>
      <c r="X62" s="22">
        <f t="shared" si="9"/>
        <v>2164.87</v>
      </c>
      <c r="Y62" s="22">
        <f t="shared" si="10"/>
        <v>483.63</v>
      </c>
      <c r="Z62" s="22">
        <f t="shared" si="11"/>
        <v>2648.5</v>
      </c>
      <c r="AA62" s="22">
        <f t="shared" si="12"/>
        <v>184775.62000000002</v>
      </c>
    </row>
    <row r="63" spans="1:27">
      <c r="A63" s="125" t="s">
        <v>2293</v>
      </c>
      <c r="B63" s="3" t="s">
        <v>290</v>
      </c>
      <c r="C63" s="93">
        <f>IF(A63=Summary!$B$9,Summary!$G$9,0)</f>
        <v>0</v>
      </c>
      <c r="D63" s="134">
        <f>VLOOKUP(A63,AAFTE!$A:$S,3,0)</f>
        <v>353.55</v>
      </c>
      <c r="E63" s="20">
        <f>VLOOKUP($A63,'2022-23 Salary &amp; Benefits'!$A:$I,3,)</f>
        <v>1</v>
      </c>
      <c r="F63" s="20">
        <f>VLOOKUP($A63,'2022-23 Salary &amp; Benefits'!$A:$I,4,)</f>
        <v>1</v>
      </c>
      <c r="G63" s="34">
        <f>VLOOKUP(A63,'CEDARS District FRPL'!$A:$C,3,)</f>
        <v>0.53320000000000001</v>
      </c>
      <c r="H63" s="25">
        <f t="shared" si="1"/>
        <v>353.55</v>
      </c>
      <c r="I63" s="39">
        <f t="shared" si="4"/>
        <v>188.51</v>
      </c>
      <c r="J63" s="24">
        <v>15</v>
      </c>
      <c r="K63" s="26">
        <f t="shared" si="2"/>
        <v>12.567333333333332</v>
      </c>
      <c r="L63" s="24">
        <v>2.3975</v>
      </c>
      <c r="M63" s="24">
        <v>36</v>
      </c>
      <c r="N63" s="27">
        <f t="shared" si="3"/>
        <v>1084.6865399999999</v>
      </c>
      <c r="O63" s="102">
        <f t="shared" si="5"/>
        <v>1.2050000000000001</v>
      </c>
      <c r="P63" s="21">
        <f>VLOOKUP(A63,'2022-23 Salary &amp; Benefits'!$A:$I,5,)</f>
        <v>68937</v>
      </c>
      <c r="Q63" s="21">
        <f>VLOOKUP(A63,'2022-23 Salary &amp; Benefits'!$A:$I,6,FALSE)</f>
        <v>72728</v>
      </c>
      <c r="R63" s="22">
        <f t="shared" si="6"/>
        <v>83069.09</v>
      </c>
      <c r="S63" s="22">
        <f t="shared" si="7"/>
        <v>4568.1499999999996</v>
      </c>
      <c r="T63" s="22">
        <f>'2022-23 Salary &amp; Benefits'!$G$6</f>
        <v>12558.24</v>
      </c>
      <c r="U63" s="23">
        <f>'2022-23 Salary &amp; Benefits'!$H$6</f>
        <v>0.2298</v>
      </c>
      <c r="V63" s="23">
        <f>'2022-23 Salary &amp; Benefits'!$I$6</f>
        <v>0.22339999999999999</v>
      </c>
      <c r="W63" s="22">
        <f t="shared" si="8"/>
        <v>35242.480000000003</v>
      </c>
      <c r="X63" s="22">
        <f t="shared" si="9"/>
        <v>1460.62</v>
      </c>
      <c r="Y63" s="22">
        <f t="shared" si="10"/>
        <v>326.3</v>
      </c>
      <c r="Z63" s="22">
        <f t="shared" si="11"/>
        <v>1786.9199999999998</v>
      </c>
      <c r="AA63" s="22">
        <f t="shared" si="12"/>
        <v>124666.64</v>
      </c>
    </row>
    <row r="64" spans="1:27">
      <c r="A64" s="125" t="s">
        <v>2498</v>
      </c>
      <c r="B64" s="3" t="s">
        <v>1908</v>
      </c>
      <c r="C64" s="93">
        <f>IF(A64=Summary!$B$9,Summary!$G$9,0)</f>
        <v>0</v>
      </c>
      <c r="D64" s="134">
        <f>VLOOKUP(A64,AAFTE!$A:$S,3,0)</f>
        <v>2504.4699999999998</v>
      </c>
      <c r="E64" s="20">
        <f>VLOOKUP($A64,'2022-23 Salary &amp; Benefits'!$A:$I,3,)</f>
        <v>1</v>
      </c>
      <c r="F64" s="20">
        <f>VLOOKUP($A64,'2022-23 Salary &amp; Benefits'!$A:$I,4,)</f>
        <v>1</v>
      </c>
      <c r="G64" s="34">
        <f>VLOOKUP(A64,'CEDARS District FRPL'!$A:$C,3,)</f>
        <v>0.48470000000000002</v>
      </c>
      <c r="H64" s="25">
        <f t="shared" si="1"/>
        <v>2504.4699999999998</v>
      </c>
      <c r="I64" s="39">
        <f t="shared" si="4"/>
        <v>1213.92</v>
      </c>
      <c r="J64" s="24">
        <v>15</v>
      </c>
      <c r="K64" s="26">
        <f t="shared" si="2"/>
        <v>80.928000000000011</v>
      </c>
      <c r="L64" s="24">
        <v>2.3975</v>
      </c>
      <c r="M64" s="24">
        <v>36</v>
      </c>
      <c r="N64" s="27">
        <f t="shared" si="3"/>
        <v>6984.8956800000005</v>
      </c>
      <c r="O64" s="102">
        <f t="shared" si="5"/>
        <v>7.7610000000000001</v>
      </c>
      <c r="P64" s="21">
        <f>VLOOKUP(A64,'2022-23 Salary &amp; Benefits'!$A:$I,5,)</f>
        <v>68937</v>
      </c>
      <c r="Q64" s="21">
        <f>VLOOKUP(A64,'2022-23 Salary &amp; Benefits'!$A:$I,6,FALSE)</f>
        <v>72728</v>
      </c>
      <c r="R64" s="22">
        <f t="shared" si="6"/>
        <v>535020.06000000006</v>
      </c>
      <c r="S64" s="22">
        <f t="shared" si="7"/>
        <v>29421.95</v>
      </c>
      <c r="T64" s="22">
        <f>'2022-23 Salary &amp; Benefits'!$G$6</f>
        <v>12558.24</v>
      </c>
      <c r="U64" s="23">
        <f>'2022-23 Salary &amp; Benefits'!$H$6</f>
        <v>0.2298</v>
      </c>
      <c r="V64" s="23">
        <f>'2022-23 Salary &amp; Benefits'!$I$6</f>
        <v>0.22339999999999999</v>
      </c>
      <c r="W64" s="22">
        <f t="shared" si="8"/>
        <v>226984.97</v>
      </c>
      <c r="X64" s="22">
        <f t="shared" si="9"/>
        <v>9407.3700000000008</v>
      </c>
      <c r="Y64" s="22">
        <f t="shared" si="10"/>
        <v>2101.61</v>
      </c>
      <c r="Z64" s="22">
        <f t="shared" si="11"/>
        <v>11508.980000000001</v>
      </c>
      <c r="AA64" s="22">
        <f t="shared" si="12"/>
        <v>802935.96</v>
      </c>
    </row>
    <row r="65" spans="1:27">
      <c r="A65" s="125" t="s">
        <v>2444</v>
      </c>
      <c r="B65" s="3" t="s">
        <v>1409</v>
      </c>
      <c r="C65" s="93">
        <f>IF(A65=Summary!$B$9,Summary!$G$9,0)</f>
        <v>0</v>
      </c>
      <c r="D65" s="134">
        <f>VLOOKUP(A65,AAFTE!$A:$S,3,0)</f>
        <v>1367.91</v>
      </c>
      <c r="E65" s="20">
        <f>VLOOKUP($A65,'2022-23 Salary &amp; Benefits'!$A:$I,3,)</f>
        <v>1.1200000000000001</v>
      </c>
      <c r="F65" s="20">
        <f>VLOOKUP($A65,'2022-23 Salary &amp; Benefits'!$A:$I,4,)</f>
        <v>1.1600000000000001</v>
      </c>
      <c r="G65" s="34">
        <f>VLOOKUP(A65,'CEDARS District FRPL'!$A:$C,3,)</f>
        <v>0.1739</v>
      </c>
      <c r="H65" s="25">
        <f t="shared" si="1"/>
        <v>1367.91</v>
      </c>
      <c r="I65" s="39">
        <f t="shared" si="4"/>
        <v>237.88</v>
      </c>
      <c r="J65" s="24">
        <v>15</v>
      </c>
      <c r="K65" s="26">
        <f t="shared" si="2"/>
        <v>15.858666666666666</v>
      </c>
      <c r="L65" s="24">
        <v>2.3975</v>
      </c>
      <c r="M65" s="24">
        <v>36</v>
      </c>
      <c r="N65" s="27">
        <f t="shared" si="3"/>
        <v>1368.76152</v>
      </c>
      <c r="O65" s="102">
        <f t="shared" si="5"/>
        <v>1.5209999999999999</v>
      </c>
      <c r="P65" s="21">
        <f>VLOOKUP(A65,'2022-23 Salary &amp; Benefits'!$A:$I,5,)</f>
        <v>68937</v>
      </c>
      <c r="Q65" s="21">
        <f>VLOOKUP(A65,'2022-23 Salary &amp; Benefits'!$A:$I,6,FALSE)</f>
        <v>72728</v>
      </c>
      <c r="R65" s="22">
        <f t="shared" si="6"/>
        <v>117435.56</v>
      </c>
      <c r="S65" s="22">
        <f t="shared" si="7"/>
        <v>10882.81</v>
      </c>
      <c r="T65" s="22">
        <f>'2022-23 Salary &amp; Benefits'!$G$6</f>
        <v>12558.24</v>
      </c>
      <c r="U65" s="23">
        <f>'2022-23 Salary &amp; Benefits'!$H$6</f>
        <v>0.2298</v>
      </c>
      <c r="V65" s="23">
        <f>'2022-23 Salary &amp; Benefits'!$I$6</f>
        <v>0.22339999999999999</v>
      </c>
      <c r="W65" s="22">
        <f t="shared" si="8"/>
        <v>48518.99</v>
      </c>
      <c r="X65" s="22">
        <f t="shared" si="9"/>
        <v>2138.64</v>
      </c>
      <c r="Y65" s="22">
        <f t="shared" si="10"/>
        <v>477.77</v>
      </c>
      <c r="Z65" s="22">
        <f t="shared" si="11"/>
        <v>2616.41</v>
      </c>
      <c r="AA65" s="22">
        <f t="shared" si="12"/>
        <v>179453.77</v>
      </c>
    </row>
    <row r="66" spans="1:27">
      <c r="A66" s="125" t="s">
        <v>2525</v>
      </c>
      <c r="B66" s="3" t="s">
        <v>2039</v>
      </c>
      <c r="C66" s="93">
        <f>IF(A66=Summary!$B$9,Summary!$G$9,0)</f>
        <v>0</v>
      </c>
      <c r="D66" s="134">
        <f>VLOOKUP(A66,AAFTE!$A:$S,3,0)</f>
        <v>17.43</v>
      </c>
      <c r="E66" s="20">
        <f>VLOOKUP($A66,'2022-23 Salary &amp; Benefits'!$A:$I,3,)</f>
        <v>1</v>
      </c>
      <c r="F66" s="20">
        <f>VLOOKUP($A66,'2022-23 Salary &amp; Benefits'!$A:$I,4,)</f>
        <v>1</v>
      </c>
      <c r="G66" s="34">
        <f>VLOOKUP(A66,'CEDARS District FRPL'!$A:$C,3,)</f>
        <v>1</v>
      </c>
      <c r="H66" s="25">
        <f t="shared" si="1"/>
        <v>17.43</v>
      </c>
      <c r="I66" s="39">
        <f t="shared" si="4"/>
        <v>17.43</v>
      </c>
      <c r="J66" s="24">
        <v>15</v>
      </c>
      <c r="K66" s="26">
        <f t="shared" si="2"/>
        <v>1.1619999999999999</v>
      </c>
      <c r="L66" s="24">
        <v>2.3975</v>
      </c>
      <c r="M66" s="24">
        <v>36</v>
      </c>
      <c r="N66" s="27">
        <f t="shared" si="3"/>
        <v>100.29221999999999</v>
      </c>
      <c r="O66" s="102">
        <f t="shared" si="5"/>
        <v>0.111</v>
      </c>
      <c r="P66" s="21">
        <f>VLOOKUP(A66,'2022-23 Salary &amp; Benefits'!$A:$I,5,)</f>
        <v>68937</v>
      </c>
      <c r="Q66" s="21">
        <f>VLOOKUP(A66,'2022-23 Salary &amp; Benefits'!$A:$I,6,FALSE)</f>
        <v>72728</v>
      </c>
      <c r="R66" s="22">
        <f t="shared" si="6"/>
        <v>7652.01</v>
      </c>
      <c r="S66" s="22">
        <f t="shared" si="7"/>
        <v>420.8</v>
      </c>
      <c r="T66" s="22">
        <f>'2022-23 Salary &amp; Benefits'!$G$6</f>
        <v>12558.24</v>
      </c>
      <c r="U66" s="23">
        <f>'2022-23 Salary &amp; Benefits'!$H$6</f>
        <v>0.2298</v>
      </c>
      <c r="V66" s="23">
        <f>'2022-23 Salary &amp; Benefits'!$I$6</f>
        <v>0.22339999999999999</v>
      </c>
      <c r="W66" s="22">
        <f t="shared" si="8"/>
        <v>3246.4</v>
      </c>
      <c r="X66" s="22">
        <f t="shared" si="9"/>
        <v>134.55000000000001</v>
      </c>
      <c r="Y66" s="22">
        <f t="shared" si="10"/>
        <v>30.06</v>
      </c>
      <c r="Z66" s="22">
        <f t="shared" si="11"/>
        <v>164.61</v>
      </c>
      <c r="AA66" s="22">
        <f t="shared" si="12"/>
        <v>11483.82</v>
      </c>
    </row>
    <row r="67" spans="1:27">
      <c r="A67" s="125" t="s">
        <v>2495</v>
      </c>
      <c r="B67" s="3" t="s">
        <v>1886</v>
      </c>
      <c r="C67" s="93">
        <f>IF(A67=Summary!$B$9,Summary!$G$9,0)</f>
        <v>0</v>
      </c>
      <c r="D67" s="134">
        <f>VLOOKUP(A67,AAFTE!$A:$S,3,0)</f>
        <v>3494.42</v>
      </c>
      <c r="E67" s="20">
        <f>VLOOKUP($A67,'2022-23 Salary &amp; Benefits'!$A:$I,3,)</f>
        <v>1</v>
      </c>
      <c r="F67" s="20">
        <f>VLOOKUP($A67,'2022-23 Salary &amp; Benefits'!$A:$I,4,)</f>
        <v>1.04</v>
      </c>
      <c r="G67" s="34">
        <f>VLOOKUP(A67,'CEDARS District FRPL'!$A:$C,3,)</f>
        <v>0.54749999999999999</v>
      </c>
      <c r="H67" s="25">
        <f t="shared" si="1"/>
        <v>3494.42</v>
      </c>
      <c r="I67" s="39">
        <f t="shared" si="4"/>
        <v>1913.19</v>
      </c>
      <c r="J67" s="24">
        <v>15</v>
      </c>
      <c r="K67" s="26">
        <f t="shared" si="2"/>
        <v>127.54600000000001</v>
      </c>
      <c r="L67" s="24">
        <v>2.3975</v>
      </c>
      <c r="M67" s="24">
        <v>36</v>
      </c>
      <c r="N67" s="27">
        <f t="shared" si="3"/>
        <v>11008.49526</v>
      </c>
      <c r="O67" s="102">
        <f t="shared" si="5"/>
        <v>12.231999999999999</v>
      </c>
      <c r="P67" s="21">
        <f>VLOOKUP(A67,'2022-23 Salary &amp; Benefits'!$A:$I,5,)</f>
        <v>68937</v>
      </c>
      <c r="Q67" s="21">
        <f>VLOOKUP(A67,'2022-23 Salary &amp; Benefits'!$A:$I,6,FALSE)</f>
        <v>72728</v>
      </c>
      <c r="R67" s="22">
        <f t="shared" si="6"/>
        <v>843237.38</v>
      </c>
      <c r="S67" s="22">
        <f t="shared" si="7"/>
        <v>81955.87</v>
      </c>
      <c r="T67" s="22">
        <f>'2022-23 Salary &amp; Benefits'!$G$6</f>
        <v>12558.24</v>
      </c>
      <c r="U67" s="23">
        <f>'2022-23 Salary &amp; Benefits'!$H$6</f>
        <v>0.2298</v>
      </c>
      <c r="V67" s="23">
        <f>'2022-23 Salary &amp; Benefits'!$I$6</f>
        <v>0.22339999999999999</v>
      </c>
      <c r="W67" s="22">
        <f t="shared" si="8"/>
        <v>365697.28000000003</v>
      </c>
      <c r="X67" s="22">
        <f t="shared" si="9"/>
        <v>15419.89</v>
      </c>
      <c r="Y67" s="22">
        <f t="shared" si="10"/>
        <v>3444.8</v>
      </c>
      <c r="Z67" s="22">
        <f t="shared" si="11"/>
        <v>18864.689999999999</v>
      </c>
      <c r="AA67" s="22">
        <f t="shared" si="12"/>
        <v>1309755.2200000002</v>
      </c>
    </row>
    <row r="68" spans="1:27">
      <c r="A68" s="125" t="s">
        <v>2556</v>
      </c>
      <c r="B68" s="3" t="s">
        <v>2190</v>
      </c>
      <c r="C68" s="93">
        <f>IF(A68=Summary!$B$9,Summary!$G$9,0)</f>
        <v>0</v>
      </c>
      <c r="D68" s="134">
        <f>VLOOKUP(A68,AAFTE!$A:$S,3,0)</f>
        <v>3265.46</v>
      </c>
      <c r="E68" s="20">
        <f>VLOOKUP($A68,'2022-23 Salary &amp; Benefits'!$A:$I,3,)</f>
        <v>1</v>
      </c>
      <c r="F68" s="20">
        <f>VLOOKUP($A68,'2022-23 Salary &amp; Benefits'!$A:$I,4,)</f>
        <v>1</v>
      </c>
      <c r="G68" s="34">
        <f>VLOOKUP(A68,'CEDARS District FRPL'!$A:$C,3,)</f>
        <v>0.58460000000000001</v>
      </c>
      <c r="H68" s="25">
        <f t="shared" si="1"/>
        <v>3265.46</v>
      </c>
      <c r="I68" s="39">
        <f t="shared" si="4"/>
        <v>1908.99</v>
      </c>
      <c r="J68" s="24">
        <v>15</v>
      </c>
      <c r="K68" s="26">
        <f t="shared" si="2"/>
        <v>127.26600000000001</v>
      </c>
      <c r="L68" s="24">
        <v>2.3975</v>
      </c>
      <c r="M68" s="24">
        <v>36</v>
      </c>
      <c r="N68" s="27">
        <f t="shared" si="3"/>
        <v>10984.328460000001</v>
      </c>
      <c r="O68" s="102">
        <f t="shared" si="5"/>
        <v>12.205</v>
      </c>
      <c r="P68" s="21">
        <f>VLOOKUP(A68,'2022-23 Salary &amp; Benefits'!$A:$I,5,)</f>
        <v>68937</v>
      </c>
      <c r="Q68" s="21">
        <f>VLOOKUP(A68,'2022-23 Salary &amp; Benefits'!$A:$I,6,FALSE)</f>
        <v>72728</v>
      </c>
      <c r="R68" s="22">
        <f t="shared" si="6"/>
        <v>841376.09</v>
      </c>
      <c r="S68" s="22">
        <f t="shared" si="7"/>
        <v>46269.15</v>
      </c>
      <c r="T68" s="22">
        <f>'2022-23 Salary &amp; Benefits'!$G$6</f>
        <v>12558.24</v>
      </c>
      <c r="U68" s="23">
        <f>'2022-23 Salary &amp; Benefits'!$H$6</f>
        <v>0.2298</v>
      </c>
      <c r="V68" s="23">
        <f>'2022-23 Salary &amp; Benefits'!$I$6</f>
        <v>0.22339999999999999</v>
      </c>
      <c r="W68" s="22">
        <f t="shared" si="8"/>
        <v>356958.07</v>
      </c>
      <c r="X68" s="22">
        <f t="shared" si="9"/>
        <v>14794.09</v>
      </c>
      <c r="Y68" s="22">
        <f t="shared" si="10"/>
        <v>3305</v>
      </c>
      <c r="Z68" s="22">
        <f t="shared" si="11"/>
        <v>18099.09</v>
      </c>
      <c r="AA68" s="22">
        <f t="shared" si="12"/>
        <v>1262702.3999999999</v>
      </c>
    </row>
    <row r="69" spans="1:27">
      <c r="A69" s="125" t="s">
        <v>2304</v>
      </c>
      <c r="B69" s="3" t="s">
        <v>346</v>
      </c>
      <c r="C69" s="93">
        <f>IF(A69=Summary!$B$9,Summary!$G$9,0)</f>
        <v>0</v>
      </c>
      <c r="D69" s="134">
        <f>VLOOKUP(A69,AAFTE!$A:$S,3,0)</f>
        <v>5809.48</v>
      </c>
      <c r="E69" s="20">
        <f>VLOOKUP($A69,'2022-23 Salary &amp; Benefits'!$A:$I,3,)</f>
        <v>1</v>
      </c>
      <c r="F69" s="20">
        <f>VLOOKUP($A69,'2022-23 Salary &amp; Benefits'!$A:$I,4,)</f>
        <v>1</v>
      </c>
      <c r="G69" s="34">
        <f>VLOOKUP(A69,'CEDARS District FRPL'!$A:$C,3,)</f>
        <v>0.57989999999999997</v>
      </c>
      <c r="H69" s="25">
        <f t="shared" si="1"/>
        <v>5809.48</v>
      </c>
      <c r="I69" s="39">
        <f t="shared" si="4"/>
        <v>3368.92</v>
      </c>
      <c r="J69" s="24">
        <v>15</v>
      </c>
      <c r="K69" s="26">
        <f t="shared" si="2"/>
        <v>224.59466666666668</v>
      </c>
      <c r="L69" s="24">
        <v>2.3975</v>
      </c>
      <c r="M69" s="24">
        <v>36</v>
      </c>
      <c r="N69" s="27">
        <f t="shared" si="3"/>
        <v>19384.76568</v>
      </c>
      <c r="O69" s="102">
        <f t="shared" si="5"/>
        <v>21.539000000000001</v>
      </c>
      <c r="P69" s="21">
        <f>VLOOKUP(A69,'2022-23 Salary &amp; Benefits'!$A:$I,5,)</f>
        <v>68937</v>
      </c>
      <c r="Q69" s="21">
        <f>VLOOKUP(A69,'2022-23 Salary &amp; Benefits'!$A:$I,6,FALSE)</f>
        <v>72728</v>
      </c>
      <c r="R69" s="22">
        <f t="shared" si="6"/>
        <v>1484834.04</v>
      </c>
      <c r="S69" s="22">
        <f t="shared" si="7"/>
        <v>81654.350000000006</v>
      </c>
      <c r="T69" s="22">
        <f>'2022-23 Salary &amp; Benefits'!$G$6</f>
        <v>12558.24</v>
      </c>
      <c r="U69" s="23">
        <f>'2022-23 Salary &amp; Benefits'!$H$6</f>
        <v>0.2298</v>
      </c>
      <c r="V69" s="23">
        <f>'2022-23 Salary &amp; Benefits'!$I$6</f>
        <v>0.22339999999999999</v>
      </c>
      <c r="W69" s="22">
        <f t="shared" si="8"/>
        <v>629948.38</v>
      </c>
      <c r="X69" s="22">
        <f t="shared" si="9"/>
        <v>26108.14</v>
      </c>
      <c r="Y69" s="22">
        <f t="shared" si="10"/>
        <v>5832.56</v>
      </c>
      <c r="Z69" s="22">
        <f t="shared" si="11"/>
        <v>31940.7</v>
      </c>
      <c r="AA69" s="22">
        <f t="shared" si="12"/>
        <v>2228377.4700000002</v>
      </c>
    </row>
    <row r="70" spans="1:27">
      <c r="A70" s="125" t="s">
        <v>2378</v>
      </c>
      <c r="B70" s="3" t="s">
        <v>1085</v>
      </c>
      <c r="C70" s="93">
        <f>IF(A70=Summary!$B$9,Summary!$G$9,0)</f>
        <v>0</v>
      </c>
      <c r="D70" s="134">
        <f>VLOOKUP(A70,AAFTE!$A:$S,3,0)</f>
        <v>84.66</v>
      </c>
      <c r="E70" s="20">
        <f>VLOOKUP($A70,'2022-23 Salary &amp; Benefits'!$A:$I,3,)</f>
        <v>1</v>
      </c>
      <c r="F70" s="20">
        <f>VLOOKUP($A70,'2022-23 Salary &amp; Benefits'!$A:$I,4,)</f>
        <v>1</v>
      </c>
      <c r="G70" s="34">
        <f>VLOOKUP(A70,'CEDARS District FRPL'!$A:$C,3,)</f>
        <v>0.74419999999999997</v>
      </c>
      <c r="H70" s="25">
        <f t="shared" si="1"/>
        <v>84.66</v>
      </c>
      <c r="I70" s="39">
        <f t="shared" ref="I70:I133" si="17">ROUND(H70*G70,2)</f>
        <v>63</v>
      </c>
      <c r="J70" s="24">
        <v>15</v>
      </c>
      <c r="K70" s="26">
        <f t="shared" si="2"/>
        <v>4.2</v>
      </c>
      <c r="L70" s="24">
        <v>2.3975</v>
      </c>
      <c r="M70" s="24">
        <v>36</v>
      </c>
      <c r="N70" s="27">
        <f t="shared" si="3"/>
        <v>362.50200000000001</v>
      </c>
      <c r="O70" s="102">
        <f t="shared" ref="O70:O133" si="18">ROUND(N70/900,3)</f>
        <v>0.40300000000000002</v>
      </c>
      <c r="P70" s="21">
        <f>VLOOKUP(A70,'2022-23 Salary &amp; Benefits'!$A:$I,5,)</f>
        <v>68937</v>
      </c>
      <c r="Q70" s="21">
        <f>VLOOKUP(A70,'2022-23 Salary &amp; Benefits'!$A:$I,6,FALSE)</f>
        <v>72728</v>
      </c>
      <c r="R70" s="22">
        <f t="shared" ref="R70:R133" si="19">ROUND($E70*$P70*$O70,2)</f>
        <v>27781.61</v>
      </c>
      <c r="S70" s="22">
        <f t="shared" ref="S70:S133" si="20">ROUND(($Q70*$F70*$O70-$R70),2)</f>
        <v>1527.77</v>
      </c>
      <c r="T70" s="22">
        <f>'2022-23 Salary &amp; Benefits'!$G$6</f>
        <v>12558.24</v>
      </c>
      <c r="U70" s="23">
        <f>'2022-23 Salary &amp; Benefits'!$H$6</f>
        <v>0.2298</v>
      </c>
      <c r="V70" s="23">
        <f>'2022-23 Salary &amp; Benefits'!$I$6</f>
        <v>0.22339999999999999</v>
      </c>
      <c r="W70" s="22">
        <f t="shared" ref="W70:W133" si="21">ROUND(R70*U70+S70*V70+O70*T70,2)</f>
        <v>11786.49</v>
      </c>
      <c r="X70" s="22">
        <f t="shared" ref="X70:X133" si="22">ROUND(($Q70*$F70*$O70/180*3),2)</f>
        <v>488.49</v>
      </c>
      <c r="Y70" s="22">
        <f t="shared" ref="Y70:Y133" si="23">ROUND(X70*V70,2)</f>
        <v>109.13</v>
      </c>
      <c r="Z70" s="22">
        <f t="shared" si="11"/>
        <v>597.62</v>
      </c>
      <c r="AA70" s="22">
        <f t="shared" si="12"/>
        <v>41693.49</v>
      </c>
    </row>
    <row r="71" spans="1:27">
      <c r="A71" s="125" t="s">
        <v>2450</v>
      </c>
      <c r="B71" s="3" t="s">
        <v>1500</v>
      </c>
      <c r="C71" s="93">
        <f>IF(A71=Summary!$B$9,Summary!$G$9,0)</f>
        <v>0</v>
      </c>
      <c r="D71" s="134">
        <f>VLOOKUP(A71,AAFTE!$A:$S,3,0)</f>
        <v>1899.41</v>
      </c>
      <c r="E71" s="20">
        <f>VLOOKUP($A71,'2022-23 Salary &amp; Benefits'!$A:$I,3,)</f>
        <v>1</v>
      </c>
      <c r="F71" s="20">
        <f>VLOOKUP($A71,'2022-23 Salary &amp; Benefits'!$A:$I,4,)</f>
        <v>1</v>
      </c>
      <c r="G71" s="34">
        <f>VLOOKUP(A71,'CEDARS District FRPL'!$A:$C,3,)</f>
        <v>0.38019999999999998</v>
      </c>
      <c r="H71" s="25">
        <f t="shared" ref="H71:H132" si="24">IF(C71&gt;0,C71,D71)</f>
        <v>1899.41</v>
      </c>
      <c r="I71" s="39">
        <f t="shared" si="17"/>
        <v>722.16</v>
      </c>
      <c r="J71" s="24">
        <v>15</v>
      </c>
      <c r="K71" s="26">
        <f t="shared" si="2"/>
        <v>48.143999999999998</v>
      </c>
      <c r="L71" s="24">
        <v>2.3975</v>
      </c>
      <c r="M71" s="24">
        <v>36</v>
      </c>
      <c r="N71" s="27">
        <f t="shared" si="3"/>
        <v>4155.3086399999993</v>
      </c>
      <c r="O71" s="102">
        <f t="shared" si="18"/>
        <v>4.617</v>
      </c>
      <c r="P71" s="21">
        <f>VLOOKUP(A71,'2022-23 Salary &amp; Benefits'!$A:$I,5,)</f>
        <v>68937</v>
      </c>
      <c r="Q71" s="21">
        <f>VLOOKUP(A71,'2022-23 Salary &amp; Benefits'!$A:$I,6,FALSE)</f>
        <v>72728</v>
      </c>
      <c r="R71" s="22">
        <f t="shared" si="19"/>
        <v>318282.13</v>
      </c>
      <c r="S71" s="22">
        <f t="shared" si="20"/>
        <v>17503.05</v>
      </c>
      <c r="T71" s="22">
        <f>'2022-23 Salary &amp; Benefits'!$G$6</f>
        <v>12558.24</v>
      </c>
      <c r="U71" s="23">
        <f>'2022-23 Salary &amp; Benefits'!$H$6</f>
        <v>0.2298</v>
      </c>
      <c r="V71" s="23">
        <f>'2022-23 Salary &amp; Benefits'!$I$6</f>
        <v>0.22339999999999999</v>
      </c>
      <c r="W71" s="22">
        <f t="shared" si="21"/>
        <v>135032.81</v>
      </c>
      <c r="X71" s="22">
        <f t="shared" si="22"/>
        <v>5596.42</v>
      </c>
      <c r="Y71" s="22">
        <f t="shared" si="23"/>
        <v>1250.24</v>
      </c>
      <c r="Z71" s="22">
        <f t="shared" si="11"/>
        <v>6846.66</v>
      </c>
      <c r="AA71" s="22">
        <f t="shared" si="12"/>
        <v>477664.64999999997</v>
      </c>
    </row>
    <row r="72" spans="1:27">
      <c r="A72" s="125" t="s">
        <v>2475</v>
      </c>
      <c r="B72" s="3" t="s">
        <v>1645</v>
      </c>
      <c r="C72" s="93">
        <f>IF(A72=Summary!$B$9,Summary!$G$9,0)</f>
        <v>0</v>
      </c>
      <c r="D72" s="134">
        <f>VLOOKUP(A72,AAFTE!$A:$S,3,0)</f>
        <v>20050.11</v>
      </c>
      <c r="E72" s="20">
        <f>VLOOKUP($A72,'2022-23 Salary &amp; Benefits'!$A:$I,3,)</f>
        <v>1.18</v>
      </c>
      <c r="F72" s="20">
        <f>VLOOKUP($A72,'2022-23 Salary &amp; Benefits'!$A:$I,4,)</f>
        <v>1.18</v>
      </c>
      <c r="G72" s="34">
        <f>VLOOKUP(A72,'CEDARS District FRPL'!$A:$C,3,)</f>
        <v>0.34379999999999999</v>
      </c>
      <c r="H72" s="25">
        <f t="shared" si="24"/>
        <v>20050.11</v>
      </c>
      <c r="I72" s="39">
        <f t="shared" si="17"/>
        <v>6893.23</v>
      </c>
      <c r="J72" s="24">
        <v>15</v>
      </c>
      <c r="K72" s="26">
        <f t="shared" ref="K72:K133" si="25">I72/J72</f>
        <v>459.54866666666663</v>
      </c>
      <c r="L72" s="24">
        <v>2.3975</v>
      </c>
      <c r="M72" s="24">
        <v>36</v>
      </c>
      <c r="N72" s="27">
        <f t="shared" ref="N72:N133" si="26">K72*L72*M72</f>
        <v>39663.645419999993</v>
      </c>
      <c r="O72" s="102">
        <f t="shared" si="18"/>
        <v>44.070999999999998</v>
      </c>
      <c r="P72" s="21">
        <f>VLOOKUP(A72,'2022-23 Salary &amp; Benefits'!$A:$I,5,)</f>
        <v>68937</v>
      </c>
      <c r="Q72" s="21">
        <f>VLOOKUP(A72,'2022-23 Salary &amp; Benefits'!$A:$I,6,FALSE)</f>
        <v>72728</v>
      </c>
      <c r="R72" s="22">
        <f t="shared" si="19"/>
        <v>3584984.58</v>
      </c>
      <c r="S72" s="22">
        <f t="shared" si="20"/>
        <v>197146.33</v>
      </c>
      <c r="T72" s="22">
        <f>'2022-23 Salary &amp; Benefits'!$G$6</f>
        <v>12558.24</v>
      </c>
      <c r="U72" s="23">
        <f>'2022-23 Salary &amp; Benefits'!$H$6</f>
        <v>0.2298</v>
      </c>
      <c r="V72" s="23">
        <f>'2022-23 Salary &amp; Benefits'!$I$6</f>
        <v>0.22339999999999999</v>
      </c>
      <c r="W72" s="22">
        <f t="shared" si="21"/>
        <v>1421326.14</v>
      </c>
      <c r="X72" s="22">
        <f t="shared" si="22"/>
        <v>63035.519999999997</v>
      </c>
      <c r="Y72" s="22">
        <f t="shared" si="23"/>
        <v>14082.14</v>
      </c>
      <c r="Z72" s="22">
        <f t="shared" si="11"/>
        <v>77117.66</v>
      </c>
      <c r="AA72" s="22">
        <f t="shared" si="12"/>
        <v>5280574.71</v>
      </c>
    </row>
    <row r="73" spans="1:27">
      <c r="A73" s="125" t="s">
        <v>2380</v>
      </c>
      <c r="B73" s="3" t="s">
        <v>1089</v>
      </c>
      <c r="C73" s="93">
        <f>IF(A73=Summary!$B$9,Summary!$G$9,0)</f>
        <v>0</v>
      </c>
      <c r="D73" s="134">
        <f>VLOOKUP(A73,AAFTE!$A:$S,3,0)</f>
        <v>3231.49</v>
      </c>
      <c r="E73" s="20">
        <f>VLOOKUP($A73,'2022-23 Salary &amp; Benefits'!$A:$I,3,)</f>
        <v>1</v>
      </c>
      <c r="F73" s="20">
        <f>VLOOKUP($A73,'2022-23 Salary &amp; Benefits'!$A:$I,4,)</f>
        <v>1</v>
      </c>
      <c r="G73" s="34">
        <f>VLOOKUP(A73,'CEDARS District FRPL'!$A:$C,3,)</f>
        <v>0.40739999999999998</v>
      </c>
      <c r="H73" s="25">
        <f t="shared" si="24"/>
        <v>3231.49</v>
      </c>
      <c r="I73" s="39">
        <f t="shared" si="17"/>
        <v>1316.51</v>
      </c>
      <c r="J73" s="24">
        <v>15</v>
      </c>
      <c r="K73" s="26">
        <f t="shared" si="25"/>
        <v>87.767333333333326</v>
      </c>
      <c r="L73" s="24">
        <v>2.3975</v>
      </c>
      <c r="M73" s="24">
        <v>36</v>
      </c>
      <c r="N73" s="27">
        <f t="shared" si="26"/>
        <v>7575.1985399999994</v>
      </c>
      <c r="O73" s="102">
        <f t="shared" si="18"/>
        <v>8.4169999999999998</v>
      </c>
      <c r="P73" s="21">
        <f>VLOOKUP(A73,'2022-23 Salary &amp; Benefits'!$A:$I,5,)</f>
        <v>68937</v>
      </c>
      <c r="Q73" s="21">
        <f>VLOOKUP(A73,'2022-23 Salary &amp; Benefits'!$A:$I,6,FALSE)</f>
        <v>72728</v>
      </c>
      <c r="R73" s="22">
        <f t="shared" si="19"/>
        <v>580242.73</v>
      </c>
      <c r="S73" s="22">
        <f t="shared" si="20"/>
        <v>31908.85</v>
      </c>
      <c r="T73" s="22">
        <f>'2022-23 Salary &amp; Benefits'!$G$6</f>
        <v>12558.24</v>
      </c>
      <c r="U73" s="23">
        <f>'2022-23 Salary &amp; Benefits'!$H$6</f>
        <v>0.2298</v>
      </c>
      <c r="V73" s="23">
        <f>'2022-23 Salary &amp; Benefits'!$I$6</f>
        <v>0.22339999999999999</v>
      </c>
      <c r="W73" s="22">
        <f t="shared" si="21"/>
        <v>246170.92</v>
      </c>
      <c r="X73" s="22">
        <f t="shared" si="22"/>
        <v>10202.530000000001</v>
      </c>
      <c r="Y73" s="22">
        <f t="shared" si="23"/>
        <v>2279.25</v>
      </c>
      <c r="Z73" s="22">
        <f t="shared" ref="Z73:Z134" si="27">SUM(X73:Y73)</f>
        <v>12481.78</v>
      </c>
      <c r="AA73" s="22">
        <f t="shared" ref="AA73:AA134" si="28">SUM(W73,R73:S73,Z73)</f>
        <v>870804.28</v>
      </c>
    </row>
    <row r="74" spans="1:27">
      <c r="A74" s="125" t="s">
        <v>2332</v>
      </c>
      <c r="B74" s="3" t="s">
        <v>491</v>
      </c>
      <c r="C74" s="93">
        <f>IF(A74=Summary!$B$9,Summary!$G$9,0)</f>
        <v>0</v>
      </c>
      <c r="D74" s="134">
        <f>VLOOKUP(A74,AAFTE!$A:$S,3,0)</f>
        <v>1565.07</v>
      </c>
      <c r="E74" s="20">
        <f>VLOOKUP($A74,'2022-23 Salary &amp; Benefits'!$A:$I,3,)</f>
        <v>1</v>
      </c>
      <c r="F74" s="20">
        <f>VLOOKUP($A74,'2022-23 Salary &amp; Benefits'!$A:$I,4,)</f>
        <v>1.04</v>
      </c>
      <c r="G74" s="34">
        <f>VLOOKUP(A74,'CEDARS District FRPL'!$A:$C,3,)</f>
        <v>0.77259999999999995</v>
      </c>
      <c r="H74" s="25">
        <f t="shared" si="24"/>
        <v>1565.07</v>
      </c>
      <c r="I74" s="39">
        <f t="shared" si="17"/>
        <v>1209.17</v>
      </c>
      <c r="J74" s="24">
        <v>15</v>
      </c>
      <c r="K74" s="26">
        <f t="shared" si="25"/>
        <v>80.611333333333334</v>
      </c>
      <c r="L74" s="24">
        <v>2.3975</v>
      </c>
      <c r="M74" s="24">
        <v>36</v>
      </c>
      <c r="N74" s="27">
        <f t="shared" si="26"/>
        <v>6957.5641799999994</v>
      </c>
      <c r="O74" s="102">
        <f t="shared" si="18"/>
        <v>7.7309999999999999</v>
      </c>
      <c r="P74" s="21">
        <f>VLOOKUP(A74,'2022-23 Salary &amp; Benefits'!$A:$I,5,)</f>
        <v>68937</v>
      </c>
      <c r="Q74" s="21">
        <f>VLOOKUP(A74,'2022-23 Salary &amp; Benefits'!$A:$I,6,FALSE)</f>
        <v>72728</v>
      </c>
      <c r="R74" s="22">
        <f t="shared" si="19"/>
        <v>532951.94999999995</v>
      </c>
      <c r="S74" s="22">
        <f t="shared" si="20"/>
        <v>51798.62</v>
      </c>
      <c r="T74" s="22">
        <f>'2022-23 Salary &amp; Benefits'!$G$6</f>
        <v>12558.24</v>
      </c>
      <c r="U74" s="23">
        <f>'2022-23 Salary &amp; Benefits'!$H$6</f>
        <v>0.2298</v>
      </c>
      <c r="V74" s="23">
        <f>'2022-23 Salary &amp; Benefits'!$I$6</f>
        <v>0.22339999999999999</v>
      </c>
      <c r="W74" s="22">
        <f t="shared" si="21"/>
        <v>231131.92</v>
      </c>
      <c r="X74" s="22">
        <f t="shared" si="22"/>
        <v>9745.84</v>
      </c>
      <c r="Y74" s="22">
        <f t="shared" si="23"/>
        <v>2177.2199999999998</v>
      </c>
      <c r="Z74" s="22">
        <f t="shared" si="27"/>
        <v>11923.06</v>
      </c>
      <c r="AA74" s="22">
        <f t="shared" si="28"/>
        <v>827805.55</v>
      </c>
    </row>
    <row r="75" spans="1:27">
      <c r="A75" s="125" t="s">
        <v>2549</v>
      </c>
      <c r="B75" s="3" t="s">
        <v>2154</v>
      </c>
      <c r="C75" s="93">
        <f>IF(A75=Summary!$B$9,Summary!$G$9,0)</f>
        <v>0</v>
      </c>
      <c r="D75" s="134">
        <f>VLOOKUP(A75,AAFTE!$A:$S,3,0)</f>
        <v>74.8</v>
      </c>
      <c r="E75" s="20">
        <f>VLOOKUP($A75,'2022-23 Salary &amp; Benefits'!$A:$I,3,)</f>
        <v>1</v>
      </c>
      <c r="F75" s="20">
        <f>VLOOKUP($A75,'2022-23 Salary &amp; Benefits'!$A:$I,4,)</f>
        <v>1</v>
      </c>
      <c r="G75" s="34">
        <f>VLOOKUP(A75,'CEDARS District FRPL'!$A:$C,3,)</f>
        <v>0.5625</v>
      </c>
      <c r="H75" s="25">
        <f t="shared" si="24"/>
        <v>74.8</v>
      </c>
      <c r="I75" s="39">
        <f t="shared" si="17"/>
        <v>42.08</v>
      </c>
      <c r="J75" s="24">
        <v>15</v>
      </c>
      <c r="K75" s="26">
        <f t="shared" si="25"/>
        <v>2.805333333333333</v>
      </c>
      <c r="L75" s="24">
        <v>2.3975</v>
      </c>
      <c r="M75" s="24">
        <v>36</v>
      </c>
      <c r="N75" s="27">
        <f t="shared" si="26"/>
        <v>242.12831999999997</v>
      </c>
      <c r="O75" s="102">
        <f t="shared" si="18"/>
        <v>0.26900000000000002</v>
      </c>
      <c r="P75" s="21">
        <f>VLOOKUP(A75,'2022-23 Salary &amp; Benefits'!$A:$I,5,)</f>
        <v>68937</v>
      </c>
      <c r="Q75" s="21">
        <f>VLOOKUP(A75,'2022-23 Salary &amp; Benefits'!$A:$I,6,FALSE)</f>
        <v>72728</v>
      </c>
      <c r="R75" s="22">
        <f t="shared" si="19"/>
        <v>18544.05</v>
      </c>
      <c r="S75" s="22">
        <f t="shared" si="20"/>
        <v>1019.78</v>
      </c>
      <c r="T75" s="22">
        <f>'2022-23 Salary &amp; Benefits'!$G$6</f>
        <v>12558.24</v>
      </c>
      <c r="U75" s="23">
        <f>'2022-23 Salary &amp; Benefits'!$H$6</f>
        <v>0.2298</v>
      </c>
      <c r="V75" s="23">
        <f>'2022-23 Salary &amp; Benefits'!$I$6</f>
        <v>0.22339999999999999</v>
      </c>
      <c r="W75" s="22">
        <f t="shared" si="21"/>
        <v>7867.41</v>
      </c>
      <c r="X75" s="22">
        <f t="shared" si="22"/>
        <v>326.06</v>
      </c>
      <c r="Y75" s="22">
        <f t="shared" si="23"/>
        <v>72.84</v>
      </c>
      <c r="Z75" s="22">
        <f t="shared" si="27"/>
        <v>398.9</v>
      </c>
      <c r="AA75" s="22">
        <f t="shared" si="28"/>
        <v>27830.14</v>
      </c>
    </row>
    <row r="76" spans="1:27">
      <c r="A76" s="125" t="s">
        <v>2272</v>
      </c>
      <c r="B76" s="3" t="s">
        <v>102</v>
      </c>
      <c r="C76" s="93">
        <f>IF(A76=Summary!$B$9,Summary!$G$9,0)</f>
        <v>0</v>
      </c>
      <c r="D76" s="134">
        <f>VLOOKUP(A76,AAFTE!$A:$S,3,0)</f>
        <v>311.72000000000003</v>
      </c>
      <c r="E76" s="20">
        <f>VLOOKUP($A76,'2022-23 Salary &amp; Benefits'!$A:$I,3,)</f>
        <v>1</v>
      </c>
      <c r="F76" s="20">
        <f>VLOOKUP($A76,'2022-23 Salary &amp; Benefits'!$A:$I,4,)</f>
        <v>1.04</v>
      </c>
      <c r="G76" s="34">
        <f>VLOOKUP(A76,'CEDARS District FRPL'!$A:$C,3,)</f>
        <v>0.64759999999999995</v>
      </c>
      <c r="H76" s="25">
        <f t="shared" si="24"/>
        <v>311.72000000000003</v>
      </c>
      <c r="I76" s="39">
        <f t="shared" si="17"/>
        <v>201.87</v>
      </c>
      <c r="J76" s="24">
        <v>15</v>
      </c>
      <c r="K76" s="26">
        <f t="shared" si="25"/>
        <v>13.458</v>
      </c>
      <c r="L76" s="24">
        <v>2.3975</v>
      </c>
      <c r="M76" s="24">
        <v>36</v>
      </c>
      <c r="N76" s="27">
        <f t="shared" si="26"/>
        <v>1161.55998</v>
      </c>
      <c r="O76" s="102">
        <f t="shared" si="18"/>
        <v>1.2909999999999999</v>
      </c>
      <c r="P76" s="21">
        <f>VLOOKUP(A76,'2022-23 Salary &amp; Benefits'!$A:$I,5,)</f>
        <v>68937</v>
      </c>
      <c r="Q76" s="21">
        <f>VLOOKUP(A76,'2022-23 Salary &amp; Benefits'!$A:$I,6,FALSE)</f>
        <v>72728</v>
      </c>
      <c r="R76" s="22">
        <f t="shared" si="19"/>
        <v>88997.67</v>
      </c>
      <c r="S76" s="22">
        <f t="shared" si="20"/>
        <v>8649.85</v>
      </c>
      <c r="T76" s="22">
        <f>'2022-23 Salary &amp; Benefits'!$G$6</f>
        <v>12558.24</v>
      </c>
      <c r="U76" s="23">
        <f>'2022-23 Salary &amp; Benefits'!$H$6</f>
        <v>0.2298</v>
      </c>
      <c r="V76" s="23">
        <f>'2022-23 Salary &amp; Benefits'!$I$6</f>
        <v>0.22339999999999999</v>
      </c>
      <c r="W76" s="22">
        <f t="shared" si="21"/>
        <v>38596.730000000003</v>
      </c>
      <c r="X76" s="22">
        <f t="shared" si="22"/>
        <v>1627.46</v>
      </c>
      <c r="Y76" s="22">
        <f t="shared" si="23"/>
        <v>363.57</v>
      </c>
      <c r="Z76" s="22">
        <f t="shared" si="27"/>
        <v>1991.03</v>
      </c>
      <c r="AA76" s="22">
        <f t="shared" si="28"/>
        <v>138235.28</v>
      </c>
    </row>
    <row r="77" spans="1:27">
      <c r="A77" s="125" t="s">
        <v>2350</v>
      </c>
      <c r="B77" s="3" t="s">
        <v>685</v>
      </c>
      <c r="C77" s="93">
        <f>IF(A77=Summary!$B$9,Summary!$G$9,0)</f>
        <v>0</v>
      </c>
      <c r="D77" s="134">
        <f>VLOOKUP(A77,AAFTE!$A:$S,3,0)</f>
        <v>4086.68</v>
      </c>
      <c r="E77" s="20">
        <f>VLOOKUP($A77,'2022-23 Salary &amp; Benefits'!$A:$I,3,)</f>
        <v>1.1200000000000001</v>
      </c>
      <c r="F77" s="20">
        <f>VLOOKUP($A77,'2022-23 Salary &amp; Benefits'!$A:$I,4,)</f>
        <v>1.1600000000000001</v>
      </c>
      <c r="G77" s="34">
        <f>VLOOKUP(A77,'CEDARS District FRPL'!$A:$C,3,)</f>
        <v>0.29330000000000001</v>
      </c>
      <c r="H77" s="25">
        <f t="shared" si="24"/>
        <v>4086.68</v>
      </c>
      <c r="I77" s="39">
        <f t="shared" si="17"/>
        <v>1198.6199999999999</v>
      </c>
      <c r="J77" s="24">
        <v>15</v>
      </c>
      <c r="K77" s="26">
        <f t="shared" si="25"/>
        <v>79.907999999999987</v>
      </c>
      <c r="L77" s="24">
        <v>2.3975</v>
      </c>
      <c r="M77" s="24">
        <v>36</v>
      </c>
      <c r="N77" s="27">
        <f t="shared" si="26"/>
        <v>6896.8594799999992</v>
      </c>
      <c r="O77" s="102">
        <f t="shared" si="18"/>
        <v>7.6630000000000003</v>
      </c>
      <c r="P77" s="21">
        <f>VLOOKUP(A77,'2022-23 Salary &amp; Benefits'!$A:$I,5,)</f>
        <v>68937</v>
      </c>
      <c r="Q77" s="21">
        <f>VLOOKUP(A77,'2022-23 Salary &amp; Benefits'!$A:$I,6,FALSE)</f>
        <v>72728</v>
      </c>
      <c r="R77" s="22">
        <f t="shared" si="19"/>
        <v>591655.93999999994</v>
      </c>
      <c r="S77" s="22">
        <f t="shared" si="20"/>
        <v>54829.07</v>
      </c>
      <c r="T77" s="22">
        <f>'2022-23 Salary &amp; Benefits'!$G$6</f>
        <v>12558.24</v>
      </c>
      <c r="U77" s="23">
        <f>'2022-23 Salary &amp; Benefits'!$H$6</f>
        <v>0.2298</v>
      </c>
      <c r="V77" s="23">
        <f>'2022-23 Salary &amp; Benefits'!$I$6</f>
        <v>0.22339999999999999</v>
      </c>
      <c r="W77" s="22">
        <f t="shared" si="21"/>
        <v>244445.14</v>
      </c>
      <c r="X77" s="22">
        <f t="shared" si="22"/>
        <v>10774.75</v>
      </c>
      <c r="Y77" s="22">
        <f t="shared" si="23"/>
        <v>2407.08</v>
      </c>
      <c r="Z77" s="22">
        <f t="shared" si="27"/>
        <v>13181.83</v>
      </c>
      <c r="AA77" s="22">
        <f t="shared" si="28"/>
        <v>904111.97999999986</v>
      </c>
    </row>
    <row r="78" spans="1:27">
      <c r="A78" s="125" t="s">
        <v>2324</v>
      </c>
      <c r="B78" s="3" t="s">
        <v>452</v>
      </c>
      <c r="C78" s="93">
        <f>IF(A78=Summary!$B$9,Summary!$G$9,0)</f>
        <v>0</v>
      </c>
      <c r="D78" s="134">
        <f>VLOOKUP(A78,AAFTE!$A:$S,3,0)</f>
        <v>2578.62</v>
      </c>
      <c r="E78" s="20">
        <f>VLOOKUP($A78,'2022-23 Salary &amp; Benefits'!$A:$I,3,)</f>
        <v>1</v>
      </c>
      <c r="F78" s="20">
        <f>VLOOKUP($A78,'2022-23 Salary &amp; Benefits'!$A:$I,4,)</f>
        <v>1.04</v>
      </c>
      <c r="G78" s="34">
        <f>VLOOKUP(A78,'CEDARS District FRPL'!$A:$C,3,)</f>
        <v>0.56030000000000002</v>
      </c>
      <c r="H78" s="25">
        <f t="shared" si="24"/>
        <v>2578.62</v>
      </c>
      <c r="I78" s="39">
        <f t="shared" si="17"/>
        <v>1444.8</v>
      </c>
      <c r="J78" s="24">
        <v>15</v>
      </c>
      <c r="K78" s="26">
        <f t="shared" si="25"/>
        <v>96.32</v>
      </c>
      <c r="L78" s="24">
        <v>2.3975</v>
      </c>
      <c r="M78" s="24">
        <v>36</v>
      </c>
      <c r="N78" s="27">
        <f t="shared" si="26"/>
        <v>8313.3791999999994</v>
      </c>
      <c r="O78" s="102">
        <f t="shared" si="18"/>
        <v>9.2370000000000001</v>
      </c>
      <c r="P78" s="21">
        <f>VLOOKUP(A78,'2022-23 Salary &amp; Benefits'!$A:$I,5,)</f>
        <v>68937</v>
      </c>
      <c r="Q78" s="21">
        <f>VLOOKUP(A78,'2022-23 Salary &amp; Benefits'!$A:$I,6,FALSE)</f>
        <v>72728</v>
      </c>
      <c r="R78" s="22">
        <f t="shared" si="19"/>
        <v>636771.06999999995</v>
      </c>
      <c r="S78" s="22">
        <f t="shared" si="20"/>
        <v>61889.01</v>
      </c>
      <c r="T78" s="22">
        <f>'2022-23 Salary &amp; Benefits'!$G$6</f>
        <v>12558.24</v>
      </c>
      <c r="U78" s="23">
        <f>'2022-23 Salary &amp; Benefits'!$H$6</f>
        <v>0.2298</v>
      </c>
      <c r="V78" s="23">
        <f>'2022-23 Salary &amp; Benefits'!$I$6</f>
        <v>0.22339999999999999</v>
      </c>
      <c r="W78" s="22">
        <f t="shared" si="21"/>
        <v>276156.46000000002</v>
      </c>
      <c r="X78" s="22">
        <f t="shared" si="22"/>
        <v>11644.33</v>
      </c>
      <c r="Y78" s="22">
        <f t="shared" si="23"/>
        <v>2601.34</v>
      </c>
      <c r="Z78" s="22">
        <f t="shared" si="27"/>
        <v>14245.67</v>
      </c>
      <c r="AA78" s="22">
        <f t="shared" si="28"/>
        <v>989062.21000000008</v>
      </c>
    </row>
    <row r="79" spans="1:27">
      <c r="A79" s="125" t="s">
        <v>2394</v>
      </c>
      <c r="B79" s="3" t="s">
        <v>1136</v>
      </c>
      <c r="C79" s="93">
        <f>IF(A79=Summary!$B$9,Summary!$G$9,0)</f>
        <v>0</v>
      </c>
      <c r="D79" s="134">
        <f>VLOOKUP(A79,AAFTE!$A:$S,3,0)</f>
        <v>45.43</v>
      </c>
      <c r="E79" s="20">
        <f>VLOOKUP($A79,'2022-23 Salary &amp; Benefits'!$A:$I,3,)</f>
        <v>1</v>
      </c>
      <c r="F79" s="20">
        <f>VLOOKUP($A79,'2022-23 Salary &amp; Benefits'!$A:$I,4,)</f>
        <v>1</v>
      </c>
      <c r="G79" s="34">
        <f>VLOOKUP(A79,'CEDARS District FRPL'!$A:$C,3,)</f>
        <v>0.59570000000000001</v>
      </c>
      <c r="H79" s="25">
        <f t="shared" si="24"/>
        <v>45.43</v>
      </c>
      <c r="I79" s="39">
        <f t="shared" si="17"/>
        <v>27.06</v>
      </c>
      <c r="J79" s="24">
        <v>15</v>
      </c>
      <c r="K79" s="26">
        <f t="shared" si="25"/>
        <v>1.8039999999999998</v>
      </c>
      <c r="L79" s="24">
        <v>2.3975</v>
      </c>
      <c r="M79" s="24">
        <v>36</v>
      </c>
      <c r="N79" s="27">
        <f t="shared" si="26"/>
        <v>155.70323999999999</v>
      </c>
      <c r="O79" s="102">
        <f t="shared" si="18"/>
        <v>0.17299999999999999</v>
      </c>
      <c r="P79" s="21">
        <f>VLOOKUP(A79,'2022-23 Salary &amp; Benefits'!$A:$I,5,)</f>
        <v>68937</v>
      </c>
      <c r="Q79" s="21">
        <f>VLOOKUP(A79,'2022-23 Salary &amp; Benefits'!$A:$I,6,FALSE)</f>
        <v>72728</v>
      </c>
      <c r="R79" s="22">
        <f t="shared" si="19"/>
        <v>11926.1</v>
      </c>
      <c r="S79" s="22">
        <f t="shared" si="20"/>
        <v>655.84</v>
      </c>
      <c r="T79" s="22">
        <f>'2022-23 Salary &amp; Benefits'!$G$6</f>
        <v>12558.24</v>
      </c>
      <c r="U79" s="23">
        <f>'2022-23 Salary &amp; Benefits'!$H$6</f>
        <v>0.2298</v>
      </c>
      <c r="V79" s="23">
        <f>'2022-23 Salary &amp; Benefits'!$I$6</f>
        <v>0.22339999999999999</v>
      </c>
      <c r="W79" s="22">
        <f t="shared" si="21"/>
        <v>5059.71</v>
      </c>
      <c r="X79" s="22">
        <f t="shared" si="22"/>
        <v>209.7</v>
      </c>
      <c r="Y79" s="22">
        <f t="shared" si="23"/>
        <v>46.85</v>
      </c>
      <c r="Z79" s="22">
        <f t="shared" si="27"/>
        <v>256.55</v>
      </c>
      <c r="AA79" s="22">
        <f t="shared" si="28"/>
        <v>17898.2</v>
      </c>
    </row>
    <row r="80" spans="1:27">
      <c r="A80" s="125" t="s">
        <v>2472</v>
      </c>
      <c r="B80" s="3" t="s">
        <v>1594</v>
      </c>
      <c r="C80" s="93">
        <f>IF(A80=Summary!$B$9,Summary!$G$9,0)</f>
        <v>0</v>
      </c>
      <c r="D80" s="134">
        <f>VLOOKUP(A80,AAFTE!$A:$S,3,0)</f>
        <v>19761.12</v>
      </c>
      <c r="E80" s="20">
        <f>VLOOKUP($A80,'2022-23 Salary &amp; Benefits'!$A:$I,3,)</f>
        <v>1.18</v>
      </c>
      <c r="F80" s="20">
        <f>VLOOKUP($A80,'2022-23 Salary &amp; Benefits'!$A:$I,4,)</f>
        <v>1.18</v>
      </c>
      <c r="G80" s="34">
        <f>VLOOKUP(A80,'CEDARS District FRPL'!$A:$C,3,)</f>
        <v>0.38479999999999998</v>
      </c>
      <c r="H80" s="25">
        <f t="shared" si="24"/>
        <v>19761.12</v>
      </c>
      <c r="I80" s="39">
        <f t="shared" si="17"/>
        <v>7604.08</v>
      </c>
      <c r="J80" s="24">
        <v>15</v>
      </c>
      <c r="K80" s="26">
        <f t="shared" si="25"/>
        <v>506.93866666666668</v>
      </c>
      <c r="L80" s="24">
        <v>2.3975</v>
      </c>
      <c r="M80" s="24">
        <v>36</v>
      </c>
      <c r="N80" s="27">
        <f t="shared" si="26"/>
        <v>43753.876319999996</v>
      </c>
      <c r="O80" s="102">
        <f t="shared" si="18"/>
        <v>48.615000000000002</v>
      </c>
      <c r="P80" s="21">
        <f>VLOOKUP(A80,'2022-23 Salary &amp; Benefits'!$A:$I,5,)</f>
        <v>68937</v>
      </c>
      <c r="Q80" s="21">
        <f>VLOOKUP(A80,'2022-23 Salary &amp; Benefits'!$A:$I,6,FALSE)</f>
        <v>72728</v>
      </c>
      <c r="R80" s="22">
        <f t="shared" si="19"/>
        <v>3954619.26</v>
      </c>
      <c r="S80" s="22">
        <f t="shared" si="20"/>
        <v>217473.37</v>
      </c>
      <c r="T80" s="22">
        <f>'2022-23 Salary &amp; Benefits'!$G$6</f>
        <v>12558.24</v>
      </c>
      <c r="U80" s="23">
        <f>'2022-23 Salary &amp; Benefits'!$H$6</f>
        <v>0.2298</v>
      </c>
      <c r="V80" s="23">
        <f>'2022-23 Salary &amp; Benefits'!$I$6</f>
        <v>0.22339999999999999</v>
      </c>
      <c r="W80" s="22">
        <f t="shared" si="21"/>
        <v>1567873.89</v>
      </c>
      <c r="X80" s="22">
        <f t="shared" si="22"/>
        <v>69534.880000000005</v>
      </c>
      <c r="Y80" s="22">
        <f t="shared" si="23"/>
        <v>15534.09</v>
      </c>
      <c r="Z80" s="22">
        <f t="shared" si="27"/>
        <v>85068.97</v>
      </c>
      <c r="AA80" s="22">
        <f t="shared" si="28"/>
        <v>5825035.4899999993</v>
      </c>
    </row>
    <row r="81" spans="1:27">
      <c r="A81" s="125" t="s">
        <v>2288</v>
      </c>
      <c r="B81" s="3" t="s">
        <v>220</v>
      </c>
      <c r="C81" s="93">
        <f>IF(A81=Summary!$B$9,Summary!$G$9,0)</f>
        <v>0</v>
      </c>
      <c r="D81" s="134">
        <f>VLOOKUP(A81,AAFTE!$A:$S,3,0)</f>
        <v>22960.48</v>
      </c>
      <c r="E81" s="20">
        <f>VLOOKUP($A81,'2022-23 Salary &amp; Benefits'!$A:$I,3,)</f>
        <v>1.06</v>
      </c>
      <c r="F81" s="20">
        <f>VLOOKUP($A81,'2022-23 Salary &amp; Benefits'!$A:$I,4,)</f>
        <v>1.06</v>
      </c>
      <c r="G81" s="34">
        <f>VLOOKUP(A81,'CEDARS District FRPL'!$A:$C,3,)</f>
        <v>0.53939999999999999</v>
      </c>
      <c r="H81" s="25">
        <f t="shared" si="24"/>
        <v>22960.48</v>
      </c>
      <c r="I81" s="39">
        <f t="shared" si="17"/>
        <v>12384.88</v>
      </c>
      <c r="J81" s="24">
        <v>15</v>
      </c>
      <c r="K81" s="26">
        <f t="shared" si="25"/>
        <v>825.65866666666659</v>
      </c>
      <c r="L81" s="24">
        <v>2.3975</v>
      </c>
      <c r="M81" s="24">
        <v>36</v>
      </c>
      <c r="N81" s="27">
        <f t="shared" si="26"/>
        <v>71262.599519999989</v>
      </c>
      <c r="O81" s="102">
        <f t="shared" si="18"/>
        <v>79.180999999999997</v>
      </c>
      <c r="P81" s="21">
        <f>VLOOKUP(A81,'2022-23 Salary &amp; Benefits'!$A:$I,5,)</f>
        <v>68937</v>
      </c>
      <c r="Q81" s="21">
        <f>VLOOKUP(A81,'2022-23 Salary &amp; Benefits'!$A:$I,6,FALSE)</f>
        <v>72728</v>
      </c>
      <c r="R81" s="22">
        <f t="shared" si="19"/>
        <v>5786010.6299999999</v>
      </c>
      <c r="S81" s="22">
        <f t="shared" si="20"/>
        <v>318185.68</v>
      </c>
      <c r="T81" s="22">
        <f>'2022-23 Salary &amp; Benefits'!$G$6</f>
        <v>12558.24</v>
      </c>
      <c r="U81" s="23">
        <f>'2022-23 Salary &amp; Benefits'!$H$6</f>
        <v>0.2298</v>
      </c>
      <c r="V81" s="23">
        <f>'2022-23 Salary &amp; Benefits'!$I$6</f>
        <v>0.22339999999999999</v>
      </c>
      <c r="W81" s="22">
        <f t="shared" si="21"/>
        <v>2395081.9300000002</v>
      </c>
      <c r="X81" s="22">
        <f t="shared" si="22"/>
        <v>101736.61</v>
      </c>
      <c r="Y81" s="22">
        <f t="shared" si="23"/>
        <v>22727.96</v>
      </c>
      <c r="Z81" s="22">
        <f t="shared" si="27"/>
        <v>124464.57</v>
      </c>
      <c r="AA81" s="22">
        <f t="shared" si="28"/>
        <v>8623742.8100000005</v>
      </c>
    </row>
    <row r="82" spans="1:27">
      <c r="A82" s="125" t="s">
        <v>2510</v>
      </c>
      <c r="B82" s="3" t="s">
        <v>1947</v>
      </c>
      <c r="C82" s="93">
        <f>IF(A82=Summary!$B$9,Summary!$G$9,0)</f>
        <v>0</v>
      </c>
      <c r="D82" s="134">
        <f>VLOOKUP(A82,AAFTE!$A:$S,3,0)</f>
        <v>26.43</v>
      </c>
      <c r="E82" s="20">
        <f>VLOOKUP($A82,'2022-23 Salary &amp; Benefits'!$A:$I,3,)</f>
        <v>1</v>
      </c>
      <c r="F82" s="20">
        <f>VLOOKUP($A82,'2022-23 Salary &amp; Benefits'!$A:$I,4,)</f>
        <v>1</v>
      </c>
      <c r="G82" s="34">
        <f>VLOOKUP(A82,'CEDARS District FRPL'!$A:$C,3,)</f>
        <v>0.83330000000000004</v>
      </c>
      <c r="H82" s="25">
        <f t="shared" si="24"/>
        <v>26.43</v>
      </c>
      <c r="I82" s="39">
        <f t="shared" si="17"/>
        <v>22.02</v>
      </c>
      <c r="J82" s="24">
        <v>15</v>
      </c>
      <c r="K82" s="26">
        <f t="shared" si="25"/>
        <v>1.468</v>
      </c>
      <c r="L82" s="24">
        <v>2.3975</v>
      </c>
      <c r="M82" s="24">
        <v>36</v>
      </c>
      <c r="N82" s="27">
        <f t="shared" si="26"/>
        <v>126.70308</v>
      </c>
      <c r="O82" s="102">
        <f t="shared" si="18"/>
        <v>0.14099999999999999</v>
      </c>
      <c r="P82" s="21">
        <f>VLOOKUP(A82,'2022-23 Salary &amp; Benefits'!$A:$I,5,)</f>
        <v>68937</v>
      </c>
      <c r="Q82" s="21">
        <f>VLOOKUP(A82,'2022-23 Salary &amp; Benefits'!$A:$I,6,FALSE)</f>
        <v>72728</v>
      </c>
      <c r="R82" s="22">
        <f t="shared" si="19"/>
        <v>9720.1200000000008</v>
      </c>
      <c r="S82" s="22">
        <f t="shared" si="20"/>
        <v>534.53</v>
      </c>
      <c r="T82" s="22">
        <f>'2022-23 Salary &amp; Benefits'!$G$6</f>
        <v>12558.24</v>
      </c>
      <c r="U82" s="23">
        <f>'2022-23 Salary &amp; Benefits'!$H$6</f>
        <v>0.2298</v>
      </c>
      <c r="V82" s="23">
        <f>'2022-23 Salary &amp; Benefits'!$I$6</f>
        <v>0.22339999999999999</v>
      </c>
      <c r="W82" s="22">
        <f t="shared" si="21"/>
        <v>4123.8100000000004</v>
      </c>
      <c r="X82" s="22">
        <f t="shared" si="22"/>
        <v>170.91</v>
      </c>
      <c r="Y82" s="22">
        <f t="shared" si="23"/>
        <v>38.18</v>
      </c>
      <c r="Z82" s="22">
        <f t="shared" si="27"/>
        <v>209.09</v>
      </c>
      <c r="AA82" s="22">
        <f t="shared" si="28"/>
        <v>14587.550000000001</v>
      </c>
    </row>
    <row r="83" spans="1:27">
      <c r="A83" s="125" t="s">
        <v>2349</v>
      </c>
      <c r="B83" s="3" t="s">
        <v>645</v>
      </c>
      <c r="C83" s="93">
        <f>IF(A83=Summary!$B$9,Summary!$G$9,0)</f>
        <v>0</v>
      </c>
      <c r="D83" s="134">
        <f>VLOOKUP(A83,AAFTE!$A:$S,3,0)</f>
        <v>20443.560000000001</v>
      </c>
      <c r="E83" s="20">
        <f>VLOOKUP($A83,'2022-23 Salary &amp; Benefits'!$A:$I,3,)</f>
        <v>1.1200000000000001</v>
      </c>
      <c r="F83" s="20">
        <f>VLOOKUP($A83,'2022-23 Salary &amp; Benefits'!$A:$I,4,)</f>
        <v>1.1200000000000001</v>
      </c>
      <c r="G83" s="34">
        <f>VLOOKUP(A83,'CEDARS District FRPL'!$A:$C,3,)</f>
        <v>0.65649999999999997</v>
      </c>
      <c r="H83" s="25">
        <f t="shared" si="24"/>
        <v>20443.560000000001</v>
      </c>
      <c r="I83" s="39">
        <f t="shared" si="17"/>
        <v>13421.2</v>
      </c>
      <c r="J83" s="24">
        <v>15</v>
      </c>
      <c r="K83" s="26">
        <f t="shared" si="25"/>
        <v>894.74666666666667</v>
      </c>
      <c r="L83" s="24">
        <v>2.3975</v>
      </c>
      <c r="M83" s="24">
        <v>36</v>
      </c>
      <c r="N83" s="27">
        <f t="shared" si="26"/>
        <v>77225.584799999997</v>
      </c>
      <c r="O83" s="102">
        <f t="shared" si="18"/>
        <v>85.805999999999997</v>
      </c>
      <c r="P83" s="21">
        <f>VLOOKUP(A83,'2022-23 Salary &amp; Benefits'!$A:$I,5,)</f>
        <v>68937</v>
      </c>
      <c r="Q83" s="21">
        <f>VLOOKUP(A83,'2022-23 Salary &amp; Benefits'!$A:$I,6,FALSE)</f>
        <v>72728</v>
      </c>
      <c r="R83" s="22">
        <f t="shared" si="19"/>
        <v>6625033.21</v>
      </c>
      <c r="S83" s="22">
        <f t="shared" si="20"/>
        <v>364325.41</v>
      </c>
      <c r="T83" s="22">
        <f>'2022-23 Salary &amp; Benefits'!$G$6</f>
        <v>12558.24</v>
      </c>
      <c r="U83" s="23">
        <f>'2022-23 Salary &amp; Benefits'!$H$6</f>
        <v>0.2298</v>
      </c>
      <c r="V83" s="23">
        <f>'2022-23 Salary &amp; Benefits'!$I$6</f>
        <v>0.22339999999999999</v>
      </c>
      <c r="W83" s="22">
        <f t="shared" si="21"/>
        <v>2681395.27</v>
      </c>
      <c r="X83" s="22">
        <f t="shared" si="22"/>
        <v>116489.31</v>
      </c>
      <c r="Y83" s="22">
        <f t="shared" si="23"/>
        <v>26023.71</v>
      </c>
      <c r="Z83" s="22">
        <f t="shared" si="27"/>
        <v>142513.01999999999</v>
      </c>
      <c r="AA83" s="22">
        <f t="shared" si="28"/>
        <v>9813266.9100000001</v>
      </c>
    </row>
    <row r="84" spans="1:27">
      <c r="A84" s="125" t="s">
        <v>2533</v>
      </c>
      <c r="B84" s="3" t="s">
        <v>2088</v>
      </c>
      <c r="C84" s="93">
        <f>IF(A84=Summary!$B$9,Summary!$G$9,0)</f>
        <v>0</v>
      </c>
      <c r="D84" s="134">
        <f>VLOOKUP(A84,AAFTE!$A:$S,3,0)</f>
        <v>4373.3999999999996</v>
      </c>
      <c r="E84" s="20">
        <f>VLOOKUP($A84,'2022-23 Salary &amp; Benefits'!$A:$I,3,)</f>
        <v>1.0900000000000001</v>
      </c>
      <c r="F84" s="20">
        <f>VLOOKUP($A84,'2022-23 Salary &amp; Benefits'!$A:$I,4,)</f>
        <v>1.0900000000000001</v>
      </c>
      <c r="G84" s="34">
        <f>VLOOKUP(A84,'CEDARS District FRPL'!$A:$C,3,)</f>
        <v>0.48709999999999998</v>
      </c>
      <c r="H84" s="25">
        <f t="shared" si="24"/>
        <v>4373.3999999999996</v>
      </c>
      <c r="I84" s="39">
        <f t="shared" si="17"/>
        <v>2130.2800000000002</v>
      </c>
      <c r="J84" s="24">
        <v>15</v>
      </c>
      <c r="K84" s="26">
        <f t="shared" si="25"/>
        <v>142.01866666666669</v>
      </c>
      <c r="L84" s="24">
        <v>2.3975</v>
      </c>
      <c r="M84" s="24">
        <v>36</v>
      </c>
      <c r="N84" s="27">
        <f t="shared" si="26"/>
        <v>12257.631120000002</v>
      </c>
      <c r="O84" s="102">
        <f t="shared" si="18"/>
        <v>13.62</v>
      </c>
      <c r="P84" s="21">
        <f>VLOOKUP(A84,'2022-23 Salary &amp; Benefits'!$A:$I,5,)</f>
        <v>68937</v>
      </c>
      <c r="Q84" s="21">
        <f>VLOOKUP(A84,'2022-23 Salary &amp; Benefits'!$A:$I,6,FALSE)</f>
        <v>72728</v>
      </c>
      <c r="R84" s="22">
        <f t="shared" si="19"/>
        <v>1023424.91</v>
      </c>
      <c r="S84" s="22">
        <f t="shared" si="20"/>
        <v>56280.43</v>
      </c>
      <c r="T84" s="22">
        <f>'2022-23 Salary &amp; Benefits'!$G$6</f>
        <v>12558.24</v>
      </c>
      <c r="U84" s="23">
        <f>'2022-23 Salary &amp; Benefits'!$H$6</f>
        <v>0.2298</v>
      </c>
      <c r="V84" s="23">
        <f>'2022-23 Salary &amp; Benefits'!$I$6</f>
        <v>0.22339999999999999</v>
      </c>
      <c r="W84" s="22">
        <f t="shared" si="21"/>
        <v>418799.32</v>
      </c>
      <c r="X84" s="22">
        <f t="shared" si="22"/>
        <v>17995.09</v>
      </c>
      <c r="Y84" s="22">
        <f t="shared" si="23"/>
        <v>4020.1</v>
      </c>
      <c r="Z84" s="22">
        <f t="shared" si="27"/>
        <v>22015.19</v>
      </c>
      <c r="AA84" s="22">
        <f t="shared" si="28"/>
        <v>1520519.8499999999</v>
      </c>
    </row>
    <row r="85" spans="1:27">
      <c r="A85" s="125" t="s">
        <v>2452</v>
      </c>
      <c r="B85" s="3" t="s">
        <v>1516</v>
      </c>
      <c r="C85" s="93">
        <f>IF(A85=Summary!$B$9,Summary!$G$9,0)</f>
        <v>0</v>
      </c>
      <c r="D85" s="134">
        <f>VLOOKUP(A85,AAFTE!$A:$S,3,0)</f>
        <v>3706.35</v>
      </c>
      <c r="E85" s="20">
        <f>VLOOKUP($A85,'2022-23 Salary &amp; Benefits'!$A:$I,3,)</f>
        <v>1.1200000000000001</v>
      </c>
      <c r="F85" s="20">
        <f>VLOOKUP($A85,'2022-23 Salary &amp; Benefits'!$A:$I,4,)</f>
        <v>1.1200000000000001</v>
      </c>
      <c r="G85" s="34">
        <f>VLOOKUP(A85,'CEDARS District FRPL'!$A:$C,3,)</f>
        <v>0.4415</v>
      </c>
      <c r="H85" s="25">
        <f t="shared" si="24"/>
        <v>3706.35</v>
      </c>
      <c r="I85" s="39">
        <f t="shared" si="17"/>
        <v>1636.35</v>
      </c>
      <c r="J85" s="24">
        <v>15</v>
      </c>
      <c r="K85" s="26">
        <f t="shared" si="25"/>
        <v>109.08999999999999</v>
      </c>
      <c r="L85" s="24">
        <v>2.3975</v>
      </c>
      <c r="M85" s="24">
        <v>36</v>
      </c>
      <c r="N85" s="27">
        <f t="shared" si="26"/>
        <v>9415.5578999999998</v>
      </c>
      <c r="O85" s="102">
        <f t="shared" si="18"/>
        <v>10.462</v>
      </c>
      <c r="P85" s="21">
        <f>VLOOKUP(A85,'2022-23 Salary &amp; Benefits'!$A:$I,5,)</f>
        <v>68937</v>
      </c>
      <c r="Q85" s="21">
        <f>VLOOKUP(A85,'2022-23 Salary &amp; Benefits'!$A:$I,6,FALSE)</f>
        <v>72728</v>
      </c>
      <c r="R85" s="22">
        <f t="shared" si="19"/>
        <v>807765.16</v>
      </c>
      <c r="S85" s="22">
        <f t="shared" si="20"/>
        <v>44420.82</v>
      </c>
      <c r="T85" s="22">
        <f>'2022-23 Salary &amp; Benefits'!$G$6</f>
        <v>12558.24</v>
      </c>
      <c r="U85" s="23">
        <f>'2022-23 Salary &amp; Benefits'!$H$6</f>
        <v>0.2298</v>
      </c>
      <c r="V85" s="23">
        <f>'2022-23 Salary &amp; Benefits'!$I$6</f>
        <v>0.22339999999999999</v>
      </c>
      <c r="W85" s="22">
        <f t="shared" si="21"/>
        <v>326932.34999999998</v>
      </c>
      <c r="X85" s="22">
        <f t="shared" si="22"/>
        <v>14203.1</v>
      </c>
      <c r="Y85" s="22">
        <f t="shared" si="23"/>
        <v>3172.97</v>
      </c>
      <c r="Z85" s="22">
        <f t="shared" si="27"/>
        <v>17376.07</v>
      </c>
      <c r="AA85" s="22">
        <f t="shared" si="28"/>
        <v>1196494.4000000001</v>
      </c>
    </row>
    <row r="86" spans="1:27">
      <c r="A86" s="125" t="s">
        <v>2267</v>
      </c>
      <c r="B86" s="3" t="s">
        <v>67</v>
      </c>
      <c r="C86" s="93">
        <f>IF(A86=Summary!$B$9,Summary!$G$9,0)</f>
        <v>0</v>
      </c>
      <c r="D86" s="134">
        <f>VLOOKUP(A86,AAFTE!$A:$S,3,0)</f>
        <v>843.67</v>
      </c>
      <c r="E86" s="20">
        <f>VLOOKUP($A86,'2022-23 Salary &amp; Benefits'!$A:$I,3,)</f>
        <v>1</v>
      </c>
      <c r="F86" s="20">
        <f>VLOOKUP($A86,'2022-23 Salary &amp; Benefits'!$A:$I,4,)</f>
        <v>1</v>
      </c>
      <c r="G86" s="34">
        <f>VLOOKUP(A86,'CEDARS District FRPL'!$A:$C,3,)</f>
        <v>0.79310000000000003</v>
      </c>
      <c r="H86" s="25">
        <f t="shared" si="24"/>
        <v>843.67</v>
      </c>
      <c r="I86" s="39">
        <f t="shared" si="17"/>
        <v>669.11</v>
      </c>
      <c r="J86" s="24">
        <v>15</v>
      </c>
      <c r="K86" s="26">
        <f t="shared" si="25"/>
        <v>44.607333333333337</v>
      </c>
      <c r="L86" s="24">
        <v>2.3975</v>
      </c>
      <c r="M86" s="24">
        <v>36</v>
      </c>
      <c r="N86" s="27">
        <f t="shared" si="26"/>
        <v>3850.0589400000003</v>
      </c>
      <c r="O86" s="102">
        <f t="shared" si="18"/>
        <v>4.2779999999999996</v>
      </c>
      <c r="P86" s="21">
        <f>VLOOKUP(A86,'2022-23 Salary &amp; Benefits'!$A:$I,5,)</f>
        <v>68937</v>
      </c>
      <c r="Q86" s="21">
        <f>VLOOKUP(A86,'2022-23 Salary &amp; Benefits'!$A:$I,6,FALSE)</f>
        <v>72728</v>
      </c>
      <c r="R86" s="22">
        <f t="shared" si="19"/>
        <v>294912.49</v>
      </c>
      <c r="S86" s="22">
        <f t="shared" si="20"/>
        <v>16217.89</v>
      </c>
      <c r="T86" s="22">
        <f>'2022-23 Salary &amp; Benefits'!$G$6</f>
        <v>12558.24</v>
      </c>
      <c r="U86" s="23">
        <f>'2022-23 Salary &amp; Benefits'!$H$6</f>
        <v>0.2298</v>
      </c>
      <c r="V86" s="23">
        <f>'2022-23 Salary &amp; Benefits'!$I$6</f>
        <v>0.22339999999999999</v>
      </c>
      <c r="W86" s="22">
        <f t="shared" si="21"/>
        <v>125118.12</v>
      </c>
      <c r="X86" s="22">
        <f t="shared" si="22"/>
        <v>5185.51</v>
      </c>
      <c r="Y86" s="22">
        <f t="shared" si="23"/>
        <v>1158.44</v>
      </c>
      <c r="Z86" s="22">
        <f t="shared" si="27"/>
        <v>6343.9500000000007</v>
      </c>
      <c r="AA86" s="22">
        <f t="shared" si="28"/>
        <v>442592.45</v>
      </c>
    </row>
    <row r="87" spans="1:27">
      <c r="A87" s="125" t="s">
        <v>2448</v>
      </c>
      <c r="B87" s="3" t="s">
        <v>1459</v>
      </c>
      <c r="C87" s="93">
        <f>IF(A87=Summary!$B$9,Summary!$G$9,0)</f>
        <v>0</v>
      </c>
      <c r="D87" s="134">
        <f>VLOOKUP(A87,AAFTE!$A:$S,3,0)</f>
        <v>7281.76</v>
      </c>
      <c r="E87" s="20">
        <f>VLOOKUP($A87,'2022-23 Salary &amp; Benefits'!$A:$I,3,)</f>
        <v>1.06</v>
      </c>
      <c r="F87" s="20">
        <f>VLOOKUP($A87,'2022-23 Salary &amp; Benefits'!$A:$I,4,)</f>
        <v>1.06</v>
      </c>
      <c r="G87" s="34">
        <f>VLOOKUP(A87,'CEDARS District FRPL'!$A:$C,3,)</f>
        <v>0.72230000000000005</v>
      </c>
      <c r="H87" s="25">
        <f t="shared" si="24"/>
        <v>7281.76</v>
      </c>
      <c r="I87" s="39">
        <f t="shared" si="17"/>
        <v>5259.62</v>
      </c>
      <c r="J87" s="24">
        <v>15</v>
      </c>
      <c r="K87" s="26">
        <f t="shared" si="25"/>
        <v>350.64133333333331</v>
      </c>
      <c r="L87" s="24">
        <v>2.3975</v>
      </c>
      <c r="M87" s="24">
        <v>36</v>
      </c>
      <c r="N87" s="27">
        <f t="shared" si="26"/>
        <v>30263.853479999998</v>
      </c>
      <c r="O87" s="102">
        <f t="shared" si="18"/>
        <v>33.627000000000002</v>
      </c>
      <c r="P87" s="21">
        <f>VLOOKUP(A87,'2022-23 Salary &amp; Benefits'!$A:$I,5,)</f>
        <v>68937</v>
      </c>
      <c r="Q87" s="21">
        <f>VLOOKUP(A87,'2022-23 Salary &amp; Benefits'!$A:$I,6,FALSE)</f>
        <v>72728</v>
      </c>
      <c r="R87" s="22">
        <f t="shared" si="19"/>
        <v>2457233.17</v>
      </c>
      <c r="S87" s="22">
        <f t="shared" si="20"/>
        <v>135128.75</v>
      </c>
      <c r="T87" s="22">
        <f>'2022-23 Salary &amp; Benefits'!$G$6</f>
        <v>12558.24</v>
      </c>
      <c r="U87" s="23">
        <f>'2022-23 Salary &amp; Benefits'!$H$6</f>
        <v>0.2298</v>
      </c>
      <c r="V87" s="23">
        <f>'2022-23 Salary &amp; Benefits'!$I$6</f>
        <v>0.22339999999999999</v>
      </c>
      <c r="W87" s="22">
        <f t="shared" si="21"/>
        <v>1017155.88</v>
      </c>
      <c r="X87" s="22">
        <f t="shared" si="22"/>
        <v>43206.03</v>
      </c>
      <c r="Y87" s="22">
        <f t="shared" si="23"/>
        <v>9652.23</v>
      </c>
      <c r="Z87" s="22">
        <f t="shared" si="27"/>
        <v>52858.259999999995</v>
      </c>
      <c r="AA87" s="22">
        <f t="shared" si="28"/>
        <v>3662376.0599999996</v>
      </c>
    </row>
    <row r="88" spans="1:27">
      <c r="A88" s="125" t="s">
        <v>2493</v>
      </c>
      <c r="B88" s="3" t="s">
        <v>1871</v>
      </c>
      <c r="C88" s="93">
        <f>IF(A88=Summary!$B$9,Summary!$G$9,0)</f>
        <v>0</v>
      </c>
      <c r="D88" s="134">
        <f>VLOOKUP(A88,AAFTE!$A:$S,3,0)</f>
        <v>860.02</v>
      </c>
      <c r="E88" s="20">
        <f>VLOOKUP($A88,'2022-23 Salary &amp; Benefits'!$A:$I,3,)</f>
        <v>1</v>
      </c>
      <c r="F88" s="20">
        <f>VLOOKUP($A88,'2022-23 Salary &amp; Benefits'!$A:$I,4,)</f>
        <v>1.04</v>
      </c>
      <c r="G88" s="34">
        <f>VLOOKUP(A88,'CEDARS District FRPL'!$A:$C,3,)</f>
        <v>0.2238</v>
      </c>
      <c r="H88" s="25">
        <f t="shared" si="24"/>
        <v>860.02</v>
      </c>
      <c r="I88" s="39">
        <f t="shared" si="17"/>
        <v>192.47</v>
      </c>
      <c r="J88" s="24">
        <v>15</v>
      </c>
      <c r="K88" s="26">
        <f t="shared" si="25"/>
        <v>12.831333333333333</v>
      </c>
      <c r="L88" s="24">
        <v>2.3975</v>
      </c>
      <c r="M88" s="24">
        <v>36</v>
      </c>
      <c r="N88" s="27">
        <f t="shared" si="26"/>
        <v>1107.4723799999999</v>
      </c>
      <c r="O88" s="102">
        <f t="shared" si="18"/>
        <v>1.2310000000000001</v>
      </c>
      <c r="P88" s="21">
        <f>VLOOKUP(A88,'2022-23 Salary &amp; Benefits'!$A:$I,5,)</f>
        <v>68937</v>
      </c>
      <c r="Q88" s="21">
        <f>VLOOKUP(A88,'2022-23 Salary &amp; Benefits'!$A:$I,6,FALSE)</f>
        <v>72728</v>
      </c>
      <c r="R88" s="22">
        <f t="shared" si="19"/>
        <v>84861.45</v>
      </c>
      <c r="S88" s="22">
        <f t="shared" si="20"/>
        <v>8247.84</v>
      </c>
      <c r="T88" s="22">
        <f>'2022-23 Salary &amp; Benefits'!$G$6</f>
        <v>12558.24</v>
      </c>
      <c r="U88" s="23">
        <f>'2022-23 Salary &amp; Benefits'!$H$6</f>
        <v>0.2298</v>
      </c>
      <c r="V88" s="23">
        <f>'2022-23 Salary &amp; Benefits'!$I$6</f>
        <v>0.22339999999999999</v>
      </c>
      <c r="W88" s="22">
        <f t="shared" si="21"/>
        <v>36802.92</v>
      </c>
      <c r="X88" s="22">
        <f t="shared" si="22"/>
        <v>1551.82</v>
      </c>
      <c r="Y88" s="22">
        <f t="shared" si="23"/>
        <v>346.68</v>
      </c>
      <c r="Z88" s="22">
        <f t="shared" si="27"/>
        <v>1898.5</v>
      </c>
      <c r="AA88" s="22">
        <f t="shared" si="28"/>
        <v>131810.71</v>
      </c>
    </row>
    <row r="89" spans="1:27">
      <c r="A89" s="125" t="s">
        <v>2546</v>
      </c>
      <c r="B89" s="3" t="s">
        <v>2147</v>
      </c>
      <c r="C89" s="93">
        <f>IF(A89=Summary!$B$9,Summary!$G$9,0)</f>
        <v>0</v>
      </c>
      <c r="D89" s="134">
        <f>VLOOKUP(A89,AAFTE!$A:$S,3,0)</f>
        <v>105.52</v>
      </c>
      <c r="E89" s="20">
        <f>VLOOKUP($A89,'2022-23 Salary &amp; Benefits'!$A:$I,3,)</f>
        <v>1</v>
      </c>
      <c r="F89" s="20">
        <f>VLOOKUP($A89,'2022-23 Salary &amp; Benefits'!$A:$I,4,)</f>
        <v>1</v>
      </c>
      <c r="G89" s="34">
        <f>VLOOKUP(A89,'CEDARS District FRPL'!$A:$C,3,)</f>
        <v>0.52249999999999996</v>
      </c>
      <c r="H89" s="25">
        <f t="shared" si="24"/>
        <v>105.52</v>
      </c>
      <c r="I89" s="39">
        <f t="shared" si="17"/>
        <v>55.13</v>
      </c>
      <c r="J89" s="24">
        <v>15</v>
      </c>
      <c r="K89" s="26">
        <f t="shared" si="25"/>
        <v>3.6753333333333336</v>
      </c>
      <c r="L89" s="24">
        <v>2.3975</v>
      </c>
      <c r="M89" s="24">
        <v>36</v>
      </c>
      <c r="N89" s="27">
        <f t="shared" si="26"/>
        <v>317.21802000000002</v>
      </c>
      <c r="O89" s="102">
        <f t="shared" si="18"/>
        <v>0.35199999999999998</v>
      </c>
      <c r="P89" s="21">
        <f>VLOOKUP(A89,'2022-23 Salary &amp; Benefits'!$A:$I,5,)</f>
        <v>68937</v>
      </c>
      <c r="Q89" s="21">
        <f>VLOOKUP(A89,'2022-23 Salary &amp; Benefits'!$A:$I,6,FALSE)</f>
        <v>72728</v>
      </c>
      <c r="R89" s="22">
        <f t="shared" si="19"/>
        <v>24265.82</v>
      </c>
      <c r="S89" s="22">
        <f t="shared" si="20"/>
        <v>1334.44</v>
      </c>
      <c r="T89" s="22">
        <f>'2022-23 Salary &amp; Benefits'!$G$6</f>
        <v>12558.24</v>
      </c>
      <c r="U89" s="23">
        <f>'2022-23 Salary &amp; Benefits'!$H$6</f>
        <v>0.2298</v>
      </c>
      <c r="V89" s="23">
        <f>'2022-23 Salary &amp; Benefits'!$I$6</f>
        <v>0.22339999999999999</v>
      </c>
      <c r="W89" s="22">
        <f t="shared" si="21"/>
        <v>10294.9</v>
      </c>
      <c r="X89" s="22">
        <f t="shared" si="22"/>
        <v>426.67</v>
      </c>
      <c r="Y89" s="22">
        <f t="shared" si="23"/>
        <v>95.32</v>
      </c>
      <c r="Z89" s="22">
        <f t="shared" si="27"/>
        <v>521.99</v>
      </c>
      <c r="AA89" s="22">
        <f t="shared" si="28"/>
        <v>36417.15</v>
      </c>
    </row>
    <row r="90" spans="1:27">
      <c r="A90" s="125" t="s">
        <v>2387</v>
      </c>
      <c r="B90" s="3" t="s">
        <v>1113</v>
      </c>
      <c r="C90" s="93">
        <f>IF(A90=Summary!$B$9,Summary!$G$9,0)</f>
        <v>0</v>
      </c>
      <c r="D90" s="134">
        <f>VLOOKUP(A90,AAFTE!$A:$S,3,0)</f>
        <v>52.27</v>
      </c>
      <c r="E90" s="20">
        <f>VLOOKUP($A90,'2022-23 Salary &amp; Benefits'!$A:$I,3,)</f>
        <v>1</v>
      </c>
      <c r="F90" s="20">
        <f>VLOOKUP($A90,'2022-23 Salary &amp; Benefits'!$A:$I,4,)</f>
        <v>1.04</v>
      </c>
      <c r="G90" s="34">
        <f>VLOOKUP(A90,'CEDARS District FRPL'!$A:$C,3,)</f>
        <v>0.56599999999999995</v>
      </c>
      <c r="H90" s="25">
        <f t="shared" si="24"/>
        <v>52.27</v>
      </c>
      <c r="I90" s="39">
        <f t="shared" si="17"/>
        <v>29.58</v>
      </c>
      <c r="J90" s="24">
        <v>15</v>
      </c>
      <c r="K90" s="26">
        <f t="shared" si="25"/>
        <v>1.972</v>
      </c>
      <c r="L90" s="24">
        <v>2.3975</v>
      </c>
      <c r="M90" s="24">
        <v>36</v>
      </c>
      <c r="N90" s="27">
        <f t="shared" si="26"/>
        <v>170.20332000000002</v>
      </c>
      <c r="O90" s="102">
        <f t="shared" si="18"/>
        <v>0.189</v>
      </c>
      <c r="P90" s="21">
        <f>VLOOKUP(A90,'2022-23 Salary &amp; Benefits'!$A:$I,5,)</f>
        <v>68937</v>
      </c>
      <c r="Q90" s="21">
        <f>VLOOKUP(A90,'2022-23 Salary &amp; Benefits'!$A:$I,6,FALSE)</f>
        <v>72728</v>
      </c>
      <c r="R90" s="22">
        <f t="shared" si="19"/>
        <v>13029.09</v>
      </c>
      <c r="S90" s="22">
        <f t="shared" si="20"/>
        <v>1266.33</v>
      </c>
      <c r="T90" s="22">
        <f>'2022-23 Salary &amp; Benefits'!$G$6</f>
        <v>12558.24</v>
      </c>
      <c r="U90" s="23">
        <f>'2022-23 Salary &amp; Benefits'!$H$6</f>
        <v>0.2298</v>
      </c>
      <c r="V90" s="23">
        <f>'2022-23 Salary &amp; Benefits'!$I$6</f>
        <v>0.22339999999999999</v>
      </c>
      <c r="W90" s="22">
        <f t="shared" si="21"/>
        <v>5650.49</v>
      </c>
      <c r="X90" s="22">
        <f t="shared" si="22"/>
        <v>238.26</v>
      </c>
      <c r="Y90" s="22">
        <f t="shared" si="23"/>
        <v>53.23</v>
      </c>
      <c r="Z90" s="22">
        <f t="shared" si="27"/>
        <v>291.49</v>
      </c>
      <c r="AA90" s="22">
        <f t="shared" si="28"/>
        <v>20237.400000000005</v>
      </c>
    </row>
    <row r="91" spans="1:27">
      <c r="A91" s="125" t="s">
        <v>2390</v>
      </c>
      <c r="B91" s="3" t="s">
        <v>1119</v>
      </c>
      <c r="C91" s="93">
        <f>IF(A91=Summary!$B$9,Summary!$G$9,0)</f>
        <v>0</v>
      </c>
      <c r="D91" s="134">
        <f>VLOOKUP(A91,AAFTE!$A:$S,3,0)</f>
        <v>2271.36</v>
      </c>
      <c r="E91" s="20">
        <f>VLOOKUP($A91,'2022-23 Salary &amp; Benefits'!$A:$I,3,)</f>
        <v>1</v>
      </c>
      <c r="F91" s="20">
        <f>VLOOKUP($A91,'2022-23 Salary &amp; Benefits'!$A:$I,4,)</f>
        <v>1</v>
      </c>
      <c r="G91" s="34">
        <f>VLOOKUP(A91,'CEDARS District FRPL'!$A:$C,3,)</f>
        <v>0.46629999999999999</v>
      </c>
      <c r="H91" s="25">
        <f t="shared" si="24"/>
        <v>2271.36</v>
      </c>
      <c r="I91" s="39">
        <f t="shared" si="17"/>
        <v>1059.1400000000001</v>
      </c>
      <c r="J91" s="24">
        <v>15</v>
      </c>
      <c r="K91" s="26">
        <f t="shared" si="25"/>
        <v>70.609333333333339</v>
      </c>
      <c r="L91" s="24">
        <v>2.3975</v>
      </c>
      <c r="M91" s="24">
        <v>36</v>
      </c>
      <c r="N91" s="27">
        <f t="shared" si="26"/>
        <v>6094.2915599999997</v>
      </c>
      <c r="O91" s="102">
        <f t="shared" si="18"/>
        <v>6.7709999999999999</v>
      </c>
      <c r="P91" s="21">
        <f>VLOOKUP(A91,'2022-23 Salary &amp; Benefits'!$A:$I,5,)</f>
        <v>68937</v>
      </c>
      <c r="Q91" s="21">
        <f>VLOOKUP(A91,'2022-23 Salary &amp; Benefits'!$A:$I,6,FALSE)</f>
        <v>72728</v>
      </c>
      <c r="R91" s="22">
        <f t="shared" si="19"/>
        <v>466772.43</v>
      </c>
      <c r="S91" s="22">
        <f t="shared" si="20"/>
        <v>25668.86</v>
      </c>
      <c r="T91" s="22">
        <f>'2022-23 Salary &amp; Benefits'!$G$6</f>
        <v>12558.24</v>
      </c>
      <c r="U91" s="23">
        <f>'2022-23 Salary &amp; Benefits'!$H$6</f>
        <v>0.2298</v>
      </c>
      <c r="V91" s="23">
        <f>'2022-23 Salary &amp; Benefits'!$I$6</f>
        <v>0.22339999999999999</v>
      </c>
      <c r="W91" s="22">
        <f t="shared" si="21"/>
        <v>198030.57</v>
      </c>
      <c r="X91" s="22">
        <f t="shared" si="22"/>
        <v>8207.35</v>
      </c>
      <c r="Y91" s="22">
        <f t="shared" si="23"/>
        <v>1833.52</v>
      </c>
      <c r="Z91" s="22">
        <f t="shared" si="27"/>
        <v>10040.870000000001</v>
      </c>
      <c r="AA91" s="22">
        <f t="shared" si="28"/>
        <v>700512.73</v>
      </c>
    </row>
    <row r="92" spans="1:27">
      <c r="A92" s="125" t="s">
        <v>2326</v>
      </c>
      <c r="B92" s="3" t="s">
        <v>462</v>
      </c>
      <c r="C92" s="93">
        <f>IF(A92=Summary!$B$9,Summary!$G$9,0)</f>
        <v>0</v>
      </c>
      <c r="D92" s="134">
        <f>VLOOKUP(A92,AAFTE!$A:$S,3,0)</f>
        <v>717.81</v>
      </c>
      <c r="E92" s="20">
        <f>VLOOKUP($A92,'2022-23 Salary &amp; Benefits'!$A:$I,3,)</f>
        <v>1</v>
      </c>
      <c r="F92" s="20">
        <f>VLOOKUP($A92,'2022-23 Salary &amp; Benefits'!$A:$I,4,)</f>
        <v>1</v>
      </c>
      <c r="G92" s="34">
        <f>VLOOKUP(A92,'CEDARS District FRPL'!$A:$C,3,)</f>
        <v>0.73499999999999999</v>
      </c>
      <c r="H92" s="25">
        <f t="shared" si="24"/>
        <v>717.81</v>
      </c>
      <c r="I92" s="39">
        <f t="shared" si="17"/>
        <v>527.59</v>
      </c>
      <c r="J92" s="24">
        <v>15</v>
      </c>
      <c r="K92" s="26">
        <f t="shared" si="25"/>
        <v>35.172666666666672</v>
      </c>
      <c r="L92" s="24">
        <v>2.3975</v>
      </c>
      <c r="M92" s="24">
        <v>36</v>
      </c>
      <c r="N92" s="27">
        <f t="shared" si="26"/>
        <v>3035.7528600000001</v>
      </c>
      <c r="O92" s="102">
        <f t="shared" si="18"/>
        <v>3.3730000000000002</v>
      </c>
      <c r="P92" s="21">
        <f>VLOOKUP(A92,'2022-23 Salary &amp; Benefits'!$A:$I,5,)</f>
        <v>68937</v>
      </c>
      <c r="Q92" s="21">
        <f>VLOOKUP(A92,'2022-23 Salary &amp; Benefits'!$A:$I,6,FALSE)</f>
        <v>72728</v>
      </c>
      <c r="R92" s="22">
        <f t="shared" si="19"/>
        <v>232524.5</v>
      </c>
      <c r="S92" s="22">
        <f t="shared" si="20"/>
        <v>12787.04</v>
      </c>
      <c r="T92" s="22">
        <f>'2022-23 Salary &amp; Benefits'!$G$6</f>
        <v>12558.24</v>
      </c>
      <c r="U92" s="23">
        <f>'2022-23 Salary &amp; Benefits'!$H$6</f>
        <v>0.2298</v>
      </c>
      <c r="V92" s="23">
        <f>'2022-23 Salary &amp; Benefits'!$I$6</f>
        <v>0.22339999999999999</v>
      </c>
      <c r="W92" s="22">
        <f t="shared" si="21"/>
        <v>98649.7</v>
      </c>
      <c r="X92" s="22">
        <f t="shared" si="22"/>
        <v>4088.53</v>
      </c>
      <c r="Y92" s="22">
        <f t="shared" si="23"/>
        <v>913.38</v>
      </c>
      <c r="Z92" s="22">
        <f t="shared" si="27"/>
        <v>5001.91</v>
      </c>
      <c r="AA92" s="22">
        <f t="shared" si="28"/>
        <v>348963.14999999997</v>
      </c>
    </row>
    <row r="93" spans="1:27">
      <c r="A93" s="125" t="s">
        <v>2559</v>
      </c>
      <c r="B93" s="3" t="s">
        <v>2204</v>
      </c>
      <c r="C93" s="93">
        <f>IF(A93=Summary!$B$9,Summary!$G$9,0)</f>
        <v>0</v>
      </c>
      <c r="D93" s="134">
        <f>VLOOKUP(A93,AAFTE!$A:$S,3,0)</f>
        <v>3493.38</v>
      </c>
      <c r="E93" s="20">
        <f>VLOOKUP($A93,'2022-23 Salary &amp; Benefits'!$A:$I,3,)</f>
        <v>1</v>
      </c>
      <c r="F93" s="20">
        <f>VLOOKUP($A93,'2022-23 Salary &amp; Benefits'!$A:$I,4,)</f>
        <v>1</v>
      </c>
      <c r="G93" s="34">
        <f>VLOOKUP(A93,'CEDARS District FRPL'!$A:$C,3,)</f>
        <v>0.84809999999999997</v>
      </c>
      <c r="H93" s="25">
        <f t="shared" si="24"/>
        <v>3493.38</v>
      </c>
      <c r="I93" s="39">
        <f t="shared" si="17"/>
        <v>2962.74</v>
      </c>
      <c r="J93" s="24">
        <v>15</v>
      </c>
      <c r="K93" s="26">
        <f t="shared" si="25"/>
        <v>197.51599999999999</v>
      </c>
      <c r="L93" s="24">
        <v>2.3975</v>
      </c>
      <c r="M93" s="24">
        <v>36</v>
      </c>
      <c r="N93" s="27">
        <f t="shared" si="26"/>
        <v>17047.605960000001</v>
      </c>
      <c r="O93" s="102">
        <f t="shared" si="18"/>
        <v>18.942</v>
      </c>
      <c r="P93" s="21">
        <f>VLOOKUP(A93,'2022-23 Salary &amp; Benefits'!$A:$I,5,)</f>
        <v>68937</v>
      </c>
      <c r="Q93" s="21">
        <f>VLOOKUP(A93,'2022-23 Salary &amp; Benefits'!$A:$I,6,FALSE)</f>
        <v>72728</v>
      </c>
      <c r="R93" s="22">
        <f t="shared" si="19"/>
        <v>1305804.6499999999</v>
      </c>
      <c r="S93" s="22">
        <f t="shared" si="20"/>
        <v>71809.13</v>
      </c>
      <c r="T93" s="22">
        <f>'2022-23 Salary &amp; Benefits'!$G$6</f>
        <v>12558.24</v>
      </c>
      <c r="U93" s="23">
        <f>'2022-23 Salary &amp; Benefits'!$H$6</f>
        <v>0.2298</v>
      </c>
      <c r="V93" s="23">
        <f>'2022-23 Salary &amp; Benefits'!$I$6</f>
        <v>0.22339999999999999</v>
      </c>
      <c r="W93" s="22">
        <f t="shared" si="21"/>
        <v>553994.25</v>
      </c>
      <c r="X93" s="22">
        <f t="shared" si="22"/>
        <v>22960.23</v>
      </c>
      <c r="Y93" s="22">
        <f t="shared" si="23"/>
        <v>5129.32</v>
      </c>
      <c r="Z93" s="22">
        <f t="shared" si="27"/>
        <v>28089.55</v>
      </c>
      <c r="AA93" s="22">
        <f t="shared" si="28"/>
        <v>1959697.5799999998</v>
      </c>
    </row>
    <row r="94" spans="1:27">
      <c r="A94" s="125" t="s">
        <v>2563</v>
      </c>
      <c r="B94" s="3" t="s">
        <v>2232</v>
      </c>
      <c r="C94" s="93">
        <f>IF(A94=Summary!$B$9,Summary!$G$9,0)</f>
        <v>0</v>
      </c>
      <c r="D94" s="134">
        <f>VLOOKUP(A94,AAFTE!$A:$S,3,0)</f>
        <v>1452.77</v>
      </c>
      <c r="E94" s="20">
        <f>VLOOKUP($A94,'2022-23 Salary &amp; Benefits'!$A:$I,3,)</f>
        <v>1</v>
      </c>
      <c r="F94" s="20">
        <f>VLOOKUP($A94,'2022-23 Salary &amp; Benefits'!$A:$I,4,)</f>
        <v>1</v>
      </c>
      <c r="G94" s="34">
        <f>VLOOKUP(A94,'CEDARS District FRPL'!$A:$C,3,)</f>
        <v>0.90959999999999996</v>
      </c>
      <c r="H94" s="25">
        <f t="shared" si="24"/>
        <v>1452.77</v>
      </c>
      <c r="I94" s="39">
        <f t="shared" si="17"/>
        <v>1321.44</v>
      </c>
      <c r="J94" s="24">
        <v>15</v>
      </c>
      <c r="K94" s="26">
        <f t="shared" si="25"/>
        <v>88.096000000000004</v>
      </c>
      <c r="L94" s="24">
        <v>2.3975</v>
      </c>
      <c r="M94" s="24">
        <v>36</v>
      </c>
      <c r="N94" s="27">
        <f t="shared" si="26"/>
        <v>7603.5657600000004</v>
      </c>
      <c r="O94" s="102">
        <f t="shared" si="18"/>
        <v>8.4480000000000004</v>
      </c>
      <c r="P94" s="21">
        <f>VLOOKUP(A94,'2022-23 Salary &amp; Benefits'!$A:$I,5,)</f>
        <v>68937</v>
      </c>
      <c r="Q94" s="21">
        <f>VLOOKUP(A94,'2022-23 Salary &amp; Benefits'!$A:$I,6,FALSE)</f>
        <v>72728</v>
      </c>
      <c r="R94" s="22">
        <f t="shared" si="19"/>
        <v>582379.78</v>
      </c>
      <c r="S94" s="22">
        <f t="shared" si="20"/>
        <v>32026.36</v>
      </c>
      <c r="T94" s="22">
        <f>'2022-23 Salary &amp; Benefits'!$G$6</f>
        <v>12558.24</v>
      </c>
      <c r="U94" s="23">
        <f>'2022-23 Salary &amp; Benefits'!$H$6</f>
        <v>0.2298</v>
      </c>
      <c r="V94" s="23">
        <f>'2022-23 Salary &amp; Benefits'!$I$6</f>
        <v>0.22339999999999999</v>
      </c>
      <c r="W94" s="22">
        <f t="shared" si="21"/>
        <v>247077.57</v>
      </c>
      <c r="X94" s="22">
        <f t="shared" si="22"/>
        <v>10240.1</v>
      </c>
      <c r="Y94" s="22">
        <f t="shared" si="23"/>
        <v>2287.64</v>
      </c>
      <c r="Z94" s="22">
        <f t="shared" si="27"/>
        <v>12527.74</v>
      </c>
      <c r="AA94" s="22">
        <f t="shared" si="28"/>
        <v>874011.45000000007</v>
      </c>
    </row>
    <row r="95" spans="1:27">
      <c r="A95" s="125" t="s">
        <v>2484</v>
      </c>
      <c r="B95" s="3" t="s">
        <v>1754</v>
      </c>
      <c r="C95" s="93">
        <f>IF(A95=Summary!$B$9,Summary!$G$9,0)</f>
        <v>0</v>
      </c>
      <c r="D95" s="134">
        <f>VLOOKUP(A95,AAFTE!$A:$S,3,0)</f>
        <v>2176.44</v>
      </c>
      <c r="E95" s="20">
        <f>VLOOKUP($A95,'2022-23 Salary &amp; Benefits'!$A:$I,3,)</f>
        <v>1.1200000000000001</v>
      </c>
      <c r="F95" s="20">
        <f>VLOOKUP($A95,'2022-23 Salary &amp; Benefits'!$A:$I,4,)</f>
        <v>1.1200000000000001</v>
      </c>
      <c r="G95" s="34">
        <f>VLOOKUP(A95,'CEDARS District FRPL'!$A:$C,3,)</f>
        <v>0.42399999999999999</v>
      </c>
      <c r="H95" s="25">
        <f t="shared" si="24"/>
        <v>2176.44</v>
      </c>
      <c r="I95" s="39">
        <f t="shared" si="17"/>
        <v>922.81</v>
      </c>
      <c r="J95" s="24">
        <v>15</v>
      </c>
      <c r="K95" s="26">
        <f t="shared" si="25"/>
        <v>61.520666666666664</v>
      </c>
      <c r="L95" s="24">
        <v>2.3975</v>
      </c>
      <c r="M95" s="24">
        <v>36</v>
      </c>
      <c r="N95" s="27">
        <f t="shared" si="26"/>
        <v>5309.8487399999995</v>
      </c>
      <c r="O95" s="102">
        <f t="shared" si="18"/>
        <v>5.9</v>
      </c>
      <c r="P95" s="21">
        <f>VLOOKUP(A95,'2022-23 Salary &amp; Benefits'!$A:$I,5,)</f>
        <v>68937</v>
      </c>
      <c r="Q95" s="21">
        <f>VLOOKUP(A95,'2022-23 Salary &amp; Benefits'!$A:$I,6,FALSE)</f>
        <v>72728</v>
      </c>
      <c r="R95" s="22">
        <f t="shared" si="19"/>
        <v>455535.7</v>
      </c>
      <c r="S95" s="22">
        <f t="shared" si="20"/>
        <v>25050.92</v>
      </c>
      <c r="T95" s="22">
        <f>'2022-23 Salary &amp; Benefits'!$G$6</f>
        <v>12558.24</v>
      </c>
      <c r="U95" s="23">
        <f>'2022-23 Salary &amp; Benefits'!$H$6</f>
        <v>0.2298</v>
      </c>
      <c r="V95" s="23">
        <f>'2022-23 Salary &amp; Benefits'!$I$6</f>
        <v>0.22339999999999999</v>
      </c>
      <c r="W95" s="22">
        <f t="shared" si="21"/>
        <v>184372.1</v>
      </c>
      <c r="X95" s="22">
        <f t="shared" si="22"/>
        <v>8009.78</v>
      </c>
      <c r="Y95" s="22">
        <f t="shared" si="23"/>
        <v>1789.38</v>
      </c>
      <c r="Z95" s="22">
        <f t="shared" si="27"/>
        <v>9799.16</v>
      </c>
      <c r="AA95" s="22">
        <f t="shared" si="28"/>
        <v>674757.88000000012</v>
      </c>
    </row>
    <row r="96" spans="1:27">
      <c r="A96" s="125" t="s">
        <v>2415</v>
      </c>
      <c r="B96" s="3" t="s">
        <v>1206</v>
      </c>
      <c r="C96" s="93">
        <f>IF(A96=Summary!$B$9,Summary!$G$9,0)</f>
        <v>0</v>
      </c>
      <c r="D96" s="134">
        <f>VLOOKUP(A96,AAFTE!$A:$S,3,0)</f>
        <v>214.28</v>
      </c>
      <c r="E96" s="20">
        <f>VLOOKUP($A96,'2022-23 Salary &amp; Benefits'!$A:$I,3,)</f>
        <v>1</v>
      </c>
      <c r="F96" s="20">
        <f>VLOOKUP($A96,'2022-23 Salary &amp; Benefits'!$A:$I,4,)</f>
        <v>1</v>
      </c>
      <c r="G96" s="34">
        <f>VLOOKUP(A96,'CEDARS District FRPL'!$A:$C,3,)</f>
        <v>0.39439999999999997</v>
      </c>
      <c r="H96" s="25">
        <f t="shared" si="24"/>
        <v>214.28</v>
      </c>
      <c r="I96" s="39">
        <f t="shared" si="17"/>
        <v>84.51</v>
      </c>
      <c r="J96" s="24">
        <v>15</v>
      </c>
      <c r="K96" s="26">
        <f t="shared" si="25"/>
        <v>5.6340000000000003</v>
      </c>
      <c r="L96" s="24">
        <v>2.3975</v>
      </c>
      <c r="M96" s="24">
        <v>36</v>
      </c>
      <c r="N96" s="27">
        <f t="shared" si="26"/>
        <v>486.27054000000004</v>
      </c>
      <c r="O96" s="102">
        <f t="shared" si="18"/>
        <v>0.54</v>
      </c>
      <c r="P96" s="21">
        <f>VLOOKUP(A96,'2022-23 Salary &amp; Benefits'!$A:$I,5,)</f>
        <v>68937</v>
      </c>
      <c r="Q96" s="21">
        <f>VLOOKUP(A96,'2022-23 Salary &amp; Benefits'!$A:$I,6,FALSE)</f>
        <v>72728</v>
      </c>
      <c r="R96" s="22">
        <f t="shared" si="19"/>
        <v>37225.980000000003</v>
      </c>
      <c r="S96" s="22">
        <f t="shared" si="20"/>
        <v>2047.14</v>
      </c>
      <c r="T96" s="22">
        <f>'2022-23 Salary &amp; Benefits'!$G$6</f>
        <v>12558.24</v>
      </c>
      <c r="U96" s="23">
        <f>'2022-23 Salary &amp; Benefits'!$H$6</f>
        <v>0.2298</v>
      </c>
      <c r="V96" s="23">
        <f>'2022-23 Salary &amp; Benefits'!$I$6</f>
        <v>0.22339999999999999</v>
      </c>
      <c r="W96" s="22">
        <f t="shared" si="21"/>
        <v>15793.31</v>
      </c>
      <c r="X96" s="22">
        <f t="shared" si="22"/>
        <v>654.54999999999995</v>
      </c>
      <c r="Y96" s="22">
        <f t="shared" si="23"/>
        <v>146.22999999999999</v>
      </c>
      <c r="Z96" s="22">
        <f t="shared" si="27"/>
        <v>800.78</v>
      </c>
      <c r="AA96" s="22">
        <f t="shared" si="28"/>
        <v>55867.21</v>
      </c>
    </row>
    <row r="97" spans="1:27">
      <c r="A97" s="125" t="s">
        <v>2488</v>
      </c>
      <c r="B97" s="3" t="s">
        <v>1824</v>
      </c>
      <c r="C97" s="93">
        <f>IF(A97=Summary!$B$9,Summary!$G$9,0)</f>
        <v>0</v>
      </c>
      <c r="D97" s="134">
        <f>VLOOKUP(A97,AAFTE!$A:$S,3,0)</f>
        <v>28.14</v>
      </c>
      <c r="E97" s="20">
        <f>VLOOKUP($A97,'2022-23 Salary &amp; Benefits'!$A:$I,3,)</f>
        <v>1</v>
      </c>
      <c r="F97" s="20">
        <f>VLOOKUP($A97,'2022-23 Salary &amp; Benefits'!$A:$I,4,)</f>
        <v>1</v>
      </c>
      <c r="G97" s="34">
        <f>VLOOKUP(A97,'CEDARS District FRPL'!$A:$C,3,)</f>
        <v>0.43330000000000002</v>
      </c>
      <c r="H97" s="25">
        <f t="shared" si="24"/>
        <v>28.14</v>
      </c>
      <c r="I97" s="39">
        <f t="shared" si="17"/>
        <v>12.19</v>
      </c>
      <c r="J97" s="24">
        <v>15</v>
      </c>
      <c r="K97" s="26">
        <f t="shared" si="25"/>
        <v>0.81266666666666665</v>
      </c>
      <c r="L97" s="24">
        <v>2.3975</v>
      </c>
      <c r="M97" s="24">
        <v>36</v>
      </c>
      <c r="N97" s="27">
        <f t="shared" si="26"/>
        <v>70.141260000000003</v>
      </c>
      <c r="O97" s="102">
        <f t="shared" si="18"/>
        <v>7.8E-2</v>
      </c>
      <c r="P97" s="21">
        <f>VLOOKUP(A97,'2022-23 Salary &amp; Benefits'!$A:$I,5,)</f>
        <v>68937</v>
      </c>
      <c r="Q97" s="21">
        <f>VLOOKUP(A97,'2022-23 Salary &amp; Benefits'!$A:$I,6,FALSE)</f>
        <v>72728</v>
      </c>
      <c r="R97" s="22">
        <f t="shared" si="19"/>
        <v>5377.09</v>
      </c>
      <c r="S97" s="22">
        <f t="shared" si="20"/>
        <v>295.69</v>
      </c>
      <c r="T97" s="22">
        <f>'2022-23 Salary &amp; Benefits'!$G$6</f>
        <v>12558.24</v>
      </c>
      <c r="U97" s="23">
        <f>'2022-23 Salary &amp; Benefits'!$H$6</f>
        <v>0.2298</v>
      </c>
      <c r="V97" s="23">
        <f>'2022-23 Salary &amp; Benefits'!$I$6</f>
        <v>0.22339999999999999</v>
      </c>
      <c r="W97" s="22">
        <f t="shared" si="21"/>
        <v>2281.2600000000002</v>
      </c>
      <c r="X97" s="22">
        <f t="shared" si="22"/>
        <v>94.55</v>
      </c>
      <c r="Y97" s="22">
        <f t="shared" si="23"/>
        <v>21.12</v>
      </c>
      <c r="Z97" s="22">
        <f t="shared" si="27"/>
        <v>115.67</v>
      </c>
      <c r="AA97" s="22">
        <f t="shared" si="28"/>
        <v>8069.71</v>
      </c>
    </row>
    <row r="98" spans="1:27">
      <c r="A98" s="125" t="s">
        <v>2286</v>
      </c>
      <c r="B98" s="3" t="s">
        <v>211</v>
      </c>
      <c r="C98" s="93">
        <f>IF(A98=Summary!$B$9,Summary!$G$9,0)</f>
        <v>0</v>
      </c>
      <c r="D98" s="134">
        <f>VLOOKUP(A98,AAFTE!$A:$S,3,0)</f>
        <v>153.29</v>
      </c>
      <c r="E98" s="20">
        <f>VLOOKUP($A98,'2022-23 Salary &amp; Benefits'!$A:$I,3,)</f>
        <v>1</v>
      </c>
      <c r="F98" s="20">
        <f>VLOOKUP($A98,'2022-23 Salary &amp; Benefits'!$A:$I,4,)</f>
        <v>1</v>
      </c>
      <c r="G98" s="34">
        <f>VLOOKUP(A98,'CEDARS District FRPL'!$A:$C,3,)</f>
        <v>0.31580000000000003</v>
      </c>
      <c r="H98" s="25">
        <f t="shared" si="24"/>
        <v>153.29</v>
      </c>
      <c r="I98" s="39">
        <f t="shared" si="17"/>
        <v>48.41</v>
      </c>
      <c r="J98" s="24">
        <v>15</v>
      </c>
      <c r="K98" s="26">
        <f t="shared" si="25"/>
        <v>3.2273333333333332</v>
      </c>
      <c r="L98" s="24">
        <v>2.3975</v>
      </c>
      <c r="M98" s="24">
        <v>36</v>
      </c>
      <c r="N98" s="27">
        <f t="shared" si="26"/>
        <v>278.55113999999998</v>
      </c>
      <c r="O98" s="102">
        <f t="shared" si="18"/>
        <v>0.31</v>
      </c>
      <c r="P98" s="21">
        <f>VLOOKUP(A98,'2022-23 Salary &amp; Benefits'!$A:$I,5,)</f>
        <v>68937</v>
      </c>
      <c r="Q98" s="21">
        <f>VLOOKUP(A98,'2022-23 Salary &amp; Benefits'!$A:$I,6,FALSE)</f>
        <v>72728</v>
      </c>
      <c r="R98" s="22">
        <f t="shared" si="19"/>
        <v>21370.47</v>
      </c>
      <c r="S98" s="22">
        <f t="shared" si="20"/>
        <v>1175.21</v>
      </c>
      <c r="T98" s="22">
        <f>'2022-23 Salary &amp; Benefits'!$G$6</f>
        <v>12558.24</v>
      </c>
      <c r="U98" s="23">
        <f>'2022-23 Salary &amp; Benefits'!$H$6</f>
        <v>0.2298</v>
      </c>
      <c r="V98" s="23">
        <f>'2022-23 Salary &amp; Benefits'!$I$6</f>
        <v>0.22339999999999999</v>
      </c>
      <c r="W98" s="22">
        <f t="shared" si="21"/>
        <v>9066.5300000000007</v>
      </c>
      <c r="X98" s="22">
        <f t="shared" si="22"/>
        <v>375.76</v>
      </c>
      <c r="Y98" s="22">
        <f t="shared" si="23"/>
        <v>83.94</v>
      </c>
      <c r="Z98" s="22">
        <f t="shared" si="27"/>
        <v>459.7</v>
      </c>
      <c r="AA98" s="22">
        <f t="shared" si="28"/>
        <v>32071.91</v>
      </c>
    </row>
    <row r="99" spans="1:27">
      <c r="A99" s="126" t="s">
        <v>2520</v>
      </c>
      <c r="B99" s="3" t="s">
        <v>2023</v>
      </c>
      <c r="C99" s="93">
        <f>IF(A99=Summary!$B$9,Summary!$G$9,0)</f>
        <v>0</v>
      </c>
      <c r="D99" s="134">
        <f>VLOOKUP(A99,AAFTE!$A:$S,3,0)</f>
        <v>603</v>
      </c>
      <c r="E99" s="20">
        <f>VLOOKUP($A99,'2022-23 Salary &amp; Benefits'!$A:$I,3,)</f>
        <v>1</v>
      </c>
      <c r="F99" s="20">
        <f>VLOOKUP($A99,'2022-23 Salary &amp; Benefits'!$A:$I,4,)</f>
        <v>1</v>
      </c>
      <c r="G99" s="34">
        <f>VLOOKUP(A99,'CEDARS District FRPL'!$A:$C,3,)</f>
        <v>0.17130000000000001</v>
      </c>
      <c r="H99" s="25">
        <f t="shared" si="24"/>
        <v>603</v>
      </c>
      <c r="I99" s="39">
        <f t="shared" si="17"/>
        <v>103.29</v>
      </c>
      <c r="J99" s="24">
        <v>15</v>
      </c>
      <c r="K99" s="26">
        <f t="shared" si="25"/>
        <v>6.8860000000000001</v>
      </c>
      <c r="L99" s="24">
        <v>2.3975</v>
      </c>
      <c r="M99" s="24">
        <v>36</v>
      </c>
      <c r="N99" s="27">
        <f t="shared" si="26"/>
        <v>594.33065999999997</v>
      </c>
      <c r="O99" s="102">
        <f t="shared" si="18"/>
        <v>0.66</v>
      </c>
      <c r="P99" s="21">
        <f>VLOOKUP(A99,'2022-23 Salary &amp; Benefits'!$A:$I,5,)</f>
        <v>68937</v>
      </c>
      <c r="Q99" s="21">
        <f>VLOOKUP(A99,'2022-23 Salary &amp; Benefits'!$A:$I,6,FALSE)</f>
        <v>72728</v>
      </c>
      <c r="R99" s="22">
        <f t="shared" si="19"/>
        <v>45498.42</v>
      </c>
      <c r="S99" s="22">
        <f t="shared" si="20"/>
        <v>2502.06</v>
      </c>
      <c r="T99" s="22">
        <f>'2022-23 Salary &amp; Benefits'!$G$6</f>
        <v>12558.24</v>
      </c>
      <c r="U99" s="23">
        <f>'2022-23 Salary &amp; Benefits'!$H$6</f>
        <v>0.2298</v>
      </c>
      <c r="V99" s="23">
        <f>'2022-23 Salary &amp; Benefits'!$I$6</f>
        <v>0.22339999999999999</v>
      </c>
      <c r="W99" s="22">
        <f t="shared" si="21"/>
        <v>19302.939999999999</v>
      </c>
      <c r="X99" s="22">
        <f t="shared" si="22"/>
        <v>800.01</v>
      </c>
      <c r="Y99" s="22">
        <f t="shared" si="23"/>
        <v>178.72</v>
      </c>
      <c r="Z99" s="22">
        <f t="shared" si="27"/>
        <v>978.73</v>
      </c>
      <c r="AA99" s="22">
        <f t="shared" si="28"/>
        <v>68282.149999999994</v>
      </c>
    </row>
    <row r="100" spans="1:27">
      <c r="A100" s="125" t="s">
        <v>2412</v>
      </c>
      <c r="B100" s="3" t="s">
        <v>1198</v>
      </c>
      <c r="C100" s="93">
        <f>IF(A100=Summary!$B$9,Summary!$G$9,0)</f>
        <v>0</v>
      </c>
      <c r="D100" s="134">
        <f>VLOOKUP(A100,AAFTE!$A:$S,3,0)</f>
        <v>111.84</v>
      </c>
      <c r="E100" s="20">
        <f>VLOOKUP($A100,'2022-23 Salary &amp; Benefits'!$A:$I,3,)</f>
        <v>1</v>
      </c>
      <c r="F100" s="20">
        <f>VLOOKUP($A100,'2022-23 Salary &amp; Benefits'!$A:$I,4,)</f>
        <v>1.04</v>
      </c>
      <c r="G100" s="34">
        <f>VLOOKUP(A100,'CEDARS District FRPL'!$A:$C,3,)</f>
        <v>0.52</v>
      </c>
      <c r="H100" s="25">
        <f t="shared" si="24"/>
        <v>111.84</v>
      </c>
      <c r="I100" s="39">
        <f t="shared" si="17"/>
        <v>58.16</v>
      </c>
      <c r="J100" s="24">
        <v>15</v>
      </c>
      <c r="K100" s="26">
        <f t="shared" si="25"/>
        <v>3.8773333333333331</v>
      </c>
      <c r="L100" s="24">
        <v>2.3975</v>
      </c>
      <c r="M100" s="24">
        <v>36</v>
      </c>
      <c r="N100" s="27">
        <f t="shared" si="26"/>
        <v>334.65263999999996</v>
      </c>
      <c r="O100" s="102">
        <f t="shared" si="18"/>
        <v>0.372</v>
      </c>
      <c r="P100" s="21">
        <f>VLOOKUP(A100,'2022-23 Salary &amp; Benefits'!$A:$I,5,)</f>
        <v>68937</v>
      </c>
      <c r="Q100" s="21">
        <f>VLOOKUP(A100,'2022-23 Salary &amp; Benefits'!$A:$I,6,FALSE)</f>
        <v>72728</v>
      </c>
      <c r="R100" s="22">
        <f t="shared" si="19"/>
        <v>25644.560000000001</v>
      </c>
      <c r="S100" s="22">
        <f t="shared" si="20"/>
        <v>2492.4499999999998</v>
      </c>
      <c r="T100" s="22">
        <f>'2022-23 Salary &amp; Benefits'!$G$6</f>
        <v>12558.24</v>
      </c>
      <c r="U100" s="23">
        <f>'2022-23 Salary &amp; Benefits'!$H$6</f>
        <v>0.2298</v>
      </c>
      <c r="V100" s="23">
        <f>'2022-23 Salary &amp; Benefits'!$I$6</f>
        <v>0.22339999999999999</v>
      </c>
      <c r="W100" s="22">
        <f t="shared" si="21"/>
        <v>11121.6</v>
      </c>
      <c r="X100" s="22">
        <f t="shared" si="22"/>
        <v>468.95</v>
      </c>
      <c r="Y100" s="22">
        <f t="shared" si="23"/>
        <v>104.76</v>
      </c>
      <c r="Z100" s="22">
        <f t="shared" si="27"/>
        <v>573.71</v>
      </c>
      <c r="AA100" s="22">
        <f t="shared" si="28"/>
        <v>39832.32</v>
      </c>
    </row>
    <row r="101" spans="1:27">
      <c r="A101" s="125" t="s">
        <v>2562</v>
      </c>
      <c r="B101" s="3" t="s">
        <v>2227</v>
      </c>
      <c r="C101" s="93">
        <f>IF(A101=Summary!$B$9,Summary!$G$9,0)</f>
        <v>0</v>
      </c>
      <c r="D101" s="134">
        <f>VLOOKUP(A101,AAFTE!$A:$S,3,0)</f>
        <v>1032.1300000000001</v>
      </c>
      <c r="E101" s="20">
        <f>VLOOKUP($A101,'2022-23 Salary &amp; Benefits'!$A:$I,3,)</f>
        <v>1</v>
      </c>
      <c r="F101" s="20">
        <f>VLOOKUP($A101,'2022-23 Salary &amp; Benefits'!$A:$I,4,)</f>
        <v>1</v>
      </c>
      <c r="G101" s="34">
        <f>VLOOKUP(A101,'CEDARS District FRPL'!$A:$C,3,)</f>
        <v>0.80530000000000002</v>
      </c>
      <c r="H101" s="25">
        <f t="shared" si="24"/>
        <v>1032.1300000000001</v>
      </c>
      <c r="I101" s="39">
        <f t="shared" si="17"/>
        <v>831.17</v>
      </c>
      <c r="J101" s="24">
        <v>15</v>
      </c>
      <c r="K101" s="26">
        <f t="shared" si="25"/>
        <v>55.411333333333332</v>
      </c>
      <c r="L101" s="24">
        <v>2.3975</v>
      </c>
      <c r="M101" s="24">
        <v>36</v>
      </c>
      <c r="N101" s="27">
        <f t="shared" si="26"/>
        <v>4782.5521799999997</v>
      </c>
      <c r="O101" s="102">
        <f t="shared" si="18"/>
        <v>5.3140000000000001</v>
      </c>
      <c r="P101" s="21">
        <f>VLOOKUP(A101,'2022-23 Salary &amp; Benefits'!$A:$I,5,)</f>
        <v>68937</v>
      </c>
      <c r="Q101" s="21">
        <f>VLOOKUP(A101,'2022-23 Salary &amp; Benefits'!$A:$I,6,FALSE)</f>
        <v>72728</v>
      </c>
      <c r="R101" s="22">
        <f t="shared" si="19"/>
        <v>366331.22</v>
      </c>
      <c r="S101" s="22">
        <f t="shared" si="20"/>
        <v>20145.37</v>
      </c>
      <c r="T101" s="22">
        <f>'2022-23 Salary &amp; Benefits'!$G$6</f>
        <v>12558.24</v>
      </c>
      <c r="U101" s="23">
        <f>'2022-23 Salary &amp; Benefits'!$H$6</f>
        <v>0.2298</v>
      </c>
      <c r="V101" s="23">
        <f>'2022-23 Salary &amp; Benefits'!$I$6</f>
        <v>0.22339999999999999</v>
      </c>
      <c r="W101" s="22">
        <f t="shared" si="21"/>
        <v>155417.88</v>
      </c>
      <c r="X101" s="22">
        <f t="shared" si="22"/>
        <v>6441.28</v>
      </c>
      <c r="Y101" s="22">
        <f t="shared" si="23"/>
        <v>1438.98</v>
      </c>
      <c r="Z101" s="22">
        <f t="shared" si="27"/>
        <v>7880.26</v>
      </c>
      <c r="AA101" s="22">
        <f t="shared" si="28"/>
        <v>549774.73</v>
      </c>
    </row>
    <row r="102" spans="1:27">
      <c r="A102" s="125" t="s">
        <v>2352</v>
      </c>
      <c r="B102" s="3" t="s">
        <v>702</v>
      </c>
      <c r="C102" s="93">
        <f>IF(A102=Summary!$B$9,Summary!$G$9,0)</f>
        <v>0</v>
      </c>
      <c r="D102" s="134">
        <f>VLOOKUP(A102,AAFTE!$A:$S,3,0)</f>
        <v>17725.89</v>
      </c>
      <c r="E102" s="20">
        <f>VLOOKUP($A102,'2022-23 Salary &amp; Benefits'!$A:$I,3,)</f>
        <v>1.18</v>
      </c>
      <c r="F102" s="20">
        <f>VLOOKUP($A102,'2022-23 Salary &amp; Benefits'!$A:$I,4,)</f>
        <v>1.18</v>
      </c>
      <c r="G102" s="34">
        <f>VLOOKUP(A102,'CEDARS District FRPL'!$A:$C,3,)</f>
        <v>0.70820000000000005</v>
      </c>
      <c r="H102" s="25">
        <f t="shared" si="24"/>
        <v>17725.89</v>
      </c>
      <c r="I102" s="39">
        <f t="shared" si="17"/>
        <v>12553.48</v>
      </c>
      <c r="J102" s="24">
        <v>15</v>
      </c>
      <c r="K102" s="26">
        <f t="shared" si="25"/>
        <v>836.8986666666666</v>
      </c>
      <c r="L102" s="24">
        <v>2.3975</v>
      </c>
      <c r="M102" s="24">
        <v>36</v>
      </c>
      <c r="N102" s="27">
        <f t="shared" si="26"/>
        <v>72232.723919999989</v>
      </c>
      <c r="O102" s="102">
        <f t="shared" si="18"/>
        <v>80.259</v>
      </c>
      <c r="P102" s="21">
        <f>VLOOKUP(A102,'2022-23 Salary &amp; Benefits'!$A:$I,5,)</f>
        <v>68937</v>
      </c>
      <c r="Q102" s="21">
        <f>VLOOKUP(A102,'2022-23 Salary &amp; Benefits'!$A:$I,6,FALSE)</f>
        <v>72728</v>
      </c>
      <c r="R102" s="22">
        <f t="shared" si="19"/>
        <v>6528721.3300000001</v>
      </c>
      <c r="S102" s="22">
        <f t="shared" si="20"/>
        <v>359029</v>
      </c>
      <c r="T102" s="22">
        <f>'2022-23 Salary &amp; Benefits'!$G$6</f>
        <v>12558.24</v>
      </c>
      <c r="U102" s="23">
        <f>'2022-23 Salary &amp; Benefits'!$H$6</f>
        <v>0.2298</v>
      </c>
      <c r="V102" s="23">
        <f>'2022-23 Salary &amp; Benefits'!$I$6</f>
        <v>0.22339999999999999</v>
      </c>
      <c r="W102" s="22">
        <f t="shared" si="21"/>
        <v>2588419.02</v>
      </c>
      <c r="X102" s="22">
        <f t="shared" si="22"/>
        <v>114795.84</v>
      </c>
      <c r="Y102" s="22">
        <f t="shared" si="23"/>
        <v>25645.39</v>
      </c>
      <c r="Z102" s="22">
        <f t="shared" si="27"/>
        <v>140441.22999999998</v>
      </c>
      <c r="AA102" s="22">
        <f t="shared" si="28"/>
        <v>9616610.5800000001</v>
      </c>
    </row>
    <row r="103" spans="1:27">
      <c r="A103" s="125" t="s">
        <v>2284</v>
      </c>
      <c r="B103" s="3" t="s">
        <v>202</v>
      </c>
      <c r="C103" s="93">
        <f>IF(A103=Summary!$B$9,Summary!$G$9,0)</f>
        <v>0</v>
      </c>
      <c r="D103" s="134">
        <f>VLOOKUP(A103,AAFTE!$A:$S,3,0)</f>
        <v>1917</v>
      </c>
      <c r="E103" s="20">
        <f>VLOOKUP($A103,'2022-23 Salary &amp; Benefits'!$A:$I,3,)</f>
        <v>1.06</v>
      </c>
      <c r="F103" s="20">
        <f>VLOOKUP($A103,'2022-23 Salary &amp; Benefits'!$A:$I,4,)</f>
        <v>1.06</v>
      </c>
      <c r="G103" s="34">
        <f>VLOOKUP(A103,'CEDARS District FRPL'!$A:$C,3,)</f>
        <v>0.18140000000000001</v>
      </c>
      <c r="H103" s="25">
        <f t="shared" si="24"/>
        <v>1917</v>
      </c>
      <c r="I103" s="39">
        <f t="shared" si="17"/>
        <v>347.74</v>
      </c>
      <c r="J103" s="24">
        <v>15</v>
      </c>
      <c r="K103" s="26">
        <f t="shared" si="25"/>
        <v>23.182666666666666</v>
      </c>
      <c r="L103" s="24">
        <v>2.3975</v>
      </c>
      <c r="M103" s="24">
        <v>36</v>
      </c>
      <c r="N103" s="27">
        <f t="shared" si="26"/>
        <v>2000.8959599999998</v>
      </c>
      <c r="O103" s="102">
        <f t="shared" si="18"/>
        <v>2.2229999999999999</v>
      </c>
      <c r="P103" s="21">
        <f>VLOOKUP(A103,'2022-23 Salary &amp; Benefits'!$A:$I,5,)</f>
        <v>68937</v>
      </c>
      <c r="Q103" s="21">
        <f>VLOOKUP(A103,'2022-23 Salary &amp; Benefits'!$A:$I,6,FALSE)</f>
        <v>72728</v>
      </c>
      <c r="R103" s="22">
        <f t="shared" si="19"/>
        <v>162441.76999999999</v>
      </c>
      <c r="S103" s="22">
        <f t="shared" si="20"/>
        <v>8933.0300000000007</v>
      </c>
      <c r="T103" s="22">
        <f>'2022-23 Salary &amp; Benefits'!$G$6</f>
        <v>12558.24</v>
      </c>
      <c r="U103" s="23">
        <f>'2022-23 Salary &amp; Benefits'!$H$6</f>
        <v>0.2298</v>
      </c>
      <c r="V103" s="23">
        <f>'2022-23 Salary &amp; Benefits'!$I$6</f>
        <v>0.22339999999999999</v>
      </c>
      <c r="W103" s="22">
        <f t="shared" si="21"/>
        <v>67241.73</v>
      </c>
      <c r="X103" s="22">
        <f t="shared" si="22"/>
        <v>2856.25</v>
      </c>
      <c r="Y103" s="22">
        <f t="shared" si="23"/>
        <v>638.09</v>
      </c>
      <c r="Z103" s="22">
        <f t="shared" si="27"/>
        <v>3494.34</v>
      </c>
      <c r="AA103" s="22">
        <f t="shared" si="28"/>
        <v>242110.87</v>
      </c>
    </row>
    <row r="104" spans="1:27">
      <c r="A104" s="125" t="s">
        <v>2420</v>
      </c>
      <c r="B104" s="3" t="s">
        <v>1224</v>
      </c>
      <c r="C104" s="93">
        <f>IF(A104=Summary!$B$9,Summary!$G$9,0)</f>
        <v>0</v>
      </c>
      <c r="D104" s="134">
        <f>VLOOKUP(A104,AAFTE!$A:$S,3,0)</f>
        <v>304.72000000000003</v>
      </c>
      <c r="E104" s="20">
        <f>VLOOKUP($A104,'2022-23 Salary &amp; Benefits'!$A:$I,3,)</f>
        <v>1</v>
      </c>
      <c r="F104" s="20">
        <f>VLOOKUP($A104,'2022-23 Salary &amp; Benefits'!$A:$I,4,)</f>
        <v>1</v>
      </c>
      <c r="G104" s="34">
        <f>VLOOKUP(A104,'CEDARS District FRPL'!$A:$C,3,)</f>
        <v>0.80200000000000005</v>
      </c>
      <c r="H104" s="25">
        <f t="shared" si="24"/>
        <v>304.72000000000003</v>
      </c>
      <c r="I104" s="39">
        <f t="shared" si="17"/>
        <v>244.39</v>
      </c>
      <c r="J104" s="24">
        <v>15</v>
      </c>
      <c r="K104" s="26">
        <f t="shared" si="25"/>
        <v>16.292666666666666</v>
      </c>
      <c r="L104" s="24">
        <v>2.3975</v>
      </c>
      <c r="M104" s="24">
        <v>36</v>
      </c>
      <c r="N104" s="27">
        <f t="shared" si="26"/>
        <v>1406.2200599999999</v>
      </c>
      <c r="O104" s="102">
        <f t="shared" si="18"/>
        <v>1.5620000000000001</v>
      </c>
      <c r="P104" s="21">
        <f>VLOOKUP(A104,'2022-23 Salary &amp; Benefits'!$A:$I,5,)</f>
        <v>68937</v>
      </c>
      <c r="Q104" s="21">
        <f>VLOOKUP(A104,'2022-23 Salary &amp; Benefits'!$A:$I,6,FALSE)</f>
        <v>72728</v>
      </c>
      <c r="R104" s="22">
        <f t="shared" si="19"/>
        <v>107679.59</v>
      </c>
      <c r="S104" s="22">
        <f t="shared" si="20"/>
        <v>5921.55</v>
      </c>
      <c r="T104" s="22">
        <f>'2022-23 Salary &amp; Benefits'!$G$6</f>
        <v>12558.24</v>
      </c>
      <c r="U104" s="23">
        <f>'2022-23 Salary &amp; Benefits'!$H$6</f>
        <v>0.2298</v>
      </c>
      <c r="V104" s="23">
        <f>'2022-23 Salary &amp; Benefits'!$I$6</f>
        <v>0.22339999999999999</v>
      </c>
      <c r="W104" s="22">
        <f t="shared" si="21"/>
        <v>45683.61</v>
      </c>
      <c r="X104" s="22">
        <f t="shared" si="22"/>
        <v>1893.35</v>
      </c>
      <c r="Y104" s="22">
        <f t="shared" si="23"/>
        <v>422.97</v>
      </c>
      <c r="Z104" s="22">
        <f t="shared" si="27"/>
        <v>2316.3199999999997</v>
      </c>
      <c r="AA104" s="22">
        <f t="shared" si="28"/>
        <v>161601.07</v>
      </c>
    </row>
    <row r="105" spans="1:27">
      <c r="A105" s="125" t="s">
        <v>2328</v>
      </c>
      <c r="B105" s="3" t="s">
        <v>474</v>
      </c>
      <c r="C105" s="93">
        <f>IF(A105=Summary!$B$9,Summary!$G$9,0)</f>
        <v>0</v>
      </c>
      <c r="D105" s="134">
        <f>VLOOKUP(A105,AAFTE!$A:$S,3,0)</f>
        <v>1567</v>
      </c>
      <c r="E105" s="20">
        <f>VLOOKUP($A105,'2022-23 Salary &amp; Benefits'!$A:$I,3,)</f>
        <v>1</v>
      </c>
      <c r="F105" s="20">
        <f>VLOOKUP($A105,'2022-23 Salary &amp; Benefits'!$A:$I,4,)</f>
        <v>1</v>
      </c>
      <c r="G105" s="34">
        <f>VLOOKUP(A105,'CEDARS District FRPL'!$A:$C,3,)</f>
        <v>0.76549999999999996</v>
      </c>
      <c r="H105" s="25">
        <f t="shared" si="24"/>
        <v>1567</v>
      </c>
      <c r="I105" s="39">
        <f t="shared" si="17"/>
        <v>1199.54</v>
      </c>
      <c r="J105" s="24">
        <v>15</v>
      </c>
      <c r="K105" s="26">
        <f t="shared" si="25"/>
        <v>79.969333333333324</v>
      </c>
      <c r="L105" s="24">
        <v>2.3975</v>
      </c>
      <c r="M105" s="24">
        <v>36</v>
      </c>
      <c r="N105" s="27">
        <f t="shared" si="26"/>
        <v>6902.1531599999998</v>
      </c>
      <c r="O105" s="102">
        <f t="shared" si="18"/>
        <v>7.6689999999999996</v>
      </c>
      <c r="P105" s="21">
        <f>VLOOKUP(A105,'2022-23 Salary &amp; Benefits'!$A:$I,5,)</f>
        <v>68937</v>
      </c>
      <c r="Q105" s="21">
        <f>VLOOKUP(A105,'2022-23 Salary &amp; Benefits'!$A:$I,6,FALSE)</f>
        <v>72728</v>
      </c>
      <c r="R105" s="22">
        <f t="shared" si="19"/>
        <v>528677.85</v>
      </c>
      <c r="S105" s="22">
        <f t="shared" si="20"/>
        <v>29073.18</v>
      </c>
      <c r="T105" s="22">
        <f>'2022-23 Salary &amp; Benefits'!$G$6</f>
        <v>12558.24</v>
      </c>
      <c r="U105" s="23">
        <f>'2022-23 Salary &amp; Benefits'!$H$6</f>
        <v>0.2298</v>
      </c>
      <c r="V105" s="23">
        <f>'2022-23 Salary &amp; Benefits'!$I$6</f>
        <v>0.22339999999999999</v>
      </c>
      <c r="W105" s="22">
        <f t="shared" si="21"/>
        <v>224294.26</v>
      </c>
      <c r="X105" s="22">
        <f t="shared" si="22"/>
        <v>9295.85</v>
      </c>
      <c r="Y105" s="22">
        <f t="shared" si="23"/>
        <v>2076.69</v>
      </c>
      <c r="Z105" s="22">
        <f t="shared" si="27"/>
        <v>11372.54</v>
      </c>
      <c r="AA105" s="22">
        <f t="shared" si="28"/>
        <v>793417.83000000007</v>
      </c>
    </row>
    <row r="106" spans="1:27">
      <c r="A106" s="125" t="s">
        <v>2708</v>
      </c>
      <c r="B106" s="96" t="s">
        <v>2885</v>
      </c>
      <c r="C106" s="93">
        <f>IF(A106=Summary!$B$9,Summary!$G$9,0)</f>
        <v>0</v>
      </c>
      <c r="D106" s="134">
        <f>VLOOKUP(A106,AAFTE!$A:$S,3,0)</f>
        <v>591.14</v>
      </c>
      <c r="E106" s="20">
        <f>VLOOKUP($A106,'2022-23 Salary &amp; Benefits'!$A:$I,3,)</f>
        <v>1.18</v>
      </c>
      <c r="F106" s="20">
        <f>VLOOKUP($A106,'2022-23 Salary &amp; Benefits'!$A:$I,4,)</f>
        <v>1.18</v>
      </c>
      <c r="G106" s="34">
        <f>VLOOKUP(A106,'CEDARS District FRPL'!$A:$C,3,)</f>
        <v>0.59970000000000001</v>
      </c>
      <c r="H106" s="25">
        <f t="shared" si="24"/>
        <v>591.14</v>
      </c>
      <c r="I106" s="39">
        <f t="shared" si="17"/>
        <v>354.51</v>
      </c>
      <c r="J106" s="24">
        <v>15</v>
      </c>
      <c r="K106" s="26">
        <f t="shared" si="25"/>
        <v>23.634</v>
      </c>
      <c r="L106" s="24">
        <v>2.3975</v>
      </c>
      <c r="M106" s="24">
        <v>36</v>
      </c>
      <c r="N106" s="27">
        <f t="shared" si="26"/>
        <v>2039.8505399999999</v>
      </c>
      <c r="O106" s="102">
        <f t="shared" si="18"/>
        <v>2.2669999999999999</v>
      </c>
      <c r="P106" s="21">
        <f>VLOOKUP(A106,'2022-23 Salary &amp; Benefits'!$A:$I,5,)</f>
        <v>68937</v>
      </c>
      <c r="Q106" s="21">
        <f>VLOOKUP(A106,'2022-23 Salary &amp; Benefits'!$A:$I,6,FALSE)</f>
        <v>72728</v>
      </c>
      <c r="R106" s="22">
        <f t="shared" si="19"/>
        <v>184410.61</v>
      </c>
      <c r="S106" s="22">
        <f t="shared" si="20"/>
        <v>10141.15</v>
      </c>
      <c r="T106" s="22">
        <f>'2022-23 Salary &amp; Benefits'!$G$6</f>
        <v>12558.24</v>
      </c>
      <c r="U106" s="23">
        <f>'2022-23 Salary &amp; Benefits'!$H$6</f>
        <v>0.2298</v>
      </c>
      <c r="V106" s="23">
        <f>'2022-23 Salary &amp; Benefits'!$I$6</f>
        <v>0.22339999999999999</v>
      </c>
      <c r="W106" s="22">
        <f t="shared" si="21"/>
        <v>73112.62</v>
      </c>
      <c r="X106" s="22">
        <f t="shared" si="22"/>
        <v>3242.53</v>
      </c>
      <c r="Y106" s="22">
        <f t="shared" si="23"/>
        <v>724.38</v>
      </c>
      <c r="Z106" s="22">
        <f t="shared" si="27"/>
        <v>3966.9100000000003</v>
      </c>
      <c r="AA106" s="22">
        <f t="shared" si="28"/>
        <v>271631.28999999998</v>
      </c>
    </row>
    <row r="107" spans="1:27">
      <c r="A107" s="125" t="s">
        <v>2853</v>
      </c>
      <c r="B107" s="96" t="s">
        <v>2886</v>
      </c>
      <c r="C107" s="93">
        <f>IF(A107=Summary!$B$9,Summary!$G$9,0)</f>
        <v>0</v>
      </c>
      <c r="D107" s="134">
        <f>VLOOKUP(A107,AAFTE!$A:$S,3,0)</f>
        <v>284.86</v>
      </c>
      <c r="E107" s="20">
        <f>VLOOKUP($A107,'2022-23 Salary &amp; Benefits'!$A:$I,3,)</f>
        <v>1.18</v>
      </c>
      <c r="F107" s="20">
        <f>VLOOKUP($A107,'2022-23 Salary &amp; Benefits'!$A:$I,4,)</f>
        <v>1.18</v>
      </c>
      <c r="G107" s="34">
        <f>VLOOKUP(A107,'CEDARS District FRPL'!$A:$C,3,)</f>
        <v>0.59</v>
      </c>
      <c r="H107" s="25">
        <f t="shared" si="24"/>
        <v>284.86</v>
      </c>
      <c r="I107" s="39">
        <f t="shared" si="17"/>
        <v>168.07</v>
      </c>
      <c r="J107" s="24">
        <v>15</v>
      </c>
      <c r="K107" s="26">
        <f t="shared" si="25"/>
        <v>11.204666666666666</v>
      </c>
      <c r="L107" s="24">
        <v>2.3975</v>
      </c>
      <c r="M107" s="24">
        <v>36</v>
      </c>
      <c r="N107" s="27">
        <f t="shared" si="26"/>
        <v>967.07478000000003</v>
      </c>
      <c r="O107" s="102">
        <f t="shared" si="18"/>
        <v>1.075</v>
      </c>
      <c r="P107" s="21">
        <f>VLOOKUP(A107,'2022-23 Salary &amp; Benefits'!$A:$I,5,)</f>
        <v>68937</v>
      </c>
      <c r="Q107" s="21">
        <f>VLOOKUP(A107,'2022-23 Salary &amp; Benefits'!$A:$I,6,FALSE)</f>
        <v>72728</v>
      </c>
      <c r="R107" s="22">
        <f t="shared" si="19"/>
        <v>87446.58</v>
      </c>
      <c r="S107" s="22">
        <f t="shared" si="20"/>
        <v>4808.8900000000003</v>
      </c>
      <c r="T107" s="22">
        <f>'2022-23 Salary &amp; Benefits'!$G$6</f>
        <v>12558.24</v>
      </c>
      <c r="U107" s="23">
        <f>'2022-23 Salary &amp; Benefits'!$H$6</f>
        <v>0.2298</v>
      </c>
      <c r="V107" s="23">
        <f>'2022-23 Salary &amp; Benefits'!$I$6</f>
        <v>0.22339999999999999</v>
      </c>
      <c r="W107" s="22">
        <f t="shared" si="21"/>
        <v>34669.64</v>
      </c>
      <c r="X107" s="22">
        <f t="shared" si="22"/>
        <v>1537.59</v>
      </c>
      <c r="Y107" s="22">
        <f t="shared" si="23"/>
        <v>343.5</v>
      </c>
      <c r="Z107" s="22">
        <f t="shared" si="27"/>
        <v>1881.09</v>
      </c>
      <c r="AA107" s="22">
        <f t="shared" si="28"/>
        <v>128806.2</v>
      </c>
    </row>
    <row r="108" spans="1:27">
      <c r="A108" s="126" t="s">
        <v>2953</v>
      </c>
      <c r="B108" s="56" t="s">
        <v>2987</v>
      </c>
      <c r="C108" s="93">
        <f>IF(A108=Summary!$B$9,Summary!$G$9,0)</f>
        <v>0</v>
      </c>
      <c r="D108" s="134">
        <f>VLOOKUP(A108,AAFTE!$A:$S,3,0)</f>
        <v>263</v>
      </c>
      <c r="E108" s="20">
        <f>VLOOKUP($A108,'2022-23 Salary &amp; Benefits'!$A:$I,3,)</f>
        <v>1.1200000000000001</v>
      </c>
      <c r="F108" s="20">
        <f>VLOOKUP($A108,'2022-23 Salary &amp; Benefits'!$A:$I,4,)</f>
        <v>1.1200000000000001</v>
      </c>
      <c r="G108" s="34">
        <f>VLOOKUP(A108,'CEDARS District FRPL'!$A:$C,3,)</f>
        <v>0.54679999999999995</v>
      </c>
      <c r="H108" s="25">
        <f t="shared" si="24"/>
        <v>263</v>
      </c>
      <c r="I108" s="39">
        <f t="shared" si="17"/>
        <v>143.81</v>
      </c>
      <c r="J108" s="24">
        <v>15</v>
      </c>
      <c r="K108" s="26">
        <f t="shared" si="25"/>
        <v>9.5873333333333335</v>
      </c>
      <c r="L108" s="24">
        <v>2.3975</v>
      </c>
      <c r="M108" s="24">
        <v>36</v>
      </c>
      <c r="N108" s="27">
        <f t="shared" si="26"/>
        <v>827.48274000000004</v>
      </c>
      <c r="O108" s="102">
        <f t="shared" si="18"/>
        <v>0.91900000000000004</v>
      </c>
      <c r="P108" s="21">
        <f>VLOOKUP(A108,'2022-23 Salary &amp; Benefits'!$A:$I,5,)</f>
        <v>68937</v>
      </c>
      <c r="Q108" s="21">
        <f>VLOOKUP(A108,'2022-23 Salary &amp; Benefits'!$A:$I,6,FALSE)</f>
        <v>72728</v>
      </c>
      <c r="R108" s="22">
        <f t="shared" si="19"/>
        <v>70955.48</v>
      </c>
      <c r="S108" s="22">
        <f t="shared" si="20"/>
        <v>3902</v>
      </c>
      <c r="T108" s="22">
        <f>'2022-23 Salary &amp; Benefits'!$G$6</f>
        <v>12558.24</v>
      </c>
      <c r="U108" s="23">
        <f>'2022-23 Salary &amp; Benefits'!$H$6</f>
        <v>0.2298</v>
      </c>
      <c r="V108" s="23">
        <f>'2022-23 Salary &amp; Benefits'!$I$6</f>
        <v>0.22339999999999999</v>
      </c>
      <c r="W108" s="22">
        <f t="shared" si="21"/>
        <v>28718.3</v>
      </c>
      <c r="X108" s="22">
        <f t="shared" si="22"/>
        <v>1247.6199999999999</v>
      </c>
      <c r="Y108" s="22">
        <f t="shared" si="23"/>
        <v>278.72000000000003</v>
      </c>
      <c r="Z108" s="22">
        <f t="shared" si="27"/>
        <v>1526.34</v>
      </c>
      <c r="AA108" s="22">
        <f t="shared" si="28"/>
        <v>105102.12</v>
      </c>
    </row>
    <row r="109" spans="1:27">
      <c r="A109" s="29" t="s">
        <v>2310</v>
      </c>
      <c r="B109" s="29" t="s">
        <v>363</v>
      </c>
      <c r="C109" s="93">
        <f>IF(A109=Summary!$B$9,Summary!$G$9,0)</f>
        <v>0</v>
      </c>
      <c r="D109" s="134">
        <f>VLOOKUP(A109,AAFTE!$A:$S,3,0)</f>
        <v>223.64</v>
      </c>
      <c r="E109" s="20">
        <f>VLOOKUP($A109,'2022-23 Salary &amp; Benefits'!$A:$I,3,)</f>
        <v>1</v>
      </c>
      <c r="F109" s="20">
        <f>VLOOKUP($A109,'2022-23 Salary &amp; Benefits'!$A:$I,4,)</f>
        <v>1</v>
      </c>
      <c r="G109" s="34">
        <f>VLOOKUP(A109,'CEDARS District FRPL'!$A:$C,3,)</f>
        <v>0.82379999999999998</v>
      </c>
      <c r="H109" s="25">
        <f>IF(C109&gt;0,C109,D109)</f>
        <v>223.64</v>
      </c>
      <c r="I109" s="39">
        <f t="shared" si="17"/>
        <v>184.23</v>
      </c>
      <c r="J109" s="24">
        <v>15</v>
      </c>
      <c r="K109" s="26">
        <f>I109/J109</f>
        <v>12.282</v>
      </c>
      <c r="L109" s="24">
        <v>2.3975</v>
      </c>
      <c r="M109" s="24">
        <v>36</v>
      </c>
      <c r="N109" s="27">
        <f>K109*L109*M109</f>
        <v>1060.05942</v>
      </c>
      <c r="O109" s="102">
        <f t="shared" si="18"/>
        <v>1.1779999999999999</v>
      </c>
      <c r="P109" s="21">
        <f>VLOOKUP(A109,'2022-23 Salary &amp; Benefits'!$A:$I,5,)</f>
        <v>68937</v>
      </c>
      <c r="Q109" s="21">
        <f>VLOOKUP(A109,'2022-23 Salary &amp; Benefits'!$A:$I,6,FALSE)</f>
        <v>72728</v>
      </c>
      <c r="R109" s="22">
        <f t="shared" si="19"/>
        <v>81207.789999999994</v>
      </c>
      <c r="S109" s="22">
        <f t="shared" si="20"/>
        <v>4465.79</v>
      </c>
      <c r="T109" s="22">
        <f>'2022-23 Salary &amp; Benefits'!$G$6</f>
        <v>12558.24</v>
      </c>
      <c r="U109" s="23">
        <f>'2022-23 Salary &amp; Benefits'!$H$6</f>
        <v>0.2298</v>
      </c>
      <c r="V109" s="23">
        <f>'2022-23 Salary &amp; Benefits'!$I$6</f>
        <v>0.22339999999999999</v>
      </c>
      <c r="W109" s="22">
        <f t="shared" si="21"/>
        <v>34452.81</v>
      </c>
      <c r="X109" s="22">
        <f t="shared" si="22"/>
        <v>1427.89</v>
      </c>
      <c r="Y109" s="22">
        <f t="shared" si="23"/>
        <v>318.99</v>
      </c>
      <c r="Z109" s="22">
        <f>SUM(X109:Y109)</f>
        <v>1746.88</v>
      </c>
      <c r="AA109" s="22">
        <f>SUM(W109,R109:S109,Z109)</f>
        <v>121873.26999999999</v>
      </c>
    </row>
    <row r="110" spans="1:27">
      <c r="A110" s="125" t="s">
        <v>2478</v>
      </c>
      <c r="B110" s="3" t="s">
        <v>1708</v>
      </c>
      <c r="C110" s="93">
        <f>IF(A110=Summary!$B$9,Summary!$G$9,0)</f>
        <v>0</v>
      </c>
      <c r="D110" s="134">
        <f>VLOOKUP(A110,AAFTE!$A:$S,3,0)</f>
        <v>24.23</v>
      </c>
      <c r="E110" s="20">
        <f>VLOOKUP($A110,'2022-23 Salary &amp; Benefits'!$A:$I,3,)</f>
        <v>1.1200000000000001</v>
      </c>
      <c r="F110" s="20">
        <f>VLOOKUP($A110,'2022-23 Salary &amp; Benefits'!$A:$I,4,)</f>
        <v>1.1200000000000001</v>
      </c>
      <c r="G110" s="34">
        <f>VLOOKUP(A110,'CEDARS District FRPL'!$A:$C,3,)</f>
        <v>0.5</v>
      </c>
      <c r="H110" s="25">
        <f t="shared" si="24"/>
        <v>24.23</v>
      </c>
      <c r="I110" s="39">
        <f t="shared" si="17"/>
        <v>12.12</v>
      </c>
      <c r="J110" s="24">
        <v>15</v>
      </c>
      <c r="K110" s="26">
        <f t="shared" si="25"/>
        <v>0.80799999999999994</v>
      </c>
      <c r="L110" s="24">
        <v>2.3975</v>
      </c>
      <c r="M110" s="24">
        <v>36</v>
      </c>
      <c r="N110" s="27">
        <f t="shared" si="26"/>
        <v>69.738479999999996</v>
      </c>
      <c r="O110" s="102">
        <f t="shared" si="18"/>
        <v>7.6999999999999999E-2</v>
      </c>
      <c r="P110" s="21">
        <f>VLOOKUP(A110,'2022-23 Salary &amp; Benefits'!$A:$I,5,)</f>
        <v>68937</v>
      </c>
      <c r="Q110" s="21">
        <f>VLOOKUP(A110,'2022-23 Salary &amp; Benefits'!$A:$I,6,FALSE)</f>
        <v>72728</v>
      </c>
      <c r="R110" s="22">
        <f t="shared" si="19"/>
        <v>5945.13</v>
      </c>
      <c r="S110" s="22">
        <f t="shared" si="20"/>
        <v>326.93</v>
      </c>
      <c r="T110" s="22">
        <f>'2022-23 Salary &amp; Benefits'!$G$6</f>
        <v>12558.24</v>
      </c>
      <c r="U110" s="23">
        <f>'2022-23 Salary &amp; Benefits'!$H$6</f>
        <v>0.2298</v>
      </c>
      <c r="V110" s="23">
        <f>'2022-23 Salary &amp; Benefits'!$I$6</f>
        <v>0.22339999999999999</v>
      </c>
      <c r="W110" s="22">
        <f t="shared" si="21"/>
        <v>2406.21</v>
      </c>
      <c r="X110" s="22">
        <f t="shared" si="22"/>
        <v>104.53</v>
      </c>
      <c r="Y110" s="22">
        <f t="shared" si="23"/>
        <v>23.35</v>
      </c>
      <c r="Z110" s="22">
        <f t="shared" si="27"/>
        <v>127.88</v>
      </c>
      <c r="AA110" s="22">
        <f t="shared" si="28"/>
        <v>8806.15</v>
      </c>
    </row>
    <row r="111" spans="1:27">
      <c r="A111" s="125" t="s">
        <v>2362</v>
      </c>
      <c r="B111" s="3" t="s">
        <v>846</v>
      </c>
      <c r="C111" s="93">
        <f>IF(A111=Summary!$B$9,Summary!$G$9,0)</f>
        <v>0</v>
      </c>
      <c r="D111" s="134">
        <f>VLOOKUP(A111,AAFTE!$A:$S,3,0)</f>
        <v>19248.759999999998</v>
      </c>
      <c r="E111" s="20">
        <f>VLOOKUP($A111,'2022-23 Salary &amp; Benefits'!$A:$I,3,)</f>
        <v>1.18</v>
      </c>
      <c r="F111" s="20">
        <f>VLOOKUP($A111,'2022-23 Salary &amp; Benefits'!$A:$I,4,)</f>
        <v>1.18</v>
      </c>
      <c r="G111" s="34">
        <f>VLOOKUP(A111,'CEDARS District FRPL'!$A:$C,3,)</f>
        <v>0.10150000000000001</v>
      </c>
      <c r="H111" s="25">
        <f t="shared" si="24"/>
        <v>19248.759999999998</v>
      </c>
      <c r="I111" s="39">
        <f t="shared" si="17"/>
        <v>1953.75</v>
      </c>
      <c r="J111" s="24">
        <v>15</v>
      </c>
      <c r="K111" s="26">
        <f t="shared" si="25"/>
        <v>130.25</v>
      </c>
      <c r="L111" s="24">
        <v>2.3975</v>
      </c>
      <c r="M111" s="24">
        <v>36</v>
      </c>
      <c r="N111" s="27">
        <f t="shared" si="26"/>
        <v>11241.877500000001</v>
      </c>
      <c r="O111" s="102">
        <f t="shared" si="18"/>
        <v>12.491</v>
      </c>
      <c r="P111" s="21">
        <f>VLOOKUP(A111,'2022-23 Salary &amp; Benefits'!$A:$I,5,)</f>
        <v>68937</v>
      </c>
      <c r="Q111" s="21">
        <f>VLOOKUP(A111,'2022-23 Salary &amp; Benefits'!$A:$I,6,FALSE)</f>
        <v>72728</v>
      </c>
      <c r="R111" s="22">
        <f t="shared" si="19"/>
        <v>1016088.64</v>
      </c>
      <c r="S111" s="22">
        <f t="shared" si="20"/>
        <v>55876.99</v>
      </c>
      <c r="T111" s="22">
        <f>'2022-23 Salary &amp; Benefits'!$G$6</f>
        <v>12558.24</v>
      </c>
      <c r="U111" s="23">
        <f>'2022-23 Salary &amp; Benefits'!$H$6</f>
        <v>0.2298</v>
      </c>
      <c r="V111" s="23">
        <f>'2022-23 Salary &amp; Benefits'!$I$6</f>
        <v>0.22339999999999999</v>
      </c>
      <c r="W111" s="22">
        <f t="shared" si="21"/>
        <v>402845.06</v>
      </c>
      <c r="X111" s="22">
        <f t="shared" si="22"/>
        <v>17866.09</v>
      </c>
      <c r="Y111" s="22">
        <f t="shared" si="23"/>
        <v>3991.28</v>
      </c>
      <c r="Z111" s="22">
        <f t="shared" si="27"/>
        <v>21857.37</v>
      </c>
      <c r="AA111" s="22">
        <f t="shared" si="28"/>
        <v>1496668.06</v>
      </c>
    </row>
    <row r="112" spans="1:27">
      <c r="A112" s="125" t="s">
        <v>2315</v>
      </c>
      <c r="B112" s="3" t="s">
        <v>403</v>
      </c>
      <c r="C112" s="93">
        <f>IF(A112=Summary!$B$9,Summary!$G$9,0)</f>
        <v>0</v>
      </c>
      <c r="D112" s="134">
        <f>VLOOKUP(A112,AAFTE!$A:$S,3,0)</f>
        <v>38.549999999999997</v>
      </c>
      <c r="E112" s="20">
        <f>VLOOKUP($A112,'2022-23 Salary &amp; Benefits'!$A:$I,3,)</f>
        <v>1</v>
      </c>
      <c r="F112" s="20">
        <f>VLOOKUP($A112,'2022-23 Salary &amp; Benefits'!$A:$I,4,)</f>
        <v>1.04</v>
      </c>
      <c r="G112" s="34">
        <f>VLOOKUP(A112,'CEDARS District FRPL'!$A:$C,3,)</f>
        <v>0.68179999999999996</v>
      </c>
      <c r="H112" s="25">
        <f t="shared" si="24"/>
        <v>38.549999999999997</v>
      </c>
      <c r="I112" s="39">
        <f t="shared" si="17"/>
        <v>26.28</v>
      </c>
      <c r="J112" s="24">
        <v>15</v>
      </c>
      <c r="K112" s="26">
        <f t="shared" si="25"/>
        <v>1.752</v>
      </c>
      <c r="L112" s="24">
        <v>2.3975</v>
      </c>
      <c r="M112" s="24">
        <v>36</v>
      </c>
      <c r="N112" s="27">
        <f t="shared" si="26"/>
        <v>151.21512000000001</v>
      </c>
      <c r="O112" s="102">
        <f t="shared" si="18"/>
        <v>0.16800000000000001</v>
      </c>
      <c r="P112" s="21">
        <f>VLOOKUP(A112,'2022-23 Salary &amp; Benefits'!$A:$I,5,)</f>
        <v>68937</v>
      </c>
      <c r="Q112" s="21">
        <f>VLOOKUP(A112,'2022-23 Salary &amp; Benefits'!$A:$I,6,FALSE)</f>
        <v>72728</v>
      </c>
      <c r="R112" s="22">
        <f t="shared" si="19"/>
        <v>11581.42</v>
      </c>
      <c r="S112" s="22">
        <f t="shared" si="20"/>
        <v>1125.6199999999999</v>
      </c>
      <c r="T112" s="22">
        <f>'2022-23 Salary &amp; Benefits'!$G$6</f>
        <v>12558.24</v>
      </c>
      <c r="U112" s="23">
        <f>'2022-23 Salary &amp; Benefits'!$H$6</f>
        <v>0.2298</v>
      </c>
      <c r="V112" s="23">
        <f>'2022-23 Salary &amp; Benefits'!$I$6</f>
        <v>0.22339999999999999</v>
      </c>
      <c r="W112" s="22">
        <f t="shared" si="21"/>
        <v>5022.66</v>
      </c>
      <c r="X112" s="22">
        <f t="shared" si="22"/>
        <v>211.78</v>
      </c>
      <c r="Y112" s="22">
        <f t="shared" si="23"/>
        <v>47.31</v>
      </c>
      <c r="Z112" s="22">
        <f t="shared" si="27"/>
        <v>259.09000000000003</v>
      </c>
      <c r="AA112" s="22">
        <f t="shared" si="28"/>
        <v>17988.79</v>
      </c>
    </row>
    <row r="113" spans="1:27">
      <c r="A113" s="125" t="s">
        <v>2298</v>
      </c>
      <c r="B113" s="3" t="s">
        <v>318</v>
      </c>
      <c r="C113" s="93">
        <f>IF(A113=Summary!$B$9,Summary!$G$9,0)</f>
        <v>0</v>
      </c>
      <c r="D113" s="134">
        <f>VLOOKUP(A113,AAFTE!$A:$S,3,0)</f>
        <v>1043.6099999999999</v>
      </c>
      <c r="E113" s="20">
        <f>VLOOKUP($A113,'2022-23 Salary &amp; Benefits'!$A:$I,3,)</f>
        <v>1</v>
      </c>
      <c r="F113" s="20">
        <f>VLOOKUP($A113,'2022-23 Salary &amp; Benefits'!$A:$I,4,)</f>
        <v>1</v>
      </c>
      <c r="G113" s="34">
        <f>VLOOKUP(A113,'CEDARS District FRPL'!$A:$C,3,)</f>
        <v>0.30449999999999999</v>
      </c>
      <c r="H113" s="25">
        <f t="shared" si="24"/>
        <v>1043.6099999999999</v>
      </c>
      <c r="I113" s="39">
        <f t="shared" si="17"/>
        <v>317.77999999999997</v>
      </c>
      <c r="J113" s="24">
        <v>15</v>
      </c>
      <c r="K113" s="26">
        <f t="shared" si="25"/>
        <v>21.185333333333332</v>
      </c>
      <c r="L113" s="24">
        <v>2.3975</v>
      </c>
      <c r="M113" s="24">
        <v>36</v>
      </c>
      <c r="N113" s="27">
        <f t="shared" si="26"/>
        <v>1828.5061199999998</v>
      </c>
      <c r="O113" s="102">
        <f t="shared" si="18"/>
        <v>2.032</v>
      </c>
      <c r="P113" s="21">
        <f>VLOOKUP(A113,'2022-23 Salary &amp; Benefits'!$A:$I,5,)</f>
        <v>68937</v>
      </c>
      <c r="Q113" s="21">
        <f>VLOOKUP(A113,'2022-23 Salary &amp; Benefits'!$A:$I,6,FALSE)</f>
        <v>72728</v>
      </c>
      <c r="R113" s="22">
        <f t="shared" si="19"/>
        <v>140079.98000000001</v>
      </c>
      <c r="S113" s="22">
        <f t="shared" si="20"/>
        <v>7703.32</v>
      </c>
      <c r="T113" s="22">
        <f>'2022-23 Salary &amp; Benefits'!$G$6</f>
        <v>12558.24</v>
      </c>
      <c r="U113" s="23">
        <f>'2022-23 Salary &amp; Benefits'!$H$6</f>
        <v>0.2298</v>
      </c>
      <c r="V113" s="23">
        <f>'2022-23 Salary &amp; Benefits'!$I$6</f>
        <v>0.22339999999999999</v>
      </c>
      <c r="W113" s="22">
        <f t="shared" si="21"/>
        <v>59429.64</v>
      </c>
      <c r="X113" s="22">
        <f t="shared" si="22"/>
        <v>2463.0500000000002</v>
      </c>
      <c r="Y113" s="22">
        <f t="shared" si="23"/>
        <v>550.25</v>
      </c>
      <c r="Z113" s="22">
        <f t="shared" si="27"/>
        <v>3013.3</v>
      </c>
      <c r="AA113" s="22">
        <f t="shared" si="28"/>
        <v>210226.24</v>
      </c>
    </row>
    <row r="114" spans="1:27">
      <c r="A114" s="125" t="s">
        <v>2307</v>
      </c>
      <c r="B114" s="3" t="s">
        <v>358</v>
      </c>
      <c r="C114" s="93">
        <f>IF(A114=Summary!$B$9,Summary!$G$9,0)</f>
        <v>0</v>
      </c>
      <c r="D114" s="134">
        <f>VLOOKUP(A114,AAFTE!$A:$S,3,0)</f>
        <v>33.72</v>
      </c>
      <c r="E114" s="20">
        <f>VLOOKUP($A114,'2022-23 Salary &amp; Benefits'!$A:$I,3,)</f>
        <v>1</v>
      </c>
      <c r="F114" s="20">
        <f>VLOOKUP($A114,'2022-23 Salary &amp; Benefits'!$A:$I,4,)</f>
        <v>1</v>
      </c>
      <c r="G114" s="34">
        <f>VLOOKUP(A114,'CEDARS District FRPL'!$A:$C,3,)</f>
        <v>0.93940000000000001</v>
      </c>
      <c r="H114" s="25">
        <f t="shared" si="24"/>
        <v>33.72</v>
      </c>
      <c r="I114" s="39">
        <f t="shared" si="17"/>
        <v>31.68</v>
      </c>
      <c r="J114" s="24">
        <v>15</v>
      </c>
      <c r="K114" s="26">
        <f t="shared" si="25"/>
        <v>2.1120000000000001</v>
      </c>
      <c r="L114" s="24">
        <v>2.3975</v>
      </c>
      <c r="M114" s="24">
        <v>36</v>
      </c>
      <c r="N114" s="27">
        <f t="shared" si="26"/>
        <v>182.28672</v>
      </c>
      <c r="O114" s="102">
        <f t="shared" si="18"/>
        <v>0.20300000000000001</v>
      </c>
      <c r="P114" s="21">
        <f>VLOOKUP(A114,'2022-23 Salary &amp; Benefits'!$A:$I,5,)</f>
        <v>68937</v>
      </c>
      <c r="Q114" s="21">
        <f>VLOOKUP(A114,'2022-23 Salary &amp; Benefits'!$A:$I,6,FALSE)</f>
        <v>72728</v>
      </c>
      <c r="R114" s="22">
        <f t="shared" si="19"/>
        <v>13994.21</v>
      </c>
      <c r="S114" s="22">
        <f t="shared" si="20"/>
        <v>769.57</v>
      </c>
      <c r="T114" s="22">
        <f>'2022-23 Salary &amp; Benefits'!$G$6</f>
        <v>12558.24</v>
      </c>
      <c r="U114" s="23">
        <f>'2022-23 Salary &amp; Benefits'!$H$6</f>
        <v>0.2298</v>
      </c>
      <c r="V114" s="23">
        <f>'2022-23 Salary &amp; Benefits'!$I$6</f>
        <v>0.22339999999999999</v>
      </c>
      <c r="W114" s="22">
        <f t="shared" si="21"/>
        <v>5937.11</v>
      </c>
      <c r="X114" s="22">
        <f t="shared" si="22"/>
        <v>246.06</v>
      </c>
      <c r="Y114" s="22">
        <f t="shared" si="23"/>
        <v>54.97</v>
      </c>
      <c r="Z114" s="22">
        <f t="shared" si="27"/>
        <v>301.02999999999997</v>
      </c>
      <c r="AA114" s="22">
        <f t="shared" si="28"/>
        <v>21001.919999999998</v>
      </c>
    </row>
    <row r="115" spans="1:27">
      <c r="A115" s="125" t="s">
        <v>2300</v>
      </c>
      <c r="B115" s="3" t="s">
        <v>326</v>
      </c>
      <c r="C115" s="93">
        <f>IF(A115=Summary!$B$9,Summary!$G$9,0)</f>
        <v>0</v>
      </c>
      <c r="D115" s="134">
        <f>VLOOKUP(A115,AAFTE!$A:$S,3,0)</f>
        <v>4809.55</v>
      </c>
      <c r="E115" s="20">
        <f>VLOOKUP($A115,'2022-23 Salary &amp; Benefits'!$A:$I,3,)</f>
        <v>1</v>
      </c>
      <c r="F115" s="20">
        <f>VLOOKUP($A115,'2022-23 Salary &amp; Benefits'!$A:$I,4,)</f>
        <v>1</v>
      </c>
      <c r="G115" s="34">
        <f>VLOOKUP(A115,'CEDARS District FRPL'!$A:$C,3,)</f>
        <v>0.61299999999999999</v>
      </c>
      <c r="H115" s="25">
        <f t="shared" si="24"/>
        <v>4809.55</v>
      </c>
      <c r="I115" s="39">
        <f t="shared" si="17"/>
        <v>2948.25</v>
      </c>
      <c r="J115" s="24">
        <v>15</v>
      </c>
      <c r="K115" s="26">
        <f t="shared" si="25"/>
        <v>196.55</v>
      </c>
      <c r="L115" s="24">
        <v>2.3975</v>
      </c>
      <c r="M115" s="24">
        <v>36</v>
      </c>
      <c r="N115" s="27">
        <f t="shared" si="26"/>
        <v>16964.230500000001</v>
      </c>
      <c r="O115" s="102">
        <f t="shared" si="18"/>
        <v>18.849</v>
      </c>
      <c r="P115" s="21">
        <f>VLOOKUP(A115,'2022-23 Salary &amp; Benefits'!$A:$I,5,)</f>
        <v>68937</v>
      </c>
      <c r="Q115" s="21">
        <f>VLOOKUP(A115,'2022-23 Salary &amp; Benefits'!$A:$I,6,FALSE)</f>
        <v>72728</v>
      </c>
      <c r="R115" s="22">
        <f t="shared" si="19"/>
        <v>1299393.51</v>
      </c>
      <c r="S115" s="22">
        <f t="shared" si="20"/>
        <v>71456.56</v>
      </c>
      <c r="T115" s="22">
        <f>'2022-23 Salary &amp; Benefits'!$G$6</f>
        <v>12558.24</v>
      </c>
      <c r="U115" s="23">
        <f>'2022-23 Salary &amp; Benefits'!$H$6</f>
        <v>0.2298</v>
      </c>
      <c r="V115" s="23">
        <f>'2022-23 Salary &amp; Benefits'!$I$6</f>
        <v>0.22339999999999999</v>
      </c>
      <c r="W115" s="22">
        <f t="shared" si="21"/>
        <v>551274.29</v>
      </c>
      <c r="X115" s="22">
        <f t="shared" si="22"/>
        <v>22847.5</v>
      </c>
      <c r="Y115" s="22">
        <f t="shared" si="23"/>
        <v>5104.13</v>
      </c>
      <c r="Z115" s="22">
        <f t="shared" si="27"/>
        <v>27951.63</v>
      </c>
      <c r="AA115" s="22">
        <f t="shared" si="28"/>
        <v>1950075.99</v>
      </c>
    </row>
    <row r="116" spans="1:27">
      <c r="A116" s="125" t="s">
        <v>2264</v>
      </c>
      <c r="B116" s="3" t="s">
        <v>33</v>
      </c>
      <c r="C116" s="93">
        <f>IF(A116=Summary!$B$9,Summary!$G$9,0)</f>
        <v>0</v>
      </c>
      <c r="D116" s="134">
        <f>VLOOKUP(A116,AAFTE!$A:$S,3,0)</f>
        <v>18301.560000000001</v>
      </c>
      <c r="E116" s="20">
        <f>VLOOKUP($A116,'2022-23 Salary &amp; Benefits'!$A:$I,3,)</f>
        <v>1</v>
      </c>
      <c r="F116" s="20">
        <f>VLOOKUP($A116,'2022-23 Salary &amp; Benefits'!$A:$I,4,)</f>
        <v>1</v>
      </c>
      <c r="G116" s="34">
        <f>VLOOKUP(A116,'CEDARS District FRPL'!$A:$C,3,)</f>
        <v>0.58799999999999997</v>
      </c>
      <c r="H116" s="25">
        <f t="shared" si="24"/>
        <v>18301.560000000001</v>
      </c>
      <c r="I116" s="39">
        <f t="shared" si="17"/>
        <v>10761.32</v>
      </c>
      <c r="J116" s="24">
        <v>15</v>
      </c>
      <c r="K116" s="26">
        <f t="shared" si="25"/>
        <v>717.42133333333334</v>
      </c>
      <c r="L116" s="24">
        <v>2.3975</v>
      </c>
      <c r="M116" s="24">
        <v>36</v>
      </c>
      <c r="N116" s="27">
        <f t="shared" si="26"/>
        <v>61920.635280000002</v>
      </c>
      <c r="O116" s="102">
        <f t="shared" si="18"/>
        <v>68.801000000000002</v>
      </c>
      <c r="P116" s="21">
        <f>VLOOKUP(A116,'2022-23 Salary &amp; Benefits'!$A:$I,5,)</f>
        <v>68937</v>
      </c>
      <c r="Q116" s="21">
        <f>VLOOKUP(A116,'2022-23 Salary &amp; Benefits'!$A:$I,6,FALSE)</f>
        <v>72728</v>
      </c>
      <c r="R116" s="22">
        <f t="shared" si="19"/>
        <v>4742934.54</v>
      </c>
      <c r="S116" s="22">
        <f t="shared" si="20"/>
        <v>260824.59</v>
      </c>
      <c r="T116" s="22">
        <f>'2022-23 Salary &amp; Benefits'!$G$6</f>
        <v>12558.24</v>
      </c>
      <c r="U116" s="23">
        <f>'2022-23 Salary &amp; Benefits'!$H$6</f>
        <v>0.2298</v>
      </c>
      <c r="V116" s="23">
        <f>'2022-23 Salary &amp; Benefits'!$I$6</f>
        <v>0.22339999999999999</v>
      </c>
      <c r="W116" s="22">
        <f t="shared" si="21"/>
        <v>2012214.04</v>
      </c>
      <c r="X116" s="22">
        <f t="shared" si="22"/>
        <v>83395.990000000005</v>
      </c>
      <c r="Y116" s="22">
        <f t="shared" si="23"/>
        <v>18630.66</v>
      </c>
      <c r="Z116" s="22">
        <f t="shared" si="27"/>
        <v>102026.65000000001</v>
      </c>
      <c r="AA116" s="22">
        <f t="shared" si="28"/>
        <v>7117999.8200000003</v>
      </c>
    </row>
    <row r="117" spans="1:27">
      <c r="A117" s="125" t="s">
        <v>2365</v>
      </c>
      <c r="B117" s="3" t="s">
        <v>939</v>
      </c>
      <c r="C117" s="93">
        <f>IF(A117=Summary!$B$9,Summary!$G$9,0)</f>
        <v>0</v>
      </c>
      <c r="D117" s="134">
        <f>VLOOKUP(A117,AAFTE!$A:$S,3,0)</f>
        <v>24681.21</v>
      </c>
      <c r="E117" s="20">
        <f>VLOOKUP($A117,'2022-23 Salary &amp; Benefits'!$A:$I,3,)</f>
        <v>1.18</v>
      </c>
      <c r="F117" s="20">
        <f>VLOOKUP($A117,'2022-23 Salary &amp; Benefits'!$A:$I,4,)</f>
        <v>1.18</v>
      </c>
      <c r="G117" s="34">
        <f>VLOOKUP(A117,'CEDARS District FRPL'!$A:$C,3,)</f>
        <v>0.52290000000000003</v>
      </c>
      <c r="H117" s="25">
        <f t="shared" si="24"/>
        <v>24681.21</v>
      </c>
      <c r="I117" s="39">
        <f t="shared" si="17"/>
        <v>12905.8</v>
      </c>
      <c r="J117" s="24">
        <v>15</v>
      </c>
      <c r="K117" s="26">
        <f t="shared" si="25"/>
        <v>860.38666666666666</v>
      </c>
      <c r="L117" s="24">
        <v>2.3975</v>
      </c>
      <c r="M117" s="24">
        <v>36</v>
      </c>
      <c r="N117" s="27">
        <f t="shared" si="26"/>
        <v>74259.973199999993</v>
      </c>
      <c r="O117" s="102">
        <f t="shared" si="18"/>
        <v>82.510999999999996</v>
      </c>
      <c r="P117" s="21">
        <f>VLOOKUP(A117,'2022-23 Salary &amp; Benefits'!$A:$I,5,)</f>
        <v>68937</v>
      </c>
      <c r="Q117" s="21">
        <f>VLOOKUP(A117,'2022-23 Salary &amp; Benefits'!$A:$I,6,FALSE)</f>
        <v>72728</v>
      </c>
      <c r="R117" s="22">
        <f t="shared" si="19"/>
        <v>6711911.75</v>
      </c>
      <c r="S117" s="22">
        <f t="shared" si="20"/>
        <v>369103.06</v>
      </c>
      <c r="T117" s="22">
        <f>'2022-23 Salary &amp; Benefits'!$G$6</f>
        <v>12558.24</v>
      </c>
      <c r="U117" s="23">
        <f>'2022-23 Salary &amp; Benefits'!$H$6</f>
        <v>0.2298</v>
      </c>
      <c r="V117" s="23">
        <f>'2022-23 Salary &amp; Benefits'!$I$6</f>
        <v>0.22339999999999999</v>
      </c>
      <c r="W117" s="22">
        <f t="shared" si="21"/>
        <v>2661047.88</v>
      </c>
      <c r="X117" s="22">
        <f t="shared" si="22"/>
        <v>118016.91</v>
      </c>
      <c r="Y117" s="22">
        <f t="shared" si="23"/>
        <v>26364.98</v>
      </c>
      <c r="Z117" s="22">
        <f t="shared" si="27"/>
        <v>144381.89000000001</v>
      </c>
      <c r="AA117" s="22">
        <f t="shared" si="28"/>
        <v>9886444.5800000001</v>
      </c>
    </row>
    <row r="118" spans="1:27">
      <c r="A118" s="125" t="s">
        <v>2514</v>
      </c>
      <c r="B118" s="3" t="s">
        <v>1959</v>
      </c>
      <c r="C118" s="93">
        <f>IF(A118=Summary!$B$9,Summary!$G$9,0)</f>
        <v>0</v>
      </c>
      <c r="D118" s="134">
        <f>VLOOKUP(A118,AAFTE!$A:$S,3,0)</f>
        <v>1045.68</v>
      </c>
      <c r="E118" s="20">
        <f>VLOOKUP($A118,'2022-23 Salary &amp; Benefits'!$A:$I,3,)</f>
        <v>1</v>
      </c>
      <c r="F118" s="20">
        <f>VLOOKUP($A118,'2022-23 Salary &amp; Benefits'!$A:$I,4,)</f>
        <v>1.04</v>
      </c>
      <c r="G118" s="34">
        <f>VLOOKUP(A118,'CEDARS District FRPL'!$A:$C,3,)</f>
        <v>0.53800000000000003</v>
      </c>
      <c r="H118" s="25">
        <f t="shared" si="24"/>
        <v>1045.68</v>
      </c>
      <c r="I118" s="39">
        <f t="shared" si="17"/>
        <v>562.58000000000004</v>
      </c>
      <c r="J118" s="24">
        <v>15</v>
      </c>
      <c r="K118" s="26">
        <f t="shared" si="25"/>
        <v>37.505333333333333</v>
      </c>
      <c r="L118" s="24">
        <v>2.3975</v>
      </c>
      <c r="M118" s="24">
        <v>36</v>
      </c>
      <c r="N118" s="27">
        <f t="shared" si="26"/>
        <v>3237.0853200000001</v>
      </c>
      <c r="O118" s="102">
        <f t="shared" si="18"/>
        <v>3.597</v>
      </c>
      <c r="P118" s="21">
        <f>VLOOKUP(A118,'2022-23 Salary &amp; Benefits'!$A:$I,5,)</f>
        <v>68937</v>
      </c>
      <c r="Q118" s="21">
        <f>VLOOKUP(A118,'2022-23 Salary &amp; Benefits'!$A:$I,6,FALSE)</f>
        <v>72728</v>
      </c>
      <c r="R118" s="22">
        <f t="shared" si="19"/>
        <v>247966.39</v>
      </c>
      <c r="S118" s="22">
        <f t="shared" si="20"/>
        <v>24100.33</v>
      </c>
      <c r="T118" s="22">
        <f>'2022-23 Salary &amp; Benefits'!$G$6</f>
        <v>12558.24</v>
      </c>
      <c r="U118" s="23">
        <f>'2022-23 Salary &amp; Benefits'!$H$6</f>
        <v>0.2298</v>
      </c>
      <c r="V118" s="23">
        <f>'2022-23 Salary &amp; Benefits'!$I$6</f>
        <v>0.22339999999999999</v>
      </c>
      <c r="W118" s="22">
        <f t="shared" si="21"/>
        <v>107538.68</v>
      </c>
      <c r="X118" s="22">
        <f t="shared" si="22"/>
        <v>4534.45</v>
      </c>
      <c r="Y118" s="22">
        <f t="shared" si="23"/>
        <v>1013</v>
      </c>
      <c r="Z118" s="22">
        <f t="shared" si="27"/>
        <v>5547.45</v>
      </c>
      <c r="AA118" s="22">
        <f t="shared" si="28"/>
        <v>385152.85000000003</v>
      </c>
    </row>
    <row r="119" spans="1:27">
      <c r="A119" s="125" t="s">
        <v>2266</v>
      </c>
      <c r="B119" s="3" t="s">
        <v>62</v>
      </c>
      <c r="C119" s="93">
        <f>IF(A119=Summary!$B$9,Summary!$G$9,0)</f>
        <v>0</v>
      </c>
      <c r="D119" s="134">
        <f>VLOOKUP(A119,AAFTE!$A:$S,3,0)</f>
        <v>1395.47</v>
      </c>
      <c r="E119" s="20">
        <f>VLOOKUP($A119,'2022-23 Salary &amp; Benefits'!$A:$I,3,)</f>
        <v>1</v>
      </c>
      <c r="F119" s="20">
        <f>VLOOKUP($A119,'2022-23 Salary &amp; Benefits'!$A:$I,4,)</f>
        <v>1</v>
      </c>
      <c r="G119" s="34">
        <f>VLOOKUP(A119,'CEDARS District FRPL'!$A:$C,3,)</f>
        <v>0.70530000000000004</v>
      </c>
      <c r="H119" s="25">
        <f t="shared" si="24"/>
        <v>1395.47</v>
      </c>
      <c r="I119" s="39">
        <f t="shared" si="17"/>
        <v>984.22</v>
      </c>
      <c r="J119" s="24">
        <v>15</v>
      </c>
      <c r="K119" s="26">
        <f t="shared" si="25"/>
        <v>65.614666666666665</v>
      </c>
      <c r="L119" s="24">
        <v>2.3975</v>
      </c>
      <c r="M119" s="24">
        <v>36</v>
      </c>
      <c r="N119" s="27">
        <f t="shared" si="26"/>
        <v>5663.2018799999996</v>
      </c>
      <c r="O119" s="102">
        <f t="shared" si="18"/>
        <v>6.2919999999999998</v>
      </c>
      <c r="P119" s="21">
        <f>VLOOKUP(A119,'2022-23 Salary &amp; Benefits'!$A:$I,5,)</f>
        <v>68937</v>
      </c>
      <c r="Q119" s="21">
        <f>VLOOKUP(A119,'2022-23 Salary &amp; Benefits'!$A:$I,6,FALSE)</f>
        <v>72728</v>
      </c>
      <c r="R119" s="22">
        <f t="shared" si="19"/>
        <v>433751.6</v>
      </c>
      <c r="S119" s="22">
        <f t="shared" si="20"/>
        <v>23852.98</v>
      </c>
      <c r="T119" s="22">
        <f>'2022-23 Salary &amp; Benefits'!$G$6</f>
        <v>12558.24</v>
      </c>
      <c r="U119" s="23">
        <f>'2022-23 Salary &amp; Benefits'!$H$6</f>
        <v>0.2298</v>
      </c>
      <c r="V119" s="23">
        <f>'2022-23 Salary &amp; Benefits'!$I$6</f>
        <v>0.22339999999999999</v>
      </c>
      <c r="W119" s="22">
        <f t="shared" si="21"/>
        <v>184021.32</v>
      </c>
      <c r="X119" s="22">
        <f t="shared" si="22"/>
        <v>7626.74</v>
      </c>
      <c r="Y119" s="22">
        <f t="shared" si="23"/>
        <v>1703.81</v>
      </c>
      <c r="Z119" s="22">
        <f t="shared" si="27"/>
        <v>9330.5499999999993</v>
      </c>
      <c r="AA119" s="22">
        <f t="shared" si="28"/>
        <v>650956.44999999995</v>
      </c>
    </row>
    <row r="120" spans="1:27">
      <c r="A120" s="125" t="s">
        <v>2381</v>
      </c>
      <c r="B120" s="3" t="s">
        <v>1095</v>
      </c>
      <c r="C120" s="93">
        <f>IF(A120=Summary!$B$9,Summary!$G$9,0)</f>
        <v>0</v>
      </c>
      <c r="D120" s="134">
        <f>VLOOKUP(A120,AAFTE!$A:$S,3,0)</f>
        <v>579.14</v>
      </c>
      <c r="E120" s="20">
        <f>VLOOKUP($A120,'2022-23 Salary &amp; Benefits'!$A:$I,3,)</f>
        <v>1</v>
      </c>
      <c r="F120" s="20">
        <f>VLOOKUP($A120,'2022-23 Salary &amp; Benefits'!$A:$I,4,)</f>
        <v>1</v>
      </c>
      <c r="G120" s="34">
        <f>VLOOKUP(A120,'CEDARS District FRPL'!$A:$C,3,)</f>
        <v>0.47520000000000001</v>
      </c>
      <c r="H120" s="25">
        <f t="shared" si="24"/>
        <v>579.14</v>
      </c>
      <c r="I120" s="39">
        <f t="shared" si="17"/>
        <v>275.20999999999998</v>
      </c>
      <c r="J120" s="24">
        <v>15</v>
      </c>
      <c r="K120" s="26">
        <f t="shared" si="25"/>
        <v>18.347333333333331</v>
      </c>
      <c r="L120" s="24">
        <v>2.3975</v>
      </c>
      <c r="M120" s="24">
        <v>36</v>
      </c>
      <c r="N120" s="27">
        <f t="shared" si="26"/>
        <v>1583.5583399999998</v>
      </c>
      <c r="O120" s="102">
        <f t="shared" si="18"/>
        <v>1.76</v>
      </c>
      <c r="P120" s="21">
        <f>VLOOKUP(A120,'2022-23 Salary &amp; Benefits'!$A:$I,5,)</f>
        <v>68937</v>
      </c>
      <c r="Q120" s="21">
        <f>VLOOKUP(A120,'2022-23 Salary &amp; Benefits'!$A:$I,6,FALSE)</f>
        <v>72728</v>
      </c>
      <c r="R120" s="22">
        <f t="shared" si="19"/>
        <v>121329.12</v>
      </c>
      <c r="S120" s="22">
        <f t="shared" si="20"/>
        <v>6672.16</v>
      </c>
      <c r="T120" s="22">
        <f>'2022-23 Salary &amp; Benefits'!$G$6</f>
        <v>12558.24</v>
      </c>
      <c r="U120" s="23">
        <f>'2022-23 Salary &amp; Benefits'!$H$6</f>
        <v>0.2298</v>
      </c>
      <c r="V120" s="23">
        <f>'2022-23 Salary &amp; Benefits'!$I$6</f>
        <v>0.22339999999999999</v>
      </c>
      <c r="W120" s="22">
        <f t="shared" si="21"/>
        <v>51474.49</v>
      </c>
      <c r="X120" s="22">
        <f t="shared" si="22"/>
        <v>2133.35</v>
      </c>
      <c r="Y120" s="22">
        <f t="shared" si="23"/>
        <v>476.59</v>
      </c>
      <c r="Z120" s="22">
        <f t="shared" si="27"/>
        <v>2609.94</v>
      </c>
      <c r="AA120" s="22">
        <f t="shared" si="28"/>
        <v>182085.71</v>
      </c>
    </row>
    <row r="121" spans="1:27">
      <c r="A121" s="125" t="s">
        <v>2388</v>
      </c>
      <c r="B121" s="3" t="s">
        <v>1116</v>
      </c>
      <c r="C121" s="93">
        <f>IF(A121=Summary!$B$9,Summary!$G$9,0)</f>
        <v>0</v>
      </c>
      <c r="D121" s="134">
        <f>VLOOKUP(A121,AAFTE!$A:$S,3,0)</f>
        <v>93.6</v>
      </c>
      <c r="E121" s="20">
        <f>VLOOKUP($A121,'2022-23 Salary &amp; Benefits'!$A:$I,3,)</f>
        <v>1</v>
      </c>
      <c r="F121" s="20">
        <f>VLOOKUP($A121,'2022-23 Salary &amp; Benefits'!$A:$I,4,)</f>
        <v>1.04</v>
      </c>
      <c r="G121" s="34">
        <f>VLOOKUP(A121,'CEDARS District FRPL'!$A:$C,3,)</f>
        <v>0.5</v>
      </c>
      <c r="H121" s="25">
        <f t="shared" si="24"/>
        <v>93.6</v>
      </c>
      <c r="I121" s="39">
        <f t="shared" si="17"/>
        <v>46.8</v>
      </c>
      <c r="J121" s="24">
        <v>15</v>
      </c>
      <c r="K121" s="26">
        <f t="shared" si="25"/>
        <v>3.1199999999999997</v>
      </c>
      <c r="L121" s="24">
        <v>2.3975</v>
      </c>
      <c r="M121" s="24">
        <v>36</v>
      </c>
      <c r="N121" s="27">
        <f t="shared" si="26"/>
        <v>269.28719999999998</v>
      </c>
      <c r="O121" s="102">
        <f t="shared" si="18"/>
        <v>0.29899999999999999</v>
      </c>
      <c r="P121" s="21">
        <f>VLOOKUP(A121,'2022-23 Salary &amp; Benefits'!$A:$I,5,)</f>
        <v>68937</v>
      </c>
      <c r="Q121" s="21">
        <f>VLOOKUP(A121,'2022-23 Salary &amp; Benefits'!$A:$I,6,FALSE)</f>
        <v>72728</v>
      </c>
      <c r="R121" s="22">
        <f t="shared" si="19"/>
        <v>20612.16</v>
      </c>
      <c r="S121" s="22">
        <f t="shared" si="20"/>
        <v>2003.34</v>
      </c>
      <c r="T121" s="22">
        <f>'2022-23 Salary &amp; Benefits'!$G$6</f>
        <v>12558.24</v>
      </c>
      <c r="U121" s="23">
        <f>'2022-23 Salary &amp; Benefits'!$H$6</f>
        <v>0.2298</v>
      </c>
      <c r="V121" s="23">
        <f>'2022-23 Salary &amp; Benefits'!$I$6</f>
        <v>0.22339999999999999</v>
      </c>
      <c r="W121" s="22">
        <f t="shared" si="21"/>
        <v>8939.1299999999992</v>
      </c>
      <c r="X121" s="22">
        <f t="shared" si="22"/>
        <v>376.92</v>
      </c>
      <c r="Y121" s="22">
        <f t="shared" si="23"/>
        <v>84.2</v>
      </c>
      <c r="Z121" s="22">
        <f t="shared" si="27"/>
        <v>461.12</v>
      </c>
      <c r="AA121" s="22">
        <f t="shared" si="28"/>
        <v>32015.75</v>
      </c>
    </row>
    <row r="122" spans="1:27">
      <c r="A122" s="125" t="s">
        <v>2285</v>
      </c>
      <c r="B122" s="3" t="s">
        <v>206</v>
      </c>
      <c r="C122" s="93">
        <f>IF(A122=Summary!$B$9,Summary!$G$9,0)</f>
        <v>0</v>
      </c>
      <c r="D122" s="134">
        <f>VLOOKUP(A122,AAFTE!$A:$S,3,0)</f>
        <v>1672.64</v>
      </c>
      <c r="E122" s="20">
        <f>VLOOKUP($A122,'2022-23 Salary &amp; Benefits'!$A:$I,3,)</f>
        <v>1.06</v>
      </c>
      <c r="F122" s="20">
        <f>VLOOKUP($A122,'2022-23 Salary &amp; Benefits'!$A:$I,4,)</f>
        <v>1.1000000000000001</v>
      </c>
      <c r="G122" s="34">
        <f>VLOOKUP(A122,'CEDARS District FRPL'!$A:$C,3,)</f>
        <v>0.25490000000000002</v>
      </c>
      <c r="H122" s="25">
        <f t="shared" si="24"/>
        <v>1672.64</v>
      </c>
      <c r="I122" s="39">
        <f t="shared" si="17"/>
        <v>426.36</v>
      </c>
      <c r="J122" s="24">
        <v>15</v>
      </c>
      <c r="K122" s="26">
        <f t="shared" si="25"/>
        <v>28.423999999999999</v>
      </c>
      <c r="L122" s="24">
        <v>2.3975</v>
      </c>
      <c r="M122" s="24">
        <v>36</v>
      </c>
      <c r="N122" s="27">
        <f t="shared" si="26"/>
        <v>2453.2754399999999</v>
      </c>
      <c r="O122" s="102">
        <f t="shared" si="18"/>
        <v>2.726</v>
      </c>
      <c r="P122" s="21">
        <f>VLOOKUP(A122,'2022-23 Salary &amp; Benefits'!$A:$I,5,)</f>
        <v>68937</v>
      </c>
      <c r="Q122" s="21">
        <f>VLOOKUP(A122,'2022-23 Salary &amp; Benefits'!$A:$I,6,FALSE)</f>
        <v>72728</v>
      </c>
      <c r="R122" s="22">
        <f t="shared" si="19"/>
        <v>199197.6</v>
      </c>
      <c r="S122" s="22">
        <f t="shared" si="20"/>
        <v>18884.580000000002</v>
      </c>
      <c r="T122" s="22">
        <f>'2022-23 Salary &amp; Benefits'!$G$6</f>
        <v>12558.24</v>
      </c>
      <c r="U122" s="23">
        <f>'2022-23 Salary &amp; Benefits'!$H$6</f>
        <v>0.2298</v>
      </c>
      <c r="V122" s="23">
        <f>'2022-23 Salary &amp; Benefits'!$I$6</f>
        <v>0.22339999999999999</v>
      </c>
      <c r="W122" s="22">
        <f t="shared" si="21"/>
        <v>84228.19</v>
      </c>
      <c r="X122" s="22">
        <f t="shared" si="22"/>
        <v>3634.7</v>
      </c>
      <c r="Y122" s="22">
        <f t="shared" si="23"/>
        <v>811.99</v>
      </c>
      <c r="Z122" s="22">
        <f t="shared" si="27"/>
        <v>4446.6899999999996</v>
      </c>
      <c r="AA122" s="22">
        <f t="shared" si="28"/>
        <v>306757.06000000006</v>
      </c>
    </row>
    <row r="123" spans="1:27">
      <c r="A123" s="125" t="s">
        <v>2464</v>
      </c>
      <c r="B123" s="3" t="s">
        <v>1569</v>
      </c>
      <c r="C123" s="93">
        <f>IF(A123=Summary!$B$9,Summary!$G$9,0)</f>
        <v>0</v>
      </c>
      <c r="D123" s="134">
        <f>VLOOKUP(A123,AAFTE!$A:$S,3,0)</f>
        <v>572.16</v>
      </c>
      <c r="E123" s="20">
        <f>VLOOKUP($A123,'2022-23 Salary &amp; Benefits'!$A:$I,3,)</f>
        <v>1.1200000000000001</v>
      </c>
      <c r="F123" s="20">
        <f>VLOOKUP($A123,'2022-23 Salary &amp; Benefits'!$A:$I,4,)</f>
        <v>1.1600000000000001</v>
      </c>
      <c r="G123" s="34">
        <f>VLOOKUP(A123,'CEDARS District FRPL'!$A:$C,3,)</f>
        <v>0.55479999999999996</v>
      </c>
      <c r="H123" s="25">
        <f t="shared" si="24"/>
        <v>572.16</v>
      </c>
      <c r="I123" s="39">
        <f t="shared" si="17"/>
        <v>317.43</v>
      </c>
      <c r="J123" s="24">
        <v>15</v>
      </c>
      <c r="K123" s="26">
        <f t="shared" si="25"/>
        <v>21.161999999999999</v>
      </c>
      <c r="L123" s="24">
        <v>2.3975</v>
      </c>
      <c r="M123" s="24">
        <v>36</v>
      </c>
      <c r="N123" s="27">
        <f t="shared" si="26"/>
        <v>1826.4922200000001</v>
      </c>
      <c r="O123" s="102">
        <f t="shared" si="18"/>
        <v>2.0289999999999999</v>
      </c>
      <c r="P123" s="21">
        <f>VLOOKUP(A123,'2022-23 Salary &amp; Benefits'!$A:$I,5,)</f>
        <v>68937</v>
      </c>
      <c r="Q123" s="21">
        <f>VLOOKUP(A123,'2022-23 Salary &amp; Benefits'!$A:$I,6,FALSE)</f>
        <v>72728</v>
      </c>
      <c r="R123" s="22">
        <f t="shared" si="19"/>
        <v>156657.95000000001</v>
      </c>
      <c r="S123" s="22">
        <f t="shared" si="20"/>
        <v>14517.58</v>
      </c>
      <c r="T123" s="22">
        <f>'2022-23 Salary &amp; Benefits'!$G$6</f>
        <v>12558.24</v>
      </c>
      <c r="U123" s="23">
        <f>'2022-23 Salary &amp; Benefits'!$H$6</f>
        <v>0.2298</v>
      </c>
      <c r="V123" s="23">
        <f>'2022-23 Salary &amp; Benefits'!$I$6</f>
        <v>0.22339999999999999</v>
      </c>
      <c r="W123" s="22">
        <f t="shared" si="21"/>
        <v>64723.89</v>
      </c>
      <c r="X123" s="22">
        <f t="shared" si="22"/>
        <v>2852.93</v>
      </c>
      <c r="Y123" s="22">
        <f t="shared" si="23"/>
        <v>637.34</v>
      </c>
      <c r="Z123" s="22">
        <f t="shared" si="27"/>
        <v>3490.27</v>
      </c>
      <c r="AA123" s="22">
        <f t="shared" si="28"/>
        <v>239389.69</v>
      </c>
    </row>
    <row r="124" spans="1:27">
      <c r="A124" s="125" t="s">
        <v>2540</v>
      </c>
      <c r="B124" s="3" t="s">
        <v>2130</v>
      </c>
      <c r="C124" s="93">
        <f>IF(A124=Summary!$B$9,Summary!$G$9,0)</f>
        <v>0</v>
      </c>
      <c r="D124" s="134">
        <f>VLOOKUP(A124,AAFTE!$A:$S,3,0)</f>
        <v>80.28</v>
      </c>
      <c r="E124" s="20">
        <f>VLOOKUP($A124,'2022-23 Salary &amp; Benefits'!$A:$I,3,)</f>
        <v>1</v>
      </c>
      <c r="F124" s="20">
        <f>VLOOKUP($A124,'2022-23 Salary &amp; Benefits'!$A:$I,4,)</f>
        <v>1.04</v>
      </c>
      <c r="G124" s="34">
        <f>VLOOKUP(A124,'CEDARS District FRPL'!$A:$C,3,)</f>
        <v>0.42470000000000002</v>
      </c>
      <c r="H124" s="25">
        <f t="shared" si="24"/>
        <v>80.28</v>
      </c>
      <c r="I124" s="39">
        <f t="shared" si="17"/>
        <v>34.090000000000003</v>
      </c>
      <c r="J124" s="24">
        <v>15</v>
      </c>
      <c r="K124" s="26">
        <f t="shared" si="25"/>
        <v>2.2726666666666668</v>
      </c>
      <c r="L124" s="24">
        <v>2.3975</v>
      </c>
      <c r="M124" s="24">
        <v>36</v>
      </c>
      <c r="N124" s="27">
        <f t="shared" si="26"/>
        <v>196.15386000000001</v>
      </c>
      <c r="O124" s="102">
        <f t="shared" si="18"/>
        <v>0.218</v>
      </c>
      <c r="P124" s="21">
        <f>VLOOKUP(A124,'2022-23 Salary &amp; Benefits'!$A:$I,5,)</f>
        <v>68937</v>
      </c>
      <c r="Q124" s="21">
        <f>VLOOKUP(A124,'2022-23 Salary &amp; Benefits'!$A:$I,6,FALSE)</f>
        <v>72728</v>
      </c>
      <c r="R124" s="22">
        <f t="shared" si="19"/>
        <v>15028.27</v>
      </c>
      <c r="S124" s="22">
        <f t="shared" si="20"/>
        <v>1460.62</v>
      </c>
      <c r="T124" s="22">
        <f>'2022-23 Salary &amp; Benefits'!$G$6</f>
        <v>12558.24</v>
      </c>
      <c r="U124" s="23">
        <f>'2022-23 Salary &amp; Benefits'!$H$6</f>
        <v>0.2298</v>
      </c>
      <c r="V124" s="23">
        <f>'2022-23 Salary &amp; Benefits'!$I$6</f>
        <v>0.22339999999999999</v>
      </c>
      <c r="W124" s="22">
        <f t="shared" si="21"/>
        <v>6517.5</v>
      </c>
      <c r="X124" s="22">
        <f t="shared" si="22"/>
        <v>274.81</v>
      </c>
      <c r="Y124" s="22">
        <f t="shared" si="23"/>
        <v>61.39</v>
      </c>
      <c r="Z124" s="22">
        <f t="shared" si="27"/>
        <v>336.2</v>
      </c>
      <c r="AA124" s="22">
        <f t="shared" si="28"/>
        <v>23342.59</v>
      </c>
    </row>
    <row r="125" spans="1:27">
      <c r="A125" s="125" t="s">
        <v>2273</v>
      </c>
      <c r="B125" s="3" t="s">
        <v>105</v>
      </c>
      <c r="C125" s="93">
        <f>IF(A125=Summary!$B$9,Summary!$G$9,0)</f>
        <v>0</v>
      </c>
      <c r="D125" s="134">
        <f>VLOOKUP(A125,AAFTE!$A:$S,3,0)</f>
        <v>1255.3</v>
      </c>
      <c r="E125" s="20">
        <f>VLOOKUP($A125,'2022-23 Salary &amp; Benefits'!$A:$I,3,)</f>
        <v>1</v>
      </c>
      <c r="F125" s="20">
        <f>VLOOKUP($A125,'2022-23 Salary &amp; Benefits'!$A:$I,4,)</f>
        <v>1</v>
      </c>
      <c r="G125" s="34">
        <f>VLOOKUP(A125,'CEDARS District FRPL'!$A:$C,3,)</f>
        <v>0.53990000000000005</v>
      </c>
      <c r="H125" s="25">
        <f t="shared" si="24"/>
        <v>1255.3</v>
      </c>
      <c r="I125" s="39">
        <f t="shared" si="17"/>
        <v>677.74</v>
      </c>
      <c r="J125" s="24">
        <v>15</v>
      </c>
      <c r="K125" s="26">
        <f t="shared" si="25"/>
        <v>45.18266666666667</v>
      </c>
      <c r="L125" s="24">
        <v>2.3975</v>
      </c>
      <c r="M125" s="24">
        <v>36</v>
      </c>
      <c r="N125" s="27">
        <f t="shared" si="26"/>
        <v>3899.7159600000005</v>
      </c>
      <c r="O125" s="102">
        <f t="shared" si="18"/>
        <v>4.3330000000000002</v>
      </c>
      <c r="P125" s="21">
        <f>VLOOKUP(A125,'2022-23 Salary &amp; Benefits'!$A:$I,5,)</f>
        <v>68937</v>
      </c>
      <c r="Q125" s="21">
        <f>VLOOKUP(A125,'2022-23 Salary &amp; Benefits'!$A:$I,6,FALSE)</f>
        <v>72728</v>
      </c>
      <c r="R125" s="22">
        <f t="shared" si="19"/>
        <v>298704.02</v>
      </c>
      <c r="S125" s="22">
        <f t="shared" si="20"/>
        <v>16426.400000000001</v>
      </c>
      <c r="T125" s="22">
        <f>'2022-23 Salary &amp; Benefits'!$G$6</f>
        <v>12558.24</v>
      </c>
      <c r="U125" s="23">
        <f>'2022-23 Salary &amp; Benefits'!$H$6</f>
        <v>0.2298</v>
      </c>
      <c r="V125" s="23">
        <f>'2022-23 Salary &amp; Benefits'!$I$6</f>
        <v>0.22339999999999999</v>
      </c>
      <c r="W125" s="22">
        <f t="shared" si="21"/>
        <v>126726.7</v>
      </c>
      <c r="X125" s="22">
        <f t="shared" si="22"/>
        <v>5252.17</v>
      </c>
      <c r="Y125" s="22">
        <f t="shared" si="23"/>
        <v>1173.33</v>
      </c>
      <c r="Z125" s="22">
        <f t="shared" si="27"/>
        <v>6425.5</v>
      </c>
      <c r="AA125" s="22">
        <f t="shared" si="28"/>
        <v>448282.62000000005</v>
      </c>
    </row>
    <row r="126" spans="1:27">
      <c r="A126" s="125" t="s">
        <v>2334</v>
      </c>
      <c r="B126" s="3" t="s">
        <v>500</v>
      </c>
      <c r="C126" s="93">
        <f>IF(A126=Summary!$B$9,Summary!$G$9,0)</f>
        <v>0</v>
      </c>
      <c r="D126" s="134">
        <f>VLOOKUP(A126,AAFTE!$A:$S,3,0)</f>
        <v>176.7</v>
      </c>
      <c r="E126" s="20">
        <f>VLOOKUP($A126,'2022-23 Salary &amp; Benefits'!$A:$I,3,)</f>
        <v>1</v>
      </c>
      <c r="F126" s="20">
        <f>VLOOKUP($A126,'2022-23 Salary &amp; Benefits'!$A:$I,4,)</f>
        <v>1</v>
      </c>
      <c r="G126" s="34">
        <f>VLOOKUP(A126,'CEDARS District FRPL'!$A:$C,3,)</f>
        <v>1</v>
      </c>
      <c r="H126" s="25">
        <f t="shared" si="24"/>
        <v>176.7</v>
      </c>
      <c r="I126" s="39">
        <f t="shared" si="17"/>
        <v>176.7</v>
      </c>
      <c r="J126" s="24">
        <v>15</v>
      </c>
      <c r="K126" s="26">
        <f t="shared" si="25"/>
        <v>11.78</v>
      </c>
      <c r="L126" s="24">
        <v>2.3975</v>
      </c>
      <c r="M126" s="24">
        <v>36</v>
      </c>
      <c r="N126" s="27">
        <f t="shared" si="26"/>
        <v>1016.7317999999999</v>
      </c>
      <c r="O126" s="102">
        <f t="shared" si="18"/>
        <v>1.1299999999999999</v>
      </c>
      <c r="P126" s="21">
        <f>VLOOKUP(A126,'2022-23 Salary &amp; Benefits'!$A:$I,5,)</f>
        <v>68937</v>
      </c>
      <c r="Q126" s="21">
        <f>VLOOKUP(A126,'2022-23 Salary &amp; Benefits'!$A:$I,6,FALSE)</f>
        <v>72728</v>
      </c>
      <c r="R126" s="22">
        <f t="shared" si="19"/>
        <v>77898.81</v>
      </c>
      <c r="S126" s="22">
        <f t="shared" si="20"/>
        <v>4283.83</v>
      </c>
      <c r="T126" s="22">
        <f>'2022-23 Salary &amp; Benefits'!$G$6</f>
        <v>12558.24</v>
      </c>
      <c r="U126" s="23">
        <f>'2022-23 Salary &amp; Benefits'!$H$6</f>
        <v>0.2298</v>
      </c>
      <c r="V126" s="23">
        <f>'2022-23 Salary &amp; Benefits'!$I$6</f>
        <v>0.22339999999999999</v>
      </c>
      <c r="W126" s="22">
        <f t="shared" si="21"/>
        <v>33048.97</v>
      </c>
      <c r="X126" s="22">
        <f t="shared" si="22"/>
        <v>1369.71</v>
      </c>
      <c r="Y126" s="22">
        <f t="shared" si="23"/>
        <v>305.99</v>
      </c>
      <c r="Z126" s="22">
        <f t="shared" si="27"/>
        <v>1675.7</v>
      </c>
      <c r="AA126" s="22">
        <f t="shared" si="28"/>
        <v>116907.31</v>
      </c>
    </row>
    <row r="127" spans="1:27">
      <c r="A127" s="125" t="s">
        <v>2473</v>
      </c>
      <c r="B127" s="3" t="s">
        <v>1618</v>
      </c>
      <c r="C127" s="93">
        <f>IF(A127=Summary!$B$9,Summary!$G$9,0)</f>
        <v>0</v>
      </c>
      <c r="D127" s="134">
        <f>VLOOKUP(A127,AAFTE!$A:$S,3,0)</f>
        <v>9281.94</v>
      </c>
      <c r="E127" s="20">
        <f>VLOOKUP($A127,'2022-23 Salary &amp; Benefits'!$A:$I,3,)</f>
        <v>1.18</v>
      </c>
      <c r="F127" s="20">
        <f>VLOOKUP($A127,'2022-23 Salary &amp; Benefits'!$A:$I,4,)</f>
        <v>1.18</v>
      </c>
      <c r="G127" s="34">
        <f>VLOOKUP(A127,'CEDARS District FRPL'!$A:$C,3,)</f>
        <v>0.2374</v>
      </c>
      <c r="H127" s="25">
        <f t="shared" si="24"/>
        <v>9281.94</v>
      </c>
      <c r="I127" s="39">
        <f t="shared" si="17"/>
        <v>2203.5300000000002</v>
      </c>
      <c r="J127" s="24">
        <v>15</v>
      </c>
      <c r="K127" s="26">
        <f t="shared" si="25"/>
        <v>146.90200000000002</v>
      </c>
      <c r="L127" s="24">
        <v>2.3975</v>
      </c>
      <c r="M127" s="24">
        <v>36</v>
      </c>
      <c r="N127" s="27">
        <f t="shared" si="26"/>
        <v>12679.111620000001</v>
      </c>
      <c r="O127" s="102">
        <f t="shared" si="18"/>
        <v>14.087999999999999</v>
      </c>
      <c r="P127" s="21">
        <f>VLOOKUP(A127,'2022-23 Salary &amp; Benefits'!$A:$I,5,)</f>
        <v>68937</v>
      </c>
      <c r="Q127" s="21">
        <f>VLOOKUP(A127,'2022-23 Salary &amp; Benefits'!$A:$I,6,FALSE)</f>
        <v>72728</v>
      </c>
      <c r="R127" s="22">
        <f t="shared" si="19"/>
        <v>1145997.6599999999</v>
      </c>
      <c r="S127" s="22">
        <f t="shared" si="20"/>
        <v>63020.98</v>
      </c>
      <c r="T127" s="22">
        <f>'2022-23 Salary &amp; Benefits'!$G$6</f>
        <v>12558.24</v>
      </c>
      <c r="U127" s="23">
        <f>'2022-23 Salary &amp; Benefits'!$H$6</f>
        <v>0.2298</v>
      </c>
      <c r="V127" s="23">
        <f>'2022-23 Salary &amp; Benefits'!$I$6</f>
        <v>0.22339999999999999</v>
      </c>
      <c r="W127" s="22">
        <f t="shared" si="21"/>
        <v>454349.63</v>
      </c>
      <c r="X127" s="22">
        <f t="shared" si="22"/>
        <v>20150.310000000001</v>
      </c>
      <c r="Y127" s="22">
        <f t="shared" si="23"/>
        <v>4501.58</v>
      </c>
      <c r="Z127" s="22">
        <f t="shared" si="27"/>
        <v>24651.89</v>
      </c>
      <c r="AA127" s="22">
        <f t="shared" si="28"/>
        <v>1688020.16</v>
      </c>
    </row>
    <row r="128" spans="1:27">
      <c r="A128" s="125" t="s">
        <v>2364</v>
      </c>
      <c r="B128" s="3" t="s">
        <v>888</v>
      </c>
      <c r="C128" s="93">
        <f>IF(A128=Summary!$B$9,Summary!$G$9,0)</f>
        <v>0</v>
      </c>
      <c r="D128" s="134">
        <f>VLOOKUP(A128,AAFTE!$A:$S,3,0)</f>
        <v>30579.47</v>
      </c>
      <c r="E128" s="20">
        <f>VLOOKUP($A128,'2022-23 Salary &amp; Benefits'!$A:$I,3,)</f>
        <v>1.18</v>
      </c>
      <c r="F128" s="20">
        <f>VLOOKUP($A128,'2022-23 Salary &amp; Benefits'!$A:$I,4,)</f>
        <v>1.18</v>
      </c>
      <c r="G128" s="34">
        <f>VLOOKUP(A128,'CEDARS District FRPL'!$A:$C,3,)</f>
        <v>9.7799999999999998E-2</v>
      </c>
      <c r="H128" s="25">
        <f t="shared" si="24"/>
        <v>30579.47</v>
      </c>
      <c r="I128" s="39">
        <f t="shared" si="17"/>
        <v>2990.67</v>
      </c>
      <c r="J128" s="24">
        <v>15</v>
      </c>
      <c r="K128" s="26">
        <f t="shared" si="25"/>
        <v>199.37800000000001</v>
      </c>
      <c r="L128" s="24">
        <v>2.3975</v>
      </c>
      <c r="M128" s="24">
        <v>36</v>
      </c>
      <c r="N128" s="27">
        <f t="shared" si="26"/>
        <v>17208.315180000001</v>
      </c>
      <c r="O128" s="102">
        <f t="shared" si="18"/>
        <v>19.12</v>
      </c>
      <c r="P128" s="21">
        <f>VLOOKUP(A128,'2022-23 Salary &amp; Benefits'!$A:$I,5,)</f>
        <v>68937</v>
      </c>
      <c r="Q128" s="21">
        <f>VLOOKUP(A128,'2022-23 Salary &amp; Benefits'!$A:$I,6,FALSE)</f>
        <v>72728</v>
      </c>
      <c r="R128" s="22">
        <f t="shared" si="19"/>
        <v>1555329.02</v>
      </c>
      <c r="S128" s="22">
        <f t="shared" si="20"/>
        <v>85531.02</v>
      </c>
      <c r="T128" s="22">
        <f>'2022-23 Salary &amp; Benefits'!$G$6</f>
        <v>12558.24</v>
      </c>
      <c r="U128" s="23">
        <f>'2022-23 Salary &amp; Benefits'!$H$6</f>
        <v>0.2298</v>
      </c>
      <c r="V128" s="23">
        <f>'2022-23 Salary &amp; Benefits'!$I$6</f>
        <v>0.22339999999999999</v>
      </c>
      <c r="W128" s="22">
        <f t="shared" si="21"/>
        <v>616635.79</v>
      </c>
      <c r="X128" s="22">
        <f t="shared" si="22"/>
        <v>27347.67</v>
      </c>
      <c r="Y128" s="22">
        <f t="shared" si="23"/>
        <v>6109.47</v>
      </c>
      <c r="Z128" s="22">
        <f t="shared" si="27"/>
        <v>33457.14</v>
      </c>
      <c r="AA128" s="22">
        <f t="shared" si="28"/>
        <v>2290952.9700000002</v>
      </c>
    </row>
    <row r="129" spans="1:27">
      <c r="A129" s="125" t="s">
        <v>2481</v>
      </c>
      <c r="B129" s="3" t="s">
        <v>1740</v>
      </c>
      <c r="C129" s="93">
        <f>IF(A129=Summary!$B$9,Summary!$G$9,0)</f>
        <v>0</v>
      </c>
      <c r="D129" s="134">
        <f>VLOOKUP(A129,AAFTE!$A:$S,3,0)</f>
        <v>2535.91</v>
      </c>
      <c r="E129" s="20">
        <f>VLOOKUP($A129,'2022-23 Salary &amp; Benefits'!$A:$I,3,)</f>
        <v>1.1499999999999999</v>
      </c>
      <c r="F129" s="20">
        <f>VLOOKUP($A129,'2022-23 Salary &amp; Benefits'!$A:$I,4,)</f>
        <v>1.1499999999999999</v>
      </c>
      <c r="G129" s="34">
        <f>VLOOKUP(A129,'CEDARS District FRPL'!$A:$C,3,)</f>
        <v>0.43070000000000003</v>
      </c>
      <c r="H129" s="25">
        <f t="shared" si="24"/>
        <v>2535.91</v>
      </c>
      <c r="I129" s="39">
        <f t="shared" si="17"/>
        <v>1092.22</v>
      </c>
      <c r="J129" s="24">
        <v>15</v>
      </c>
      <c r="K129" s="26">
        <f t="shared" si="25"/>
        <v>72.814666666666668</v>
      </c>
      <c r="L129" s="24">
        <v>2.3975</v>
      </c>
      <c r="M129" s="24">
        <v>36</v>
      </c>
      <c r="N129" s="27">
        <f t="shared" si="26"/>
        <v>6284.6338799999994</v>
      </c>
      <c r="O129" s="102">
        <f t="shared" si="18"/>
        <v>6.9829999999999997</v>
      </c>
      <c r="P129" s="21">
        <f>VLOOKUP(A129,'2022-23 Salary &amp; Benefits'!$A:$I,5,)</f>
        <v>68937</v>
      </c>
      <c r="Q129" s="21">
        <f>VLOOKUP(A129,'2022-23 Salary &amp; Benefits'!$A:$I,6,FALSE)</f>
        <v>72728</v>
      </c>
      <c r="R129" s="22">
        <f t="shared" si="19"/>
        <v>553595.13</v>
      </c>
      <c r="S129" s="22">
        <f t="shared" si="20"/>
        <v>30443.439999999999</v>
      </c>
      <c r="T129" s="22">
        <f>'2022-23 Salary &amp; Benefits'!$G$6</f>
        <v>12558.24</v>
      </c>
      <c r="U129" s="23">
        <f>'2022-23 Salary &amp; Benefits'!$H$6</f>
        <v>0.2298</v>
      </c>
      <c r="V129" s="23">
        <f>'2022-23 Salary &amp; Benefits'!$I$6</f>
        <v>0.22339999999999999</v>
      </c>
      <c r="W129" s="22">
        <f t="shared" si="21"/>
        <v>221711.42</v>
      </c>
      <c r="X129" s="22">
        <f t="shared" si="22"/>
        <v>9733.98</v>
      </c>
      <c r="Y129" s="22">
        <f t="shared" si="23"/>
        <v>2174.5700000000002</v>
      </c>
      <c r="Z129" s="22">
        <f t="shared" si="27"/>
        <v>11908.55</v>
      </c>
      <c r="AA129" s="22">
        <f t="shared" si="28"/>
        <v>817658.54</v>
      </c>
    </row>
    <row r="130" spans="1:27">
      <c r="A130" s="125" t="s">
        <v>2541</v>
      </c>
      <c r="B130" s="3" t="s">
        <v>2133</v>
      </c>
      <c r="C130" s="93">
        <f>IF(A130=Summary!$B$9,Summary!$G$9,0)</f>
        <v>0</v>
      </c>
      <c r="D130" s="134">
        <f>VLOOKUP(A130,AAFTE!$A:$S,3,0)</f>
        <v>36.29</v>
      </c>
      <c r="E130" s="20">
        <f>VLOOKUP($A130,'2022-23 Salary &amp; Benefits'!$A:$I,3,)</f>
        <v>1</v>
      </c>
      <c r="F130" s="20">
        <f>VLOOKUP($A130,'2022-23 Salary &amp; Benefits'!$A:$I,4,)</f>
        <v>1</v>
      </c>
      <c r="G130" s="34">
        <f>VLOOKUP(A130,'CEDARS District FRPL'!$A:$C,3,)</f>
        <v>0.59460000000000002</v>
      </c>
      <c r="H130" s="25">
        <f t="shared" si="24"/>
        <v>36.29</v>
      </c>
      <c r="I130" s="39">
        <f t="shared" si="17"/>
        <v>21.58</v>
      </c>
      <c r="J130" s="24">
        <v>15</v>
      </c>
      <c r="K130" s="26">
        <f t="shared" si="25"/>
        <v>1.4386666666666665</v>
      </c>
      <c r="L130" s="24">
        <v>2.3975</v>
      </c>
      <c r="M130" s="24">
        <v>36</v>
      </c>
      <c r="N130" s="27">
        <f t="shared" si="26"/>
        <v>124.17131999999999</v>
      </c>
      <c r="O130" s="102">
        <f t="shared" si="18"/>
        <v>0.13800000000000001</v>
      </c>
      <c r="P130" s="21">
        <f>VLOOKUP(A130,'2022-23 Salary &amp; Benefits'!$A:$I,5,)</f>
        <v>68937</v>
      </c>
      <c r="Q130" s="21">
        <f>VLOOKUP(A130,'2022-23 Salary &amp; Benefits'!$A:$I,6,FALSE)</f>
        <v>72728</v>
      </c>
      <c r="R130" s="22">
        <f t="shared" si="19"/>
        <v>9513.31</v>
      </c>
      <c r="S130" s="22">
        <f t="shared" si="20"/>
        <v>523.15</v>
      </c>
      <c r="T130" s="22">
        <f>'2022-23 Salary &amp; Benefits'!$G$6</f>
        <v>12558.24</v>
      </c>
      <c r="U130" s="23">
        <f>'2022-23 Salary &amp; Benefits'!$H$6</f>
        <v>0.2298</v>
      </c>
      <c r="V130" s="23">
        <f>'2022-23 Salary &amp; Benefits'!$I$6</f>
        <v>0.22339999999999999</v>
      </c>
      <c r="W130" s="22">
        <f t="shared" si="21"/>
        <v>4036.07</v>
      </c>
      <c r="X130" s="22">
        <f t="shared" si="22"/>
        <v>167.27</v>
      </c>
      <c r="Y130" s="22">
        <f t="shared" si="23"/>
        <v>37.369999999999997</v>
      </c>
      <c r="Z130" s="22">
        <f t="shared" si="27"/>
        <v>204.64000000000001</v>
      </c>
      <c r="AA130" s="22">
        <f t="shared" si="28"/>
        <v>14277.169999999998</v>
      </c>
    </row>
    <row r="131" spans="1:27">
      <c r="A131" s="125" t="s">
        <v>2496</v>
      </c>
      <c r="B131" s="3" t="s">
        <v>1895</v>
      </c>
      <c r="C131" s="93">
        <f>IF(A131=Summary!$B$9,Summary!$G$9,0)</f>
        <v>0</v>
      </c>
      <c r="D131" s="134">
        <f>VLOOKUP(A131,AAFTE!$A:$S,3,0)</f>
        <v>566.72</v>
      </c>
      <c r="E131" s="20">
        <f>VLOOKUP($A131,'2022-23 Salary &amp; Benefits'!$A:$I,3,)</f>
        <v>1</v>
      </c>
      <c r="F131" s="20">
        <f>VLOOKUP($A131,'2022-23 Salary &amp; Benefits'!$A:$I,4,)</f>
        <v>1</v>
      </c>
      <c r="G131" s="34">
        <f>VLOOKUP(A131,'CEDARS District FRPL'!$A:$C,3,)</f>
        <v>0.30070000000000002</v>
      </c>
      <c r="H131" s="25">
        <f t="shared" si="24"/>
        <v>566.72</v>
      </c>
      <c r="I131" s="39">
        <f t="shared" si="17"/>
        <v>170.41</v>
      </c>
      <c r="J131" s="24">
        <v>15</v>
      </c>
      <c r="K131" s="26">
        <f t="shared" si="25"/>
        <v>11.360666666666667</v>
      </c>
      <c r="L131" s="24">
        <v>2.3975</v>
      </c>
      <c r="M131" s="24">
        <v>36</v>
      </c>
      <c r="N131" s="27">
        <f t="shared" si="26"/>
        <v>980.53913999999997</v>
      </c>
      <c r="O131" s="102">
        <f t="shared" si="18"/>
        <v>1.089</v>
      </c>
      <c r="P131" s="21">
        <f>VLOOKUP(A131,'2022-23 Salary &amp; Benefits'!$A:$I,5,)</f>
        <v>68937</v>
      </c>
      <c r="Q131" s="21">
        <f>VLOOKUP(A131,'2022-23 Salary &amp; Benefits'!$A:$I,6,FALSE)</f>
        <v>72728</v>
      </c>
      <c r="R131" s="22">
        <f t="shared" si="19"/>
        <v>75072.39</v>
      </c>
      <c r="S131" s="22">
        <f t="shared" si="20"/>
        <v>4128.3999999999996</v>
      </c>
      <c r="T131" s="22">
        <f>'2022-23 Salary &amp; Benefits'!$G$6</f>
        <v>12558.24</v>
      </c>
      <c r="U131" s="23">
        <f>'2022-23 Salary &amp; Benefits'!$H$6</f>
        <v>0.2298</v>
      </c>
      <c r="V131" s="23">
        <f>'2022-23 Salary &amp; Benefits'!$I$6</f>
        <v>0.22339999999999999</v>
      </c>
      <c r="W131" s="22">
        <f t="shared" si="21"/>
        <v>31849.84</v>
      </c>
      <c r="X131" s="22">
        <f t="shared" si="22"/>
        <v>1320.01</v>
      </c>
      <c r="Y131" s="22">
        <f t="shared" si="23"/>
        <v>294.89</v>
      </c>
      <c r="Z131" s="22">
        <f t="shared" si="27"/>
        <v>1614.9</v>
      </c>
      <c r="AA131" s="22">
        <f t="shared" si="28"/>
        <v>112665.52999999998</v>
      </c>
    </row>
    <row r="132" spans="1:27">
      <c r="A132" s="125" t="s">
        <v>2260</v>
      </c>
      <c r="B132" s="3" t="s">
        <v>12</v>
      </c>
      <c r="C132" s="93">
        <f>IF(A132=Summary!$B$9,Summary!$G$9,0)</f>
        <v>0</v>
      </c>
      <c r="D132" s="134">
        <f>VLOOKUP(A132,AAFTE!$A:$S,3,0)</f>
        <v>189.86</v>
      </c>
      <c r="E132" s="20">
        <f>VLOOKUP($A132,'2022-23 Salary &amp; Benefits'!$A:$I,3,)</f>
        <v>1</v>
      </c>
      <c r="F132" s="20">
        <f>VLOOKUP($A132,'2022-23 Salary &amp; Benefits'!$A:$I,4,)</f>
        <v>1</v>
      </c>
      <c r="G132" s="34">
        <f>VLOOKUP(A132,'CEDARS District FRPL'!$A:$C,3,)</f>
        <v>0.65949999999999998</v>
      </c>
      <c r="H132" s="25">
        <f t="shared" si="24"/>
        <v>189.86</v>
      </c>
      <c r="I132" s="39">
        <f t="shared" si="17"/>
        <v>125.21</v>
      </c>
      <c r="J132" s="24">
        <v>15</v>
      </c>
      <c r="K132" s="26">
        <f t="shared" si="25"/>
        <v>8.3473333333333333</v>
      </c>
      <c r="L132" s="24">
        <v>2.3975</v>
      </c>
      <c r="M132" s="24">
        <v>36</v>
      </c>
      <c r="N132" s="27">
        <f t="shared" si="26"/>
        <v>720.45834000000002</v>
      </c>
      <c r="O132" s="102">
        <f t="shared" si="18"/>
        <v>0.80100000000000005</v>
      </c>
      <c r="P132" s="21">
        <f>VLOOKUP(A132,'2022-23 Salary &amp; Benefits'!$A:$I,5,)</f>
        <v>68937</v>
      </c>
      <c r="Q132" s="21">
        <f>VLOOKUP(A132,'2022-23 Salary &amp; Benefits'!$A:$I,6,FALSE)</f>
        <v>72728</v>
      </c>
      <c r="R132" s="22">
        <f t="shared" si="19"/>
        <v>55218.54</v>
      </c>
      <c r="S132" s="22">
        <f t="shared" si="20"/>
        <v>3036.59</v>
      </c>
      <c r="T132" s="22">
        <f>'2022-23 Salary &amp; Benefits'!$G$6</f>
        <v>12558.24</v>
      </c>
      <c r="U132" s="23">
        <f>'2022-23 Salary &amp; Benefits'!$H$6</f>
        <v>0.2298</v>
      </c>
      <c r="V132" s="23">
        <f>'2022-23 Salary &amp; Benefits'!$I$6</f>
        <v>0.22339999999999999</v>
      </c>
      <c r="W132" s="22">
        <f t="shared" si="21"/>
        <v>23426.74</v>
      </c>
      <c r="X132" s="22">
        <f t="shared" si="22"/>
        <v>970.92</v>
      </c>
      <c r="Y132" s="22">
        <f t="shared" si="23"/>
        <v>216.9</v>
      </c>
      <c r="Z132" s="22">
        <f t="shared" si="27"/>
        <v>1187.82</v>
      </c>
      <c r="AA132" s="22">
        <f t="shared" si="28"/>
        <v>82869.69</v>
      </c>
    </row>
    <row r="133" spans="1:27">
      <c r="A133" s="125" t="s">
        <v>2295</v>
      </c>
      <c r="B133" s="3" t="s">
        <v>296</v>
      </c>
      <c r="C133" s="93">
        <f>IF(A133=Summary!$B$9,Summary!$G$9,0)</f>
        <v>0</v>
      </c>
      <c r="D133" s="134">
        <f>VLOOKUP(A133,AAFTE!$A:$S,3,0)</f>
        <v>6159.1</v>
      </c>
      <c r="E133" s="20">
        <f>VLOOKUP($A133,'2022-23 Salary &amp; Benefits'!$A:$I,3,)</f>
        <v>1</v>
      </c>
      <c r="F133" s="20">
        <f>VLOOKUP($A133,'2022-23 Salary &amp; Benefits'!$A:$I,4,)</f>
        <v>1</v>
      </c>
      <c r="G133" s="34">
        <f>VLOOKUP(A133,'CEDARS District FRPL'!$A:$C,3,)</f>
        <v>0.63149999999999995</v>
      </c>
      <c r="H133" s="25">
        <f t="shared" ref="H133:H197" si="29">IF(C133&gt;0,C133,D133)</f>
        <v>6159.1</v>
      </c>
      <c r="I133" s="39">
        <f t="shared" si="17"/>
        <v>3889.47</v>
      </c>
      <c r="J133" s="24">
        <v>15</v>
      </c>
      <c r="K133" s="26">
        <f t="shared" si="25"/>
        <v>259.298</v>
      </c>
      <c r="L133" s="24">
        <v>2.3975</v>
      </c>
      <c r="M133" s="24">
        <v>36</v>
      </c>
      <c r="N133" s="27">
        <f t="shared" si="26"/>
        <v>22380.01038</v>
      </c>
      <c r="O133" s="102">
        <f t="shared" si="18"/>
        <v>24.867000000000001</v>
      </c>
      <c r="P133" s="21">
        <f>VLOOKUP(A133,'2022-23 Salary &amp; Benefits'!$A:$I,5,)</f>
        <v>68937</v>
      </c>
      <c r="Q133" s="21">
        <f>VLOOKUP(A133,'2022-23 Salary &amp; Benefits'!$A:$I,6,FALSE)</f>
        <v>72728</v>
      </c>
      <c r="R133" s="22">
        <f t="shared" si="19"/>
        <v>1714256.38</v>
      </c>
      <c r="S133" s="22">
        <f t="shared" si="20"/>
        <v>94270.8</v>
      </c>
      <c r="T133" s="22">
        <f>'2022-23 Salary &amp; Benefits'!$G$6</f>
        <v>12558.24</v>
      </c>
      <c r="U133" s="23">
        <f>'2022-23 Salary &amp; Benefits'!$H$6</f>
        <v>0.2298</v>
      </c>
      <c r="V133" s="23">
        <f>'2022-23 Salary &amp; Benefits'!$I$6</f>
        <v>0.22339999999999999</v>
      </c>
      <c r="W133" s="22">
        <f t="shared" si="21"/>
        <v>727281.97</v>
      </c>
      <c r="X133" s="22">
        <f t="shared" si="22"/>
        <v>30142.12</v>
      </c>
      <c r="Y133" s="22">
        <f t="shared" si="23"/>
        <v>6733.75</v>
      </c>
      <c r="Z133" s="22">
        <f t="shared" si="27"/>
        <v>36875.869999999995</v>
      </c>
      <c r="AA133" s="22">
        <f t="shared" si="28"/>
        <v>2572685.0199999996</v>
      </c>
    </row>
    <row r="134" spans="1:27">
      <c r="A134" s="125" t="s">
        <v>2508</v>
      </c>
      <c r="B134" s="3" t="s">
        <v>1942</v>
      </c>
      <c r="C134" s="93">
        <f>IF(A134=Summary!$B$9,Summary!$G$9,0)</f>
        <v>0</v>
      </c>
      <c r="D134" s="134">
        <f>VLOOKUP(A134,AAFTE!$A:$S,3,0)</f>
        <v>232.56</v>
      </c>
      <c r="E134" s="20">
        <f>VLOOKUP($A134,'2022-23 Salary &amp; Benefits'!$A:$I,3,)</f>
        <v>1</v>
      </c>
      <c r="F134" s="20">
        <f>VLOOKUP($A134,'2022-23 Salary &amp; Benefits'!$A:$I,4,)</f>
        <v>1</v>
      </c>
      <c r="G134" s="34">
        <f>VLOOKUP(A134,'CEDARS District FRPL'!$A:$C,3,)</f>
        <v>0.56200000000000006</v>
      </c>
      <c r="H134" s="25">
        <f t="shared" si="29"/>
        <v>232.56</v>
      </c>
      <c r="I134" s="39">
        <f t="shared" ref="I134:I197" si="30">ROUND(H134*G134,2)</f>
        <v>130.69999999999999</v>
      </c>
      <c r="J134" s="24">
        <v>15</v>
      </c>
      <c r="K134" s="26">
        <f t="shared" ref="K134:K198" si="31">I134/J134</f>
        <v>8.7133333333333329</v>
      </c>
      <c r="L134" s="24">
        <v>2.3975</v>
      </c>
      <c r="M134" s="24">
        <v>36</v>
      </c>
      <c r="N134" s="27">
        <f t="shared" ref="N134:N198" si="32">K134*L134*M134</f>
        <v>752.04779999999994</v>
      </c>
      <c r="O134" s="102">
        <f t="shared" ref="O134:O197" si="33">ROUND(N134/900,3)</f>
        <v>0.83599999999999997</v>
      </c>
      <c r="P134" s="21">
        <f>VLOOKUP(A134,'2022-23 Salary &amp; Benefits'!$A:$I,5,)</f>
        <v>68937</v>
      </c>
      <c r="Q134" s="21">
        <f>VLOOKUP(A134,'2022-23 Salary &amp; Benefits'!$A:$I,6,FALSE)</f>
        <v>72728</v>
      </c>
      <c r="R134" s="22">
        <f t="shared" ref="R134:R197" si="34">ROUND($E134*$P134*$O134,2)</f>
        <v>57631.33</v>
      </c>
      <c r="S134" s="22">
        <f t="shared" ref="S134:S197" si="35">ROUND(($Q134*$F134*$O134-$R134),2)</f>
        <v>3169.28</v>
      </c>
      <c r="T134" s="22">
        <f>'2022-23 Salary &amp; Benefits'!$G$6</f>
        <v>12558.24</v>
      </c>
      <c r="U134" s="23">
        <f>'2022-23 Salary &amp; Benefits'!$H$6</f>
        <v>0.2298</v>
      </c>
      <c r="V134" s="23">
        <f>'2022-23 Salary &amp; Benefits'!$I$6</f>
        <v>0.22339999999999999</v>
      </c>
      <c r="W134" s="22">
        <f t="shared" ref="W134:W197" si="36">ROUND(R134*U134+S134*V134+O134*T134,2)</f>
        <v>24450.39</v>
      </c>
      <c r="X134" s="22">
        <f t="shared" ref="X134:X197" si="37">ROUND(($Q134*$F134*$O134/180*3),2)</f>
        <v>1013.34</v>
      </c>
      <c r="Y134" s="22">
        <f t="shared" ref="Y134:Y197" si="38">ROUND(X134*V134,2)</f>
        <v>226.38</v>
      </c>
      <c r="Z134" s="22">
        <f t="shared" si="27"/>
        <v>1239.72</v>
      </c>
      <c r="AA134" s="22">
        <f t="shared" si="28"/>
        <v>86490.72</v>
      </c>
    </row>
    <row r="135" spans="1:27">
      <c r="A135" s="125" t="s">
        <v>2458</v>
      </c>
      <c r="B135" s="3" t="s">
        <v>1533</v>
      </c>
      <c r="C135" s="93">
        <f>IF(A135=Summary!$B$9,Summary!$G$9,0)</f>
        <v>0</v>
      </c>
      <c r="D135" s="134">
        <f>VLOOKUP(A135,AAFTE!$A:$S,3,0)</f>
        <v>242.05</v>
      </c>
      <c r="E135" s="20">
        <f>VLOOKUP($A135,'2022-23 Salary &amp; Benefits'!$A:$I,3,)</f>
        <v>1.1200000000000001</v>
      </c>
      <c r="F135" s="20">
        <f>VLOOKUP($A135,'2022-23 Salary &amp; Benefits'!$A:$I,4,)</f>
        <v>1.1200000000000001</v>
      </c>
      <c r="G135" s="34">
        <f>VLOOKUP(A135,'CEDARS District FRPL'!$A:$C,3,)</f>
        <v>0.44</v>
      </c>
      <c r="H135" s="25">
        <f t="shared" si="29"/>
        <v>242.05</v>
      </c>
      <c r="I135" s="39">
        <f t="shared" si="30"/>
        <v>106.5</v>
      </c>
      <c r="J135" s="24">
        <v>15</v>
      </c>
      <c r="K135" s="26">
        <f t="shared" si="31"/>
        <v>7.1</v>
      </c>
      <c r="L135" s="24">
        <v>2.3975</v>
      </c>
      <c r="M135" s="24">
        <v>36</v>
      </c>
      <c r="N135" s="27">
        <f t="shared" si="32"/>
        <v>612.80099999999993</v>
      </c>
      <c r="O135" s="102">
        <f t="shared" si="33"/>
        <v>0.68100000000000005</v>
      </c>
      <c r="P135" s="21">
        <f>VLOOKUP(A135,'2022-23 Salary &amp; Benefits'!$A:$I,5,)</f>
        <v>68937</v>
      </c>
      <c r="Q135" s="21">
        <f>VLOOKUP(A135,'2022-23 Salary &amp; Benefits'!$A:$I,6,FALSE)</f>
        <v>72728</v>
      </c>
      <c r="R135" s="22">
        <f t="shared" si="34"/>
        <v>52579.63</v>
      </c>
      <c r="S135" s="22">
        <f t="shared" si="35"/>
        <v>2891.47</v>
      </c>
      <c r="T135" s="22">
        <f>'2022-23 Salary &amp; Benefits'!$G$6</f>
        <v>12558.24</v>
      </c>
      <c r="U135" s="23">
        <f>'2022-23 Salary &amp; Benefits'!$H$6</f>
        <v>0.2298</v>
      </c>
      <c r="V135" s="23">
        <f>'2022-23 Salary &amp; Benefits'!$I$6</f>
        <v>0.22339999999999999</v>
      </c>
      <c r="W135" s="22">
        <f t="shared" si="36"/>
        <v>21280.91</v>
      </c>
      <c r="X135" s="22">
        <f t="shared" si="37"/>
        <v>924.52</v>
      </c>
      <c r="Y135" s="22">
        <f t="shared" si="38"/>
        <v>206.54</v>
      </c>
      <c r="Z135" s="22">
        <f t="shared" ref="Z135:Z199" si="39">SUM(X135:Y135)</f>
        <v>1131.06</v>
      </c>
      <c r="AA135" s="22">
        <f t="shared" ref="AA135:AA199" si="40">SUM(W135,R135:S135,Z135)</f>
        <v>77883.069999999992</v>
      </c>
    </row>
    <row r="136" spans="1:27">
      <c r="A136" s="29" t="s">
        <v>2857</v>
      </c>
      <c r="B136" s="29" t="s">
        <v>2965</v>
      </c>
      <c r="C136" s="93">
        <f>IF(A136=Summary!$B$9,Summary!$G$9,0)</f>
        <v>0</v>
      </c>
      <c r="D136" s="134">
        <f>VLOOKUP(A136,AAFTE!$A:$S,3,0)</f>
        <v>35.71</v>
      </c>
      <c r="E136" s="20">
        <f>VLOOKUP($A136,'2022-23 Salary &amp; Benefits'!$A:$I,3,)</f>
        <v>1.03</v>
      </c>
      <c r="F136" s="20">
        <f>VLOOKUP($A136,'2022-23 Salary &amp; Benefits'!$A:$I,4,)</f>
        <v>1.03</v>
      </c>
      <c r="G136" s="34">
        <f>VLOOKUP(A136,'CEDARS District FRPL'!$A:$C,3,)</f>
        <v>0.87180000000000002</v>
      </c>
      <c r="H136" s="25">
        <f>IF(C136&gt;0,C136,D136)</f>
        <v>35.71</v>
      </c>
      <c r="I136" s="39">
        <f t="shared" si="30"/>
        <v>31.13</v>
      </c>
      <c r="J136" s="24">
        <v>15</v>
      </c>
      <c r="K136" s="26">
        <f>I136/J136</f>
        <v>2.0753333333333335</v>
      </c>
      <c r="L136" s="24">
        <v>2.3975</v>
      </c>
      <c r="M136" s="24">
        <v>36</v>
      </c>
      <c r="N136" s="27">
        <f>K136*L136*M136</f>
        <v>179.12201999999999</v>
      </c>
      <c r="O136" s="102">
        <f t="shared" si="33"/>
        <v>0.19900000000000001</v>
      </c>
      <c r="P136" s="21">
        <f>VLOOKUP(A136,'2022-23 Salary &amp; Benefits'!$A:$I,5,)</f>
        <v>68937</v>
      </c>
      <c r="Q136" s="21">
        <f>VLOOKUP(A136,'2022-23 Salary &amp; Benefits'!$A:$I,6,FALSE)</f>
        <v>72728</v>
      </c>
      <c r="R136" s="22">
        <f t="shared" si="34"/>
        <v>14130.02</v>
      </c>
      <c r="S136" s="22">
        <f t="shared" si="35"/>
        <v>777.04</v>
      </c>
      <c r="T136" s="22">
        <f>'2022-23 Salary &amp; Benefits'!$G$6</f>
        <v>12558.24</v>
      </c>
      <c r="U136" s="23">
        <f>'2022-23 Salary &amp; Benefits'!$H$6</f>
        <v>0.2298</v>
      </c>
      <c r="V136" s="23">
        <f>'2022-23 Salary &amp; Benefits'!$I$6</f>
        <v>0.22339999999999999</v>
      </c>
      <c r="W136" s="22">
        <f t="shared" si="36"/>
        <v>5919.76</v>
      </c>
      <c r="X136" s="22">
        <f t="shared" si="37"/>
        <v>248.45</v>
      </c>
      <c r="Y136" s="22">
        <f t="shared" si="38"/>
        <v>55.5</v>
      </c>
      <c r="Z136" s="22">
        <f>SUM(X136:Y136)</f>
        <v>303.95</v>
      </c>
      <c r="AA136" s="22">
        <f>SUM(W136,R136:S136,Z136)</f>
        <v>21130.77</v>
      </c>
    </row>
    <row r="137" spans="1:27">
      <c r="A137" s="125" t="s">
        <v>2539</v>
      </c>
      <c r="B137" s="3" t="s">
        <v>2128</v>
      </c>
      <c r="C137" s="93">
        <f>IF(A137=Summary!$B$9,Summary!$G$9,0)</f>
        <v>0</v>
      </c>
      <c r="D137" s="134">
        <f>VLOOKUP(A137,AAFTE!$A:$S,3,0)</f>
        <v>397.29</v>
      </c>
      <c r="E137" s="20">
        <f>VLOOKUP($A137,'2022-23 Salary &amp; Benefits'!$A:$I,3,)</f>
        <v>1.0900000000000001</v>
      </c>
      <c r="F137" s="20">
        <f>VLOOKUP($A137,'2022-23 Salary &amp; Benefits'!$A:$I,4,)</f>
        <v>1.0900000000000001</v>
      </c>
      <c r="G137" s="34">
        <f>VLOOKUP(A137,'CEDARS District FRPL'!$A:$C,3,)</f>
        <v>0.92859999999999998</v>
      </c>
      <c r="H137" s="25">
        <f t="shared" si="29"/>
        <v>397.29</v>
      </c>
      <c r="I137" s="39">
        <f t="shared" si="30"/>
        <v>368.92</v>
      </c>
      <c r="J137" s="24">
        <v>15</v>
      </c>
      <c r="K137" s="26">
        <f t="shared" si="31"/>
        <v>24.594666666666669</v>
      </c>
      <c r="L137" s="24">
        <v>2.3975</v>
      </c>
      <c r="M137" s="24">
        <v>36</v>
      </c>
      <c r="N137" s="27">
        <f t="shared" si="32"/>
        <v>2122.7656800000004</v>
      </c>
      <c r="O137" s="102">
        <f t="shared" si="33"/>
        <v>2.359</v>
      </c>
      <c r="P137" s="21">
        <f>VLOOKUP(A137,'2022-23 Salary &amp; Benefits'!$A:$I,5,)</f>
        <v>68937</v>
      </c>
      <c r="Q137" s="21">
        <f>VLOOKUP(A137,'2022-23 Salary &amp; Benefits'!$A:$I,6,FALSE)</f>
        <v>72728</v>
      </c>
      <c r="R137" s="22">
        <f t="shared" si="34"/>
        <v>177258.4</v>
      </c>
      <c r="S137" s="22">
        <f t="shared" si="35"/>
        <v>9747.83</v>
      </c>
      <c r="T137" s="22">
        <f>'2022-23 Salary &amp; Benefits'!$G$6</f>
        <v>12558.24</v>
      </c>
      <c r="U137" s="23">
        <f>'2022-23 Salary &amp; Benefits'!$H$6</f>
        <v>0.2298</v>
      </c>
      <c r="V137" s="23">
        <f>'2022-23 Salary &amp; Benefits'!$I$6</f>
        <v>0.22339999999999999</v>
      </c>
      <c r="W137" s="22">
        <f t="shared" si="36"/>
        <v>72536.53</v>
      </c>
      <c r="X137" s="22">
        <f t="shared" si="37"/>
        <v>3116.77</v>
      </c>
      <c r="Y137" s="22">
        <f t="shared" si="38"/>
        <v>696.29</v>
      </c>
      <c r="Z137" s="22">
        <f t="shared" si="39"/>
        <v>3813.06</v>
      </c>
      <c r="AA137" s="22">
        <f t="shared" si="40"/>
        <v>263355.82</v>
      </c>
    </row>
    <row r="138" spans="1:27">
      <c r="A138" s="125" t="s">
        <v>2392</v>
      </c>
      <c r="B138" s="3" t="s">
        <v>1129</v>
      </c>
      <c r="C138" s="93">
        <f>IF(A138=Summary!$B$9,Summary!$G$9,0)</f>
        <v>0</v>
      </c>
      <c r="D138" s="134">
        <f>VLOOKUP(A138,AAFTE!$A:$S,3,0)</f>
        <v>210.02</v>
      </c>
      <c r="E138" s="20">
        <f>VLOOKUP($A138,'2022-23 Salary &amp; Benefits'!$A:$I,3,)</f>
        <v>1</v>
      </c>
      <c r="F138" s="20">
        <f>VLOOKUP($A138,'2022-23 Salary &amp; Benefits'!$A:$I,4,)</f>
        <v>1</v>
      </c>
      <c r="G138" s="34">
        <f>VLOOKUP(A138,'CEDARS District FRPL'!$A:$C,3,)</f>
        <v>0.88739999999999997</v>
      </c>
      <c r="H138" s="25">
        <f t="shared" si="29"/>
        <v>210.02</v>
      </c>
      <c r="I138" s="39">
        <f t="shared" si="30"/>
        <v>186.37</v>
      </c>
      <c r="J138" s="24">
        <v>15</v>
      </c>
      <c r="K138" s="26">
        <f t="shared" si="31"/>
        <v>12.424666666666667</v>
      </c>
      <c r="L138" s="24">
        <v>2.3975</v>
      </c>
      <c r="M138" s="24">
        <v>36</v>
      </c>
      <c r="N138" s="27">
        <f t="shared" si="32"/>
        <v>1072.3729799999999</v>
      </c>
      <c r="O138" s="102">
        <f t="shared" si="33"/>
        <v>1.1919999999999999</v>
      </c>
      <c r="P138" s="21">
        <f>VLOOKUP(A138,'2022-23 Salary &amp; Benefits'!$A:$I,5,)</f>
        <v>68937</v>
      </c>
      <c r="Q138" s="21">
        <f>VLOOKUP(A138,'2022-23 Salary &amp; Benefits'!$A:$I,6,FALSE)</f>
        <v>72728</v>
      </c>
      <c r="R138" s="22">
        <f t="shared" si="34"/>
        <v>82172.899999999994</v>
      </c>
      <c r="S138" s="22">
        <f t="shared" si="35"/>
        <v>4518.88</v>
      </c>
      <c r="T138" s="22">
        <f>'2022-23 Salary &amp; Benefits'!$G$6</f>
        <v>12558.24</v>
      </c>
      <c r="U138" s="23">
        <f>'2022-23 Salary &amp; Benefits'!$H$6</f>
        <v>0.2298</v>
      </c>
      <c r="V138" s="23">
        <f>'2022-23 Salary &amp; Benefits'!$I$6</f>
        <v>0.22339999999999999</v>
      </c>
      <c r="W138" s="22">
        <f t="shared" si="36"/>
        <v>34862.269999999997</v>
      </c>
      <c r="X138" s="22">
        <f t="shared" si="37"/>
        <v>1444.86</v>
      </c>
      <c r="Y138" s="22">
        <f t="shared" si="38"/>
        <v>322.77999999999997</v>
      </c>
      <c r="Z138" s="22">
        <f t="shared" si="39"/>
        <v>1767.6399999999999</v>
      </c>
      <c r="AA138" s="22">
        <f t="shared" si="40"/>
        <v>123321.68999999999</v>
      </c>
    </row>
    <row r="139" spans="1:27">
      <c r="A139" s="125" t="s">
        <v>2535</v>
      </c>
      <c r="B139" s="3" t="s">
        <v>2103</v>
      </c>
      <c r="C139" s="93">
        <f>IF(A139=Summary!$B$9,Summary!$G$9,0)</f>
        <v>0</v>
      </c>
      <c r="D139" s="134">
        <f>VLOOKUP(A139,AAFTE!$A:$S,3,0)</f>
        <v>3317.95</v>
      </c>
      <c r="E139" s="20">
        <f>VLOOKUP($A139,'2022-23 Salary &amp; Benefits'!$A:$I,3,)</f>
        <v>1.06</v>
      </c>
      <c r="F139" s="20">
        <f>VLOOKUP($A139,'2022-23 Salary &amp; Benefits'!$A:$I,4,)</f>
        <v>1.06</v>
      </c>
      <c r="G139" s="34">
        <f>VLOOKUP(A139,'CEDARS District FRPL'!$A:$C,3,)</f>
        <v>0.2417</v>
      </c>
      <c r="H139" s="25">
        <f t="shared" si="29"/>
        <v>3317.95</v>
      </c>
      <c r="I139" s="39">
        <f t="shared" si="30"/>
        <v>801.95</v>
      </c>
      <c r="J139" s="24">
        <v>15</v>
      </c>
      <c r="K139" s="26">
        <f t="shared" si="31"/>
        <v>53.463333333333338</v>
      </c>
      <c r="L139" s="24">
        <v>2.3975</v>
      </c>
      <c r="M139" s="24">
        <v>36</v>
      </c>
      <c r="N139" s="27">
        <f t="shared" si="32"/>
        <v>4614.4203000000007</v>
      </c>
      <c r="O139" s="102">
        <f t="shared" si="33"/>
        <v>5.1269999999999998</v>
      </c>
      <c r="P139" s="21">
        <f>VLOOKUP(A139,'2022-23 Salary &amp; Benefits'!$A:$I,5,)</f>
        <v>68937</v>
      </c>
      <c r="Q139" s="21">
        <f>VLOOKUP(A139,'2022-23 Salary &amp; Benefits'!$A:$I,6,FALSE)</f>
        <v>72728</v>
      </c>
      <c r="R139" s="22">
        <f t="shared" si="34"/>
        <v>374646.4</v>
      </c>
      <c r="S139" s="22">
        <f t="shared" si="35"/>
        <v>20602.64</v>
      </c>
      <c r="T139" s="22">
        <f>'2022-23 Salary &amp; Benefits'!$G$6</f>
        <v>12558.24</v>
      </c>
      <c r="U139" s="23">
        <f>'2022-23 Salary &amp; Benefits'!$H$6</f>
        <v>0.2298</v>
      </c>
      <c r="V139" s="23">
        <f>'2022-23 Salary &amp; Benefits'!$I$6</f>
        <v>0.22339999999999999</v>
      </c>
      <c r="W139" s="22">
        <f t="shared" si="36"/>
        <v>155082.47</v>
      </c>
      <c r="X139" s="22">
        <f t="shared" si="37"/>
        <v>6587.48</v>
      </c>
      <c r="Y139" s="22">
        <f t="shared" si="38"/>
        <v>1471.64</v>
      </c>
      <c r="Z139" s="22">
        <f t="shared" si="39"/>
        <v>8059.12</v>
      </c>
      <c r="AA139" s="22">
        <f t="shared" si="40"/>
        <v>558390.63</v>
      </c>
    </row>
    <row r="140" spans="1:27">
      <c r="A140" s="125" t="s">
        <v>2558</v>
      </c>
      <c r="B140" s="3" t="s">
        <v>2201</v>
      </c>
      <c r="C140" s="93">
        <f>IF(A140=Summary!$B$9,Summary!$G$9,0)</f>
        <v>0</v>
      </c>
      <c r="D140" s="134">
        <f>VLOOKUP(A140,AAFTE!$A:$S,3,0)</f>
        <v>807.38</v>
      </c>
      <c r="E140" s="20">
        <f>VLOOKUP($A140,'2022-23 Salary &amp; Benefits'!$A:$I,3,)</f>
        <v>1</v>
      </c>
      <c r="F140" s="20">
        <f>VLOOKUP($A140,'2022-23 Salary &amp; Benefits'!$A:$I,4,)</f>
        <v>1</v>
      </c>
      <c r="G140" s="34">
        <f>VLOOKUP(A140,'CEDARS District FRPL'!$A:$C,3,)</f>
        <v>0.99119999999999997</v>
      </c>
      <c r="H140" s="25">
        <f t="shared" si="29"/>
        <v>807.38</v>
      </c>
      <c r="I140" s="39">
        <f t="shared" si="30"/>
        <v>800.28</v>
      </c>
      <c r="J140" s="24">
        <v>15</v>
      </c>
      <c r="K140" s="26">
        <f t="shared" si="31"/>
        <v>53.351999999999997</v>
      </c>
      <c r="L140" s="24">
        <v>2.3975</v>
      </c>
      <c r="M140" s="24">
        <v>36</v>
      </c>
      <c r="N140" s="27">
        <f t="shared" si="32"/>
        <v>4604.8111199999994</v>
      </c>
      <c r="O140" s="102">
        <f t="shared" si="33"/>
        <v>5.1159999999999997</v>
      </c>
      <c r="P140" s="21">
        <f>VLOOKUP(A140,'2022-23 Salary &amp; Benefits'!$A:$I,5,)</f>
        <v>68937</v>
      </c>
      <c r="Q140" s="21">
        <f>VLOOKUP(A140,'2022-23 Salary &amp; Benefits'!$A:$I,6,FALSE)</f>
        <v>72728</v>
      </c>
      <c r="R140" s="22">
        <f t="shared" si="34"/>
        <v>352681.69</v>
      </c>
      <c r="S140" s="22">
        <f t="shared" si="35"/>
        <v>19394.759999999998</v>
      </c>
      <c r="T140" s="22">
        <f>'2022-23 Salary &amp; Benefits'!$G$6</f>
        <v>12558.24</v>
      </c>
      <c r="U140" s="23">
        <f>'2022-23 Salary &amp; Benefits'!$H$6</f>
        <v>0.2298</v>
      </c>
      <c r="V140" s="23">
        <f>'2022-23 Salary &amp; Benefits'!$I$6</f>
        <v>0.22339999999999999</v>
      </c>
      <c r="W140" s="22">
        <f t="shared" si="36"/>
        <v>149627</v>
      </c>
      <c r="X140" s="22">
        <f t="shared" si="37"/>
        <v>6201.27</v>
      </c>
      <c r="Y140" s="22">
        <f t="shared" si="38"/>
        <v>1385.36</v>
      </c>
      <c r="Z140" s="22">
        <f t="shared" si="39"/>
        <v>7586.63</v>
      </c>
      <c r="AA140" s="22">
        <f t="shared" si="40"/>
        <v>529290.07999999996</v>
      </c>
    </row>
    <row r="141" spans="1:27">
      <c r="A141" s="125" t="s">
        <v>2305</v>
      </c>
      <c r="B141" s="3" t="s">
        <v>353</v>
      </c>
      <c r="C141" s="93">
        <f>IF(A141=Summary!$B$9,Summary!$G$9,0)</f>
        <v>0</v>
      </c>
      <c r="D141" s="134">
        <f>VLOOKUP(A141,AAFTE!$A:$S,3,0)</f>
        <v>89.98</v>
      </c>
      <c r="E141" s="20">
        <f>VLOOKUP($A141,'2022-23 Salary &amp; Benefits'!$A:$I,3,)</f>
        <v>1</v>
      </c>
      <c r="F141" s="20">
        <f>VLOOKUP($A141,'2022-23 Salary &amp; Benefits'!$A:$I,4,)</f>
        <v>1</v>
      </c>
      <c r="G141" s="34">
        <f>VLOOKUP(A141,'CEDARS District FRPL'!$A:$C,3,)</f>
        <v>0.65590000000000004</v>
      </c>
      <c r="H141" s="25">
        <f t="shared" si="29"/>
        <v>89.98</v>
      </c>
      <c r="I141" s="39">
        <f t="shared" si="30"/>
        <v>59.02</v>
      </c>
      <c r="J141" s="24">
        <v>15</v>
      </c>
      <c r="K141" s="26">
        <f t="shared" si="31"/>
        <v>3.9346666666666668</v>
      </c>
      <c r="L141" s="24">
        <v>2.3975</v>
      </c>
      <c r="M141" s="24">
        <v>36</v>
      </c>
      <c r="N141" s="27">
        <f t="shared" si="32"/>
        <v>339.60108000000002</v>
      </c>
      <c r="O141" s="102">
        <f t="shared" si="33"/>
        <v>0.377</v>
      </c>
      <c r="P141" s="21">
        <f>VLOOKUP(A141,'2022-23 Salary &amp; Benefits'!$A:$I,5,)</f>
        <v>68937</v>
      </c>
      <c r="Q141" s="21">
        <f>VLOOKUP(A141,'2022-23 Salary &amp; Benefits'!$A:$I,6,FALSE)</f>
        <v>72728</v>
      </c>
      <c r="R141" s="22">
        <f t="shared" si="34"/>
        <v>25989.25</v>
      </c>
      <c r="S141" s="22">
        <f t="shared" si="35"/>
        <v>1429.21</v>
      </c>
      <c r="T141" s="22">
        <f>'2022-23 Salary &amp; Benefits'!$G$6</f>
        <v>12558.24</v>
      </c>
      <c r="U141" s="23">
        <f>'2022-23 Salary &amp; Benefits'!$H$6</f>
        <v>0.2298</v>
      </c>
      <c r="V141" s="23">
        <f>'2022-23 Salary &amp; Benefits'!$I$6</f>
        <v>0.22339999999999999</v>
      </c>
      <c r="W141" s="22">
        <f t="shared" si="36"/>
        <v>11026.07</v>
      </c>
      <c r="X141" s="22">
        <f t="shared" si="37"/>
        <v>456.97</v>
      </c>
      <c r="Y141" s="22">
        <f t="shared" si="38"/>
        <v>102.09</v>
      </c>
      <c r="Z141" s="22">
        <f t="shared" si="39"/>
        <v>559.06000000000006</v>
      </c>
      <c r="AA141" s="22">
        <f t="shared" si="40"/>
        <v>39003.589999999997</v>
      </c>
    </row>
    <row r="142" spans="1:27">
      <c r="A142" s="125" t="s">
        <v>2270</v>
      </c>
      <c r="B142" s="3" t="s">
        <v>96</v>
      </c>
      <c r="C142" s="93">
        <f>IF(A142=Summary!$B$9,Summary!$G$9,0)</f>
        <v>0</v>
      </c>
      <c r="D142" s="134">
        <f>VLOOKUP(A142,AAFTE!$A:$S,3,0)</f>
        <v>597.22</v>
      </c>
      <c r="E142" s="20">
        <f>VLOOKUP($A142,'2022-23 Salary &amp; Benefits'!$A:$I,3,)</f>
        <v>1</v>
      </c>
      <c r="F142" s="20">
        <f>VLOOKUP($A142,'2022-23 Salary &amp; Benefits'!$A:$I,4,)</f>
        <v>1</v>
      </c>
      <c r="G142" s="34">
        <f>VLOOKUP(A142,'CEDARS District FRPL'!$A:$C,3,)</f>
        <v>0.65839999999999999</v>
      </c>
      <c r="H142" s="25">
        <f t="shared" si="29"/>
        <v>597.22</v>
      </c>
      <c r="I142" s="39">
        <f t="shared" si="30"/>
        <v>393.21</v>
      </c>
      <c r="J142" s="24">
        <v>15</v>
      </c>
      <c r="K142" s="26">
        <f t="shared" si="31"/>
        <v>26.213999999999999</v>
      </c>
      <c r="L142" s="24">
        <v>2.3975</v>
      </c>
      <c r="M142" s="24">
        <v>36</v>
      </c>
      <c r="N142" s="27">
        <f t="shared" si="32"/>
        <v>2262.5303399999998</v>
      </c>
      <c r="O142" s="102">
        <f t="shared" si="33"/>
        <v>2.5139999999999998</v>
      </c>
      <c r="P142" s="21">
        <f>VLOOKUP(A142,'2022-23 Salary &amp; Benefits'!$A:$I,5,)</f>
        <v>68937</v>
      </c>
      <c r="Q142" s="21">
        <f>VLOOKUP(A142,'2022-23 Salary &amp; Benefits'!$A:$I,6,FALSE)</f>
        <v>72728</v>
      </c>
      <c r="R142" s="22">
        <f t="shared" si="34"/>
        <v>173307.62</v>
      </c>
      <c r="S142" s="22">
        <f t="shared" si="35"/>
        <v>9530.57</v>
      </c>
      <c r="T142" s="22">
        <f>'2022-23 Salary &amp; Benefits'!$G$6</f>
        <v>12558.24</v>
      </c>
      <c r="U142" s="23">
        <f>'2022-23 Salary &amp; Benefits'!$H$6</f>
        <v>0.2298</v>
      </c>
      <c r="V142" s="23">
        <f>'2022-23 Salary &amp; Benefits'!$I$6</f>
        <v>0.22339999999999999</v>
      </c>
      <c r="W142" s="22">
        <f t="shared" si="36"/>
        <v>73526.64</v>
      </c>
      <c r="X142" s="22">
        <f t="shared" si="37"/>
        <v>3047.3</v>
      </c>
      <c r="Y142" s="22">
        <f t="shared" si="38"/>
        <v>680.77</v>
      </c>
      <c r="Z142" s="22">
        <f t="shared" si="39"/>
        <v>3728.07</v>
      </c>
      <c r="AA142" s="22">
        <f t="shared" si="40"/>
        <v>260092.90000000002</v>
      </c>
    </row>
    <row r="143" spans="1:27">
      <c r="A143" s="125" t="s">
        <v>2417</v>
      </c>
      <c r="B143" s="3" t="s">
        <v>1213</v>
      </c>
      <c r="C143" s="93">
        <f>IF(A143=Summary!$B$9,Summary!$G$9,0)</f>
        <v>0</v>
      </c>
      <c r="D143" s="134">
        <f>VLOOKUP(A143,AAFTE!$A:$S,3,0)</f>
        <v>1434.69</v>
      </c>
      <c r="E143" s="20">
        <f>VLOOKUP($A143,'2022-23 Salary &amp; Benefits'!$A:$I,3,)</f>
        <v>1</v>
      </c>
      <c r="F143" s="20">
        <f>VLOOKUP($A143,'2022-23 Salary &amp; Benefits'!$A:$I,4,)</f>
        <v>1</v>
      </c>
      <c r="G143" s="34">
        <f>VLOOKUP(A143,'CEDARS District FRPL'!$A:$C,3,)</f>
        <v>0.20680000000000001</v>
      </c>
      <c r="H143" s="25">
        <f t="shared" si="29"/>
        <v>1434.69</v>
      </c>
      <c r="I143" s="39">
        <f t="shared" si="30"/>
        <v>296.69</v>
      </c>
      <c r="J143" s="24">
        <v>15</v>
      </c>
      <c r="K143" s="26">
        <f t="shared" si="31"/>
        <v>19.779333333333334</v>
      </c>
      <c r="L143" s="24">
        <v>2.3975</v>
      </c>
      <c r="M143" s="24">
        <v>36</v>
      </c>
      <c r="N143" s="27">
        <f t="shared" si="32"/>
        <v>1707.15426</v>
      </c>
      <c r="O143" s="102">
        <f t="shared" si="33"/>
        <v>1.897</v>
      </c>
      <c r="P143" s="21">
        <f>VLOOKUP(A143,'2022-23 Salary &amp; Benefits'!$A:$I,5,)</f>
        <v>68937</v>
      </c>
      <c r="Q143" s="21">
        <f>VLOOKUP(A143,'2022-23 Salary &amp; Benefits'!$A:$I,6,FALSE)</f>
        <v>72728</v>
      </c>
      <c r="R143" s="22">
        <f t="shared" si="34"/>
        <v>130773.49</v>
      </c>
      <c r="S143" s="22">
        <f t="shared" si="35"/>
        <v>7191.53</v>
      </c>
      <c r="T143" s="22">
        <f>'2022-23 Salary &amp; Benefits'!$G$6</f>
        <v>12558.24</v>
      </c>
      <c r="U143" s="23">
        <f>'2022-23 Salary &amp; Benefits'!$H$6</f>
        <v>0.2298</v>
      </c>
      <c r="V143" s="23">
        <f>'2022-23 Salary &amp; Benefits'!$I$6</f>
        <v>0.22339999999999999</v>
      </c>
      <c r="W143" s="22">
        <f t="shared" si="36"/>
        <v>55481.32</v>
      </c>
      <c r="X143" s="22">
        <f t="shared" si="37"/>
        <v>2299.42</v>
      </c>
      <c r="Y143" s="22">
        <f t="shared" si="38"/>
        <v>513.69000000000005</v>
      </c>
      <c r="Z143" s="22">
        <f t="shared" si="39"/>
        <v>2813.11</v>
      </c>
      <c r="AA143" s="22">
        <f t="shared" si="40"/>
        <v>196259.44999999998</v>
      </c>
    </row>
    <row r="144" spans="1:27">
      <c r="A144" s="125" t="s">
        <v>2512</v>
      </c>
      <c r="B144" s="3" t="s">
        <v>1951</v>
      </c>
      <c r="C144" s="93">
        <f>IF(A144=Summary!$B$9,Summary!$G$9,0)</f>
        <v>0</v>
      </c>
      <c r="D144" s="134">
        <f>VLOOKUP(A144,AAFTE!$A:$S,3,0)</f>
        <v>454.99</v>
      </c>
      <c r="E144" s="20">
        <f>VLOOKUP($A144,'2022-23 Salary &amp; Benefits'!$A:$I,3,)</f>
        <v>1</v>
      </c>
      <c r="F144" s="20">
        <f>VLOOKUP($A144,'2022-23 Salary &amp; Benefits'!$A:$I,4,)</f>
        <v>1</v>
      </c>
      <c r="G144" s="34">
        <f>VLOOKUP(A144,'CEDARS District FRPL'!$A:$C,3,)</f>
        <v>0.78349999999999997</v>
      </c>
      <c r="H144" s="25">
        <f t="shared" si="29"/>
        <v>454.99</v>
      </c>
      <c r="I144" s="39">
        <f t="shared" si="30"/>
        <v>356.48</v>
      </c>
      <c r="J144" s="24">
        <v>15</v>
      </c>
      <c r="K144" s="26">
        <f t="shared" si="31"/>
        <v>23.765333333333334</v>
      </c>
      <c r="L144" s="24">
        <v>2.3975</v>
      </c>
      <c r="M144" s="24">
        <v>36</v>
      </c>
      <c r="N144" s="27">
        <f t="shared" si="32"/>
        <v>2051.1859199999999</v>
      </c>
      <c r="O144" s="102">
        <f t="shared" si="33"/>
        <v>2.2789999999999999</v>
      </c>
      <c r="P144" s="21">
        <f>VLOOKUP(A144,'2022-23 Salary &amp; Benefits'!$A:$I,5,)</f>
        <v>68937</v>
      </c>
      <c r="Q144" s="21">
        <f>VLOOKUP(A144,'2022-23 Salary &amp; Benefits'!$A:$I,6,FALSE)</f>
        <v>72728</v>
      </c>
      <c r="R144" s="22">
        <f t="shared" si="34"/>
        <v>157107.42000000001</v>
      </c>
      <c r="S144" s="22">
        <f t="shared" si="35"/>
        <v>8639.69</v>
      </c>
      <c r="T144" s="22">
        <f>'2022-23 Salary &amp; Benefits'!$G$6</f>
        <v>12558.24</v>
      </c>
      <c r="U144" s="23">
        <f>'2022-23 Salary &amp; Benefits'!$H$6</f>
        <v>0.2298</v>
      </c>
      <c r="V144" s="23">
        <f>'2022-23 Salary &amp; Benefits'!$I$6</f>
        <v>0.22339999999999999</v>
      </c>
      <c r="W144" s="22">
        <f t="shared" si="36"/>
        <v>66653.62</v>
      </c>
      <c r="X144" s="22">
        <f t="shared" si="37"/>
        <v>2762.45</v>
      </c>
      <c r="Y144" s="22">
        <f t="shared" si="38"/>
        <v>617.13</v>
      </c>
      <c r="Z144" s="22">
        <f t="shared" si="39"/>
        <v>3379.58</v>
      </c>
      <c r="AA144" s="22">
        <f t="shared" si="40"/>
        <v>235780.31</v>
      </c>
    </row>
    <row r="145" spans="1:27">
      <c r="A145" s="125" t="s">
        <v>2477</v>
      </c>
      <c r="B145" s="3" t="s">
        <v>1689</v>
      </c>
      <c r="C145" s="93">
        <f>IF(A145=Summary!$B$9,Summary!$G$9,0)</f>
        <v>0</v>
      </c>
      <c r="D145" s="134">
        <f>VLOOKUP(A145,AAFTE!$A:$S,3,0)</f>
        <v>9893.4599999999991</v>
      </c>
      <c r="E145" s="20">
        <f>VLOOKUP($A145,'2022-23 Salary &amp; Benefits'!$A:$I,3,)</f>
        <v>1.1499999999999999</v>
      </c>
      <c r="F145" s="20">
        <f>VLOOKUP($A145,'2022-23 Salary &amp; Benefits'!$A:$I,4,)</f>
        <v>1.1499999999999999</v>
      </c>
      <c r="G145" s="34">
        <f>VLOOKUP(A145,'CEDARS District FRPL'!$A:$C,3,)</f>
        <v>0.50609999999999999</v>
      </c>
      <c r="H145" s="25">
        <f t="shared" si="29"/>
        <v>9893.4599999999991</v>
      </c>
      <c r="I145" s="39">
        <f t="shared" si="30"/>
        <v>5007.08</v>
      </c>
      <c r="J145" s="24">
        <v>15</v>
      </c>
      <c r="K145" s="26">
        <f t="shared" si="31"/>
        <v>333.80533333333335</v>
      </c>
      <c r="L145" s="24">
        <v>2.3975</v>
      </c>
      <c r="M145" s="24">
        <v>36</v>
      </c>
      <c r="N145" s="27">
        <f t="shared" si="32"/>
        <v>28810.738320000004</v>
      </c>
      <c r="O145" s="102">
        <f t="shared" si="33"/>
        <v>32.012</v>
      </c>
      <c r="P145" s="21">
        <f>VLOOKUP(A145,'2022-23 Salary &amp; Benefits'!$A:$I,5,)</f>
        <v>68937</v>
      </c>
      <c r="Q145" s="21">
        <f>VLOOKUP(A145,'2022-23 Salary &amp; Benefits'!$A:$I,6,FALSE)</f>
        <v>72728</v>
      </c>
      <c r="R145" s="22">
        <f t="shared" si="34"/>
        <v>2537832.9300000002</v>
      </c>
      <c r="S145" s="22">
        <f t="shared" si="35"/>
        <v>139561.12</v>
      </c>
      <c r="T145" s="22">
        <f>'2022-23 Salary &amp; Benefits'!$G$6</f>
        <v>12558.24</v>
      </c>
      <c r="U145" s="23">
        <f>'2022-23 Salary &amp; Benefits'!$H$6</f>
        <v>0.2298</v>
      </c>
      <c r="V145" s="23">
        <f>'2022-23 Salary &amp; Benefits'!$I$6</f>
        <v>0.22339999999999999</v>
      </c>
      <c r="W145" s="22">
        <f t="shared" si="36"/>
        <v>1016386.34</v>
      </c>
      <c r="X145" s="22">
        <f t="shared" si="37"/>
        <v>44623.23</v>
      </c>
      <c r="Y145" s="22">
        <f t="shared" si="38"/>
        <v>9968.83</v>
      </c>
      <c r="Z145" s="22">
        <f t="shared" si="39"/>
        <v>54592.060000000005</v>
      </c>
      <c r="AA145" s="22">
        <f t="shared" si="40"/>
        <v>3748372.45</v>
      </c>
    </row>
    <row r="146" spans="1:27">
      <c r="A146" s="125" t="s">
        <v>2330</v>
      </c>
      <c r="B146" s="3" t="s">
        <v>485</v>
      </c>
      <c r="C146" s="93">
        <f>IF(A146=Summary!$B$9,Summary!$G$9,0)</f>
        <v>0</v>
      </c>
      <c r="D146" s="134">
        <f>VLOOKUP(A146,AAFTE!$A:$S,3,0)</f>
        <v>290.92</v>
      </c>
      <c r="E146" s="20">
        <f>VLOOKUP($A146,'2022-23 Salary &amp; Benefits'!$A:$I,3,)</f>
        <v>1</v>
      </c>
      <c r="F146" s="20">
        <f>VLOOKUP($A146,'2022-23 Salary &amp; Benefits'!$A:$I,4,)</f>
        <v>1</v>
      </c>
      <c r="G146" s="34">
        <f>VLOOKUP(A146,'CEDARS District FRPL'!$A:$C,3,)</f>
        <v>0.52580000000000005</v>
      </c>
      <c r="H146" s="25">
        <f t="shared" si="29"/>
        <v>290.92</v>
      </c>
      <c r="I146" s="39">
        <f t="shared" si="30"/>
        <v>152.97</v>
      </c>
      <c r="J146" s="24">
        <v>15</v>
      </c>
      <c r="K146" s="26">
        <f t="shared" si="31"/>
        <v>10.198</v>
      </c>
      <c r="L146" s="24">
        <v>2.3975</v>
      </c>
      <c r="M146" s="24">
        <v>36</v>
      </c>
      <c r="N146" s="27">
        <f t="shared" si="32"/>
        <v>880.18938000000003</v>
      </c>
      <c r="O146" s="102">
        <f t="shared" si="33"/>
        <v>0.97799999999999998</v>
      </c>
      <c r="P146" s="21">
        <f>VLOOKUP(A146,'2022-23 Salary &amp; Benefits'!$A:$I,5,)</f>
        <v>68937</v>
      </c>
      <c r="Q146" s="21">
        <f>VLOOKUP(A146,'2022-23 Salary &amp; Benefits'!$A:$I,6,FALSE)</f>
        <v>72728</v>
      </c>
      <c r="R146" s="22">
        <f t="shared" si="34"/>
        <v>67420.39</v>
      </c>
      <c r="S146" s="22">
        <f t="shared" si="35"/>
        <v>3707.59</v>
      </c>
      <c r="T146" s="22">
        <f>'2022-23 Salary &amp; Benefits'!$G$6</f>
        <v>12558.24</v>
      </c>
      <c r="U146" s="23">
        <f>'2022-23 Salary &amp; Benefits'!$H$6</f>
        <v>0.2298</v>
      </c>
      <c r="V146" s="23">
        <f>'2022-23 Salary &amp; Benefits'!$I$6</f>
        <v>0.22339999999999999</v>
      </c>
      <c r="W146" s="22">
        <f t="shared" si="36"/>
        <v>28603.439999999999</v>
      </c>
      <c r="X146" s="22">
        <f t="shared" si="37"/>
        <v>1185.47</v>
      </c>
      <c r="Y146" s="22">
        <f t="shared" si="38"/>
        <v>264.83</v>
      </c>
      <c r="Z146" s="22">
        <f t="shared" si="39"/>
        <v>1450.3</v>
      </c>
      <c r="AA146" s="22">
        <f t="shared" si="40"/>
        <v>101181.72</v>
      </c>
    </row>
    <row r="147" spans="1:27">
      <c r="A147" s="125" t="s">
        <v>2491</v>
      </c>
      <c r="B147" s="3" t="s">
        <v>1837</v>
      </c>
      <c r="C147" s="93">
        <f>IF(A147=Summary!$B$9,Summary!$G$9,0)</f>
        <v>0</v>
      </c>
      <c r="D147" s="134">
        <f>VLOOKUP(A147,AAFTE!$A:$S,3,0)</f>
        <v>10197.75</v>
      </c>
      <c r="E147" s="20">
        <f>VLOOKUP($A147,'2022-23 Salary &amp; Benefits'!$A:$I,3,)</f>
        <v>1.03</v>
      </c>
      <c r="F147" s="20">
        <f>VLOOKUP($A147,'2022-23 Salary &amp; Benefits'!$A:$I,4,)</f>
        <v>1.03</v>
      </c>
      <c r="G147" s="34">
        <f>VLOOKUP(A147,'CEDARS District FRPL'!$A:$C,3,)</f>
        <v>0.26700000000000002</v>
      </c>
      <c r="H147" s="25">
        <f t="shared" si="29"/>
        <v>10197.75</v>
      </c>
      <c r="I147" s="39">
        <f t="shared" si="30"/>
        <v>2722.8</v>
      </c>
      <c r="J147" s="24">
        <v>15</v>
      </c>
      <c r="K147" s="26">
        <f t="shared" si="31"/>
        <v>181.52</v>
      </c>
      <c r="L147" s="24">
        <v>2.3975</v>
      </c>
      <c r="M147" s="24">
        <v>36</v>
      </c>
      <c r="N147" s="27">
        <f t="shared" si="32"/>
        <v>15666.9912</v>
      </c>
      <c r="O147" s="102">
        <f t="shared" si="33"/>
        <v>17.408000000000001</v>
      </c>
      <c r="P147" s="21">
        <f>VLOOKUP(A147,'2022-23 Salary &amp; Benefits'!$A:$I,5,)</f>
        <v>68937</v>
      </c>
      <c r="Q147" s="21">
        <f>VLOOKUP(A147,'2022-23 Salary &amp; Benefits'!$A:$I,6,FALSE)</f>
        <v>72728</v>
      </c>
      <c r="R147" s="22">
        <f t="shared" si="34"/>
        <v>1236056.95</v>
      </c>
      <c r="S147" s="22">
        <f t="shared" si="35"/>
        <v>67973.539999999994</v>
      </c>
      <c r="T147" s="22">
        <f>'2022-23 Salary &amp; Benefits'!$G$6</f>
        <v>12558.24</v>
      </c>
      <c r="U147" s="23">
        <f>'2022-23 Salary &amp; Benefits'!$H$6</f>
        <v>0.2298</v>
      </c>
      <c r="V147" s="23">
        <f>'2022-23 Salary &amp; Benefits'!$I$6</f>
        <v>0.22339999999999999</v>
      </c>
      <c r="W147" s="22">
        <f t="shared" si="36"/>
        <v>517845.02</v>
      </c>
      <c r="X147" s="22">
        <f t="shared" si="37"/>
        <v>21733.84</v>
      </c>
      <c r="Y147" s="22">
        <f t="shared" si="38"/>
        <v>4855.34</v>
      </c>
      <c r="Z147" s="22">
        <f t="shared" si="39"/>
        <v>26589.18</v>
      </c>
      <c r="AA147" s="22">
        <f t="shared" si="40"/>
        <v>1848464.69</v>
      </c>
    </row>
    <row r="148" spans="1:27">
      <c r="A148" s="125" t="s">
        <v>2490</v>
      </c>
      <c r="B148" s="3" t="s">
        <v>1832</v>
      </c>
      <c r="C148" s="93">
        <f>IF(A148=Summary!$B$9,Summary!$G$9,0)</f>
        <v>0</v>
      </c>
      <c r="D148" s="134">
        <f>VLOOKUP(A148,AAFTE!$A:$S,3,0)</f>
        <v>1753.79</v>
      </c>
      <c r="E148" s="20">
        <f>VLOOKUP($A148,'2022-23 Salary &amp; Benefits'!$A:$I,3,)</f>
        <v>1</v>
      </c>
      <c r="F148" s="20">
        <f>VLOOKUP($A148,'2022-23 Salary &amp; Benefits'!$A:$I,4,)</f>
        <v>1</v>
      </c>
      <c r="G148" s="34">
        <f>VLOOKUP(A148,'CEDARS District FRPL'!$A:$C,3,)</f>
        <v>0.3533</v>
      </c>
      <c r="H148" s="25">
        <f t="shared" si="29"/>
        <v>1753.79</v>
      </c>
      <c r="I148" s="39">
        <f t="shared" si="30"/>
        <v>619.61</v>
      </c>
      <c r="J148" s="24">
        <v>15</v>
      </c>
      <c r="K148" s="26">
        <f t="shared" si="31"/>
        <v>41.307333333333332</v>
      </c>
      <c r="L148" s="24">
        <v>2.3975</v>
      </c>
      <c r="M148" s="24">
        <v>36</v>
      </c>
      <c r="N148" s="27">
        <f t="shared" si="32"/>
        <v>3565.2359399999996</v>
      </c>
      <c r="O148" s="102">
        <f t="shared" si="33"/>
        <v>3.9609999999999999</v>
      </c>
      <c r="P148" s="21">
        <f>VLOOKUP(A148,'2022-23 Salary &amp; Benefits'!$A:$I,5,)</f>
        <v>68937</v>
      </c>
      <c r="Q148" s="21">
        <f>VLOOKUP(A148,'2022-23 Salary &amp; Benefits'!$A:$I,6,FALSE)</f>
        <v>72728</v>
      </c>
      <c r="R148" s="22">
        <f t="shared" si="34"/>
        <v>273059.46000000002</v>
      </c>
      <c r="S148" s="22">
        <f t="shared" si="35"/>
        <v>15016.15</v>
      </c>
      <c r="T148" s="22">
        <f>'2022-23 Salary &amp; Benefits'!$G$6</f>
        <v>12558.24</v>
      </c>
      <c r="U148" s="23">
        <f>'2022-23 Salary &amp; Benefits'!$H$6</f>
        <v>0.2298</v>
      </c>
      <c r="V148" s="23">
        <f>'2022-23 Salary &amp; Benefits'!$I$6</f>
        <v>0.22339999999999999</v>
      </c>
      <c r="W148" s="22">
        <f t="shared" si="36"/>
        <v>115846.86</v>
      </c>
      <c r="X148" s="22">
        <f t="shared" si="37"/>
        <v>4801.26</v>
      </c>
      <c r="Y148" s="22">
        <f t="shared" si="38"/>
        <v>1072.5999999999999</v>
      </c>
      <c r="Z148" s="22">
        <f t="shared" si="39"/>
        <v>5873.8600000000006</v>
      </c>
      <c r="AA148" s="22">
        <f t="shared" si="40"/>
        <v>409796.33</v>
      </c>
    </row>
    <row r="149" spans="1:27">
      <c r="A149" s="125" t="s">
        <v>2351</v>
      </c>
      <c r="B149" s="3" t="s">
        <v>695</v>
      </c>
      <c r="C149" s="93">
        <f>IF(A149=Summary!$B$9,Summary!$G$9,0)</f>
        <v>0</v>
      </c>
      <c r="D149" s="134">
        <f>VLOOKUP(A149,AAFTE!$A:$S,3,0)</f>
        <v>3995.14</v>
      </c>
      <c r="E149" s="20">
        <f>VLOOKUP($A149,'2022-23 Salary &amp; Benefits'!$A:$I,3,)</f>
        <v>1.18</v>
      </c>
      <c r="F149" s="20">
        <f>VLOOKUP($A149,'2022-23 Salary &amp; Benefits'!$A:$I,4,)</f>
        <v>1.18</v>
      </c>
      <c r="G149" s="34">
        <f>VLOOKUP(A149,'CEDARS District FRPL'!$A:$C,3,)</f>
        <v>3.1699999999999999E-2</v>
      </c>
      <c r="H149" s="25">
        <f t="shared" si="29"/>
        <v>3995.14</v>
      </c>
      <c r="I149" s="39">
        <f t="shared" si="30"/>
        <v>126.65</v>
      </c>
      <c r="J149" s="24">
        <v>15</v>
      </c>
      <c r="K149" s="26">
        <f t="shared" si="31"/>
        <v>8.4433333333333334</v>
      </c>
      <c r="L149" s="24">
        <v>2.3975</v>
      </c>
      <c r="M149" s="24">
        <v>36</v>
      </c>
      <c r="N149" s="27">
        <f t="shared" si="32"/>
        <v>728.74409999999989</v>
      </c>
      <c r="O149" s="102">
        <f t="shared" si="33"/>
        <v>0.81</v>
      </c>
      <c r="P149" s="21">
        <f>VLOOKUP(A149,'2022-23 Salary &amp; Benefits'!$A:$I,5,)</f>
        <v>68937</v>
      </c>
      <c r="Q149" s="21">
        <f>VLOOKUP(A149,'2022-23 Salary &amp; Benefits'!$A:$I,6,FALSE)</f>
        <v>72728</v>
      </c>
      <c r="R149" s="22">
        <f t="shared" si="34"/>
        <v>65889.98</v>
      </c>
      <c r="S149" s="22">
        <f t="shared" si="35"/>
        <v>3623.44</v>
      </c>
      <c r="T149" s="22">
        <f>'2022-23 Salary &amp; Benefits'!$G$6</f>
        <v>12558.24</v>
      </c>
      <c r="U149" s="23">
        <f>'2022-23 Salary &amp; Benefits'!$H$6</f>
        <v>0.2298</v>
      </c>
      <c r="V149" s="23">
        <f>'2022-23 Salary &amp; Benefits'!$I$6</f>
        <v>0.22339999999999999</v>
      </c>
      <c r="W149" s="22">
        <f t="shared" si="36"/>
        <v>26123.17</v>
      </c>
      <c r="X149" s="22">
        <f t="shared" si="37"/>
        <v>1158.56</v>
      </c>
      <c r="Y149" s="22">
        <f t="shared" si="38"/>
        <v>258.82</v>
      </c>
      <c r="Z149" s="22">
        <f t="shared" si="39"/>
        <v>1417.3799999999999</v>
      </c>
      <c r="AA149" s="22">
        <f t="shared" si="40"/>
        <v>97053.97</v>
      </c>
    </row>
    <row r="150" spans="1:27">
      <c r="A150" s="125" t="s">
        <v>2536</v>
      </c>
      <c r="B150" s="3" t="s">
        <v>2110</v>
      </c>
      <c r="C150" s="93">
        <f>IF(A150=Summary!$B$9,Summary!$G$9,0)</f>
        <v>0</v>
      </c>
      <c r="D150" s="134">
        <f>VLOOKUP(A150,AAFTE!$A:$S,3,0)</f>
        <v>1738.27</v>
      </c>
      <c r="E150" s="20">
        <f>VLOOKUP($A150,'2022-23 Salary &amp; Benefits'!$A:$I,3,)</f>
        <v>1.06</v>
      </c>
      <c r="F150" s="20">
        <f>VLOOKUP($A150,'2022-23 Salary &amp; Benefits'!$A:$I,4,)</f>
        <v>1.06</v>
      </c>
      <c r="G150" s="34">
        <f>VLOOKUP(A150,'CEDARS District FRPL'!$A:$C,3,)</f>
        <v>0.2457</v>
      </c>
      <c r="H150" s="25">
        <f t="shared" si="29"/>
        <v>1738.27</v>
      </c>
      <c r="I150" s="39">
        <f t="shared" si="30"/>
        <v>427.09</v>
      </c>
      <c r="J150" s="24">
        <v>15</v>
      </c>
      <c r="K150" s="26">
        <f t="shared" si="31"/>
        <v>28.472666666666665</v>
      </c>
      <c r="L150" s="24">
        <v>2.3975</v>
      </c>
      <c r="M150" s="24">
        <v>36</v>
      </c>
      <c r="N150" s="27">
        <f t="shared" si="32"/>
        <v>2457.4758599999996</v>
      </c>
      <c r="O150" s="102">
        <f t="shared" si="33"/>
        <v>2.7309999999999999</v>
      </c>
      <c r="P150" s="21">
        <f>VLOOKUP(A150,'2022-23 Salary &amp; Benefits'!$A:$I,5,)</f>
        <v>68937</v>
      </c>
      <c r="Q150" s="21">
        <f>VLOOKUP(A150,'2022-23 Salary &amp; Benefits'!$A:$I,6,FALSE)</f>
        <v>72728</v>
      </c>
      <c r="R150" s="22">
        <f t="shared" si="34"/>
        <v>199562.96</v>
      </c>
      <c r="S150" s="22">
        <f t="shared" si="35"/>
        <v>10974.42</v>
      </c>
      <c r="T150" s="22">
        <f>'2022-23 Salary &amp; Benefits'!$G$6</f>
        <v>12558.24</v>
      </c>
      <c r="U150" s="23">
        <f>'2022-23 Salary &amp; Benefits'!$H$6</f>
        <v>0.2298</v>
      </c>
      <c r="V150" s="23">
        <f>'2022-23 Salary &amp; Benefits'!$I$6</f>
        <v>0.22339999999999999</v>
      </c>
      <c r="W150" s="22">
        <f t="shared" si="36"/>
        <v>82607.81</v>
      </c>
      <c r="X150" s="22">
        <f t="shared" si="37"/>
        <v>3508.96</v>
      </c>
      <c r="Y150" s="22">
        <f t="shared" si="38"/>
        <v>783.9</v>
      </c>
      <c r="Z150" s="22">
        <f t="shared" si="39"/>
        <v>4292.8599999999997</v>
      </c>
      <c r="AA150" s="22">
        <f t="shared" si="40"/>
        <v>297438.05</v>
      </c>
    </row>
    <row r="151" spans="1:27">
      <c r="A151" s="125" t="s">
        <v>2426</v>
      </c>
      <c r="B151" s="3" t="s">
        <v>1250</v>
      </c>
      <c r="C151" s="93">
        <f>IF(A151=Summary!$B$9,Summary!$G$9,0)</f>
        <v>0</v>
      </c>
      <c r="D151" s="134">
        <f>VLOOKUP(A151,AAFTE!$A:$S,3,0)</f>
        <v>717.87</v>
      </c>
      <c r="E151" s="20">
        <f>VLOOKUP($A151,'2022-23 Salary &amp; Benefits'!$A:$I,3,)</f>
        <v>1</v>
      </c>
      <c r="F151" s="20">
        <f>VLOOKUP($A151,'2022-23 Salary &amp; Benefits'!$A:$I,4,)</f>
        <v>1</v>
      </c>
      <c r="G151" s="34">
        <f>VLOOKUP(A151,'CEDARS District FRPL'!$A:$C,3,)</f>
        <v>0.30909999999999999</v>
      </c>
      <c r="H151" s="25">
        <f t="shared" si="29"/>
        <v>717.87</v>
      </c>
      <c r="I151" s="39">
        <f t="shared" si="30"/>
        <v>221.89</v>
      </c>
      <c r="J151" s="24">
        <v>15</v>
      </c>
      <c r="K151" s="26">
        <f t="shared" si="31"/>
        <v>14.792666666666666</v>
      </c>
      <c r="L151" s="24">
        <v>2.3975</v>
      </c>
      <c r="M151" s="24">
        <v>36</v>
      </c>
      <c r="N151" s="27">
        <f t="shared" si="32"/>
        <v>1276.75506</v>
      </c>
      <c r="O151" s="102">
        <f t="shared" si="33"/>
        <v>1.419</v>
      </c>
      <c r="P151" s="21">
        <f>VLOOKUP(A151,'2022-23 Salary &amp; Benefits'!$A:$I,5,)</f>
        <v>68937</v>
      </c>
      <c r="Q151" s="21">
        <f>VLOOKUP(A151,'2022-23 Salary &amp; Benefits'!$A:$I,6,FALSE)</f>
        <v>72728</v>
      </c>
      <c r="R151" s="22">
        <f t="shared" si="34"/>
        <v>97821.6</v>
      </c>
      <c r="S151" s="22">
        <f t="shared" si="35"/>
        <v>5379.43</v>
      </c>
      <c r="T151" s="22">
        <f>'2022-23 Salary &amp; Benefits'!$G$6</f>
        <v>12558.24</v>
      </c>
      <c r="U151" s="23">
        <f>'2022-23 Salary &amp; Benefits'!$H$6</f>
        <v>0.2298</v>
      </c>
      <c r="V151" s="23">
        <f>'2022-23 Salary &amp; Benefits'!$I$6</f>
        <v>0.22339999999999999</v>
      </c>
      <c r="W151" s="22">
        <f t="shared" si="36"/>
        <v>41501.31</v>
      </c>
      <c r="X151" s="22">
        <f t="shared" si="37"/>
        <v>1720.02</v>
      </c>
      <c r="Y151" s="22">
        <f t="shared" si="38"/>
        <v>384.25</v>
      </c>
      <c r="Z151" s="22">
        <f t="shared" si="39"/>
        <v>2104.27</v>
      </c>
      <c r="AA151" s="22">
        <f t="shared" si="40"/>
        <v>146806.60999999999</v>
      </c>
    </row>
    <row r="152" spans="1:27">
      <c r="A152" s="125" t="s">
        <v>2470</v>
      </c>
      <c r="B152" s="3" t="s">
        <v>1589</v>
      </c>
      <c r="C152" s="93">
        <f>IF(A152=Summary!$B$9,Summary!$G$9,0)</f>
        <v>0</v>
      </c>
      <c r="D152" s="134">
        <f>VLOOKUP(A152,AAFTE!$A:$S,3,0)</f>
        <v>25.84</v>
      </c>
      <c r="E152" s="20">
        <f>VLOOKUP($A152,'2022-23 Salary &amp; Benefits'!$A:$I,3,)</f>
        <v>1</v>
      </c>
      <c r="F152" s="20">
        <f>VLOOKUP($A152,'2022-23 Salary &amp; Benefits'!$A:$I,4,)</f>
        <v>1</v>
      </c>
      <c r="G152" s="34">
        <f>VLOOKUP(A152,'CEDARS District FRPL'!$A:$C,3,)</f>
        <v>0.51160000000000005</v>
      </c>
      <c r="H152" s="25">
        <f t="shared" si="29"/>
        <v>25.84</v>
      </c>
      <c r="I152" s="39">
        <f t="shared" si="30"/>
        <v>13.22</v>
      </c>
      <c r="J152" s="24">
        <v>15</v>
      </c>
      <c r="K152" s="26">
        <f t="shared" si="31"/>
        <v>0.88133333333333341</v>
      </c>
      <c r="L152" s="24">
        <v>2.3975</v>
      </c>
      <c r="M152" s="24">
        <v>36</v>
      </c>
      <c r="N152" s="27">
        <f t="shared" si="32"/>
        <v>76.067880000000002</v>
      </c>
      <c r="O152" s="102">
        <f t="shared" si="33"/>
        <v>8.5000000000000006E-2</v>
      </c>
      <c r="P152" s="21">
        <f>VLOOKUP(A152,'2022-23 Salary &amp; Benefits'!$A:$I,5,)</f>
        <v>68937</v>
      </c>
      <c r="Q152" s="21">
        <f>VLOOKUP(A152,'2022-23 Salary &amp; Benefits'!$A:$I,6,FALSE)</f>
        <v>72728</v>
      </c>
      <c r="R152" s="22">
        <f t="shared" si="34"/>
        <v>5859.65</v>
      </c>
      <c r="S152" s="22">
        <f t="shared" si="35"/>
        <v>322.23</v>
      </c>
      <c r="T152" s="22">
        <f>'2022-23 Salary &amp; Benefits'!$G$6</f>
        <v>12558.24</v>
      </c>
      <c r="U152" s="23">
        <f>'2022-23 Salary &amp; Benefits'!$H$6</f>
        <v>0.2298</v>
      </c>
      <c r="V152" s="23">
        <f>'2022-23 Salary &amp; Benefits'!$I$6</f>
        <v>0.22339999999999999</v>
      </c>
      <c r="W152" s="22">
        <f t="shared" si="36"/>
        <v>2485.98</v>
      </c>
      <c r="X152" s="22">
        <f t="shared" si="37"/>
        <v>103.03</v>
      </c>
      <c r="Y152" s="22">
        <f t="shared" si="38"/>
        <v>23.02</v>
      </c>
      <c r="Z152" s="22">
        <f t="shared" si="39"/>
        <v>126.05</v>
      </c>
      <c r="AA152" s="22">
        <f t="shared" si="40"/>
        <v>8793.909999999998</v>
      </c>
    </row>
    <row r="153" spans="1:27">
      <c r="A153" s="125" t="s">
        <v>2479</v>
      </c>
      <c r="B153" s="3" t="s">
        <v>1710</v>
      </c>
      <c r="C153" s="93">
        <f>IF(A153=Summary!$B$9,Summary!$G$9,0)</f>
        <v>0</v>
      </c>
      <c r="D153" s="134">
        <f>VLOOKUP(A153,AAFTE!$A:$S,3,0)</f>
        <v>5796.21</v>
      </c>
      <c r="E153" s="20">
        <f>VLOOKUP($A153,'2022-23 Salary &amp; Benefits'!$A:$I,3,)</f>
        <v>1.18</v>
      </c>
      <c r="F153" s="20">
        <f>VLOOKUP($A153,'2022-23 Salary &amp; Benefits'!$A:$I,4,)</f>
        <v>1.18</v>
      </c>
      <c r="G153" s="34">
        <f>VLOOKUP(A153,'CEDARS District FRPL'!$A:$C,3,)</f>
        <v>0.31219999999999998</v>
      </c>
      <c r="H153" s="25">
        <f t="shared" si="29"/>
        <v>5796.21</v>
      </c>
      <c r="I153" s="39">
        <f t="shared" si="30"/>
        <v>1809.58</v>
      </c>
      <c r="J153" s="24">
        <v>15</v>
      </c>
      <c r="K153" s="26">
        <f t="shared" si="31"/>
        <v>120.63866666666667</v>
      </c>
      <c r="L153" s="24">
        <v>2.3975</v>
      </c>
      <c r="M153" s="24">
        <v>36</v>
      </c>
      <c r="N153" s="27">
        <f t="shared" si="32"/>
        <v>10412.32332</v>
      </c>
      <c r="O153" s="102">
        <f t="shared" si="33"/>
        <v>11.569000000000001</v>
      </c>
      <c r="P153" s="21">
        <f>VLOOKUP(A153,'2022-23 Salary &amp; Benefits'!$A:$I,5,)</f>
        <v>68937</v>
      </c>
      <c r="Q153" s="21">
        <f>VLOOKUP(A153,'2022-23 Salary &amp; Benefits'!$A:$I,6,FALSE)</f>
        <v>72728</v>
      </c>
      <c r="R153" s="22">
        <f t="shared" si="34"/>
        <v>941087.94</v>
      </c>
      <c r="S153" s="22">
        <f t="shared" si="35"/>
        <v>51752.53</v>
      </c>
      <c r="T153" s="22">
        <f>'2022-23 Salary &amp; Benefits'!$G$6</f>
        <v>12558.24</v>
      </c>
      <c r="U153" s="23">
        <f>'2022-23 Salary &amp; Benefits'!$H$6</f>
        <v>0.2298</v>
      </c>
      <c r="V153" s="23">
        <f>'2022-23 Salary &amp; Benefits'!$I$6</f>
        <v>0.22339999999999999</v>
      </c>
      <c r="W153" s="22">
        <f t="shared" si="36"/>
        <v>373109.8</v>
      </c>
      <c r="X153" s="22">
        <f t="shared" si="37"/>
        <v>16547.34</v>
      </c>
      <c r="Y153" s="22">
        <f t="shared" si="38"/>
        <v>3696.68</v>
      </c>
      <c r="Z153" s="22">
        <f t="shared" si="39"/>
        <v>20244.02</v>
      </c>
      <c r="AA153" s="22">
        <f t="shared" si="40"/>
        <v>1386194.29</v>
      </c>
    </row>
    <row r="154" spans="1:27">
      <c r="A154" s="125" t="s">
        <v>2331</v>
      </c>
      <c r="B154" s="3" t="s">
        <v>487</v>
      </c>
      <c r="C154" s="93">
        <f>IF(A154=Summary!$B$9,Summary!$G$9,0)</f>
        <v>0</v>
      </c>
      <c r="D154" s="134">
        <f>VLOOKUP(A154,AAFTE!$A:$S,3,0)</f>
        <v>1350.77</v>
      </c>
      <c r="E154" s="20">
        <f>VLOOKUP($A154,'2022-23 Salary &amp; Benefits'!$A:$I,3,)</f>
        <v>1</v>
      </c>
      <c r="F154" s="20">
        <f>VLOOKUP($A154,'2022-23 Salary &amp; Benefits'!$A:$I,4,)</f>
        <v>1.04</v>
      </c>
      <c r="G154" s="34">
        <f>VLOOKUP(A154,'CEDARS District FRPL'!$A:$C,3,)</f>
        <v>0.34499999999999997</v>
      </c>
      <c r="H154" s="25">
        <f t="shared" si="29"/>
        <v>1350.77</v>
      </c>
      <c r="I154" s="39">
        <f t="shared" si="30"/>
        <v>466.02</v>
      </c>
      <c r="J154" s="24">
        <v>15</v>
      </c>
      <c r="K154" s="26">
        <f t="shared" si="31"/>
        <v>31.067999999999998</v>
      </c>
      <c r="L154" s="24">
        <v>2.3975</v>
      </c>
      <c r="M154" s="24">
        <v>36</v>
      </c>
      <c r="N154" s="27">
        <f t="shared" si="32"/>
        <v>2681.4790800000001</v>
      </c>
      <c r="O154" s="102">
        <f t="shared" si="33"/>
        <v>2.9790000000000001</v>
      </c>
      <c r="P154" s="21">
        <f>VLOOKUP(A154,'2022-23 Salary &amp; Benefits'!$A:$I,5,)</f>
        <v>68937</v>
      </c>
      <c r="Q154" s="21">
        <f>VLOOKUP(A154,'2022-23 Salary &amp; Benefits'!$A:$I,6,FALSE)</f>
        <v>72728</v>
      </c>
      <c r="R154" s="22">
        <f t="shared" si="34"/>
        <v>205363.32</v>
      </c>
      <c r="S154" s="22">
        <f t="shared" si="35"/>
        <v>19959.66</v>
      </c>
      <c r="T154" s="22">
        <f>'2022-23 Salary &amp; Benefits'!$G$6</f>
        <v>12558.24</v>
      </c>
      <c r="U154" s="23">
        <f>'2022-23 Salary &amp; Benefits'!$H$6</f>
        <v>0.2298</v>
      </c>
      <c r="V154" s="23">
        <f>'2022-23 Salary &amp; Benefits'!$I$6</f>
        <v>0.22339999999999999</v>
      </c>
      <c r="W154" s="22">
        <f t="shared" si="36"/>
        <v>89062.48</v>
      </c>
      <c r="X154" s="22">
        <f t="shared" si="37"/>
        <v>3755.38</v>
      </c>
      <c r="Y154" s="22">
        <f t="shared" si="38"/>
        <v>838.95</v>
      </c>
      <c r="Z154" s="22">
        <f t="shared" si="39"/>
        <v>4594.33</v>
      </c>
      <c r="AA154" s="22">
        <f t="shared" si="40"/>
        <v>318979.78999999998</v>
      </c>
    </row>
    <row r="155" spans="1:27">
      <c r="A155" s="125" t="s">
        <v>2396</v>
      </c>
      <c r="B155" s="3" t="s">
        <v>1142</v>
      </c>
      <c r="C155" s="93">
        <f>IF(A155=Summary!$B$9,Summary!$G$9,0)</f>
        <v>0</v>
      </c>
      <c r="D155" s="134">
        <f>VLOOKUP(A155,AAFTE!$A:$S,3,0)</f>
        <v>386.1</v>
      </c>
      <c r="E155" s="20">
        <f>VLOOKUP($A155,'2022-23 Salary &amp; Benefits'!$A:$I,3,)</f>
        <v>1</v>
      </c>
      <c r="F155" s="20">
        <f>VLOOKUP($A155,'2022-23 Salary &amp; Benefits'!$A:$I,4,)</f>
        <v>1</v>
      </c>
      <c r="G155" s="34">
        <f>VLOOKUP(A155,'CEDARS District FRPL'!$A:$C,3,)</f>
        <v>0.54379999999999995</v>
      </c>
      <c r="H155" s="25">
        <f t="shared" si="29"/>
        <v>386.1</v>
      </c>
      <c r="I155" s="39">
        <f t="shared" si="30"/>
        <v>209.96</v>
      </c>
      <c r="J155" s="24">
        <v>15</v>
      </c>
      <c r="K155" s="26">
        <f t="shared" si="31"/>
        <v>13.997333333333334</v>
      </c>
      <c r="L155" s="24">
        <v>2.3975</v>
      </c>
      <c r="M155" s="24">
        <v>36</v>
      </c>
      <c r="N155" s="27">
        <f t="shared" si="32"/>
        <v>1208.1098400000001</v>
      </c>
      <c r="O155" s="102">
        <f t="shared" si="33"/>
        <v>1.3420000000000001</v>
      </c>
      <c r="P155" s="21">
        <f>VLOOKUP(A155,'2022-23 Salary &amp; Benefits'!$A:$I,5,)</f>
        <v>68937</v>
      </c>
      <c r="Q155" s="21">
        <f>VLOOKUP(A155,'2022-23 Salary &amp; Benefits'!$A:$I,6,FALSE)</f>
        <v>72728</v>
      </c>
      <c r="R155" s="22">
        <f t="shared" si="34"/>
        <v>92513.45</v>
      </c>
      <c r="S155" s="22">
        <f t="shared" si="35"/>
        <v>5087.53</v>
      </c>
      <c r="T155" s="22">
        <f>'2022-23 Salary &amp; Benefits'!$G$6</f>
        <v>12558.24</v>
      </c>
      <c r="U155" s="23">
        <f>'2022-23 Salary &amp; Benefits'!$H$6</f>
        <v>0.2298</v>
      </c>
      <c r="V155" s="23">
        <f>'2022-23 Salary &amp; Benefits'!$I$6</f>
        <v>0.22339999999999999</v>
      </c>
      <c r="W155" s="22">
        <f t="shared" si="36"/>
        <v>39249.300000000003</v>
      </c>
      <c r="X155" s="22">
        <f t="shared" si="37"/>
        <v>1626.68</v>
      </c>
      <c r="Y155" s="22">
        <f t="shared" si="38"/>
        <v>363.4</v>
      </c>
      <c r="Z155" s="22">
        <f t="shared" si="39"/>
        <v>1990.08</v>
      </c>
      <c r="AA155" s="22">
        <f t="shared" si="40"/>
        <v>138840.35999999999</v>
      </c>
    </row>
    <row r="156" spans="1:27">
      <c r="A156" s="125" t="s">
        <v>2323</v>
      </c>
      <c r="B156" s="3" t="s">
        <v>436</v>
      </c>
      <c r="C156" s="93">
        <f>IF(A156=Summary!$B$9,Summary!$G$9,0)</f>
        <v>0</v>
      </c>
      <c r="D156" s="134">
        <f>VLOOKUP(A156,AAFTE!$A:$S,3,0)</f>
        <v>8352.58</v>
      </c>
      <c r="E156" s="20">
        <f>VLOOKUP($A156,'2022-23 Salary &amp; Benefits'!$A:$I,3,)</f>
        <v>1.03</v>
      </c>
      <c r="F156" s="20">
        <f>VLOOKUP($A156,'2022-23 Salary &amp; Benefits'!$A:$I,4,)</f>
        <v>1.03</v>
      </c>
      <c r="G156" s="34">
        <f>VLOOKUP(A156,'CEDARS District FRPL'!$A:$C,3,)</f>
        <v>0.63390000000000002</v>
      </c>
      <c r="H156" s="25">
        <f t="shared" si="29"/>
        <v>8352.58</v>
      </c>
      <c r="I156" s="39">
        <f t="shared" si="30"/>
        <v>5294.7</v>
      </c>
      <c r="J156" s="24">
        <v>15</v>
      </c>
      <c r="K156" s="26">
        <f t="shared" si="31"/>
        <v>352.97999999999996</v>
      </c>
      <c r="L156" s="24">
        <v>2.3975</v>
      </c>
      <c r="M156" s="24">
        <v>36</v>
      </c>
      <c r="N156" s="27">
        <f t="shared" si="32"/>
        <v>30465.703799999996</v>
      </c>
      <c r="O156" s="102">
        <f t="shared" si="33"/>
        <v>33.850999999999999</v>
      </c>
      <c r="P156" s="21">
        <f>VLOOKUP(A156,'2022-23 Salary &amp; Benefits'!$A:$I,5,)</f>
        <v>68937</v>
      </c>
      <c r="Q156" s="21">
        <f>VLOOKUP(A156,'2022-23 Salary &amp; Benefits'!$A:$I,6,FALSE)</f>
        <v>72728</v>
      </c>
      <c r="R156" s="22">
        <f t="shared" si="34"/>
        <v>2403593.98</v>
      </c>
      <c r="S156" s="22">
        <f t="shared" si="35"/>
        <v>132179.01</v>
      </c>
      <c r="T156" s="22">
        <f>'2022-23 Salary &amp; Benefits'!$G$6</f>
        <v>12558.24</v>
      </c>
      <c r="U156" s="23">
        <f>'2022-23 Salary &amp; Benefits'!$H$6</f>
        <v>0.2298</v>
      </c>
      <c r="V156" s="23">
        <f>'2022-23 Salary &amp; Benefits'!$I$6</f>
        <v>0.22339999999999999</v>
      </c>
      <c r="W156" s="22">
        <f t="shared" si="36"/>
        <v>1006983.67</v>
      </c>
      <c r="X156" s="22">
        <f t="shared" si="37"/>
        <v>42262.879999999997</v>
      </c>
      <c r="Y156" s="22">
        <f t="shared" si="38"/>
        <v>9441.5300000000007</v>
      </c>
      <c r="Z156" s="22">
        <f t="shared" si="39"/>
        <v>51704.409999999996</v>
      </c>
      <c r="AA156" s="22">
        <f t="shared" si="40"/>
        <v>3594461.0700000003</v>
      </c>
    </row>
    <row r="157" spans="1:27">
      <c r="A157" s="125" t="s">
        <v>2395</v>
      </c>
      <c r="B157" s="3" t="s">
        <v>1138</v>
      </c>
      <c r="C157" s="93">
        <f>IF(A157=Summary!$B$9,Summary!$G$9,0)</f>
        <v>0</v>
      </c>
      <c r="D157" s="134">
        <f>VLOOKUP(A157,AAFTE!$A:$S,3,0)</f>
        <v>576.45000000000005</v>
      </c>
      <c r="E157" s="20">
        <f>VLOOKUP($A157,'2022-23 Salary &amp; Benefits'!$A:$I,3,)</f>
        <v>1</v>
      </c>
      <c r="F157" s="20">
        <f>VLOOKUP($A157,'2022-23 Salary &amp; Benefits'!$A:$I,4,)</f>
        <v>1</v>
      </c>
      <c r="G157" s="34">
        <f>VLOOKUP(A157,'CEDARS District FRPL'!$A:$C,3,)</f>
        <v>0.5575</v>
      </c>
      <c r="H157" s="25">
        <f t="shared" si="29"/>
        <v>576.45000000000005</v>
      </c>
      <c r="I157" s="39">
        <f t="shared" si="30"/>
        <v>321.37</v>
      </c>
      <c r="J157" s="24">
        <v>15</v>
      </c>
      <c r="K157" s="26">
        <f t="shared" si="31"/>
        <v>21.424666666666667</v>
      </c>
      <c r="L157" s="24">
        <v>2.3975</v>
      </c>
      <c r="M157" s="24">
        <v>36</v>
      </c>
      <c r="N157" s="27">
        <f t="shared" si="32"/>
        <v>1849.1629800000001</v>
      </c>
      <c r="O157" s="102">
        <f t="shared" si="33"/>
        <v>2.0550000000000002</v>
      </c>
      <c r="P157" s="21">
        <f>VLOOKUP(A157,'2022-23 Salary &amp; Benefits'!$A:$I,5,)</f>
        <v>68937</v>
      </c>
      <c r="Q157" s="21">
        <f>VLOOKUP(A157,'2022-23 Salary &amp; Benefits'!$A:$I,6,FALSE)</f>
        <v>72728</v>
      </c>
      <c r="R157" s="22">
        <f t="shared" si="34"/>
        <v>141665.54</v>
      </c>
      <c r="S157" s="22">
        <f t="shared" si="35"/>
        <v>7790.5</v>
      </c>
      <c r="T157" s="22">
        <f>'2022-23 Salary &amp; Benefits'!$G$6</f>
        <v>12558.24</v>
      </c>
      <c r="U157" s="23">
        <f>'2022-23 Salary &amp; Benefits'!$H$6</f>
        <v>0.2298</v>
      </c>
      <c r="V157" s="23">
        <f>'2022-23 Salary &amp; Benefits'!$I$6</f>
        <v>0.22339999999999999</v>
      </c>
      <c r="W157" s="22">
        <f t="shared" si="36"/>
        <v>60102.32</v>
      </c>
      <c r="X157" s="22">
        <f t="shared" si="37"/>
        <v>2490.9299999999998</v>
      </c>
      <c r="Y157" s="22">
        <f t="shared" si="38"/>
        <v>556.47</v>
      </c>
      <c r="Z157" s="22">
        <f t="shared" si="39"/>
        <v>3047.3999999999996</v>
      </c>
      <c r="AA157" s="22">
        <f t="shared" si="40"/>
        <v>212605.76</v>
      </c>
    </row>
    <row r="158" spans="1:27">
      <c r="A158" s="125" t="s">
        <v>2567</v>
      </c>
      <c r="B158" s="3" t="s">
        <v>2253</v>
      </c>
      <c r="C158" s="93">
        <f>IF(A158=Summary!$B$9,Summary!$G$9,0)</f>
        <v>0</v>
      </c>
      <c r="D158" s="134">
        <f>VLOOKUP(A158,AAFTE!$A:$S,3,0)</f>
        <v>833.87</v>
      </c>
      <c r="E158" s="20">
        <f>VLOOKUP($A158,'2022-23 Salary &amp; Benefits'!$A:$I,3,)</f>
        <v>1</v>
      </c>
      <c r="F158" s="20">
        <f>VLOOKUP($A158,'2022-23 Salary &amp; Benefits'!$A:$I,4,)</f>
        <v>1</v>
      </c>
      <c r="G158" s="34">
        <f>VLOOKUP(A158,'CEDARS District FRPL'!$A:$C,3,)</f>
        <v>0.996</v>
      </c>
      <c r="H158" s="25">
        <f t="shared" si="29"/>
        <v>833.87</v>
      </c>
      <c r="I158" s="39">
        <f t="shared" si="30"/>
        <v>830.53</v>
      </c>
      <c r="J158" s="24">
        <v>15</v>
      </c>
      <c r="K158" s="26">
        <f t="shared" si="31"/>
        <v>55.368666666666662</v>
      </c>
      <c r="L158" s="24">
        <v>2.3975</v>
      </c>
      <c r="M158" s="24">
        <v>36</v>
      </c>
      <c r="N158" s="27">
        <f t="shared" si="32"/>
        <v>4778.8696199999995</v>
      </c>
      <c r="O158" s="102">
        <f t="shared" si="33"/>
        <v>5.31</v>
      </c>
      <c r="P158" s="21">
        <f>VLOOKUP(A158,'2022-23 Salary &amp; Benefits'!$A:$I,5,)</f>
        <v>68937</v>
      </c>
      <c r="Q158" s="21">
        <f>VLOOKUP(A158,'2022-23 Salary &amp; Benefits'!$A:$I,6,FALSE)</f>
        <v>72728</v>
      </c>
      <c r="R158" s="22">
        <f t="shared" si="34"/>
        <v>366055.47</v>
      </c>
      <c r="S158" s="22">
        <f t="shared" si="35"/>
        <v>20130.21</v>
      </c>
      <c r="T158" s="22">
        <f>'2022-23 Salary &amp; Benefits'!$G$6</f>
        <v>12558.24</v>
      </c>
      <c r="U158" s="23">
        <f>'2022-23 Salary &amp; Benefits'!$H$6</f>
        <v>0.2298</v>
      </c>
      <c r="V158" s="23">
        <f>'2022-23 Salary &amp; Benefits'!$I$6</f>
        <v>0.22339999999999999</v>
      </c>
      <c r="W158" s="22">
        <f t="shared" si="36"/>
        <v>155300.89000000001</v>
      </c>
      <c r="X158" s="22">
        <f t="shared" si="37"/>
        <v>6436.43</v>
      </c>
      <c r="Y158" s="22">
        <f t="shared" si="38"/>
        <v>1437.9</v>
      </c>
      <c r="Z158" s="22">
        <f t="shared" si="39"/>
        <v>7874.33</v>
      </c>
      <c r="AA158" s="22">
        <f t="shared" si="40"/>
        <v>549360.89999999991</v>
      </c>
    </row>
    <row r="159" spans="1:27">
      <c r="A159" s="125" t="s">
        <v>2538</v>
      </c>
      <c r="B159" s="3" t="s">
        <v>2121</v>
      </c>
      <c r="C159" s="93">
        <f>IF(A159=Summary!$B$9,Summary!$G$9,0)</f>
        <v>0</v>
      </c>
      <c r="D159" s="134">
        <f>VLOOKUP(A159,AAFTE!$A:$S,3,0)</f>
        <v>1640.48</v>
      </c>
      <c r="E159" s="20">
        <f>VLOOKUP($A159,'2022-23 Salary &amp; Benefits'!$A:$I,3,)</f>
        <v>1.1200000000000001</v>
      </c>
      <c r="F159" s="20">
        <f>VLOOKUP($A159,'2022-23 Salary &amp; Benefits'!$A:$I,4,)</f>
        <v>1.1200000000000001</v>
      </c>
      <c r="G159" s="34">
        <f>VLOOKUP(A159,'CEDARS District FRPL'!$A:$C,3,)</f>
        <v>0.55310000000000004</v>
      </c>
      <c r="H159" s="25">
        <f t="shared" si="29"/>
        <v>1640.48</v>
      </c>
      <c r="I159" s="39">
        <f t="shared" si="30"/>
        <v>907.35</v>
      </c>
      <c r="J159" s="24">
        <v>15</v>
      </c>
      <c r="K159" s="26">
        <f t="shared" si="31"/>
        <v>60.49</v>
      </c>
      <c r="L159" s="24">
        <v>2.3975</v>
      </c>
      <c r="M159" s="24">
        <v>36</v>
      </c>
      <c r="N159" s="27">
        <f t="shared" si="32"/>
        <v>5220.8919000000005</v>
      </c>
      <c r="O159" s="102">
        <f t="shared" si="33"/>
        <v>5.8010000000000002</v>
      </c>
      <c r="P159" s="21">
        <f>VLOOKUP(A159,'2022-23 Salary &amp; Benefits'!$A:$I,5,)</f>
        <v>68937</v>
      </c>
      <c r="Q159" s="21">
        <f>VLOOKUP(A159,'2022-23 Salary &amp; Benefits'!$A:$I,6,FALSE)</f>
        <v>72728</v>
      </c>
      <c r="R159" s="22">
        <f t="shared" si="34"/>
        <v>447891.96</v>
      </c>
      <c r="S159" s="22">
        <f t="shared" si="35"/>
        <v>24630.58</v>
      </c>
      <c r="T159" s="22">
        <f>'2022-23 Salary &amp; Benefits'!$G$6</f>
        <v>12558.24</v>
      </c>
      <c r="U159" s="23">
        <f>'2022-23 Salary &amp; Benefits'!$H$6</f>
        <v>0.2298</v>
      </c>
      <c r="V159" s="23">
        <f>'2022-23 Salary &amp; Benefits'!$I$6</f>
        <v>0.22339999999999999</v>
      </c>
      <c r="W159" s="22">
        <f t="shared" si="36"/>
        <v>181278.39</v>
      </c>
      <c r="X159" s="22">
        <f t="shared" si="37"/>
        <v>7875.38</v>
      </c>
      <c r="Y159" s="22">
        <f t="shared" si="38"/>
        <v>1759.36</v>
      </c>
      <c r="Z159" s="22">
        <f t="shared" si="39"/>
        <v>9634.74</v>
      </c>
      <c r="AA159" s="22">
        <f t="shared" si="40"/>
        <v>663435.67000000004</v>
      </c>
    </row>
    <row r="160" spans="1:27">
      <c r="A160" s="125" t="s">
        <v>2469</v>
      </c>
      <c r="B160" s="3" t="s">
        <v>1587</v>
      </c>
      <c r="C160" s="93">
        <f>IF(A160=Summary!$B$9,Summary!$G$9,0)</f>
        <v>0</v>
      </c>
      <c r="D160" s="134">
        <f>VLOOKUP(A160,AAFTE!$A:$S,3,0)</f>
        <v>59.58</v>
      </c>
      <c r="E160" s="20">
        <f>VLOOKUP($A160,'2022-23 Salary &amp; Benefits'!$A:$I,3,)</f>
        <v>1.06</v>
      </c>
      <c r="F160" s="20">
        <f>VLOOKUP($A160,'2022-23 Salary &amp; Benefits'!$A:$I,4,)</f>
        <v>1.06</v>
      </c>
      <c r="G160" s="34">
        <f>VLOOKUP(A160,'CEDARS District FRPL'!$A:$C,3,)</f>
        <v>0.22409999999999999</v>
      </c>
      <c r="H160" s="25">
        <f t="shared" si="29"/>
        <v>59.58</v>
      </c>
      <c r="I160" s="39">
        <f t="shared" si="30"/>
        <v>13.35</v>
      </c>
      <c r="J160" s="24">
        <v>15</v>
      </c>
      <c r="K160" s="26">
        <f t="shared" si="31"/>
        <v>0.89</v>
      </c>
      <c r="L160" s="24">
        <v>2.3975</v>
      </c>
      <c r="M160" s="24">
        <v>36</v>
      </c>
      <c r="N160" s="27">
        <f t="shared" si="32"/>
        <v>76.815899999999999</v>
      </c>
      <c r="O160" s="102">
        <f t="shared" si="33"/>
        <v>8.5000000000000006E-2</v>
      </c>
      <c r="P160" s="21">
        <f>VLOOKUP(A160,'2022-23 Salary &amp; Benefits'!$A:$I,5,)</f>
        <v>68937</v>
      </c>
      <c r="Q160" s="21">
        <f>VLOOKUP(A160,'2022-23 Salary &amp; Benefits'!$A:$I,6,FALSE)</f>
        <v>72728</v>
      </c>
      <c r="R160" s="22">
        <f t="shared" si="34"/>
        <v>6211.22</v>
      </c>
      <c r="S160" s="22">
        <f t="shared" si="35"/>
        <v>341.57</v>
      </c>
      <c r="T160" s="22">
        <f>'2022-23 Salary &amp; Benefits'!$G$6</f>
        <v>12558.24</v>
      </c>
      <c r="U160" s="23">
        <f>'2022-23 Salary &amp; Benefits'!$H$6</f>
        <v>0.2298</v>
      </c>
      <c r="V160" s="23">
        <f>'2022-23 Salary &amp; Benefits'!$I$6</f>
        <v>0.22339999999999999</v>
      </c>
      <c r="W160" s="22">
        <f t="shared" si="36"/>
        <v>2571.1</v>
      </c>
      <c r="X160" s="22">
        <f t="shared" si="37"/>
        <v>109.21</v>
      </c>
      <c r="Y160" s="22">
        <f t="shared" si="38"/>
        <v>24.4</v>
      </c>
      <c r="Z160" s="22">
        <f t="shared" si="39"/>
        <v>133.60999999999999</v>
      </c>
      <c r="AA160" s="22">
        <f t="shared" si="40"/>
        <v>9257.5</v>
      </c>
    </row>
    <row r="161" spans="1:27">
      <c r="A161" s="125" t="s">
        <v>2466</v>
      </c>
      <c r="B161" s="3" t="s">
        <v>1575</v>
      </c>
      <c r="C161" s="93">
        <f>IF(A161=Summary!$B$9,Summary!$G$9,0)</f>
        <v>0</v>
      </c>
      <c r="D161" s="134">
        <f>VLOOKUP(A161,AAFTE!$A:$S,3,0)</f>
        <v>6587.32</v>
      </c>
      <c r="E161" s="20">
        <f>VLOOKUP($A161,'2022-23 Salary &amp; Benefits'!$A:$I,3,)</f>
        <v>1.1200000000000001</v>
      </c>
      <c r="F161" s="20">
        <f>VLOOKUP($A161,'2022-23 Salary &amp; Benefits'!$A:$I,4,)</f>
        <v>1.1200000000000001</v>
      </c>
      <c r="G161" s="34">
        <f>VLOOKUP(A161,'CEDARS District FRPL'!$A:$C,3,)</f>
        <v>0.63229999999999997</v>
      </c>
      <c r="H161" s="25">
        <f t="shared" si="29"/>
        <v>6587.32</v>
      </c>
      <c r="I161" s="39">
        <f t="shared" si="30"/>
        <v>4165.16</v>
      </c>
      <c r="J161" s="24">
        <v>15</v>
      </c>
      <c r="K161" s="26">
        <f t="shared" si="31"/>
        <v>277.67733333333331</v>
      </c>
      <c r="L161" s="24">
        <v>2.3975</v>
      </c>
      <c r="M161" s="24">
        <v>36</v>
      </c>
      <c r="N161" s="27">
        <f t="shared" si="32"/>
        <v>23966.330639999996</v>
      </c>
      <c r="O161" s="102">
        <f t="shared" si="33"/>
        <v>26.629000000000001</v>
      </c>
      <c r="P161" s="21">
        <f>VLOOKUP(A161,'2022-23 Salary &amp; Benefits'!$A:$I,5,)</f>
        <v>68937</v>
      </c>
      <c r="Q161" s="21">
        <f>VLOOKUP(A161,'2022-23 Salary &amp; Benefits'!$A:$I,6,FALSE)</f>
        <v>72728</v>
      </c>
      <c r="R161" s="22">
        <f t="shared" si="34"/>
        <v>2056010.18</v>
      </c>
      <c r="S161" s="22">
        <f t="shared" si="35"/>
        <v>113064.6</v>
      </c>
      <c r="T161" s="22">
        <f>'2022-23 Salary &amp; Benefits'!$G$6</f>
        <v>12558.24</v>
      </c>
      <c r="U161" s="23">
        <f>'2022-23 Salary &amp; Benefits'!$H$6</f>
        <v>0.2298</v>
      </c>
      <c r="V161" s="23">
        <f>'2022-23 Salary &amp; Benefits'!$I$6</f>
        <v>0.22339999999999999</v>
      </c>
      <c r="W161" s="22">
        <f t="shared" si="36"/>
        <v>832143.14</v>
      </c>
      <c r="X161" s="22">
        <f t="shared" si="37"/>
        <v>36151.25</v>
      </c>
      <c r="Y161" s="22">
        <f t="shared" si="38"/>
        <v>8076.19</v>
      </c>
      <c r="Z161" s="22">
        <f t="shared" si="39"/>
        <v>44227.44</v>
      </c>
      <c r="AA161" s="22">
        <f t="shared" si="40"/>
        <v>3045445.36</v>
      </c>
    </row>
    <row r="162" spans="1:27">
      <c r="A162" s="125" t="s">
        <v>2368</v>
      </c>
      <c r="B162" s="3" t="s">
        <v>1012</v>
      </c>
      <c r="C162" s="93">
        <f>IF(A162=Summary!$B$9,Summary!$G$9,0)</f>
        <v>0</v>
      </c>
      <c r="D162" s="134">
        <f>VLOOKUP(A162,AAFTE!$A:$S,3,0)</f>
        <v>530.78</v>
      </c>
      <c r="E162" s="20">
        <f>VLOOKUP($A162,'2022-23 Salary &amp; Benefits'!$A:$I,3,)</f>
        <v>1.1800000000000002</v>
      </c>
      <c r="F162" s="20">
        <f>VLOOKUP($A162,'2022-23 Salary &amp; Benefits'!$A:$I,4,)</f>
        <v>1.1800000000000002</v>
      </c>
      <c r="G162" s="34">
        <f>VLOOKUP(A162,'CEDARS District FRPL'!$A:$C,3,)</f>
        <v>0.82310000000000005</v>
      </c>
      <c r="H162" s="25">
        <f t="shared" si="29"/>
        <v>530.78</v>
      </c>
      <c r="I162" s="39">
        <f t="shared" si="30"/>
        <v>436.89</v>
      </c>
      <c r="J162" s="24">
        <v>15</v>
      </c>
      <c r="K162" s="26">
        <f t="shared" si="31"/>
        <v>29.125999999999998</v>
      </c>
      <c r="L162" s="24">
        <v>2.3975</v>
      </c>
      <c r="M162" s="24">
        <v>36</v>
      </c>
      <c r="N162" s="27">
        <f t="shared" si="32"/>
        <v>2513.8650599999996</v>
      </c>
      <c r="O162" s="102">
        <f t="shared" si="33"/>
        <v>2.7930000000000001</v>
      </c>
      <c r="P162" s="21">
        <f>VLOOKUP(A162,'2022-23 Salary &amp; Benefits'!$A:$I,5,)</f>
        <v>68937</v>
      </c>
      <c r="Q162" s="21">
        <f>VLOOKUP(A162,'2022-23 Salary &amp; Benefits'!$A:$I,6,FALSE)</f>
        <v>72728</v>
      </c>
      <c r="R162" s="22">
        <f t="shared" si="34"/>
        <v>227198.43</v>
      </c>
      <c r="S162" s="22">
        <f t="shared" si="35"/>
        <v>12494.15</v>
      </c>
      <c r="T162" s="22">
        <f>'2022-23 Salary &amp; Benefits'!$G$6</f>
        <v>12558.24</v>
      </c>
      <c r="U162" s="23">
        <f>'2022-23 Salary &amp; Benefits'!$H$6</f>
        <v>0.2298</v>
      </c>
      <c r="V162" s="23">
        <f>'2022-23 Salary &amp; Benefits'!$I$6</f>
        <v>0.22339999999999999</v>
      </c>
      <c r="W162" s="22">
        <f t="shared" si="36"/>
        <v>90076.56</v>
      </c>
      <c r="X162" s="22">
        <f t="shared" si="37"/>
        <v>3994.88</v>
      </c>
      <c r="Y162" s="22">
        <f t="shared" si="38"/>
        <v>892.46</v>
      </c>
      <c r="Z162" s="22">
        <f t="shared" si="39"/>
        <v>4887.34</v>
      </c>
      <c r="AA162" s="22">
        <f t="shared" si="40"/>
        <v>334656.48000000004</v>
      </c>
    </row>
    <row r="163" spans="1:27">
      <c r="A163" s="125" t="s">
        <v>2474</v>
      </c>
      <c r="B163" s="3" t="s">
        <v>1627</v>
      </c>
      <c r="C163" s="93">
        <f>IF(A163=Summary!$B$9,Summary!$G$9,0)</f>
        <v>0</v>
      </c>
      <c r="D163" s="134">
        <f>VLOOKUP(A163,AAFTE!$A:$S,3,0)</f>
        <v>15033.65</v>
      </c>
      <c r="E163" s="20">
        <f>VLOOKUP($A163,'2022-23 Salary &amp; Benefits'!$A:$I,3,)</f>
        <v>1.18</v>
      </c>
      <c r="F163" s="20">
        <f>VLOOKUP($A163,'2022-23 Salary &amp; Benefits'!$A:$I,4,)</f>
        <v>1.18</v>
      </c>
      <c r="G163" s="34">
        <f>VLOOKUP(A163,'CEDARS District FRPL'!$A:$C,3,)</f>
        <v>0.49730000000000002</v>
      </c>
      <c r="H163" s="25">
        <f t="shared" si="29"/>
        <v>15033.65</v>
      </c>
      <c r="I163" s="39">
        <f t="shared" si="30"/>
        <v>7476.23</v>
      </c>
      <c r="J163" s="24">
        <v>15</v>
      </c>
      <c r="K163" s="26">
        <f t="shared" si="31"/>
        <v>498.41533333333331</v>
      </c>
      <c r="L163" s="24">
        <v>2.3975</v>
      </c>
      <c r="M163" s="24">
        <v>36</v>
      </c>
      <c r="N163" s="27">
        <f t="shared" si="32"/>
        <v>43018.227419999996</v>
      </c>
      <c r="O163" s="102">
        <f t="shared" si="33"/>
        <v>47.798000000000002</v>
      </c>
      <c r="P163" s="21">
        <f>VLOOKUP(A163,'2022-23 Salary &amp; Benefits'!$A:$I,5,)</f>
        <v>68937</v>
      </c>
      <c r="Q163" s="21">
        <f>VLOOKUP(A163,'2022-23 Salary &amp; Benefits'!$A:$I,6,FALSE)</f>
        <v>72728</v>
      </c>
      <c r="R163" s="22">
        <f t="shared" si="34"/>
        <v>3888159.86</v>
      </c>
      <c r="S163" s="22">
        <f t="shared" si="35"/>
        <v>213818.61</v>
      </c>
      <c r="T163" s="22">
        <f>'2022-23 Salary &amp; Benefits'!$G$6</f>
        <v>12558.24</v>
      </c>
      <c r="U163" s="23">
        <f>'2022-23 Salary &amp; Benefits'!$H$6</f>
        <v>0.2298</v>
      </c>
      <c r="V163" s="23">
        <f>'2022-23 Salary &amp; Benefits'!$I$6</f>
        <v>0.22339999999999999</v>
      </c>
      <c r="W163" s="22">
        <f t="shared" si="36"/>
        <v>1541524.97</v>
      </c>
      <c r="X163" s="22">
        <f t="shared" si="37"/>
        <v>68366.31</v>
      </c>
      <c r="Y163" s="22">
        <f t="shared" si="38"/>
        <v>15273.03</v>
      </c>
      <c r="Z163" s="22">
        <f t="shared" si="39"/>
        <v>83639.34</v>
      </c>
      <c r="AA163" s="22">
        <f t="shared" si="40"/>
        <v>5727142.7800000003</v>
      </c>
    </row>
    <row r="164" spans="1:27">
      <c r="A164" s="125" t="s">
        <v>2554</v>
      </c>
      <c r="B164" s="3" t="s">
        <v>2166</v>
      </c>
      <c r="C164" s="93">
        <f>IF(A164=Summary!$B$9,Summary!$G$9,0)</f>
        <v>0</v>
      </c>
      <c r="D164" s="134">
        <f>VLOOKUP(A164,AAFTE!$A:$S,3,0)</f>
        <v>1227.42</v>
      </c>
      <c r="E164" s="20">
        <f>VLOOKUP($A164,'2022-23 Salary &amp; Benefits'!$A:$I,3,)</f>
        <v>1</v>
      </c>
      <c r="F164" s="20">
        <f>VLOOKUP($A164,'2022-23 Salary &amp; Benefits'!$A:$I,4,)</f>
        <v>1</v>
      </c>
      <c r="G164" s="34">
        <f>VLOOKUP(A164,'CEDARS District FRPL'!$A:$C,3,)</f>
        <v>0.52549999999999997</v>
      </c>
      <c r="H164" s="25">
        <f t="shared" si="29"/>
        <v>1227.42</v>
      </c>
      <c r="I164" s="39">
        <f t="shared" si="30"/>
        <v>645.01</v>
      </c>
      <c r="J164" s="24">
        <v>15</v>
      </c>
      <c r="K164" s="26">
        <f t="shared" si="31"/>
        <v>43.000666666666667</v>
      </c>
      <c r="L164" s="24">
        <v>2.3975</v>
      </c>
      <c r="M164" s="24">
        <v>36</v>
      </c>
      <c r="N164" s="27">
        <f t="shared" si="32"/>
        <v>3711.3875400000002</v>
      </c>
      <c r="O164" s="102">
        <f t="shared" si="33"/>
        <v>4.1239999999999997</v>
      </c>
      <c r="P164" s="21">
        <f>VLOOKUP(A164,'2022-23 Salary &amp; Benefits'!$A:$I,5,)</f>
        <v>68937</v>
      </c>
      <c r="Q164" s="21">
        <f>VLOOKUP(A164,'2022-23 Salary &amp; Benefits'!$A:$I,6,FALSE)</f>
        <v>72728</v>
      </c>
      <c r="R164" s="22">
        <f t="shared" si="34"/>
        <v>284296.19</v>
      </c>
      <c r="S164" s="22">
        <f t="shared" si="35"/>
        <v>15634.08</v>
      </c>
      <c r="T164" s="22">
        <f>'2022-23 Salary &amp; Benefits'!$G$6</f>
        <v>12558.24</v>
      </c>
      <c r="U164" s="23">
        <f>'2022-23 Salary &amp; Benefits'!$H$6</f>
        <v>0.2298</v>
      </c>
      <c r="V164" s="23">
        <f>'2022-23 Salary &amp; Benefits'!$I$6</f>
        <v>0.22339999999999999</v>
      </c>
      <c r="W164" s="22">
        <f t="shared" si="36"/>
        <v>120614.1</v>
      </c>
      <c r="X164" s="22">
        <f t="shared" si="37"/>
        <v>4998.84</v>
      </c>
      <c r="Y164" s="22">
        <f t="shared" si="38"/>
        <v>1116.74</v>
      </c>
      <c r="Z164" s="22">
        <f t="shared" si="39"/>
        <v>6115.58</v>
      </c>
      <c r="AA164" s="22">
        <f t="shared" si="40"/>
        <v>426659.95000000007</v>
      </c>
    </row>
    <row r="165" spans="1:27">
      <c r="A165" s="125" t="s">
        <v>2393</v>
      </c>
      <c r="B165" s="3" t="s">
        <v>1133</v>
      </c>
      <c r="C165" s="93">
        <f>IF(A165=Summary!$B$9,Summary!$G$9,0)</f>
        <v>0</v>
      </c>
      <c r="D165" s="134">
        <f>VLOOKUP(A165,AAFTE!$A:$S,3,0)</f>
        <v>769.52</v>
      </c>
      <c r="E165" s="20">
        <f>VLOOKUP($A165,'2022-23 Salary &amp; Benefits'!$A:$I,3,)</f>
        <v>1</v>
      </c>
      <c r="F165" s="20">
        <f>VLOOKUP($A165,'2022-23 Salary &amp; Benefits'!$A:$I,4,)</f>
        <v>1</v>
      </c>
      <c r="G165" s="34">
        <f>VLOOKUP(A165,'CEDARS District FRPL'!$A:$C,3,)</f>
        <v>0.41959999999999997</v>
      </c>
      <c r="H165" s="25">
        <f t="shared" si="29"/>
        <v>769.52</v>
      </c>
      <c r="I165" s="39">
        <f t="shared" si="30"/>
        <v>322.89</v>
      </c>
      <c r="J165" s="24">
        <v>15</v>
      </c>
      <c r="K165" s="26">
        <f t="shared" si="31"/>
        <v>21.526</v>
      </c>
      <c r="L165" s="24">
        <v>2.3975</v>
      </c>
      <c r="M165" s="24">
        <v>36</v>
      </c>
      <c r="N165" s="27">
        <f t="shared" si="32"/>
        <v>1857.90906</v>
      </c>
      <c r="O165" s="102">
        <f t="shared" si="33"/>
        <v>2.0640000000000001</v>
      </c>
      <c r="P165" s="21">
        <f>VLOOKUP(A165,'2022-23 Salary &amp; Benefits'!$A:$I,5,)</f>
        <v>68937</v>
      </c>
      <c r="Q165" s="21">
        <f>VLOOKUP(A165,'2022-23 Salary &amp; Benefits'!$A:$I,6,FALSE)</f>
        <v>72728</v>
      </c>
      <c r="R165" s="22">
        <f t="shared" si="34"/>
        <v>142285.97</v>
      </c>
      <c r="S165" s="22">
        <f t="shared" si="35"/>
        <v>7824.62</v>
      </c>
      <c r="T165" s="22">
        <f>'2022-23 Salary &amp; Benefits'!$G$6</f>
        <v>12558.24</v>
      </c>
      <c r="U165" s="23">
        <f>'2022-23 Salary &amp; Benefits'!$H$6</f>
        <v>0.2298</v>
      </c>
      <c r="V165" s="23">
        <f>'2022-23 Salary &amp; Benefits'!$I$6</f>
        <v>0.22339999999999999</v>
      </c>
      <c r="W165" s="22">
        <f t="shared" si="36"/>
        <v>60365.54</v>
      </c>
      <c r="X165" s="22">
        <f t="shared" si="37"/>
        <v>2501.84</v>
      </c>
      <c r="Y165" s="22">
        <f t="shared" si="38"/>
        <v>558.91</v>
      </c>
      <c r="Z165" s="22">
        <f t="shared" si="39"/>
        <v>3060.75</v>
      </c>
      <c r="AA165" s="22">
        <f t="shared" si="40"/>
        <v>213536.88</v>
      </c>
    </row>
    <row r="166" spans="1:27">
      <c r="A166" s="125" t="s">
        <v>2432</v>
      </c>
      <c r="B166" s="3" t="s">
        <v>1272</v>
      </c>
      <c r="C166" s="93">
        <f>IF(A166=Summary!$B$9,Summary!$G$9,0)</f>
        <v>0</v>
      </c>
      <c r="D166" s="134">
        <f>VLOOKUP(A166,AAFTE!$A:$S,3,0)</f>
        <v>311.31</v>
      </c>
      <c r="E166" s="20">
        <f>VLOOKUP($A166,'2022-23 Salary &amp; Benefits'!$A:$I,3,)</f>
        <v>1</v>
      </c>
      <c r="F166" s="20">
        <f>VLOOKUP($A166,'2022-23 Salary &amp; Benefits'!$A:$I,4,)</f>
        <v>1.04</v>
      </c>
      <c r="G166" s="34">
        <f>VLOOKUP(A166,'CEDARS District FRPL'!$A:$C,3,)</f>
        <v>0.52969999999999995</v>
      </c>
      <c r="H166" s="25">
        <f t="shared" si="29"/>
        <v>311.31</v>
      </c>
      <c r="I166" s="39">
        <f t="shared" si="30"/>
        <v>164.9</v>
      </c>
      <c r="J166" s="24">
        <v>15</v>
      </c>
      <c r="K166" s="26">
        <f t="shared" si="31"/>
        <v>10.993333333333334</v>
      </c>
      <c r="L166" s="24">
        <v>2.3975</v>
      </c>
      <c r="M166" s="24">
        <v>36</v>
      </c>
      <c r="N166" s="27">
        <f t="shared" si="32"/>
        <v>948.83460000000002</v>
      </c>
      <c r="O166" s="102">
        <f t="shared" si="33"/>
        <v>1.054</v>
      </c>
      <c r="P166" s="21">
        <f>VLOOKUP(A166,'2022-23 Salary &amp; Benefits'!$A:$I,5,)</f>
        <v>68937</v>
      </c>
      <c r="Q166" s="21">
        <f>VLOOKUP(A166,'2022-23 Salary &amp; Benefits'!$A:$I,6,FALSE)</f>
        <v>72728</v>
      </c>
      <c r="R166" s="22">
        <f t="shared" si="34"/>
        <v>72659.600000000006</v>
      </c>
      <c r="S166" s="22">
        <f t="shared" si="35"/>
        <v>7061.92</v>
      </c>
      <c r="T166" s="22">
        <f>'2022-23 Salary &amp; Benefits'!$G$6</f>
        <v>12558.24</v>
      </c>
      <c r="U166" s="23">
        <f>'2022-23 Salary &amp; Benefits'!$H$6</f>
        <v>0.2298</v>
      </c>
      <c r="V166" s="23">
        <f>'2022-23 Salary &amp; Benefits'!$I$6</f>
        <v>0.22339999999999999</v>
      </c>
      <c r="W166" s="22">
        <f t="shared" si="36"/>
        <v>31511.19</v>
      </c>
      <c r="X166" s="22">
        <f t="shared" si="37"/>
        <v>1328.69</v>
      </c>
      <c r="Y166" s="22">
        <f t="shared" si="38"/>
        <v>296.83</v>
      </c>
      <c r="Z166" s="22">
        <f t="shared" si="39"/>
        <v>1625.52</v>
      </c>
      <c r="AA166" s="22">
        <f t="shared" si="40"/>
        <v>112858.23000000001</v>
      </c>
    </row>
    <row r="167" spans="1:27">
      <c r="A167" s="125" t="s">
        <v>2421</v>
      </c>
      <c r="B167" s="96" t="s">
        <v>2765</v>
      </c>
      <c r="C167" s="93">
        <f>IF(A167=Summary!$B$9,Summary!$G$9,0)</f>
        <v>0</v>
      </c>
      <c r="D167" s="134">
        <f>VLOOKUP(A167,AAFTE!$A:$S,3,0)</f>
        <v>128.28</v>
      </c>
      <c r="E167" s="20">
        <f>VLOOKUP($A167,'2022-23 Salary &amp; Benefits'!$A:$I,3,)</f>
        <v>1</v>
      </c>
      <c r="F167" s="20">
        <f>VLOOKUP($A167,'2022-23 Salary &amp; Benefits'!$A:$I,4,)</f>
        <v>1</v>
      </c>
      <c r="G167" s="34">
        <f>VLOOKUP(A167,'CEDARS District FRPL'!$A:$C,3,)</f>
        <v>1</v>
      </c>
      <c r="H167" s="25">
        <f t="shared" si="29"/>
        <v>128.28</v>
      </c>
      <c r="I167" s="39">
        <f t="shared" si="30"/>
        <v>128.28</v>
      </c>
      <c r="J167" s="24">
        <v>15</v>
      </c>
      <c r="K167" s="26">
        <f t="shared" si="31"/>
        <v>8.5519999999999996</v>
      </c>
      <c r="L167" s="24">
        <v>2.3975</v>
      </c>
      <c r="M167" s="24">
        <v>36</v>
      </c>
      <c r="N167" s="27">
        <f t="shared" si="32"/>
        <v>738.12311999999997</v>
      </c>
      <c r="O167" s="102">
        <f t="shared" si="33"/>
        <v>0.82</v>
      </c>
      <c r="P167" s="21">
        <f>VLOOKUP(A167,'2022-23 Salary &amp; Benefits'!$A:$I,5,)</f>
        <v>68937</v>
      </c>
      <c r="Q167" s="21">
        <f>VLOOKUP(A167,'2022-23 Salary &amp; Benefits'!$A:$I,6,FALSE)</f>
        <v>72728</v>
      </c>
      <c r="R167" s="22">
        <f t="shared" si="34"/>
        <v>56528.34</v>
      </c>
      <c r="S167" s="22">
        <f t="shared" si="35"/>
        <v>3108.62</v>
      </c>
      <c r="T167" s="22">
        <f>'2022-23 Salary &amp; Benefits'!$G$6</f>
        <v>12558.24</v>
      </c>
      <c r="U167" s="23">
        <f>'2022-23 Salary &amp; Benefits'!$H$6</f>
        <v>0.2298</v>
      </c>
      <c r="V167" s="23">
        <f>'2022-23 Salary &amp; Benefits'!$I$6</f>
        <v>0.22339999999999999</v>
      </c>
      <c r="W167" s="22">
        <f t="shared" si="36"/>
        <v>23982.44</v>
      </c>
      <c r="X167" s="22">
        <f t="shared" si="37"/>
        <v>993.95</v>
      </c>
      <c r="Y167" s="22">
        <f t="shared" si="38"/>
        <v>222.05</v>
      </c>
      <c r="Z167" s="22">
        <f t="shared" si="39"/>
        <v>1216</v>
      </c>
      <c r="AA167" s="22">
        <f t="shared" si="40"/>
        <v>84835.4</v>
      </c>
    </row>
    <row r="168" spans="1:27">
      <c r="A168" s="125" t="s">
        <v>2435</v>
      </c>
      <c r="B168" s="3" t="s">
        <v>1280</v>
      </c>
      <c r="C168" s="93">
        <f>IF(A168=Summary!$B$9,Summary!$G$9,0)</f>
        <v>0</v>
      </c>
      <c r="D168" s="134">
        <f>VLOOKUP(A168,AAFTE!$A:$S,3,0)</f>
        <v>1027.5999999999999</v>
      </c>
      <c r="E168" s="20">
        <f>VLOOKUP($A168,'2022-23 Salary &amp; Benefits'!$A:$I,3,)</f>
        <v>1</v>
      </c>
      <c r="F168" s="20">
        <f>VLOOKUP($A168,'2022-23 Salary &amp; Benefits'!$A:$I,4,)</f>
        <v>1</v>
      </c>
      <c r="G168" s="34">
        <f>VLOOKUP(A168,'CEDARS District FRPL'!$A:$C,3,)</f>
        <v>0.5978</v>
      </c>
      <c r="H168" s="25">
        <f t="shared" si="29"/>
        <v>1027.5999999999999</v>
      </c>
      <c r="I168" s="39">
        <f t="shared" si="30"/>
        <v>614.29999999999995</v>
      </c>
      <c r="J168" s="24">
        <v>15</v>
      </c>
      <c r="K168" s="26">
        <f t="shared" si="31"/>
        <v>40.953333333333333</v>
      </c>
      <c r="L168" s="24">
        <v>2.3975</v>
      </c>
      <c r="M168" s="24">
        <v>36</v>
      </c>
      <c r="N168" s="27">
        <f t="shared" si="32"/>
        <v>3534.6821999999997</v>
      </c>
      <c r="O168" s="102">
        <f t="shared" si="33"/>
        <v>3.927</v>
      </c>
      <c r="P168" s="21">
        <f>VLOOKUP(A168,'2022-23 Salary &amp; Benefits'!$A:$I,5,)</f>
        <v>68937</v>
      </c>
      <c r="Q168" s="21">
        <f>VLOOKUP(A168,'2022-23 Salary &amp; Benefits'!$A:$I,6,FALSE)</f>
        <v>72728</v>
      </c>
      <c r="R168" s="22">
        <f t="shared" si="34"/>
        <v>270715.59999999998</v>
      </c>
      <c r="S168" s="22">
        <f t="shared" si="35"/>
        <v>14887.26</v>
      </c>
      <c r="T168" s="22">
        <f>'2022-23 Salary &amp; Benefits'!$G$6</f>
        <v>12558.24</v>
      </c>
      <c r="U168" s="23">
        <f>'2022-23 Salary &amp; Benefits'!$H$6</f>
        <v>0.2298</v>
      </c>
      <c r="V168" s="23">
        <f>'2022-23 Salary &amp; Benefits'!$I$6</f>
        <v>0.22339999999999999</v>
      </c>
      <c r="W168" s="22">
        <f t="shared" si="36"/>
        <v>114852.47</v>
      </c>
      <c r="X168" s="22">
        <f t="shared" si="37"/>
        <v>4760.05</v>
      </c>
      <c r="Y168" s="22">
        <f t="shared" si="38"/>
        <v>1063.4000000000001</v>
      </c>
      <c r="Z168" s="22">
        <f t="shared" si="39"/>
        <v>5823.4500000000007</v>
      </c>
      <c r="AA168" s="22">
        <f t="shared" si="40"/>
        <v>406278.77999999997</v>
      </c>
    </row>
    <row r="169" spans="1:27">
      <c r="A169" s="125" t="s">
        <v>2489</v>
      </c>
      <c r="B169" s="3" t="s">
        <v>1826</v>
      </c>
      <c r="C169" s="93">
        <f>IF(A169=Summary!$B$9,Summary!$G$9,0)</f>
        <v>0</v>
      </c>
      <c r="D169" s="134">
        <f>VLOOKUP(A169,AAFTE!$A:$S,3,0)</f>
        <v>1387.24</v>
      </c>
      <c r="E169" s="20">
        <f>VLOOKUP($A169,'2022-23 Salary &amp; Benefits'!$A:$I,3,)</f>
        <v>1</v>
      </c>
      <c r="F169" s="20">
        <f>VLOOKUP($A169,'2022-23 Salary &amp; Benefits'!$A:$I,4,)</f>
        <v>1</v>
      </c>
      <c r="G169" s="34">
        <f>VLOOKUP(A169,'CEDARS District FRPL'!$A:$C,3,)</f>
        <v>0.2263</v>
      </c>
      <c r="H169" s="25">
        <f t="shared" si="29"/>
        <v>1387.24</v>
      </c>
      <c r="I169" s="39">
        <f t="shared" si="30"/>
        <v>313.93</v>
      </c>
      <c r="J169" s="24">
        <v>15</v>
      </c>
      <c r="K169" s="26">
        <f t="shared" si="31"/>
        <v>20.928666666666668</v>
      </c>
      <c r="L169" s="24">
        <v>2.3975</v>
      </c>
      <c r="M169" s="24">
        <v>36</v>
      </c>
      <c r="N169" s="27">
        <f t="shared" si="32"/>
        <v>1806.35322</v>
      </c>
      <c r="O169" s="102">
        <f t="shared" si="33"/>
        <v>2.0070000000000001</v>
      </c>
      <c r="P169" s="21">
        <f>VLOOKUP(A169,'2022-23 Salary &amp; Benefits'!$A:$I,5,)</f>
        <v>68937</v>
      </c>
      <c r="Q169" s="21">
        <f>VLOOKUP(A169,'2022-23 Salary &amp; Benefits'!$A:$I,6,FALSE)</f>
        <v>72728</v>
      </c>
      <c r="R169" s="22">
        <f t="shared" si="34"/>
        <v>138356.56</v>
      </c>
      <c r="S169" s="22">
        <f t="shared" si="35"/>
        <v>7608.54</v>
      </c>
      <c r="T169" s="22">
        <f>'2022-23 Salary &amp; Benefits'!$G$6</f>
        <v>12558.24</v>
      </c>
      <c r="U169" s="23">
        <f>'2022-23 Salary &amp; Benefits'!$H$6</f>
        <v>0.2298</v>
      </c>
      <c r="V169" s="23">
        <f>'2022-23 Salary &amp; Benefits'!$I$6</f>
        <v>0.22339999999999999</v>
      </c>
      <c r="W169" s="22">
        <f t="shared" si="36"/>
        <v>58698.47</v>
      </c>
      <c r="X169" s="22">
        <f t="shared" si="37"/>
        <v>2432.75</v>
      </c>
      <c r="Y169" s="22">
        <f t="shared" si="38"/>
        <v>543.48</v>
      </c>
      <c r="Z169" s="22">
        <f t="shared" si="39"/>
        <v>2976.23</v>
      </c>
      <c r="AA169" s="22">
        <f t="shared" si="40"/>
        <v>207639.80000000002</v>
      </c>
    </row>
    <row r="170" spans="1:27">
      <c r="A170" s="125" t="s">
        <v>2537</v>
      </c>
      <c r="B170" s="3" t="s">
        <v>2115</v>
      </c>
      <c r="C170" s="93">
        <f>IF(A170=Summary!$B$9,Summary!$G$9,0)</f>
        <v>0</v>
      </c>
      <c r="D170" s="134">
        <f>VLOOKUP(A170,AAFTE!$A:$S,3,0)</f>
        <v>1798.69</v>
      </c>
      <c r="E170" s="20">
        <f>VLOOKUP($A170,'2022-23 Salary &amp; Benefits'!$A:$I,3,)</f>
        <v>1.06</v>
      </c>
      <c r="F170" s="20">
        <f>VLOOKUP($A170,'2022-23 Salary &amp; Benefits'!$A:$I,4,)</f>
        <v>1.06</v>
      </c>
      <c r="G170" s="34">
        <f>VLOOKUP(A170,'CEDARS District FRPL'!$A:$C,3,)</f>
        <v>0.50629999999999997</v>
      </c>
      <c r="H170" s="25">
        <f t="shared" si="29"/>
        <v>1798.69</v>
      </c>
      <c r="I170" s="39">
        <f t="shared" si="30"/>
        <v>910.68</v>
      </c>
      <c r="J170" s="24">
        <v>15</v>
      </c>
      <c r="K170" s="26">
        <f t="shared" si="31"/>
        <v>60.711999999999996</v>
      </c>
      <c r="L170" s="24">
        <v>2.3975</v>
      </c>
      <c r="M170" s="24">
        <v>36</v>
      </c>
      <c r="N170" s="27">
        <f t="shared" si="32"/>
        <v>5240.0527199999997</v>
      </c>
      <c r="O170" s="102">
        <f t="shared" si="33"/>
        <v>5.8220000000000001</v>
      </c>
      <c r="P170" s="21">
        <f>VLOOKUP(A170,'2022-23 Salary &amp; Benefits'!$A:$I,5,)</f>
        <v>68937</v>
      </c>
      <c r="Q170" s="21">
        <f>VLOOKUP(A170,'2022-23 Salary &amp; Benefits'!$A:$I,6,FALSE)</f>
        <v>72728</v>
      </c>
      <c r="R170" s="22">
        <f t="shared" si="34"/>
        <v>425432.29</v>
      </c>
      <c r="S170" s="22">
        <f t="shared" si="35"/>
        <v>23395.47</v>
      </c>
      <c r="T170" s="22">
        <f>'2022-23 Salary &amp; Benefits'!$G$6</f>
        <v>12558.24</v>
      </c>
      <c r="U170" s="23">
        <f>'2022-23 Salary &amp; Benefits'!$H$6</f>
        <v>0.2298</v>
      </c>
      <c r="V170" s="23">
        <f>'2022-23 Salary &amp; Benefits'!$I$6</f>
        <v>0.22339999999999999</v>
      </c>
      <c r="W170" s="22">
        <f t="shared" si="36"/>
        <v>176104.95999999999</v>
      </c>
      <c r="X170" s="22">
        <f t="shared" si="37"/>
        <v>7480.46</v>
      </c>
      <c r="Y170" s="22">
        <f t="shared" si="38"/>
        <v>1671.13</v>
      </c>
      <c r="Z170" s="22">
        <f t="shared" si="39"/>
        <v>9151.59</v>
      </c>
      <c r="AA170" s="22">
        <f t="shared" si="40"/>
        <v>634084.30999999994</v>
      </c>
    </row>
    <row r="171" spans="1:27">
      <c r="A171" s="125" t="s">
        <v>2329</v>
      </c>
      <c r="B171" s="3" t="s">
        <v>480</v>
      </c>
      <c r="C171" s="93">
        <f>IF(A171=Summary!$B$9,Summary!$G$9,0)</f>
        <v>0</v>
      </c>
      <c r="D171" s="134">
        <f>VLOOKUP(A171,AAFTE!$A:$S,3,0)</f>
        <v>718.6</v>
      </c>
      <c r="E171" s="20">
        <f>VLOOKUP($A171,'2022-23 Salary &amp; Benefits'!$A:$I,3,)</f>
        <v>1</v>
      </c>
      <c r="F171" s="20">
        <f>VLOOKUP($A171,'2022-23 Salary &amp; Benefits'!$A:$I,4,)</f>
        <v>1</v>
      </c>
      <c r="G171" s="34">
        <f>VLOOKUP(A171,'CEDARS District FRPL'!$A:$C,3,)</f>
        <v>0.75539999999999996</v>
      </c>
      <c r="H171" s="25">
        <f t="shared" si="29"/>
        <v>718.6</v>
      </c>
      <c r="I171" s="39">
        <f t="shared" si="30"/>
        <v>542.83000000000004</v>
      </c>
      <c r="J171" s="24">
        <v>15</v>
      </c>
      <c r="K171" s="26">
        <f t="shared" si="31"/>
        <v>36.18866666666667</v>
      </c>
      <c r="L171" s="24">
        <v>2.3975</v>
      </c>
      <c r="M171" s="24">
        <v>36</v>
      </c>
      <c r="N171" s="27">
        <f t="shared" si="32"/>
        <v>3123.4438200000004</v>
      </c>
      <c r="O171" s="102">
        <f t="shared" si="33"/>
        <v>3.47</v>
      </c>
      <c r="P171" s="21">
        <f>VLOOKUP(A171,'2022-23 Salary &amp; Benefits'!$A:$I,5,)</f>
        <v>68937</v>
      </c>
      <c r="Q171" s="21">
        <f>VLOOKUP(A171,'2022-23 Salary &amp; Benefits'!$A:$I,6,FALSE)</f>
        <v>72728</v>
      </c>
      <c r="R171" s="22">
        <f t="shared" si="34"/>
        <v>239211.39</v>
      </c>
      <c r="S171" s="22">
        <f t="shared" si="35"/>
        <v>13154.77</v>
      </c>
      <c r="T171" s="22">
        <f>'2022-23 Salary &amp; Benefits'!$G$6</f>
        <v>12558.24</v>
      </c>
      <c r="U171" s="23">
        <f>'2022-23 Salary &amp; Benefits'!$H$6</f>
        <v>0.2298</v>
      </c>
      <c r="V171" s="23">
        <f>'2022-23 Salary &amp; Benefits'!$I$6</f>
        <v>0.22339999999999999</v>
      </c>
      <c r="W171" s="22">
        <f t="shared" si="36"/>
        <v>101486.65</v>
      </c>
      <c r="X171" s="22">
        <f t="shared" si="37"/>
        <v>4206.1000000000004</v>
      </c>
      <c r="Y171" s="22">
        <f t="shared" si="38"/>
        <v>939.64</v>
      </c>
      <c r="Z171" s="22">
        <f t="shared" si="39"/>
        <v>5145.7400000000007</v>
      </c>
      <c r="AA171" s="22">
        <f t="shared" si="40"/>
        <v>358998.55000000005</v>
      </c>
    </row>
    <row r="172" spans="1:27">
      <c r="A172" s="125" t="s">
        <v>2313</v>
      </c>
      <c r="B172" s="3" t="s">
        <v>393</v>
      </c>
      <c r="C172" s="93">
        <f>IF(A172=Summary!$B$9,Summary!$G$9,0)</f>
        <v>0</v>
      </c>
      <c r="D172" s="134">
        <f>VLOOKUP(A172,AAFTE!$A:$S,3,0)</f>
        <v>2036.29</v>
      </c>
      <c r="E172" s="20">
        <f>VLOOKUP($A172,'2022-23 Salary &amp; Benefits'!$A:$I,3,)</f>
        <v>1</v>
      </c>
      <c r="F172" s="20">
        <f>VLOOKUP($A172,'2022-23 Salary &amp; Benefits'!$A:$I,4,)</f>
        <v>1</v>
      </c>
      <c r="G172" s="34">
        <f>VLOOKUP(A172,'CEDARS District FRPL'!$A:$C,3,)</f>
        <v>0.75470000000000004</v>
      </c>
      <c r="H172" s="25">
        <f t="shared" si="29"/>
        <v>2036.29</v>
      </c>
      <c r="I172" s="39">
        <f t="shared" si="30"/>
        <v>1536.79</v>
      </c>
      <c r="J172" s="24">
        <v>15</v>
      </c>
      <c r="K172" s="26">
        <f t="shared" si="31"/>
        <v>102.45266666666666</v>
      </c>
      <c r="L172" s="24">
        <v>2.3975</v>
      </c>
      <c r="M172" s="24">
        <v>36</v>
      </c>
      <c r="N172" s="27">
        <f t="shared" si="32"/>
        <v>8842.6896599999982</v>
      </c>
      <c r="O172" s="102">
        <f t="shared" si="33"/>
        <v>9.8249999999999993</v>
      </c>
      <c r="P172" s="21">
        <f>VLOOKUP(A172,'2022-23 Salary &amp; Benefits'!$A:$I,5,)</f>
        <v>68937</v>
      </c>
      <c r="Q172" s="21">
        <f>VLOOKUP(A172,'2022-23 Salary &amp; Benefits'!$A:$I,6,FALSE)</f>
        <v>72728</v>
      </c>
      <c r="R172" s="22">
        <f t="shared" si="34"/>
        <v>677306.03</v>
      </c>
      <c r="S172" s="22">
        <f t="shared" si="35"/>
        <v>37246.57</v>
      </c>
      <c r="T172" s="22">
        <f>'2022-23 Salary &amp; Benefits'!$G$6</f>
        <v>12558.24</v>
      </c>
      <c r="U172" s="23">
        <f>'2022-23 Salary &amp; Benefits'!$H$6</f>
        <v>0.2298</v>
      </c>
      <c r="V172" s="23">
        <f>'2022-23 Salary &amp; Benefits'!$I$6</f>
        <v>0.22339999999999999</v>
      </c>
      <c r="W172" s="22">
        <f t="shared" si="36"/>
        <v>287350.52</v>
      </c>
      <c r="X172" s="22">
        <f t="shared" si="37"/>
        <v>11909.21</v>
      </c>
      <c r="Y172" s="22">
        <f t="shared" si="38"/>
        <v>2660.52</v>
      </c>
      <c r="Z172" s="22">
        <f t="shared" si="39"/>
        <v>14569.73</v>
      </c>
      <c r="AA172" s="22">
        <f t="shared" si="40"/>
        <v>1016472.85</v>
      </c>
    </row>
    <row r="173" spans="1:27">
      <c r="A173" s="125" t="s">
        <v>2373</v>
      </c>
      <c r="B173" s="3" t="s">
        <v>1039</v>
      </c>
      <c r="C173" s="93">
        <f>IF(A173=Summary!$B$9,Summary!$G$9,0)</f>
        <v>0</v>
      </c>
      <c r="D173" s="134">
        <f>VLOOKUP(A173,AAFTE!$A:$S,3,0)</f>
        <v>5418.17</v>
      </c>
      <c r="E173" s="20">
        <f>VLOOKUP($A173,'2022-23 Salary &amp; Benefits'!$A:$I,3,)</f>
        <v>1.18</v>
      </c>
      <c r="F173" s="20">
        <f>VLOOKUP($A173,'2022-23 Salary &amp; Benefits'!$A:$I,4,)</f>
        <v>1.18</v>
      </c>
      <c r="G173" s="34">
        <f>VLOOKUP(A173,'CEDARS District FRPL'!$A:$C,3,)</f>
        <v>0.3241</v>
      </c>
      <c r="H173" s="25">
        <f t="shared" si="29"/>
        <v>5418.17</v>
      </c>
      <c r="I173" s="39">
        <f t="shared" si="30"/>
        <v>1756.03</v>
      </c>
      <c r="J173" s="24">
        <v>15</v>
      </c>
      <c r="K173" s="26">
        <f t="shared" si="31"/>
        <v>117.06866666666666</v>
      </c>
      <c r="L173" s="24">
        <v>2.3975</v>
      </c>
      <c r="M173" s="24">
        <v>36</v>
      </c>
      <c r="N173" s="27">
        <f t="shared" si="32"/>
        <v>10104.196619999999</v>
      </c>
      <c r="O173" s="102">
        <f t="shared" si="33"/>
        <v>11.227</v>
      </c>
      <c r="P173" s="21">
        <f>VLOOKUP(A173,'2022-23 Salary &amp; Benefits'!$A:$I,5,)</f>
        <v>68937</v>
      </c>
      <c r="Q173" s="21">
        <f>VLOOKUP(A173,'2022-23 Salary &amp; Benefits'!$A:$I,6,FALSE)</f>
        <v>72728</v>
      </c>
      <c r="R173" s="22">
        <f t="shared" si="34"/>
        <v>913267.72</v>
      </c>
      <c r="S173" s="22">
        <f t="shared" si="35"/>
        <v>50222.64</v>
      </c>
      <c r="T173" s="22">
        <f>'2022-23 Salary &amp; Benefits'!$G$6</f>
        <v>12558.24</v>
      </c>
      <c r="U173" s="23">
        <f>'2022-23 Salary &amp; Benefits'!$H$6</f>
        <v>0.2298</v>
      </c>
      <c r="V173" s="23">
        <f>'2022-23 Salary &amp; Benefits'!$I$6</f>
        <v>0.22339999999999999</v>
      </c>
      <c r="W173" s="22">
        <f t="shared" si="36"/>
        <v>362080.02</v>
      </c>
      <c r="X173" s="22">
        <f t="shared" si="37"/>
        <v>16058.17</v>
      </c>
      <c r="Y173" s="22">
        <f t="shared" si="38"/>
        <v>3587.4</v>
      </c>
      <c r="Z173" s="22">
        <f t="shared" si="39"/>
        <v>19645.57</v>
      </c>
      <c r="AA173" s="22">
        <f t="shared" si="40"/>
        <v>1345215.95</v>
      </c>
    </row>
    <row r="174" spans="1:27">
      <c r="A174" s="125" t="s">
        <v>2419</v>
      </c>
      <c r="B174" s="3" t="s">
        <v>1217</v>
      </c>
      <c r="C174" s="93">
        <f>IF(A174=Summary!$B$9,Summary!$G$9,0)</f>
        <v>0</v>
      </c>
      <c r="D174" s="134">
        <f>VLOOKUP(A174,AAFTE!$A:$S,3,0)</f>
        <v>2258.29</v>
      </c>
      <c r="E174" s="20">
        <f>VLOOKUP($A174,'2022-23 Salary &amp; Benefits'!$A:$I,3,)</f>
        <v>1.06</v>
      </c>
      <c r="F174" s="20">
        <f>VLOOKUP($A174,'2022-23 Salary &amp; Benefits'!$A:$I,4,)</f>
        <v>1.06</v>
      </c>
      <c r="G174" s="34">
        <f>VLOOKUP(A174,'CEDARS District FRPL'!$A:$C,3,)</f>
        <v>0.56899999999999995</v>
      </c>
      <c r="H174" s="25">
        <f t="shared" si="29"/>
        <v>2258.29</v>
      </c>
      <c r="I174" s="39">
        <f t="shared" si="30"/>
        <v>1284.97</v>
      </c>
      <c r="J174" s="24">
        <v>15</v>
      </c>
      <c r="K174" s="26">
        <f t="shared" si="31"/>
        <v>85.664666666666662</v>
      </c>
      <c r="L174" s="24">
        <v>2.3975</v>
      </c>
      <c r="M174" s="24">
        <v>36</v>
      </c>
      <c r="N174" s="27">
        <f t="shared" si="32"/>
        <v>7393.71738</v>
      </c>
      <c r="O174" s="102">
        <f t="shared" si="33"/>
        <v>8.2149999999999999</v>
      </c>
      <c r="P174" s="21">
        <f>VLOOKUP(A174,'2022-23 Salary &amp; Benefits'!$A:$I,5,)</f>
        <v>68937</v>
      </c>
      <c r="Q174" s="21">
        <f>VLOOKUP(A174,'2022-23 Salary &amp; Benefits'!$A:$I,6,FALSE)</f>
        <v>72728</v>
      </c>
      <c r="R174" s="22">
        <f t="shared" si="34"/>
        <v>600296.5</v>
      </c>
      <c r="S174" s="22">
        <f t="shared" si="35"/>
        <v>33011.65</v>
      </c>
      <c r="T174" s="22">
        <f>'2022-23 Salary &amp; Benefits'!$G$6</f>
        <v>12558.24</v>
      </c>
      <c r="U174" s="23">
        <f>'2022-23 Salary &amp; Benefits'!$H$6</f>
        <v>0.2298</v>
      </c>
      <c r="V174" s="23">
        <f>'2022-23 Salary &amp; Benefits'!$I$6</f>
        <v>0.22339999999999999</v>
      </c>
      <c r="W174" s="22">
        <f t="shared" si="36"/>
        <v>248488.88</v>
      </c>
      <c r="X174" s="22">
        <f t="shared" si="37"/>
        <v>10555.14</v>
      </c>
      <c r="Y174" s="22">
        <f t="shared" si="38"/>
        <v>2358.02</v>
      </c>
      <c r="Z174" s="22">
        <f t="shared" si="39"/>
        <v>12913.16</v>
      </c>
      <c r="AA174" s="22">
        <f t="shared" si="40"/>
        <v>894710.19000000006</v>
      </c>
    </row>
    <row r="175" spans="1:27">
      <c r="A175" s="125" t="s">
        <v>2434</v>
      </c>
      <c r="B175" s="3" t="s">
        <v>1278</v>
      </c>
      <c r="C175" s="93">
        <f>IF(A175=Summary!$B$9,Summary!$G$9,0)</f>
        <v>0</v>
      </c>
      <c r="D175" s="134">
        <f>VLOOKUP(A175,AAFTE!$A:$S,3,0)</f>
        <v>85.16</v>
      </c>
      <c r="E175" s="20">
        <f>VLOOKUP($A175,'2022-23 Salary &amp; Benefits'!$A:$I,3,)</f>
        <v>1</v>
      </c>
      <c r="F175" s="20">
        <f>VLOOKUP($A175,'2022-23 Salary &amp; Benefits'!$A:$I,4,)</f>
        <v>1</v>
      </c>
      <c r="G175" s="34">
        <f>VLOOKUP(A175,'CEDARS District FRPL'!$A:$C,3,)</f>
        <v>0.63639999999999997</v>
      </c>
      <c r="H175" s="25">
        <f t="shared" si="29"/>
        <v>85.16</v>
      </c>
      <c r="I175" s="39">
        <f t="shared" si="30"/>
        <v>54.2</v>
      </c>
      <c r="J175" s="24">
        <v>15</v>
      </c>
      <c r="K175" s="26">
        <f t="shared" si="31"/>
        <v>3.6133333333333337</v>
      </c>
      <c r="L175" s="24">
        <v>2.3975</v>
      </c>
      <c r="M175" s="24">
        <v>36</v>
      </c>
      <c r="N175" s="27">
        <f t="shared" si="32"/>
        <v>311.86680000000001</v>
      </c>
      <c r="O175" s="102">
        <f t="shared" si="33"/>
        <v>0.34699999999999998</v>
      </c>
      <c r="P175" s="21">
        <f>VLOOKUP(A175,'2022-23 Salary &amp; Benefits'!$A:$I,5,)</f>
        <v>68937</v>
      </c>
      <c r="Q175" s="21">
        <f>VLOOKUP(A175,'2022-23 Salary &amp; Benefits'!$A:$I,6,FALSE)</f>
        <v>72728</v>
      </c>
      <c r="R175" s="22">
        <f t="shared" si="34"/>
        <v>23921.14</v>
      </c>
      <c r="S175" s="22">
        <f t="shared" si="35"/>
        <v>1315.48</v>
      </c>
      <c r="T175" s="22">
        <f>'2022-23 Salary &amp; Benefits'!$G$6</f>
        <v>12558.24</v>
      </c>
      <c r="U175" s="23">
        <f>'2022-23 Salary &amp; Benefits'!$H$6</f>
        <v>0.2298</v>
      </c>
      <c r="V175" s="23">
        <f>'2022-23 Salary &amp; Benefits'!$I$6</f>
        <v>0.22339999999999999</v>
      </c>
      <c r="W175" s="22">
        <f t="shared" si="36"/>
        <v>10148.67</v>
      </c>
      <c r="X175" s="22">
        <f t="shared" si="37"/>
        <v>420.61</v>
      </c>
      <c r="Y175" s="22">
        <f t="shared" si="38"/>
        <v>93.96</v>
      </c>
      <c r="Z175" s="22">
        <f t="shared" si="39"/>
        <v>514.57000000000005</v>
      </c>
      <c r="AA175" s="22">
        <f t="shared" si="40"/>
        <v>35899.86</v>
      </c>
    </row>
    <row r="176" spans="1:27">
      <c r="A176" s="125" t="s">
        <v>2516</v>
      </c>
      <c r="B176" s="3" t="s">
        <v>1975</v>
      </c>
      <c r="C176" s="93">
        <f>IF(A176=Summary!$B$9,Summary!$G$9,0)</f>
        <v>0</v>
      </c>
      <c r="D176" s="134">
        <f>VLOOKUP(A176,AAFTE!$A:$S,3,0)</f>
        <v>14807.74</v>
      </c>
      <c r="E176" s="20">
        <f>VLOOKUP($A176,'2022-23 Salary &amp; Benefits'!$A:$I,3,)</f>
        <v>1.03</v>
      </c>
      <c r="F176" s="20">
        <f>VLOOKUP($A176,'2022-23 Salary &amp; Benefits'!$A:$I,4,)</f>
        <v>1.03</v>
      </c>
      <c r="G176" s="34">
        <f>VLOOKUP(A176,'CEDARS District FRPL'!$A:$C,3,)</f>
        <v>0.43209999999999998</v>
      </c>
      <c r="H176" s="25">
        <f t="shared" si="29"/>
        <v>14807.74</v>
      </c>
      <c r="I176" s="39">
        <f t="shared" si="30"/>
        <v>6398.42</v>
      </c>
      <c r="J176" s="24">
        <v>15</v>
      </c>
      <c r="K176" s="26">
        <f t="shared" si="31"/>
        <v>426.56133333333332</v>
      </c>
      <c r="L176" s="24">
        <v>2.3975</v>
      </c>
      <c r="M176" s="24">
        <v>36</v>
      </c>
      <c r="N176" s="27">
        <f t="shared" si="32"/>
        <v>36816.508679999999</v>
      </c>
      <c r="O176" s="102">
        <f t="shared" si="33"/>
        <v>40.906999999999996</v>
      </c>
      <c r="P176" s="21">
        <f>VLOOKUP(A176,'2022-23 Salary &amp; Benefits'!$A:$I,5,)</f>
        <v>68937</v>
      </c>
      <c r="Q176" s="21">
        <f>VLOOKUP(A176,'2022-23 Salary &amp; Benefits'!$A:$I,6,FALSE)</f>
        <v>72728</v>
      </c>
      <c r="R176" s="22">
        <f t="shared" si="34"/>
        <v>2904606.03</v>
      </c>
      <c r="S176" s="22">
        <f t="shared" si="35"/>
        <v>159730.79</v>
      </c>
      <c r="T176" s="22">
        <f>'2022-23 Salary &amp; Benefits'!$G$6</f>
        <v>12558.24</v>
      </c>
      <c r="U176" s="23">
        <f>'2022-23 Salary &amp; Benefits'!$H$6</f>
        <v>0.2298</v>
      </c>
      <c r="V176" s="23">
        <f>'2022-23 Salary &amp; Benefits'!$I$6</f>
        <v>0.22339999999999999</v>
      </c>
      <c r="W176" s="22">
        <f t="shared" si="36"/>
        <v>1216882.25</v>
      </c>
      <c r="X176" s="22">
        <f t="shared" si="37"/>
        <v>51072.28</v>
      </c>
      <c r="Y176" s="22">
        <f t="shared" si="38"/>
        <v>11409.55</v>
      </c>
      <c r="Z176" s="22">
        <f t="shared" si="39"/>
        <v>62481.83</v>
      </c>
      <c r="AA176" s="22">
        <f t="shared" si="40"/>
        <v>4343700.8999999994</v>
      </c>
    </row>
    <row r="177" spans="1:27">
      <c r="A177" s="125" t="s">
        <v>2513</v>
      </c>
      <c r="B177" s="3" t="s">
        <v>1955</v>
      </c>
      <c r="C177" s="93">
        <f>IF(A177=Summary!$B$9,Summary!$G$9,0)</f>
        <v>0</v>
      </c>
      <c r="D177" s="134">
        <f>VLOOKUP(A177,AAFTE!$A:$S,3,0)</f>
        <v>251.71</v>
      </c>
      <c r="E177" s="20">
        <f>VLOOKUP($A177,'2022-23 Salary &amp; Benefits'!$A:$I,3,)</f>
        <v>1</v>
      </c>
      <c r="F177" s="20">
        <f>VLOOKUP($A177,'2022-23 Salary &amp; Benefits'!$A:$I,4,)</f>
        <v>1</v>
      </c>
      <c r="G177" s="34">
        <f>VLOOKUP(A177,'CEDARS District FRPL'!$A:$C,3,)</f>
        <v>0.6351</v>
      </c>
      <c r="H177" s="25">
        <f t="shared" si="29"/>
        <v>251.71</v>
      </c>
      <c r="I177" s="39">
        <f t="shared" si="30"/>
        <v>159.86000000000001</v>
      </c>
      <c r="J177" s="24">
        <v>15</v>
      </c>
      <c r="K177" s="26">
        <f t="shared" si="31"/>
        <v>10.657333333333334</v>
      </c>
      <c r="L177" s="24">
        <v>2.3975</v>
      </c>
      <c r="M177" s="24">
        <v>36</v>
      </c>
      <c r="N177" s="27">
        <f t="shared" si="32"/>
        <v>919.83444000000009</v>
      </c>
      <c r="O177" s="102">
        <f t="shared" si="33"/>
        <v>1.022</v>
      </c>
      <c r="P177" s="21">
        <f>VLOOKUP(A177,'2022-23 Salary &amp; Benefits'!$A:$I,5,)</f>
        <v>68937</v>
      </c>
      <c r="Q177" s="21">
        <f>VLOOKUP(A177,'2022-23 Salary &amp; Benefits'!$A:$I,6,FALSE)</f>
        <v>72728</v>
      </c>
      <c r="R177" s="22">
        <f t="shared" si="34"/>
        <v>70453.61</v>
      </c>
      <c r="S177" s="22">
        <f t="shared" si="35"/>
        <v>3874.41</v>
      </c>
      <c r="T177" s="22">
        <f>'2022-23 Salary &amp; Benefits'!$G$6</f>
        <v>12558.24</v>
      </c>
      <c r="U177" s="23">
        <f>'2022-23 Salary &amp; Benefits'!$H$6</f>
        <v>0.2298</v>
      </c>
      <c r="V177" s="23">
        <f>'2022-23 Salary &amp; Benefits'!$I$6</f>
        <v>0.22339999999999999</v>
      </c>
      <c r="W177" s="22">
        <f t="shared" si="36"/>
        <v>29890.3</v>
      </c>
      <c r="X177" s="22">
        <f t="shared" si="37"/>
        <v>1238.8</v>
      </c>
      <c r="Y177" s="22">
        <f t="shared" si="38"/>
        <v>276.75</v>
      </c>
      <c r="Z177" s="22">
        <f t="shared" si="39"/>
        <v>1515.55</v>
      </c>
      <c r="AA177" s="22">
        <f t="shared" si="40"/>
        <v>105733.87000000001</v>
      </c>
    </row>
    <row r="178" spans="1:27">
      <c r="A178" s="125" t="s">
        <v>2366</v>
      </c>
      <c r="B178" s="3" t="s">
        <v>979</v>
      </c>
      <c r="C178" s="93">
        <f>IF(A178=Summary!$B$9,Summary!$G$9,0)</f>
        <v>0</v>
      </c>
      <c r="D178" s="134">
        <f>VLOOKUP(A178,AAFTE!$A:$S,3,0)</f>
        <v>22447.67</v>
      </c>
      <c r="E178" s="20">
        <f>VLOOKUP($A178,'2022-23 Salary &amp; Benefits'!$A:$I,3,)</f>
        <v>1.18</v>
      </c>
      <c r="F178" s="20">
        <f>VLOOKUP($A178,'2022-23 Salary &amp; Benefits'!$A:$I,4,)</f>
        <v>1.18</v>
      </c>
      <c r="G178" s="34">
        <f>VLOOKUP(A178,'CEDARS District FRPL'!$A:$C,3,)</f>
        <v>0.14480000000000001</v>
      </c>
      <c r="H178" s="25">
        <f t="shared" si="29"/>
        <v>22447.67</v>
      </c>
      <c r="I178" s="39">
        <f t="shared" si="30"/>
        <v>3250.42</v>
      </c>
      <c r="J178" s="24">
        <v>15</v>
      </c>
      <c r="K178" s="26">
        <f t="shared" si="31"/>
        <v>216.69466666666668</v>
      </c>
      <c r="L178" s="24">
        <v>2.3975</v>
      </c>
      <c r="M178" s="24">
        <v>36</v>
      </c>
      <c r="N178" s="27">
        <f t="shared" si="32"/>
        <v>18702.916680000002</v>
      </c>
      <c r="O178" s="102">
        <f t="shared" si="33"/>
        <v>20.780999999999999</v>
      </c>
      <c r="P178" s="21">
        <f>VLOOKUP(A178,'2022-23 Salary &amp; Benefits'!$A:$I,5,)</f>
        <v>68937</v>
      </c>
      <c r="Q178" s="21">
        <f>VLOOKUP(A178,'2022-23 Salary &amp; Benefits'!$A:$I,6,FALSE)</f>
        <v>72728</v>
      </c>
      <c r="R178" s="22">
        <f t="shared" si="34"/>
        <v>1690444.16</v>
      </c>
      <c r="S178" s="22">
        <f t="shared" si="35"/>
        <v>92961.31</v>
      </c>
      <c r="T178" s="22">
        <f>'2022-23 Salary &amp; Benefits'!$G$6</f>
        <v>12558.24</v>
      </c>
      <c r="U178" s="23">
        <f>'2022-23 Salary &amp; Benefits'!$H$6</f>
        <v>0.2298</v>
      </c>
      <c r="V178" s="23">
        <f>'2022-23 Salary &amp; Benefits'!$I$6</f>
        <v>0.22339999999999999</v>
      </c>
      <c r="W178" s="22">
        <f t="shared" si="36"/>
        <v>670204.41</v>
      </c>
      <c r="X178" s="22">
        <f t="shared" si="37"/>
        <v>29723.42</v>
      </c>
      <c r="Y178" s="22">
        <f t="shared" si="38"/>
        <v>6640.21</v>
      </c>
      <c r="Z178" s="22">
        <f t="shared" si="39"/>
        <v>36363.629999999997</v>
      </c>
      <c r="AA178" s="22">
        <f t="shared" si="40"/>
        <v>2489973.5099999998</v>
      </c>
    </row>
    <row r="179" spans="1:27">
      <c r="A179" s="125" t="s">
        <v>2340</v>
      </c>
      <c r="B179" s="3" t="s">
        <v>513</v>
      </c>
      <c r="C179" s="93">
        <f>IF(A179=Summary!$B$9,Summary!$G$9,0)</f>
        <v>0</v>
      </c>
      <c r="D179" s="134">
        <f>VLOOKUP(A179,AAFTE!$A:$S,3,0)</f>
        <v>5492.22</v>
      </c>
      <c r="E179" s="20">
        <f>VLOOKUP($A179,'2022-23 Salary &amp; Benefits'!$A:$I,3,)</f>
        <v>1.1200000000000001</v>
      </c>
      <c r="F179" s="20">
        <f>VLOOKUP($A179,'2022-23 Salary &amp; Benefits'!$A:$I,4,)</f>
        <v>1.1200000000000001</v>
      </c>
      <c r="G179" s="34">
        <f>VLOOKUP(A179,'CEDARS District FRPL'!$A:$C,3,)</f>
        <v>0.38140000000000002</v>
      </c>
      <c r="H179" s="25">
        <f t="shared" si="29"/>
        <v>5492.22</v>
      </c>
      <c r="I179" s="39">
        <f t="shared" si="30"/>
        <v>2094.73</v>
      </c>
      <c r="J179" s="24">
        <v>15</v>
      </c>
      <c r="K179" s="26">
        <f t="shared" si="31"/>
        <v>139.64866666666666</v>
      </c>
      <c r="L179" s="24">
        <v>2.3975</v>
      </c>
      <c r="M179" s="24">
        <v>36</v>
      </c>
      <c r="N179" s="27">
        <f t="shared" si="32"/>
        <v>12053.076419999998</v>
      </c>
      <c r="O179" s="102">
        <f t="shared" si="33"/>
        <v>13.391999999999999</v>
      </c>
      <c r="P179" s="21">
        <f>VLOOKUP(A179,'2022-23 Salary &amp; Benefits'!$A:$I,5,)</f>
        <v>68937</v>
      </c>
      <c r="Q179" s="21">
        <f>VLOOKUP(A179,'2022-23 Salary &amp; Benefits'!$A:$I,6,FALSE)</f>
        <v>72728</v>
      </c>
      <c r="R179" s="22">
        <f t="shared" si="34"/>
        <v>1033988.82</v>
      </c>
      <c r="S179" s="22">
        <f t="shared" si="35"/>
        <v>56861.36</v>
      </c>
      <c r="T179" s="22">
        <f>'2022-23 Salary &amp; Benefits'!$G$6</f>
        <v>12558.24</v>
      </c>
      <c r="U179" s="23">
        <f>'2022-23 Salary &amp; Benefits'!$H$6</f>
        <v>0.2298</v>
      </c>
      <c r="V179" s="23">
        <f>'2022-23 Salary &amp; Benefits'!$I$6</f>
        <v>0.22339999999999999</v>
      </c>
      <c r="W179" s="22">
        <f t="shared" si="36"/>
        <v>418493.41</v>
      </c>
      <c r="X179" s="22">
        <f t="shared" si="37"/>
        <v>18180.84</v>
      </c>
      <c r="Y179" s="22">
        <f t="shared" si="38"/>
        <v>4061.6</v>
      </c>
      <c r="Z179" s="22">
        <f t="shared" si="39"/>
        <v>22242.44</v>
      </c>
      <c r="AA179" s="22">
        <f t="shared" si="40"/>
        <v>1531586.03</v>
      </c>
    </row>
    <row r="180" spans="1:27">
      <c r="A180" s="125" t="s">
        <v>2552</v>
      </c>
      <c r="B180" s="3" t="s">
        <v>2161</v>
      </c>
      <c r="C180" s="93">
        <f>IF(A180=Summary!$B$9,Summary!$G$9,0)</f>
        <v>0</v>
      </c>
      <c r="D180" s="134">
        <f>VLOOKUP(A180,AAFTE!$A:$S,3,0)</f>
        <v>146.16999999999999</v>
      </c>
      <c r="E180" s="20">
        <f>VLOOKUP($A180,'2022-23 Salary &amp; Benefits'!$A:$I,3,)</f>
        <v>1</v>
      </c>
      <c r="F180" s="20">
        <f>VLOOKUP($A180,'2022-23 Salary &amp; Benefits'!$A:$I,4,)</f>
        <v>1.04</v>
      </c>
      <c r="G180" s="34">
        <f>VLOOKUP(A180,'CEDARS District FRPL'!$A:$C,3,)</f>
        <v>0.3987</v>
      </c>
      <c r="H180" s="25">
        <f t="shared" si="29"/>
        <v>146.16999999999999</v>
      </c>
      <c r="I180" s="39">
        <f t="shared" si="30"/>
        <v>58.28</v>
      </c>
      <c r="J180" s="24">
        <v>15</v>
      </c>
      <c r="K180" s="26">
        <f t="shared" si="31"/>
        <v>3.8853333333333335</v>
      </c>
      <c r="L180" s="24">
        <v>2.3975</v>
      </c>
      <c r="M180" s="24">
        <v>36</v>
      </c>
      <c r="N180" s="27">
        <f t="shared" si="32"/>
        <v>335.34312000000006</v>
      </c>
      <c r="O180" s="102">
        <f t="shared" si="33"/>
        <v>0.373</v>
      </c>
      <c r="P180" s="21">
        <f>VLOOKUP(A180,'2022-23 Salary &amp; Benefits'!$A:$I,5,)</f>
        <v>68937</v>
      </c>
      <c r="Q180" s="21">
        <f>VLOOKUP(A180,'2022-23 Salary &amp; Benefits'!$A:$I,6,FALSE)</f>
        <v>72728</v>
      </c>
      <c r="R180" s="22">
        <f t="shared" si="34"/>
        <v>25713.5</v>
      </c>
      <c r="S180" s="22">
        <f t="shared" si="35"/>
        <v>2499.15</v>
      </c>
      <c r="T180" s="22">
        <f>'2022-23 Salary &amp; Benefits'!$G$6</f>
        <v>12558.24</v>
      </c>
      <c r="U180" s="23">
        <f>'2022-23 Salary &amp; Benefits'!$H$6</f>
        <v>0.2298</v>
      </c>
      <c r="V180" s="23">
        <f>'2022-23 Salary &amp; Benefits'!$I$6</f>
        <v>0.22339999999999999</v>
      </c>
      <c r="W180" s="22">
        <f t="shared" si="36"/>
        <v>11151.5</v>
      </c>
      <c r="X180" s="22">
        <f t="shared" si="37"/>
        <v>470.21</v>
      </c>
      <c r="Y180" s="22">
        <f t="shared" si="38"/>
        <v>105.04</v>
      </c>
      <c r="Z180" s="22">
        <f t="shared" si="39"/>
        <v>575.25</v>
      </c>
      <c r="AA180" s="22">
        <f t="shared" si="40"/>
        <v>39939.4</v>
      </c>
    </row>
    <row r="181" spans="1:27">
      <c r="A181" s="125" t="s">
        <v>2339</v>
      </c>
      <c r="B181" s="3" t="s">
        <v>510</v>
      </c>
      <c r="C181" s="93">
        <f>IF(A181=Summary!$B$9,Summary!$G$9,0)</f>
        <v>0</v>
      </c>
      <c r="D181" s="134">
        <f>VLOOKUP(A181,AAFTE!$A:$S,3,0)</f>
        <v>328.29</v>
      </c>
      <c r="E181" s="20">
        <f>VLOOKUP($A181,'2022-23 Salary &amp; Benefits'!$A:$I,3,)</f>
        <v>1</v>
      </c>
      <c r="F181" s="20">
        <f>VLOOKUP($A181,'2022-23 Salary &amp; Benefits'!$A:$I,4,)</f>
        <v>1</v>
      </c>
      <c r="G181" s="34">
        <f>VLOOKUP(A181,'CEDARS District FRPL'!$A:$C,3,)</f>
        <v>0.749</v>
      </c>
      <c r="H181" s="25">
        <f t="shared" si="29"/>
        <v>328.29</v>
      </c>
      <c r="I181" s="39">
        <f t="shared" si="30"/>
        <v>245.89</v>
      </c>
      <c r="J181" s="24">
        <v>15</v>
      </c>
      <c r="K181" s="26">
        <f t="shared" si="31"/>
        <v>16.392666666666667</v>
      </c>
      <c r="L181" s="24">
        <v>2.3975</v>
      </c>
      <c r="M181" s="24">
        <v>36</v>
      </c>
      <c r="N181" s="27">
        <f t="shared" si="32"/>
        <v>1414.85106</v>
      </c>
      <c r="O181" s="102">
        <f t="shared" si="33"/>
        <v>1.5720000000000001</v>
      </c>
      <c r="P181" s="21">
        <f>VLOOKUP(A181,'2022-23 Salary &amp; Benefits'!$A:$I,5,)</f>
        <v>68937</v>
      </c>
      <c r="Q181" s="21">
        <f>VLOOKUP(A181,'2022-23 Salary &amp; Benefits'!$A:$I,6,FALSE)</f>
        <v>72728</v>
      </c>
      <c r="R181" s="22">
        <f t="shared" si="34"/>
        <v>108368.96000000001</v>
      </c>
      <c r="S181" s="22">
        <f t="shared" si="35"/>
        <v>5959.46</v>
      </c>
      <c r="T181" s="22">
        <f>'2022-23 Salary &amp; Benefits'!$G$6</f>
        <v>12558.24</v>
      </c>
      <c r="U181" s="23">
        <f>'2022-23 Salary &amp; Benefits'!$H$6</f>
        <v>0.2298</v>
      </c>
      <c r="V181" s="23">
        <f>'2022-23 Salary &amp; Benefits'!$I$6</f>
        <v>0.22339999999999999</v>
      </c>
      <c r="W181" s="22">
        <f t="shared" si="36"/>
        <v>45976.08</v>
      </c>
      <c r="X181" s="22">
        <f t="shared" si="37"/>
        <v>1905.47</v>
      </c>
      <c r="Y181" s="22">
        <f t="shared" si="38"/>
        <v>425.68</v>
      </c>
      <c r="Z181" s="22">
        <f t="shared" si="39"/>
        <v>2331.15</v>
      </c>
      <c r="AA181" s="22">
        <f t="shared" si="40"/>
        <v>162635.65</v>
      </c>
    </row>
    <row r="182" spans="1:27">
      <c r="A182" s="125" t="s">
        <v>2429</v>
      </c>
      <c r="B182" s="3" t="s">
        <v>1261</v>
      </c>
      <c r="C182" s="93">
        <f>IF(A182=Summary!$B$9,Summary!$G$9,0)</f>
        <v>0</v>
      </c>
      <c r="D182" s="134">
        <f>VLOOKUP(A182,AAFTE!$A:$S,3,0)</f>
        <v>1022.68</v>
      </c>
      <c r="E182" s="20">
        <f>VLOOKUP($A182,'2022-23 Salary &amp; Benefits'!$A:$I,3,)</f>
        <v>1</v>
      </c>
      <c r="F182" s="20">
        <f>VLOOKUP($A182,'2022-23 Salary &amp; Benefits'!$A:$I,4,)</f>
        <v>1</v>
      </c>
      <c r="G182" s="34">
        <f>VLOOKUP(A182,'CEDARS District FRPL'!$A:$C,3,)</f>
        <v>0.63170000000000004</v>
      </c>
      <c r="H182" s="25">
        <f t="shared" si="29"/>
        <v>1022.68</v>
      </c>
      <c r="I182" s="39">
        <f t="shared" si="30"/>
        <v>646.03</v>
      </c>
      <c r="J182" s="24">
        <v>15</v>
      </c>
      <c r="K182" s="26">
        <f t="shared" si="31"/>
        <v>43.068666666666665</v>
      </c>
      <c r="L182" s="24">
        <v>2.3975</v>
      </c>
      <c r="M182" s="24">
        <v>36</v>
      </c>
      <c r="N182" s="27">
        <f t="shared" si="32"/>
        <v>3717.2566199999997</v>
      </c>
      <c r="O182" s="102">
        <f t="shared" si="33"/>
        <v>4.13</v>
      </c>
      <c r="P182" s="21">
        <f>VLOOKUP(A182,'2022-23 Salary &amp; Benefits'!$A:$I,5,)</f>
        <v>68937</v>
      </c>
      <c r="Q182" s="21">
        <f>VLOOKUP(A182,'2022-23 Salary &amp; Benefits'!$A:$I,6,FALSE)</f>
        <v>72728</v>
      </c>
      <c r="R182" s="22">
        <f t="shared" si="34"/>
        <v>284709.81</v>
      </c>
      <c r="S182" s="22">
        <f t="shared" si="35"/>
        <v>15656.83</v>
      </c>
      <c r="T182" s="22">
        <f>'2022-23 Salary &amp; Benefits'!$G$6</f>
        <v>12558.24</v>
      </c>
      <c r="U182" s="23">
        <f>'2022-23 Salary &amp; Benefits'!$H$6</f>
        <v>0.2298</v>
      </c>
      <c r="V182" s="23">
        <f>'2022-23 Salary &amp; Benefits'!$I$6</f>
        <v>0.22339999999999999</v>
      </c>
      <c r="W182" s="22">
        <f t="shared" si="36"/>
        <v>120789.58</v>
      </c>
      <c r="X182" s="22">
        <f t="shared" si="37"/>
        <v>5006.1099999999997</v>
      </c>
      <c r="Y182" s="22">
        <f t="shared" si="38"/>
        <v>1118.3599999999999</v>
      </c>
      <c r="Z182" s="22">
        <f t="shared" si="39"/>
        <v>6124.4699999999993</v>
      </c>
      <c r="AA182" s="22">
        <f t="shared" si="40"/>
        <v>427280.69</v>
      </c>
    </row>
    <row r="183" spans="1:27">
      <c r="A183" s="125" t="s">
        <v>2338</v>
      </c>
      <c r="B183" s="3" t="s">
        <v>507</v>
      </c>
      <c r="C183" s="93">
        <f>IF(A183=Summary!$B$9,Summary!$G$9,0)</f>
        <v>0</v>
      </c>
      <c r="D183" s="134">
        <f>VLOOKUP(A183,AAFTE!$A:$S,3,0)</f>
        <v>564.12</v>
      </c>
      <c r="E183" s="20">
        <f>VLOOKUP($A183,'2022-23 Salary &amp; Benefits'!$A:$I,3,)</f>
        <v>1</v>
      </c>
      <c r="F183" s="20">
        <f>VLOOKUP($A183,'2022-23 Salary &amp; Benefits'!$A:$I,4,)</f>
        <v>1</v>
      </c>
      <c r="G183" s="34">
        <f>VLOOKUP(A183,'CEDARS District FRPL'!$A:$C,3,)</f>
        <v>0.73680000000000001</v>
      </c>
      <c r="H183" s="25">
        <f t="shared" si="29"/>
        <v>564.12</v>
      </c>
      <c r="I183" s="39">
        <f t="shared" si="30"/>
        <v>415.64</v>
      </c>
      <c r="J183" s="24">
        <v>15</v>
      </c>
      <c r="K183" s="26">
        <f t="shared" si="31"/>
        <v>27.709333333333333</v>
      </c>
      <c r="L183" s="24">
        <v>2.3975</v>
      </c>
      <c r="M183" s="24">
        <v>36</v>
      </c>
      <c r="N183" s="27">
        <f t="shared" si="32"/>
        <v>2391.59256</v>
      </c>
      <c r="O183" s="102">
        <f t="shared" si="33"/>
        <v>2.657</v>
      </c>
      <c r="P183" s="21">
        <f>VLOOKUP(A183,'2022-23 Salary &amp; Benefits'!$A:$I,5,)</f>
        <v>68937</v>
      </c>
      <c r="Q183" s="21">
        <f>VLOOKUP(A183,'2022-23 Salary &amp; Benefits'!$A:$I,6,FALSE)</f>
        <v>72728</v>
      </c>
      <c r="R183" s="22">
        <f t="shared" si="34"/>
        <v>183165.61</v>
      </c>
      <c r="S183" s="22">
        <f t="shared" si="35"/>
        <v>10072.69</v>
      </c>
      <c r="T183" s="22">
        <f>'2022-23 Salary &amp; Benefits'!$G$6</f>
        <v>12558.24</v>
      </c>
      <c r="U183" s="23">
        <f>'2022-23 Salary &amp; Benefits'!$H$6</f>
        <v>0.2298</v>
      </c>
      <c r="V183" s="23">
        <f>'2022-23 Salary &amp; Benefits'!$I$6</f>
        <v>0.22339999999999999</v>
      </c>
      <c r="W183" s="22">
        <f t="shared" si="36"/>
        <v>77708.94</v>
      </c>
      <c r="X183" s="22">
        <f t="shared" si="37"/>
        <v>3220.64</v>
      </c>
      <c r="Y183" s="22">
        <f t="shared" si="38"/>
        <v>719.49</v>
      </c>
      <c r="Z183" s="22">
        <f t="shared" si="39"/>
        <v>3940.13</v>
      </c>
      <c r="AA183" s="22">
        <f t="shared" si="40"/>
        <v>274887.37</v>
      </c>
    </row>
    <row r="184" spans="1:27">
      <c r="A184" s="125" t="s">
        <v>2410</v>
      </c>
      <c r="B184" s="3" t="s">
        <v>1192</v>
      </c>
      <c r="C184" s="93">
        <f>IF(A184=Summary!$B$9,Summary!$G$9,0)</f>
        <v>0</v>
      </c>
      <c r="D184" s="134">
        <f>VLOOKUP(A184,AAFTE!$A:$S,3,0)</f>
        <v>217.6</v>
      </c>
      <c r="E184" s="20">
        <f>VLOOKUP($A184,'2022-23 Salary &amp; Benefits'!$A:$I,3,)</f>
        <v>1.03</v>
      </c>
      <c r="F184" s="20">
        <f>VLOOKUP($A184,'2022-23 Salary &amp; Benefits'!$A:$I,4,)</f>
        <v>1.07</v>
      </c>
      <c r="G184" s="34">
        <f>VLOOKUP(A184,'CEDARS District FRPL'!$A:$C,3,)</f>
        <v>0.41199999999999998</v>
      </c>
      <c r="H184" s="25">
        <f t="shared" si="29"/>
        <v>217.6</v>
      </c>
      <c r="I184" s="39">
        <f t="shared" si="30"/>
        <v>89.65</v>
      </c>
      <c r="J184" s="24">
        <v>15</v>
      </c>
      <c r="K184" s="26">
        <f t="shared" si="31"/>
        <v>5.9766666666666675</v>
      </c>
      <c r="L184" s="24">
        <v>2.3975</v>
      </c>
      <c r="M184" s="24">
        <v>36</v>
      </c>
      <c r="N184" s="27">
        <f t="shared" si="32"/>
        <v>515.84610000000009</v>
      </c>
      <c r="O184" s="102">
        <f t="shared" si="33"/>
        <v>0.57299999999999995</v>
      </c>
      <c r="P184" s="21">
        <f>VLOOKUP(A184,'2022-23 Salary &amp; Benefits'!$A:$I,5,)</f>
        <v>68937</v>
      </c>
      <c r="Q184" s="21">
        <f>VLOOKUP(A184,'2022-23 Salary &amp; Benefits'!$A:$I,6,FALSE)</f>
        <v>72728</v>
      </c>
      <c r="R184" s="22">
        <f t="shared" si="34"/>
        <v>40685.93</v>
      </c>
      <c r="S184" s="22">
        <f t="shared" si="35"/>
        <v>3904.33</v>
      </c>
      <c r="T184" s="22">
        <f>'2022-23 Salary &amp; Benefits'!$G$6</f>
        <v>12558.24</v>
      </c>
      <c r="U184" s="23">
        <f>'2022-23 Salary &amp; Benefits'!$H$6</f>
        <v>0.2298</v>
      </c>
      <c r="V184" s="23">
        <f>'2022-23 Salary &amp; Benefits'!$I$6</f>
        <v>0.22339999999999999</v>
      </c>
      <c r="W184" s="22">
        <f t="shared" si="36"/>
        <v>17417.73</v>
      </c>
      <c r="X184" s="22">
        <f t="shared" si="37"/>
        <v>743.17</v>
      </c>
      <c r="Y184" s="22">
        <f t="shared" si="38"/>
        <v>166.02</v>
      </c>
      <c r="Z184" s="22">
        <f t="shared" si="39"/>
        <v>909.18999999999994</v>
      </c>
      <c r="AA184" s="22">
        <f t="shared" si="40"/>
        <v>62917.180000000008</v>
      </c>
    </row>
    <row r="185" spans="1:27">
      <c r="A185" s="125" t="s">
        <v>2423</v>
      </c>
      <c r="B185" s="3" t="s">
        <v>1236</v>
      </c>
      <c r="C185" s="93">
        <f>IF(A185=Summary!$B$9,Summary!$G$9,0)</f>
        <v>0</v>
      </c>
      <c r="D185" s="134">
        <f>VLOOKUP(A185,AAFTE!$A:$S,3,0)</f>
        <v>1039.9100000000001</v>
      </c>
      <c r="E185" s="20">
        <f>VLOOKUP($A185,'2022-23 Salary &amp; Benefits'!$A:$I,3,)</f>
        <v>1</v>
      </c>
      <c r="F185" s="20">
        <f>VLOOKUP($A185,'2022-23 Salary &amp; Benefits'!$A:$I,4,)</f>
        <v>1.04</v>
      </c>
      <c r="G185" s="34">
        <f>VLOOKUP(A185,'CEDARS District FRPL'!$A:$C,3,)</f>
        <v>0.70089999999999997</v>
      </c>
      <c r="H185" s="25">
        <f t="shared" si="29"/>
        <v>1039.9100000000001</v>
      </c>
      <c r="I185" s="39">
        <f t="shared" si="30"/>
        <v>728.87</v>
      </c>
      <c r="J185" s="24">
        <v>15</v>
      </c>
      <c r="K185" s="26">
        <f t="shared" si="31"/>
        <v>48.591333333333331</v>
      </c>
      <c r="L185" s="24">
        <v>2.3975</v>
      </c>
      <c r="M185" s="24">
        <v>36</v>
      </c>
      <c r="N185" s="27">
        <f t="shared" si="32"/>
        <v>4193.9179800000002</v>
      </c>
      <c r="O185" s="102">
        <f t="shared" si="33"/>
        <v>4.66</v>
      </c>
      <c r="P185" s="21">
        <f>VLOOKUP(A185,'2022-23 Salary &amp; Benefits'!$A:$I,5,)</f>
        <v>68937</v>
      </c>
      <c r="Q185" s="21">
        <f>VLOOKUP(A185,'2022-23 Salary &amp; Benefits'!$A:$I,6,FALSE)</f>
        <v>72728</v>
      </c>
      <c r="R185" s="22">
        <f t="shared" si="34"/>
        <v>321246.42</v>
      </c>
      <c r="S185" s="22">
        <f t="shared" si="35"/>
        <v>31222.560000000001</v>
      </c>
      <c r="T185" s="22">
        <f>'2022-23 Salary &amp; Benefits'!$G$6</f>
        <v>12558.24</v>
      </c>
      <c r="U185" s="23">
        <f>'2022-23 Salary &amp; Benefits'!$H$6</f>
        <v>0.2298</v>
      </c>
      <c r="V185" s="23">
        <f>'2022-23 Salary &amp; Benefits'!$I$6</f>
        <v>0.22339999999999999</v>
      </c>
      <c r="W185" s="22">
        <f t="shared" si="36"/>
        <v>139318.95000000001</v>
      </c>
      <c r="X185" s="22">
        <f t="shared" si="37"/>
        <v>5874.48</v>
      </c>
      <c r="Y185" s="22">
        <f t="shared" si="38"/>
        <v>1312.36</v>
      </c>
      <c r="Z185" s="22">
        <f t="shared" si="39"/>
        <v>7186.8399999999992</v>
      </c>
      <c r="AA185" s="22">
        <f t="shared" si="40"/>
        <v>498974.77</v>
      </c>
    </row>
    <row r="186" spans="1:27">
      <c r="A186" s="125" t="s">
        <v>2518</v>
      </c>
      <c r="B186" s="3" t="s">
        <v>2007</v>
      </c>
      <c r="C186" s="93">
        <f>IF(A186=Summary!$B$9,Summary!$G$9,0)</f>
        <v>0</v>
      </c>
      <c r="D186" s="134">
        <f>VLOOKUP(A186,AAFTE!$A:$S,3,0)</f>
        <v>9610.15</v>
      </c>
      <c r="E186" s="20">
        <f>VLOOKUP($A186,'2022-23 Salary &amp; Benefits'!$A:$I,3,)</f>
        <v>1</v>
      </c>
      <c r="F186" s="20">
        <f>VLOOKUP($A186,'2022-23 Salary &amp; Benefits'!$A:$I,4,)</f>
        <v>1.04</v>
      </c>
      <c r="G186" s="34">
        <f>VLOOKUP(A186,'CEDARS District FRPL'!$A:$C,3,)</f>
        <v>0.29320000000000002</v>
      </c>
      <c r="H186" s="25">
        <f t="shared" si="29"/>
        <v>9610.15</v>
      </c>
      <c r="I186" s="39">
        <f t="shared" si="30"/>
        <v>2817.7</v>
      </c>
      <c r="J186" s="24">
        <v>15</v>
      </c>
      <c r="K186" s="26">
        <f t="shared" si="31"/>
        <v>187.84666666666666</v>
      </c>
      <c r="L186" s="24">
        <v>2.3975</v>
      </c>
      <c r="M186" s="24">
        <v>36</v>
      </c>
      <c r="N186" s="27">
        <f t="shared" si="32"/>
        <v>16213.045799999998</v>
      </c>
      <c r="O186" s="102">
        <f t="shared" si="33"/>
        <v>18.013999999999999</v>
      </c>
      <c r="P186" s="21">
        <f>VLOOKUP(A186,'2022-23 Salary &amp; Benefits'!$A:$I,5,)</f>
        <v>68937</v>
      </c>
      <c r="Q186" s="21">
        <f>VLOOKUP(A186,'2022-23 Salary &amp; Benefits'!$A:$I,6,FALSE)</f>
        <v>72728</v>
      </c>
      <c r="R186" s="22">
        <f t="shared" si="34"/>
        <v>1241831.1200000001</v>
      </c>
      <c r="S186" s="22">
        <f t="shared" si="35"/>
        <v>120695.96</v>
      </c>
      <c r="T186" s="22">
        <f>'2022-23 Salary &amp; Benefits'!$G$6</f>
        <v>12558.24</v>
      </c>
      <c r="U186" s="23">
        <f>'2022-23 Salary &amp; Benefits'!$H$6</f>
        <v>0.2298</v>
      </c>
      <c r="V186" s="23">
        <f>'2022-23 Salary &amp; Benefits'!$I$6</f>
        <v>0.22339999999999999</v>
      </c>
      <c r="W186" s="22">
        <f t="shared" si="36"/>
        <v>538560.4</v>
      </c>
      <c r="X186" s="22">
        <f t="shared" si="37"/>
        <v>22708.78</v>
      </c>
      <c r="Y186" s="22">
        <f t="shared" si="38"/>
        <v>5073.1400000000003</v>
      </c>
      <c r="Z186" s="22">
        <f t="shared" si="39"/>
        <v>27781.919999999998</v>
      </c>
      <c r="AA186" s="22">
        <f t="shared" si="40"/>
        <v>1928869.4</v>
      </c>
    </row>
    <row r="187" spans="1:27">
      <c r="A187" s="125" t="s">
        <v>2422</v>
      </c>
      <c r="B187" s="3" t="s">
        <v>1226</v>
      </c>
      <c r="C187" s="93">
        <f>IF(A187=Summary!$B$9,Summary!$G$9,0)</f>
        <v>0</v>
      </c>
      <c r="D187" s="134">
        <f>VLOOKUP(A187,AAFTE!$A:$S,3,0)</f>
        <v>6635.97</v>
      </c>
      <c r="E187" s="20">
        <f>VLOOKUP($A187,'2022-23 Salary &amp; Benefits'!$A:$I,3,)</f>
        <v>1</v>
      </c>
      <c r="F187" s="20">
        <f>VLOOKUP($A187,'2022-23 Salary &amp; Benefits'!$A:$I,4,)</f>
        <v>1</v>
      </c>
      <c r="G187" s="34">
        <f>VLOOKUP(A187,'CEDARS District FRPL'!$A:$C,3,)</f>
        <v>0.54259999999999997</v>
      </c>
      <c r="H187" s="25">
        <f t="shared" si="29"/>
        <v>6635.97</v>
      </c>
      <c r="I187" s="39">
        <f t="shared" si="30"/>
        <v>3600.68</v>
      </c>
      <c r="J187" s="24">
        <v>15</v>
      </c>
      <c r="K187" s="26">
        <f t="shared" si="31"/>
        <v>240.04533333333333</v>
      </c>
      <c r="L187" s="24">
        <v>2.3975</v>
      </c>
      <c r="M187" s="24">
        <v>36</v>
      </c>
      <c r="N187" s="27">
        <f t="shared" si="32"/>
        <v>20718.312720000002</v>
      </c>
      <c r="O187" s="102">
        <f t="shared" si="33"/>
        <v>23.02</v>
      </c>
      <c r="P187" s="21">
        <f>VLOOKUP(A187,'2022-23 Salary &amp; Benefits'!$A:$I,5,)</f>
        <v>68937</v>
      </c>
      <c r="Q187" s="21">
        <f>VLOOKUP(A187,'2022-23 Salary &amp; Benefits'!$A:$I,6,FALSE)</f>
        <v>72728</v>
      </c>
      <c r="R187" s="22">
        <f t="shared" si="34"/>
        <v>1586929.74</v>
      </c>
      <c r="S187" s="22">
        <f t="shared" si="35"/>
        <v>87268.82</v>
      </c>
      <c r="T187" s="22">
        <f>'2022-23 Salary &amp; Benefits'!$G$6</f>
        <v>12558.24</v>
      </c>
      <c r="U187" s="23">
        <f>'2022-23 Salary &amp; Benefits'!$H$6</f>
        <v>0.2298</v>
      </c>
      <c r="V187" s="23">
        <f>'2022-23 Salary &amp; Benefits'!$I$6</f>
        <v>0.22339999999999999</v>
      </c>
      <c r="W187" s="22">
        <f t="shared" si="36"/>
        <v>673262.99</v>
      </c>
      <c r="X187" s="22">
        <f t="shared" si="37"/>
        <v>27903.31</v>
      </c>
      <c r="Y187" s="22">
        <f t="shared" si="38"/>
        <v>6233.6</v>
      </c>
      <c r="Z187" s="22">
        <f t="shared" si="39"/>
        <v>34136.910000000003</v>
      </c>
      <c r="AA187" s="22">
        <f t="shared" si="40"/>
        <v>2381598.46</v>
      </c>
    </row>
    <row r="188" spans="1:27">
      <c r="A188" s="125" t="s">
        <v>2401</v>
      </c>
      <c r="B188" s="3" t="s">
        <v>1160</v>
      </c>
      <c r="C188" s="93">
        <f>IF(A188=Summary!$B$9,Summary!$G$9,0)</f>
        <v>0</v>
      </c>
      <c r="D188" s="134">
        <f>VLOOKUP(A188,AAFTE!$A:$S,3,0)</f>
        <v>790.86</v>
      </c>
      <c r="E188" s="20">
        <f>VLOOKUP($A188,'2022-23 Salary &amp; Benefits'!$A:$I,3,)</f>
        <v>1</v>
      </c>
      <c r="F188" s="20">
        <f>VLOOKUP($A188,'2022-23 Salary &amp; Benefits'!$A:$I,4,)</f>
        <v>1</v>
      </c>
      <c r="G188" s="34">
        <f>VLOOKUP(A188,'CEDARS District FRPL'!$A:$C,3,)</f>
        <v>0.56179999999999997</v>
      </c>
      <c r="H188" s="25">
        <f t="shared" si="29"/>
        <v>790.86</v>
      </c>
      <c r="I188" s="39">
        <f t="shared" si="30"/>
        <v>444.31</v>
      </c>
      <c r="J188" s="24">
        <v>15</v>
      </c>
      <c r="K188" s="26">
        <f t="shared" si="31"/>
        <v>29.620666666666668</v>
      </c>
      <c r="L188" s="24">
        <v>2.3975</v>
      </c>
      <c r="M188" s="24">
        <v>36</v>
      </c>
      <c r="N188" s="27">
        <f t="shared" si="32"/>
        <v>2556.5597400000001</v>
      </c>
      <c r="O188" s="102">
        <f t="shared" si="33"/>
        <v>2.8410000000000002</v>
      </c>
      <c r="P188" s="21">
        <f>VLOOKUP(A188,'2022-23 Salary &amp; Benefits'!$A:$I,5,)</f>
        <v>68937</v>
      </c>
      <c r="Q188" s="21">
        <f>VLOOKUP(A188,'2022-23 Salary &amp; Benefits'!$A:$I,6,FALSE)</f>
        <v>72728</v>
      </c>
      <c r="R188" s="22">
        <f t="shared" si="34"/>
        <v>195850.02</v>
      </c>
      <c r="S188" s="22">
        <f t="shared" si="35"/>
        <v>10770.23</v>
      </c>
      <c r="T188" s="22">
        <f>'2022-23 Salary &amp; Benefits'!$G$6</f>
        <v>12558.24</v>
      </c>
      <c r="U188" s="23">
        <f>'2022-23 Salary &amp; Benefits'!$H$6</f>
        <v>0.2298</v>
      </c>
      <c r="V188" s="23">
        <f>'2022-23 Salary &amp; Benefits'!$I$6</f>
        <v>0.22339999999999999</v>
      </c>
      <c r="W188" s="22">
        <f t="shared" si="36"/>
        <v>83090.36</v>
      </c>
      <c r="X188" s="22">
        <f t="shared" si="37"/>
        <v>3443.67</v>
      </c>
      <c r="Y188" s="22">
        <f t="shared" si="38"/>
        <v>769.32</v>
      </c>
      <c r="Z188" s="22">
        <f t="shared" si="39"/>
        <v>4212.99</v>
      </c>
      <c r="AA188" s="22">
        <f t="shared" si="40"/>
        <v>293923.59999999998</v>
      </c>
    </row>
    <row r="189" spans="1:27">
      <c r="A189" s="125" t="s">
        <v>2503</v>
      </c>
      <c r="B189" s="3" t="s">
        <v>1923</v>
      </c>
      <c r="C189" s="93">
        <f>IF(A189=Summary!$B$9,Summary!$G$9,0)</f>
        <v>0</v>
      </c>
      <c r="D189" s="134">
        <f>VLOOKUP(A189,AAFTE!$A:$S,3,0)</f>
        <v>48.43</v>
      </c>
      <c r="E189" s="20">
        <f>VLOOKUP($A189,'2022-23 Salary &amp; Benefits'!$A:$I,3,)</f>
        <v>1</v>
      </c>
      <c r="F189" s="20">
        <f>VLOOKUP($A189,'2022-23 Salary &amp; Benefits'!$A:$I,4,)</f>
        <v>1.04</v>
      </c>
      <c r="G189" s="34">
        <f>VLOOKUP(A189,'CEDARS District FRPL'!$A:$C,3,)</f>
        <v>0.77080000000000004</v>
      </c>
      <c r="H189" s="25">
        <f t="shared" si="29"/>
        <v>48.43</v>
      </c>
      <c r="I189" s="39">
        <f t="shared" si="30"/>
        <v>37.33</v>
      </c>
      <c r="J189" s="24">
        <v>15</v>
      </c>
      <c r="K189" s="26">
        <f t="shared" si="31"/>
        <v>2.4886666666666666</v>
      </c>
      <c r="L189" s="24">
        <v>2.3975</v>
      </c>
      <c r="M189" s="24">
        <v>36</v>
      </c>
      <c r="N189" s="27">
        <f t="shared" si="32"/>
        <v>214.79681999999997</v>
      </c>
      <c r="O189" s="102">
        <f t="shared" si="33"/>
        <v>0.23899999999999999</v>
      </c>
      <c r="P189" s="21">
        <f>VLOOKUP(A189,'2022-23 Salary &amp; Benefits'!$A:$I,5,)</f>
        <v>68937</v>
      </c>
      <c r="Q189" s="21">
        <f>VLOOKUP(A189,'2022-23 Salary &amp; Benefits'!$A:$I,6,FALSE)</f>
        <v>72728</v>
      </c>
      <c r="R189" s="22">
        <f t="shared" si="34"/>
        <v>16475.939999999999</v>
      </c>
      <c r="S189" s="22">
        <f t="shared" si="35"/>
        <v>1601.33</v>
      </c>
      <c r="T189" s="22">
        <f>'2022-23 Salary &amp; Benefits'!$G$6</f>
        <v>12558.24</v>
      </c>
      <c r="U189" s="23">
        <f>'2022-23 Salary &amp; Benefits'!$H$6</f>
        <v>0.2298</v>
      </c>
      <c r="V189" s="23">
        <f>'2022-23 Salary &amp; Benefits'!$I$6</f>
        <v>0.22339999999999999</v>
      </c>
      <c r="W189" s="22">
        <f t="shared" si="36"/>
        <v>7145.33</v>
      </c>
      <c r="X189" s="22">
        <f t="shared" si="37"/>
        <v>301.29000000000002</v>
      </c>
      <c r="Y189" s="22">
        <f t="shared" si="38"/>
        <v>67.31</v>
      </c>
      <c r="Z189" s="22">
        <f t="shared" si="39"/>
        <v>368.6</v>
      </c>
      <c r="AA189" s="22">
        <f t="shared" si="40"/>
        <v>25591.199999999997</v>
      </c>
    </row>
    <row r="190" spans="1:27">
      <c r="A190" s="125" t="s">
        <v>2457</v>
      </c>
      <c r="B190" s="3" t="s">
        <v>1527</v>
      </c>
      <c r="C190" s="93">
        <f>IF(A190=Summary!$B$9,Summary!$G$9,0)</f>
        <v>0</v>
      </c>
      <c r="D190" s="134">
        <f>VLOOKUP(A190,AAFTE!$A:$S,3,0)</f>
        <v>724.55</v>
      </c>
      <c r="E190" s="20">
        <f>VLOOKUP($A190,'2022-23 Salary &amp; Benefits'!$A:$I,3,)</f>
        <v>1.1200000000000001</v>
      </c>
      <c r="F190" s="20">
        <f>VLOOKUP($A190,'2022-23 Salary &amp; Benefits'!$A:$I,4,)</f>
        <v>1.1200000000000001</v>
      </c>
      <c r="G190" s="34">
        <f>VLOOKUP(A190,'CEDARS District FRPL'!$A:$C,3,)</f>
        <v>0.2787</v>
      </c>
      <c r="H190" s="25">
        <f t="shared" si="29"/>
        <v>724.55</v>
      </c>
      <c r="I190" s="39">
        <f t="shared" si="30"/>
        <v>201.93</v>
      </c>
      <c r="J190" s="24">
        <v>15</v>
      </c>
      <c r="K190" s="26">
        <f t="shared" si="31"/>
        <v>13.462</v>
      </c>
      <c r="L190" s="24">
        <v>2.3975</v>
      </c>
      <c r="M190" s="24">
        <v>36</v>
      </c>
      <c r="N190" s="27">
        <f t="shared" si="32"/>
        <v>1161.9052200000001</v>
      </c>
      <c r="O190" s="102">
        <f t="shared" si="33"/>
        <v>1.2909999999999999</v>
      </c>
      <c r="P190" s="21">
        <f>VLOOKUP(A190,'2022-23 Salary &amp; Benefits'!$A:$I,5,)</f>
        <v>68937</v>
      </c>
      <c r="Q190" s="21">
        <f>VLOOKUP(A190,'2022-23 Salary &amp; Benefits'!$A:$I,6,FALSE)</f>
        <v>72728</v>
      </c>
      <c r="R190" s="22">
        <f t="shared" si="34"/>
        <v>99677.39</v>
      </c>
      <c r="S190" s="22">
        <f t="shared" si="35"/>
        <v>5481.48</v>
      </c>
      <c r="T190" s="22">
        <f>'2022-23 Salary &amp; Benefits'!$G$6</f>
        <v>12558.24</v>
      </c>
      <c r="U190" s="23">
        <f>'2022-23 Salary &amp; Benefits'!$H$6</f>
        <v>0.2298</v>
      </c>
      <c r="V190" s="23">
        <f>'2022-23 Salary &amp; Benefits'!$I$6</f>
        <v>0.22339999999999999</v>
      </c>
      <c r="W190" s="22">
        <f t="shared" si="36"/>
        <v>40343.11</v>
      </c>
      <c r="X190" s="22">
        <f t="shared" si="37"/>
        <v>1752.65</v>
      </c>
      <c r="Y190" s="22">
        <f t="shared" si="38"/>
        <v>391.54</v>
      </c>
      <c r="Z190" s="22">
        <f t="shared" si="39"/>
        <v>2144.19</v>
      </c>
      <c r="AA190" s="22">
        <f t="shared" si="40"/>
        <v>147646.17000000001</v>
      </c>
    </row>
    <row r="191" spans="1:27">
      <c r="A191" s="125" t="s">
        <v>2487</v>
      </c>
      <c r="B191" s="3" t="s">
        <v>1822</v>
      </c>
      <c r="C191" s="93">
        <f>IF(A191=Summary!$B$9,Summary!$G$9,0)</f>
        <v>0</v>
      </c>
      <c r="D191" s="134">
        <f>VLOOKUP(A191,AAFTE!$A:$S,3,0)</f>
        <v>67.7</v>
      </c>
      <c r="E191" s="20">
        <f>VLOOKUP($A191,'2022-23 Salary &amp; Benefits'!$A:$I,3,)</f>
        <v>1</v>
      </c>
      <c r="F191" s="20">
        <f>VLOOKUP($A191,'2022-23 Salary &amp; Benefits'!$A:$I,4,)</f>
        <v>1</v>
      </c>
      <c r="G191" s="34">
        <f>VLOOKUP(A191,'CEDARS District FRPL'!$A:$C,3,)</f>
        <v>0.1111</v>
      </c>
      <c r="H191" s="25">
        <f t="shared" si="29"/>
        <v>67.7</v>
      </c>
      <c r="I191" s="39">
        <f t="shared" si="30"/>
        <v>7.52</v>
      </c>
      <c r="J191" s="24">
        <v>15</v>
      </c>
      <c r="K191" s="26">
        <f t="shared" si="31"/>
        <v>0.5013333333333333</v>
      </c>
      <c r="L191" s="24">
        <v>2.3975</v>
      </c>
      <c r="M191" s="24">
        <v>36</v>
      </c>
      <c r="N191" s="27">
        <f t="shared" si="32"/>
        <v>43.270079999999993</v>
      </c>
      <c r="O191" s="102">
        <f t="shared" si="33"/>
        <v>4.8000000000000001E-2</v>
      </c>
      <c r="P191" s="21">
        <f>VLOOKUP(A191,'2022-23 Salary &amp; Benefits'!$A:$I,5,)</f>
        <v>68937</v>
      </c>
      <c r="Q191" s="21">
        <f>VLOOKUP(A191,'2022-23 Salary &amp; Benefits'!$A:$I,6,FALSE)</f>
        <v>72728</v>
      </c>
      <c r="R191" s="22">
        <f t="shared" si="34"/>
        <v>3308.98</v>
      </c>
      <c r="S191" s="22">
        <f t="shared" si="35"/>
        <v>181.96</v>
      </c>
      <c r="T191" s="22">
        <f>'2022-23 Salary &amp; Benefits'!$G$6</f>
        <v>12558.24</v>
      </c>
      <c r="U191" s="23">
        <f>'2022-23 Salary &amp; Benefits'!$H$6</f>
        <v>0.2298</v>
      </c>
      <c r="V191" s="23">
        <f>'2022-23 Salary &amp; Benefits'!$I$6</f>
        <v>0.22339999999999999</v>
      </c>
      <c r="W191" s="22">
        <f t="shared" si="36"/>
        <v>1403.85</v>
      </c>
      <c r="X191" s="22">
        <f t="shared" si="37"/>
        <v>58.18</v>
      </c>
      <c r="Y191" s="22">
        <f t="shared" si="38"/>
        <v>13</v>
      </c>
      <c r="Z191" s="22">
        <f t="shared" si="39"/>
        <v>71.180000000000007</v>
      </c>
      <c r="AA191" s="22">
        <f t="shared" si="40"/>
        <v>4965.97</v>
      </c>
    </row>
    <row r="192" spans="1:27">
      <c r="A192" s="125" t="s">
        <v>2309</v>
      </c>
      <c r="B192" s="3" t="s">
        <v>362</v>
      </c>
      <c r="C192" s="93">
        <f>IF(A192=Summary!$B$9,Summary!$G$9,0)</f>
        <v>0</v>
      </c>
      <c r="D192" s="134">
        <f>VLOOKUP(A192,AAFTE!$A:$S,3,0)</f>
        <v>33.57</v>
      </c>
      <c r="E192" s="20">
        <f>VLOOKUP($A192,'2022-23 Salary &amp; Benefits'!$A:$I,3,)</f>
        <v>1</v>
      </c>
      <c r="F192" s="20">
        <f>VLOOKUP($A192,'2022-23 Salary &amp; Benefits'!$A:$I,4,)</f>
        <v>1.04</v>
      </c>
      <c r="G192" s="34">
        <f>VLOOKUP(A192,'CEDARS District FRPL'!$A:$C,3,)</f>
        <v>0.71879999999999999</v>
      </c>
      <c r="H192" s="25">
        <f t="shared" si="29"/>
        <v>33.57</v>
      </c>
      <c r="I192" s="39">
        <f t="shared" si="30"/>
        <v>24.13</v>
      </c>
      <c r="J192" s="24">
        <v>15</v>
      </c>
      <c r="K192" s="26">
        <f t="shared" si="31"/>
        <v>1.6086666666666667</v>
      </c>
      <c r="L192" s="24">
        <v>2.3975</v>
      </c>
      <c r="M192" s="24">
        <v>36</v>
      </c>
      <c r="N192" s="27">
        <f t="shared" si="32"/>
        <v>138.84402</v>
      </c>
      <c r="O192" s="102">
        <f t="shared" si="33"/>
        <v>0.154</v>
      </c>
      <c r="P192" s="21">
        <f>VLOOKUP(A192,'2022-23 Salary &amp; Benefits'!$A:$I,5,)</f>
        <v>68937</v>
      </c>
      <c r="Q192" s="21">
        <f>VLOOKUP(A192,'2022-23 Salary &amp; Benefits'!$A:$I,6,FALSE)</f>
        <v>72728</v>
      </c>
      <c r="R192" s="22">
        <f t="shared" si="34"/>
        <v>10616.3</v>
      </c>
      <c r="S192" s="22">
        <f t="shared" si="35"/>
        <v>1031.82</v>
      </c>
      <c r="T192" s="22">
        <f>'2022-23 Salary &amp; Benefits'!$G$6</f>
        <v>12558.24</v>
      </c>
      <c r="U192" s="23">
        <f>'2022-23 Salary &amp; Benefits'!$H$6</f>
        <v>0.2298</v>
      </c>
      <c r="V192" s="23">
        <f>'2022-23 Salary &amp; Benefits'!$I$6</f>
        <v>0.22339999999999999</v>
      </c>
      <c r="W192" s="22">
        <f t="shared" si="36"/>
        <v>4604.1000000000004</v>
      </c>
      <c r="X192" s="22">
        <f t="shared" si="37"/>
        <v>194.14</v>
      </c>
      <c r="Y192" s="22">
        <f t="shared" si="38"/>
        <v>43.37</v>
      </c>
      <c r="Z192" s="22">
        <f t="shared" si="39"/>
        <v>237.51</v>
      </c>
      <c r="AA192" s="22">
        <f t="shared" si="40"/>
        <v>16489.73</v>
      </c>
    </row>
    <row r="193" spans="1:27">
      <c r="A193" s="125" t="s">
        <v>2301</v>
      </c>
      <c r="B193" s="3" t="s">
        <v>337</v>
      </c>
      <c r="C193" s="93">
        <f>IF(A193=Summary!$B$9,Summary!$G$9,0)</f>
        <v>0</v>
      </c>
      <c r="D193" s="134">
        <f>VLOOKUP(A193,AAFTE!$A:$S,3,0)</f>
        <v>137.77000000000001</v>
      </c>
      <c r="E193" s="20">
        <f>VLOOKUP($A193,'2022-23 Salary &amp; Benefits'!$A:$I,3,)</f>
        <v>1</v>
      </c>
      <c r="F193" s="20">
        <f>VLOOKUP($A193,'2022-23 Salary &amp; Benefits'!$A:$I,4,)</f>
        <v>1</v>
      </c>
      <c r="G193" s="34">
        <f>VLOOKUP(A193,'CEDARS District FRPL'!$A:$C,3,)</f>
        <v>0.89300000000000002</v>
      </c>
      <c r="H193" s="25">
        <f t="shared" si="29"/>
        <v>137.77000000000001</v>
      </c>
      <c r="I193" s="39">
        <f t="shared" si="30"/>
        <v>123.03</v>
      </c>
      <c r="J193" s="24">
        <v>15</v>
      </c>
      <c r="K193" s="26">
        <f t="shared" si="31"/>
        <v>8.202</v>
      </c>
      <c r="L193" s="24">
        <v>2.3975</v>
      </c>
      <c r="M193" s="24">
        <v>36</v>
      </c>
      <c r="N193" s="27">
        <f t="shared" si="32"/>
        <v>707.91462000000001</v>
      </c>
      <c r="O193" s="102">
        <f t="shared" si="33"/>
        <v>0.78700000000000003</v>
      </c>
      <c r="P193" s="21">
        <f>VLOOKUP(A193,'2022-23 Salary &amp; Benefits'!$A:$I,5,)</f>
        <v>68937</v>
      </c>
      <c r="Q193" s="21">
        <f>VLOOKUP(A193,'2022-23 Salary &amp; Benefits'!$A:$I,6,FALSE)</f>
        <v>72728</v>
      </c>
      <c r="R193" s="22">
        <f t="shared" si="34"/>
        <v>54253.42</v>
      </c>
      <c r="S193" s="22">
        <f t="shared" si="35"/>
        <v>2983.52</v>
      </c>
      <c r="T193" s="22">
        <f>'2022-23 Salary &amp; Benefits'!$G$6</f>
        <v>12558.24</v>
      </c>
      <c r="U193" s="23">
        <f>'2022-23 Salary &amp; Benefits'!$H$6</f>
        <v>0.2298</v>
      </c>
      <c r="V193" s="23">
        <f>'2022-23 Salary &amp; Benefits'!$I$6</f>
        <v>0.22339999999999999</v>
      </c>
      <c r="W193" s="22">
        <f t="shared" si="36"/>
        <v>23017.29</v>
      </c>
      <c r="X193" s="22">
        <f t="shared" si="37"/>
        <v>953.95</v>
      </c>
      <c r="Y193" s="22">
        <f t="shared" si="38"/>
        <v>213.11</v>
      </c>
      <c r="Z193" s="22">
        <f t="shared" si="39"/>
        <v>1167.06</v>
      </c>
      <c r="AA193" s="22">
        <f t="shared" si="40"/>
        <v>81421.289999999994</v>
      </c>
    </row>
    <row r="194" spans="1:27" s="56" customFormat="1">
      <c r="A194" s="125" t="s">
        <v>2428</v>
      </c>
      <c r="B194" s="3" t="s">
        <v>1258</v>
      </c>
      <c r="C194" s="93">
        <f>IF(A194=Summary!$B$9,Summary!$G$9,0)</f>
        <v>0</v>
      </c>
      <c r="D194" s="134">
        <f>VLOOKUP(A194,AAFTE!$A:$S,3,0)</f>
        <v>511.74</v>
      </c>
      <c r="E194" s="20">
        <f>VLOOKUP($A194,'2022-23 Salary &amp; Benefits'!$A:$I,3,)</f>
        <v>1</v>
      </c>
      <c r="F194" s="20">
        <f>VLOOKUP($A194,'2022-23 Salary &amp; Benefits'!$A:$I,4,)</f>
        <v>1</v>
      </c>
      <c r="G194" s="34">
        <f>VLOOKUP(A194,'CEDARS District FRPL'!$A:$C,3,)</f>
        <v>0.74</v>
      </c>
      <c r="H194" s="25">
        <f t="shared" si="29"/>
        <v>511.74</v>
      </c>
      <c r="I194" s="39">
        <f t="shared" si="30"/>
        <v>378.69</v>
      </c>
      <c r="J194" s="24">
        <v>15</v>
      </c>
      <c r="K194" s="26">
        <f t="shared" si="31"/>
        <v>25.245999999999999</v>
      </c>
      <c r="L194" s="24">
        <v>2.3975</v>
      </c>
      <c r="M194" s="24">
        <v>36</v>
      </c>
      <c r="N194" s="27">
        <f t="shared" si="32"/>
        <v>2178.9822599999998</v>
      </c>
      <c r="O194" s="102">
        <f t="shared" si="33"/>
        <v>2.4209999999999998</v>
      </c>
      <c r="P194" s="21">
        <f>VLOOKUP(A194,'2022-23 Salary &amp; Benefits'!$A:$I,5,)</f>
        <v>68937</v>
      </c>
      <c r="Q194" s="21">
        <f>VLOOKUP(A194,'2022-23 Salary &amp; Benefits'!$A:$I,6,FALSE)</f>
        <v>72728</v>
      </c>
      <c r="R194" s="22">
        <f t="shared" si="34"/>
        <v>166896.48000000001</v>
      </c>
      <c r="S194" s="22">
        <f t="shared" si="35"/>
        <v>9178.01</v>
      </c>
      <c r="T194" s="22">
        <f>'2022-23 Salary &amp; Benefits'!$G$6</f>
        <v>12558.24</v>
      </c>
      <c r="U194" s="23">
        <f>'2022-23 Salary &amp; Benefits'!$H$6</f>
        <v>0.2298</v>
      </c>
      <c r="V194" s="23">
        <f>'2022-23 Salary &amp; Benefits'!$I$6</f>
        <v>0.22339999999999999</v>
      </c>
      <c r="W194" s="22">
        <f t="shared" si="36"/>
        <v>70806.679999999993</v>
      </c>
      <c r="X194" s="22">
        <f t="shared" si="37"/>
        <v>2934.57</v>
      </c>
      <c r="Y194" s="22">
        <f t="shared" si="38"/>
        <v>655.58</v>
      </c>
      <c r="Z194" s="22">
        <f t="shared" si="39"/>
        <v>3590.15</v>
      </c>
      <c r="AA194" s="22">
        <f t="shared" si="40"/>
        <v>250471.32</v>
      </c>
    </row>
    <row r="195" spans="1:27" s="56" customFormat="1">
      <c r="A195" s="125" t="s">
        <v>2445</v>
      </c>
      <c r="B195" s="3" t="s">
        <v>1413</v>
      </c>
      <c r="C195" s="93">
        <f>IF(A195=Summary!$B$9,Summary!$G$9,0)</f>
        <v>0</v>
      </c>
      <c r="D195" s="134">
        <f>VLOOKUP(A195,AAFTE!$A:$S,3,0)</f>
        <v>2596.65</v>
      </c>
      <c r="E195" s="20">
        <f>VLOOKUP($A195,'2022-23 Salary &amp; Benefits'!$A:$I,3,)</f>
        <v>1.06</v>
      </c>
      <c r="F195" s="20">
        <f>VLOOKUP($A195,'2022-23 Salary &amp; Benefits'!$A:$I,4,)</f>
        <v>1.06</v>
      </c>
      <c r="G195" s="34">
        <f>VLOOKUP(A195,'CEDARS District FRPL'!$A:$C,3,)</f>
        <v>0.28160000000000002</v>
      </c>
      <c r="H195" s="25">
        <f t="shared" si="29"/>
        <v>2596.65</v>
      </c>
      <c r="I195" s="39">
        <f t="shared" si="30"/>
        <v>731.22</v>
      </c>
      <c r="J195" s="24">
        <v>15</v>
      </c>
      <c r="K195" s="26">
        <f t="shared" si="31"/>
        <v>48.748000000000005</v>
      </c>
      <c r="L195" s="24">
        <v>2.3975</v>
      </c>
      <c r="M195" s="24">
        <v>36</v>
      </c>
      <c r="N195" s="27">
        <f t="shared" si="32"/>
        <v>4207.4398799999999</v>
      </c>
      <c r="O195" s="102">
        <f t="shared" si="33"/>
        <v>4.6749999999999998</v>
      </c>
      <c r="P195" s="21">
        <f>VLOOKUP(A195,'2022-23 Salary &amp; Benefits'!$A:$I,5,)</f>
        <v>68937</v>
      </c>
      <c r="Q195" s="21">
        <f>VLOOKUP(A195,'2022-23 Salary &amp; Benefits'!$A:$I,6,FALSE)</f>
        <v>72728</v>
      </c>
      <c r="R195" s="22">
        <f t="shared" si="34"/>
        <v>341617.3</v>
      </c>
      <c r="S195" s="22">
        <f t="shared" si="35"/>
        <v>18786.3</v>
      </c>
      <c r="T195" s="22">
        <f>'2022-23 Salary &amp; Benefits'!$G$6</f>
        <v>12558.24</v>
      </c>
      <c r="U195" s="23">
        <f>'2022-23 Salary &amp; Benefits'!$H$6</f>
        <v>0.2298</v>
      </c>
      <c r="V195" s="23">
        <f>'2022-23 Salary &amp; Benefits'!$I$6</f>
        <v>0.22339999999999999</v>
      </c>
      <c r="W195" s="22">
        <f t="shared" si="36"/>
        <v>141410.29</v>
      </c>
      <c r="X195" s="22">
        <f t="shared" si="37"/>
        <v>6006.73</v>
      </c>
      <c r="Y195" s="22">
        <f t="shared" si="38"/>
        <v>1341.9</v>
      </c>
      <c r="Z195" s="22">
        <f t="shared" si="39"/>
        <v>7348.6299999999992</v>
      </c>
      <c r="AA195" s="22">
        <f t="shared" si="40"/>
        <v>509162.51999999996</v>
      </c>
    </row>
    <row r="196" spans="1:27" s="56" customFormat="1">
      <c r="A196" s="125" t="s">
        <v>2259</v>
      </c>
      <c r="B196" s="3" t="s">
        <v>4</v>
      </c>
      <c r="C196" s="93">
        <f>IF(A196=Summary!$B$9,Summary!$G$9,0)</f>
        <v>0</v>
      </c>
      <c r="D196" s="134">
        <f>VLOOKUP(A196,AAFTE!$A:$S,3,0)</f>
        <v>4455.46</v>
      </c>
      <c r="E196" s="20">
        <f>VLOOKUP($A196,'2022-23 Salary &amp; Benefits'!$A:$I,3,)</f>
        <v>1</v>
      </c>
      <c r="F196" s="20">
        <f>VLOOKUP($A196,'2022-23 Salary &amp; Benefits'!$A:$I,4,)</f>
        <v>1</v>
      </c>
      <c r="G196" s="34">
        <f>VLOOKUP(A196,'CEDARS District FRPL'!$A:$C,3,)</f>
        <v>0.81510000000000005</v>
      </c>
      <c r="H196" s="25">
        <f t="shared" si="29"/>
        <v>4455.46</v>
      </c>
      <c r="I196" s="39">
        <f t="shared" si="30"/>
        <v>3631.65</v>
      </c>
      <c r="J196" s="24">
        <v>15</v>
      </c>
      <c r="K196" s="26">
        <f t="shared" si="31"/>
        <v>242.11</v>
      </c>
      <c r="L196" s="24">
        <v>2.3975</v>
      </c>
      <c r="M196" s="24">
        <v>36</v>
      </c>
      <c r="N196" s="27">
        <f t="shared" si="32"/>
        <v>20896.514100000004</v>
      </c>
      <c r="O196" s="102">
        <f t="shared" si="33"/>
        <v>23.218</v>
      </c>
      <c r="P196" s="21">
        <f>VLOOKUP(A196,'2022-23 Salary &amp; Benefits'!$A:$I,5,)</f>
        <v>68937</v>
      </c>
      <c r="Q196" s="21">
        <f>VLOOKUP(A196,'2022-23 Salary &amp; Benefits'!$A:$I,6,FALSE)</f>
        <v>72728</v>
      </c>
      <c r="R196" s="22">
        <f t="shared" si="34"/>
        <v>1600579.27</v>
      </c>
      <c r="S196" s="22">
        <f t="shared" si="35"/>
        <v>88019.43</v>
      </c>
      <c r="T196" s="22">
        <f>'2022-23 Salary &amp; Benefits'!$G$6</f>
        <v>12558.24</v>
      </c>
      <c r="U196" s="23">
        <f>'2022-23 Salary &amp; Benefits'!$H$6</f>
        <v>0.2298</v>
      </c>
      <c r="V196" s="23">
        <f>'2022-23 Salary &amp; Benefits'!$I$6</f>
        <v>0.22339999999999999</v>
      </c>
      <c r="W196" s="22">
        <f t="shared" si="36"/>
        <v>679053.87</v>
      </c>
      <c r="X196" s="22">
        <f t="shared" si="37"/>
        <v>28143.31</v>
      </c>
      <c r="Y196" s="22">
        <f t="shared" si="38"/>
        <v>6287.22</v>
      </c>
      <c r="Z196" s="22">
        <f t="shared" si="39"/>
        <v>34430.53</v>
      </c>
      <c r="AA196" s="22">
        <f t="shared" si="40"/>
        <v>2402083.1</v>
      </c>
    </row>
    <row r="197" spans="1:27" s="56" customFormat="1">
      <c r="A197" s="125" t="s">
        <v>2303</v>
      </c>
      <c r="B197" s="3" t="s">
        <v>344</v>
      </c>
      <c r="C197" s="93">
        <f>IF(A197=Summary!$B$9,Summary!$G$9,0)</f>
        <v>0</v>
      </c>
      <c r="D197" s="134">
        <f>VLOOKUP(A197,AAFTE!$A:$S,3,0)</f>
        <v>22</v>
      </c>
      <c r="E197" s="20">
        <f>VLOOKUP($A197,'2022-23 Salary &amp; Benefits'!$A:$I,3,)</f>
        <v>1</v>
      </c>
      <c r="F197" s="20">
        <f>VLOOKUP($A197,'2022-23 Salary &amp; Benefits'!$A:$I,4,)</f>
        <v>1</v>
      </c>
      <c r="G197" s="34">
        <f>VLOOKUP(A197,'CEDARS District FRPL'!$A:$C,3,)</f>
        <v>0.91300000000000003</v>
      </c>
      <c r="H197" s="25">
        <f t="shared" si="29"/>
        <v>22</v>
      </c>
      <c r="I197" s="39">
        <f t="shared" si="30"/>
        <v>20.09</v>
      </c>
      <c r="J197" s="24">
        <v>15</v>
      </c>
      <c r="K197" s="26">
        <f t="shared" si="31"/>
        <v>1.3393333333333333</v>
      </c>
      <c r="L197" s="24">
        <v>2.3975</v>
      </c>
      <c r="M197" s="24">
        <v>36</v>
      </c>
      <c r="N197" s="27">
        <f t="shared" si="32"/>
        <v>115.59786</v>
      </c>
      <c r="O197" s="102">
        <f t="shared" si="33"/>
        <v>0.128</v>
      </c>
      <c r="P197" s="21">
        <f>VLOOKUP(A197,'2022-23 Salary &amp; Benefits'!$A:$I,5,)</f>
        <v>68937</v>
      </c>
      <c r="Q197" s="21">
        <f>VLOOKUP(A197,'2022-23 Salary &amp; Benefits'!$A:$I,6,FALSE)</f>
        <v>72728</v>
      </c>
      <c r="R197" s="22">
        <f t="shared" si="34"/>
        <v>8823.94</v>
      </c>
      <c r="S197" s="22">
        <f t="shared" si="35"/>
        <v>485.24</v>
      </c>
      <c r="T197" s="22">
        <f>'2022-23 Salary &amp; Benefits'!$G$6</f>
        <v>12558.24</v>
      </c>
      <c r="U197" s="23">
        <f>'2022-23 Salary &amp; Benefits'!$H$6</f>
        <v>0.2298</v>
      </c>
      <c r="V197" s="23">
        <f>'2022-23 Salary &amp; Benefits'!$I$6</f>
        <v>0.22339999999999999</v>
      </c>
      <c r="W197" s="22">
        <f t="shared" si="36"/>
        <v>3743.6</v>
      </c>
      <c r="X197" s="22">
        <f t="shared" si="37"/>
        <v>155.15</v>
      </c>
      <c r="Y197" s="22">
        <f t="shared" si="38"/>
        <v>34.659999999999997</v>
      </c>
      <c r="Z197" s="22">
        <f t="shared" si="39"/>
        <v>189.81</v>
      </c>
      <c r="AA197" s="22">
        <f t="shared" si="40"/>
        <v>13242.59</v>
      </c>
    </row>
    <row r="198" spans="1:27">
      <c r="A198" s="125" t="s">
        <v>2545</v>
      </c>
      <c r="B198" s="3" t="s">
        <v>2143</v>
      </c>
      <c r="C198" s="93">
        <f>IF(A198=Summary!$B$9,Summary!$G$9,0)</f>
        <v>0</v>
      </c>
      <c r="D198" s="134">
        <f>VLOOKUP(A198,AAFTE!$A:$S,3,0)</f>
        <v>154.13</v>
      </c>
      <c r="E198" s="20">
        <f>VLOOKUP($A198,'2022-23 Salary &amp; Benefits'!$A:$I,3,)</f>
        <v>1</v>
      </c>
      <c r="F198" s="20">
        <f>VLOOKUP($A198,'2022-23 Salary &amp; Benefits'!$A:$I,4,)</f>
        <v>1</v>
      </c>
      <c r="G198" s="34">
        <f>VLOOKUP(A198,'CEDARS District FRPL'!$A:$C,3,)</f>
        <v>0.36420000000000002</v>
      </c>
      <c r="H198" s="25">
        <f t="shared" ref="H198:H260" si="41">IF(C198&gt;0,C198,D198)</f>
        <v>154.13</v>
      </c>
      <c r="I198" s="39">
        <f t="shared" ref="I198:I261" si="42">ROUND(H198*G198,2)</f>
        <v>56.13</v>
      </c>
      <c r="J198" s="24">
        <v>15</v>
      </c>
      <c r="K198" s="26">
        <f t="shared" si="31"/>
        <v>3.742</v>
      </c>
      <c r="L198" s="24">
        <v>2.3975</v>
      </c>
      <c r="M198" s="24">
        <v>36</v>
      </c>
      <c r="N198" s="27">
        <f t="shared" si="32"/>
        <v>322.97201999999999</v>
      </c>
      <c r="O198" s="102">
        <f t="shared" ref="O198:O261" si="43">ROUND(N198/900,3)</f>
        <v>0.35899999999999999</v>
      </c>
      <c r="P198" s="21">
        <f>VLOOKUP(A198,'2022-23 Salary &amp; Benefits'!$A:$I,5,)</f>
        <v>68937</v>
      </c>
      <c r="Q198" s="21">
        <f>VLOOKUP(A198,'2022-23 Salary &amp; Benefits'!$A:$I,6,FALSE)</f>
        <v>72728</v>
      </c>
      <c r="R198" s="22">
        <f t="shared" ref="R198:R261" si="44">ROUND($E198*$P198*$O198,2)</f>
        <v>24748.38</v>
      </c>
      <c r="S198" s="22">
        <f t="shared" ref="S198:S261" si="45">ROUND(($Q198*$F198*$O198-$R198),2)</f>
        <v>1360.97</v>
      </c>
      <c r="T198" s="22">
        <f>'2022-23 Salary &amp; Benefits'!$G$6</f>
        <v>12558.24</v>
      </c>
      <c r="U198" s="23">
        <f>'2022-23 Salary &amp; Benefits'!$H$6</f>
        <v>0.2298</v>
      </c>
      <c r="V198" s="23">
        <f>'2022-23 Salary &amp; Benefits'!$I$6</f>
        <v>0.22339999999999999</v>
      </c>
      <c r="W198" s="22">
        <f t="shared" ref="W198:W261" si="46">ROUND(R198*U198+S198*V198+O198*T198,2)</f>
        <v>10499.63</v>
      </c>
      <c r="X198" s="22">
        <f t="shared" ref="X198:X261" si="47">ROUND(($Q198*$F198*$O198/180*3),2)</f>
        <v>435.16</v>
      </c>
      <c r="Y198" s="22">
        <f t="shared" ref="Y198:Y261" si="48">ROUND(X198*V198,2)</f>
        <v>97.21</v>
      </c>
      <c r="Z198" s="22">
        <f t="shared" si="39"/>
        <v>532.37</v>
      </c>
      <c r="AA198" s="22">
        <f t="shared" si="40"/>
        <v>37141.350000000006</v>
      </c>
    </row>
    <row r="199" spans="1:27">
      <c r="A199" s="125" t="s">
        <v>2312</v>
      </c>
      <c r="B199" s="3" t="s">
        <v>372</v>
      </c>
      <c r="C199" s="93">
        <f>IF(A199=Summary!$B$9,Summary!$G$9,0)</f>
        <v>0</v>
      </c>
      <c r="D199" s="134">
        <f>VLOOKUP(A199,AAFTE!$A:$S,3,0)</f>
        <v>18054.64</v>
      </c>
      <c r="E199" s="20">
        <f>VLOOKUP($A199,'2022-23 Salary &amp; Benefits'!$A:$I,3,)</f>
        <v>1</v>
      </c>
      <c r="F199" s="20">
        <f>VLOOKUP($A199,'2022-23 Salary &amp; Benefits'!$A:$I,4,)</f>
        <v>1</v>
      </c>
      <c r="G199" s="34">
        <f>VLOOKUP(A199,'CEDARS District FRPL'!$A:$C,3,)</f>
        <v>0.73440000000000005</v>
      </c>
      <c r="H199" s="25">
        <f t="shared" si="41"/>
        <v>18054.64</v>
      </c>
      <c r="I199" s="39">
        <f t="shared" si="42"/>
        <v>13259.33</v>
      </c>
      <c r="J199" s="24">
        <v>15</v>
      </c>
      <c r="K199" s="26">
        <f t="shared" ref="K199:K261" si="49">I199/J199</f>
        <v>883.95533333333333</v>
      </c>
      <c r="L199" s="24">
        <v>2.3975</v>
      </c>
      <c r="M199" s="24">
        <v>36</v>
      </c>
      <c r="N199" s="27">
        <f t="shared" ref="N199:N261" si="50">K199*L199*M199</f>
        <v>76294.184819999995</v>
      </c>
      <c r="O199" s="102">
        <f t="shared" si="43"/>
        <v>84.771000000000001</v>
      </c>
      <c r="P199" s="21">
        <f>VLOOKUP(A199,'2022-23 Salary &amp; Benefits'!$A:$I,5,)</f>
        <v>68937</v>
      </c>
      <c r="Q199" s="21">
        <f>VLOOKUP(A199,'2022-23 Salary &amp; Benefits'!$A:$I,6,FALSE)</f>
        <v>72728</v>
      </c>
      <c r="R199" s="22">
        <f t="shared" si="44"/>
        <v>5843858.4299999997</v>
      </c>
      <c r="S199" s="22">
        <f t="shared" si="45"/>
        <v>321366.86</v>
      </c>
      <c r="T199" s="22">
        <f>'2022-23 Salary &amp; Benefits'!$G$6</f>
        <v>12558.24</v>
      </c>
      <c r="U199" s="23">
        <f>'2022-23 Salary &amp; Benefits'!$H$6</f>
        <v>0.2298</v>
      </c>
      <c r="V199" s="23">
        <f>'2022-23 Salary &amp; Benefits'!$I$6</f>
        <v>0.22339999999999999</v>
      </c>
      <c r="W199" s="22">
        <f t="shared" si="46"/>
        <v>2479286.59</v>
      </c>
      <c r="X199" s="22">
        <f t="shared" si="47"/>
        <v>102753.75</v>
      </c>
      <c r="Y199" s="22">
        <f t="shared" si="48"/>
        <v>22955.19</v>
      </c>
      <c r="Z199" s="22">
        <f t="shared" si="39"/>
        <v>125708.94</v>
      </c>
      <c r="AA199" s="22">
        <f t="shared" si="40"/>
        <v>8770220.8199999984</v>
      </c>
    </row>
    <row r="200" spans="1:27">
      <c r="A200" s="125" t="s">
        <v>2425</v>
      </c>
      <c r="B200" s="3" t="s">
        <v>1247</v>
      </c>
      <c r="C200" s="93">
        <f>IF(A200=Summary!$B$9,Summary!$G$9,0)</f>
        <v>0</v>
      </c>
      <c r="D200" s="134">
        <f>VLOOKUP(A200,AAFTE!$A:$S,3,0)</f>
        <v>295.66000000000003</v>
      </c>
      <c r="E200" s="20">
        <f>VLOOKUP($A200,'2022-23 Salary &amp; Benefits'!$A:$I,3,)</f>
        <v>1</v>
      </c>
      <c r="F200" s="20">
        <f>VLOOKUP($A200,'2022-23 Salary &amp; Benefits'!$A:$I,4,)</f>
        <v>1.04</v>
      </c>
      <c r="G200" s="34">
        <f>VLOOKUP(A200,'CEDARS District FRPL'!$A:$C,3,)</f>
        <v>0.72289999999999999</v>
      </c>
      <c r="H200" s="25">
        <f t="shared" si="41"/>
        <v>295.66000000000003</v>
      </c>
      <c r="I200" s="39">
        <f t="shared" si="42"/>
        <v>213.73</v>
      </c>
      <c r="J200" s="24">
        <v>15</v>
      </c>
      <c r="K200" s="26">
        <f t="shared" si="49"/>
        <v>14.248666666666667</v>
      </c>
      <c r="L200" s="24">
        <v>2.3975</v>
      </c>
      <c r="M200" s="24">
        <v>36</v>
      </c>
      <c r="N200" s="27">
        <f t="shared" si="50"/>
        <v>1229.80242</v>
      </c>
      <c r="O200" s="102">
        <f t="shared" si="43"/>
        <v>1.3660000000000001</v>
      </c>
      <c r="P200" s="21">
        <f>VLOOKUP(A200,'2022-23 Salary &amp; Benefits'!$A:$I,5,)</f>
        <v>68937</v>
      </c>
      <c r="Q200" s="21">
        <f>VLOOKUP(A200,'2022-23 Salary &amp; Benefits'!$A:$I,6,FALSE)</f>
        <v>72728</v>
      </c>
      <c r="R200" s="22">
        <f t="shared" si="44"/>
        <v>94167.94</v>
      </c>
      <c r="S200" s="22">
        <f t="shared" si="45"/>
        <v>9152.3700000000008</v>
      </c>
      <c r="T200" s="22">
        <f>'2022-23 Salary &amp; Benefits'!$G$6</f>
        <v>12558.24</v>
      </c>
      <c r="U200" s="23">
        <f>'2022-23 Salary &amp; Benefits'!$H$6</f>
        <v>0.2298</v>
      </c>
      <c r="V200" s="23">
        <f>'2022-23 Salary &amp; Benefits'!$I$6</f>
        <v>0.22339999999999999</v>
      </c>
      <c r="W200" s="22">
        <f t="shared" si="46"/>
        <v>40838.99</v>
      </c>
      <c r="X200" s="22">
        <f t="shared" si="47"/>
        <v>1722.01</v>
      </c>
      <c r="Y200" s="22">
        <f t="shared" si="48"/>
        <v>384.7</v>
      </c>
      <c r="Z200" s="22">
        <f t="shared" ref="Z200:Z262" si="51">SUM(X200:Y200)</f>
        <v>2106.71</v>
      </c>
      <c r="AA200" s="22">
        <f t="shared" ref="AA200:AA262" si="52">SUM(W200,R200:S200,Z200)</f>
        <v>146266.00999999998</v>
      </c>
    </row>
    <row r="201" spans="1:27">
      <c r="A201" s="125" t="s">
        <v>2265</v>
      </c>
      <c r="B201" s="3" t="s">
        <v>60</v>
      </c>
      <c r="C201" s="93">
        <f>IF(A201=Summary!$B$9,Summary!$G$9,0)</f>
        <v>0</v>
      </c>
      <c r="D201" s="134">
        <f>VLOOKUP(A201,AAFTE!$A:$S,3,0)</f>
        <v>141.01</v>
      </c>
      <c r="E201" s="20">
        <f>VLOOKUP($A201,'2022-23 Salary &amp; Benefits'!$A:$I,3,)</f>
        <v>1</v>
      </c>
      <c r="F201" s="20">
        <f>VLOOKUP($A201,'2022-23 Salary &amp; Benefits'!$A:$I,4,)</f>
        <v>1</v>
      </c>
      <c r="G201" s="34">
        <f>VLOOKUP(A201,'CEDARS District FRPL'!$A:$C,3,)</f>
        <v>1</v>
      </c>
      <c r="H201" s="25">
        <f t="shared" si="41"/>
        <v>141.01</v>
      </c>
      <c r="I201" s="39">
        <f t="shared" si="42"/>
        <v>141.01</v>
      </c>
      <c r="J201" s="24">
        <v>15</v>
      </c>
      <c r="K201" s="26">
        <f t="shared" si="49"/>
        <v>9.4006666666666661</v>
      </c>
      <c r="L201" s="24">
        <v>2.3975</v>
      </c>
      <c r="M201" s="24">
        <v>36</v>
      </c>
      <c r="N201" s="27">
        <f t="shared" si="50"/>
        <v>811.37153999999987</v>
      </c>
      <c r="O201" s="102">
        <f t="shared" si="43"/>
        <v>0.90200000000000002</v>
      </c>
      <c r="P201" s="21">
        <f>VLOOKUP(A201,'2022-23 Salary &amp; Benefits'!$A:$I,5,)</f>
        <v>68937</v>
      </c>
      <c r="Q201" s="21">
        <f>VLOOKUP(A201,'2022-23 Salary &amp; Benefits'!$A:$I,6,FALSE)</f>
        <v>72728</v>
      </c>
      <c r="R201" s="22">
        <f t="shared" si="44"/>
        <v>62181.17</v>
      </c>
      <c r="S201" s="22">
        <f t="shared" si="45"/>
        <v>3419.49</v>
      </c>
      <c r="T201" s="22">
        <f>'2022-23 Salary &amp; Benefits'!$G$6</f>
        <v>12558.24</v>
      </c>
      <c r="U201" s="23">
        <f>'2022-23 Salary &amp; Benefits'!$H$6</f>
        <v>0.2298</v>
      </c>
      <c r="V201" s="23">
        <f>'2022-23 Salary &amp; Benefits'!$I$6</f>
        <v>0.22339999999999999</v>
      </c>
      <c r="W201" s="22">
        <f t="shared" si="46"/>
        <v>26380.68</v>
      </c>
      <c r="X201" s="22">
        <f t="shared" si="47"/>
        <v>1093.3399999999999</v>
      </c>
      <c r="Y201" s="22">
        <f t="shared" si="48"/>
        <v>244.25</v>
      </c>
      <c r="Z201" s="22">
        <f t="shared" si="51"/>
        <v>1337.59</v>
      </c>
      <c r="AA201" s="22">
        <f t="shared" si="52"/>
        <v>93318.930000000008</v>
      </c>
    </row>
    <row r="202" spans="1:27">
      <c r="A202" s="125" t="s">
        <v>2402</v>
      </c>
      <c r="B202" s="3" t="s">
        <v>1164</v>
      </c>
      <c r="C202" s="93">
        <f>IF(A202=Summary!$B$9,Summary!$G$9,0)</f>
        <v>0</v>
      </c>
      <c r="D202" s="134">
        <f>VLOOKUP(A202,AAFTE!$A:$S,3,0)</f>
        <v>246.78</v>
      </c>
      <c r="E202" s="20">
        <f>VLOOKUP($A202,'2022-23 Salary &amp; Benefits'!$A:$I,3,)</f>
        <v>1</v>
      </c>
      <c r="F202" s="20">
        <f>VLOOKUP($A202,'2022-23 Salary &amp; Benefits'!$A:$I,4,)</f>
        <v>1.04</v>
      </c>
      <c r="G202" s="34">
        <f>VLOOKUP(A202,'CEDARS District FRPL'!$A:$C,3,)</f>
        <v>0.59130000000000005</v>
      </c>
      <c r="H202" s="25">
        <f t="shared" si="41"/>
        <v>246.78</v>
      </c>
      <c r="I202" s="39">
        <f t="shared" si="42"/>
        <v>145.91999999999999</v>
      </c>
      <c r="J202" s="24">
        <v>15</v>
      </c>
      <c r="K202" s="26">
        <f t="shared" si="49"/>
        <v>9.7279999999999998</v>
      </c>
      <c r="L202" s="24">
        <v>2.3975</v>
      </c>
      <c r="M202" s="24">
        <v>36</v>
      </c>
      <c r="N202" s="27">
        <f t="shared" si="50"/>
        <v>839.62367999999992</v>
      </c>
      <c r="O202" s="102">
        <f t="shared" si="43"/>
        <v>0.93300000000000005</v>
      </c>
      <c r="P202" s="21">
        <f>VLOOKUP(A202,'2022-23 Salary &amp; Benefits'!$A:$I,5,)</f>
        <v>68937</v>
      </c>
      <c r="Q202" s="21">
        <f>VLOOKUP(A202,'2022-23 Salary &amp; Benefits'!$A:$I,6,FALSE)</f>
        <v>72728</v>
      </c>
      <c r="R202" s="22">
        <f t="shared" si="44"/>
        <v>64318.22</v>
      </c>
      <c r="S202" s="22">
        <f t="shared" si="45"/>
        <v>6251.21</v>
      </c>
      <c r="T202" s="22">
        <f>'2022-23 Salary &amp; Benefits'!$G$6</f>
        <v>12558.24</v>
      </c>
      <c r="U202" s="23">
        <f>'2022-23 Salary &amp; Benefits'!$H$6</f>
        <v>0.2298</v>
      </c>
      <c r="V202" s="23">
        <f>'2022-23 Salary &amp; Benefits'!$I$6</f>
        <v>0.22339999999999999</v>
      </c>
      <c r="W202" s="22">
        <f t="shared" si="46"/>
        <v>27893.69</v>
      </c>
      <c r="X202" s="22">
        <f t="shared" si="47"/>
        <v>1176.1600000000001</v>
      </c>
      <c r="Y202" s="22">
        <f t="shared" si="48"/>
        <v>262.75</v>
      </c>
      <c r="Z202" s="22">
        <f t="shared" si="51"/>
        <v>1438.91</v>
      </c>
      <c r="AA202" s="22">
        <f t="shared" si="52"/>
        <v>99902.030000000013</v>
      </c>
    </row>
    <row r="203" spans="1:27">
      <c r="A203" s="125" t="s">
        <v>2447</v>
      </c>
      <c r="B203" s="3" t="s">
        <v>1443</v>
      </c>
      <c r="C203" s="93">
        <f>IF(A203=Summary!$B$9,Summary!$G$9,0)</f>
        <v>0</v>
      </c>
      <c r="D203" s="134">
        <f>VLOOKUP(A203,AAFTE!$A:$S,3,0)</f>
        <v>8600.41</v>
      </c>
      <c r="E203" s="20">
        <f>VLOOKUP($A203,'2022-23 Salary &amp; Benefits'!$A:$I,3,)</f>
        <v>1.1200000000000001</v>
      </c>
      <c r="F203" s="20">
        <f>VLOOKUP($A203,'2022-23 Salary &amp; Benefits'!$A:$I,4,)</f>
        <v>1.1600000000000001</v>
      </c>
      <c r="G203" s="34">
        <f>VLOOKUP(A203,'CEDARS District FRPL'!$A:$C,3,)</f>
        <v>0.1774</v>
      </c>
      <c r="H203" s="25">
        <f t="shared" si="41"/>
        <v>8600.41</v>
      </c>
      <c r="I203" s="39">
        <f t="shared" si="42"/>
        <v>1525.71</v>
      </c>
      <c r="J203" s="24">
        <v>15</v>
      </c>
      <c r="K203" s="26">
        <f t="shared" si="49"/>
        <v>101.714</v>
      </c>
      <c r="L203" s="24">
        <v>2.3975</v>
      </c>
      <c r="M203" s="24">
        <v>36</v>
      </c>
      <c r="N203" s="27">
        <f t="shared" si="50"/>
        <v>8778.93534</v>
      </c>
      <c r="O203" s="102">
        <f t="shared" si="43"/>
        <v>9.7539999999999996</v>
      </c>
      <c r="P203" s="21">
        <f>VLOOKUP(A203,'2022-23 Salary &amp; Benefits'!$A:$I,5,)</f>
        <v>68937</v>
      </c>
      <c r="Q203" s="21">
        <f>VLOOKUP(A203,'2022-23 Salary &amp; Benefits'!$A:$I,6,FALSE)</f>
        <v>72728</v>
      </c>
      <c r="R203" s="22">
        <f t="shared" si="44"/>
        <v>753100.88</v>
      </c>
      <c r="S203" s="22">
        <f t="shared" si="45"/>
        <v>69790.259999999995</v>
      </c>
      <c r="T203" s="22">
        <f>'2022-23 Salary &amp; Benefits'!$G$6</f>
        <v>12558.24</v>
      </c>
      <c r="U203" s="23">
        <f>'2022-23 Salary &amp; Benefits'!$H$6</f>
        <v>0.2298</v>
      </c>
      <c r="V203" s="23">
        <f>'2022-23 Salary &amp; Benefits'!$I$6</f>
        <v>0.22339999999999999</v>
      </c>
      <c r="W203" s="22">
        <f t="shared" si="46"/>
        <v>311146.8</v>
      </c>
      <c r="X203" s="22">
        <f t="shared" si="47"/>
        <v>13714.85</v>
      </c>
      <c r="Y203" s="22">
        <f t="shared" si="48"/>
        <v>3063.9</v>
      </c>
      <c r="Z203" s="22">
        <f t="shared" si="51"/>
        <v>16778.75</v>
      </c>
      <c r="AA203" s="22">
        <f t="shared" si="52"/>
        <v>1150816.69</v>
      </c>
    </row>
    <row r="204" spans="1:27">
      <c r="A204" s="125" t="s">
        <v>2954</v>
      </c>
      <c r="B204" s="3" t="s">
        <v>2955</v>
      </c>
      <c r="C204" s="93">
        <f>IF(A204=Summary!$B$9,Summary!$G$9,0)</f>
        <v>0</v>
      </c>
      <c r="D204" s="134">
        <f>VLOOKUP(A204,AAFTE!$A:$S,3,0)</f>
        <v>111.34</v>
      </c>
      <c r="E204" s="20">
        <f>VLOOKUP($A204,'2022-23 Salary &amp; Benefits'!$A:$I,3,)</f>
        <v>1.03</v>
      </c>
      <c r="F204" s="20">
        <f>VLOOKUP($A204,'2022-23 Salary &amp; Benefits'!$A:$I,4,)</f>
        <v>1.03</v>
      </c>
      <c r="G204" s="34">
        <f>VLOOKUP(A204,'CEDARS District FRPL'!$A:$C,3,)</f>
        <v>0.43359999999999999</v>
      </c>
      <c r="H204" s="25">
        <f t="shared" si="41"/>
        <v>111.34</v>
      </c>
      <c r="I204" s="39">
        <f t="shared" si="42"/>
        <v>48.28</v>
      </c>
      <c r="J204" s="24">
        <v>15</v>
      </c>
      <c r="K204" s="26">
        <f t="shared" si="49"/>
        <v>3.2186666666666666</v>
      </c>
      <c r="L204" s="24">
        <v>2.3975</v>
      </c>
      <c r="M204" s="24">
        <v>36</v>
      </c>
      <c r="N204" s="27">
        <f t="shared" si="50"/>
        <v>277.80311999999998</v>
      </c>
      <c r="O204" s="102">
        <f t="shared" si="43"/>
        <v>0.309</v>
      </c>
      <c r="P204" s="21">
        <f>VLOOKUP(A204,'2022-23 Salary &amp; Benefits'!$A:$I,5,)</f>
        <v>68937</v>
      </c>
      <c r="Q204" s="21">
        <f>VLOOKUP(A204,'2022-23 Salary &amp; Benefits'!$A:$I,6,FALSE)</f>
        <v>72728</v>
      </c>
      <c r="R204" s="22">
        <f t="shared" si="44"/>
        <v>21940.58</v>
      </c>
      <c r="S204" s="22">
        <f t="shared" si="45"/>
        <v>1206.56</v>
      </c>
      <c r="T204" s="22">
        <f>'2022-23 Salary &amp; Benefits'!$G$6</f>
        <v>12558.24</v>
      </c>
      <c r="U204" s="23">
        <f>'2022-23 Salary &amp; Benefits'!$H$6</f>
        <v>0.2298</v>
      </c>
      <c r="V204" s="23">
        <f>'2022-23 Salary &amp; Benefits'!$I$6</f>
        <v>0.22339999999999999</v>
      </c>
      <c r="W204" s="22">
        <f t="shared" si="46"/>
        <v>9191.99</v>
      </c>
      <c r="X204" s="22">
        <f t="shared" si="47"/>
        <v>385.79</v>
      </c>
      <c r="Y204" s="22">
        <f t="shared" si="48"/>
        <v>86.19</v>
      </c>
      <c r="Z204" s="22">
        <f t="shared" si="51"/>
        <v>471.98</v>
      </c>
      <c r="AA204" s="22">
        <f t="shared" si="52"/>
        <v>32811.11</v>
      </c>
    </row>
    <row r="205" spans="1:27">
      <c r="A205" s="125" t="s">
        <v>2418</v>
      </c>
      <c r="B205" s="3" t="s">
        <v>1216</v>
      </c>
      <c r="C205" s="93">
        <f>IF(A205=Summary!$B$9,Summary!$G$9,0)</f>
        <v>0</v>
      </c>
      <c r="D205" s="134">
        <f>VLOOKUP(A205,AAFTE!$A:$S,3,0)</f>
        <v>691.18</v>
      </c>
      <c r="E205" s="20">
        <f>VLOOKUP($A205,'2022-23 Salary &amp; Benefits'!$A:$I,3,)</f>
        <v>1</v>
      </c>
      <c r="F205" s="20">
        <f>VLOOKUP($A205,'2022-23 Salary &amp; Benefits'!$A:$I,4,)</f>
        <v>1</v>
      </c>
      <c r="G205" s="34">
        <f>VLOOKUP(A205,'CEDARS District FRPL'!$A:$C,3,)</f>
        <v>0.53710000000000002</v>
      </c>
      <c r="H205" s="25">
        <f t="shared" si="41"/>
        <v>691.18</v>
      </c>
      <c r="I205" s="39">
        <f t="shared" si="42"/>
        <v>371.23</v>
      </c>
      <c r="J205" s="24">
        <v>15</v>
      </c>
      <c r="K205" s="26">
        <f t="shared" si="49"/>
        <v>24.748666666666669</v>
      </c>
      <c r="L205" s="24">
        <v>2.3975</v>
      </c>
      <c r="M205" s="24">
        <v>36</v>
      </c>
      <c r="N205" s="27">
        <f t="shared" si="50"/>
        <v>2136.0574200000001</v>
      </c>
      <c r="O205" s="102">
        <f t="shared" si="43"/>
        <v>2.3730000000000002</v>
      </c>
      <c r="P205" s="21">
        <f>VLOOKUP(A205,'2022-23 Salary &amp; Benefits'!$A:$I,5,)</f>
        <v>68937</v>
      </c>
      <c r="Q205" s="21">
        <f>VLOOKUP(A205,'2022-23 Salary &amp; Benefits'!$A:$I,6,FALSE)</f>
        <v>72728</v>
      </c>
      <c r="R205" s="22">
        <f t="shared" si="44"/>
        <v>163587.5</v>
      </c>
      <c r="S205" s="22">
        <f t="shared" si="45"/>
        <v>8996.0400000000009</v>
      </c>
      <c r="T205" s="22">
        <f>'2022-23 Salary &amp; Benefits'!$G$6</f>
        <v>12558.24</v>
      </c>
      <c r="U205" s="23">
        <f>'2022-23 Salary &amp; Benefits'!$H$6</f>
        <v>0.2298</v>
      </c>
      <c r="V205" s="23">
        <f>'2022-23 Salary &amp; Benefits'!$I$6</f>
        <v>0.22339999999999999</v>
      </c>
      <c r="W205" s="22">
        <f t="shared" si="46"/>
        <v>69402.83</v>
      </c>
      <c r="X205" s="22">
        <f t="shared" si="47"/>
        <v>2876.39</v>
      </c>
      <c r="Y205" s="22">
        <f t="shared" si="48"/>
        <v>642.59</v>
      </c>
      <c r="Z205" s="22">
        <f t="shared" si="51"/>
        <v>3518.98</v>
      </c>
      <c r="AA205" s="22">
        <f t="shared" si="52"/>
        <v>245505.35000000003</v>
      </c>
    </row>
    <row r="206" spans="1:27">
      <c r="A206" s="125" t="s">
        <v>2316</v>
      </c>
      <c r="B206" s="3" t="s">
        <v>405</v>
      </c>
      <c r="C206" s="93">
        <f>IF(A206=Summary!$B$9,Summary!$G$9,0)</f>
        <v>0</v>
      </c>
      <c r="D206" s="134">
        <f>VLOOKUP(A206,AAFTE!$A:$S,3,0)</f>
        <v>352.37</v>
      </c>
      <c r="E206" s="20">
        <f>VLOOKUP($A206,'2022-23 Salary &amp; Benefits'!$A:$I,3,)</f>
        <v>1</v>
      </c>
      <c r="F206" s="20">
        <f>VLOOKUP($A206,'2022-23 Salary &amp; Benefits'!$A:$I,4,)</f>
        <v>1.04</v>
      </c>
      <c r="G206" s="34">
        <f>VLOOKUP(A206,'CEDARS District FRPL'!$A:$C,3,)</f>
        <v>0.50829999999999997</v>
      </c>
      <c r="H206" s="25">
        <f t="shared" si="41"/>
        <v>352.37</v>
      </c>
      <c r="I206" s="39">
        <f t="shared" si="42"/>
        <v>179.11</v>
      </c>
      <c r="J206" s="24">
        <v>15</v>
      </c>
      <c r="K206" s="26">
        <f t="shared" si="49"/>
        <v>11.940666666666667</v>
      </c>
      <c r="L206" s="24">
        <v>2.3975</v>
      </c>
      <c r="M206" s="24">
        <v>36</v>
      </c>
      <c r="N206" s="27">
        <f t="shared" si="50"/>
        <v>1030.5989400000001</v>
      </c>
      <c r="O206" s="102">
        <f t="shared" si="43"/>
        <v>1.145</v>
      </c>
      <c r="P206" s="21">
        <f>VLOOKUP(A206,'2022-23 Salary &amp; Benefits'!$A:$I,5,)</f>
        <v>68937</v>
      </c>
      <c r="Q206" s="21">
        <f>VLOOKUP(A206,'2022-23 Salary &amp; Benefits'!$A:$I,6,FALSE)</f>
        <v>72728</v>
      </c>
      <c r="R206" s="22">
        <f t="shared" si="44"/>
        <v>78932.87</v>
      </c>
      <c r="S206" s="22">
        <f t="shared" si="45"/>
        <v>7671.63</v>
      </c>
      <c r="T206" s="22">
        <f>'2022-23 Salary &amp; Benefits'!$G$6</f>
        <v>12558.24</v>
      </c>
      <c r="U206" s="23">
        <f>'2022-23 Salary &amp; Benefits'!$H$6</f>
        <v>0.2298</v>
      </c>
      <c r="V206" s="23">
        <f>'2022-23 Salary &amp; Benefits'!$I$6</f>
        <v>0.22339999999999999</v>
      </c>
      <c r="W206" s="22">
        <f t="shared" si="46"/>
        <v>34231.800000000003</v>
      </c>
      <c r="X206" s="22">
        <f t="shared" si="47"/>
        <v>1443.41</v>
      </c>
      <c r="Y206" s="22">
        <f t="shared" si="48"/>
        <v>322.45999999999998</v>
      </c>
      <c r="Z206" s="22">
        <f t="shared" si="51"/>
        <v>1765.8700000000001</v>
      </c>
      <c r="AA206" s="22">
        <f t="shared" si="52"/>
        <v>122602.17</v>
      </c>
    </row>
    <row r="207" spans="1:27">
      <c r="A207" s="125" t="s">
        <v>2277</v>
      </c>
      <c r="B207" s="3" t="s">
        <v>136</v>
      </c>
      <c r="C207" s="93">
        <f>IF(A207=Summary!$B$9,Summary!$G$9,0)</f>
        <v>0</v>
      </c>
      <c r="D207" s="134">
        <f>VLOOKUP(A207,AAFTE!$A:$S,3,0)</f>
        <v>3490.19</v>
      </c>
      <c r="E207" s="20">
        <f>VLOOKUP($A207,'2022-23 Salary &amp; Benefits'!$A:$I,3,)</f>
        <v>1.03</v>
      </c>
      <c r="F207" s="20">
        <f>VLOOKUP($A207,'2022-23 Salary &amp; Benefits'!$A:$I,4,)</f>
        <v>1.03</v>
      </c>
      <c r="G207" s="34">
        <f>VLOOKUP(A207,'CEDARS District FRPL'!$A:$C,3,)</f>
        <v>0.52559999999999996</v>
      </c>
      <c r="H207" s="25">
        <f t="shared" si="41"/>
        <v>3490.19</v>
      </c>
      <c r="I207" s="39">
        <f t="shared" si="42"/>
        <v>1834.44</v>
      </c>
      <c r="J207" s="24">
        <v>15</v>
      </c>
      <c r="K207" s="26">
        <f t="shared" si="49"/>
        <v>122.29600000000001</v>
      </c>
      <c r="L207" s="24">
        <v>2.3975</v>
      </c>
      <c r="M207" s="24">
        <v>36</v>
      </c>
      <c r="N207" s="27">
        <f t="shared" si="50"/>
        <v>10555.367759999999</v>
      </c>
      <c r="O207" s="102">
        <f t="shared" si="43"/>
        <v>11.728</v>
      </c>
      <c r="P207" s="21">
        <f>VLOOKUP(A207,'2022-23 Salary &amp; Benefits'!$A:$I,5,)</f>
        <v>68937</v>
      </c>
      <c r="Q207" s="21">
        <f>VLOOKUP(A207,'2022-23 Salary &amp; Benefits'!$A:$I,6,FALSE)</f>
        <v>72728</v>
      </c>
      <c r="R207" s="22">
        <f t="shared" si="44"/>
        <v>832747.93</v>
      </c>
      <c r="S207" s="22">
        <f t="shared" si="45"/>
        <v>45794.67</v>
      </c>
      <c r="T207" s="22">
        <f>'2022-23 Salary &amp; Benefits'!$G$6</f>
        <v>12558.24</v>
      </c>
      <c r="U207" s="23">
        <f>'2022-23 Salary &amp; Benefits'!$H$6</f>
        <v>0.2298</v>
      </c>
      <c r="V207" s="23">
        <f>'2022-23 Salary &amp; Benefits'!$I$6</f>
        <v>0.22339999999999999</v>
      </c>
      <c r="W207" s="22">
        <f t="shared" si="46"/>
        <v>348879.04</v>
      </c>
      <c r="X207" s="22">
        <f t="shared" si="47"/>
        <v>14642.38</v>
      </c>
      <c r="Y207" s="22">
        <f t="shared" si="48"/>
        <v>3271.11</v>
      </c>
      <c r="Z207" s="22">
        <f t="shared" si="51"/>
        <v>17913.489999999998</v>
      </c>
      <c r="AA207" s="22">
        <f t="shared" si="52"/>
        <v>1245335.1299999999</v>
      </c>
    </row>
    <row r="208" spans="1:27">
      <c r="A208" s="125" t="s">
        <v>2347</v>
      </c>
      <c r="B208" s="3" t="s">
        <v>543</v>
      </c>
      <c r="C208" s="93">
        <f>IF(A208=Summary!$B$9,Summary!$G$9,0)</f>
        <v>0</v>
      </c>
      <c r="D208" s="134">
        <f>VLOOKUP(A208,AAFTE!$A:$S,3,0)</f>
        <v>1174.0999999999999</v>
      </c>
      <c r="E208" s="20">
        <f>VLOOKUP($A208,'2022-23 Salary &amp; Benefits'!$A:$I,3,)</f>
        <v>1.06</v>
      </c>
      <c r="F208" s="20">
        <f>VLOOKUP($A208,'2022-23 Salary &amp; Benefits'!$A:$I,4,)</f>
        <v>1.1000000000000001</v>
      </c>
      <c r="G208" s="34">
        <f>VLOOKUP(A208,'CEDARS District FRPL'!$A:$C,3,)</f>
        <v>0.43959999999999999</v>
      </c>
      <c r="H208" s="25">
        <f t="shared" si="41"/>
        <v>1174.0999999999999</v>
      </c>
      <c r="I208" s="39">
        <f t="shared" si="42"/>
        <v>516.13</v>
      </c>
      <c r="J208" s="24">
        <v>15</v>
      </c>
      <c r="K208" s="26">
        <f t="shared" si="49"/>
        <v>34.408666666666669</v>
      </c>
      <c r="L208" s="24">
        <v>2.3975</v>
      </c>
      <c r="M208" s="24">
        <v>36</v>
      </c>
      <c r="N208" s="27">
        <f t="shared" si="50"/>
        <v>2969.8120200000003</v>
      </c>
      <c r="O208" s="102">
        <f t="shared" si="43"/>
        <v>3.3</v>
      </c>
      <c r="P208" s="21">
        <f>VLOOKUP(A208,'2022-23 Salary &amp; Benefits'!$A:$I,5,)</f>
        <v>68937</v>
      </c>
      <c r="Q208" s="21">
        <f>VLOOKUP(A208,'2022-23 Salary &amp; Benefits'!$A:$I,6,FALSE)</f>
        <v>72728</v>
      </c>
      <c r="R208" s="22">
        <f t="shared" si="44"/>
        <v>241141.63</v>
      </c>
      <c r="S208" s="22">
        <f t="shared" si="45"/>
        <v>22861.01</v>
      </c>
      <c r="T208" s="22">
        <f>'2022-23 Salary &amp; Benefits'!$G$6</f>
        <v>12558.24</v>
      </c>
      <c r="U208" s="23">
        <f>'2022-23 Salary &amp; Benefits'!$H$6</f>
        <v>0.2298</v>
      </c>
      <c r="V208" s="23">
        <f>'2022-23 Salary &amp; Benefits'!$I$6</f>
        <v>0.22339999999999999</v>
      </c>
      <c r="W208" s="22">
        <f t="shared" si="46"/>
        <v>101963.69</v>
      </c>
      <c r="X208" s="22">
        <f t="shared" si="47"/>
        <v>4400.04</v>
      </c>
      <c r="Y208" s="22">
        <f t="shared" si="48"/>
        <v>982.97</v>
      </c>
      <c r="Z208" s="22">
        <f t="shared" si="51"/>
        <v>5383.01</v>
      </c>
      <c r="AA208" s="22">
        <f t="shared" si="52"/>
        <v>371349.34</v>
      </c>
    </row>
    <row r="209" spans="1:27">
      <c r="A209" s="125" t="s">
        <v>2531</v>
      </c>
      <c r="B209" s="3" t="s">
        <v>2061</v>
      </c>
      <c r="C209" s="93">
        <f>IF(A209=Summary!$B$9,Summary!$G$9,0)</f>
        <v>0</v>
      </c>
      <c r="D209" s="134">
        <f>VLOOKUP(A209,AAFTE!$A:$S,3,0)</f>
        <v>250.01</v>
      </c>
      <c r="E209" s="20">
        <f>VLOOKUP($A209,'2022-23 Salary &amp; Benefits'!$A:$I,3,)</f>
        <v>1</v>
      </c>
      <c r="F209" s="20">
        <f>VLOOKUP($A209,'2022-23 Salary &amp; Benefits'!$A:$I,4,)</f>
        <v>1</v>
      </c>
      <c r="G209" s="34">
        <f>VLOOKUP(A209,'CEDARS District FRPL'!$A:$C,3,)</f>
        <v>0.83189999999999997</v>
      </c>
      <c r="H209" s="25">
        <f t="shared" si="41"/>
        <v>250.01</v>
      </c>
      <c r="I209" s="39">
        <f t="shared" si="42"/>
        <v>207.98</v>
      </c>
      <c r="J209" s="24">
        <v>15</v>
      </c>
      <c r="K209" s="26">
        <f t="shared" si="49"/>
        <v>13.865333333333332</v>
      </c>
      <c r="L209" s="24">
        <v>2.3975</v>
      </c>
      <c r="M209" s="24">
        <v>36</v>
      </c>
      <c r="N209" s="27">
        <f t="shared" si="50"/>
        <v>1196.7169199999998</v>
      </c>
      <c r="O209" s="102">
        <f t="shared" si="43"/>
        <v>1.33</v>
      </c>
      <c r="P209" s="21">
        <f>VLOOKUP(A209,'2022-23 Salary &amp; Benefits'!$A:$I,5,)</f>
        <v>68937</v>
      </c>
      <c r="Q209" s="21">
        <f>VLOOKUP(A209,'2022-23 Salary &amp; Benefits'!$A:$I,6,FALSE)</f>
        <v>72728</v>
      </c>
      <c r="R209" s="22">
        <f t="shared" si="44"/>
        <v>91686.21</v>
      </c>
      <c r="S209" s="22">
        <f t="shared" si="45"/>
        <v>5042.03</v>
      </c>
      <c r="T209" s="22">
        <f>'2022-23 Salary &amp; Benefits'!$G$6</f>
        <v>12558.24</v>
      </c>
      <c r="U209" s="23">
        <f>'2022-23 Salary &amp; Benefits'!$H$6</f>
        <v>0.2298</v>
      </c>
      <c r="V209" s="23">
        <f>'2022-23 Salary &amp; Benefits'!$I$6</f>
        <v>0.22339999999999999</v>
      </c>
      <c r="W209" s="22">
        <f t="shared" si="46"/>
        <v>38898.339999999997</v>
      </c>
      <c r="X209" s="22">
        <f t="shared" si="47"/>
        <v>1612.14</v>
      </c>
      <c r="Y209" s="22">
        <f t="shared" si="48"/>
        <v>360.15</v>
      </c>
      <c r="Z209" s="22">
        <f t="shared" si="51"/>
        <v>1972.29</v>
      </c>
      <c r="AA209" s="22">
        <f t="shared" si="52"/>
        <v>137598.87000000002</v>
      </c>
    </row>
    <row r="210" spans="1:27">
      <c r="A210" s="125" t="s">
        <v>2502</v>
      </c>
      <c r="B210" s="3" t="s">
        <v>1922</v>
      </c>
      <c r="C210" s="93">
        <f>IF(A210=Summary!$B$9,Summary!$G$9,0)</f>
        <v>0</v>
      </c>
      <c r="D210" s="134">
        <f>VLOOKUP(A210,AAFTE!$A:$S,3,0)</f>
        <v>632.5</v>
      </c>
      <c r="E210" s="20">
        <f>VLOOKUP($A210,'2022-23 Salary &amp; Benefits'!$A:$I,3,)</f>
        <v>1.03</v>
      </c>
      <c r="F210" s="20">
        <f>VLOOKUP($A210,'2022-23 Salary &amp; Benefits'!$A:$I,4,)</f>
        <v>1.03</v>
      </c>
      <c r="G210" s="34">
        <f>VLOOKUP(A210,'CEDARS District FRPL'!$A:$C,3,)</f>
        <v>0.58220000000000005</v>
      </c>
      <c r="H210" s="25">
        <f t="shared" si="41"/>
        <v>632.5</v>
      </c>
      <c r="I210" s="39">
        <f t="shared" si="42"/>
        <v>368.24</v>
      </c>
      <c r="J210" s="24">
        <v>15</v>
      </c>
      <c r="K210" s="26">
        <f t="shared" si="49"/>
        <v>24.549333333333333</v>
      </c>
      <c r="L210" s="24">
        <v>2.3975</v>
      </c>
      <c r="M210" s="24">
        <v>36</v>
      </c>
      <c r="N210" s="27">
        <f t="shared" si="50"/>
        <v>2118.8529599999997</v>
      </c>
      <c r="O210" s="102">
        <f t="shared" si="43"/>
        <v>2.3540000000000001</v>
      </c>
      <c r="P210" s="21">
        <f>VLOOKUP(A210,'2022-23 Salary &amp; Benefits'!$A:$I,5,)</f>
        <v>68937</v>
      </c>
      <c r="Q210" s="21">
        <f>VLOOKUP(A210,'2022-23 Salary &amp; Benefits'!$A:$I,6,FALSE)</f>
        <v>72728</v>
      </c>
      <c r="R210" s="22">
        <f t="shared" si="44"/>
        <v>167146.03</v>
      </c>
      <c r="S210" s="22">
        <f t="shared" si="45"/>
        <v>9191.73</v>
      </c>
      <c r="T210" s="22">
        <f>'2022-23 Salary &amp; Benefits'!$G$6</f>
        <v>12558.24</v>
      </c>
      <c r="U210" s="23">
        <f>'2022-23 Salary &amp; Benefits'!$H$6</f>
        <v>0.2298</v>
      </c>
      <c r="V210" s="23">
        <f>'2022-23 Salary &amp; Benefits'!$I$6</f>
        <v>0.22339999999999999</v>
      </c>
      <c r="W210" s="22">
        <f t="shared" si="46"/>
        <v>70025.69</v>
      </c>
      <c r="X210" s="22">
        <f t="shared" si="47"/>
        <v>2938.96</v>
      </c>
      <c r="Y210" s="22">
        <f t="shared" si="48"/>
        <v>656.56</v>
      </c>
      <c r="Z210" s="22">
        <f t="shared" si="51"/>
        <v>3595.52</v>
      </c>
      <c r="AA210" s="22">
        <f t="shared" si="52"/>
        <v>249958.97</v>
      </c>
    </row>
    <row r="211" spans="1:27">
      <c r="A211" s="125" t="s">
        <v>2268</v>
      </c>
      <c r="B211" s="3" t="s">
        <v>71</v>
      </c>
      <c r="C211" s="93">
        <f>IF(A211=Summary!$B$9,Summary!$G$9,0)</f>
        <v>0</v>
      </c>
      <c r="D211" s="134">
        <f>VLOOKUP(A211,AAFTE!$A:$S,3,0)</f>
        <v>2451.6799999999998</v>
      </c>
      <c r="E211" s="20">
        <f>VLOOKUP($A211,'2022-23 Salary &amp; Benefits'!$A:$I,3,)</f>
        <v>1</v>
      </c>
      <c r="F211" s="20">
        <f>VLOOKUP($A211,'2022-23 Salary &amp; Benefits'!$A:$I,4,)</f>
        <v>1</v>
      </c>
      <c r="G211" s="34">
        <f>VLOOKUP(A211,'CEDARS District FRPL'!$A:$C,3,)</f>
        <v>0.71989999999999998</v>
      </c>
      <c r="H211" s="25">
        <f t="shared" si="41"/>
        <v>2451.6799999999998</v>
      </c>
      <c r="I211" s="39">
        <f t="shared" si="42"/>
        <v>1764.96</v>
      </c>
      <c r="J211" s="24">
        <v>15</v>
      </c>
      <c r="K211" s="26">
        <f t="shared" si="49"/>
        <v>117.664</v>
      </c>
      <c r="L211" s="24">
        <v>2.3975</v>
      </c>
      <c r="M211" s="24">
        <v>36</v>
      </c>
      <c r="N211" s="27">
        <f t="shared" si="50"/>
        <v>10155.57984</v>
      </c>
      <c r="O211" s="102">
        <f t="shared" si="43"/>
        <v>11.284000000000001</v>
      </c>
      <c r="P211" s="21">
        <f>VLOOKUP(A211,'2022-23 Salary &amp; Benefits'!$A:$I,5,)</f>
        <v>68937</v>
      </c>
      <c r="Q211" s="21">
        <f>VLOOKUP(A211,'2022-23 Salary &amp; Benefits'!$A:$I,6,FALSE)</f>
        <v>72728</v>
      </c>
      <c r="R211" s="22">
        <f t="shared" si="44"/>
        <v>777885.11</v>
      </c>
      <c r="S211" s="22">
        <f t="shared" si="45"/>
        <v>42777.64</v>
      </c>
      <c r="T211" s="22">
        <f>'2022-23 Salary &amp; Benefits'!$G$6</f>
        <v>12558.24</v>
      </c>
      <c r="U211" s="23">
        <f>'2022-23 Salary &amp; Benefits'!$H$6</f>
        <v>0.2298</v>
      </c>
      <c r="V211" s="23">
        <f>'2022-23 Salary &amp; Benefits'!$I$6</f>
        <v>0.22339999999999999</v>
      </c>
      <c r="W211" s="22">
        <f t="shared" si="46"/>
        <v>330021.7</v>
      </c>
      <c r="X211" s="22">
        <f t="shared" si="47"/>
        <v>13677.71</v>
      </c>
      <c r="Y211" s="22">
        <f t="shared" si="48"/>
        <v>3055.6</v>
      </c>
      <c r="Z211" s="22">
        <f t="shared" si="51"/>
        <v>16733.309999999998</v>
      </c>
      <c r="AA211" s="22">
        <f t="shared" si="52"/>
        <v>1167417.76</v>
      </c>
    </row>
    <row r="212" spans="1:27">
      <c r="A212" s="125" t="s">
        <v>2951</v>
      </c>
      <c r="B212" s="3" t="s">
        <v>2952</v>
      </c>
      <c r="C212" s="93">
        <f>IF(A212=Summary!$B$9,Summary!$G$9,0)</f>
        <v>0</v>
      </c>
      <c r="D212" s="134">
        <f>VLOOKUP(A212,AAFTE!$A:$S,3,0)</f>
        <v>77</v>
      </c>
      <c r="E212" s="20">
        <f>VLOOKUP($A212,'2022-23 Salary &amp; Benefits'!$A:$I,3,)</f>
        <v>1</v>
      </c>
      <c r="F212" s="20">
        <f>VLOOKUP($A212,'2022-23 Salary &amp; Benefits'!$A:$I,4,)</f>
        <v>1</v>
      </c>
      <c r="G212" s="34">
        <f>VLOOKUP(A212,'CEDARS District FRPL'!$A:$C,3,)</f>
        <v>0.2278</v>
      </c>
      <c r="H212" s="25">
        <f t="shared" si="41"/>
        <v>77</v>
      </c>
      <c r="I212" s="39">
        <f t="shared" si="42"/>
        <v>17.54</v>
      </c>
      <c r="J212" s="24">
        <v>15</v>
      </c>
      <c r="K212" s="26">
        <f t="shared" si="49"/>
        <v>1.1693333333333333</v>
      </c>
      <c r="L212" s="24">
        <v>2.3975</v>
      </c>
      <c r="M212" s="24">
        <v>36</v>
      </c>
      <c r="N212" s="27">
        <f t="shared" si="50"/>
        <v>100.92516000000001</v>
      </c>
      <c r="O212" s="102">
        <f t="shared" si="43"/>
        <v>0.112</v>
      </c>
      <c r="P212" s="21">
        <f>VLOOKUP(A212,'2022-23 Salary &amp; Benefits'!$A:$I,5,)</f>
        <v>68937</v>
      </c>
      <c r="Q212" s="21">
        <f>VLOOKUP(A212,'2022-23 Salary &amp; Benefits'!$A:$I,6,FALSE)</f>
        <v>72728</v>
      </c>
      <c r="R212" s="22">
        <f t="shared" si="44"/>
        <v>7720.94</v>
      </c>
      <c r="S212" s="22">
        <f t="shared" si="45"/>
        <v>424.6</v>
      </c>
      <c r="T212" s="22">
        <f>'2022-23 Salary &amp; Benefits'!$G$6</f>
        <v>12558.24</v>
      </c>
      <c r="U212" s="23">
        <f>'2022-23 Salary &amp; Benefits'!$H$6</f>
        <v>0.2298</v>
      </c>
      <c r="V212" s="23">
        <f>'2022-23 Salary &amp; Benefits'!$I$6</f>
        <v>0.22339999999999999</v>
      </c>
      <c r="W212" s="22">
        <f t="shared" si="46"/>
        <v>3275.65</v>
      </c>
      <c r="X212" s="22">
        <f t="shared" si="47"/>
        <v>135.76</v>
      </c>
      <c r="Y212" s="22">
        <f t="shared" si="48"/>
        <v>30.33</v>
      </c>
      <c r="Z212" s="22">
        <f t="shared" si="51"/>
        <v>166.08999999999997</v>
      </c>
      <c r="AA212" s="22">
        <f t="shared" si="52"/>
        <v>11587.28</v>
      </c>
    </row>
    <row r="213" spans="1:27">
      <c r="A213" s="125" t="s">
        <v>2543</v>
      </c>
      <c r="B213" s="3" t="s">
        <v>2138</v>
      </c>
      <c r="C213" s="93">
        <f>IF(A213=Summary!$B$9,Summary!$G$9,0)</f>
        <v>0</v>
      </c>
      <c r="D213" s="134">
        <f>VLOOKUP(A213,AAFTE!$A:$S,3,0)</f>
        <v>2608.5</v>
      </c>
      <c r="E213" s="20">
        <f>VLOOKUP($A213,'2022-23 Salary &amp; Benefits'!$A:$I,3,)</f>
        <v>1</v>
      </c>
      <c r="F213" s="20">
        <f>VLOOKUP($A213,'2022-23 Salary &amp; Benefits'!$A:$I,4,)</f>
        <v>1</v>
      </c>
      <c r="G213" s="34">
        <f>VLOOKUP(A213,'CEDARS District FRPL'!$A:$C,3,)</f>
        <v>0.31159999999999999</v>
      </c>
      <c r="H213" s="25">
        <f t="shared" si="41"/>
        <v>2608.5</v>
      </c>
      <c r="I213" s="39">
        <f t="shared" si="42"/>
        <v>812.81</v>
      </c>
      <c r="J213" s="24">
        <v>15</v>
      </c>
      <c r="K213" s="26">
        <f t="shared" si="49"/>
        <v>54.187333333333328</v>
      </c>
      <c r="L213" s="24">
        <v>2.3975</v>
      </c>
      <c r="M213" s="24">
        <v>36</v>
      </c>
      <c r="N213" s="27">
        <f t="shared" si="50"/>
        <v>4676.9087399999999</v>
      </c>
      <c r="O213" s="102">
        <f t="shared" si="43"/>
        <v>5.1970000000000001</v>
      </c>
      <c r="P213" s="21">
        <f>VLOOKUP(A213,'2022-23 Salary &amp; Benefits'!$A:$I,5,)</f>
        <v>68937</v>
      </c>
      <c r="Q213" s="21">
        <f>VLOOKUP(A213,'2022-23 Salary &amp; Benefits'!$A:$I,6,FALSE)</f>
        <v>72728</v>
      </c>
      <c r="R213" s="22">
        <f t="shared" si="44"/>
        <v>358265.59</v>
      </c>
      <c r="S213" s="22">
        <f t="shared" si="45"/>
        <v>19701.830000000002</v>
      </c>
      <c r="T213" s="22">
        <f>'2022-23 Salary &amp; Benefits'!$G$6</f>
        <v>12558.24</v>
      </c>
      <c r="U213" s="23">
        <f>'2022-23 Salary &amp; Benefits'!$H$6</f>
        <v>0.2298</v>
      </c>
      <c r="V213" s="23">
        <f>'2022-23 Salary &amp; Benefits'!$I$6</f>
        <v>0.22339999999999999</v>
      </c>
      <c r="W213" s="22">
        <f t="shared" si="46"/>
        <v>151995.99</v>
      </c>
      <c r="X213" s="22">
        <f t="shared" si="47"/>
        <v>6299.46</v>
      </c>
      <c r="Y213" s="22">
        <f t="shared" si="48"/>
        <v>1407.3</v>
      </c>
      <c r="Z213" s="22">
        <f t="shared" si="51"/>
        <v>7706.76</v>
      </c>
      <c r="AA213" s="22">
        <f t="shared" si="52"/>
        <v>537670.17000000004</v>
      </c>
    </row>
    <row r="214" spans="1:27">
      <c r="A214" s="125" t="s">
        <v>2439</v>
      </c>
      <c r="B214" s="3" t="s">
        <v>1299</v>
      </c>
      <c r="C214" s="93">
        <f>IF(A214=Summary!$B$9,Summary!$G$9,0)</f>
        <v>0</v>
      </c>
      <c r="D214" s="134">
        <f>VLOOKUP(A214,AAFTE!$A:$S,3,0)</f>
        <v>22405.7</v>
      </c>
      <c r="E214" s="20">
        <f>VLOOKUP($A214,'2022-23 Salary &amp; Benefits'!$A:$I,3,)</f>
        <v>1.06</v>
      </c>
      <c r="F214" s="20">
        <f>VLOOKUP($A214,'2022-23 Salary &amp; Benefits'!$A:$I,4,)</f>
        <v>1.06</v>
      </c>
      <c r="G214" s="34">
        <f>VLOOKUP(A214,'CEDARS District FRPL'!$A:$C,3,)</f>
        <v>0.39810000000000001</v>
      </c>
      <c r="H214" s="25">
        <f t="shared" si="41"/>
        <v>22405.7</v>
      </c>
      <c r="I214" s="39">
        <f t="shared" si="42"/>
        <v>8919.7099999999991</v>
      </c>
      <c r="J214" s="24">
        <v>15</v>
      </c>
      <c r="K214" s="26">
        <f t="shared" si="49"/>
        <v>594.64733333333322</v>
      </c>
      <c r="L214" s="24">
        <v>2.3975</v>
      </c>
      <c r="M214" s="24">
        <v>36</v>
      </c>
      <c r="N214" s="27">
        <f t="shared" si="50"/>
        <v>51324.011339999983</v>
      </c>
      <c r="O214" s="102">
        <f t="shared" si="43"/>
        <v>57.027000000000001</v>
      </c>
      <c r="P214" s="21">
        <f>VLOOKUP(A214,'2022-23 Salary &amp; Benefits'!$A:$I,5,)</f>
        <v>68937</v>
      </c>
      <c r="Q214" s="21">
        <f>VLOOKUP(A214,'2022-23 Salary &amp; Benefits'!$A:$I,6,FALSE)</f>
        <v>72728</v>
      </c>
      <c r="R214" s="22">
        <f t="shared" si="44"/>
        <v>4167146.52</v>
      </c>
      <c r="S214" s="22">
        <f t="shared" si="45"/>
        <v>229160.72</v>
      </c>
      <c r="T214" s="22">
        <f>'2022-23 Salary &amp; Benefits'!$G$6</f>
        <v>12558.24</v>
      </c>
      <c r="U214" s="23">
        <f>'2022-23 Salary &amp; Benefits'!$H$6</f>
        <v>0.2298</v>
      </c>
      <c r="V214" s="23">
        <f>'2022-23 Salary &amp; Benefits'!$I$6</f>
        <v>0.22339999999999999</v>
      </c>
      <c r="W214" s="22">
        <f t="shared" si="46"/>
        <v>1724963.53</v>
      </c>
      <c r="X214" s="22">
        <f t="shared" si="47"/>
        <v>73271.789999999994</v>
      </c>
      <c r="Y214" s="22">
        <f t="shared" si="48"/>
        <v>16368.92</v>
      </c>
      <c r="Z214" s="22">
        <f t="shared" si="51"/>
        <v>89640.709999999992</v>
      </c>
      <c r="AA214" s="22">
        <f t="shared" si="52"/>
        <v>6210911.4799999995</v>
      </c>
    </row>
    <row r="215" spans="1:27">
      <c r="A215" s="125" t="s">
        <v>2343</v>
      </c>
      <c r="B215" s="3" t="s">
        <v>532</v>
      </c>
      <c r="C215" s="93">
        <f>IF(A215=Summary!$B$9,Summary!$G$9,0)</f>
        <v>0</v>
      </c>
      <c r="D215" s="134">
        <f>VLOOKUP(A215,AAFTE!$A:$S,3,0)</f>
        <v>50.84</v>
      </c>
      <c r="E215" s="20">
        <f>VLOOKUP($A215,'2022-23 Salary &amp; Benefits'!$A:$I,3,)</f>
        <v>1</v>
      </c>
      <c r="F215" s="20">
        <f>VLOOKUP($A215,'2022-23 Salary &amp; Benefits'!$A:$I,4,)</f>
        <v>1</v>
      </c>
      <c r="G215" s="34">
        <f>VLOOKUP(A215,'CEDARS District FRPL'!$A:$C,3,)</f>
        <v>1</v>
      </c>
      <c r="H215" s="25">
        <f t="shared" si="41"/>
        <v>50.84</v>
      </c>
      <c r="I215" s="39">
        <f t="shared" si="42"/>
        <v>50.84</v>
      </c>
      <c r="J215" s="24">
        <v>15</v>
      </c>
      <c r="K215" s="26">
        <f t="shared" si="49"/>
        <v>3.3893333333333335</v>
      </c>
      <c r="L215" s="24">
        <v>2.3975</v>
      </c>
      <c r="M215" s="24">
        <v>36</v>
      </c>
      <c r="N215" s="27">
        <f t="shared" si="50"/>
        <v>292.53336000000002</v>
      </c>
      <c r="O215" s="102">
        <f t="shared" si="43"/>
        <v>0.32500000000000001</v>
      </c>
      <c r="P215" s="21">
        <f>VLOOKUP(A215,'2022-23 Salary &amp; Benefits'!$A:$I,5,)</f>
        <v>68937</v>
      </c>
      <c r="Q215" s="21">
        <f>VLOOKUP(A215,'2022-23 Salary &amp; Benefits'!$A:$I,6,FALSE)</f>
        <v>72728</v>
      </c>
      <c r="R215" s="22">
        <f t="shared" si="44"/>
        <v>22404.53</v>
      </c>
      <c r="S215" s="22">
        <f t="shared" si="45"/>
        <v>1232.07</v>
      </c>
      <c r="T215" s="22">
        <f>'2022-23 Salary &amp; Benefits'!$G$6</f>
        <v>12558.24</v>
      </c>
      <c r="U215" s="23">
        <f>'2022-23 Salary &amp; Benefits'!$H$6</f>
        <v>0.2298</v>
      </c>
      <c r="V215" s="23">
        <f>'2022-23 Salary &amp; Benefits'!$I$6</f>
        <v>0.22339999999999999</v>
      </c>
      <c r="W215" s="22">
        <f t="shared" si="46"/>
        <v>9505.23</v>
      </c>
      <c r="X215" s="22">
        <f t="shared" si="47"/>
        <v>393.94</v>
      </c>
      <c r="Y215" s="22">
        <f t="shared" si="48"/>
        <v>88.01</v>
      </c>
      <c r="Z215" s="22">
        <f t="shared" si="51"/>
        <v>481.95</v>
      </c>
      <c r="AA215" s="22">
        <f t="shared" si="52"/>
        <v>33623.78</v>
      </c>
    </row>
    <row r="216" spans="1:27">
      <c r="A216" s="125" t="s">
        <v>2345</v>
      </c>
      <c r="B216" s="3" t="s">
        <v>536</v>
      </c>
      <c r="C216" s="93">
        <f>IF(A216=Summary!$B$9,Summary!$G$9,0)</f>
        <v>0</v>
      </c>
      <c r="D216" s="134">
        <f>VLOOKUP(A216,AAFTE!$A:$S,3,0)</f>
        <v>646.15</v>
      </c>
      <c r="E216" s="20">
        <f>VLOOKUP($A216,'2022-23 Salary &amp; Benefits'!$A:$I,3,)</f>
        <v>1.06</v>
      </c>
      <c r="F216" s="20">
        <f>VLOOKUP($A216,'2022-23 Salary &amp; Benefits'!$A:$I,4,)</f>
        <v>1.06</v>
      </c>
      <c r="G216" s="34">
        <f>VLOOKUP(A216,'CEDARS District FRPL'!$A:$C,3,)</f>
        <v>0.31059999999999999</v>
      </c>
      <c r="H216" s="25">
        <f t="shared" si="41"/>
        <v>646.15</v>
      </c>
      <c r="I216" s="39">
        <f t="shared" si="42"/>
        <v>200.69</v>
      </c>
      <c r="J216" s="24">
        <v>15</v>
      </c>
      <c r="K216" s="26">
        <f t="shared" si="49"/>
        <v>13.379333333333333</v>
      </c>
      <c r="L216" s="24">
        <v>2.3975</v>
      </c>
      <c r="M216" s="24">
        <v>36</v>
      </c>
      <c r="N216" s="27">
        <f t="shared" si="50"/>
        <v>1154.77026</v>
      </c>
      <c r="O216" s="102">
        <f t="shared" si="43"/>
        <v>1.2829999999999999</v>
      </c>
      <c r="P216" s="21">
        <f>VLOOKUP(A216,'2022-23 Salary &amp; Benefits'!$A:$I,5,)</f>
        <v>68937</v>
      </c>
      <c r="Q216" s="21">
        <f>VLOOKUP(A216,'2022-23 Salary &amp; Benefits'!$A:$I,6,FALSE)</f>
        <v>72728</v>
      </c>
      <c r="R216" s="22">
        <f t="shared" si="44"/>
        <v>93752.94</v>
      </c>
      <c r="S216" s="22">
        <f t="shared" si="45"/>
        <v>5155.6899999999996</v>
      </c>
      <c r="T216" s="22">
        <f>'2022-23 Salary &amp; Benefits'!$G$6</f>
        <v>12558.24</v>
      </c>
      <c r="U216" s="23">
        <f>'2022-23 Salary &amp; Benefits'!$H$6</f>
        <v>0.2298</v>
      </c>
      <c r="V216" s="23">
        <f>'2022-23 Salary &amp; Benefits'!$I$6</f>
        <v>0.22339999999999999</v>
      </c>
      <c r="W216" s="22">
        <f t="shared" si="46"/>
        <v>38808.43</v>
      </c>
      <c r="X216" s="22">
        <f t="shared" si="47"/>
        <v>1648.48</v>
      </c>
      <c r="Y216" s="22">
        <f t="shared" si="48"/>
        <v>368.27</v>
      </c>
      <c r="Z216" s="22">
        <f t="shared" si="51"/>
        <v>2016.75</v>
      </c>
      <c r="AA216" s="22">
        <f t="shared" si="52"/>
        <v>139733.81</v>
      </c>
    </row>
    <row r="217" spans="1:27">
      <c r="A217" s="125" t="s">
        <v>2282</v>
      </c>
      <c r="B217" s="3" t="s">
        <v>162</v>
      </c>
      <c r="C217" s="93">
        <f>IF(A217=Summary!$B$9,Summary!$G$9,0)</f>
        <v>0</v>
      </c>
      <c r="D217" s="134">
        <f>VLOOKUP(A217,AAFTE!$A:$S,3,0)</f>
        <v>115.57</v>
      </c>
      <c r="E217" s="20">
        <f>VLOOKUP($A217,'2022-23 Salary &amp; Benefits'!$A:$I,3,)</f>
        <v>1</v>
      </c>
      <c r="F217" s="20">
        <f>VLOOKUP($A217,'2022-23 Salary &amp; Benefits'!$A:$I,4,)</f>
        <v>1</v>
      </c>
      <c r="G217" s="34">
        <f>VLOOKUP(A217,'CEDARS District FRPL'!$A:$C,3,)</f>
        <v>0.93910000000000005</v>
      </c>
      <c r="H217" s="25">
        <f t="shared" si="41"/>
        <v>115.57</v>
      </c>
      <c r="I217" s="39">
        <f t="shared" si="42"/>
        <v>108.53</v>
      </c>
      <c r="J217" s="24">
        <v>15</v>
      </c>
      <c r="K217" s="26">
        <f t="shared" si="49"/>
        <v>7.2353333333333332</v>
      </c>
      <c r="L217" s="24">
        <v>2.3975</v>
      </c>
      <c r="M217" s="24">
        <v>36</v>
      </c>
      <c r="N217" s="27">
        <f t="shared" si="50"/>
        <v>624.48162000000002</v>
      </c>
      <c r="O217" s="102">
        <f t="shared" si="43"/>
        <v>0.69399999999999995</v>
      </c>
      <c r="P217" s="21">
        <f>VLOOKUP(A217,'2022-23 Salary &amp; Benefits'!$A:$I,5,)</f>
        <v>68937</v>
      </c>
      <c r="Q217" s="21">
        <f>VLOOKUP(A217,'2022-23 Salary &amp; Benefits'!$A:$I,6,FALSE)</f>
        <v>72728</v>
      </c>
      <c r="R217" s="22">
        <f t="shared" si="44"/>
        <v>47842.28</v>
      </c>
      <c r="S217" s="22">
        <f t="shared" si="45"/>
        <v>2630.95</v>
      </c>
      <c r="T217" s="22">
        <f>'2022-23 Salary &amp; Benefits'!$G$6</f>
        <v>12558.24</v>
      </c>
      <c r="U217" s="23">
        <f>'2022-23 Salary &amp; Benefits'!$H$6</f>
        <v>0.2298</v>
      </c>
      <c r="V217" s="23">
        <f>'2022-23 Salary &amp; Benefits'!$I$6</f>
        <v>0.22339999999999999</v>
      </c>
      <c r="W217" s="22">
        <f t="shared" si="46"/>
        <v>20297.330000000002</v>
      </c>
      <c r="X217" s="22">
        <f t="shared" si="47"/>
        <v>841.22</v>
      </c>
      <c r="Y217" s="22">
        <f t="shared" si="48"/>
        <v>187.93</v>
      </c>
      <c r="Z217" s="22">
        <f t="shared" si="51"/>
        <v>1029.1500000000001</v>
      </c>
      <c r="AA217" s="22">
        <f t="shared" si="52"/>
        <v>71799.709999999992</v>
      </c>
    </row>
    <row r="218" spans="1:27">
      <c r="A218" s="125" t="s">
        <v>2281</v>
      </c>
      <c r="B218" s="3" t="s">
        <v>157</v>
      </c>
      <c r="C218" s="93">
        <f>IF(A218=Summary!$B$9,Summary!$G$9,0)</f>
        <v>0</v>
      </c>
      <c r="D218" s="134">
        <f>VLOOKUP(A218,AAFTE!$A:$S,3,0)</f>
        <v>3417.72</v>
      </c>
      <c r="E218" s="20">
        <f>VLOOKUP($A218,'2022-23 Salary &amp; Benefits'!$A:$I,3,)</f>
        <v>1</v>
      </c>
      <c r="F218" s="20">
        <f>VLOOKUP($A218,'2022-23 Salary &amp; Benefits'!$A:$I,4,)</f>
        <v>1</v>
      </c>
      <c r="G218" s="34">
        <f>VLOOKUP(A218,'CEDARS District FRPL'!$A:$C,3,)</f>
        <v>0.63009999999999999</v>
      </c>
      <c r="H218" s="25">
        <f t="shared" si="41"/>
        <v>3417.72</v>
      </c>
      <c r="I218" s="39">
        <f t="shared" si="42"/>
        <v>2153.5100000000002</v>
      </c>
      <c r="J218" s="24">
        <v>15</v>
      </c>
      <c r="K218" s="26">
        <f t="shared" si="49"/>
        <v>143.56733333333335</v>
      </c>
      <c r="L218" s="24">
        <v>2.3975</v>
      </c>
      <c r="M218" s="24">
        <v>36</v>
      </c>
      <c r="N218" s="27">
        <f t="shared" si="50"/>
        <v>12391.296540000001</v>
      </c>
      <c r="O218" s="102">
        <f t="shared" si="43"/>
        <v>13.768000000000001</v>
      </c>
      <c r="P218" s="21">
        <f>VLOOKUP(A218,'2022-23 Salary &amp; Benefits'!$A:$I,5,)</f>
        <v>68937</v>
      </c>
      <c r="Q218" s="21">
        <f>VLOOKUP(A218,'2022-23 Salary &amp; Benefits'!$A:$I,6,FALSE)</f>
        <v>72728</v>
      </c>
      <c r="R218" s="22">
        <f t="shared" si="44"/>
        <v>949124.62</v>
      </c>
      <c r="S218" s="22">
        <f t="shared" si="45"/>
        <v>52194.48</v>
      </c>
      <c r="T218" s="22">
        <f>'2022-23 Salary &amp; Benefits'!$G$6</f>
        <v>12558.24</v>
      </c>
      <c r="U218" s="23">
        <f>'2022-23 Salary &amp; Benefits'!$H$6</f>
        <v>0.2298</v>
      </c>
      <c r="V218" s="23">
        <f>'2022-23 Salary &amp; Benefits'!$I$6</f>
        <v>0.22339999999999999</v>
      </c>
      <c r="W218" s="22">
        <f t="shared" si="46"/>
        <v>402670.93</v>
      </c>
      <c r="X218" s="22">
        <f t="shared" si="47"/>
        <v>16688.650000000001</v>
      </c>
      <c r="Y218" s="22">
        <f t="shared" si="48"/>
        <v>3728.24</v>
      </c>
      <c r="Z218" s="22">
        <f t="shared" si="51"/>
        <v>20416.89</v>
      </c>
      <c r="AA218" s="22">
        <f t="shared" si="52"/>
        <v>1424406.92</v>
      </c>
    </row>
    <row r="219" spans="1:27">
      <c r="A219" s="125" t="s">
        <v>2318</v>
      </c>
      <c r="B219" s="3" t="s">
        <v>415</v>
      </c>
      <c r="C219" s="93">
        <f>IF(A219=Summary!$B$9,Summary!$G$9,0)</f>
        <v>0</v>
      </c>
      <c r="D219" s="134">
        <f>VLOOKUP(A219,AAFTE!$A:$S,3,0)</f>
        <v>3147.02</v>
      </c>
      <c r="E219" s="20">
        <f>VLOOKUP($A219,'2022-23 Salary &amp; Benefits'!$A:$I,3,)</f>
        <v>1</v>
      </c>
      <c r="F219" s="20">
        <f>VLOOKUP($A219,'2022-23 Salary &amp; Benefits'!$A:$I,4,)</f>
        <v>1</v>
      </c>
      <c r="G219" s="34">
        <f>VLOOKUP(A219,'CEDARS District FRPL'!$A:$C,3,)</f>
        <v>0.80900000000000005</v>
      </c>
      <c r="H219" s="25">
        <f t="shared" si="41"/>
        <v>3147.02</v>
      </c>
      <c r="I219" s="39">
        <f t="shared" si="42"/>
        <v>2545.94</v>
      </c>
      <c r="J219" s="24">
        <v>15</v>
      </c>
      <c r="K219" s="26">
        <f t="shared" si="49"/>
        <v>169.72933333333333</v>
      </c>
      <c r="L219" s="24">
        <v>2.3975</v>
      </c>
      <c r="M219" s="24">
        <v>36</v>
      </c>
      <c r="N219" s="27">
        <f t="shared" si="50"/>
        <v>14649.338759999999</v>
      </c>
      <c r="O219" s="102">
        <f t="shared" si="43"/>
        <v>16.277000000000001</v>
      </c>
      <c r="P219" s="21">
        <f>VLOOKUP(A219,'2022-23 Salary &amp; Benefits'!$A:$I,5,)</f>
        <v>68937</v>
      </c>
      <c r="Q219" s="21">
        <f>VLOOKUP(A219,'2022-23 Salary &amp; Benefits'!$A:$I,6,FALSE)</f>
        <v>72728</v>
      </c>
      <c r="R219" s="22">
        <f t="shared" si="44"/>
        <v>1122087.55</v>
      </c>
      <c r="S219" s="22">
        <f t="shared" si="45"/>
        <v>61706.11</v>
      </c>
      <c r="T219" s="22">
        <f>'2022-23 Salary &amp; Benefits'!$G$6</f>
        <v>12558.24</v>
      </c>
      <c r="U219" s="23">
        <f>'2022-23 Salary &amp; Benefits'!$H$6</f>
        <v>0.2298</v>
      </c>
      <c r="V219" s="23">
        <f>'2022-23 Salary &amp; Benefits'!$I$6</f>
        <v>0.22339999999999999</v>
      </c>
      <c r="W219" s="22">
        <f t="shared" si="46"/>
        <v>476051.34</v>
      </c>
      <c r="X219" s="22">
        <f t="shared" si="47"/>
        <v>19729.89</v>
      </c>
      <c r="Y219" s="22">
        <f t="shared" si="48"/>
        <v>4407.66</v>
      </c>
      <c r="Z219" s="22">
        <f t="shared" si="51"/>
        <v>24137.55</v>
      </c>
      <c r="AA219" s="22">
        <f t="shared" si="52"/>
        <v>1683982.5500000003</v>
      </c>
    </row>
    <row r="220" spans="1:27">
      <c r="A220" s="125" t="s">
        <v>2369</v>
      </c>
      <c r="B220" s="3" t="s">
        <v>1014</v>
      </c>
      <c r="C220" s="93">
        <f>IF(A220=Summary!$B$9,Summary!$G$9,0)</f>
        <v>0</v>
      </c>
      <c r="D220" s="134">
        <f>VLOOKUP(A220,AAFTE!$A:$S,3,0)</f>
        <v>328.86</v>
      </c>
      <c r="E220" s="20">
        <f>VLOOKUP($A220,'2022-23 Salary &amp; Benefits'!$A:$I,3,)</f>
        <v>1.18</v>
      </c>
      <c r="F220" s="20">
        <f>VLOOKUP($A220,'2022-23 Salary &amp; Benefits'!$A:$I,4,)</f>
        <v>1.18</v>
      </c>
      <c r="G220" s="34">
        <f>VLOOKUP(A220,'CEDARS District FRPL'!$A:$C,3,)</f>
        <v>0.76190000000000002</v>
      </c>
      <c r="H220" s="25">
        <f t="shared" si="41"/>
        <v>328.86</v>
      </c>
      <c r="I220" s="39">
        <f t="shared" si="42"/>
        <v>250.56</v>
      </c>
      <c r="J220" s="24">
        <v>15</v>
      </c>
      <c r="K220" s="26">
        <f t="shared" si="49"/>
        <v>16.704000000000001</v>
      </c>
      <c r="L220" s="24">
        <v>2.3975</v>
      </c>
      <c r="M220" s="24">
        <v>36</v>
      </c>
      <c r="N220" s="27">
        <f t="shared" si="50"/>
        <v>1441.7222400000001</v>
      </c>
      <c r="O220" s="102">
        <f t="shared" si="43"/>
        <v>1.6020000000000001</v>
      </c>
      <c r="P220" s="21">
        <f>VLOOKUP(A220,'2022-23 Salary &amp; Benefits'!$A:$I,5,)</f>
        <v>68937</v>
      </c>
      <c r="Q220" s="21">
        <f>VLOOKUP(A220,'2022-23 Salary &amp; Benefits'!$A:$I,6,FALSE)</f>
        <v>72728</v>
      </c>
      <c r="R220" s="22">
        <f t="shared" si="44"/>
        <v>130315.75</v>
      </c>
      <c r="S220" s="22">
        <f t="shared" si="45"/>
        <v>7166.35</v>
      </c>
      <c r="T220" s="22">
        <f>'2022-23 Salary &amp; Benefits'!$G$6</f>
        <v>12558.24</v>
      </c>
      <c r="U220" s="23">
        <f>'2022-23 Salary &amp; Benefits'!$H$6</f>
        <v>0.2298</v>
      </c>
      <c r="V220" s="23">
        <f>'2022-23 Salary &amp; Benefits'!$I$6</f>
        <v>0.22339999999999999</v>
      </c>
      <c r="W220" s="22">
        <f t="shared" si="46"/>
        <v>51665.82</v>
      </c>
      <c r="X220" s="22">
        <f t="shared" si="47"/>
        <v>2291.37</v>
      </c>
      <c r="Y220" s="22">
        <f t="shared" si="48"/>
        <v>511.89</v>
      </c>
      <c r="Z220" s="22">
        <f t="shared" si="51"/>
        <v>2803.2599999999998</v>
      </c>
      <c r="AA220" s="22">
        <f t="shared" si="52"/>
        <v>191951.18000000002</v>
      </c>
    </row>
    <row r="221" spans="1:27">
      <c r="A221" s="125" t="s">
        <v>2519</v>
      </c>
      <c r="B221" s="3" t="s">
        <v>2021</v>
      </c>
      <c r="C221" s="93">
        <f>IF(A221=Summary!$B$9,Summary!$G$9,0)</f>
        <v>0</v>
      </c>
      <c r="D221" s="134">
        <f>VLOOKUP(A221,AAFTE!$A:$S,3,0)</f>
        <v>881.61</v>
      </c>
      <c r="E221" s="20">
        <f>VLOOKUP($A221,'2022-23 Salary &amp; Benefits'!$A:$I,3,)</f>
        <v>1</v>
      </c>
      <c r="F221" s="20">
        <f>VLOOKUP($A221,'2022-23 Salary &amp; Benefits'!$A:$I,4,)</f>
        <v>1</v>
      </c>
      <c r="G221" s="34">
        <f>VLOOKUP(A221,'CEDARS District FRPL'!$A:$C,3,)</f>
        <v>0.40910000000000002</v>
      </c>
      <c r="H221" s="25">
        <f t="shared" si="41"/>
        <v>881.61</v>
      </c>
      <c r="I221" s="39">
        <f t="shared" si="42"/>
        <v>360.67</v>
      </c>
      <c r="J221" s="24">
        <v>15</v>
      </c>
      <c r="K221" s="26">
        <f t="shared" si="49"/>
        <v>24.044666666666668</v>
      </c>
      <c r="L221" s="24">
        <v>2.3975</v>
      </c>
      <c r="M221" s="24">
        <v>36</v>
      </c>
      <c r="N221" s="27">
        <f t="shared" si="50"/>
        <v>2075.2951800000001</v>
      </c>
      <c r="O221" s="102">
        <f t="shared" si="43"/>
        <v>2.306</v>
      </c>
      <c r="P221" s="21">
        <f>VLOOKUP(A221,'2022-23 Salary &amp; Benefits'!$A:$I,5,)</f>
        <v>68937</v>
      </c>
      <c r="Q221" s="21">
        <f>VLOOKUP(A221,'2022-23 Salary &amp; Benefits'!$A:$I,6,FALSE)</f>
        <v>72728</v>
      </c>
      <c r="R221" s="22">
        <f t="shared" si="44"/>
        <v>158968.72</v>
      </c>
      <c r="S221" s="22">
        <f t="shared" si="45"/>
        <v>8742.0499999999993</v>
      </c>
      <c r="T221" s="22">
        <f>'2022-23 Salary &amp; Benefits'!$G$6</f>
        <v>12558.24</v>
      </c>
      <c r="U221" s="23">
        <f>'2022-23 Salary &amp; Benefits'!$H$6</f>
        <v>0.2298</v>
      </c>
      <c r="V221" s="23">
        <f>'2022-23 Salary &amp; Benefits'!$I$6</f>
        <v>0.22339999999999999</v>
      </c>
      <c r="W221" s="22">
        <f t="shared" si="46"/>
        <v>67443.289999999994</v>
      </c>
      <c r="X221" s="22">
        <f t="shared" si="47"/>
        <v>2795.18</v>
      </c>
      <c r="Y221" s="22">
        <f t="shared" si="48"/>
        <v>624.44000000000005</v>
      </c>
      <c r="Z221" s="22">
        <f t="shared" si="51"/>
        <v>3419.62</v>
      </c>
      <c r="AA221" s="22">
        <f t="shared" si="52"/>
        <v>238573.68</v>
      </c>
    </row>
    <row r="222" spans="1:27">
      <c r="A222" s="125" t="s">
        <v>2587</v>
      </c>
      <c r="B222" s="3" t="s">
        <v>2959</v>
      </c>
      <c r="C222" s="93">
        <f>IF(A222=Summary!$B$9,Summary!$G$9,0)</f>
        <v>0</v>
      </c>
      <c r="D222" s="134">
        <f>VLOOKUP(A222,AAFTE!$A:$S,3,0)</f>
        <v>159</v>
      </c>
      <c r="E222" s="20">
        <f>VLOOKUP($A222,'2022-23 Salary &amp; Benefits'!$A:$I,3,)</f>
        <v>1.18</v>
      </c>
      <c r="F222" s="20">
        <f>VLOOKUP($A222,'2022-23 Salary &amp; Benefits'!$A:$I,4,)</f>
        <v>1.18</v>
      </c>
      <c r="G222" s="34">
        <f>VLOOKUP(A222,'CEDARS District FRPL'!$A:$C,3,)</f>
        <v>0.76880000000000004</v>
      </c>
      <c r="H222" s="25">
        <f t="shared" si="41"/>
        <v>159</v>
      </c>
      <c r="I222" s="39">
        <f t="shared" si="42"/>
        <v>122.24</v>
      </c>
      <c r="J222" s="24">
        <v>15</v>
      </c>
      <c r="K222" s="26">
        <f t="shared" si="49"/>
        <v>8.1493333333333329</v>
      </c>
      <c r="L222" s="24">
        <v>2.3975</v>
      </c>
      <c r="M222" s="24">
        <v>36</v>
      </c>
      <c r="N222" s="27">
        <f t="shared" si="50"/>
        <v>703.3689599999999</v>
      </c>
      <c r="O222" s="102">
        <f t="shared" si="43"/>
        <v>0.78200000000000003</v>
      </c>
      <c r="P222" s="21">
        <f>VLOOKUP(A222,'2022-23 Salary &amp; Benefits'!$A:$I,5,)</f>
        <v>68937</v>
      </c>
      <c r="Q222" s="21">
        <f>VLOOKUP(A222,'2022-23 Salary &amp; Benefits'!$A:$I,6,FALSE)</f>
        <v>72728</v>
      </c>
      <c r="R222" s="22">
        <f t="shared" si="44"/>
        <v>63612.31</v>
      </c>
      <c r="S222" s="22">
        <f t="shared" si="45"/>
        <v>3498.18</v>
      </c>
      <c r="T222" s="22">
        <f>'2022-23 Salary &amp; Benefits'!$G$6</f>
        <v>12558.24</v>
      </c>
      <c r="U222" s="23">
        <f>'2022-23 Salary &amp; Benefits'!$H$6</f>
        <v>0.2298</v>
      </c>
      <c r="V222" s="23">
        <f>'2022-23 Salary &amp; Benefits'!$I$6</f>
        <v>0.22339999999999999</v>
      </c>
      <c r="W222" s="22">
        <f t="shared" si="46"/>
        <v>25220.15</v>
      </c>
      <c r="X222" s="22">
        <f t="shared" si="47"/>
        <v>1118.51</v>
      </c>
      <c r="Y222" s="22">
        <f t="shared" si="48"/>
        <v>249.88</v>
      </c>
      <c r="Z222" s="22">
        <f t="shared" si="51"/>
        <v>1368.3899999999999</v>
      </c>
      <c r="AA222" s="22">
        <f t="shared" si="52"/>
        <v>93699.029999999984</v>
      </c>
    </row>
    <row r="223" spans="1:27">
      <c r="A223" s="125" t="s">
        <v>2430</v>
      </c>
      <c r="B223" s="3" t="s">
        <v>1267</v>
      </c>
      <c r="C223" s="93">
        <f>IF(A223=Summary!$B$9,Summary!$G$9,0)</f>
        <v>0</v>
      </c>
      <c r="D223" s="134">
        <f>VLOOKUP(A223,AAFTE!$A:$S,3,0)</f>
        <v>520.94000000000005</v>
      </c>
      <c r="E223" s="20">
        <f>VLOOKUP($A223,'2022-23 Salary &amp; Benefits'!$A:$I,3,)</f>
        <v>1</v>
      </c>
      <c r="F223" s="20">
        <f>VLOOKUP($A223,'2022-23 Salary &amp; Benefits'!$A:$I,4,)</f>
        <v>1</v>
      </c>
      <c r="G223" s="34">
        <f>VLOOKUP(A223,'CEDARS District FRPL'!$A:$C,3,)</f>
        <v>0.70309999999999995</v>
      </c>
      <c r="H223" s="25">
        <f t="shared" si="41"/>
        <v>520.94000000000005</v>
      </c>
      <c r="I223" s="39">
        <f t="shared" si="42"/>
        <v>366.27</v>
      </c>
      <c r="J223" s="24">
        <v>15</v>
      </c>
      <c r="K223" s="26">
        <f t="shared" si="49"/>
        <v>24.417999999999999</v>
      </c>
      <c r="L223" s="24">
        <v>2.3975</v>
      </c>
      <c r="M223" s="24">
        <v>36</v>
      </c>
      <c r="N223" s="27">
        <f t="shared" si="50"/>
        <v>2107.5175799999997</v>
      </c>
      <c r="O223" s="102">
        <f t="shared" si="43"/>
        <v>2.3420000000000001</v>
      </c>
      <c r="P223" s="21">
        <f>VLOOKUP(A223,'2022-23 Salary &amp; Benefits'!$A:$I,5,)</f>
        <v>68937</v>
      </c>
      <c r="Q223" s="21">
        <f>VLOOKUP(A223,'2022-23 Salary &amp; Benefits'!$A:$I,6,FALSE)</f>
        <v>72728</v>
      </c>
      <c r="R223" s="22">
        <f t="shared" si="44"/>
        <v>161450.45000000001</v>
      </c>
      <c r="S223" s="22">
        <f t="shared" si="45"/>
        <v>8878.5300000000007</v>
      </c>
      <c r="T223" s="22">
        <f>'2022-23 Salary &amp; Benefits'!$G$6</f>
        <v>12558.24</v>
      </c>
      <c r="U223" s="23">
        <f>'2022-23 Salary &amp; Benefits'!$H$6</f>
        <v>0.2298</v>
      </c>
      <c r="V223" s="23">
        <f>'2022-23 Salary &amp; Benefits'!$I$6</f>
        <v>0.22339999999999999</v>
      </c>
      <c r="W223" s="22">
        <f t="shared" si="46"/>
        <v>68496.179999999993</v>
      </c>
      <c r="X223" s="22">
        <f t="shared" si="47"/>
        <v>2838.82</v>
      </c>
      <c r="Y223" s="22">
        <f t="shared" si="48"/>
        <v>634.19000000000005</v>
      </c>
      <c r="Z223" s="22">
        <f t="shared" si="51"/>
        <v>3473.01</v>
      </c>
      <c r="AA223" s="22">
        <f t="shared" si="52"/>
        <v>242298.17</v>
      </c>
    </row>
    <row r="224" spans="1:27">
      <c r="A224" s="125" t="s">
        <v>2407</v>
      </c>
      <c r="B224" s="3" t="s">
        <v>1184</v>
      </c>
      <c r="C224" s="93">
        <f>IF(A224=Summary!$B$9,Summary!$G$9,0)</f>
        <v>0</v>
      </c>
      <c r="D224" s="134">
        <f>VLOOKUP(A224,AAFTE!$A:$S,3,0)</f>
        <v>722.92</v>
      </c>
      <c r="E224" s="20">
        <f>VLOOKUP($A224,'2022-23 Salary &amp; Benefits'!$A:$I,3,)</f>
        <v>1</v>
      </c>
      <c r="F224" s="20">
        <f>VLOOKUP($A224,'2022-23 Salary &amp; Benefits'!$A:$I,4,)</f>
        <v>1</v>
      </c>
      <c r="G224" s="34">
        <f>VLOOKUP(A224,'CEDARS District FRPL'!$A:$C,3,)</f>
        <v>0.46189999999999998</v>
      </c>
      <c r="H224" s="25">
        <f t="shared" si="41"/>
        <v>722.92</v>
      </c>
      <c r="I224" s="39">
        <f t="shared" si="42"/>
        <v>333.92</v>
      </c>
      <c r="J224" s="24">
        <v>15</v>
      </c>
      <c r="K224" s="26">
        <f t="shared" si="49"/>
        <v>22.261333333333333</v>
      </c>
      <c r="L224" s="24">
        <v>2.3975</v>
      </c>
      <c r="M224" s="24">
        <v>36</v>
      </c>
      <c r="N224" s="27">
        <f t="shared" si="50"/>
        <v>1921.3756800000001</v>
      </c>
      <c r="O224" s="102">
        <f t="shared" si="43"/>
        <v>2.1349999999999998</v>
      </c>
      <c r="P224" s="21">
        <f>VLOOKUP(A224,'2022-23 Salary &amp; Benefits'!$A:$I,5,)</f>
        <v>68937</v>
      </c>
      <c r="Q224" s="21">
        <f>VLOOKUP(A224,'2022-23 Salary &amp; Benefits'!$A:$I,6,FALSE)</f>
        <v>72728</v>
      </c>
      <c r="R224" s="22">
        <f t="shared" si="44"/>
        <v>147180.5</v>
      </c>
      <c r="S224" s="22">
        <f t="shared" si="45"/>
        <v>8093.78</v>
      </c>
      <c r="T224" s="22">
        <f>'2022-23 Salary &amp; Benefits'!$G$6</f>
        <v>12558.24</v>
      </c>
      <c r="U224" s="23">
        <f>'2022-23 Salary &amp; Benefits'!$H$6</f>
        <v>0.2298</v>
      </c>
      <c r="V224" s="23">
        <f>'2022-23 Salary &amp; Benefits'!$I$6</f>
        <v>0.22339999999999999</v>
      </c>
      <c r="W224" s="22">
        <f t="shared" si="46"/>
        <v>62442.07</v>
      </c>
      <c r="X224" s="22">
        <f t="shared" si="47"/>
        <v>2587.9</v>
      </c>
      <c r="Y224" s="22">
        <f t="shared" si="48"/>
        <v>578.14</v>
      </c>
      <c r="Z224" s="22">
        <f t="shared" si="51"/>
        <v>3166.04</v>
      </c>
      <c r="AA224" s="22">
        <f t="shared" si="52"/>
        <v>220882.39</v>
      </c>
    </row>
    <row r="225" spans="1:27">
      <c r="A225" s="125" t="s">
        <v>2354</v>
      </c>
      <c r="B225" s="3" t="s">
        <v>736</v>
      </c>
      <c r="C225" s="93">
        <f>IF(A225=Summary!$B$9,Summary!$G$9,0)</f>
        <v>0</v>
      </c>
      <c r="D225" s="134">
        <f>VLOOKUP(A225,AAFTE!$A:$S,3,0)</f>
        <v>14713.81</v>
      </c>
      <c r="E225" s="20">
        <f>VLOOKUP($A225,'2022-23 Salary &amp; Benefits'!$A:$I,3,)</f>
        <v>1.18</v>
      </c>
      <c r="F225" s="20">
        <f>VLOOKUP($A225,'2022-23 Salary &amp; Benefits'!$A:$I,4,)</f>
        <v>1.18</v>
      </c>
      <c r="G225" s="34">
        <f>VLOOKUP(A225,'CEDARS District FRPL'!$A:$C,3,)</f>
        <v>0.53410000000000002</v>
      </c>
      <c r="H225" s="25">
        <f t="shared" si="41"/>
        <v>14713.81</v>
      </c>
      <c r="I225" s="39">
        <f t="shared" si="42"/>
        <v>7858.65</v>
      </c>
      <c r="J225" s="24">
        <v>15</v>
      </c>
      <c r="K225" s="26">
        <f t="shared" si="49"/>
        <v>523.91</v>
      </c>
      <c r="L225" s="24">
        <v>2.3975</v>
      </c>
      <c r="M225" s="24">
        <v>36</v>
      </c>
      <c r="N225" s="27">
        <f t="shared" si="50"/>
        <v>45218.672099999996</v>
      </c>
      <c r="O225" s="102">
        <f t="shared" si="43"/>
        <v>50.243000000000002</v>
      </c>
      <c r="P225" s="21">
        <f>VLOOKUP(A225,'2022-23 Salary &amp; Benefits'!$A:$I,5,)</f>
        <v>68937</v>
      </c>
      <c r="Q225" s="21">
        <f>VLOOKUP(A225,'2022-23 Salary &amp; Benefits'!$A:$I,6,FALSE)</f>
        <v>72728</v>
      </c>
      <c r="R225" s="22">
        <f t="shared" si="44"/>
        <v>4087050</v>
      </c>
      <c r="S225" s="22">
        <f t="shared" si="45"/>
        <v>224756.03</v>
      </c>
      <c r="T225" s="22">
        <f>'2022-23 Salary &amp; Benefits'!$G$6</f>
        <v>12558.24</v>
      </c>
      <c r="U225" s="23">
        <f>'2022-23 Salary &amp; Benefits'!$H$6</f>
        <v>0.2298</v>
      </c>
      <c r="V225" s="23">
        <f>'2022-23 Salary &amp; Benefits'!$I$6</f>
        <v>0.22339999999999999</v>
      </c>
      <c r="W225" s="22">
        <f t="shared" si="46"/>
        <v>1620378.24</v>
      </c>
      <c r="X225" s="22">
        <f t="shared" si="47"/>
        <v>71863.429999999993</v>
      </c>
      <c r="Y225" s="22">
        <f t="shared" si="48"/>
        <v>16054.29</v>
      </c>
      <c r="Z225" s="22">
        <f t="shared" si="51"/>
        <v>87917.72</v>
      </c>
      <c r="AA225" s="22">
        <f t="shared" si="52"/>
        <v>6020101.9900000002</v>
      </c>
    </row>
    <row r="226" spans="1:27">
      <c r="A226" s="125" t="s">
        <v>2311</v>
      </c>
      <c r="B226" s="3" t="s">
        <v>367</v>
      </c>
      <c r="C226" s="93">
        <f>IF(A226=Summary!$B$9,Summary!$G$9,0)</f>
        <v>0</v>
      </c>
      <c r="D226" s="134">
        <f>VLOOKUP(A226,AAFTE!$A:$S,3,0)</f>
        <v>362.73</v>
      </c>
      <c r="E226" s="20">
        <f>VLOOKUP($A226,'2022-23 Salary &amp; Benefits'!$A:$I,3,)</f>
        <v>1</v>
      </c>
      <c r="F226" s="20">
        <f>VLOOKUP($A226,'2022-23 Salary &amp; Benefits'!$A:$I,4,)</f>
        <v>1.04</v>
      </c>
      <c r="G226" s="34">
        <f>VLOOKUP(A226,'CEDARS District FRPL'!$A:$C,3,)</f>
        <v>0.7147</v>
      </c>
      <c r="H226" s="25">
        <f t="shared" si="41"/>
        <v>362.73</v>
      </c>
      <c r="I226" s="39">
        <f t="shared" si="42"/>
        <v>259.24</v>
      </c>
      <c r="J226" s="24">
        <v>15</v>
      </c>
      <c r="K226" s="26">
        <f t="shared" si="49"/>
        <v>17.282666666666668</v>
      </c>
      <c r="L226" s="24">
        <v>2.3975</v>
      </c>
      <c r="M226" s="24">
        <v>36</v>
      </c>
      <c r="N226" s="27">
        <f t="shared" si="50"/>
        <v>1491.6669600000002</v>
      </c>
      <c r="O226" s="102">
        <f t="shared" si="43"/>
        <v>1.657</v>
      </c>
      <c r="P226" s="21">
        <f>VLOOKUP(A226,'2022-23 Salary &amp; Benefits'!$A:$I,5,)</f>
        <v>68937</v>
      </c>
      <c r="Q226" s="21">
        <f>VLOOKUP(A226,'2022-23 Salary &amp; Benefits'!$A:$I,6,FALSE)</f>
        <v>72728</v>
      </c>
      <c r="R226" s="22">
        <f t="shared" si="44"/>
        <v>114228.61</v>
      </c>
      <c r="S226" s="22">
        <f t="shared" si="45"/>
        <v>11102.1</v>
      </c>
      <c r="T226" s="22">
        <f>'2022-23 Salary &amp; Benefits'!$G$6</f>
        <v>12558.24</v>
      </c>
      <c r="U226" s="23">
        <f>'2022-23 Salary &amp; Benefits'!$H$6</f>
        <v>0.2298</v>
      </c>
      <c r="V226" s="23">
        <f>'2022-23 Salary &amp; Benefits'!$I$6</f>
        <v>0.22339999999999999</v>
      </c>
      <c r="W226" s="22">
        <f t="shared" si="46"/>
        <v>49538.95</v>
      </c>
      <c r="X226" s="22">
        <f t="shared" si="47"/>
        <v>2088.85</v>
      </c>
      <c r="Y226" s="22">
        <f t="shared" si="48"/>
        <v>466.65</v>
      </c>
      <c r="Z226" s="22">
        <f t="shared" si="51"/>
        <v>2555.5</v>
      </c>
      <c r="AA226" s="22">
        <f t="shared" si="52"/>
        <v>177425.16</v>
      </c>
    </row>
    <row r="227" spans="1:27">
      <c r="A227" s="125" t="s">
        <v>2269</v>
      </c>
      <c r="B227" s="3" t="s">
        <v>77</v>
      </c>
      <c r="C227" s="93">
        <f>IF(A227=Summary!$B$9,Summary!$G$9,0)</f>
        <v>0</v>
      </c>
      <c r="D227" s="134">
        <f>VLOOKUP(A227,AAFTE!$A:$S,3,0)</f>
        <v>13409.18</v>
      </c>
      <c r="E227" s="20">
        <f>VLOOKUP($A227,'2022-23 Salary &amp; Benefits'!$A:$I,3,)</f>
        <v>1.03</v>
      </c>
      <c r="F227" s="20">
        <f>VLOOKUP($A227,'2022-23 Salary &amp; Benefits'!$A:$I,4,)</f>
        <v>1.03</v>
      </c>
      <c r="G227" s="34">
        <f>VLOOKUP(A227,'CEDARS District FRPL'!$A:$C,3,)</f>
        <v>0.37980000000000003</v>
      </c>
      <c r="H227" s="25">
        <f t="shared" si="41"/>
        <v>13409.18</v>
      </c>
      <c r="I227" s="39">
        <f t="shared" si="42"/>
        <v>5092.8100000000004</v>
      </c>
      <c r="J227" s="24">
        <v>15</v>
      </c>
      <c r="K227" s="26">
        <f t="shared" si="49"/>
        <v>339.52066666666667</v>
      </c>
      <c r="L227" s="24">
        <v>2.3975</v>
      </c>
      <c r="M227" s="24">
        <v>36</v>
      </c>
      <c r="N227" s="27">
        <f t="shared" si="50"/>
        <v>29304.028740000002</v>
      </c>
      <c r="O227" s="102">
        <f t="shared" si="43"/>
        <v>32.56</v>
      </c>
      <c r="P227" s="21">
        <f>VLOOKUP(A227,'2022-23 Salary &amp; Benefits'!$A:$I,5,)</f>
        <v>68937</v>
      </c>
      <c r="Q227" s="21">
        <f>VLOOKUP(A227,'2022-23 Salary &amp; Benefits'!$A:$I,6,FALSE)</f>
        <v>72728</v>
      </c>
      <c r="R227" s="22">
        <f t="shared" si="44"/>
        <v>2311926.38</v>
      </c>
      <c r="S227" s="22">
        <f t="shared" si="45"/>
        <v>127138.01</v>
      </c>
      <c r="T227" s="22">
        <f>'2022-23 Salary &amp; Benefits'!$G$6</f>
        <v>12558.24</v>
      </c>
      <c r="U227" s="23">
        <f>'2022-23 Salary &amp; Benefits'!$H$6</f>
        <v>0.2298</v>
      </c>
      <c r="V227" s="23">
        <f>'2022-23 Salary &amp; Benefits'!$I$6</f>
        <v>0.22339999999999999</v>
      </c>
      <c r="W227" s="22">
        <f t="shared" si="46"/>
        <v>968579.61</v>
      </c>
      <c r="X227" s="22">
        <f t="shared" si="47"/>
        <v>40651.07</v>
      </c>
      <c r="Y227" s="22">
        <f t="shared" si="48"/>
        <v>9081.4500000000007</v>
      </c>
      <c r="Z227" s="22">
        <f t="shared" si="51"/>
        <v>49732.520000000004</v>
      </c>
      <c r="AA227" s="22">
        <f t="shared" si="52"/>
        <v>3457376.5199999996</v>
      </c>
    </row>
    <row r="228" spans="1:27">
      <c r="A228" s="125" t="s">
        <v>2291</v>
      </c>
      <c r="B228" s="3" t="s">
        <v>284</v>
      </c>
      <c r="C228" s="93">
        <f>IF(A228=Summary!$B$9,Summary!$G$9,0)</f>
        <v>0</v>
      </c>
      <c r="D228" s="134">
        <f>VLOOKUP(A228,AAFTE!$A:$S,3,0)</f>
        <v>3724.03</v>
      </c>
      <c r="E228" s="20">
        <f>VLOOKUP($A228,'2022-23 Salary &amp; Benefits'!$A:$I,3,)</f>
        <v>1.06</v>
      </c>
      <c r="F228" s="20">
        <f>VLOOKUP($A228,'2022-23 Salary &amp; Benefits'!$A:$I,4,)</f>
        <v>1.06</v>
      </c>
      <c r="G228" s="34">
        <f>VLOOKUP(A228,'CEDARS District FRPL'!$A:$C,3,)</f>
        <v>0.2389</v>
      </c>
      <c r="H228" s="25">
        <f t="shared" si="41"/>
        <v>3724.03</v>
      </c>
      <c r="I228" s="39">
        <f t="shared" si="42"/>
        <v>889.67</v>
      </c>
      <c r="J228" s="24">
        <v>15</v>
      </c>
      <c r="K228" s="26">
        <f t="shared" si="49"/>
        <v>59.31133333333333</v>
      </c>
      <c r="L228" s="24">
        <v>2.3975</v>
      </c>
      <c r="M228" s="24">
        <v>36</v>
      </c>
      <c r="N228" s="27">
        <f t="shared" si="50"/>
        <v>5119.1611799999991</v>
      </c>
      <c r="O228" s="102">
        <f t="shared" si="43"/>
        <v>5.6879999999999997</v>
      </c>
      <c r="P228" s="21">
        <f>VLOOKUP(A228,'2022-23 Salary &amp; Benefits'!$A:$I,5,)</f>
        <v>68937</v>
      </c>
      <c r="Q228" s="21">
        <f>VLOOKUP(A228,'2022-23 Salary &amp; Benefits'!$A:$I,6,FALSE)</f>
        <v>72728</v>
      </c>
      <c r="R228" s="22">
        <f t="shared" si="44"/>
        <v>415640.48</v>
      </c>
      <c r="S228" s="22">
        <f t="shared" si="45"/>
        <v>22857</v>
      </c>
      <c r="T228" s="22">
        <f>'2022-23 Salary &amp; Benefits'!$G$6</f>
        <v>12558.24</v>
      </c>
      <c r="U228" s="23">
        <f>'2022-23 Salary &amp; Benefits'!$H$6</f>
        <v>0.2298</v>
      </c>
      <c r="V228" s="23">
        <f>'2022-23 Salary &amp; Benefits'!$I$6</f>
        <v>0.22339999999999999</v>
      </c>
      <c r="W228" s="22">
        <f t="shared" si="46"/>
        <v>172051.71</v>
      </c>
      <c r="X228" s="22">
        <f t="shared" si="47"/>
        <v>7308.29</v>
      </c>
      <c r="Y228" s="22">
        <f t="shared" si="48"/>
        <v>1632.67</v>
      </c>
      <c r="Z228" s="22">
        <f t="shared" si="51"/>
        <v>8940.9599999999991</v>
      </c>
      <c r="AA228" s="22">
        <f t="shared" si="52"/>
        <v>619490.14999999991</v>
      </c>
    </row>
    <row r="229" spans="1:27">
      <c r="A229" s="125" t="s">
        <v>2261</v>
      </c>
      <c r="B229" s="3" t="s">
        <v>16</v>
      </c>
      <c r="C229" s="93">
        <f>IF(A229=Summary!$B$9,Summary!$G$9,0)</f>
        <v>0</v>
      </c>
      <c r="D229" s="134">
        <f>VLOOKUP(A229,AAFTE!$A:$S,3,0)</f>
        <v>350.45</v>
      </c>
      <c r="E229" s="20">
        <f>VLOOKUP($A229,'2022-23 Salary &amp; Benefits'!$A:$I,3,)</f>
        <v>1</v>
      </c>
      <c r="F229" s="20">
        <f>VLOOKUP($A229,'2022-23 Salary &amp; Benefits'!$A:$I,4,)</f>
        <v>1.04</v>
      </c>
      <c r="G229" s="34">
        <f>VLOOKUP(A229,'CEDARS District FRPL'!$A:$C,3,)</f>
        <v>0.46010000000000001</v>
      </c>
      <c r="H229" s="25">
        <f t="shared" si="41"/>
        <v>350.45</v>
      </c>
      <c r="I229" s="39">
        <f t="shared" si="42"/>
        <v>161.24</v>
      </c>
      <c r="J229" s="24">
        <v>15</v>
      </c>
      <c r="K229" s="26">
        <f t="shared" si="49"/>
        <v>10.749333333333334</v>
      </c>
      <c r="L229" s="24">
        <v>2.3975</v>
      </c>
      <c r="M229" s="24">
        <v>36</v>
      </c>
      <c r="N229" s="27">
        <f t="shared" si="50"/>
        <v>927.77496000000008</v>
      </c>
      <c r="O229" s="102">
        <f t="shared" si="43"/>
        <v>1.0309999999999999</v>
      </c>
      <c r="P229" s="21">
        <f>VLOOKUP(A229,'2022-23 Salary &amp; Benefits'!$A:$I,5,)</f>
        <v>68937</v>
      </c>
      <c r="Q229" s="21">
        <f>VLOOKUP(A229,'2022-23 Salary &amp; Benefits'!$A:$I,6,FALSE)</f>
        <v>72728</v>
      </c>
      <c r="R229" s="22">
        <f t="shared" si="44"/>
        <v>71074.05</v>
      </c>
      <c r="S229" s="22">
        <f t="shared" si="45"/>
        <v>6907.82</v>
      </c>
      <c r="T229" s="22">
        <f>'2022-23 Salary &amp; Benefits'!$G$6</f>
        <v>12558.24</v>
      </c>
      <c r="U229" s="23">
        <f>'2022-23 Salary &amp; Benefits'!$H$6</f>
        <v>0.2298</v>
      </c>
      <c r="V229" s="23">
        <f>'2022-23 Salary &amp; Benefits'!$I$6</f>
        <v>0.22339999999999999</v>
      </c>
      <c r="W229" s="22">
        <f t="shared" si="46"/>
        <v>30823.57</v>
      </c>
      <c r="X229" s="22">
        <f t="shared" si="47"/>
        <v>1299.7</v>
      </c>
      <c r="Y229" s="22">
        <f t="shared" si="48"/>
        <v>290.35000000000002</v>
      </c>
      <c r="Z229" s="22">
        <f t="shared" si="51"/>
        <v>1590.0500000000002</v>
      </c>
      <c r="AA229" s="22">
        <f t="shared" si="52"/>
        <v>110395.49</v>
      </c>
    </row>
    <row r="230" spans="1:27">
      <c r="A230" s="125" t="s">
        <v>2499</v>
      </c>
      <c r="B230" s="3" t="s">
        <v>1914</v>
      </c>
      <c r="C230" s="93">
        <f>IF(A230=Summary!$B$9,Summary!$G$9,0)</f>
        <v>0</v>
      </c>
      <c r="D230" s="134">
        <f>VLOOKUP(A230,AAFTE!$A:$S,3,0)</f>
        <v>1434.33</v>
      </c>
      <c r="E230" s="20">
        <f>VLOOKUP($A230,'2022-23 Salary &amp; Benefits'!$A:$I,3,)</f>
        <v>1</v>
      </c>
      <c r="F230" s="20">
        <f>VLOOKUP($A230,'2022-23 Salary &amp; Benefits'!$A:$I,4,)</f>
        <v>1</v>
      </c>
      <c r="G230" s="34">
        <f>VLOOKUP(A230,'CEDARS District FRPL'!$A:$C,3,)</f>
        <v>0.48980000000000001</v>
      </c>
      <c r="H230" s="25">
        <f t="shared" si="41"/>
        <v>1434.33</v>
      </c>
      <c r="I230" s="39">
        <f t="shared" si="42"/>
        <v>702.53</v>
      </c>
      <c r="J230" s="24">
        <v>15</v>
      </c>
      <c r="K230" s="26">
        <f t="shared" si="49"/>
        <v>46.835333333333331</v>
      </c>
      <c r="L230" s="24">
        <v>2.3975</v>
      </c>
      <c r="M230" s="24">
        <v>36</v>
      </c>
      <c r="N230" s="27">
        <f t="shared" si="50"/>
        <v>4042.3576199999998</v>
      </c>
      <c r="O230" s="102">
        <f t="shared" si="43"/>
        <v>4.492</v>
      </c>
      <c r="P230" s="21">
        <f>VLOOKUP(A230,'2022-23 Salary &amp; Benefits'!$A:$I,5,)</f>
        <v>68937</v>
      </c>
      <c r="Q230" s="21">
        <f>VLOOKUP(A230,'2022-23 Salary &amp; Benefits'!$A:$I,6,FALSE)</f>
        <v>72728</v>
      </c>
      <c r="R230" s="22">
        <f t="shared" si="44"/>
        <v>309665</v>
      </c>
      <c r="S230" s="22">
        <f t="shared" si="45"/>
        <v>17029.18</v>
      </c>
      <c r="T230" s="22">
        <f>'2022-23 Salary &amp; Benefits'!$G$6</f>
        <v>12558.24</v>
      </c>
      <c r="U230" s="23">
        <f>'2022-23 Salary &amp; Benefits'!$H$6</f>
        <v>0.2298</v>
      </c>
      <c r="V230" s="23">
        <f>'2022-23 Salary &amp; Benefits'!$I$6</f>
        <v>0.22339999999999999</v>
      </c>
      <c r="W230" s="22">
        <f t="shared" si="46"/>
        <v>131376.95000000001</v>
      </c>
      <c r="X230" s="22">
        <f t="shared" si="47"/>
        <v>5444.9</v>
      </c>
      <c r="Y230" s="22">
        <f t="shared" si="48"/>
        <v>1216.3900000000001</v>
      </c>
      <c r="Z230" s="22">
        <f t="shared" si="51"/>
        <v>6661.29</v>
      </c>
      <c r="AA230" s="22">
        <f t="shared" si="52"/>
        <v>464732.42</v>
      </c>
    </row>
    <row r="231" spans="1:27">
      <c r="A231" s="125" t="s">
        <v>2358</v>
      </c>
      <c r="B231" s="3" t="s">
        <v>798</v>
      </c>
      <c r="C231" s="93">
        <f>IF(A231=Summary!$B$9,Summary!$G$9,0)</f>
        <v>0</v>
      </c>
      <c r="D231" s="134">
        <f>VLOOKUP(A231,AAFTE!$A:$S,3,0)</f>
        <v>3033.11</v>
      </c>
      <c r="E231" s="20">
        <f>VLOOKUP($A231,'2022-23 Salary &amp; Benefits'!$A:$I,3,)</f>
        <v>1.18</v>
      </c>
      <c r="F231" s="20">
        <f>VLOOKUP($A231,'2022-23 Salary &amp; Benefits'!$A:$I,4,)</f>
        <v>1.18</v>
      </c>
      <c r="G231" s="34">
        <f>VLOOKUP(A231,'CEDARS District FRPL'!$A:$C,3,)</f>
        <v>0.1249</v>
      </c>
      <c r="H231" s="25">
        <f t="shared" si="41"/>
        <v>3033.11</v>
      </c>
      <c r="I231" s="39">
        <f t="shared" si="42"/>
        <v>378.84</v>
      </c>
      <c r="J231" s="24">
        <v>15</v>
      </c>
      <c r="K231" s="26">
        <f t="shared" si="49"/>
        <v>25.255999999999997</v>
      </c>
      <c r="L231" s="24">
        <v>2.3975</v>
      </c>
      <c r="M231" s="24">
        <v>36</v>
      </c>
      <c r="N231" s="27">
        <f t="shared" si="50"/>
        <v>2179.8453599999998</v>
      </c>
      <c r="O231" s="102">
        <f t="shared" si="43"/>
        <v>2.4220000000000002</v>
      </c>
      <c r="P231" s="21">
        <f>VLOOKUP(A231,'2022-23 Salary &amp; Benefits'!$A:$I,5,)</f>
        <v>68937</v>
      </c>
      <c r="Q231" s="21">
        <f>VLOOKUP(A231,'2022-23 Salary &amp; Benefits'!$A:$I,6,FALSE)</f>
        <v>72728</v>
      </c>
      <c r="R231" s="22">
        <f t="shared" si="44"/>
        <v>197019.19</v>
      </c>
      <c r="S231" s="22">
        <f t="shared" si="45"/>
        <v>10834.52</v>
      </c>
      <c r="T231" s="22">
        <f>'2022-23 Salary &amp; Benefits'!$G$6</f>
        <v>12558.24</v>
      </c>
      <c r="U231" s="23">
        <f>'2022-23 Salary &amp; Benefits'!$H$6</f>
        <v>0.2298</v>
      </c>
      <c r="V231" s="23">
        <f>'2022-23 Salary &amp; Benefits'!$I$6</f>
        <v>0.22339999999999999</v>
      </c>
      <c r="W231" s="22">
        <f t="shared" si="46"/>
        <v>78111.5</v>
      </c>
      <c r="X231" s="22">
        <f t="shared" si="47"/>
        <v>3464.23</v>
      </c>
      <c r="Y231" s="22">
        <f t="shared" si="48"/>
        <v>773.91</v>
      </c>
      <c r="Z231" s="22">
        <f t="shared" si="51"/>
        <v>4238.1400000000003</v>
      </c>
      <c r="AA231" s="22">
        <f t="shared" si="52"/>
        <v>290203.35000000003</v>
      </c>
    </row>
    <row r="232" spans="1:27">
      <c r="A232" s="125" t="s">
        <v>2521</v>
      </c>
      <c r="B232" s="3" t="s">
        <v>2025</v>
      </c>
      <c r="C232" s="93">
        <f>IF(A232=Summary!$B$9,Summary!$G$9,0)</f>
        <v>0</v>
      </c>
      <c r="D232" s="134">
        <f>VLOOKUP(A232,AAFTE!$A:$S,3,0)</f>
        <v>2082.7600000000002</v>
      </c>
      <c r="E232" s="20">
        <f>VLOOKUP($A232,'2022-23 Salary &amp; Benefits'!$A:$I,3,)</f>
        <v>1</v>
      </c>
      <c r="F232" s="20">
        <f>VLOOKUP($A232,'2022-23 Salary &amp; Benefits'!$A:$I,4,)</f>
        <v>1</v>
      </c>
      <c r="G232" s="34">
        <f>VLOOKUP(A232,'CEDARS District FRPL'!$A:$C,3,)</f>
        <v>0.48509999999999998</v>
      </c>
      <c r="H232" s="25">
        <f t="shared" si="41"/>
        <v>2082.7600000000002</v>
      </c>
      <c r="I232" s="39">
        <f t="shared" si="42"/>
        <v>1010.35</v>
      </c>
      <c r="J232" s="24">
        <v>15</v>
      </c>
      <c r="K232" s="26">
        <f t="shared" si="49"/>
        <v>67.356666666666669</v>
      </c>
      <c r="L232" s="24">
        <v>2.3975</v>
      </c>
      <c r="M232" s="24">
        <v>36</v>
      </c>
      <c r="N232" s="27">
        <f t="shared" si="50"/>
        <v>5813.5538999999999</v>
      </c>
      <c r="O232" s="102">
        <f t="shared" si="43"/>
        <v>6.46</v>
      </c>
      <c r="P232" s="21">
        <f>VLOOKUP(A232,'2022-23 Salary &amp; Benefits'!$A:$I,5,)</f>
        <v>68937</v>
      </c>
      <c r="Q232" s="21">
        <f>VLOOKUP(A232,'2022-23 Salary &amp; Benefits'!$A:$I,6,FALSE)</f>
        <v>72728</v>
      </c>
      <c r="R232" s="22">
        <f t="shared" si="44"/>
        <v>445333.02</v>
      </c>
      <c r="S232" s="22">
        <f t="shared" si="45"/>
        <v>24489.86</v>
      </c>
      <c r="T232" s="22">
        <f>'2022-23 Salary &amp; Benefits'!$G$6</f>
        <v>12558.24</v>
      </c>
      <c r="U232" s="23">
        <f>'2022-23 Salary &amp; Benefits'!$H$6</f>
        <v>0.2298</v>
      </c>
      <c r="V232" s="23">
        <f>'2022-23 Salary &amp; Benefits'!$I$6</f>
        <v>0.22339999999999999</v>
      </c>
      <c r="W232" s="22">
        <f t="shared" si="46"/>
        <v>188934.79</v>
      </c>
      <c r="X232" s="22">
        <f t="shared" si="47"/>
        <v>7830.38</v>
      </c>
      <c r="Y232" s="22">
        <f t="shared" si="48"/>
        <v>1749.31</v>
      </c>
      <c r="Z232" s="22">
        <f t="shared" si="51"/>
        <v>9579.69</v>
      </c>
      <c r="AA232" s="22">
        <f t="shared" si="52"/>
        <v>668337.36</v>
      </c>
    </row>
    <row r="233" spans="1:27">
      <c r="A233" s="125" t="s">
        <v>2389</v>
      </c>
      <c r="B233" s="3" t="s">
        <v>1118</v>
      </c>
      <c r="C233" s="93">
        <f>IF(A233=Summary!$B$9,Summary!$G$9,0)</f>
        <v>0</v>
      </c>
      <c r="D233" s="134">
        <f>VLOOKUP(A233,AAFTE!$A:$S,3,0)</f>
        <v>34.57</v>
      </c>
      <c r="E233" s="20">
        <f>VLOOKUP($A233,'2022-23 Salary &amp; Benefits'!$A:$I,3,)</f>
        <v>1</v>
      </c>
      <c r="F233" s="20">
        <f>VLOOKUP($A233,'2022-23 Salary &amp; Benefits'!$A:$I,4,)</f>
        <v>1</v>
      </c>
      <c r="G233" s="34">
        <f>VLOOKUP(A233,'CEDARS District FRPL'!$A:$C,3,)</f>
        <v>0</v>
      </c>
      <c r="H233" s="25">
        <f t="shared" si="41"/>
        <v>34.57</v>
      </c>
      <c r="I233" s="39">
        <f t="shared" si="42"/>
        <v>0</v>
      </c>
      <c r="J233" s="24">
        <v>15</v>
      </c>
      <c r="K233" s="26">
        <f t="shared" si="49"/>
        <v>0</v>
      </c>
      <c r="L233" s="24">
        <v>2.3975</v>
      </c>
      <c r="M233" s="24">
        <v>36</v>
      </c>
      <c r="N233" s="27">
        <f t="shared" si="50"/>
        <v>0</v>
      </c>
      <c r="O233" s="102">
        <f t="shared" si="43"/>
        <v>0</v>
      </c>
      <c r="P233" s="21">
        <f>VLOOKUP(A233,'2022-23 Salary &amp; Benefits'!$A:$I,5,)</f>
        <v>68937</v>
      </c>
      <c r="Q233" s="21">
        <f>VLOOKUP(A233,'2022-23 Salary &amp; Benefits'!$A:$I,6,FALSE)</f>
        <v>72728</v>
      </c>
      <c r="R233" s="22">
        <f t="shared" si="44"/>
        <v>0</v>
      </c>
      <c r="S233" s="22">
        <f t="shared" si="45"/>
        <v>0</v>
      </c>
      <c r="T233" s="22">
        <f>'2022-23 Salary &amp; Benefits'!$G$6</f>
        <v>12558.24</v>
      </c>
      <c r="U233" s="23">
        <f>'2022-23 Salary &amp; Benefits'!$H$6</f>
        <v>0.2298</v>
      </c>
      <c r="V233" s="23">
        <f>'2022-23 Salary &amp; Benefits'!$I$6</f>
        <v>0.22339999999999999</v>
      </c>
      <c r="W233" s="22">
        <f t="shared" si="46"/>
        <v>0</v>
      </c>
      <c r="X233" s="22">
        <f t="shared" si="47"/>
        <v>0</v>
      </c>
      <c r="Y233" s="22">
        <f t="shared" si="48"/>
        <v>0</v>
      </c>
      <c r="Z233" s="22">
        <f t="shared" si="51"/>
        <v>0</v>
      </c>
      <c r="AA233" s="22">
        <f t="shared" si="52"/>
        <v>0</v>
      </c>
    </row>
    <row r="234" spans="1:27">
      <c r="A234" s="125" t="s">
        <v>2550</v>
      </c>
      <c r="B234" s="3" t="s">
        <v>2156</v>
      </c>
      <c r="C234" s="93">
        <f>IF(A234=Summary!$B$9,Summary!$G$9,0)</f>
        <v>0</v>
      </c>
      <c r="D234" s="134">
        <f>VLOOKUP(A234,AAFTE!$A:$S,3,0)</f>
        <v>152.57</v>
      </c>
      <c r="E234" s="20">
        <f>VLOOKUP($A234,'2022-23 Salary &amp; Benefits'!$A:$I,3,)</f>
        <v>1</v>
      </c>
      <c r="F234" s="20">
        <f>VLOOKUP($A234,'2022-23 Salary &amp; Benefits'!$A:$I,4,)</f>
        <v>1.04</v>
      </c>
      <c r="G234" s="34">
        <f>VLOOKUP(A234,'CEDARS District FRPL'!$A:$C,3,)</f>
        <v>0.63690000000000002</v>
      </c>
      <c r="H234" s="25">
        <f t="shared" si="41"/>
        <v>152.57</v>
      </c>
      <c r="I234" s="39">
        <f t="shared" si="42"/>
        <v>97.17</v>
      </c>
      <c r="J234" s="24">
        <v>15</v>
      </c>
      <c r="K234" s="26">
        <f t="shared" si="49"/>
        <v>6.4779999999999998</v>
      </c>
      <c r="L234" s="24">
        <v>2.3975</v>
      </c>
      <c r="M234" s="24">
        <v>36</v>
      </c>
      <c r="N234" s="27">
        <f t="shared" si="50"/>
        <v>559.11617999999999</v>
      </c>
      <c r="O234" s="102">
        <f t="shared" si="43"/>
        <v>0.621</v>
      </c>
      <c r="P234" s="21">
        <f>VLOOKUP(A234,'2022-23 Salary &amp; Benefits'!$A:$I,5,)</f>
        <v>68937</v>
      </c>
      <c r="Q234" s="21">
        <f>VLOOKUP(A234,'2022-23 Salary &amp; Benefits'!$A:$I,6,FALSE)</f>
        <v>72728</v>
      </c>
      <c r="R234" s="22">
        <f t="shared" si="44"/>
        <v>42809.88</v>
      </c>
      <c r="S234" s="22">
        <f t="shared" si="45"/>
        <v>4160.7700000000004</v>
      </c>
      <c r="T234" s="22">
        <f>'2022-23 Salary &amp; Benefits'!$G$6</f>
        <v>12558.24</v>
      </c>
      <c r="U234" s="23">
        <f>'2022-23 Salary &amp; Benefits'!$H$6</f>
        <v>0.2298</v>
      </c>
      <c r="V234" s="23">
        <f>'2022-23 Salary &amp; Benefits'!$I$6</f>
        <v>0.22339999999999999</v>
      </c>
      <c r="W234" s="22">
        <f t="shared" si="46"/>
        <v>18565.89</v>
      </c>
      <c r="X234" s="22">
        <f t="shared" si="47"/>
        <v>782.84</v>
      </c>
      <c r="Y234" s="22">
        <f t="shared" si="48"/>
        <v>174.89</v>
      </c>
      <c r="Z234" s="22">
        <f t="shared" si="51"/>
        <v>957.73</v>
      </c>
      <c r="AA234" s="22">
        <f t="shared" si="52"/>
        <v>66494.26999999999</v>
      </c>
    </row>
    <row r="235" spans="1:27">
      <c r="A235" s="125" t="s">
        <v>2322</v>
      </c>
      <c r="B235" s="3" t="s">
        <v>431</v>
      </c>
      <c r="C235" s="93">
        <f>IF(A235=Summary!$B$9,Summary!$G$9,0)</f>
        <v>0</v>
      </c>
      <c r="D235" s="134">
        <f>VLOOKUP(A235,AAFTE!$A:$S,3,0)</f>
        <v>1753.41</v>
      </c>
      <c r="E235" s="20">
        <f>VLOOKUP($A235,'2022-23 Salary &amp; Benefits'!$A:$I,3,)</f>
        <v>1</v>
      </c>
      <c r="F235" s="20">
        <f>VLOOKUP($A235,'2022-23 Salary &amp; Benefits'!$A:$I,4,)</f>
        <v>1</v>
      </c>
      <c r="G235" s="34">
        <f>VLOOKUP(A235,'CEDARS District FRPL'!$A:$C,3,)</f>
        <v>0.76980000000000004</v>
      </c>
      <c r="H235" s="25">
        <f t="shared" si="41"/>
        <v>1753.41</v>
      </c>
      <c r="I235" s="39">
        <f t="shared" si="42"/>
        <v>1349.78</v>
      </c>
      <c r="J235" s="24">
        <v>15</v>
      </c>
      <c r="K235" s="26">
        <f t="shared" si="49"/>
        <v>89.98533333333333</v>
      </c>
      <c r="L235" s="24">
        <v>2.3975</v>
      </c>
      <c r="M235" s="24">
        <v>36</v>
      </c>
      <c r="N235" s="27">
        <f t="shared" si="50"/>
        <v>7766.6341199999997</v>
      </c>
      <c r="O235" s="102">
        <f t="shared" si="43"/>
        <v>8.6300000000000008</v>
      </c>
      <c r="P235" s="21">
        <f>VLOOKUP(A235,'2022-23 Salary &amp; Benefits'!$A:$I,5,)</f>
        <v>68937</v>
      </c>
      <c r="Q235" s="21">
        <f>VLOOKUP(A235,'2022-23 Salary &amp; Benefits'!$A:$I,6,FALSE)</f>
        <v>72728</v>
      </c>
      <c r="R235" s="22">
        <f t="shared" si="44"/>
        <v>594926.31000000006</v>
      </c>
      <c r="S235" s="22">
        <f t="shared" si="45"/>
        <v>32716.33</v>
      </c>
      <c r="T235" s="22">
        <f>'2022-23 Salary &amp; Benefits'!$G$6</f>
        <v>12558.24</v>
      </c>
      <c r="U235" s="23">
        <f>'2022-23 Salary &amp; Benefits'!$H$6</f>
        <v>0.2298</v>
      </c>
      <c r="V235" s="23">
        <f>'2022-23 Salary &amp; Benefits'!$I$6</f>
        <v>0.22339999999999999</v>
      </c>
      <c r="W235" s="22">
        <f t="shared" si="46"/>
        <v>252400.51</v>
      </c>
      <c r="X235" s="22">
        <f t="shared" si="47"/>
        <v>10460.709999999999</v>
      </c>
      <c r="Y235" s="22">
        <f t="shared" si="48"/>
        <v>2336.92</v>
      </c>
      <c r="Z235" s="22">
        <f t="shared" si="51"/>
        <v>12797.63</v>
      </c>
      <c r="AA235" s="22">
        <f t="shared" si="52"/>
        <v>892840.78</v>
      </c>
    </row>
    <row r="236" spans="1:27">
      <c r="A236" s="125" t="s">
        <v>2459</v>
      </c>
      <c r="B236" s="3" t="s">
        <v>1537</v>
      </c>
      <c r="C236" s="93">
        <f>IF(A236=Summary!$B$9,Summary!$G$9,0)</f>
        <v>0</v>
      </c>
      <c r="D236" s="134">
        <f>VLOOKUP(A236,AAFTE!$A:$S,3,0)</f>
        <v>776.57</v>
      </c>
      <c r="E236" s="20">
        <f>VLOOKUP($A236,'2022-23 Salary &amp; Benefits'!$A:$I,3,)</f>
        <v>1.1200000000000001</v>
      </c>
      <c r="F236" s="20">
        <f>VLOOKUP($A236,'2022-23 Salary &amp; Benefits'!$A:$I,4,)</f>
        <v>1.1200000000000001</v>
      </c>
      <c r="G236" s="34">
        <f>VLOOKUP(A236,'CEDARS District FRPL'!$A:$C,3,)</f>
        <v>0.35470000000000002</v>
      </c>
      <c r="H236" s="25">
        <f t="shared" si="41"/>
        <v>776.57</v>
      </c>
      <c r="I236" s="39">
        <f t="shared" si="42"/>
        <v>275.45</v>
      </c>
      <c r="J236" s="24">
        <v>15</v>
      </c>
      <c r="K236" s="26">
        <f t="shared" si="49"/>
        <v>18.363333333333333</v>
      </c>
      <c r="L236" s="24">
        <v>2.3975</v>
      </c>
      <c r="M236" s="24">
        <v>36</v>
      </c>
      <c r="N236" s="27">
        <f t="shared" si="50"/>
        <v>1584.9393</v>
      </c>
      <c r="O236" s="102">
        <f t="shared" si="43"/>
        <v>1.7609999999999999</v>
      </c>
      <c r="P236" s="21">
        <f>VLOOKUP(A236,'2022-23 Salary &amp; Benefits'!$A:$I,5,)</f>
        <v>68937</v>
      </c>
      <c r="Q236" s="21">
        <f>VLOOKUP(A236,'2022-23 Salary &amp; Benefits'!$A:$I,6,FALSE)</f>
        <v>72728</v>
      </c>
      <c r="R236" s="22">
        <f t="shared" si="44"/>
        <v>135965.82</v>
      </c>
      <c r="S236" s="22">
        <f t="shared" si="45"/>
        <v>7477.07</v>
      </c>
      <c r="T236" s="22">
        <f>'2022-23 Salary &amp; Benefits'!$G$6</f>
        <v>12558.24</v>
      </c>
      <c r="U236" s="23">
        <f>'2022-23 Salary &amp; Benefits'!$H$6</f>
        <v>0.2298</v>
      </c>
      <c r="V236" s="23">
        <f>'2022-23 Salary &amp; Benefits'!$I$6</f>
        <v>0.22339999999999999</v>
      </c>
      <c r="W236" s="22">
        <f t="shared" si="46"/>
        <v>55030.38</v>
      </c>
      <c r="X236" s="22">
        <f t="shared" si="47"/>
        <v>2390.71</v>
      </c>
      <c r="Y236" s="22">
        <f t="shared" si="48"/>
        <v>534.08000000000004</v>
      </c>
      <c r="Z236" s="22">
        <f t="shared" si="51"/>
        <v>2924.79</v>
      </c>
      <c r="AA236" s="22">
        <f t="shared" si="52"/>
        <v>201398.06000000003</v>
      </c>
    </row>
    <row r="237" spans="1:27">
      <c r="A237" s="125" t="s">
        <v>2336</v>
      </c>
      <c r="B237" s="3" t="s">
        <v>503</v>
      </c>
      <c r="C237" s="93">
        <f>IF(A237=Summary!$B$9,Summary!$G$9,0)</f>
        <v>0</v>
      </c>
      <c r="D237" s="134">
        <f>VLOOKUP(A237,AAFTE!$A:$S,3,0)</f>
        <v>54.29</v>
      </c>
      <c r="E237" s="20">
        <f>VLOOKUP($A237,'2022-23 Salary &amp; Benefits'!$A:$I,3,)</f>
        <v>1</v>
      </c>
      <c r="F237" s="20">
        <f>VLOOKUP($A237,'2022-23 Salary &amp; Benefits'!$A:$I,4,)</f>
        <v>1</v>
      </c>
      <c r="G237" s="34">
        <f>VLOOKUP(A237,'CEDARS District FRPL'!$A:$C,3,)</f>
        <v>0.62960000000000005</v>
      </c>
      <c r="H237" s="25">
        <f t="shared" si="41"/>
        <v>54.29</v>
      </c>
      <c r="I237" s="39">
        <f t="shared" si="42"/>
        <v>34.18</v>
      </c>
      <c r="J237" s="24">
        <v>15</v>
      </c>
      <c r="K237" s="26">
        <f t="shared" si="49"/>
        <v>2.2786666666666666</v>
      </c>
      <c r="L237" s="24">
        <v>2.3975</v>
      </c>
      <c r="M237" s="24">
        <v>36</v>
      </c>
      <c r="N237" s="27">
        <f t="shared" si="50"/>
        <v>196.67171999999999</v>
      </c>
      <c r="O237" s="102">
        <f t="shared" si="43"/>
        <v>0.219</v>
      </c>
      <c r="P237" s="21">
        <f>VLOOKUP(A237,'2022-23 Salary &amp; Benefits'!$A:$I,5,)</f>
        <v>68937</v>
      </c>
      <c r="Q237" s="21">
        <f>VLOOKUP(A237,'2022-23 Salary &amp; Benefits'!$A:$I,6,FALSE)</f>
        <v>72728</v>
      </c>
      <c r="R237" s="22">
        <f t="shared" si="44"/>
        <v>15097.2</v>
      </c>
      <c r="S237" s="22">
        <f t="shared" si="45"/>
        <v>830.23</v>
      </c>
      <c r="T237" s="22">
        <f>'2022-23 Salary &amp; Benefits'!$G$6</f>
        <v>12558.24</v>
      </c>
      <c r="U237" s="23">
        <f>'2022-23 Salary &amp; Benefits'!$H$6</f>
        <v>0.2298</v>
      </c>
      <c r="V237" s="23">
        <f>'2022-23 Salary &amp; Benefits'!$I$6</f>
        <v>0.22339999999999999</v>
      </c>
      <c r="W237" s="22">
        <f t="shared" si="46"/>
        <v>6405.06</v>
      </c>
      <c r="X237" s="22">
        <f t="shared" si="47"/>
        <v>265.45999999999998</v>
      </c>
      <c r="Y237" s="22">
        <f t="shared" si="48"/>
        <v>59.3</v>
      </c>
      <c r="Z237" s="22">
        <f t="shared" si="51"/>
        <v>324.76</v>
      </c>
      <c r="AA237" s="22">
        <f t="shared" si="52"/>
        <v>22657.25</v>
      </c>
    </row>
    <row r="238" spans="1:27">
      <c r="A238" s="125" t="s">
        <v>2348</v>
      </c>
      <c r="B238" s="3" t="s">
        <v>547</v>
      </c>
      <c r="C238" s="93">
        <f>IF(A238=Summary!$B$9,Summary!$G$9,0)</f>
        <v>0</v>
      </c>
      <c r="D238" s="134">
        <f>VLOOKUP(A238,AAFTE!$A:$S,3,0)</f>
        <v>50543.58</v>
      </c>
      <c r="E238" s="20">
        <f>VLOOKUP($A238,'2022-23 Salary &amp; Benefits'!$A:$I,3,)</f>
        <v>1.18</v>
      </c>
      <c r="F238" s="20">
        <f>VLOOKUP($A238,'2022-23 Salary &amp; Benefits'!$A:$I,4,)</f>
        <v>1.18</v>
      </c>
      <c r="G238" s="34">
        <f>VLOOKUP(A238,'CEDARS District FRPL'!$A:$C,3,)</f>
        <v>0.40450000000000003</v>
      </c>
      <c r="H238" s="25">
        <f t="shared" si="41"/>
        <v>50543.58</v>
      </c>
      <c r="I238" s="39">
        <f t="shared" si="42"/>
        <v>20444.88</v>
      </c>
      <c r="J238" s="24">
        <v>15</v>
      </c>
      <c r="K238" s="26">
        <f t="shared" si="49"/>
        <v>1362.992</v>
      </c>
      <c r="L238" s="24">
        <v>2.3975</v>
      </c>
      <c r="M238" s="24">
        <v>36</v>
      </c>
      <c r="N238" s="27">
        <f t="shared" si="50"/>
        <v>117639.83951999999</v>
      </c>
      <c r="O238" s="102">
        <f t="shared" si="43"/>
        <v>130.71100000000001</v>
      </c>
      <c r="P238" s="21">
        <f>VLOOKUP(A238,'2022-23 Salary &amp; Benefits'!$A:$I,5,)</f>
        <v>68937</v>
      </c>
      <c r="Q238" s="21">
        <f>VLOOKUP(A238,'2022-23 Salary &amp; Benefits'!$A:$I,6,FALSE)</f>
        <v>72728</v>
      </c>
      <c r="R238" s="22">
        <f t="shared" si="44"/>
        <v>10632772.560000001</v>
      </c>
      <c r="S238" s="22">
        <f t="shared" si="45"/>
        <v>584719.98</v>
      </c>
      <c r="T238" s="22">
        <f>'2022-23 Salary &amp; Benefits'!$G$6</f>
        <v>12558.24</v>
      </c>
      <c r="U238" s="23">
        <f>'2022-23 Salary &amp; Benefits'!$H$6</f>
        <v>0.2298</v>
      </c>
      <c r="V238" s="23">
        <f>'2022-23 Salary &amp; Benefits'!$I$6</f>
        <v>0.22339999999999999</v>
      </c>
      <c r="W238" s="22">
        <f t="shared" si="46"/>
        <v>4215537.6900000004</v>
      </c>
      <c r="X238" s="22">
        <f t="shared" si="47"/>
        <v>186958.21</v>
      </c>
      <c r="Y238" s="22">
        <f t="shared" si="48"/>
        <v>41766.46</v>
      </c>
      <c r="Z238" s="22">
        <f t="shared" si="51"/>
        <v>228724.66999999998</v>
      </c>
      <c r="AA238" s="22">
        <f t="shared" si="52"/>
        <v>15661754.9</v>
      </c>
    </row>
    <row r="239" spans="1:27">
      <c r="A239" s="125" t="s">
        <v>2462</v>
      </c>
      <c r="B239" s="3" t="s">
        <v>1554</v>
      </c>
      <c r="C239" s="93">
        <f>IF(A239=Summary!$B$9,Summary!$G$9,0)</f>
        <v>0</v>
      </c>
      <c r="D239" s="134">
        <f>VLOOKUP(A239,AAFTE!$A:$S,3,0)</f>
        <v>4296.6899999999996</v>
      </c>
      <c r="E239" s="20">
        <f>VLOOKUP($A239,'2022-23 Salary &amp; Benefits'!$A:$I,3,)</f>
        <v>1.1200000000000001</v>
      </c>
      <c r="F239" s="20">
        <f>VLOOKUP($A239,'2022-23 Salary &amp; Benefits'!$A:$I,4,)</f>
        <v>1.1200000000000001</v>
      </c>
      <c r="G239" s="34">
        <f>VLOOKUP(A239,'CEDARS District FRPL'!$A:$C,3,)</f>
        <v>0.51629999999999998</v>
      </c>
      <c r="H239" s="25">
        <f t="shared" si="41"/>
        <v>4296.6899999999996</v>
      </c>
      <c r="I239" s="39">
        <f t="shared" si="42"/>
        <v>2218.38</v>
      </c>
      <c r="J239" s="24">
        <v>15</v>
      </c>
      <c r="K239" s="26">
        <f t="shared" si="49"/>
        <v>147.892</v>
      </c>
      <c r="L239" s="24">
        <v>2.3975</v>
      </c>
      <c r="M239" s="24">
        <v>36</v>
      </c>
      <c r="N239" s="27">
        <f t="shared" si="50"/>
        <v>12764.558519999999</v>
      </c>
      <c r="O239" s="102">
        <f t="shared" si="43"/>
        <v>14.183</v>
      </c>
      <c r="P239" s="21">
        <f>VLOOKUP(A239,'2022-23 Salary &amp; Benefits'!$A:$I,5,)</f>
        <v>68937</v>
      </c>
      <c r="Q239" s="21">
        <f>VLOOKUP(A239,'2022-23 Salary &amp; Benefits'!$A:$I,6,FALSE)</f>
        <v>72728</v>
      </c>
      <c r="R239" s="22">
        <f t="shared" si="44"/>
        <v>1095061.49</v>
      </c>
      <c r="S239" s="22">
        <f t="shared" si="45"/>
        <v>60219.88</v>
      </c>
      <c r="T239" s="22">
        <f>'2022-23 Salary &amp; Benefits'!$G$6</f>
        <v>12558.24</v>
      </c>
      <c r="U239" s="23">
        <f>'2022-23 Salary &amp; Benefits'!$H$6</f>
        <v>0.2298</v>
      </c>
      <c r="V239" s="23">
        <f>'2022-23 Salary &amp; Benefits'!$I$6</f>
        <v>0.22339999999999999</v>
      </c>
      <c r="W239" s="22">
        <f t="shared" si="46"/>
        <v>443211.77</v>
      </c>
      <c r="X239" s="22">
        <f t="shared" si="47"/>
        <v>19254.689999999999</v>
      </c>
      <c r="Y239" s="22">
        <f t="shared" si="48"/>
        <v>4301.5</v>
      </c>
      <c r="Z239" s="22">
        <f t="shared" si="51"/>
        <v>23556.19</v>
      </c>
      <c r="AA239" s="22">
        <f t="shared" si="52"/>
        <v>1622049.3299999998</v>
      </c>
    </row>
    <row r="240" spans="1:27">
      <c r="A240" s="125" t="s">
        <v>2557</v>
      </c>
      <c r="B240" s="3" t="s">
        <v>2195</v>
      </c>
      <c r="C240" s="93">
        <f>IF(A240=Summary!$B$9,Summary!$G$9,0)</f>
        <v>0</v>
      </c>
      <c r="D240" s="134">
        <f>VLOOKUP(A240,AAFTE!$A:$S,3,0)</f>
        <v>3620.58</v>
      </c>
      <c r="E240" s="20">
        <f>VLOOKUP($A240,'2022-23 Salary &amp; Benefits'!$A:$I,3,)</f>
        <v>1</v>
      </c>
      <c r="F240" s="20">
        <f>VLOOKUP($A240,'2022-23 Salary &amp; Benefits'!$A:$I,4,)</f>
        <v>1</v>
      </c>
      <c r="G240" s="34">
        <f>VLOOKUP(A240,'CEDARS District FRPL'!$A:$C,3,)</f>
        <v>0.55589999999999995</v>
      </c>
      <c r="H240" s="25">
        <f t="shared" si="41"/>
        <v>3620.58</v>
      </c>
      <c r="I240" s="39">
        <f t="shared" si="42"/>
        <v>2012.68</v>
      </c>
      <c r="J240" s="24">
        <v>15</v>
      </c>
      <c r="K240" s="26">
        <f t="shared" si="49"/>
        <v>134.17866666666666</v>
      </c>
      <c r="L240" s="24">
        <v>2.3975</v>
      </c>
      <c r="M240" s="24">
        <v>36</v>
      </c>
      <c r="N240" s="27">
        <f t="shared" si="50"/>
        <v>11580.960719999999</v>
      </c>
      <c r="O240" s="102">
        <f t="shared" si="43"/>
        <v>12.868</v>
      </c>
      <c r="P240" s="21">
        <f>VLOOKUP(A240,'2022-23 Salary &amp; Benefits'!$A:$I,5,)</f>
        <v>68937</v>
      </c>
      <c r="Q240" s="21">
        <f>VLOOKUP(A240,'2022-23 Salary &amp; Benefits'!$A:$I,6,FALSE)</f>
        <v>72728</v>
      </c>
      <c r="R240" s="22">
        <f t="shared" si="44"/>
        <v>887081.32</v>
      </c>
      <c r="S240" s="22">
        <f t="shared" si="45"/>
        <v>48782.58</v>
      </c>
      <c r="T240" s="22">
        <f>'2022-23 Salary &amp; Benefits'!$G$6</f>
        <v>12558.24</v>
      </c>
      <c r="U240" s="23">
        <f>'2022-23 Salary &amp; Benefits'!$H$6</f>
        <v>0.2298</v>
      </c>
      <c r="V240" s="23">
        <f>'2022-23 Salary &amp; Benefits'!$I$6</f>
        <v>0.22339999999999999</v>
      </c>
      <c r="W240" s="22">
        <f t="shared" si="46"/>
        <v>376348.75</v>
      </c>
      <c r="X240" s="22">
        <f t="shared" si="47"/>
        <v>15597.73</v>
      </c>
      <c r="Y240" s="22">
        <f t="shared" si="48"/>
        <v>3484.53</v>
      </c>
      <c r="Z240" s="22">
        <f t="shared" si="51"/>
        <v>19082.259999999998</v>
      </c>
      <c r="AA240" s="22">
        <f t="shared" si="52"/>
        <v>1331294.9099999999</v>
      </c>
    </row>
    <row r="241" spans="1:27">
      <c r="A241" s="125" t="s">
        <v>2437</v>
      </c>
      <c r="B241" s="3" t="s">
        <v>1288</v>
      </c>
      <c r="C241" s="93">
        <f>IF(A241=Summary!$B$9,Summary!$G$9,0)</f>
        <v>0</v>
      </c>
      <c r="D241" s="134">
        <f>VLOOKUP(A241,AAFTE!$A:$S,3,0)</f>
        <v>235.19</v>
      </c>
      <c r="E241" s="20">
        <f>VLOOKUP($A241,'2022-23 Salary &amp; Benefits'!$A:$I,3,)</f>
        <v>1</v>
      </c>
      <c r="F241" s="20">
        <f>VLOOKUP($A241,'2022-23 Salary &amp; Benefits'!$A:$I,4,)</f>
        <v>1</v>
      </c>
      <c r="G241" s="34">
        <f>VLOOKUP(A241,'CEDARS District FRPL'!$A:$C,3,)</f>
        <v>0.58299999999999996</v>
      </c>
      <c r="H241" s="25">
        <f t="shared" si="41"/>
        <v>235.19</v>
      </c>
      <c r="I241" s="39">
        <f t="shared" si="42"/>
        <v>137.12</v>
      </c>
      <c r="J241" s="24">
        <v>15</v>
      </c>
      <c r="K241" s="26">
        <f t="shared" si="49"/>
        <v>9.1413333333333338</v>
      </c>
      <c r="L241" s="24">
        <v>2.3975</v>
      </c>
      <c r="M241" s="24">
        <v>36</v>
      </c>
      <c r="N241" s="27">
        <f t="shared" si="50"/>
        <v>788.98847999999998</v>
      </c>
      <c r="O241" s="102">
        <f t="shared" si="43"/>
        <v>0.877</v>
      </c>
      <c r="P241" s="21">
        <f>VLOOKUP(A241,'2022-23 Salary &amp; Benefits'!$A:$I,5,)</f>
        <v>68937</v>
      </c>
      <c r="Q241" s="21">
        <f>VLOOKUP(A241,'2022-23 Salary &amp; Benefits'!$A:$I,6,FALSE)</f>
        <v>72728</v>
      </c>
      <c r="R241" s="22">
        <f t="shared" si="44"/>
        <v>60457.75</v>
      </c>
      <c r="S241" s="22">
        <f t="shared" si="45"/>
        <v>3324.71</v>
      </c>
      <c r="T241" s="22">
        <f>'2022-23 Salary &amp; Benefits'!$G$6</f>
        <v>12558.24</v>
      </c>
      <c r="U241" s="23">
        <f>'2022-23 Salary &amp; Benefits'!$H$6</f>
        <v>0.2298</v>
      </c>
      <c r="V241" s="23">
        <f>'2022-23 Salary &amp; Benefits'!$I$6</f>
        <v>0.22339999999999999</v>
      </c>
      <c r="W241" s="22">
        <f t="shared" si="46"/>
        <v>25649.51</v>
      </c>
      <c r="X241" s="22">
        <f t="shared" si="47"/>
        <v>1063.04</v>
      </c>
      <c r="Y241" s="22">
        <f t="shared" si="48"/>
        <v>237.48</v>
      </c>
      <c r="Z241" s="22">
        <f t="shared" si="51"/>
        <v>1300.52</v>
      </c>
      <c r="AA241" s="22">
        <f t="shared" si="52"/>
        <v>90732.49</v>
      </c>
    </row>
    <row r="242" spans="1:27">
      <c r="A242" s="125" t="s">
        <v>2279</v>
      </c>
      <c r="B242" s="3" t="s">
        <v>148</v>
      </c>
      <c r="C242" s="93">
        <f>IF(A242=Summary!$B$9,Summary!$G$9,0)</f>
        <v>0</v>
      </c>
      <c r="D242" s="134">
        <f>VLOOKUP(A242,AAFTE!$A:$S,3,0)</f>
        <v>2537.46</v>
      </c>
      <c r="E242" s="20">
        <f>VLOOKUP($A242,'2022-23 Salary &amp; Benefits'!$A:$I,3,)</f>
        <v>1.06</v>
      </c>
      <c r="F242" s="20">
        <f>VLOOKUP($A242,'2022-23 Salary &amp; Benefits'!$A:$I,4,)</f>
        <v>1.06</v>
      </c>
      <c r="G242" s="34">
        <f>VLOOKUP(A242,'CEDARS District FRPL'!$A:$C,3,)</f>
        <v>0.44390000000000002</v>
      </c>
      <c r="H242" s="25">
        <f t="shared" si="41"/>
        <v>2537.46</v>
      </c>
      <c r="I242" s="39">
        <f t="shared" si="42"/>
        <v>1126.3800000000001</v>
      </c>
      <c r="J242" s="24">
        <v>15</v>
      </c>
      <c r="K242" s="26">
        <f t="shared" si="49"/>
        <v>75.092000000000013</v>
      </c>
      <c r="L242" s="24">
        <v>2.3975</v>
      </c>
      <c r="M242" s="24">
        <v>36</v>
      </c>
      <c r="N242" s="27">
        <f t="shared" si="50"/>
        <v>6481.190520000001</v>
      </c>
      <c r="O242" s="102">
        <f t="shared" si="43"/>
        <v>7.2009999999999996</v>
      </c>
      <c r="P242" s="21">
        <f>VLOOKUP(A242,'2022-23 Salary &amp; Benefits'!$A:$I,5,)</f>
        <v>68937</v>
      </c>
      <c r="Q242" s="21">
        <f>VLOOKUP(A242,'2022-23 Salary &amp; Benefits'!$A:$I,6,FALSE)</f>
        <v>72728</v>
      </c>
      <c r="R242" s="22">
        <f t="shared" si="44"/>
        <v>526200.26</v>
      </c>
      <c r="S242" s="22">
        <f t="shared" si="45"/>
        <v>28936.93</v>
      </c>
      <c r="T242" s="22">
        <f>'2022-23 Salary &amp; Benefits'!$G$6</f>
        <v>12558.24</v>
      </c>
      <c r="U242" s="23">
        <f>'2022-23 Salary &amp; Benefits'!$H$6</f>
        <v>0.2298</v>
      </c>
      <c r="V242" s="23">
        <f>'2022-23 Salary &amp; Benefits'!$I$6</f>
        <v>0.22339999999999999</v>
      </c>
      <c r="W242" s="22">
        <f t="shared" si="46"/>
        <v>217817.22</v>
      </c>
      <c r="X242" s="22">
        <f t="shared" si="47"/>
        <v>9252.2900000000009</v>
      </c>
      <c r="Y242" s="22">
        <f t="shared" si="48"/>
        <v>2066.96</v>
      </c>
      <c r="Z242" s="22">
        <f t="shared" si="51"/>
        <v>11319.25</v>
      </c>
      <c r="AA242" s="22">
        <f t="shared" si="52"/>
        <v>784273.66</v>
      </c>
    </row>
    <row r="243" spans="1:27">
      <c r="A243" s="125" t="s">
        <v>2456</v>
      </c>
      <c r="B243" s="3" t="s">
        <v>1525</v>
      </c>
      <c r="C243" s="93">
        <f>IF(A243=Summary!$B$9,Summary!$G$9,0)</f>
        <v>0</v>
      </c>
      <c r="D243" s="134">
        <f>VLOOKUP(A243,AAFTE!$A:$S,3,0)</f>
        <v>9.57</v>
      </c>
      <c r="E243" s="20">
        <f>VLOOKUP($A243,'2022-23 Salary &amp; Benefits'!$A:$I,3,)</f>
        <v>1.1200000000000001</v>
      </c>
      <c r="F243" s="20">
        <f>VLOOKUP($A243,'2022-23 Salary &amp; Benefits'!$A:$I,4,)</f>
        <v>1.1200000000000001</v>
      </c>
      <c r="G243" s="34">
        <f>VLOOKUP(A243,'CEDARS District FRPL'!$A:$C,3,)</f>
        <v>0</v>
      </c>
      <c r="H243" s="25">
        <f t="shared" si="41"/>
        <v>9.57</v>
      </c>
      <c r="I243" s="39">
        <f t="shared" si="42"/>
        <v>0</v>
      </c>
      <c r="J243" s="24">
        <v>15</v>
      </c>
      <c r="K243" s="26">
        <f t="shared" si="49"/>
        <v>0</v>
      </c>
      <c r="L243" s="24">
        <v>2.3975</v>
      </c>
      <c r="M243" s="24">
        <v>36</v>
      </c>
      <c r="N243" s="27">
        <f t="shared" si="50"/>
        <v>0</v>
      </c>
      <c r="O243" s="102">
        <f t="shared" si="43"/>
        <v>0</v>
      </c>
      <c r="P243" s="21">
        <f>VLOOKUP(A243,'2022-23 Salary &amp; Benefits'!$A:$I,5,)</f>
        <v>68937</v>
      </c>
      <c r="Q243" s="21">
        <f>VLOOKUP(A243,'2022-23 Salary &amp; Benefits'!$A:$I,6,FALSE)</f>
        <v>72728</v>
      </c>
      <c r="R243" s="22">
        <f t="shared" si="44"/>
        <v>0</v>
      </c>
      <c r="S243" s="22">
        <f t="shared" si="45"/>
        <v>0</v>
      </c>
      <c r="T243" s="22">
        <f>'2022-23 Salary &amp; Benefits'!$G$6</f>
        <v>12558.24</v>
      </c>
      <c r="U243" s="23">
        <f>'2022-23 Salary &amp; Benefits'!$H$6</f>
        <v>0.2298</v>
      </c>
      <c r="V243" s="23">
        <f>'2022-23 Salary &amp; Benefits'!$I$6</f>
        <v>0.22339999999999999</v>
      </c>
      <c r="W243" s="22">
        <f t="shared" si="46"/>
        <v>0</v>
      </c>
      <c r="X243" s="22">
        <f t="shared" si="47"/>
        <v>0</v>
      </c>
      <c r="Y243" s="22">
        <f t="shared" si="48"/>
        <v>0</v>
      </c>
      <c r="Z243" s="22">
        <f t="shared" si="51"/>
        <v>0</v>
      </c>
      <c r="AA243" s="22">
        <f t="shared" si="52"/>
        <v>0</v>
      </c>
    </row>
    <row r="244" spans="1:27">
      <c r="A244" s="125" t="s">
        <v>2416</v>
      </c>
      <c r="B244" s="3" t="s">
        <v>1208</v>
      </c>
      <c r="C244" s="93">
        <f>IF(A244=Summary!$B$9,Summary!$G$9,0)</f>
        <v>0</v>
      </c>
      <c r="D244" s="134">
        <f>VLOOKUP(A244,AAFTE!$A:$S,3,0)</f>
        <v>4261.09</v>
      </c>
      <c r="E244" s="20">
        <f>VLOOKUP($A244,'2022-23 Salary &amp; Benefits'!$A:$I,3,)</f>
        <v>1</v>
      </c>
      <c r="F244" s="20">
        <f>VLOOKUP($A244,'2022-23 Salary &amp; Benefits'!$A:$I,4,)</f>
        <v>1</v>
      </c>
      <c r="G244" s="34">
        <f>VLOOKUP(A244,'CEDARS District FRPL'!$A:$C,3,)</f>
        <v>0.66949999999999998</v>
      </c>
      <c r="H244" s="25">
        <f t="shared" si="41"/>
        <v>4261.09</v>
      </c>
      <c r="I244" s="39">
        <f t="shared" si="42"/>
        <v>2852.8</v>
      </c>
      <c r="J244" s="24">
        <v>15</v>
      </c>
      <c r="K244" s="26">
        <f t="shared" si="49"/>
        <v>190.18666666666667</v>
      </c>
      <c r="L244" s="24">
        <v>2.3975</v>
      </c>
      <c r="M244" s="24">
        <v>36</v>
      </c>
      <c r="N244" s="27">
        <f t="shared" si="50"/>
        <v>16415.011200000001</v>
      </c>
      <c r="O244" s="102">
        <f t="shared" si="43"/>
        <v>18.239000000000001</v>
      </c>
      <c r="P244" s="21">
        <f>VLOOKUP(A244,'2022-23 Salary &amp; Benefits'!$A:$I,5,)</f>
        <v>68937</v>
      </c>
      <c r="Q244" s="21">
        <f>VLOOKUP(A244,'2022-23 Salary &amp; Benefits'!$A:$I,6,FALSE)</f>
        <v>72728</v>
      </c>
      <c r="R244" s="22">
        <f t="shared" si="44"/>
        <v>1257341.94</v>
      </c>
      <c r="S244" s="22">
        <f t="shared" si="45"/>
        <v>69144.05</v>
      </c>
      <c r="T244" s="22">
        <f>'2022-23 Salary &amp; Benefits'!$G$6</f>
        <v>12558.24</v>
      </c>
      <c r="U244" s="23">
        <f>'2022-23 Salary &amp; Benefits'!$H$6</f>
        <v>0.2298</v>
      </c>
      <c r="V244" s="23">
        <f>'2022-23 Salary &amp; Benefits'!$I$6</f>
        <v>0.22339999999999999</v>
      </c>
      <c r="W244" s="22">
        <f t="shared" si="46"/>
        <v>533433.69999999995</v>
      </c>
      <c r="X244" s="22">
        <f t="shared" si="47"/>
        <v>22108.1</v>
      </c>
      <c r="Y244" s="22">
        <f t="shared" si="48"/>
        <v>4938.95</v>
      </c>
      <c r="Z244" s="22">
        <f t="shared" si="51"/>
        <v>27047.05</v>
      </c>
      <c r="AA244" s="22">
        <f t="shared" si="52"/>
        <v>1886966.74</v>
      </c>
    </row>
    <row r="245" spans="1:27">
      <c r="A245" s="125" t="s">
        <v>2363</v>
      </c>
      <c r="B245" s="3" t="s">
        <v>871</v>
      </c>
      <c r="C245" s="93">
        <f>IF(A245=Summary!$B$9,Summary!$G$9,0)</f>
        <v>0</v>
      </c>
      <c r="D245" s="134">
        <f>VLOOKUP(A245,AAFTE!$A:$S,3,0)</f>
        <v>9090.84</v>
      </c>
      <c r="E245" s="20">
        <f>VLOOKUP($A245,'2022-23 Salary &amp; Benefits'!$A:$I,3,)</f>
        <v>1.18</v>
      </c>
      <c r="F245" s="20">
        <f>VLOOKUP($A245,'2022-23 Salary &amp; Benefits'!$A:$I,4,)</f>
        <v>1.18</v>
      </c>
      <c r="G245" s="34">
        <f>VLOOKUP(A245,'CEDARS District FRPL'!$A:$C,3,)</f>
        <v>0.25690000000000002</v>
      </c>
      <c r="H245" s="25">
        <f t="shared" si="41"/>
        <v>9090.84</v>
      </c>
      <c r="I245" s="39">
        <f t="shared" si="42"/>
        <v>2335.44</v>
      </c>
      <c r="J245" s="24">
        <v>15</v>
      </c>
      <c r="K245" s="26">
        <f t="shared" si="49"/>
        <v>155.696</v>
      </c>
      <c r="L245" s="24">
        <v>2.3975</v>
      </c>
      <c r="M245" s="24">
        <v>36</v>
      </c>
      <c r="N245" s="27">
        <f t="shared" si="50"/>
        <v>13438.12176</v>
      </c>
      <c r="O245" s="102">
        <f t="shared" si="43"/>
        <v>14.930999999999999</v>
      </c>
      <c r="P245" s="21">
        <f>VLOOKUP(A245,'2022-23 Salary &amp; Benefits'!$A:$I,5,)</f>
        <v>68937</v>
      </c>
      <c r="Q245" s="21">
        <f>VLOOKUP(A245,'2022-23 Salary &amp; Benefits'!$A:$I,6,FALSE)</f>
        <v>72728</v>
      </c>
      <c r="R245" s="22">
        <f t="shared" si="44"/>
        <v>1214572.05</v>
      </c>
      <c r="S245" s="22">
        <f t="shared" si="45"/>
        <v>66792.039999999994</v>
      </c>
      <c r="T245" s="22">
        <f>'2022-23 Salary &amp; Benefits'!$G$6</f>
        <v>12558.24</v>
      </c>
      <c r="U245" s="23">
        <f>'2022-23 Salary &amp; Benefits'!$H$6</f>
        <v>0.2298</v>
      </c>
      <c r="V245" s="23">
        <f>'2022-23 Salary &amp; Benefits'!$I$6</f>
        <v>0.22339999999999999</v>
      </c>
      <c r="W245" s="22">
        <f t="shared" si="46"/>
        <v>481537.08</v>
      </c>
      <c r="X245" s="22">
        <f t="shared" si="47"/>
        <v>21356.07</v>
      </c>
      <c r="Y245" s="22">
        <f t="shared" si="48"/>
        <v>4770.95</v>
      </c>
      <c r="Z245" s="22">
        <f t="shared" si="51"/>
        <v>26127.02</v>
      </c>
      <c r="AA245" s="22">
        <f t="shared" si="52"/>
        <v>1789028.1900000002</v>
      </c>
    </row>
    <row r="246" spans="1:27">
      <c r="A246" s="125" t="s">
        <v>2468</v>
      </c>
      <c r="B246" s="3" t="s">
        <v>1585</v>
      </c>
      <c r="C246" s="93">
        <f>IF(A246=Summary!$B$9,Summary!$G$9,0)</f>
        <v>0</v>
      </c>
      <c r="D246" s="134">
        <f>VLOOKUP(A246,AAFTE!$A:$S,3,0)</f>
        <v>63.86</v>
      </c>
      <c r="E246" s="20">
        <f>VLOOKUP($A246,'2022-23 Salary &amp; Benefits'!$A:$I,3,)</f>
        <v>1</v>
      </c>
      <c r="F246" s="20">
        <f>VLOOKUP($A246,'2022-23 Salary &amp; Benefits'!$A:$I,4,)</f>
        <v>1</v>
      </c>
      <c r="G246" s="34">
        <f>VLOOKUP(A246,'CEDARS District FRPL'!$A:$C,3,)</f>
        <v>0.37140000000000001</v>
      </c>
      <c r="H246" s="25">
        <f t="shared" si="41"/>
        <v>63.86</v>
      </c>
      <c r="I246" s="39">
        <f t="shared" si="42"/>
        <v>23.72</v>
      </c>
      <c r="J246" s="24">
        <v>15</v>
      </c>
      <c r="K246" s="26">
        <f t="shared" si="49"/>
        <v>1.5813333333333333</v>
      </c>
      <c r="L246" s="24">
        <v>2.3975</v>
      </c>
      <c r="M246" s="24">
        <v>36</v>
      </c>
      <c r="N246" s="27">
        <f t="shared" si="50"/>
        <v>136.48488</v>
      </c>
      <c r="O246" s="102">
        <f t="shared" si="43"/>
        <v>0.152</v>
      </c>
      <c r="P246" s="21">
        <f>VLOOKUP(A246,'2022-23 Salary &amp; Benefits'!$A:$I,5,)</f>
        <v>68937</v>
      </c>
      <c r="Q246" s="21">
        <f>VLOOKUP(A246,'2022-23 Salary &amp; Benefits'!$A:$I,6,FALSE)</f>
        <v>72728</v>
      </c>
      <c r="R246" s="22">
        <f t="shared" si="44"/>
        <v>10478.42</v>
      </c>
      <c r="S246" s="22">
        <f t="shared" si="45"/>
        <v>576.24</v>
      </c>
      <c r="T246" s="22">
        <f>'2022-23 Salary &amp; Benefits'!$G$6</f>
        <v>12558.24</v>
      </c>
      <c r="U246" s="23">
        <f>'2022-23 Salary &amp; Benefits'!$H$6</f>
        <v>0.2298</v>
      </c>
      <c r="V246" s="23">
        <f>'2022-23 Salary &amp; Benefits'!$I$6</f>
        <v>0.22339999999999999</v>
      </c>
      <c r="W246" s="22">
        <f t="shared" si="46"/>
        <v>4445.53</v>
      </c>
      <c r="X246" s="22">
        <f t="shared" si="47"/>
        <v>184.24</v>
      </c>
      <c r="Y246" s="22">
        <f t="shared" si="48"/>
        <v>41.16</v>
      </c>
      <c r="Z246" s="22">
        <f t="shared" si="51"/>
        <v>225.4</v>
      </c>
      <c r="AA246" s="22">
        <f t="shared" si="52"/>
        <v>15725.59</v>
      </c>
    </row>
    <row r="247" spans="1:27">
      <c r="A247" s="125" t="s">
        <v>2355</v>
      </c>
      <c r="B247" s="3" t="s">
        <v>760</v>
      </c>
      <c r="C247" s="93">
        <f>IF(A247=Summary!$B$9,Summary!$G$9,0)</f>
        <v>0</v>
      </c>
      <c r="D247" s="134">
        <f>VLOOKUP(A247,AAFTE!$A:$S,3,0)</f>
        <v>34.909999999999997</v>
      </c>
      <c r="E247" s="20">
        <f>VLOOKUP($A247,'2022-23 Salary &amp; Benefits'!$A:$I,3,)</f>
        <v>1.18</v>
      </c>
      <c r="F247" s="20">
        <f>VLOOKUP($A247,'2022-23 Salary &amp; Benefits'!$A:$I,4,)</f>
        <v>1.18</v>
      </c>
      <c r="G247" s="34">
        <f>VLOOKUP(A247,'CEDARS District FRPL'!$A:$C,3,)</f>
        <v>0.76190000000000002</v>
      </c>
      <c r="H247" s="25">
        <f t="shared" si="41"/>
        <v>34.909999999999997</v>
      </c>
      <c r="I247" s="39">
        <f t="shared" si="42"/>
        <v>26.6</v>
      </c>
      <c r="J247" s="24">
        <v>15</v>
      </c>
      <c r="K247" s="26">
        <f t="shared" si="49"/>
        <v>1.7733333333333334</v>
      </c>
      <c r="L247" s="24">
        <v>2.3975</v>
      </c>
      <c r="M247" s="24">
        <v>36</v>
      </c>
      <c r="N247" s="27">
        <f t="shared" si="50"/>
        <v>153.05640000000002</v>
      </c>
      <c r="O247" s="102">
        <f t="shared" si="43"/>
        <v>0.17</v>
      </c>
      <c r="P247" s="21">
        <f>VLOOKUP(A247,'2022-23 Salary &amp; Benefits'!$A:$I,5,)</f>
        <v>68937</v>
      </c>
      <c r="Q247" s="21">
        <f>VLOOKUP(A247,'2022-23 Salary &amp; Benefits'!$A:$I,6,FALSE)</f>
        <v>72728</v>
      </c>
      <c r="R247" s="22">
        <f t="shared" si="44"/>
        <v>13828.76</v>
      </c>
      <c r="S247" s="22">
        <f t="shared" si="45"/>
        <v>760.48</v>
      </c>
      <c r="T247" s="22">
        <f>'2022-23 Salary &amp; Benefits'!$G$6</f>
        <v>12558.24</v>
      </c>
      <c r="U247" s="23">
        <f>'2022-23 Salary &amp; Benefits'!$H$6</f>
        <v>0.2298</v>
      </c>
      <c r="V247" s="23">
        <f>'2022-23 Salary &amp; Benefits'!$I$6</f>
        <v>0.22339999999999999</v>
      </c>
      <c r="W247" s="22">
        <f t="shared" si="46"/>
        <v>5482.64</v>
      </c>
      <c r="X247" s="22">
        <f t="shared" si="47"/>
        <v>243.15</v>
      </c>
      <c r="Y247" s="22">
        <f t="shared" si="48"/>
        <v>54.32</v>
      </c>
      <c r="Z247" s="22">
        <f t="shared" si="51"/>
        <v>297.47000000000003</v>
      </c>
      <c r="AA247" s="22">
        <f t="shared" si="52"/>
        <v>20369.350000000002</v>
      </c>
    </row>
    <row r="248" spans="1:27">
      <c r="A248" s="125" t="s">
        <v>2480</v>
      </c>
      <c r="B248" s="3" t="s">
        <v>1724</v>
      </c>
      <c r="C248" s="93">
        <f>IF(A248=Summary!$B$9,Summary!$G$9,0)</f>
        <v>0</v>
      </c>
      <c r="D248" s="134">
        <f>VLOOKUP(A248,AAFTE!$A:$S,3,0)</f>
        <v>9239.76</v>
      </c>
      <c r="E248" s="20">
        <f>VLOOKUP($A248,'2022-23 Salary &amp; Benefits'!$A:$I,3,)</f>
        <v>1.18</v>
      </c>
      <c r="F248" s="20">
        <f>VLOOKUP($A248,'2022-23 Salary &amp; Benefits'!$A:$I,4,)</f>
        <v>1.18</v>
      </c>
      <c r="G248" s="34">
        <f>VLOOKUP(A248,'CEDARS District FRPL'!$A:$C,3,)</f>
        <v>0.19320000000000001</v>
      </c>
      <c r="H248" s="25">
        <f t="shared" si="41"/>
        <v>9239.76</v>
      </c>
      <c r="I248" s="39">
        <f t="shared" si="42"/>
        <v>1785.12</v>
      </c>
      <c r="J248" s="24">
        <v>15</v>
      </c>
      <c r="K248" s="26">
        <f t="shared" si="49"/>
        <v>119.008</v>
      </c>
      <c r="L248" s="24">
        <v>2.3975</v>
      </c>
      <c r="M248" s="24">
        <v>36</v>
      </c>
      <c r="N248" s="27">
        <f t="shared" si="50"/>
        <v>10271.580479999999</v>
      </c>
      <c r="O248" s="102">
        <f t="shared" si="43"/>
        <v>11.413</v>
      </c>
      <c r="P248" s="21">
        <f>VLOOKUP(A248,'2022-23 Salary &amp; Benefits'!$A:$I,5,)</f>
        <v>68937</v>
      </c>
      <c r="Q248" s="21">
        <f>VLOOKUP(A248,'2022-23 Salary &amp; Benefits'!$A:$I,6,FALSE)</f>
        <v>72728</v>
      </c>
      <c r="R248" s="22">
        <f t="shared" si="44"/>
        <v>928398.02</v>
      </c>
      <c r="S248" s="22">
        <f t="shared" si="45"/>
        <v>51054.68</v>
      </c>
      <c r="T248" s="22">
        <f>'2022-23 Salary &amp; Benefits'!$G$6</f>
        <v>12558.24</v>
      </c>
      <c r="U248" s="23">
        <f>'2022-23 Salary &amp; Benefits'!$H$6</f>
        <v>0.2298</v>
      </c>
      <c r="V248" s="23">
        <f>'2022-23 Salary &amp; Benefits'!$I$6</f>
        <v>0.22339999999999999</v>
      </c>
      <c r="W248" s="22">
        <f t="shared" si="46"/>
        <v>368078.67</v>
      </c>
      <c r="X248" s="22">
        <f t="shared" si="47"/>
        <v>16324.21</v>
      </c>
      <c r="Y248" s="22">
        <f t="shared" si="48"/>
        <v>3646.83</v>
      </c>
      <c r="Z248" s="22">
        <f t="shared" si="51"/>
        <v>19971.04</v>
      </c>
      <c r="AA248" s="22">
        <f t="shared" si="52"/>
        <v>1367502.41</v>
      </c>
    </row>
    <row r="249" spans="1:27">
      <c r="A249" s="125" t="s">
        <v>2361</v>
      </c>
      <c r="B249" s="3" t="s">
        <v>832</v>
      </c>
      <c r="C249" s="93">
        <f>IF(A249=Summary!$B$9,Summary!$G$9,0)</f>
        <v>0</v>
      </c>
      <c r="D249" s="134">
        <f>VLOOKUP(A249,AAFTE!$A:$S,3,0)</f>
        <v>7071.62</v>
      </c>
      <c r="E249" s="20">
        <f>VLOOKUP($A249,'2022-23 Salary &amp; Benefits'!$A:$I,3,)</f>
        <v>1.18</v>
      </c>
      <c r="F249" s="20">
        <f>VLOOKUP($A249,'2022-23 Salary &amp; Benefits'!$A:$I,4,)</f>
        <v>1.18</v>
      </c>
      <c r="G249" s="34">
        <f>VLOOKUP(A249,'CEDARS District FRPL'!$A:$C,3,)</f>
        <v>0.10589999999999999</v>
      </c>
      <c r="H249" s="25">
        <f t="shared" si="41"/>
        <v>7071.62</v>
      </c>
      <c r="I249" s="39">
        <f t="shared" si="42"/>
        <v>748.88</v>
      </c>
      <c r="J249" s="24">
        <v>15</v>
      </c>
      <c r="K249" s="26">
        <f t="shared" si="49"/>
        <v>49.925333333333334</v>
      </c>
      <c r="L249" s="24">
        <v>2.3975</v>
      </c>
      <c r="M249" s="24">
        <v>36</v>
      </c>
      <c r="N249" s="27">
        <f t="shared" si="50"/>
        <v>4309.0555199999999</v>
      </c>
      <c r="O249" s="102">
        <f t="shared" si="43"/>
        <v>4.7880000000000003</v>
      </c>
      <c r="P249" s="21">
        <f>VLOOKUP(A249,'2022-23 Salary &amp; Benefits'!$A:$I,5,)</f>
        <v>68937</v>
      </c>
      <c r="Q249" s="21">
        <f>VLOOKUP(A249,'2022-23 Salary &amp; Benefits'!$A:$I,6,FALSE)</f>
        <v>72728</v>
      </c>
      <c r="R249" s="22">
        <f t="shared" si="44"/>
        <v>389483.02</v>
      </c>
      <c r="S249" s="22">
        <f t="shared" si="45"/>
        <v>21418.54</v>
      </c>
      <c r="T249" s="22">
        <f>'2022-23 Salary &amp; Benefits'!$G$6</f>
        <v>12558.24</v>
      </c>
      <c r="U249" s="23">
        <f>'2022-23 Salary &amp; Benefits'!$H$6</f>
        <v>0.2298</v>
      </c>
      <c r="V249" s="23">
        <f>'2022-23 Salary &amp; Benefits'!$I$6</f>
        <v>0.22339999999999999</v>
      </c>
      <c r="W249" s="22">
        <f t="shared" si="46"/>
        <v>154416.95000000001</v>
      </c>
      <c r="X249" s="22">
        <f t="shared" si="47"/>
        <v>6848.36</v>
      </c>
      <c r="Y249" s="22">
        <f t="shared" si="48"/>
        <v>1529.92</v>
      </c>
      <c r="Z249" s="22">
        <f t="shared" si="51"/>
        <v>8378.2799999999988</v>
      </c>
      <c r="AA249" s="22">
        <f t="shared" si="52"/>
        <v>573696.79</v>
      </c>
    </row>
    <row r="250" spans="1:27">
      <c r="A250" s="125" t="s">
        <v>2321</v>
      </c>
      <c r="B250" s="3" t="s">
        <v>428</v>
      </c>
      <c r="C250" s="93">
        <f>IF(A250=Summary!$B$9,Summary!$G$9,0)</f>
        <v>0</v>
      </c>
      <c r="D250" s="134">
        <f>VLOOKUP(A250,AAFTE!$A:$S,3,0)</f>
        <v>554.25</v>
      </c>
      <c r="E250" s="20">
        <f>VLOOKUP($A250,'2022-23 Salary &amp; Benefits'!$A:$I,3,)</f>
        <v>1</v>
      </c>
      <c r="F250" s="20">
        <f>VLOOKUP($A250,'2022-23 Salary &amp; Benefits'!$A:$I,4,)</f>
        <v>1</v>
      </c>
      <c r="G250" s="34">
        <f>VLOOKUP(A250,'CEDARS District FRPL'!$A:$C,3,)</f>
        <v>0.79569999999999996</v>
      </c>
      <c r="H250" s="25">
        <f t="shared" si="41"/>
        <v>554.25</v>
      </c>
      <c r="I250" s="39">
        <f t="shared" si="42"/>
        <v>441.02</v>
      </c>
      <c r="J250" s="24">
        <v>15</v>
      </c>
      <c r="K250" s="26">
        <f t="shared" si="49"/>
        <v>29.401333333333334</v>
      </c>
      <c r="L250" s="24">
        <v>2.3975</v>
      </c>
      <c r="M250" s="24">
        <v>36</v>
      </c>
      <c r="N250" s="27">
        <f t="shared" si="50"/>
        <v>2537.6290799999997</v>
      </c>
      <c r="O250" s="102">
        <f t="shared" si="43"/>
        <v>2.82</v>
      </c>
      <c r="P250" s="21">
        <f>VLOOKUP(A250,'2022-23 Salary &amp; Benefits'!$A:$I,5,)</f>
        <v>68937</v>
      </c>
      <c r="Q250" s="21">
        <f>VLOOKUP(A250,'2022-23 Salary &amp; Benefits'!$A:$I,6,FALSE)</f>
        <v>72728</v>
      </c>
      <c r="R250" s="22">
        <f t="shared" si="44"/>
        <v>194402.34</v>
      </c>
      <c r="S250" s="22">
        <f t="shared" si="45"/>
        <v>10690.62</v>
      </c>
      <c r="T250" s="22">
        <f>'2022-23 Salary &amp; Benefits'!$G$6</f>
        <v>12558.24</v>
      </c>
      <c r="U250" s="23">
        <f>'2022-23 Salary &amp; Benefits'!$H$6</f>
        <v>0.2298</v>
      </c>
      <c r="V250" s="23">
        <f>'2022-23 Salary &amp; Benefits'!$I$6</f>
        <v>0.22339999999999999</v>
      </c>
      <c r="W250" s="22">
        <f t="shared" si="46"/>
        <v>82476.179999999993</v>
      </c>
      <c r="X250" s="22">
        <f t="shared" si="47"/>
        <v>3418.22</v>
      </c>
      <c r="Y250" s="22">
        <f t="shared" si="48"/>
        <v>763.63</v>
      </c>
      <c r="Z250" s="22">
        <f t="shared" si="51"/>
        <v>4181.8499999999995</v>
      </c>
      <c r="AA250" s="22">
        <f t="shared" si="52"/>
        <v>291750.99</v>
      </c>
    </row>
    <row r="251" spans="1:27">
      <c r="A251" s="125" t="s">
        <v>2431</v>
      </c>
      <c r="B251" s="3" t="s">
        <v>1270</v>
      </c>
      <c r="C251" s="93">
        <f>IF(A251=Summary!$B$9,Summary!$G$9,0)</f>
        <v>0</v>
      </c>
      <c r="D251" s="134">
        <f>VLOOKUP(A251,AAFTE!$A:$S,3,0)</f>
        <v>551.75</v>
      </c>
      <c r="E251" s="20">
        <f>VLOOKUP($A251,'2022-23 Salary &amp; Benefits'!$A:$I,3,)</f>
        <v>1</v>
      </c>
      <c r="F251" s="20">
        <f>VLOOKUP($A251,'2022-23 Salary &amp; Benefits'!$A:$I,4,)</f>
        <v>1</v>
      </c>
      <c r="G251" s="34">
        <f>VLOOKUP(A251,'CEDARS District FRPL'!$A:$C,3,)</f>
        <v>0.69910000000000005</v>
      </c>
      <c r="H251" s="25">
        <f t="shared" si="41"/>
        <v>551.75</v>
      </c>
      <c r="I251" s="39">
        <f t="shared" si="42"/>
        <v>385.73</v>
      </c>
      <c r="J251" s="24">
        <v>15</v>
      </c>
      <c r="K251" s="26">
        <f t="shared" si="49"/>
        <v>25.715333333333334</v>
      </c>
      <c r="L251" s="24">
        <v>2.3975</v>
      </c>
      <c r="M251" s="24">
        <v>36</v>
      </c>
      <c r="N251" s="27">
        <f t="shared" si="50"/>
        <v>2219.4904200000001</v>
      </c>
      <c r="O251" s="102">
        <f t="shared" si="43"/>
        <v>2.4660000000000002</v>
      </c>
      <c r="P251" s="21">
        <f>VLOOKUP(A251,'2022-23 Salary &amp; Benefits'!$A:$I,5,)</f>
        <v>68937</v>
      </c>
      <c r="Q251" s="21">
        <f>VLOOKUP(A251,'2022-23 Salary &amp; Benefits'!$A:$I,6,FALSE)</f>
        <v>72728</v>
      </c>
      <c r="R251" s="22">
        <f t="shared" si="44"/>
        <v>169998.64</v>
      </c>
      <c r="S251" s="22">
        <f t="shared" si="45"/>
        <v>9348.61</v>
      </c>
      <c r="T251" s="22">
        <f>'2022-23 Salary &amp; Benefits'!$G$6</f>
        <v>12558.24</v>
      </c>
      <c r="U251" s="23">
        <f>'2022-23 Salary &amp; Benefits'!$H$6</f>
        <v>0.2298</v>
      </c>
      <c r="V251" s="23">
        <f>'2022-23 Salary &amp; Benefits'!$I$6</f>
        <v>0.22339999999999999</v>
      </c>
      <c r="W251" s="22">
        <f t="shared" si="46"/>
        <v>72122.789999999994</v>
      </c>
      <c r="X251" s="22">
        <f t="shared" si="47"/>
        <v>2989.12</v>
      </c>
      <c r="Y251" s="22">
        <f t="shared" si="48"/>
        <v>667.77</v>
      </c>
      <c r="Z251" s="22">
        <f t="shared" si="51"/>
        <v>3656.89</v>
      </c>
      <c r="AA251" s="22">
        <f t="shared" si="52"/>
        <v>255126.93</v>
      </c>
    </row>
    <row r="252" spans="1:27">
      <c r="A252" s="125" t="s">
        <v>2375</v>
      </c>
      <c r="B252" s="3" t="s">
        <v>1068</v>
      </c>
      <c r="C252" s="93">
        <f>IF(A252=Summary!$B$9,Summary!$G$9,0)</f>
        <v>0</v>
      </c>
      <c r="D252" s="134">
        <f>VLOOKUP(A252,AAFTE!$A:$S,3,0)</f>
        <v>9640.25</v>
      </c>
      <c r="E252" s="20">
        <f>VLOOKUP($A252,'2022-23 Salary &amp; Benefits'!$A:$I,3,)</f>
        <v>1.18</v>
      </c>
      <c r="F252" s="20">
        <f>VLOOKUP($A252,'2022-23 Salary &amp; Benefits'!$A:$I,4,)</f>
        <v>1.18</v>
      </c>
      <c r="G252" s="34">
        <f>VLOOKUP(A252,'CEDARS District FRPL'!$A:$C,3,)</f>
        <v>0.32950000000000002</v>
      </c>
      <c r="H252" s="25">
        <f t="shared" si="41"/>
        <v>9640.25</v>
      </c>
      <c r="I252" s="39">
        <f t="shared" si="42"/>
        <v>3176.46</v>
      </c>
      <c r="J252" s="24">
        <v>15</v>
      </c>
      <c r="K252" s="26">
        <f t="shared" si="49"/>
        <v>211.76400000000001</v>
      </c>
      <c r="L252" s="24">
        <v>2.3975</v>
      </c>
      <c r="M252" s="24">
        <v>36</v>
      </c>
      <c r="N252" s="27">
        <f t="shared" si="50"/>
        <v>18277.350840000003</v>
      </c>
      <c r="O252" s="102">
        <f t="shared" si="43"/>
        <v>20.308</v>
      </c>
      <c r="P252" s="21">
        <f>VLOOKUP(A252,'2022-23 Salary &amp; Benefits'!$A:$I,5,)</f>
        <v>68937</v>
      </c>
      <c r="Q252" s="21">
        <f>VLOOKUP(A252,'2022-23 Salary &amp; Benefits'!$A:$I,6,FALSE)</f>
        <v>72728</v>
      </c>
      <c r="R252" s="22">
        <f t="shared" si="44"/>
        <v>1651967.66</v>
      </c>
      <c r="S252" s="22">
        <f t="shared" si="45"/>
        <v>90845.4</v>
      </c>
      <c r="T252" s="22">
        <f>'2022-23 Salary &amp; Benefits'!$G$6</f>
        <v>12558.24</v>
      </c>
      <c r="U252" s="23">
        <f>'2022-23 Salary &amp; Benefits'!$H$6</f>
        <v>0.2298</v>
      </c>
      <c r="V252" s="23">
        <f>'2022-23 Salary &amp; Benefits'!$I$6</f>
        <v>0.22339999999999999</v>
      </c>
      <c r="W252" s="22">
        <f t="shared" si="46"/>
        <v>654949.77</v>
      </c>
      <c r="X252" s="22">
        <f t="shared" si="47"/>
        <v>29046.880000000001</v>
      </c>
      <c r="Y252" s="22">
        <f t="shared" si="48"/>
        <v>6489.07</v>
      </c>
      <c r="Z252" s="22">
        <f t="shared" si="51"/>
        <v>35535.949999999997</v>
      </c>
      <c r="AA252" s="22">
        <f t="shared" si="52"/>
        <v>2433298.7799999998</v>
      </c>
    </row>
    <row r="253" spans="1:27">
      <c r="A253" s="125" t="s">
        <v>2342</v>
      </c>
      <c r="B253" s="3" t="s">
        <v>527</v>
      </c>
      <c r="C253" s="93">
        <f>IF(A253=Summary!$B$9,Summary!$G$9,0)</f>
        <v>0</v>
      </c>
      <c r="D253" s="134">
        <f>VLOOKUP(A253,AAFTE!$A:$S,3,0)</f>
        <v>1188.1099999999999</v>
      </c>
      <c r="E253" s="20">
        <f>VLOOKUP($A253,'2022-23 Salary &amp; Benefits'!$A:$I,3,)</f>
        <v>1.18</v>
      </c>
      <c r="F253" s="20">
        <f>VLOOKUP($A253,'2022-23 Salary &amp; Benefits'!$A:$I,4,)</f>
        <v>1.22</v>
      </c>
      <c r="G253" s="34">
        <f>VLOOKUP(A253,'CEDARS District FRPL'!$A:$C,3,)</f>
        <v>0.28489999999999999</v>
      </c>
      <c r="H253" s="25">
        <f t="shared" si="41"/>
        <v>1188.1099999999999</v>
      </c>
      <c r="I253" s="39">
        <f t="shared" si="42"/>
        <v>338.49</v>
      </c>
      <c r="J253" s="24">
        <v>15</v>
      </c>
      <c r="K253" s="26">
        <f t="shared" si="49"/>
        <v>22.565999999999999</v>
      </c>
      <c r="L253" s="24">
        <v>2.3975</v>
      </c>
      <c r="M253" s="24">
        <v>36</v>
      </c>
      <c r="N253" s="27">
        <f t="shared" si="50"/>
        <v>1947.67146</v>
      </c>
      <c r="O253" s="102">
        <f t="shared" si="43"/>
        <v>2.1640000000000001</v>
      </c>
      <c r="P253" s="21">
        <f>VLOOKUP(A253,'2022-23 Salary &amp; Benefits'!$A:$I,5,)</f>
        <v>68937</v>
      </c>
      <c r="Q253" s="21">
        <f>VLOOKUP(A253,'2022-23 Salary &amp; Benefits'!$A:$I,6,FALSE)</f>
        <v>72728</v>
      </c>
      <c r="R253" s="22">
        <f t="shared" si="44"/>
        <v>176032.01</v>
      </c>
      <c r="S253" s="22">
        <f t="shared" si="45"/>
        <v>15975.73</v>
      </c>
      <c r="T253" s="22">
        <f>'2022-23 Salary &amp; Benefits'!$G$6</f>
        <v>12558.24</v>
      </c>
      <c r="U253" s="23">
        <f>'2022-23 Salary &amp; Benefits'!$H$6</f>
        <v>0.2298</v>
      </c>
      <c r="V253" s="23">
        <f>'2022-23 Salary &amp; Benefits'!$I$6</f>
        <v>0.22339999999999999</v>
      </c>
      <c r="W253" s="22">
        <f t="shared" si="46"/>
        <v>71197.17</v>
      </c>
      <c r="X253" s="22">
        <f t="shared" si="47"/>
        <v>3200.13</v>
      </c>
      <c r="Y253" s="22">
        <f t="shared" si="48"/>
        <v>714.91</v>
      </c>
      <c r="Z253" s="22">
        <f t="shared" si="51"/>
        <v>3915.04</v>
      </c>
      <c r="AA253" s="22">
        <f t="shared" si="52"/>
        <v>267119.94999999995</v>
      </c>
    </row>
    <row r="254" spans="1:27">
      <c r="A254" s="125" t="s">
        <v>2414</v>
      </c>
      <c r="B254" s="3" t="s">
        <v>1204</v>
      </c>
      <c r="C254" s="93">
        <f>IF(A254=Summary!$B$9,Summary!$G$9,0)</f>
        <v>0</v>
      </c>
      <c r="D254" s="134">
        <f>VLOOKUP(A254,AAFTE!$A:$S,3,0)</f>
        <v>199.28</v>
      </c>
      <c r="E254" s="20">
        <f>VLOOKUP($A254,'2022-23 Salary &amp; Benefits'!$A:$I,3,)</f>
        <v>1</v>
      </c>
      <c r="F254" s="20">
        <f>VLOOKUP($A254,'2022-23 Salary &amp; Benefits'!$A:$I,4,)</f>
        <v>1</v>
      </c>
      <c r="G254" s="34">
        <f>VLOOKUP(A254,'CEDARS District FRPL'!$A:$C,3,)</f>
        <v>0.4279</v>
      </c>
      <c r="H254" s="25">
        <f t="shared" si="41"/>
        <v>199.28</v>
      </c>
      <c r="I254" s="39">
        <f t="shared" si="42"/>
        <v>85.27</v>
      </c>
      <c r="J254" s="24">
        <v>15</v>
      </c>
      <c r="K254" s="26">
        <f t="shared" si="49"/>
        <v>5.6846666666666668</v>
      </c>
      <c r="L254" s="24">
        <v>2.3975</v>
      </c>
      <c r="M254" s="24">
        <v>36</v>
      </c>
      <c r="N254" s="27">
        <f t="shared" si="50"/>
        <v>490.64358000000004</v>
      </c>
      <c r="O254" s="102">
        <f t="shared" si="43"/>
        <v>0.54500000000000004</v>
      </c>
      <c r="P254" s="21">
        <f>VLOOKUP(A254,'2022-23 Salary &amp; Benefits'!$A:$I,5,)</f>
        <v>68937</v>
      </c>
      <c r="Q254" s="21">
        <f>VLOOKUP(A254,'2022-23 Salary &amp; Benefits'!$A:$I,6,FALSE)</f>
        <v>72728</v>
      </c>
      <c r="R254" s="22">
        <f t="shared" si="44"/>
        <v>37570.67</v>
      </c>
      <c r="S254" s="22">
        <f t="shared" si="45"/>
        <v>2066.09</v>
      </c>
      <c r="T254" s="22">
        <f>'2022-23 Salary &amp; Benefits'!$G$6</f>
        <v>12558.24</v>
      </c>
      <c r="U254" s="23">
        <f>'2022-23 Salary &amp; Benefits'!$H$6</f>
        <v>0.2298</v>
      </c>
      <c r="V254" s="23">
        <f>'2022-23 Salary &amp; Benefits'!$I$6</f>
        <v>0.22339999999999999</v>
      </c>
      <c r="W254" s="22">
        <f t="shared" si="46"/>
        <v>15939.55</v>
      </c>
      <c r="X254" s="22">
        <f t="shared" si="47"/>
        <v>660.61</v>
      </c>
      <c r="Y254" s="22">
        <f t="shared" si="48"/>
        <v>147.58000000000001</v>
      </c>
      <c r="Z254" s="22">
        <f t="shared" si="51"/>
        <v>808.19</v>
      </c>
      <c r="AA254" s="22">
        <f t="shared" si="52"/>
        <v>56384.5</v>
      </c>
    </row>
    <row r="255" spans="1:27">
      <c r="A255" s="125" t="s">
        <v>2501</v>
      </c>
      <c r="B255" s="3" t="s">
        <v>1921</v>
      </c>
      <c r="C255" s="93">
        <f>IF(A255=Summary!$B$9,Summary!$G$9,0)</f>
        <v>0</v>
      </c>
      <c r="D255" s="134">
        <f>VLOOKUP(A255,AAFTE!$A:$S,3,0)</f>
        <v>677.85</v>
      </c>
      <c r="E255" s="20">
        <f>VLOOKUP($A255,'2022-23 Salary &amp; Benefits'!$A:$I,3,)</f>
        <v>1.03</v>
      </c>
      <c r="F255" s="20">
        <f>VLOOKUP($A255,'2022-23 Salary &amp; Benefits'!$A:$I,4,)</f>
        <v>1.03</v>
      </c>
      <c r="G255" s="34">
        <f>VLOOKUP(A255,'CEDARS District FRPL'!$A:$C,3,)</f>
        <v>0.50660000000000005</v>
      </c>
      <c r="H255" s="25">
        <f t="shared" si="41"/>
        <v>677.85</v>
      </c>
      <c r="I255" s="39">
        <f t="shared" si="42"/>
        <v>343.4</v>
      </c>
      <c r="J255" s="24">
        <v>15</v>
      </c>
      <c r="K255" s="26">
        <f t="shared" si="49"/>
        <v>22.893333333333331</v>
      </c>
      <c r="L255" s="24">
        <v>2.3975</v>
      </c>
      <c r="M255" s="24">
        <v>36</v>
      </c>
      <c r="N255" s="27">
        <f t="shared" si="50"/>
        <v>1975.9235999999996</v>
      </c>
      <c r="O255" s="102">
        <f t="shared" si="43"/>
        <v>2.1949999999999998</v>
      </c>
      <c r="P255" s="21">
        <f>VLOOKUP(A255,'2022-23 Salary &amp; Benefits'!$A:$I,5,)</f>
        <v>68937</v>
      </c>
      <c r="Q255" s="21">
        <f>VLOOKUP(A255,'2022-23 Salary &amp; Benefits'!$A:$I,6,FALSE)</f>
        <v>72728</v>
      </c>
      <c r="R255" s="22">
        <f t="shared" si="44"/>
        <v>155856.22</v>
      </c>
      <c r="S255" s="22">
        <f t="shared" si="45"/>
        <v>8570.8799999999992</v>
      </c>
      <c r="T255" s="22">
        <f>'2022-23 Salary &amp; Benefits'!$G$6</f>
        <v>12558.24</v>
      </c>
      <c r="U255" s="23">
        <f>'2022-23 Salary &amp; Benefits'!$H$6</f>
        <v>0.2298</v>
      </c>
      <c r="V255" s="23">
        <f>'2022-23 Salary &amp; Benefits'!$I$6</f>
        <v>0.22339999999999999</v>
      </c>
      <c r="W255" s="22">
        <f t="shared" si="46"/>
        <v>65295.83</v>
      </c>
      <c r="X255" s="22">
        <f t="shared" si="47"/>
        <v>2740.45</v>
      </c>
      <c r="Y255" s="22">
        <f t="shared" si="48"/>
        <v>612.22</v>
      </c>
      <c r="Z255" s="22">
        <f t="shared" si="51"/>
        <v>3352.67</v>
      </c>
      <c r="AA255" s="22">
        <f t="shared" si="52"/>
        <v>233075.6</v>
      </c>
    </row>
    <row r="256" spans="1:27">
      <c r="A256" s="125" t="s">
        <v>2486</v>
      </c>
      <c r="B256" s="3" t="s">
        <v>1773</v>
      </c>
      <c r="C256" s="93">
        <f>IF(A256=Summary!$B$9,Summary!$G$9,0)</f>
        <v>0</v>
      </c>
      <c r="D256" s="134">
        <f>VLOOKUP(A256,AAFTE!$A:$S,3,0)</f>
        <v>28349.08</v>
      </c>
      <c r="E256" s="20">
        <f>VLOOKUP($A256,'2022-23 Salary &amp; Benefits'!$A:$I,3,)</f>
        <v>1.03</v>
      </c>
      <c r="F256" s="20">
        <f>VLOOKUP($A256,'2022-23 Salary &amp; Benefits'!$A:$I,4,)</f>
        <v>1.03</v>
      </c>
      <c r="G256" s="34">
        <f>VLOOKUP(A256,'CEDARS District FRPL'!$A:$C,3,)</f>
        <v>0.59830000000000005</v>
      </c>
      <c r="H256" s="25">
        <f t="shared" si="41"/>
        <v>28349.08</v>
      </c>
      <c r="I256" s="39">
        <f t="shared" si="42"/>
        <v>16961.25</v>
      </c>
      <c r="J256" s="24">
        <v>15</v>
      </c>
      <c r="K256" s="26">
        <f t="shared" si="49"/>
        <v>1130.75</v>
      </c>
      <c r="L256" s="24">
        <v>2.3975</v>
      </c>
      <c r="M256" s="24">
        <v>36</v>
      </c>
      <c r="N256" s="27">
        <f t="shared" si="50"/>
        <v>97595.032500000001</v>
      </c>
      <c r="O256" s="102">
        <f t="shared" si="43"/>
        <v>108.43899999999999</v>
      </c>
      <c r="P256" s="21">
        <f>VLOOKUP(A256,'2022-23 Salary &amp; Benefits'!$A:$I,5,)</f>
        <v>68937</v>
      </c>
      <c r="Q256" s="21">
        <f>VLOOKUP(A256,'2022-23 Salary &amp; Benefits'!$A:$I,6,FALSE)</f>
        <v>72728</v>
      </c>
      <c r="R256" s="22">
        <f t="shared" si="44"/>
        <v>7699723.1200000001</v>
      </c>
      <c r="S256" s="22">
        <f t="shared" si="45"/>
        <v>423425.02</v>
      </c>
      <c r="T256" s="22">
        <f>'2022-23 Salary &amp; Benefits'!$G$6</f>
        <v>12558.24</v>
      </c>
      <c r="U256" s="23">
        <f>'2022-23 Salary &amp; Benefits'!$H$6</f>
        <v>0.2298</v>
      </c>
      <c r="V256" s="23">
        <f>'2022-23 Salary &amp; Benefits'!$I$6</f>
        <v>0.22339999999999999</v>
      </c>
      <c r="W256" s="22">
        <f t="shared" si="46"/>
        <v>3225792.51</v>
      </c>
      <c r="X256" s="22">
        <f t="shared" si="47"/>
        <v>135385.79999999999</v>
      </c>
      <c r="Y256" s="22">
        <f t="shared" si="48"/>
        <v>30245.19</v>
      </c>
      <c r="Z256" s="22">
        <f t="shared" si="51"/>
        <v>165630.99</v>
      </c>
      <c r="AA256" s="22">
        <f t="shared" si="52"/>
        <v>11514571.639999999</v>
      </c>
    </row>
    <row r="257" spans="1:27">
      <c r="A257" s="125" t="s">
        <v>2406</v>
      </c>
      <c r="B257" s="3" t="s">
        <v>1181</v>
      </c>
      <c r="C257" s="93">
        <f>IF(A257=Summary!$B$9,Summary!$G$9,0)</f>
        <v>0</v>
      </c>
      <c r="D257" s="134">
        <f>VLOOKUP(A257,AAFTE!$A:$S,3,0)</f>
        <v>71.42</v>
      </c>
      <c r="E257" s="20">
        <f>VLOOKUP($A257,'2022-23 Salary &amp; Benefits'!$A:$I,3,)</f>
        <v>1</v>
      </c>
      <c r="F257" s="20">
        <f>VLOOKUP($A257,'2022-23 Salary &amp; Benefits'!$A:$I,4,)</f>
        <v>1</v>
      </c>
      <c r="G257" s="34">
        <f>VLOOKUP(A257,'CEDARS District FRPL'!$A:$C,3,)</f>
        <v>0.54169999999999996</v>
      </c>
      <c r="H257" s="25">
        <f t="shared" si="41"/>
        <v>71.42</v>
      </c>
      <c r="I257" s="39">
        <f t="shared" si="42"/>
        <v>38.69</v>
      </c>
      <c r="J257" s="24">
        <v>15</v>
      </c>
      <c r="K257" s="26">
        <f t="shared" si="49"/>
        <v>2.579333333333333</v>
      </c>
      <c r="L257" s="24">
        <v>2.3975</v>
      </c>
      <c r="M257" s="24">
        <v>36</v>
      </c>
      <c r="N257" s="27">
        <f t="shared" si="50"/>
        <v>222.62225999999998</v>
      </c>
      <c r="O257" s="102">
        <f t="shared" si="43"/>
        <v>0.247</v>
      </c>
      <c r="P257" s="21">
        <f>VLOOKUP(A257,'2022-23 Salary &amp; Benefits'!$A:$I,5,)</f>
        <v>68937</v>
      </c>
      <c r="Q257" s="21">
        <f>VLOOKUP(A257,'2022-23 Salary &amp; Benefits'!$A:$I,6,FALSE)</f>
        <v>72728</v>
      </c>
      <c r="R257" s="22">
        <f t="shared" si="44"/>
        <v>17027.439999999999</v>
      </c>
      <c r="S257" s="22">
        <f t="shared" si="45"/>
        <v>936.38</v>
      </c>
      <c r="T257" s="22">
        <f>'2022-23 Salary &amp; Benefits'!$G$6</f>
        <v>12558.24</v>
      </c>
      <c r="U257" s="23">
        <f>'2022-23 Salary &amp; Benefits'!$H$6</f>
        <v>0.2298</v>
      </c>
      <c r="V257" s="23">
        <f>'2022-23 Salary &amp; Benefits'!$I$6</f>
        <v>0.22339999999999999</v>
      </c>
      <c r="W257" s="22">
        <f t="shared" si="46"/>
        <v>7223.98</v>
      </c>
      <c r="X257" s="22">
        <f t="shared" si="47"/>
        <v>299.39999999999998</v>
      </c>
      <c r="Y257" s="22">
        <f t="shared" si="48"/>
        <v>66.89</v>
      </c>
      <c r="Z257" s="22">
        <f t="shared" si="51"/>
        <v>366.28999999999996</v>
      </c>
      <c r="AA257" s="22">
        <f t="shared" si="52"/>
        <v>25554.09</v>
      </c>
    </row>
    <row r="258" spans="1:27">
      <c r="A258" s="125" t="s">
        <v>2551</v>
      </c>
      <c r="B258" s="3" t="s">
        <v>2158</v>
      </c>
      <c r="C258" s="93">
        <f>IF(A258=Summary!$B$9,Summary!$G$9,0)</f>
        <v>0</v>
      </c>
      <c r="D258" s="134">
        <f>VLOOKUP(A258,AAFTE!$A:$S,3,0)</f>
        <v>125.01</v>
      </c>
      <c r="E258" s="20">
        <f>VLOOKUP($A258,'2022-23 Salary &amp; Benefits'!$A:$I,3,)</f>
        <v>1</v>
      </c>
      <c r="F258" s="20">
        <f>VLOOKUP($A258,'2022-23 Salary &amp; Benefits'!$A:$I,4,)</f>
        <v>1</v>
      </c>
      <c r="G258" s="34">
        <f>VLOOKUP(A258,'CEDARS District FRPL'!$A:$C,3,)</f>
        <v>0.4919</v>
      </c>
      <c r="H258" s="25">
        <f t="shared" si="41"/>
        <v>125.01</v>
      </c>
      <c r="I258" s="39">
        <f t="shared" si="42"/>
        <v>61.49</v>
      </c>
      <c r="J258" s="24">
        <v>15</v>
      </c>
      <c r="K258" s="26">
        <f t="shared" si="49"/>
        <v>4.0993333333333331</v>
      </c>
      <c r="L258" s="24">
        <v>2.3975</v>
      </c>
      <c r="M258" s="24">
        <v>36</v>
      </c>
      <c r="N258" s="27">
        <f t="shared" si="50"/>
        <v>353.81345999999996</v>
      </c>
      <c r="O258" s="102">
        <f t="shared" si="43"/>
        <v>0.39300000000000002</v>
      </c>
      <c r="P258" s="21">
        <f>VLOOKUP(A258,'2022-23 Salary &amp; Benefits'!$A:$I,5,)</f>
        <v>68937</v>
      </c>
      <c r="Q258" s="21">
        <f>VLOOKUP(A258,'2022-23 Salary &amp; Benefits'!$A:$I,6,FALSE)</f>
        <v>72728</v>
      </c>
      <c r="R258" s="22">
        <f t="shared" si="44"/>
        <v>27092.240000000002</v>
      </c>
      <c r="S258" s="22">
        <f t="shared" si="45"/>
        <v>1489.86</v>
      </c>
      <c r="T258" s="22">
        <f>'2022-23 Salary &amp; Benefits'!$G$6</f>
        <v>12558.24</v>
      </c>
      <c r="U258" s="23">
        <f>'2022-23 Salary &amp; Benefits'!$H$6</f>
        <v>0.2298</v>
      </c>
      <c r="V258" s="23">
        <f>'2022-23 Salary &amp; Benefits'!$I$6</f>
        <v>0.22339999999999999</v>
      </c>
      <c r="W258" s="22">
        <f t="shared" si="46"/>
        <v>11494.02</v>
      </c>
      <c r="X258" s="22">
        <f t="shared" si="47"/>
        <v>476.37</v>
      </c>
      <c r="Y258" s="22">
        <f t="shared" si="48"/>
        <v>106.42</v>
      </c>
      <c r="Z258" s="22">
        <f t="shared" si="51"/>
        <v>582.79</v>
      </c>
      <c r="AA258" s="22">
        <f t="shared" si="52"/>
        <v>40658.910000000003</v>
      </c>
    </row>
    <row r="259" spans="1:27">
      <c r="A259" s="125" t="s">
        <v>2485</v>
      </c>
      <c r="B259" s="3" t="s">
        <v>1761</v>
      </c>
      <c r="C259" s="93">
        <f>IF(A259=Summary!$B$9,Summary!$G$9,0)</f>
        <v>0</v>
      </c>
      <c r="D259" s="134">
        <f>VLOOKUP(A259,AAFTE!$A:$S,3,0)</f>
        <v>4575.5</v>
      </c>
      <c r="E259" s="20">
        <f>VLOOKUP($A259,'2022-23 Salary &amp; Benefits'!$A:$I,3,)</f>
        <v>1.1499999999999999</v>
      </c>
      <c r="F259" s="20">
        <f>VLOOKUP($A259,'2022-23 Salary &amp; Benefits'!$A:$I,4,)</f>
        <v>1.19</v>
      </c>
      <c r="G259" s="34">
        <f>VLOOKUP(A259,'CEDARS District FRPL'!$A:$C,3,)</f>
        <v>0.29210000000000003</v>
      </c>
      <c r="H259" s="25">
        <f t="shared" si="41"/>
        <v>4575.5</v>
      </c>
      <c r="I259" s="39">
        <f t="shared" si="42"/>
        <v>1336.5</v>
      </c>
      <c r="J259" s="24">
        <v>15</v>
      </c>
      <c r="K259" s="26">
        <f t="shared" si="49"/>
        <v>89.1</v>
      </c>
      <c r="L259" s="24">
        <v>2.3975</v>
      </c>
      <c r="M259" s="24">
        <v>36</v>
      </c>
      <c r="N259" s="27">
        <f t="shared" si="50"/>
        <v>7690.2209999999995</v>
      </c>
      <c r="O259" s="102">
        <f t="shared" si="43"/>
        <v>8.5449999999999999</v>
      </c>
      <c r="P259" s="21">
        <f>VLOOKUP(A259,'2022-23 Salary &amp; Benefits'!$A:$I,5,)</f>
        <v>68937</v>
      </c>
      <c r="Q259" s="21">
        <f>VLOOKUP(A259,'2022-23 Salary &amp; Benefits'!$A:$I,6,FALSE)</f>
        <v>72728</v>
      </c>
      <c r="R259" s="22">
        <f t="shared" si="44"/>
        <v>677426.66</v>
      </c>
      <c r="S259" s="22">
        <f t="shared" si="45"/>
        <v>62111.64</v>
      </c>
      <c r="T259" s="22">
        <f>'2022-23 Salary &amp; Benefits'!$G$6</f>
        <v>12558.24</v>
      </c>
      <c r="U259" s="23">
        <f>'2022-23 Salary &amp; Benefits'!$H$6</f>
        <v>0.2298</v>
      </c>
      <c r="V259" s="23">
        <f>'2022-23 Salary &amp; Benefits'!$I$6</f>
        <v>0.22339999999999999</v>
      </c>
      <c r="W259" s="22">
        <f t="shared" si="46"/>
        <v>276858.55</v>
      </c>
      <c r="X259" s="22">
        <f t="shared" si="47"/>
        <v>12325.64</v>
      </c>
      <c r="Y259" s="22">
        <f t="shared" si="48"/>
        <v>2753.55</v>
      </c>
      <c r="Z259" s="22">
        <f t="shared" si="51"/>
        <v>15079.189999999999</v>
      </c>
      <c r="AA259" s="22">
        <f t="shared" si="52"/>
        <v>1031476.0399999999</v>
      </c>
    </row>
    <row r="260" spans="1:27">
      <c r="A260" s="125" t="s">
        <v>2314</v>
      </c>
      <c r="B260" s="3" t="s">
        <v>401</v>
      </c>
      <c r="C260" s="93">
        <f>IF(A260=Summary!$B$9,Summary!$G$9,0)</f>
        <v>0</v>
      </c>
      <c r="D260" s="134">
        <f>VLOOKUP(A260,AAFTE!$A:$S,3,0)</f>
        <v>12.43</v>
      </c>
      <c r="E260" s="20">
        <f>VLOOKUP($A260,'2022-23 Salary &amp; Benefits'!$A:$I,3,)</f>
        <v>1</v>
      </c>
      <c r="F260" s="20">
        <f>VLOOKUP($A260,'2022-23 Salary &amp; Benefits'!$A:$I,4,)</f>
        <v>1</v>
      </c>
      <c r="G260" s="34">
        <f>VLOOKUP(A260,'CEDARS District FRPL'!$A:$C,3,)</f>
        <v>0</v>
      </c>
      <c r="H260" s="25">
        <f t="shared" si="41"/>
        <v>12.43</v>
      </c>
      <c r="I260" s="39">
        <f t="shared" si="42"/>
        <v>0</v>
      </c>
      <c r="J260" s="24">
        <v>15</v>
      </c>
      <c r="K260" s="26">
        <f t="shared" si="49"/>
        <v>0</v>
      </c>
      <c r="L260" s="24">
        <v>2.3975</v>
      </c>
      <c r="M260" s="24">
        <v>36</v>
      </c>
      <c r="N260" s="27">
        <f t="shared" si="50"/>
        <v>0</v>
      </c>
      <c r="O260" s="102">
        <f t="shared" si="43"/>
        <v>0</v>
      </c>
      <c r="P260" s="21">
        <f>VLOOKUP(A260,'2022-23 Salary &amp; Benefits'!$A:$I,5,)</f>
        <v>68937</v>
      </c>
      <c r="Q260" s="21">
        <f>VLOOKUP(A260,'2022-23 Salary &amp; Benefits'!$A:$I,6,FALSE)</f>
        <v>72728</v>
      </c>
      <c r="R260" s="22">
        <f t="shared" si="44"/>
        <v>0</v>
      </c>
      <c r="S260" s="22">
        <f t="shared" si="45"/>
        <v>0</v>
      </c>
      <c r="T260" s="22">
        <f>'2022-23 Salary &amp; Benefits'!$G$6</f>
        <v>12558.24</v>
      </c>
      <c r="U260" s="23">
        <f>'2022-23 Salary &amp; Benefits'!$H$6</f>
        <v>0.2298</v>
      </c>
      <c r="V260" s="23">
        <f>'2022-23 Salary &amp; Benefits'!$I$6</f>
        <v>0.22339999999999999</v>
      </c>
      <c r="W260" s="22">
        <f t="shared" si="46"/>
        <v>0</v>
      </c>
      <c r="X260" s="22">
        <f t="shared" si="47"/>
        <v>0</v>
      </c>
      <c r="Y260" s="22">
        <f t="shared" si="48"/>
        <v>0</v>
      </c>
      <c r="Z260" s="22">
        <f t="shared" si="51"/>
        <v>0</v>
      </c>
      <c r="AA260" s="22">
        <f t="shared" si="52"/>
        <v>0</v>
      </c>
    </row>
    <row r="261" spans="1:27">
      <c r="A261" s="125" t="s">
        <v>2294</v>
      </c>
      <c r="B261" s="3" t="s">
        <v>294</v>
      </c>
      <c r="C261" s="93">
        <f>IF(A261=Summary!$B$9,Summary!$G$9,0)</f>
        <v>0</v>
      </c>
      <c r="D261" s="134">
        <f>VLOOKUP(A261,AAFTE!$A:$S,3,0)</f>
        <v>303.87</v>
      </c>
      <c r="E261" s="20">
        <f>VLOOKUP($A261,'2022-23 Salary &amp; Benefits'!$A:$I,3,)</f>
        <v>1</v>
      </c>
      <c r="F261" s="20">
        <f>VLOOKUP($A261,'2022-23 Salary &amp; Benefits'!$A:$I,4,)</f>
        <v>1</v>
      </c>
      <c r="G261" s="34">
        <f>VLOOKUP(A261,'CEDARS District FRPL'!$A:$C,3,)</f>
        <v>0.79169999999999996</v>
      </c>
      <c r="H261" s="25">
        <f t="shared" ref="H261:H319" si="53">IF(C261&gt;0,C261,D261)</f>
        <v>303.87</v>
      </c>
      <c r="I261" s="39">
        <f t="shared" si="42"/>
        <v>240.57</v>
      </c>
      <c r="J261" s="24">
        <v>15</v>
      </c>
      <c r="K261" s="26">
        <f t="shared" si="49"/>
        <v>16.038</v>
      </c>
      <c r="L261" s="24">
        <v>2.3975</v>
      </c>
      <c r="M261" s="24">
        <v>36</v>
      </c>
      <c r="N261" s="27">
        <f t="shared" si="50"/>
        <v>1384.2397799999999</v>
      </c>
      <c r="O261" s="102">
        <f t="shared" si="43"/>
        <v>1.538</v>
      </c>
      <c r="P261" s="21">
        <f>VLOOKUP(A261,'2022-23 Salary &amp; Benefits'!$A:$I,5,)</f>
        <v>68937</v>
      </c>
      <c r="Q261" s="21">
        <f>VLOOKUP(A261,'2022-23 Salary &amp; Benefits'!$A:$I,6,FALSE)</f>
        <v>72728</v>
      </c>
      <c r="R261" s="22">
        <f t="shared" si="44"/>
        <v>106025.11</v>
      </c>
      <c r="S261" s="22">
        <f t="shared" si="45"/>
        <v>5830.55</v>
      </c>
      <c r="T261" s="22">
        <f>'2022-23 Salary &amp; Benefits'!$G$6</f>
        <v>12558.24</v>
      </c>
      <c r="U261" s="23">
        <f>'2022-23 Salary &amp; Benefits'!$H$6</f>
        <v>0.2298</v>
      </c>
      <c r="V261" s="23">
        <f>'2022-23 Salary &amp; Benefits'!$I$6</f>
        <v>0.22339999999999999</v>
      </c>
      <c r="W261" s="22">
        <f t="shared" si="46"/>
        <v>44981.69</v>
      </c>
      <c r="X261" s="22">
        <f t="shared" si="47"/>
        <v>1864.26</v>
      </c>
      <c r="Y261" s="22">
        <f t="shared" si="48"/>
        <v>416.48</v>
      </c>
      <c r="Z261" s="22">
        <f t="shared" si="51"/>
        <v>2280.7399999999998</v>
      </c>
      <c r="AA261" s="22">
        <f t="shared" si="52"/>
        <v>159118.08999999997</v>
      </c>
    </row>
    <row r="262" spans="1:27">
      <c r="A262" s="125" t="s">
        <v>2271</v>
      </c>
      <c r="B262" s="3" t="s">
        <v>100</v>
      </c>
      <c r="C262" s="93">
        <f>IF(A262=Summary!$B$9,Summary!$G$9,0)</f>
        <v>0</v>
      </c>
      <c r="D262" s="134">
        <f>VLOOKUP(A262,AAFTE!$A:$S,3,0)</f>
        <v>11</v>
      </c>
      <c r="E262" s="20">
        <f>VLOOKUP($A262,'2022-23 Salary &amp; Benefits'!$A:$I,3,)</f>
        <v>1.03</v>
      </c>
      <c r="F262" s="20">
        <f>VLOOKUP($A262,'2022-23 Salary &amp; Benefits'!$A:$I,4,)</f>
        <v>1.03</v>
      </c>
      <c r="G262" s="34">
        <f>VLOOKUP(A262,'CEDARS District FRPL'!$A:$C,3,)</f>
        <v>0</v>
      </c>
      <c r="H262" s="25">
        <f t="shared" si="53"/>
        <v>11</v>
      </c>
      <c r="I262" s="39">
        <f t="shared" ref="I262:I322" si="54">ROUND(H262*G262,2)</f>
        <v>0</v>
      </c>
      <c r="J262" s="24">
        <v>15</v>
      </c>
      <c r="K262" s="26">
        <f t="shared" ref="K262:K319" si="55">I262/J262</f>
        <v>0</v>
      </c>
      <c r="L262" s="24">
        <v>2.3975</v>
      </c>
      <c r="M262" s="24">
        <v>36</v>
      </c>
      <c r="N262" s="27">
        <f t="shared" ref="N262:N319" si="56">K262*L262*M262</f>
        <v>0</v>
      </c>
      <c r="O262" s="102">
        <f t="shared" ref="O262:O322" si="57">ROUND(N262/900,3)</f>
        <v>0</v>
      </c>
      <c r="P262" s="21">
        <f>VLOOKUP(A262,'2022-23 Salary &amp; Benefits'!$A:$I,5,)</f>
        <v>68937</v>
      </c>
      <c r="Q262" s="21">
        <f>VLOOKUP(A262,'2022-23 Salary &amp; Benefits'!$A:$I,6,FALSE)</f>
        <v>72728</v>
      </c>
      <c r="R262" s="22">
        <f t="shared" ref="R262:R322" si="58">ROUND($E262*$P262*$O262,2)</f>
        <v>0</v>
      </c>
      <c r="S262" s="22">
        <f t="shared" ref="S262:S322" si="59">ROUND(($Q262*$F262*$O262-$R262),2)</f>
        <v>0</v>
      </c>
      <c r="T262" s="22">
        <f>'2022-23 Salary &amp; Benefits'!$G$6</f>
        <v>12558.24</v>
      </c>
      <c r="U262" s="23">
        <f>'2022-23 Salary &amp; Benefits'!$H$6</f>
        <v>0.2298</v>
      </c>
      <c r="V262" s="23">
        <f>'2022-23 Salary &amp; Benefits'!$I$6</f>
        <v>0.22339999999999999</v>
      </c>
      <c r="W262" s="22">
        <f t="shared" ref="W262:W322" si="60">ROUND(R262*U262+S262*V262+O262*T262,2)</f>
        <v>0</v>
      </c>
      <c r="X262" s="22">
        <f t="shared" ref="X262:X322" si="61">ROUND(($Q262*$F262*$O262/180*3),2)</f>
        <v>0</v>
      </c>
      <c r="Y262" s="22">
        <f t="shared" ref="Y262:Y322" si="62">ROUND(X262*V262,2)</f>
        <v>0</v>
      </c>
      <c r="Z262" s="22">
        <f t="shared" si="51"/>
        <v>0</v>
      </c>
      <c r="AA262" s="22">
        <f t="shared" si="52"/>
        <v>0</v>
      </c>
    </row>
    <row r="263" spans="1:27">
      <c r="A263" s="125" t="s">
        <v>2438</v>
      </c>
      <c r="B263" s="3" t="s">
        <v>1292</v>
      </c>
      <c r="C263" s="93">
        <f>IF(A263=Summary!$B$9,Summary!$G$9,0)</f>
        <v>0</v>
      </c>
      <c r="D263" s="134">
        <f>VLOOKUP(A263,AAFTE!$A:$S,3,0)</f>
        <v>3124.52</v>
      </c>
      <c r="E263" s="20">
        <f>VLOOKUP($A263,'2022-23 Salary &amp; Benefits'!$A:$I,3,)</f>
        <v>1.03</v>
      </c>
      <c r="F263" s="20">
        <f>VLOOKUP($A263,'2022-23 Salary &amp; Benefits'!$A:$I,4,)</f>
        <v>1.03</v>
      </c>
      <c r="G263" s="34">
        <f>VLOOKUP(A263,'CEDARS District FRPL'!$A:$C,3,)</f>
        <v>0.23480000000000001</v>
      </c>
      <c r="H263" s="25">
        <f t="shared" si="53"/>
        <v>3124.52</v>
      </c>
      <c r="I263" s="39">
        <f t="shared" si="54"/>
        <v>733.64</v>
      </c>
      <c r="J263" s="24">
        <v>15</v>
      </c>
      <c r="K263" s="26">
        <f t="shared" si="55"/>
        <v>48.909333333333329</v>
      </c>
      <c r="L263" s="24">
        <v>2.3975</v>
      </c>
      <c r="M263" s="24">
        <v>36</v>
      </c>
      <c r="N263" s="27">
        <f t="shared" si="56"/>
        <v>4221.3645599999991</v>
      </c>
      <c r="O263" s="102">
        <f t="shared" si="57"/>
        <v>4.6900000000000004</v>
      </c>
      <c r="P263" s="21">
        <f>VLOOKUP(A263,'2022-23 Salary &amp; Benefits'!$A:$I,5,)</f>
        <v>68937</v>
      </c>
      <c r="Q263" s="21">
        <f>VLOOKUP(A263,'2022-23 Salary &amp; Benefits'!$A:$I,6,FALSE)</f>
        <v>72728</v>
      </c>
      <c r="R263" s="22">
        <f t="shared" si="58"/>
        <v>333013.96999999997</v>
      </c>
      <c r="S263" s="22">
        <f t="shared" si="59"/>
        <v>18313.18</v>
      </c>
      <c r="T263" s="22">
        <f>'2022-23 Salary &amp; Benefits'!$G$6</f>
        <v>12558.24</v>
      </c>
      <c r="U263" s="23">
        <f>'2022-23 Salary &amp; Benefits'!$H$6</f>
        <v>0.2298</v>
      </c>
      <c r="V263" s="23">
        <f>'2022-23 Salary &amp; Benefits'!$I$6</f>
        <v>0.22339999999999999</v>
      </c>
      <c r="W263" s="22">
        <f t="shared" si="60"/>
        <v>139515.92000000001</v>
      </c>
      <c r="X263" s="22">
        <f t="shared" si="61"/>
        <v>5855.45</v>
      </c>
      <c r="Y263" s="22">
        <f t="shared" si="62"/>
        <v>1308.1099999999999</v>
      </c>
      <c r="Z263" s="22">
        <f t="shared" ref="Z263:Z319" si="63">SUM(X263:Y263)</f>
        <v>7163.5599999999995</v>
      </c>
      <c r="AA263" s="22">
        <f t="shared" ref="AA263:AA319" si="64">SUM(W263,R263:S263,Z263)</f>
        <v>498006.63</v>
      </c>
    </row>
    <row r="264" spans="1:27">
      <c r="A264" s="125" t="s">
        <v>2547</v>
      </c>
      <c r="B264" s="3" t="s">
        <v>2150</v>
      </c>
      <c r="C264" s="93">
        <f>IF(A264=Summary!$B$9,Summary!$G$9,0)</f>
        <v>0</v>
      </c>
      <c r="D264" s="134">
        <f>VLOOKUP(A264,AAFTE!$A:$S,3,0)</f>
        <v>38.71</v>
      </c>
      <c r="E264" s="20">
        <f>VLOOKUP($A264,'2022-23 Salary &amp; Benefits'!$A:$I,3,)</f>
        <v>1</v>
      </c>
      <c r="F264" s="20">
        <f>VLOOKUP($A264,'2022-23 Salary &amp; Benefits'!$A:$I,4,)</f>
        <v>1</v>
      </c>
      <c r="G264" s="34">
        <f>VLOOKUP(A264,'CEDARS District FRPL'!$A:$C,3,)</f>
        <v>0</v>
      </c>
      <c r="H264" s="25">
        <f t="shared" si="53"/>
        <v>38.71</v>
      </c>
      <c r="I264" s="39">
        <f t="shared" si="54"/>
        <v>0</v>
      </c>
      <c r="J264" s="24">
        <v>15</v>
      </c>
      <c r="K264" s="26">
        <f t="shared" si="55"/>
        <v>0</v>
      </c>
      <c r="L264" s="24">
        <v>2.3975</v>
      </c>
      <c r="M264" s="24">
        <v>36</v>
      </c>
      <c r="N264" s="27">
        <f t="shared" si="56"/>
        <v>0</v>
      </c>
      <c r="O264" s="102">
        <f t="shared" si="57"/>
        <v>0</v>
      </c>
      <c r="P264" s="21">
        <f>VLOOKUP(A264,'2022-23 Salary &amp; Benefits'!$A:$I,5,)</f>
        <v>68937</v>
      </c>
      <c r="Q264" s="21">
        <f>VLOOKUP(A264,'2022-23 Salary &amp; Benefits'!$A:$I,6,FALSE)</f>
        <v>72728</v>
      </c>
      <c r="R264" s="22">
        <f t="shared" si="58"/>
        <v>0</v>
      </c>
      <c r="S264" s="22">
        <f t="shared" si="59"/>
        <v>0</v>
      </c>
      <c r="T264" s="22">
        <f>'2022-23 Salary &amp; Benefits'!$G$6</f>
        <v>12558.24</v>
      </c>
      <c r="U264" s="23">
        <f>'2022-23 Salary &amp; Benefits'!$H$6</f>
        <v>0.2298</v>
      </c>
      <c r="V264" s="23">
        <f>'2022-23 Salary &amp; Benefits'!$I$6</f>
        <v>0.22339999999999999</v>
      </c>
      <c r="W264" s="22">
        <f t="shared" si="60"/>
        <v>0</v>
      </c>
      <c r="X264" s="22">
        <f t="shared" si="61"/>
        <v>0</v>
      </c>
      <c r="Y264" s="22">
        <f t="shared" si="62"/>
        <v>0</v>
      </c>
      <c r="Z264" s="22">
        <f t="shared" si="63"/>
        <v>0</v>
      </c>
      <c r="AA264" s="22">
        <f t="shared" si="64"/>
        <v>0</v>
      </c>
    </row>
    <row r="265" spans="1:27">
      <c r="A265" s="125" t="s">
        <v>2471</v>
      </c>
      <c r="B265" s="3" t="s">
        <v>1591</v>
      </c>
      <c r="C265" s="93">
        <f>IF(A265=Summary!$B$9,Summary!$G$9,0)</f>
        <v>0</v>
      </c>
      <c r="D265" s="134">
        <f>VLOOKUP(A265,AAFTE!$A:$S,3,0)</f>
        <v>781.44</v>
      </c>
      <c r="E265" s="20">
        <f>VLOOKUP($A265,'2022-23 Salary &amp; Benefits'!$A:$I,3,)</f>
        <v>1</v>
      </c>
      <c r="F265" s="20">
        <f>VLOOKUP($A265,'2022-23 Salary &amp; Benefits'!$A:$I,4,)</f>
        <v>1</v>
      </c>
      <c r="G265" s="34">
        <f>VLOOKUP(A265,'CEDARS District FRPL'!$A:$C,3,)</f>
        <v>0.51949999999999996</v>
      </c>
      <c r="H265" s="25">
        <f t="shared" si="53"/>
        <v>781.44</v>
      </c>
      <c r="I265" s="39">
        <f t="shared" si="54"/>
        <v>405.96</v>
      </c>
      <c r="J265" s="24">
        <v>15</v>
      </c>
      <c r="K265" s="26">
        <f t="shared" si="55"/>
        <v>27.064</v>
      </c>
      <c r="L265" s="24">
        <v>2.3975</v>
      </c>
      <c r="M265" s="24">
        <v>36</v>
      </c>
      <c r="N265" s="27">
        <f t="shared" si="56"/>
        <v>2335.8938400000002</v>
      </c>
      <c r="O265" s="102">
        <f t="shared" si="57"/>
        <v>2.5950000000000002</v>
      </c>
      <c r="P265" s="21">
        <f>VLOOKUP(A265,'2022-23 Salary &amp; Benefits'!$A:$I,5,)</f>
        <v>68937</v>
      </c>
      <c r="Q265" s="21">
        <f>VLOOKUP(A265,'2022-23 Salary &amp; Benefits'!$A:$I,6,FALSE)</f>
        <v>72728</v>
      </c>
      <c r="R265" s="22">
        <f t="shared" si="58"/>
        <v>178891.51999999999</v>
      </c>
      <c r="S265" s="22">
        <f t="shared" si="59"/>
        <v>9837.64</v>
      </c>
      <c r="T265" s="22">
        <f>'2022-23 Salary &amp; Benefits'!$G$6</f>
        <v>12558.24</v>
      </c>
      <c r="U265" s="23">
        <f>'2022-23 Salary &amp; Benefits'!$H$6</f>
        <v>0.2298</v>
      </c>
      <c r="V265" s="23">
        <f>'2022-23 Salary &amp; Benefits'!$I$6</f>
        <v>0.22339999999999999</v>
      </c>
      <c r="W265" s="22">
        <f t="shared" si="60"/>
        <v>75895.63</v>
      </c>
      <c r="X265" s="22">
        <f t="shared" si="61"/>
        <v>3145.49</v>
      </c>
      <c r="Y265" s="22">
        <f t="shared" si="62"/>
        <v>702.7</v>
      </c>
      <c r="Z265" s="22">
        <f t="shared" si="63"/>
        <v>3848.1899999999996</v>
      </c>
      <c r="AA265" s="22">
        <f t="shared" si="64"/>
        <v>268472.98</v>
      </c>
    </row>
    <row r="266" spans="1:27">
      <c r="A266" s="126" t="s">
        <v>2482</v>
      </c>
      <c r="B266" s="3" t="s">
        <v>1746</v>
      </c>
      <c r="C266" s="93">
        <f>IF(A266=Summary!$B$9,Summary!$G$9,0)</f>
        <v>0</v>
      </c>
      <c r="D266" s="134">
        <f>VLOOKUP(A266,AAFTE!$A:$S,3,0)</f>
        <v>1936.74</v>
      </c>
      <c r="E266" s="20">
        <f>VLOOKUP($A266,'2022-23 Salary &amp; Benefits'!$A:$I,3,)</f>
        <v>1.18</v>
      </c>
      <c r="F266" s="20">
        <f>VLOOKUP($A266,'2022-23 Salary &amp; Benefits'!$A:$I,4,)</f>
        <v>1.18</v>
      </c>
      <c r="G266" s="34">
        <f>VLOOKUP(A266,'CEDARS District FRPL'!$A:$C,3,)</f>
        <v>0.55110000000000003</v>
      </c>
      <c r="H266" s="25">
        <f t="shared" si="53"/>
        <v>1936.74</v>
      </c>
      <c r="I266" s="39">
        <f t="shared" si="54"/>
        <v>1067.3399999999999</v>
      </c>
      <c r="J266" s="24">
        <v>15</v>
      </c>
      <c r="K266" s="26">
        <f t="shared" si="55"/>
        <v>71.155999999999992</v>
      </c>
      <c r="L266" s="24">
        <v>2.3975</v>
      </c>
      <c r="M266" s="24">
        <v>36</v>
      </c>
      <c r="N266" s="27">
        <f t="shared" si="56"/>
        <v>6141.4743599999983</v>
      </c>
      <c r="O266" s="102">
        <f t="shared" si="57"/>
        <v>6.8239999999999998</v>
      </c>
      <c r="P266" s="21">
        <f>VLOOKUP(A266,'2022-23 Salary &amp; Benefits'!$A:$I,5,)</f>
        <v>68937</v>
      </c>
      <c r="Q266" s="21">
        <f>VLOOKUP(A266,'2022-23 Salary &amp; Benefits'!$A:$I,6,FALSE)</f>
        <v>72728</v>
      </c>
      <c r="R266" s="22">
        <f t="shared" si="58"/>
        <v>555102.78</v>
      </c>
      <c r="S266" s="22">
        <f t="shared" si="59"/>
        <v>30526.35</v>
      </c>
      <c r="T266" s="22">
        <f>'2022-23 Salary &amp; Benefits'!$G$6</f>
        <v>12558.24</v>
      </c>
      <c r="U266" s="23">
        <f>'2022-23 Salary &amp; Benefits'!$H$6</f>
        <v>0.2298</v>
      </c>
      <c r="V266" s="23">
        <f>'2022-23 Salary &amp; Benefits'!$I$6</f>
        <v>0.22339999999999999</v>
      </c>
      <c r="W266" s="22">
        <f t="shared" si="60"/>
        <v>220079.64</v>
      </c>
      <c r="X266" s="22">
        <f t="shared" si="61"/>
        <v>9760.49</v>
      </c>
      <c r="Y266" s="22">
        <f t="shared" si="62"/>
        <v>2180.4899999999998</v>
      </c>
      <c r="Z266" s="22">
        <f t="shared" si="63"/>
        <v>11940.98</v>
      </c>
      <c r="AA266" s="22">
        <f t="shared" si="64"/>
        <v>817649.75</v>
      </c>
    </row>
    <row r="267" spans="1:27">
      <c r="A267" s="125" t="s">
        <v>2586</v>
      </c>
      <c r="B267" s="3" t="s">
        <v>2709</v>
      </c>
      <c r="C267" s="93">
        <f>IF(A267=Summary!$B$9,Summary!$G$9,0)</f>
        <v>0</v>
      </c>
      <c r="D267" s="134">
        <f>VLOOKUP(A267,AAFTE!$A:$S,3,0)</f>
        <v>460.91</v>
      </c>
      <c r="E267" s="20">
        <f>VLOOKUP($A267,'2022-23 Salary &amp; Benefits'!$A:$I,3,)</f>
        <v>1.18</v>
      </c>
      <c r="F267" s="20">
        <f>VLOOKUP($A267,'2022-23 Salary &amp; Benefits'!$A:$I,4,)</f>
        <v>1.18</v>
      </c>
      <c r="G267" s="34">
        <f>VLOOKUP(A267,'CEDARS District FRPL'!$A:$C,3,)</f>
        <v>0.37930000000000003</v>
      </c>
      <c r="H267" s="25">
        <f t="shared" si="53"/>
        <v>460.91</v>
      </c>
      <c r="I267" s="39">
        <f t="shared" si="54"/>
        <v>174.82</v>
      </c>
      <c r="J267" s="24">
        <v>15</v>
      </c>
      <c r="K267" s="26">
        <f t="shared" si="55"/>
        <v>11.654666666666666</v>
      </c>
      <c r="L267" s="24">
        <v>2.3975</v>
      </c>
      <c r="M267" s="24">
        <v>36</v>
      </c>
      <c r="N267" s="27">
        <f t="shared" si="56"/>
        <v>1005.9142799999998</v>
      </c>
      <c r="O267" s="102">
        <f t="shared" si="57"/>
        <v>1.1180000000000001</v>
      </c>
      <c r="P267" s="21">
        <f>VLOOKUP(A267,'2022-23 Salary &amp; Benefits'!$A:$I,5,)</f>
        <v>68937</v>
      </c>
      <c r="Q267" s="21">
        <f>VLOOKUP(A267,'2022-23 Salary &amp; Benefits'!$A:$I,6,FALSE)</f>
        <v>72728</v>
      </c>
      <c r="R267" s="22">
        <f t="shared" si="58"/>
        <v>90944.45</v>
      </c>
      <c r="S267" s="22">
        <f t="shared" si="59"/>
        <v>5001.24</v>
      </c>
      <c r="T267" s="22">
        <f>'2022-23 Salary &amp; Benefits'!$G$6</f>
        <v>12558.24</v>
      </c>
      <c r="U267" s="23">
        <f>'2022-23 Salary &amp; Benefits'!$H$6</f>
        <v>0.2298</v>
      </c>
      <c r="V267" s="23">
        <f>'2022-23 Salary &amp; Benefits'!$I$6</f>
        <v>0.22339999999999999</v>
      </c>
      <c r="W267" s="22">
        <f t="shared" si="60"/>
        <v>36056.42</v>
      </c>
      <c r="X267" s="22">
        <f t="shared" si="61"/>
        <v>1599.09</v>
      </c>
      <c r="Y267" s="22">
        <f t="shared" si="62"/>
        <v>357.24</v>
      </c>
      <c r="Z267" s="22">
        <f t="shared" si="63"/>
        <v>1956.33</v>
      </c>
      <c r="AA267" s="22">
        <f t="shared" si="64"/>
        <v>133958.43999999997</v>
      </c>
    </row>
    <row r="268" spans="1:27">
      <c r="A268" s="125" t="s">
        <v>2509</v>
      </c>
      <c r="B268" s="3" t="s">
        <v>1945</v>
      </c>
      <c r="C268" s="93">
        <f>IF(A268=Summary!$B$9,Summary!$G$9,0)</f>
        <v>0</v>
      </c>
      <c r="D268" s="134">
        <f>VLOOKUP(A268,AAFTE!$A:$S,3,0)</f>
        <v>71</v>
      </c>
      <c r="E268" s="20">
        <f>VLOOKUP($A268,'2022-23 Salary &amp; Benefits'!$A:$I,3,)</f>
        <v>1</v>
      </c>
      <c r="F268" s="20">
        <f>VLOOKUP($A268,'2022-23 Salary &amp; Benefits'!$A:$I,4,)</f>
        <v>1</v>
      </c>
      <c r="G268" s="34">
        <f>VLOOKUP(A268,'CEDARS District FRPL'!$A:$C,3,)</f>
        <v>0.84930000000000005</v>
      </c>
      <c r="H268" s="25">
        <f t="shared" si="53"/>
        <v>71</v>
      </c>
      <c r="I268" s="39">
        <f t="shared" si="54"/>
        <v>60.3</v>
      </c>
      <c r="J268" s="24">
        <v>15</v>
      </c>
      <c r="K268" s="26">
        <f t="shared" si="55"/>
        <v>4.0199999999999996</v>
      </c>
      <c r="L268" s="24">
        <v>2.3975</v>
      </c>
      <c r="M268" s="24">
        <v>36</v>
      </c>
      <c r="N268" s="27">
        <f t="shared" si="56"/>
        <v>346.96619999999996</v>
      </c>
      <c r="O268" s="102">
        <f t="shared" si="57"/>
        <v>0.38600000000000001</v>
      </c>
      <c r="P268" s="21">
        <f>VLOOKUP(A268,'2022-23 Salary &amp; Benefits'!$A:$I,5,)</f>
        <v>68937</v>
      </c>
      <c r="Q268" s="21">
        <f>VLOOKUP(A268,'2022-23 Salary &amp; Benefits'!$A:$I,6,FALSE)</f>
        <v>72728</v>
      </c>
      <c r="R268" s="22">
        <f t="shared" si="58"/>
        <v>26609.68</v>
      </c>
      <c r="S268" s="22">
        <f t="shared" si="59"/>
        <v>1463.33</v>
      </c>
      <c r="T268" s="22">
        <f>'2022-23 Salary &amp; Benefits'!$G$6</f>
        <v>12558.24</v>
      </c>
      <c r="U268" s="23">
        <f>'2022-23 Salary &amp; Benefits'!$H$6</f>
        <v>0.2298</v>
      </c>
      <c r="V268" s="23">
        <f>'2022-23 Salary &amp; Benefits'!$I$6</f>
        <v>0.22339999999999999</v>
      </c>
      <c r="W268" s="22">
        <f t="shared" si="60"/>
        <v>11289.29</v>
      </c>
      <c r="X268" s="22">
        <f t="shared" si="61"/>
        <v>467.88</v>
      </c>
      <c r="Y268" s="22">
        <f t="shared" si="62"/>
        <v>104.52</v>
      </c>
      <c r="Z268" s="22">
        <f t="shared" si="63"/>
        <v>572.4</v>
      </c>
      <c r="AA268" s="22">
        <f t="shared" si="64"/>
        <v>39934.700000000004</v>
      </c>
    </row>
    <row r="269" spans="1:27">
      <c r="A269" s="125" t="s">
        <v>2453</v>
      </c>
      <c r="B269" s="3" t="s">
        <v>1522</v>
      </c>
      <c r="C269" s="93">
        <f>IF(A269=Summary!$B$9,Summary!$G$9,0)</f>
        <v>0</v>
      </c>
      <c r="D269" s="134">
        <f>VLOOKUP(A269,AAFTE!$A:$S,3,0)</f>
        <v>177.43</v>
      </c>
      <c r="E269" s="20">
        <f>VLOOKUP($A269,'2022-23 Salary &amp; Benefits'!$A:$I,3,)</f>
        <v>1.1200000000000001</v>
      </c>
      <c r="F269" s="20">
        <f>VLOOKUP($A269,'2022-23 Salary &amp; Benefits'!$A:$I,4,)</f>
        <v>1.1200000000000001</v>
      </c>
      <c r="G269" s="34">
        <f>VLOOKUP(A269,'CEDARS District FRPL'!$A:$C,3,)</f>
        <v>0.59119999999999995</v>
      </c>
      <c r="H269" s="25">
        <f t="shared" si="53"/>
        <v>177.43</v>
      </c>
      <c r="I269" s="39">
        <f t="shared" si="54"/>
        <v>104.9</v>
      </c>
      <c r="J269" s="24">
        <v>15</v>
      </c>
      <c r="K269" s="26">
        <f t="shared" si="55"/>
        <v>6.9933333333333341</v>
      </c>
      <c r="L269" s="24">
        <v>2.3975</v>
      </c>
      <c r="M269" s="24">
        <v>36</v>
      </c>
      <c r="N269" s="27">
        <f t="shared" si="56"/>
        <v>603.59460000000001</v>
      </c>
      <c r="O269" s="102">
        <f t="shared" si="57"/>
        <v>0.67100000000000004</v>
      </c>
      <c r="P269" s="21">
        <f>VLOOKUP(A269,'2022-23 Salary &amp; Benefits'!$A:$I,5,)</f>
        <v>68937</v>
      </c>
      <c r="Q269" s="21">
        <f>VLOOKUP(A269,'2022-23 Salary &amp; Benefits'!$A:$I,6,FALSE)</f>
        <v>72728</v>
      </c>
      <c r="R269" s="22">
        <f t="shared" si="58"/>
        <v>51807.53</v>
      </c>
      <c r="S269" s="22">
        <f t="shared" si="59"/>
        <v>2849.02</v>
      </c>
      <c r="T269" s="22">
        <f>'2022-23 Salary &amp; Benefits'!$G$6</f>
        <v>12558.24</v>
      </c>
      <c r="U269" s="23">
        <f>'2022-23 Salary &amp; Benefits'!$H$6</f>
        <v>0.2298</v>
      </c>
      <c r="V269" s="23">
        <f>'2022-23 Salary &amp; Benefits'!$I$6</f>
        <v>0.22339999999999999</v>
      </c>
      <c r="W269" s="22">
        <f t="shared" si="60"/>
        <v>20968.419999999998</v>
      </c>
      <c r="X269" s="22">
        <f t="shared" si="61"/>
        <v>910.94</v>
      </c>
      <c r="Y269" s="22">
        <f t="shared" si="62"/>
        <v>203.5</v>
      </c>
      <c r="Z269" s="22">
        <f t="shared" si="63"/>
        <v>1114.44</v>
      </c>
      <c r="AA269" s="22">
        <f t="shared" si="64"/>
        <v>76739.41</v>
      </c>
    </row>
    <row r="270" spans="1:27">
      <c r="A270" s="125" t="s">
        <v>2367</v>
      </c>
      <c r="B270" s="3" t="s">
        <v>1011</v>
      </c>
      <c r="C270" s="93">
        <f>IF(A270=Summary!$B$9,Summary!$G$9,0)</f>
        <v>0</v>
      </c>
      <c r="D270" s="134">
        <f>VLOOKUP(A270,AAFTE!$A:$S,3,0)</f>
        <v>304.95</v>
      </c>
      <c r="E270" s="20">
        <f>VLOOKUP($A270,'2022-23 Salary &amp; Benefits'!$A:$I,3,)</f>
        <v>1.18</v>
      </c>
      <c r="F270" s="20">
        <f>VLOOKUP($A270,'2022-23 Salary &amp; Benefits'!$A:$I,4,)</f>
        <v>1.18</v>
      </c>
      <c r="G270" s="34">
        <f>VLOOKUP(A270,'CEDARS District FRPL'!$A:$C,3,)</f>
        <v>0.316</v>
      </c>
      <c r="H270" s="25">
        <f t="shared" si="53"/>
        <v>304.95</v>
      </c>
      <c r="I270" s="39">
        <f t="shared" si="54"/>
        <v>96.36</v>
      </c>
      <c r="J270" s="24">
        <v>15</v>
      </c>
      <c r="K270" s="26">
        <f t="shared" si="55"/>
        <v>6.4240000000000004</v>
      </c>
      <c r="L270" s="24">
        <v>2.3975</v>
      </c>
      <c r="M270" s="24">
        <v>36</v>
      </c>
      <c r="N270" s="27">
        <f t="shared" si="56"/>
        <v>554.45544000000007</v>
      </c>
      <c r="O270" s="102">
        <f t="shared" si="57"/>
        <v>0.61599999999999999</v>
      </c>
      <c r="P270" s="21">
        <f>VLOOKUP(A270,'2022-23 Salary &amp; Benefits'!$A:$I,5,)</f>
        <v>68937</v>
      </c>
      <c r="Q270" s="21">
        <f>VLOOKUP(A270,'2022-23 Salary &amp; Benefits'!$A:$I,6,FALSE)</f>
        <v>72728</v>
      </c>
      <c r="R270" s="22">
        <f t="shared" si="58"/>
        <v>50108.93</v>
      </c>
      <c r="S270" s="22">
        <f t="shared" si="59"/>
        <v>2755.6</v>
      </c>
      <c r="T270" s="22">
        <f>'2022-23 Salary &amp; Benefits'!$G$6</f>
        <v>12558.24</v>
      </c>
      <c r="U270" s="23">
        <f>'2022-23 Salary &amp; Benefits'!$H$6</f>
        <v>0.2298</v>
      </c>
      <c r="V270" s="23">
        <f>'2022-23 Salary &amp; Benefits'!$I$6</f>
        <v>0.22339999999999999</v>
      </c>
      <c r="W270" s="22">
        <f t="shared" si="60"/>
        <v>19866.509999999998</v>
      </c>
      <c r="X270" s="22">
        <f t="shared" si="61"/>
        <v>881.08</v>
      </c>
      <c r="Y270" s="22">
        <f t="shared" si="62"/>
        <v>196.83</v>
      </c>
      <c r="Z270" s="22">
        <f t="shared" si="63"/>
        <v>1077.9100000000001</v>
      </c>
      <c r="AA270" s="22">
        <f t="shared" si="64"/>
        <v>73808.950000000012</v>
      </c>
    </row>
    <row r="271" spans="1:27">
      <c r="A271" s="125" t="s">
        <v>2443</v>
      </c>
      <c r="B271" s="3" t="s">
        <v>1396</v>
      </c>
      <c r="C271" s="93">
        <f>IF(A271=Summary!$B$9,Summary!$G$9,0)</f>
        <v>0</v>
      </c>
      <c r="D271" s="134">
        <f>VLOOKUP(A271,AAFTE!$A:$S,3,0)</f>
        <v>9874.57</v>
      </c>
      <c r="E271" s="20">
        <f>VLOOKUP($A271,'2022-23 Salary &amp; Benefits'!$A:$I,3,)</f>
        <v>1.1200000000000001</v>
      </c>
      <c r="F271" s="20">
        <f>VLOOKUP($A271,'2022-23 Salary &amp; Benefits'!$A:$I,4,)</f>
        <v>1.1200000000000001</v>
      </c>
      <c r="G271" s="34">
        <f>VLOOKUP(A271,'CEDARS District FRPL'!$A:$C,3,)</f>
        <v>0.28820000000000001</v>
      </c>
      <c r="H271" s="25">
        <f t="shared" si="53"/>
        <v>9874.57</v>
      </c>
      <c r="I271" s="39">
        <f t="shared" si="54"/>
        <v>2845.85</v>
      </c>
      <c r="J271" s="24">
        <v>15</v>
      </c>
      <c r="K271" s="26">
        <f t="shared" si="55"/>
        <v>189.72333333333333</v>
      </c>
      <c r="L271" s="24">
        <v>2.3975</v>
      </c>
      <c r="M271" s="24">
        <v>36</v>
      </c>
      <c r="N271" s="27">
        <f t="shared" si="56"/>
        <v>16375.0209</v>
      </c>
      <c r="O271" s="102">
        <f t="shared" si="57"/>
        <v>18.193999999999999</v>
      </c>
      <c r="P271" s="21">
        <f>VLOOKUP(A271,'2022-23 Salary &amp; Benefits'!$A:$I,5,)</f>
        <v>68937</v>
      </c>
      <c r="Q271" s="21">
        <f>VLOOKUP(A271,'2022-23 Salary &amp; Benefits'!$A:$I,6,FALSE)</f>
        <v>72728</v>
      </c>
      <c r="R271" s="22">
        <f t="shared" si="58"/>
        <v>1404748.55</v>
      </c>
      <c r="S271" s="22">
        <f t="shared" si="59"/>
        <v>77250.27</v>
      </c>
      <c r="T271" s="22">
        <f>'2022-23 Salary &amp; Benefits'!$G$6</f>
        <v>12558.24</v>
      </c>
      <c r="U271" s="23">
        <f>'2022-23 Salary &amp; Benefits'!$H$6</f>
        <v>0.2298</v>
      </c>
      <c r="V271" s="23">
        <f>'2022-23 Salary &amp; Benefits'!$I$6</f>
        <v>0.22339999999999999</v>
      </c>
      <c r="W271" s="22">
        <f t="shared" si="60"/>
        <v>568553.55000000005</v>
      </c>
      <c r="X271" s="22">
        <f t="shared" si="61"/>
        <v>24699.98</v>
      </c>
      <c r="Y271" s="22">
        <f t="shared" si="62"/>
        <v>5517.98</v>
      </c>
      <c r="Z271" s="22">
        <f t="shared" si="63"/>
        <v>30217.96</v>
      </c>
      <c r="AA271" s="22">
        <f t="shared" si="64"/>
        <v>2080770.33</v>
      </c>
    </row>
    <row r="272" spans="1:27">
      <c r="A272" s="125" t="s">
        <v>2560</v>
      </c>
      <c r="B272" s="3" t="s">
        <v>2212</v>
      </c>
      <c r="C272" s="93">
        <f>IF(A272=Summary!$B$9,Summary!$G$9,0)</f>
        <v>0</v>
      </c>
      <c r="D272" s="134">
        <f>VLOOKUP(A272,AAFTE!$A:$S,3,0)</f>
        <v>6442.5</v>
      </c>
      <c r="E272" s="20">
        <f>VLOOKUP($A272,'2022-23 Salary &amp; Benefits'!$A:$I,3,)</f>
        <v>1</v>
      </c>
      <c r="F272" s="20">
        <f>VLOOKUP($A272,'2022-23 Salary &amp; Benefits'!$A:$I,4,)</f>
        <v>1</v>
      </c>
      <c r="G272" s="34">
        <f>VLOOKUP(A272,'CEDARS District FRPL'!$A:$C,3,)</f>
        <v>0.93879999999999997</v>
      </c>
      <c r="H272" s="25">
        <f t="shared" si="53"/>
        <v>6442.5</v>
      </c>
      <c r="I272" s="39">
        <f t="shared" si="54"/>
        <v>6048.22</v>
      </c>
      <c r="J272" s="24">
        <v>15</v>
      </c>
      <c r="K272" s="26">
        <f t="shared" si="55"/>
        <v>403.21466666666669</v>
      </c>
      <c r="L272" s="24">
        <v>2.3975</v>
      </c>
      <c r="M272" s="24">
        <v>36</v>
      </c>
      <c r="N272" s="27">
        <f t="shared" si="56"/>
        <v>34801.457880000002</v>
      </c>
      <c r="O272" s="102">
        <f t="shared" si="57"/>
        <v>38.667999999999999</v>
      </c>
      <c r="P272" s="21">
        <f>VLOOKUP(A272,'2022-23 Salary &amp; Benefits'!$A:$I,5,)</f>
        <v>68937</v>
      </c>
      <c r="Q272" s="21">
        <f>VLOOKUP(A272,'2022-23 Salary &amp; Benefits'!$A:$I,6,FALSE)</f>
        <v>72728</v>
      </c>
      <c r="R272" s="22">
        <f t="shared" si="58"/>
        <v>2665655.92</v>
      </c>
      <c r="S272" s="22">
        <f t="shared" si="59"/>
        <v>146590.38</v>
      </c>
      <c r="T272" s="22">
        <f>'2022-23 Salary &amp; Benefits'!$G$6</f>
        <v>12558.24</v>
      </c>
      <c r="U272" s="23">
        <f>'2022-23 Salary &amp; Benefits'!$H$6</f>
        <v>0.2298</v>
      </c>
      <c r="V272" s="23">
        <f>'2022-23 Salary &amp; Benefits'!$I$6</f>
        <v>0.22339999999999999</v>
      </c>
      <c r="W272" s="22">
        <f t="shared" si="60"/>
        <v>1130918.05</v>
      </c>
      <c r="X272" s="22">
        <f t="shared" si="61"/>
        <v>46870.77</v>
      </c>
      <c r="Y272" s="22">
        <f t="shared" si="62"/>
        <v>10470.93</v>
      </c>
      <c r="Z272" s="22">
        <f t="shared" si="63"/>
        <v>57341.7</v>
      </c>
      <c r="AA272" s="22">
        <f t="shared" si="64"/>
        <v>4000506.05</v>
      </c>
    </row>
    <row r="273" spans="1:27">
      <c r="A273" s="125" t="s">
        <v>2376</v>
      </c>
      <c r="B273" s="3" t="s">
        <v>1081</v>
      </c>
      <c r="C273" s="93">
        <f>IF(A273=Summary!$B$9,Summary!$G$9,0)</f>
        <v>0</v>
      </c>
      <c r="D273" s="134">
        <f>VLOOKUP(A273,AAFTE!$A:$S,3,0)</f>
        <v>85.99</v>
      </c>
      <c r="E273" s="20">
        <f>VLOOKUP($A273,'2022-23 Salary &amp; Benefits'!$A:$I,3,)</f>
        <v>1.18</v>
      </c>
      <c r="F273" s="20">
        <f>VLOOKUP($A273,'2022-23 Salary &amp; Benefits'!$A:$I,4,)</f>
        <v>1.18</v>
      </c>
      <c r="G273" s="34">
        <f>VLOOKUP(A273,'CEDARS District FRPL'!$A:$C,3,)</f>
        <v>0.63529999999999998</v>
      </c>
      <c r="H273" s="25">
        <f t="shared" si="53"/>
        <v>85.99</v>
      </c>
      <c r="I273" s="39">
        <f t="shared" si="54"/>
        <v>54.63</v>
      </c>
      <c r="J273" s="24">
        <v>15</v>
      </c>
      <c r="K273" s="26">
        <f t="shared" si="55"/>
        <v>3.6420000000000003</v>
      </c>
      <c r="L273" s="24">
        <v>2.3975</v>
      </c>
      <c r="M273" s="24">
        <v>36</v>
      </c>
      <c r="N273" s="27">
        <f t="shared" si="56"/>
        <v>314.34102000000001</v>
      </c>
      <c r="O273" s="102">
        <f t="shared" si="57"/>
        <v>0.34899999999999998</v>
      </c>
      <c r="P273" s="21">
        <f>VLOOKUP(A273,'2022-23 Salary &amp; Benefits'!$A:$I,5,)</f>
        <v>68937</v>
      </c>
      <c r="Q273" s="21">
        <f>VLOOKUP(A273,'2022-23 Salary &amp; Benefits'!$A:$I,6,FALSE)</f>
        <v>72728</v>
      </c>
      <c r="R273" s="22">
        <f t="shared" si="58"/>
        <v>28389.64</v>
      </c>
      <c r="S273" s="22">
        <f t="shared" si="59"/>
        <v>1561.2</v>
      </c>
      <c r="T273" s="22">
        <f>'2022-23 Salary &amp; Benefits'!$G$6</f>
        <v>12558.24</v>
      </c>
      <c r="U273" s="23">
        <f>'2022-23 Salary &amp; Benefits'!$H$6</f>
        <v>0.2298</v>
      </c>
      <c r="V273" s="23">
        <f>'2022-23 Salary &amp; Benefits'!$I$6</f>
        <v>0.22339999999999999</v>
      </c>
      <c r="W273" s="22">
        <f t="shared" si="60"/>
        <v>11255.54</v>
      </c>
      <c r="X273" s="22">
        <f t="shared" si="61"/>
        <v>499.18</v>
      </c>
      <c r="Y273" s="22">
        <f t="shared" si="62"/>
        <v>111.52</v>
      </c>
      <c r="Z273" s="22">
        <f t="shared" si="63"/>
        <v>610.70000000000005</v>
      </c>
      <c r="AA273" s="22">
        <f t="shared" si="64"/>
        <v>41817.079999999994</v>
      </c>
    </row>
    <row r="274" spans="1:27">
      <c r="A274" s="125" t="s">
        <v>2440</v>
      </c>
      <c r="B274" s="3" t="s">
        <v>1330</v>
      </c>
      <c r="C274" s="93">
        <f>IF(A274=Summary!$B$9,Summary!$G$9,0)</f>
        <v>0</v>
      </c>
      <c r="D274" s="134">
        <f>VLOOKUP(A274,AAFTE!$A:$S,3,0)</f>
        <v>27226.67</v>
      </c>
      <c r="E274" s="20">
        <f>VLOOKUP($A274,'2022-23 Salary &amp; Benefits'!$A:$I,3,)</f>
        <v>1.1200000000000001</v>
      </c>
      <c r="F274" s="20">
        <f>VLOOKUP($A274,'2022-23 Salary &amp; Benefits'!$A:$I,4,)</f>
        <v>1.1200000000000001</v>
      </c>
      <c r="G274" s="34">
        <f>VLOOKUP(A274,'CEDARS District FRPL'!$A:$C,3,)</f>
        <v>0.57509999999999994</v>
      </c>
      <c r="H274" s="25">
        <f t="shared" si="53"/>
        <v>27226.67</v>
      </c>
      <c r="I274" s="39">
        <f t="shared" si="54"/>
        <v>15658.06</v>
      </c>
      <c r="J274" s="24">
        <v>15</v>
      </c>
      <c r="K274" s="26">
        <f t="shared" si="55"/>
        <v>1043.8706666666667</v>
      </c>
      <c r="L274" s="24">
        <v>2.3975</v>
      </c>
      <c r="M274" s="24">
        <v>36</v>
      </c>
      <c r="N274" s="27">
        <f t="shared" si="56"/>
        <v>90096.477239999993</v>
      </c>
      <c r="O274" s="102">
        <f t="shared" si="57"/>
        <v>100.107</v>
      </c>
      <c r="P274" s="21">
        <f>VLOOKUP(A274,'2022-23 Salary &amp; Benefits'!$A:$I,5,)</f>
        <v>68937</v>
      </c>
      <c r="Q274" s="21">
        <f>VLOOKUP(A274,'2022-23 Salary &amp; Benefits'!$A:$I,6,FALSE)</f>
        <v>72728</v>
      </c>
      <c r="R274" s="22">
        <f t="shared" si="58"/>
        <v>7729205.4100000001</v>
      </c>
      <c r="S274" s="22">
        <f t="shared" si="59"/>
        <v>425046.31</v>
      </c>
      <c r="T274" s="22">
        <f>'2022-23 Salary &amp; Benefits'!$G$6</f>
        <v>12558.24</v>
      </c>
      <c r="U274" s="23">
        <f>'2022-23 Salary &amp; Benefits'!$H$6</f>
        <v>0.2298</v>
      </c>
      <c r="V274" s="23">
        <f>'2022-23 Salary &amp; Benefits'!$I$6</f>
        <v>0.22339999999999999</v>
      </c>
      <c r="W274" s="22">
        <f t="shared" si="60"/>
        <v>3128294.48</v>
      </c>
      <c r="X274" s="22">
        <f t="shared" si="61"/>
        <v>135904.20000000001</v>
      </c>
      <c r="Y274" s="22">
        <f t="shared" si="62"/>
        <v>30361</v>
      </c>
      <c r="Z274" s="22">
        <f t="shared" si="63"/>
        <v>166265.20000000001</v>
      </c>
      <c r="AA274" s="22">
        <f t="shared" si="64"/>
        <v>11448811.4</v>
      </c>
    </row>
    <row r="275" spans="1:27">
      <c r="A275" s="125" t="s">
        <v>2333</v>
      </c>
      <c r="B275" s="3" t="s">
        <v>497</v>
      </c>
      <c r="C275" s="93">
        <f>IF(A275=Summary!$B$9,Summary!$G$9,0)</f>
        <v>0</v>
      </c>
      <c r="D275" s="134">
        <f>VLOOKUP(A275,AAFTE!$A:$S,3,0)</f>
        <v>157.58000000000001</v>
      </c>
      <c r="E275" s="20">
        <f>VLOOKUP($A275,'2022-23 Salary &amp; Benefits'!$A:$I,3,)</f>
        <v>1</v>
      </c>
      <c r="F275" s="20">
        <f>VLOOKUP($A275,'2022-23 Salary &amp; Benefits'!$A:$I,4,)</f>
        <v>1</v>
      </c>
      <c r="G275" s="34">
        <f>VLOOKUP(A275,'CEDARS District FRPL'!$A:$C,3,)</f>
        <v>0.77329999999999999</v>
      </c>
      <c r="H275" s="25">
        <f t="shared" si="53"/>
        <v>157.58000000000001</v>
      </c>
      <c r="I275" s="39">
        <f t="shared" si="54"/>
        <v>121.86</v>
      </c>
      <c r="J275" s="24">
        <v>15</v>
      </c>
      <c r="K275" s="26">
        <f t="shared" si="55"/>
        <v>8.1240000000000006</v>
      </c>
      <c r="L275" s="24">
        <v>2.3975</v>
      </c>
      <c r="M275" s="24">
        <v>36</v>
      </c>
      <c r="N275" s="27">
        <f t="shared" si="56"/>
        <v>701.18244000000004</v>
      </c>
      <c r="O275" s="102">
        <f t="shared" si="57"/>
        <v>0.77900000000000003</v>
      </c>
      <c r="P275" s="21">
        <f>VLOOKUP(A275,'2022-23 Salary &amp; Benefits'!$A:$I,5,)</f>
        <v>68937</v>
      </c>
      <c r="Q275" s="21">
        <f>VLOOKUP(A275,'2022-23 Salary &amp; Benefits'!$A:$I,6,FALSE)</f>
        <v>72728</v>
      </c>
      <c r="R275" s="22">
        <f t="shared" si="58"/>
        <v>53701.919999999998</v>
      </c>
      <c r="S275" s="22">
        <f t="shared" si="59"/>
        <v>2953.19</v>
      </c>
      <c r="T275" s="22">
        <f>'2022-23 Salary &amp; Benefits'!$G$6</f>
        <v>12558.24</v>
      </c>
      <c r="U275" s="23">
        <f>'2022-23 Salary &amp; Benefits'!$H$6</f>
        <v>0.2298</v>
      </c>
      <c r="V275" s="23">
        <f>'2022-23 Salary &amp; Benefits'!$I$6</f>
        <v>0.22339999999999999</v>
      </c>
      <c r="W275" s="22">
        <f t="shared" si="60"/>
        <v>22783.31</v>
      </c>
      <c r="X275" s="22">
        <f t="shared" si="61"/>
        <v>944.25</v>
      </c>
      <c r="Y275" s="22">
        <f t="shared" si="62"/>
        <v>210.95</v>
      </c>
      <c r="Z275" s="22">
        <f t="shared" si="63"/>
        <v>1155.2</v>
      </c>
      <c r="AA275" s="22">
        <f t="shared" si="64"/>
        <v>80593.62</v>
      </c>
    </row>
    <row r="276" spans="1:27">
      <c r="A276" s="125" t="s">
        <v>2360</v>
      </c>
      <c r="B276" s="3" t="s">
        <v>826</v>
      </c>
      <c r="C276" s="93">
        <f>IF(A276=Summary!$B$9,Summary!$G$9,0)</f>
        <v>0</v>
      </c>
      <c r="D276" s="134">
        <f>VLOOKUP(A276,AAFTE!$A:$S,3,0)</f>
        <v>8671.42</v>
      </c>
      <c r="E276" s="20">
        <f>VLOOKUP($A276,'2022-23 Salary &amp; Benefits'!$A:$I,3,)</f>
        <v>1.18</v>
      </c>
      <c r="F276" s="20">
        <f>VLOOKUP($A276,'2022-23 Salary &amp; Benefits'!$A:$I,4,)</f>
        <v>1.22</v>
      </c>
      <c r="G276" s="34">
        <f>VLOOKUP(A276,'CEDARS District FRPL'!$A:$C,3,)</f>
        <v>0.13159999999999999</v>
      </c>
      <c r="H276" s="25">
        <f t="shared" si="53"/>
        <v>8671.42</v>
      </c>
      <c r="I276" s="39">
        <f t="shared" si="54"/>
        <v>1141.1600000000001</v>
      </c>
      <c r="J276" s="24">
        <v>15</v>
      </c>
      <c r="K276" s="26">
        <f t="shared" si="55"/>
        <v>76.077333333333343</v>
      </c>
      <c r="L276" s="24">
        <v>2.3975</v>
      </c>
      <c r="M276" s="24">
        <v>36</v>
      </c>
      <c r="N276" s="27">
        <f t="shared" si="56"/>
        <v>6566.2346400000006</v>
      </c>
      <c r="O276" s="102">
        <f t="shared" si="57"/>
        <v>7.2960000000000003</v>
      </c>
      <c r="P276" s="21">
        <f>VLOOKUP(A276,'2022-23 Salary &amp; Benefits'!$A:$I,5,)</f>
        <v>68937</v>
      </c>
      <c r="Q276" s="21">
        <f>VLOOKUP(A276,'2022-23 Salary &amp; Benefits'!$A:$I,6,FALSE)</f>
        <v>72728</v>
      </c>
      <c r="R276" s="22">
        <f t="shared" si="58"/>
        <v>593497.93999999994</v>
      </c>
      <c r="S276" s="22">
        <f t="shared" si="59"/>
        <v>53862.720000000001</v>
      </c>
      <c r="T276" s="22">
        <f>'2022-23 Salary &amp; Benefits'!$G$6</f>
        <v>12558.24</v>
      </c>
      <c r="U276" s="23">
        <f>'2022-23 Salary &amp; Benefits'!$H$6</f>
        <v>0.2298</v>
      </c>
      <c r="V276" s="23">
        <f>'2022-23 Salary &amp; Benefits'!$I$6</f>
        <v>0.22339999999999999</v>
      </c>
      <c r="W276" s="22">
        <f t="shared" si="60"/>
        <v>240043.68</v>
      </c>
      <c r="X276" s="22">
        <f t="shared" si="61"/>
        <v>10789.34</v>
      </c>
      <c r="Y276" s="22">
        <f t="shared" si="62"/>
        <v>2410.34</v>
      </c>
      <c r="Z276" s="22">
        <f t="shared" si="63"/>
        <v>13199.68</v>
      </c>
      <c r="AA276" s="22">
        <f t="shared" si="64"/>
        <v>900604.0199999999</v>
      </c>
    </row>
    <row r="277" spans="1:27">
      <c r="A277" s="125" t="s">
        <v>2542</v>
      </c>
      <c r="B277" s="3" t="s">
        <v>2135</v>
      </c>
      <c r="C277" s="93">
        <f>IF(A277=Summary!$B$9,Summary!$G$9,0)</f>
        <v>0</v>
      </c>
      <c r="D277" s="134">
        <f>VLOOKUP(A277,AAFTE!$A:$S,3,0)</f>
        <v>191.08</v>
      </c>
      <c r="E277" s="20">
        <f>VLOOKUP($A277,'2022-23 Salary &amp; Benefits'!$A:$I,3,)</f>
        <v>1</v>
      </c>
      <c r="F277" s="20">
        <f>VLOOKUP($A277,'2022-23 Salary &amp; Benefits'!$A:$I,4,)</f>
        <v>1.04</v>
      </c>
      <c r="G277" s="34">
        <f>VLOOKUP(A277,'CEDARS District FRPL'!$A:$C,3,)</f>
        <v>0.65629999999999999</v>
      </c>
      <c r="H277" s="25">
        <f t="shared" si="53"/>
        <v>191.08</v>
      </c>
      <c r="I277" s="39">
        <f t="shared" si="54"/>
        <v>125.41</v>
      </c>
      <c r="J277" s="24">
        <v>15</v>
      </c>
      <c r="K277" s="26">
        <f t="shared" si="55"/>
        <v>8.3606666666666669</v>
      </c>
      <c r="L277" s="24">
        <v>2.3975</v>
      </c>
      <c r="M277" s="24">
        <v>36</v>
      </c>
      <c r="N277" s="27">
        <f t="shared" si="56"/>
        <v>721.60914000000002</v>
      </c>
      <c r="O277" s="102">
        <f t="shared" si="57"/>
        <v>0.80200000000000005</v>
      </c>
      <c r="P277" s="21">
        <f>VLOOKUP(A277,'2022-23 Salary &amp; Benefits'!$A:$I,5,)</f>
        <v>68937</v>
      </c>
      <c r="Q277" s="21">
        <f>VLOOKUP(A277,'2022-23 Salary &amp; Benefits'!$A:$I,6,FALSE)</f>
        <v>72728</v>
      </c>
      <c r="R277" s="22">
        <f t="shared" si="58"/>
        <v>55287.47</v>
      </c>
      <c r="S277" s="22">
        <f t="shared" si="59"/>
        <v>5373.5</v>
      </c>
      <c r="T277" s="22">
        <f>'2022-23 Salary &amp; Benefits'!$G$6</f>
        <v>12558.24</v>
      </c>
      <c r="U277" s="23">
        <f>'2022-23 Salary &amp; Benefits'!$H$6</f>
        <v>0.2298</v>
      </c>
      <c r="V277" s="23">
        <f>'2022-23 Salary &amp; Benefits'!$I$6</f>
        <v>0.22339999999999999</v>
      </c>
      <c r="W277" s="22">
        <f t="shared" si="60"/>
        <v>23977.21</v>
      </c>
      <c r="X277" s="22">
        <f t="shared" si="61"/>
        <v>1011.02</v>
      </c>
      <c r="Y277" s="22">
        <f t="shared" si="62"/>
        <v>225.86</v>
      </c>
      <c r="Z277" s="22">
        <f t="shared" si="63"/>
        <v>1236.8800000000001</v>
      </c>
      <c r="AA277" s="22">
        <f t="shared" si="64"/>
        <v>85875.06</v>
      </c>
    </row>
    <row r="278" spans="1:27">
      <c r="A278" s="125" t="s">
        <v>2522</v>
      </c>
      <c r="B278" s="3" t="s">
        <v>2031</v>
      </c>
      <c r="C278" s="93">
        <f>IF(A278=Summary!$B$9,Summary!$G$9,0)</f>
        <v>0</v>
      </c>
      <c r="D278" s="134">
        <f>VLOOKUP(A278,AAFTE!$A:$S,3,0)</f>
        <v>1226.24</v>
      </c>
      <c r="E278" s="20">
        <f>VLOOKUP($A278,'2022-23 Salary &amp; Benefits'!$A:$I,3,)</f>
        <v>1</v>
      </c>
      <c r="F278" s="20">
        <f>VLOOKUP($A278,'2022-23 Salary &amp; Benefits'!$A:$I,4,)</f>
        <v>1</v>
      </c>
      <c r="G278" s="34">
        <f>VLOOKUP(A278,'CEDARS District FRPL'!$A:$C,3,)</f>
        <v>0.4728</v>
      </c>
      <c r="H278" s="25">
        <f t="shared" si="53"/>
        <v>1226.24</v>
      </c>
      <c r="I278" s="39">
        <f t="shared" si="54"/>
        <v>579.77</v>
      </c>
      <c r="J278" s="24">
        <v>15</v>
      </c>
      <c r="K278" s="26">
        <f t="shared" si="55"/>
        <v>38.651333333333334</v>
      </c>
      <c r="L278" s="24">
        <v>2.3975</v>
      </c>
      <c r="M278" s="24">
        <v>36</v>
      </c>
      <c r="N278" s="27">
        <f t="shared" si="56"/>
        <v>3335.99658</v>
      </c>
      <c r="O278" s="102">
        <f t="shared" si="57"/>
        <v>3.7069999999999999</v>
      </c>
      <c r="P278" s="21">
        <f>VLOOKUP(A278,'2022-23 Salary &amp; Benefits'!$A:$I,5,)</f>
        <v>68937</v>
      </c>
      <c r="Q278" s="21">
        <f>VLOOKUP(A278,'2022-23 Salary &amp; Benefits'!$A:$I,6,FALSE)</f>
        <v>72728</v>
      </c>
      <c r="R278" s="22">
        <f t="shared" si="58"/>
        <v>255549.46</v>
      </c>
      <c r="S278" s="22">
        <f t="shared" si="59"/>
        <v>14053.24</v>
      </c>
      <c r="T278" s="22">
        <f>'2022-23 Salary &amp; Benefits'!$G$6</f>
        <v>12558.24</v>
      </c>
      <c r="U278" s="23">
        <f>'2022-23 Salary &amp; Benefits'!$H$6</f>
        <v>0.2298</v>
      </c>
      <c r="V278" s="23">
        <f>'2022-23 Salary &amp; Benefits'!$I$6</f>
        <v>0.22339999999999999</v>
      </c>
      <c r="W278" s="22">
        <f t="shared" si="60"/>
        <v>108418.16</v>
      </c>
      <c r="X278" s="22">
        <f t="shared" si="61"/>
        <v>4493.38</v>
      </c>
      <c r="Y278" s="22">
        <f t="shared" si="62"/>
        <v>1003.82</v>
      </c>
      <c r="Z278" s="22">
        <f t="shared" si="63"/>
        <v>5497.2</v>
      </c>
      <c r="AA278" s="22">
        <f t="shared" si="64"/>
        <v>383518.06</v>
      </c>
    </row>
    <row r="279" spans="1:27">
      <c r="A279" s="125" t="s">
        <v>2379</v>
      </c>
      <c r="B279" s="3" t="s">
        <v>1087</v>
      </c>
      <c r="C279" s="93">
        <f>IF(A279=Summary!$B$9,Summary!$G$9,0)</f>
        <v>0</v>
      </c>
      <c r="D279" s="134">
        <f>VLOOKUP(A279,AAFTE!$A:$S,3,0)</f>
        <v>221.03</v>
      </c>
      <c r="E279" s="20">
        <f>VLOOKUP($A279,'2022-23 Salary &amp; Benefits'!$A:$I,3,)</f>
        <v>1</v>
      </c>
      <c r="F279" s="20">
        <f>VLOOKUP($A279,'2022-23 Salary &amp; Benefits'!$A:$I,4,)</f>
        <v>1</v>
      </c>
      <c r="G279" s="34">
        <f>VLOOKUP(A279,'CEDARS District FRPL'!$A:$C,3,)</f>
        <v>0.38769999999999999</v>
      </c>
      <c r="H279" s="25">
        <f t="shared" si="53"/>
        <v>221.03</v>
      </c>
      <c r="I279" s="39">
        <f t="shared" si="54"/>
        <v>85.69</v>
      </c>
      <c r="J279" s="24">
        <v>15</v>
      </c>
      <c r="K279" s="26">
        <f t="shared" si="55"/>
        <v>5.7126666666666663</v>
      </c>
      <c r="L279" s="24">
        <v>2.3975</v>
      </c>
      <c r="M279" s="24">
        <v>36</v>
      </c>
      <c r="N279" s="27">
        <f t="shared" si="56"/>
        <v>493.06025999999997</v>
      </c>
      <c r="O279" s="102">
        <f t="shared" si="57"/>
        <v>0.54800000000000004</v>
      </c>
      <c r="P279" s="21">
        <f>VLOOKUP(A279,'2022-23 Salary &amp; Benefits'!$A:$I,5,)</f>
        <v>68937</v>
      </c>
      <c r="Q279" s="21">
        <f>VLOOKUP(A279,'2022-23 Salary &amp; Benefits'!$A:$I,6,FALSE)</f>
        <v>72728</v>
      </c>
      <c r="R279" s="22">
        <f t="shared" si="58"/>
        <v>37777.480000000003</v>
      </c>
      <c r="S279" s="22">
        <f t="shared" si="59"/>
        <v>2077.46</v>
      </c>
      <c r="T279" s="22">
        <f>'2022-23 Salary &amp; Benefits'!$G$6</f>
        <v>12558.24</v>
      </c>
      <c r="U279" s="23">
        <f>'2022-23 Salary &amp; Benefits'!$H$6</f>
        <v>0.2298</v>
      </c>
      <c r="V279" s="23">
        <f>'2022-23 Salary &amp; Benefits'!$I$6</f>
        <v>0.22339999999999999</v>
      </c>
      <c r="W279" s="22">
        <f t="shared" si="60"/>
        <v>16027.28</v>
      </c>
      <c r="X279" s="22">
        <f t="shared" si="61"/>
        <v>664.25</v>
      </c>
      <c r="Y279" s="22">
        <f t="shared" si="62"/>
        <v>148.38999999999999</v>
      </c>
      <c r="Z279" s="22">
        <f t="shared" si="63"/>
        <v>812.64</v>
      </c>
      <c r="AA279" s="22">
        <f t="shared" si="64"/>
        <v>56694.86</v>
      </c>
    </row>
    <row r="280" spans="1:27">
      <c r="A280" s="125" t="s">
        <v>2400</v>
      </c>
      <c r="B280" s="3" t="s">
        <v>1155</v>
      </c>
      <c r="C280" s="93">
        <f>IF(A280=Summary!$B$9,Summary!$G$9,0)</f>
        <v>0</v>
      </c>
      <c r="D280" s="134">
        <f>VLOOKUP(A280,AAFTE!$A:$S,3,0)</f>
        <v>799.67</v>
      </c>
      <c r="E280" s="20">
        <f>VLOOKUP($A280,'2022-23 Salary &amp; Benefits'!$A:$I,3,)</f>
        <v>1</v>
      </c>
      <c r="F280" s="20">
        <f>VLOOKUP($A280,'2022-23 Salary &amp; Benefits'!$A:$I,4,)</f>
        <v>1.04</v>
      </c>
      <c r="G280" s="34">
        <f>VLOOKUP(A280,'CEDARS District FRPL'!$A:$C,3,)</f>
        <v>0.45619999999999999</v>
      </c>
      <c r="H280" s="25">
        <f t="shared" si="53"/>
        <v>799.67</v>
      </c>
      <c r="I280" s="39">
        <f t="shared" si="54"/>
        <v>364.81</v>
      </c>
      <c r="J280" s="24">
        <v>15</v>
      </c>
      <c r="K280" s="26">
        <f t="shared" si="55"/>
        <v>24.320666666666668</v>
      </c>
      <c r="L280" s="24">
        <v>2.3975</v>
      </c>
      <c r="M280" s="24">
        <v>36</v>
      </c>
      <c r="N280" s="27">
        <f t="shared" si="56"/>
        <v>2099.1167399999999</v>
      </c>
      <c r="O280" s="102">
        <f t="shared" si="57"/>
        <v>2.3319999999999999</v>
      </c>
      <c r="P280" s="21">
        <f>VLOOKUP(A280,'2022-23 Salary &amp; Benefits'!$A:$I,5,)</f>
        <v>68937</v>
      </c>
      <c r="Q280" s="21">
        <f>VLOOKUP(A280,'2022-23 Salary &amp; Benefits'!$A:$I,6,FALSE)</f>
        <v>72728</v>
      </c>
      <c r="R280" s="22">
        <f t="shared" si="58"/>
        <v>160761.07999999999</v>
      </c>
      <c r="S280" s="22">
        <f t="shared" si="59"/>
        <v>15624.68</v>
      </c>
      <c r="T280" s="22">
        <f>'2022-23 Salary &amp; Benefits'!$G$6</f>
        <v>12558.24</v>
      </c>
      <c r="U280" s="23">
        <f>'2022-23 Salary &amp; Benefits'!$H$6</f>
        <v>0.2298</v>
      </c>
      <c r="V280" s="23">
        <f>'2022-23 Salary &amp; Benefits'!$I$6</f>
        <v>0.22339999999999999</v>
      </c>
      <c r="W280" s="22">
        <f t="shared" si="60"/>
        <v>69719.27</v>
      </c>
      <c r="X280" s="22">
        <f t="shared" si="61"/>
        <v>2939.76</v>
      </c>
      <c r="Y280" s="22">
        <f t="shared" si="62"/>
        <v>656.74</v>
      </c>
      <c r="Z280" s="22">
        <f t="shared" si="63"/>
        <v>3596.5</v>
      </c>
      <c r="AA280" s="22">
        <f t="shared" si="64"/>
        <v>249701.52999999997</v>
      </c>
    </row>
    <row r="281" spans="1:27">
      <c r="A281" s="125" t="s">
        <v>2427</v>
      </c>
      <c r="B281" s="3" t="s">
        <v>1254</v>
      </c>
      <c r="C281" s="93">
        <f>IF(A281=Summary!$B$9,Summary!$G$9,0)</f>
        <v>0</v>
      </c>
      <c r="D281" s="134">
        <f>VLOOKUP(A281,AAFTE!$A:$S,3,0)</f>
        <v>1135.78</v>
      </c>
      <c r="E281" s="20">
        <f>VLOOKUP($A281,'2022-23 Salary &amp; Benefits'!$A:$I,3,)</f>
        <v>1</v>
      </c>
      <c r="F281" s="20">
        <f>VLOOKUP($A281,'2022-23 Salary &amp; Benefits'!$A:$I,4,)</f>
        <v>1</v>
      </c>
      <c r="G281" s="34">
        <f>VLOOKUP(A281,'CEDARS District FRPL'!$A:$C,3,)</f>
        <v>0.76719999999999999</v>
      </c>
      <c r="H281" s="25">
        <f t="shared" si="53"/>
        <v>1135.78</v>
      </c>
      <c r="I281" s="39">
        <f t="shared" si="54"/>
        <v>871.37</v>
      </c>
      <c r="J281" s="24">
        <v>15</v>
      </c>
      <c r="K281" s="26">
        <f t="shared" si="55"/>
        <v>58.091333333333331</v>
      </c>
      <c r="L281" s="24">
        <v>2.3975</v>
      </c>
      <c r="M281" s="24">
        <v>36</v>
      </c>
      <c r="N281" s="27">
        <f t="shared" si="56"/>
        <v>5013.8629799999999</v>
      </c>
      <c r="O281" s="102">
        <f t="shared" si="57"/>
        <v>5.5709999999999997</v>
      </c>
      <c r="P281" s="21">
        <f>VLOOKUP(A281,'2022-23 Salary &amp; Benefits'!$A:$I,5,)</f>
        <v>68937</v>
      </c>
      <c r="Q281" s="21">
        <f>VLOOKUP(A281,'2022-23 Salary &amp; Benefits'!$A:$I,6,FALSE)</f>
        <v>72728</v>
      </c>
      <c r="R281" s="22">
        <f t="shared" si="58"/>
        <v>384048.03</v>
      </c>
      <c r="S281" s="22">
        <f t="shared" si="59"/>
        <v>21119.66</v>
      </c>
      <c r="T281" s="22">
        <f>'2022-23 Salary &amp; Benefits'!$G$6</f>
        <v>12558.24</v>
      </c>
      <c r="U281" s="23">
        <f>'2022-23 Salary &amp; Benefits'!$H$6</f>
        <v>0.2298</v>
      </c>
      <c r="V281" s="23">
        <f>'2022-23 Salary &amp; Benefits'!$I$6</f>
        <v>0.22339999999999999</v>
      </c>
      <c r="W281" s="22">
        <f t="shared" si="60"/>
        <v>162934.32</v>
      </c>
      <c r="X281" s="22">
        <f t="shared" si="61"/>
        <v>6752.79</v>
      </c>
      <c r="Y281" s="22">
        <f t="shared" si="62"/>
        <v>1508.57</v>
      </c>
      <c r="Z281" s="22">
        <f t="shared" si="63"/>
        <v>8261.36</v>
      </c>
      <c r="AA281" s="22">
        <f t="shared" si="64"/>
        <v>576363.37000000011</v>
      </c>
    </row>
    <row r="282" spans="1:27">
      <c r="A282" s="125" t="s">
        <v>2561</v>
      </c>
      <c r="B282" s="3" t="s">
        <v>2220</v>
      </c>
      <c r="C282" s="93">
        <f>IF(A282=Summary!$B$9,Summary!$G$9,0)</f>
        <v>0</v>
      </c>
      <c r="D282" s="134">
        <f>VLOOKUP(A282,AAFTE!$A:$S,3,0)</f>
        <v>4284.12</v>
      </c>
      <c r="E282" s="20">
        <f>VLOOKUP($A282,'2022-23 Salary &amp; Benefits'!$A:$I,3,)</f>
        <v>1</v>
      </c>
      <c r="F282" s="20">
        <f>VLOOKUP($A282,'2022-23 Salary &amp; Benefits'!$A:$I,4,)</f>
        <v>1</v>
      </c>
      <c r="G282" s="34">
        <f>VLOOKUP(A282,'CEDARS District FRPL'!$A:$C,3,)</f>
        <v>0.93710000000000004</v>
      </c>
      <c r="H282" s="25">
        <f t="shared" si="53"/>
        <v>4284.12</v>
      </c>
      <c r="I282" s="39">
        <f t="shared" si="54"/>
        <v>4014.65</v>
      </c>
      <c r="J282" s="24">
        <v>15</v>
      </c>
      <c r="K282" s="26">
        <f t="shared" si="55"/>
        <v>267.64333333333332</v>
      </c>
      <c r="L282" s="24">
        <v>2.3975</v>
      </c>
      <c r="M282" s="24">
        <v>36</v>
      </c>
      <c r="N282" s="27">
        <f t="shared" si="56"/>
        <v>23100.2961</v>
      </c>
      <c r="O282" s="102">
        <f t="shared" si="57"/>
        <v>25.667000000000002</v>
      </c>
      <c r="P282" s="21">
        <f>VLOOKUP(A282,'2022-23 Salary &amp; Benefits'!$A:$I,5,)</f>
        <v>68937</v>
      </c>
      <c r="Q282" s="21">
        <f>VLOOKUP(A282,'2022-23 Salary &amp; Benefits'!$A:$I,6,FALSE)</f>
        <v>72728</v>
      </c>
      <c r="R282" s="22">
        <f t="shared" si="58"/>
        <v>1769405.98</v>
      </c>
      <c r="S282" s="22">
        <f t="shared" si="59"/>
        <v>97303.6</v>
      </c>
      <c r="T282" s="22">
        <f>'2022-23 Salary &amp; Benefits'!$G$6</f>
        <v>12558.24</v>
      </c>
      <c r="U282" s="23">
        <f>'2022-23 Salary &amp; Benefits'!$H$6</f>
        <v>0.2298</v>
      </c>
      <c r="V282" s="23">
        <f>'2022-23 Salary &amp; Benefits'!$I$6</f>
        <v>0.22339999999999999</v>
      </c>
      <c r="W282" s="22">
        <f t="shared" si="60"/>
        <v>750679.46</v>
      </c>
      <c r="X282" s="22">
        <f t="shared" si="61"/>
        <v>31111.83</v>
      </c>
      <c r="Y282" s="22">
        <f t="shared" si="62"/>
        <v>6950.38</v>
      </c>
      <c r="Z282" s="22">
        <f t="shared" si="63"/>
        <v>38062.21</v>
      </c>
      <c r="AA282" s="22">
        <f t="shared" si="64"/>
        <v>2655451.25</v>
      </c>
    </row>
    <row r="283" spans="1:27">
      <c r="A283" s="125" t="s">
        <v>2528</v>
      </c>
      <c r="B283" s="3" t="s">
        <v>2053</v>
      </c>
      <c r="C283" s="93">
        <f>IF(A283=Summary!$B$9,Summary!$G$9,0)</f>
        <v>0</v>
      </c>
      <c r="D283" s="134">
        <f>VLOOKUP(A283,AAFTE!$A:$S,3,0)</f>
        <v>202.21</v>
      </c>
      <c r="E283" s="20">
        <f>VLOOKUP($A283,'2022-23 Salary &amp; Benefits'!$A:$I,3,)</f>
        <v>1</v>
      </c>
      <c r="F283" s="20">
        <f>VLOOKUP($A283,'2022-23 Salary &amp; Benefits'!$A:$I,4,)</f>
        <v>1</v>
      </c>
      <c r="G283" s="34">
        <f>VLOOKUP(A283,'CEDARS District FRPL'!$A:$C,3,)</f>
        <v>0.49759999999999999</v>
      </c>
      <c r="H283" s="25">
        <f t="shared" si="53"/>
        <v>202.21</v>
      </c>
      <c r="I283" s="39">
        <f t="shared" si="54"/>
        <v>100.62</v>
      </c>
      <c r="J283" s="24">
        <v>15</v>
      </c>
      <c r="K283" s="26">
        <f t="shared" si="55"/>
        <v>6.7080000000000002</v>
      </c>
      <c r="L283" s="24">
        <v>2.3975</v>
      </c>
      <c r="M283" s="24">
        <v>36</v>
      </c>
      <c r="N283" s="27">
        <f t="shared" si="56"/>
        <v>578.96747999999991</v>
      </c>
      <c r="O283" s="102">
        <f t="shared" si="57"/>
        <v>0.64300000000000002</v>
      </c>
      <c r="P283" s="21">
        <f>VLOOKUP(A283,'2022-23 Salary &amp; Benefits'!$A:$I,5,)</f>
        <v>68937</v>
      </c>
      <c r="Q283" s="21">
        <f>VLOOKUP(A283,'2022-23 Salary &amp; Benefits'!$A:$I,6,FALSE)</f>
        <v>72728</v>
      </c>
      <c r="R283" s="22">
        <f t="shared" si="58"/>
        <v>44326.49</v>
      </c>
      <c r="S283" s="22">
        <f t="shared" si="59"/>
        <v>2437.61</v>
      </c>
      <c r="T283" s="22">
        <f>'2022-23 Salary &amp; Benefits'!$G$6</f>
        <v>12558.24</v>
      </c>
      <c r="U283" s="23">
        <f>'2022-23 Salary &amp; Benefits'!$H$6</f>
        <v>0.2298</v>
      </c>
      <c r="V283" s="23">
        <f>'2022-23 Salary &amp; Benefits'!$I$6</f>
        <v>0.22339999999999999</v>
      </c>
      <c r="W283" s="22">
        <f t="shared" si="60"/>
        <v>18805.740000000002</v>
      </c>
      <c r="X283" s="22">
        <f t="shared" si="61"/>
        <v>779.4</v>
      </c>
      <c r="Y283" s="22">
        <f t="shared" si="62"/>
        <v>174.12</v>
      </c>
      <c r="Z283" s="22">
        <f t="shared" si="63"/>
        <v>953.52</v>
      </c>
      <c r="AA283" s="22">
        <f t="shared" si="64"/>
        <v>66523.360000000001</v>
      </c>
    </row>
    <row r="284" spans="1:27">
      <c r="A284" s="125" t="s">
        <v>2296</v>
      </c>
      <c r="B284" s="3" t="s">
        <v>311</v>
      </c>
      <c r="C284" s="93">
        <f>IF(A284=Summary!$B$9,Summary!$G$9,0)</f>
        <v>0</v>
      </c>
      <c r="D284" s="134">
        <f>VLOOKUP(A284,AAFTE!$A:$S,3,0)</f>
        <v>693.93</v>
      </c>
      <c r="E284" s="20">
        <f>VLOOKUP($A284,'2022-23 Salary &amp; Benefits'!$A:$I,3,)</f>
        <v>1</v>
      </c>
      <c r="F284" s="20">
        <f>VLOOKUP($A284,'2022-23 Salary &amp; Benefits'!$A:$I,4,)</f>
        <v>1.04</v>
      </c>
      <c r="G284" s="34">
        <f>VLOOKUP(A284,'CEDARS District FRPL'!$A:$C,3,)</f>
        <v>0.37730000000000002</v>
      </c>
      <c r="H284" s="25">
        <f t="shared" si="53"/>
        <v>693.93</v>
      </c>
      <c r="I284" s="39">
        <f t="shared" si="54"/>
        <v>261.82</v>
      </c>
      <c r="J284" s="24">
        <v>15</v>
      </c>
      <c r="K284" s="26">
        <f t="shared" si="55"/>
        <v>17.454666666666665</v>
      </c>
      <c r="L284" s="24">
        <v>2.3975</v>
      </c>
      <c r="M284" s="24">
        <v>36</v>
      </c>
      <c r="N284" s="27">
        <f t="shared" si="56"/>
        <v>1506.5122799999997</v>
      </c>
      <c r="O284" s="102">
        <f t="shared" si="57"/>
        <v>1.6739999999999999</v>
      </c>
      <c r="P284" s="21">
        <f>VLOOKUP(A284,'2022-23 Salary &amp; Benefits'!$A:$I,5,)</f>
        <v>68937</v>
      </c>
      <c r="Q284" s="21">
        <f>VLOOKUP(A284,'2022-23 Salary &amp; Benefits'!$A:$I,6,FALSE)</f>
        <v>72728</v>
      </c>
      <c r="R284" s="22">
        <f t="shared" si="58"/>
        <v>115400.54</v>
      </c>
      <c r="S284" s="22">
        <f t="shared" si="59"/>
        <v>11216</v>
      </c>
      <c r="T284" s="22">
        <f>'2022-23 Salary &amp; Benefits'!$G$6</f>
        <v>12558.24</v>
      </c>
      <c r="U284" s="23">
        <f>'2022-23 Salary &amp; Benefits'!$H$6</f>
        <v>0.2298</v>
      </c>
      <c r="V284" s="23">
        <f>'2022-23 Salary &amp; Benefits'!$I$6</f>
        <v>0.22339999999999999</v>
      </c>
      <c r="W284" s="22">
        <f t="shared" si="60"/>
        <v>50047.19</v>
      </c>
      <c r="X284" s="22">
        <f t="shared" si="61"/>
        <v>2110.2800000000002</v>
      </c>
      <c r="Y284" s="22">
        <f t="shared" si="62"/>
        <v>471.44</v>
      </c>
      <c r="Z284" s="22">
        <f t="shared" si="63"/>
        <v>2581.7200000000003</v>
      </c>
      <c r="AA284" s="22">
        <f t="shared" si="64"/>
        <v>179245.44999999998</v>
      </c>
    </row>
    <row r="285" spans="1:27">
      <c r="A285" s="125" t="s">
        <v>2386</v>
      </c>
      <c r="B285" s="3" t="s">
        <v>1110</v>
      </c>
      <c r="C285" s="93">
        <f>IF(A285=Summary!$B$9,Summary!$G$9,0)</f>
        <v>0</v>
      </c>
      <c r="D285" s="134">
        <f>VLOOKUP(A285,AAFTE!$A:$S,3,0)</f>
        <v>189.16</v>
      </c>
      <c r="E285" s="20">
        <f>VLOOKUP($A285,'2022-23 Salary &amp; Benefits'!$A:$I,3,)</f>
        <v>1</v>
      </c>
      <c r="F285" s="20">
        <f>VLOOKUP($A285,'2022-23 Salary &amp; Benefits'!$A:$I,4,)</f>
        <v>1</v>
      </c>
      <c r="G285" s="34">
        <f>VLOOKUP(A285,'CEDARS District FRPL'!$A:$C,3,)</f>
        <v>0</v>
      </c>
      <c r="H285" s="25">
        <f t="shared" si="53"/>
        <v>189.16</v>
      </c>
      <c r="I285" s="39">
        <f t="shared" si="54"/>
        <v>0</v>
      </c>
      <c r="J285" s="24">
        <v>15</v>
      </c>
      <c r="K285" s="26">
        <f t="shared" si="55"/>
        <v>0</v>
      </c>
      <c r="L285" s="24">
        <v>2.3975</v>
      </c>
      <c r="M285" s="24">
        <v>36</v>
      </c>
      <c r="N285" s="27">
        <f t="shared" si="56"/>
        <v>0</v>
      </c>
      <c r="O285" s="102">
        <f t="shared" si="57"/>
        <v>0</v>
      </c>
      <c r="P285" s="21">
        <f>VLOOKUP(A285,'2022-23 Salary &amp; Benefits'!$A:$I,5,)</f>
        <v>68937</v>
      </c>
      <c r="Q285" s="21">
        <f>VLOOKUP(A285,'2022-23 Salary &amp; Benefits'!$A:$I,6,FALSE)</f>
        <v>72728</v>
      </c>
      <c r="R285" s="22">
        <f t="shared" si="58"/>
        <v>0</v>
      </c>
      <c r="S285" s="22">
        <f t="shared" si="59"/>
        <v>0</v>
      </c>
      <c r="T285" s="22">
        <f>'2022-23 Salary &amp; Benefits'!$G$6</f>
        <v>12558.24</v>
      </c>
      <c r="U285" s="23">
        <f>'2022-23 Salary &amp; Benefits'!$H$6</f>
        <v>0.2298</v>
      </c>
      <c r="V285" s="23">
        <f>'2022-23 Salary &amp; Benefits'!$I$6</f>
        <v>0.22339999999999999</v>
      </c>
      <c r="W285" s="22">
        <f t="shared" si="60"/>
        <v>0</v>
      </c>
      <c r="X285" s="22">
        <f t="shared" si="61"/>
        <v>0</v>
      </c>
      <c r="Y285" s="22">
        <f t="shared" si="62"/>
        <v>0</v>
      </c>
      <c r="Z285" s="22">
        <f t="shared" si="63"/>
        <v>0</v>
      </c>
      <c r="AA285" s="22">
        <f t="shared" si="64"/>
        <v>0</v>
      </c>
    </row>
    <row r="286" spans="1:27">
      <c r="A286" s="125" t="s">
        <v>2357</v>
      </c>
      <c r="B286" s="3" t="s">
        <v>792</v>
      </c>
      <c r="C286" s="93">
        <f>IF(A286=Summary!$B$9,Summary!$G$9,0)</f>
        <v>0</v>
      </c>
      <c r="D286" s="134">
        <f>VLOOKUP(A286,AAFTE!$A:$S,3,0)</f>
        <v>2521.63</v>
      </c>
      <c r="E286" s="20">
        <f>VLOOKUP($A286,'2022-23 Salary &amp; Benefits'!$A:$I,3,)</f>
        <v>1.18</v>
      </c>
      <c r="F286" s="20">
        <f>VLOOKUP($A286,'2022-23 Salary &amp; Benefits'!$A:$I,4,)</f>
        <v>1.18</v>
      </c>
      <c r="G286" s="34">
        <f>VLOOKUP(A286,'CEDARS District FRPL'!$A:$C,3,)</f>
        <v>0.749</v>
      </c>
      <c r="H286" s="25">
        <f t="shared" si="53"/>
        <v>2521.63</v>
      </c>
      <c r="I286" s="39">
        <f t="shared" si="54"/>
        <v>1888.7</v>
      </c>
      <c r="J286" s="24">
        <v>15</v>
      </c>
      <c r="K286" s="26">
        <f t="shared" si="55"/>
        <v>125.91333333333334</v>
      </c>
      <c r="L286" s="24">
        <v>2.3975</v>
      </c>
      <c r="M286" s="24">
        <v>36</v>
      </c>
      <c r="N286" s="27">
        <f t="shared" si="56"/>
        <v>10867.579800000001</v>
      </c>
      <c r="O286" s="102">
        <f t="shared" si="57"/>
        <v>12.074999999999999</v>
      </c>
      <c r="P286" s="21">
        <f>VLOOKUP(A286,'2022-23 Salary &amp; Benefits'!$A:$I,5,)</f>
        <v>68937</v>
      </c>
      <c r="Q286" s="21">
        <f>VLOOKUP(A286,'2022-23 Salary &amp; Benefits'!$A:$I,6,FALSE)</f>
        <v>72728</v>
      </c>
      <c r="R286" s="22">
        <f t="shared" si="58"/>
        <v>982248.84</v>
      </c>
      <c r="S286" s="22">
        <f t="shared" si="59"/>
        <v>54016.07</v>
      </c>
      <c r="T286" s="22">
        <f>'2022-23 Salary &amp; Benefits'!$G$6</f>
        <v>12558.24</v>
      </c>
      <c r="U286" s="23">
        <f>'2022-23 Salary &amp; Benefits'!$H$6</f>
        <v>0.2298</v>
      </c>
      <c r="V286" s="23">
        <f>'2022-23 Salary &amp; Benefits'!$I$6</f>
        <v>0.22339999999999999</v>
      </c>
      <c r="W286" s="22">
        <f t="shared" si="60"/>
        <v>389428.72</v>
      </c>
      <c r="X286" s="22">
        <f t="shared" si="61"/>
        <v>17271.080000000002</v>
      </c>
      <c r="Y286" s="22">
        <f t="shared" si="62"/>
        <v>3858.36</v>
      </c>
      <c r="Z286" s="22">
        <f t="shared" si="63"/>
        <v>21129.440000000002</v>
      </c>
      <c r="AA286" s="22">
        <f t="shared" si="64"/>
        <v>1446823.07</v>
      </c>
    </row>
    <row r="287" spans="1:27">
      <c r="A287" s="125" t="s">
        <v>2517</v>
      </c>
      <c r="B287" s="3" t="s">
        <v>1995</v>
      </c>
      <c r="C287" s="93">
        <f>IF(A287=Summary!$B$9,Summary!$G$9,0)</f>
        <v>0</v>
      </c>
      <c r="D287" s="134">
        <f>VLOOKUP(A287,AAFTE!$A:$S,3,0)</f>
        <v>6641.36</v>
      </c>
      <c r="E287" s="20">
        <f>VLOOKUP($A287,'2022-23 Salary &amp; Benefits'!$A:$I,3,)</f>
        <v>1</v>
      </c>
      <c r="F287" s="20">
        <f>VLOOKUP($A287,'2022-23 Salary &amp; Benefits'!$A:$I,4,)</f>
        <v>1</v>
      </c>
      <c r="G287" s="34">
        <f>VLOOKUP(A287,'CEDARS District FRPL'!$A:$C,3,)</f>
        <v>0.3085</v>
      </c>
      <c r="H287" s="25">
        <f t="shared" si="53"/>
        <v>6641.36</v>
      </c>
      <c r="I287" s="39">
        <f t="shared" si="54"/>
        <v>2048.86</v>
      </c>
      <c r="J287" s="24">
        <v>15</v>
      </c>
      <c r="K287" s="26">
        <f t="shared" si="55"/>
        <v>136.59066666666666</v>
      </c>
      <c r="L287" s="24">
        <v>2.3975</v>
      </c>
      <c r="M287" s="24">
        <v>36</v>
      </c>
      <c r="N287" s="27">
        <f t="shared" si="56"/>
        <v>11789.140439999999</v>
      </c>
      <c r="O287" s="102">
        <f t="shared" si="57"/>
        <v>13.099</v>
      </c>
      <c r="P287" s="21">
        <f>VLOOKUP(A287,'2022-23 Salary &amp; Benefits'!$A:$I,5,)</f>
        <v>68937</v>
      </c>
      <c r="Q287" s="21">
        <f>VLOOKUP(A287,'2022-23 Salary &amp; Benefits'!$A:$I,6,FALSE)</f>
        <v>72728</v>
      </c>
      <c r="R287" s="22">
        <f t="shared" si="58"/>
        <v>903005.76</v>
      </c>
      <c r="S287" s="22">
        <f t="shared" si="59"/>
        <v>49658.31</v>
      </c>
      <c r="T287" s="22">
        <f>'2022-23 Salary &amp; Benefits'!$G$6</f>
        <v>12558.24</v>
      </c>
      <c r="U287" s="23">
        <f>'2022-23 Salary &amp; Benefits'!$H$6</f>
        <v>0.2298</v>
      </c>
      <c r="V287" s="23">
        <f>'2022-23 Salary &amp; Benefits'!$I$6</f>
        <v>0.22339999999999999</v>
      </c>
      <c r="W287" s="22">
        <f t="shared" si="60"/>
        <v>383104.78</v>
      </c>
      <c r="X287" s="22">
        <f t="shared" si="61"/>
        <v>15877.73</v>
      </c>
      <c r="Y287" s="22">
        <f t="shared" si="62"/>
        <v>3547.08</v>
      </c>
      <c r="Z287" s="22">
        <f t="shared" si="63"/>
        <v>19424.809999999998</v>
      </c>
      <c r="AA287" s="22">
        <f t="shared" si="64"/>
        <v>1355193.6600000001</v>
      </c>
    </row>
    <row r="288" spans="1:27">
      <c r="A288" s="125" t="s">
        <v>2553</v>
      </c>
      <c r="B288" s="3" t="s">
        <v>2164</v>
      </c>
      <c r="C288" s="93">
        <f>IF(A288=Summary!$B$9,Summary!$G$9,0)</f>
        <v>0</v>
      </c>
      <c r="D288" s="134">
        <f>VLOOKUP(A288,AAFTE!$A:$S,3,0)</f>
        <v>571.30999999999995</v>
      </c>
      <c r="E288" s="20">
        <f>VLOOKUP($A288,'2022-23 Salary &amp; Benefits'!$A:$I,3,)</f>
        <v>1</v>
      </c>
      <c r="F288" s="20">
        <f>VLOOKUP($A288,'2022-23 Salary &amp; Benefits'!$A:$I,4,)</f>
        <v>1</v>
      </c>
      <c r="G288" s="34">
        <f>VLOOKUP(A288,'CEDARS District FRPL'!$A:$C,3,)</f>
        <v>0.92410000000000003</v>
      </c>
      <c r="H288" s="25">
        <f t="shared" si="53"/>
        <v>571.30999999999995</v>
      </c>
      <c r="I288" s="39">
        <f t="shared" si="54"/>
        <v>527.95000000000005</v>
      </c>
      <c r="J288" s="24">
        <v>15</v>
      </c>
      <c r="K288" s="26">
        <f t="shared" si="55"/>
        <v>35.196666666666673</v>
      </c>
      <c r="L288" s="24">
        <v>2.3975</v>
      </c>
      <c r="M288" s="24">
        <v>36</v>
      </c>
      <c r="N288" s="27">
        <f t="shared" si="56"/>
        <v>3037.8243000000002</v>
      </c>
      <c r="O288" s="102">
        <f t="shared" si="57"/>
        <v>3.375</v>
      </c>
      <c r="P288" s="21">
        <f>VLOOKUP(A288,'2022-23 Salary &amp; Benefits'!$A:$I,5,)</f>
        <v>68937</v>
      </c>
      <c r="Q288" s="21">
        <f>VLOOKUP(A288,'2022-23 Salary &amp; Benefits'!$A:$I,6,FALSE)</f>
        <v>72728</v>
      </c>
      <c r="R288" s="22">
        <f t="shared" si="58"/>
        <v>232662.38</v>
      </c>
      <c r="S288" s="22">
        <f t="shared" si="59"/>
        <v>12794.62</v>
      </c>
      <c r="T288" s="22">
        <f>'2022-23 Salary &amp; Benefits'!$G$6</f>
        <v>12558.24</v>
      </c>
      <c r="U288" s="23">
        <f>'2022-23 Salary &amp; Benefits'!$H$6</f>
        <v>0.2298</v>
      </c>
      <c r="V288" s="23">
        <f>'2022-23 Salary &amp; Benefits'!$I$6</f>
        <v>0.22339999999999999</v>
      </c>
      <c r="W288" s="22">
        <f t="shared" si="60"/>
        <v>98708.19</v>
      </c>
      <c r="X288" s="22">
        <f t="shared" si="61"/>
        <v>4090.95</v>
      </c>
      <c r="Y288" s="22">
        <f t="shared" si="62"/>
        <v>913.92</v>
      </c>
      <c r="Z288" s="22">
        <f t="shared" si="63"/>
        <v>5004.87</v>
      </c>
      <c r="AA288" s="22">
        <f t="shared" si="64"/>
        <v>349170.06</v>
      </c>
    </row>
    <row r="289" spans="1:27">
      <c r="A289" s="125" t="s">
        <v>2442</v>
      </c>
      <c r="B289" s="3" t="s">
        <v>1387</v>
      </c>
      <c r="C289" s="93">
        <f>IF(A289=Summary!$B$9,Summary!$G$9,0)</f>
        <v>0</v>
      </c>
      <c r="D289" s="134">
        <f>VLOOKUP(A289,AAFTE!$A:$S,3,0)</f>
        <v>5547.57</v>
      </c>
      <c r="E289" s="20">
        <f>VLOOKUP($A289,'2022-23 Salary &amp; Benefits'!$A:$I,3,)</f>
        <v>1.06</v>
      </c>
      <c r="F289" s="20">
        <f>VLOOKUP($A289,'2022-23 Salary &amp; Benefits'!$A:$I,4,)</f>
        <v>1.1000000000000001</v>
      </c>
      <c r="G289" s="34">
        <f>VLOOKUP(A289,'CEDARS District FRPL'!$A:$C,3,)</f>
        <v>0.36459999999999998</v>
      </c>
      <c r="H289" s="25">
        <f t="shared" si="53"/>
        <v>5547.57</v>
      </c>
      <c r="I289" s="39">
        <f t="shared" si="54"/>
        <v>2022.64</v>
      </c>
      <c r="J289" s="24">
        <v>15</v>
      </c>
      <c r="K289" s="26">
        <f t="shared" si="55"/>
        <v>134.84266666666667</v>
      </c>
      <c r="L289" s="24">
        <v>2.3975</v>
      </c>
      <c r="M289" s="24">
        <v>36</v>
      </c>
      <c r="N289" s="27">
        <f t="shared" si="56"/>
        <v>11638.270560000001</v>
      </c>
      <c r="O289" s="102">
        <f t="shared" si="57"/>
        <v>12.930999999999999</v>
      </c>
      <c r="P289" s="21">
        <f>VLOOKUP(A289,'2022-23 Salary &amp; Benefits'!$A:$I,5,)</f>
        <v>68937</v>
      </c>
      <c r="Q289" s="21">
        <f>VLOOKUP(A289,'2022-23 Salary &amp; Benefits'!$A:$I,6,FALSE)</f>
        <v>72728</v>
      </c>
      <c r="R289" s="22">
        <f t="shared" si="58"/>
        <v>944909.81</v>
      </c>
      <c r="S289" s="22">
        <f t="shared" si="59"/>
        <v>89580.53</v>
      </c>
      <c r="T289" s="22">
        <f>'2022-23 Salary &amp; Benefits'!$G$6</f>
        <v>12558.24</v>
      </c>
      <c r="U289" s="23">
        <f>'2022-23 Salary &amp; Benefits'!$H$6</f>
        <v>0.2298</v>
      </c>
      <c r="V289" s="23">
        <f>'2022-23 Salary &amp; Benefits'!$I$6</f>
        <v>0.22339999999999999</v>
      </c>
      <c r="W289" s="22">
        <f t="shared" si="60"/>
        <v>399543.17</v>
      </c>
      <c r="X289" s="22">
        <f t="shared" si="61"/>
        <v>17241.509999999998</v>
      </c>
      <c r="Y289" s="22">
        <f t="shared" si="62"/>
        <v>3851.75</v>
      </c>
      <c r="Z289" s="22">
        <f t="shared" si="63"/>
        <v>21093.26</v>
      </c>
      <c r="AA289" s="22">
        <f t="shared" si="64"/>
        <v>1455126.77</v>
      </c>
    </row>
    <row r="290" spans="1:27" s="56" customFormat="1">
      <c r="A290" s="125" t="s">
        <v>2506</v>
      </c>
      <c r="B290" s="3" t="s">
        <v>1932</v>
      </c>
      <c r="C290" s="93">
        <f>IF(A290=Summary!$B$9,Summary!$G$9,0)</f>
        <v>0</v>
      </c>
      <c r="D290" s="134">
        <f>VLOOKUP(A290,AAFTE!$A:$S,3,0)</f>
        <v>1127.56</v>
      </c>
      <c r="E290" s="20">
        <f>VLOOKUP($A290,'2022-23 Salary &amp; Benefits'!$A:$I,3,)</f>
        <v>1</v>
      </c>
      <c r="F290" s="20">
        <f>VLOOKUP($A290,'2022-23 Salary &amp; Benefits'!$A:$I,4,)</f>
        <v>1</v>
      </c>
      <c r="G290" s="34">
        <f>VLOOKUP(A290,'CEDARS District FRPL'!$A:$C,3,)</f>
        <v>0.22850000000000001</v>
      </c>
      <c r="H290" s="25">
        <f t="shared" si="53"/>
        <v>1127.56</v>
      </c>
      <c r="I290" s="39">
        <f t="shared" si="54"/>
        <v>257.64999999999998</v>
      </c>
      <c r="J290" s="24">
        <v>15</v>
      </c>
      <c r="K290" s="26">
        <f t="shared" si="55"/>
        <v>17.176666666666666</v>
      </c>
      <c r="L290" s="24">
        <v>2.3975</v>
      </c>
      <c r="M290" s="24">
        <v>36</v>
      </c>
      <c r="N290" s="27">
        <f t="shared" si="56"/>
        <v>1482.5181</v>
      </c>
      <c r="O290" s="102">
        <f t="shared" si="57"/>
        <v>1.647</v>
      </c>
      <c r="P290" s="21">
        <f>VLOOKUP(A290,'2022-23 Salary &amp; Benefits'!$A:$I,5,)</f>
        <v>68937</v>
      </c>
      <c r="Q290" s="21">
        <f>VLOOKUP(A290,'2022-23 Salary &amp; Benefits'!$A:$I,6,FALSE)</f>
        <v>72728</v>
      </c>
      <c r="R290" s="22">
        <f t="shared" si="58"/>
        <v>113539.24</v>
      </c>
      <c r="S290" s="22">
        <f t="shared" si="59"/>
        <v>6243.78</v>
      </c>
      <c r="T290" s="22">
        <f>'2022-23 Salary &amp; Benefits'!$G$6</f>
        <v>12558.24</v>
      </c>
      <c r="U290" s="23">
        <f>'2022-23 Salary &amp; Benefits'!$H$6</f>
        <v>0.2298</v>
      </c>
      <c r="V290" s="23">
        <f>'2022-23 Salary &amp; Benefits'!$I$6</f>
        <v>0.22339999999999999</v>
      </c>
      <c r="W290" s="22">
        <f t="shared" si="60"/>
        <v>48169.599999999999</v>
      </c>
      <c r="X290" s="22">
        <f t="shared" si="61"/>
        <v>1996.38</v>
      </c>
      <c r="Y290" s="22">
        <f t="shared" si="62"/>
        <v>445.99</v>
      </c>
      <c r="Z290" s="22">
        <f t="shared" si="63"/>
        <v>2442.37</v>
      </c>
      <c r="AA290" s="22">
        <f t="shared" si="64"/>
        <v>170394.99</v>
      </c>
    </row>
    <row r="291" spans="1:27">
      <c r="A291" s="125" t="s">
        <v>2283</v>
      </c>
      <c r="B291" s="3" t="s">
        <v>164</v>
      </c>
      <c r="C291" s="93">
        <f>IF(A291=Summary!$B$9,Summary!$G$9,0)</f>
        <v>0</v>
      </c>
      <c r="D291" s="134">
        <f>VLOOKUP(A291,AAFTE!$A:$S,3,0)</f>
        <v>21433.95</v>
      </c>
      <c r="E291" s="20">
        <f>VLOOKUP($A291,'2022-23 Salary &amp; Benefits'!$A:$I,3,)</f>
        <v>1.06</v>
      </c>
      <c r="F291" s="20">
        <f>VLOOKUP($A291,'2022-23 Salary &amp; Benefits'!$A:$I,4,)</f>
        <v>1.06</v>
      </c>
      <c r="G291" s="34">
        <f>VLOOKUP(A291,'CEDARS District FRPL'!$A:$C,3,)</f>
        <v>0.48480000000000001</v>
      </c>
      <c r="H291" s="25">
        <f t="shared" si="53"/>
        <v>21433.95</v>
      </c>
      <c r="I291" s="39">
        <f t="shared" si="54"/>
        <v>10391.18</v>
      </c>
      <c r="J291" s="24">
        <v>15</v>
      </c>
      <c r="K291" s="26">
        <f t="shared" si="55"/>
        <v>692.74533333333341</v>
      </c>
      <c r="L291" s="24">
        <v>2.3975</v>
      </c>
      <c r="M291" s="24">
        <v>36</v>
      </c>
      <c r="N291" s="27">
        <f t="shared" si="56"/>
        <v>59790.849720000006</v>
      </c>
      <c r="O291" s="102">
        <f t="shared" si="57"/>
        <v>66.433999999999997</v>
      </c>
      <c r="P291" s="21">
        <f>VLOOKUP(A291,'2022-23 Salary &amp; Benefits'!$A:$I,5,)</f>
        <v>68937</v>
      </c>
      <c r="Q291" s="21">
        <f>VLOOKUP(A291,'2022-23 Salary &amp; Benefits'!$A:$I,6,FALSE)</f>
        <v>72728</v>
      </c>
      <c r="R291" s="22">
        <f t="shared" si="58"/>
        <v>4854546.3</v>
      </c>
      <c r="S291" s="22">
        <f t="shared" si="59"/>
        <v>266962.37</v>
      </c>
      <c r="T291" s="22">
        <f>'2022-23 Salary &amp; Benefits'!$G$6</f>
        <v>12558.24</v>
      </c>
      <c r="U291" s="23">
        <f>'2022-23 Salary &amp; Benefits'!$H$6</f>
        <v>0.2298</v>
      </c>
      <c r="V291" s="23">
        <f>'2022-23 Salary &amp; Benefits'!$I$6</f>
        <v>0.22339999999999999</v>
      </c>
      <c r="W291" s="22">
        <f t="shared" si="60"/>
        <v>2009508.25</v>
      </c>
      <c r="X291" s="22">
        <f t="shared" si="61"/>
        <v>85358.48</v>
      </c>
      <c r="Y291" s="22">
        <f t="shared" si="62"/>
        <v>19069.080000000002</v>
      </c>
      <c r="Z291" s="22">
        <f t="shared" si="63"/>
        <v>104427.56</v>
      </c>
      <c r="AA291" s="22">
        <f t="shared" si="64"/>
        <v>7235444.4799999995</v>
      </c>
    </row>
    <row r="292" spans="1:27">
      <c r="A292" s="125" t="s">
        <v>2353</v>
      </c>
      <c r="B292" s="3" t="s">
        <v>730</v>
      </c>
      <c r="C292" s="93">
        <f>IF(A292=Summary!$B$9,Summary!$G$9,0)</f>
        <v>0</v>
      </c>
      <c r="D292" s="134">
        <f>VLOOKUP(A292,AAFTE!$A:$S,3,0)</f>
        <v>1479.32</v>
      </c>
      <c r="E292" s="20">
        <f>VLOOKUP($A292,'2022-23 Salary &amp; Benefits'!$A:$I,3,)</f>
        <v>1.1200000000000001</v>
      </c>
      <c r="F292" s="20">
        <f>VLOOKUP($A292,'2022-23 Salary &amp; Benefits'!$A:$I,4,)</f>
        <v>1.1200000000000001</v>
      </c>
      <c r="G292" s="34">
        <f>VLOOKUP(A292,'CEDARS District FRPL'!$A:$C,3,)</f>
        <v>0.2329</v>
      </c>
      <c r="H292" s="25">
        <f t="shared" si="53"/>
        <v>1479.32</v>
      </c>
      <c r="I292" s="39">
        <f t="shared" si="54"/>
        <v>344.53</v>
      </c>
      <c r="J292" s="24">
        <v>15</v>
      </c>
      <c r="K292" s="26">
        <f t="shared" si="55"/>
        <v>22.968666666666664</v>
      </c>
      <c r="L292" s="24">
        <v>2.3975</v>
      </c>
      <c r="M292" s="24">
        <v>36</v>
      </c>
      <c r="N292" s="27">
        <f t="shared" si="56"/>
        <v>1982.4256199999995</v>
      </c>
      <c r="O292" s="102">
        <f t="shared" si="57"/>
        <v>2.2029999999999998</v>
      </c>
      <c r="P292" s="21">
        <f>VLOOKUP(A292,'2022-23 Salary &amp; Benefits'!$A:$I,5,)</f>
        <v>68937</v>
      </c>
      <c r="Q292" s="21">
        <f>VLOOKUP(A292,'2022-23 Salary &amp; Benefits'!$A:$I,6,FALSE)</f>
        <v>72728</v>
      </c>
      <c r="R292" s="22">
        <f t="shared" si="58"/>
        <v>170092.4</v>
      </c>
      <c r="S292" s="22">
        <f t="shared" si="59"/>
        <v>9353.76</v>
      </c>
      <c r="T292" s="22">
        <f>'2022-23 Salary &amp; Benefits'!$G$6</f>
        <v>12558.24</v>
      </c>
      <c r="U292" s="23">
        <f>'2022-23 Salary &amp; Benefits'!$H$6</f>
        <v>0.2298</v>
      </c>
      <c r="V292" s="23">
        <f>'2022-23 Salary &amp; Benefits'!$I$6</f>
        <v>0.22339999999999999</v>
      </c>
      <c r="W292" s="22">
        <f t="shared" si="60"/>
        <v>68842.67</v>
      </c>
      <c r="X292" s="22">
        <f t="shared" si="61"/>
        <v>2990.77</v>
      </c>
      <c r="Y292" s="22">
        <f t="shared" si="62"/>
        <v>668.14</v>
      </c>
      <c r="Z292" s="22">
        <f t="shared" si="63"/>
        <v>3658.91</v>
      </c>
      <c r="AA292" s="22">
        <f t="shared" si="64"/>
        <v>251947.74000000002</v>
      </c>
    </row>
    <row r="293" spans="1:27">
      <c r="A293" s="125" t="s">
        <v>2710</v>
      </c>
      <c r="B293" s="3" t="s">
        <v>2820</v>
      </c>
      <c r="C293" s="93">
        <f>IF(A293=Summary!$B$9,Summary!$G$9,0)</f>
        <v>0</v>
      </c>
      <c r="D293" s="134">
        <f>VLOOKUP(A293,AAFTE!$A:$S,3,0)</f>
        <v>124.73</v>
      </c>
      <c r="E293" s="20">
        <f>VLOOKUP($A293,'2022-23 Salary &amp; Benefits'!$A:$I,3,)</f>
        <v>1.03</v>
      </c>
      <c r="F293" s="20">
        <f>VLOOKUP($A293,'2022-23 Salary &amp; Benefits'!$A:$I,4,)</f>
        <v>1.03</v>
      </c>
      <c r="G293" s="34">
        <f>VLOOKUP(A293,'CEDARS District FRPL'!$A:$C,3,)</f>
        <v>0.9919</v>
      </c>
      <c r="H293" s="25">
        <f t="shared" si="53"/>
        <v>124.73</v>
      </c>
      <c r="I293" s="39">
        <f t="shared" si="54"/>
        <v>123.72</v>
      </c>
      <c r="J293" s="24">
        <v>15</v>
      </c>
      <c r="K293" s="26">
        <f t="shared" si="55"/>
        <v>8.2479999999999993</v>
      </c>
      <c r="L293" s="24">
        <v>2.3975</v>
      </c>
      <c r="M293" s="24">
        <v>36</v>
      </c>
      <c r="N293" s="27">
        <f t="shared" si="56"/>
        <v>711.88487999999984</v>
      </c>
      <c r="O293" s="102">
        <f t="shared" si="57"/>
        <v>0.79100000000000004</v>
      </c>
      <c r="P293" s="21">
        <f>VLOOKUP(A293,'2022-23 Salary &amp; Benefits'!$A:$I,5,)</f>
        <v>68937</v>
      </c>
      <c r="Q293" s="21">
        <f>VLOOKUP(A293,'2022-23 Salary &amp; Benefits'!$A:$I,6,FALSE)</f>
        <v>72728</v>
      </c>
      <c r="R293" s="22">
        <f t="shared" si="58"/>
        <v>56165.04</v>
      </c>
      <c r="S293" s="22">
        <f t="shared" si="59"/>
        <v>3088.64</v>
      </c>
      <c r="T293" s="22">
        <f>'2022-23 Salary &amp; Benefits'!$G$6</f>
        <v>12558.24</v>
      </c>
      <c r="U293" s="23">
        <f>'2022-23 Salary &amp; Benefits'!$H$6</f>
        <v>0.2298</v>
      </c>
      <c r="V293" s="23">
        <f>'2022-23 Salary &amp; Benefits'!$I$6</f>
        <v>0.22339999999999999</v>
      </c>
      <c r="W293" s="22">
        <f t="shared" si="60"/>
        <v>23530.3</v>
      </c>
      <c r="X293" s="22">
        <f t="shared" si="61"/>
        <v>987.56</v>
      </c>
      <c r="Y293" s="22">
        <f t="shared" si="62"/>
        <v>220.62</v>
      </c>
      <c r="Z293" s="22">
        <f t="shared" si="63"/>
        <v>1208.1799999999998</v>
      </c>
      <c r="AA293" s="22">
        <f t="shared" si="64"/>
        <v>83992.159999999989</v>
      </c>
    </row>
    <row r="294" spans="1:27">
      <c r="A294" s="125" t="s">
        <v>2524</v>
      </c>
      <c r="B294" s="3" t="s">
        <v>2036</v>
      </c>
      <c r="C294" s="93">
        <f>IF(A294=Summary!$B$9,Summary!$G$9,0)</f>
        <v>0</v>
      </c>
      <c r="D294" s="134">
        <f>VLOOKUP(A294,AAFTE!$A:$S,3,0)</f>
        <v>449.89</v>
      </c>
      <c r="E294" s="20">
        <f>VLOOKUP($A294,'2022-23 Salary &amp; Benefits'!$A:$I,3,)</f>
        <v>1</v>
      </c>
      <c r="F294" s="20">
        <f>VLOOKUP($A294,'2022-23 Salary &amp; Benefits'!$A:$I,4,)</f>
        <v>1.04</v>
      </c>
      <c r="G294" s="34">
        <f>VLOOKUP(A294,'CEDARS District FRPL'!$A:$C,3,)</f>
        <v>0.57789999999999997</v>
      </c>
      <c r="H294" s="25">
        <f t="shared" si="53"/>
        <v>449.89</v>
      </c>
      <c r="I294" s="39">
        <f t="shared" si="54"/>
        <v>259.99</v>
      </c>
      <c r="J294" s="24">
        <v>15</v>
      </c>
      <c r="K294" s="26">
        <f t="shared" si="55"/>
        <v>17.332666666666668</v>
      </c>
      <c r="L294" s="24">
        <v>2.3975</v>
      </c>
      <c r="M294" s="24">
        <v>36</v>
      </c>
      <c r="N294" s="27">
        <f t="shared" si="56"/>
        <v>1495.9824600000002</v>
      </c>
      <c r="O294" s="102">
        <f t="shared" si="57"/>
        <v>1.6619999999999999</v>
      </c>
      <c r="P294" s="21">
        <f>VLOOKUP(A294,'2022-23 Salary &amp; Benefits'!$A:$I,5,)</f>
        <v>68937</v>
      </c>
      <c r="Q294" s="21">
        <f>VLOOKUP(A294,'2022-23 Salary &amp; Benefits'!$A:$I,6,FALSE)</f>
        <v>72728</v>
      </c>
      <c r="R294" s="22">
        <f t="shared" si="58"/>
        <v>114573.29</v>
      </c>
      <c r="S294" s="22">
        <f t="shared" si="59"/>
        <v>11135.6</v>
      </c>
      <c r="T294" s="22">
        <f>'2022-23 Salary &amp; Benefits'!$G$6</f>
        <v>12558.24</v>
      </c>
      <c r="U294" s="23">
        <f>'2022-23 Salary &amp; Benefits'!$H$6</f>
        <v>0.2298</v>
      </c>
      <c r="V294" s="23">
        <f>'2022-23 Salary &amp; Benefits'!$I$6</f>
        <v>0.22339999999999999</v>
      </c>
      <c r="W294" s="22">
        <f t="shared" si="60"/>
        <v>49688.43</v>
      </c>
      <c r="X294" s="22">
        <f t="shared" si="61"/>
        <v>2095.15</v>
      </c>
      <c r="Y294" s="22">
        <f t="shared" si="62"/>
        <v>468.06</v>
      </c>
      <c r="Z294" s="22">
        <f t="shared" si="63"/>
        <v>2563.21</v>
      </c>
      <c r="AA294" s="22">
        <f t="shared" si="64"/>
        <v>177960.53</v>
      </c>
    </row>
    <row r="295" spans="1:27">
      <c r="A295" s="125" t="s">
        <v>2317</v>
      </c>
      <c r="B295" s="3" t="s">
        <v>408</v>
      </c>
      <c r="C295" s="93">
        <f>IF(A295=Summary!$B$9,Summary!$G$9,0)</f>
        <v>0</v>
      </c>
      <c r="D295" s="134">
        <f>VLOOKUP(A295,AAFTE!$A:$S,3,0)</f>
        <v>2394.15</v>
      </c>
      <c r="E295" s="20">
        <f>VLOOKUP($A295,'2022-23 Salary &amp; Benefits'!$A:$I,3,)</f>
        <v>1</v>
      </c>
      <c r="F295" s="20">
        <f>VLOOKUP($A295,'2022-23 Salary &amp; Benefits'!$A:$I,4,)</f>
        <v>1</v>
      </c>
      <c r="G295" s="34">
        <f>VLOOKUP(A295,'CEDARS District FRPL'!$A:$C,3,)</f>
        <v>0.96860000000000002</v>
      </c>
      <c r="H295" s="25">
        <f t="shared" si="53"/>
        <v>2394.15</v>
      </c>
      <c r="I295" s="39">
        <f t="shared" si="54"/>
        <v>2318.9699999999998</v>
      </c>
      <c r="J295" s="24">
        <v>15</v>
      </c>
      <c r="K295" s="26">
        <f t="shared" si="55"/>
        <v>154.59799999999998</v>
      </c>
      <c r="L295" s="24">
        <v>2.3975</v>
      </c>
      <c r="M295" s="24">
        <v>36</v>
      </c>
      <c r="N295" s="27">
        <f t="shared" si="56"/>
        <v>13343.353379999999</v>
      </c>
      <c r="O295" s="102">
        <f t="shared" si="57"/>
        <v>14.826000000000001</v>
      </c>
      <c r="P295" s="21">
        <f>VLOOKUP(A295,'2022-23 Salary &amp; Benefits'!$A:$I,5,)</f>
        <v>68937</v>
      </c>
      <c r="Q295" s="21">
        <f>VLOOKUP(A295,'2022-23 Salary &amp; Benefits'!$A:$I,6,FALSE)</f>
        <v>72728</v>
      </c>
      <c r="R295" s="22">
        <f t="shared" si="58"/>
        <v>1022059.96</v>
      </c>
      <c r="S295" s="22">
        <f t="shared" si="59"/>
        <v>56205.37</v>
      </c>
      <c r="T295" s="22">
        <f>'2022-23 Salary &amp; Benefits'!$G$6</f>
        <v>12558.24</v>
      </c>
      <c r="U295" s="23">
        <f>'2022-23 Salary &amp; Benefits'!$H$6</f>
        <v>0.2298</v>
      </c>
      <c r="V295" s="23">
        <f>'2022-23 Salary &amp; Benefits'!$I$6</f>
        <v>0.22339999999999999</v>
      </c>
      <c r="W295" s="22">
        <f t="shared" si="60"/>
        <v>433614.12</v>
      </c>
      <c r="X295" s="22">
        <f t="shared" si="61"/>
        <v>17971.09</v>
      </c>
      <c r="Y295" s="22">
        <f t="shared" si="62"/>
        <v>4014.74</v>
      </c>
      <c r="Z295" s="22">
        <f t="shared" si="63"/>
        <v>21985.83</v>
      </c>
      <c r="AA295" s="22">
        <f t="shared" si="64"/>
        <v>1533865.2800000003</v>
      </c>
    </row>
    <row r="296" spans="1:27">
      <c r="A296" s="125" t="s">
        <v>2530</v>
      </c>
      <c r="B296" s="3" t="s">
        <v>2057</v>
      </c>
      <c r="C296" s="93">
        <f>IF(A296=Summary!$B$9,Summary!$G$9,0)</f>
        <v>0</v>
      </c>
      <c r="D296" s="134">
        <f>VLOOKUP(A296,AAFTE!$A:$S,3,0)</f>
        <v>260.75</v>
      </c>
      <c r="E296" s="20">
        <f>VLOOKUP($A296,'2022-23 Salary &amp; Benefits'!$A:$I,3,)</f>
        <v>1</v>
      </c>
      <c r="F296" s="20">
        <f>VLOOKUP($A296,'2022-23 Salary &amp; Benefits'!$A:$I,4,)</f>
        <v>1</v>
      </c>
      <c r="G296" s="34">
        <f>VLOOKUP(A296,'CEDARS District FRPL'!$A:$C,3,)</f>
        <v>0.56779999999999997</v>
      </c>
      <c r="H296" s="25">
        <f t="shared" si="53"/>
        <v>260.75</v>
      </c>
      <c r="I296" s="39">
        <f t="shared" si="54"/>
        <v>148.05000000000001</v>
      </c>
      <c r="J296" s="24">
        <v>15</v>
      </c>
      <c r="K296" s="26">
        <f t="shared" si="55"/>
        <v>9.870000000000001</v>
      </c>
      <c r="L296" s="24">
        <v>2.3975</v>
      </c>
      <c r="M296" s="24">
        <v>36</v>
      </c>
      <c r="N296" s="27">
        <f t="shared" si="56"/>
        <v>851.87969999999996</v>
      </c>
      <c r="O296" s="102">
        <f t="shared" si="57"/>
        <v>0.94699999999999995</v>
      </c>
      <c r="P296" s="21">
        <f>VLOOKUP(A296,'2022-23 Salary &amp; Benefits'!$A:$I,5,)</f>
        <v>68937</v>
      </c>
      <c r="Q296" s="21">
        <f>VLOOKUP(A296,'2022-23 Salary &amp; Benefits'!$A:$I,6,FALSE)</f>
        <v>72728</v>
      </c>
      <c r="R296" s="22">
        <f t="shared" si="58"/>
        <v>65283.34</v>
      </c>
      <c r="S296" s="22">
        <f t="shared" si="59"/>
        <v>3590.08</v>
      </c>
      <c r="T296" s="22">
        <f>'2022-23 Salary &amp; Benefits'!$G$6</f>
        <v>12558.24</v>
      </c>
      <c r="U296" s="23">
        <f>'2022-23 Salary &amp; Benefits'!$H$6</f>
        <v>0.2298</v>
      </c>
      <c r="V296" s="23">
        <f>'2022-23 Salary &amp; Benefits'!$I$6</f>
        <v>0.22339999999999999</v>
      </c>
      <c r="W296" s="22">
        <f t="shared" si="60"/>
        <v>27696.79</v>
      </c>
      <c r="X296" s="22">
        <f t="shared" si="61"/>
        <v>1147.8900000000001</v>
      </c>
      <c r="Y296" s="22">
        <f t="shared" si="62"/>
        <v>256.44</v>
      </c>
      <c r="Z296" s="22">
        <f t="shared" si="63"/>
        <v>1404.3300000000002</v>
      </c>
      <c r="AA296" s="22">
        <f t="shared" si="64"/>
        <v>97974.540000000008</v>
      </c>
    </row>
    <row r="297" spans="1:27">
      <c r="A297" s="125" t="s">
        <v>2526</v>
      </c>
      <c r="B297" s="3" t="s">
        <v>2041</v>
      </c>
      <c r="C297" s="93">
        <f>IF(A297=Summary!$B$9,Summary!$G$9,0)</f>
        <v>0</v>
      </c>
      <c r="D297" s="134">
        <f>VLOOKUP(A297,AAFTE!$A:$S,3,0)</f>
        <v>5481.82</v>
      </c>
      <c r="E297" s="20">
        <f>VLOOKUP($A297,'2022-23 Salary &amp; Benefits'!$A:$I,3,)</f>
        <v>1</v>
      </c>
      <c r="F297" s="20">
        <f>VLOOKUP($A297,'2022-23 Salary &amp; Benefits'!$A:$I,4,)</f>
        <v>1.04</v>
      </c>
      <c r="G297" s="34">
        <f>VLOOKUP(A297,'CEDARS District FRPL'!$A:$C,3,)</f>
        <v>0.55130000000000001</v>
      </c>
      <c r="H297" s="25">
        <f t="shared" si="53"/>
        <v>5481.82</v>
      </c>
      <c r="I297" s="39">
        <f t="shared" si="54"/>
        <v>3022.13</v>
      </c>
      <c r="J297" s="24">
        <v>15</v>
      </c>
      <c r="K297" s="26">
        <f t="shared" si="55"/>
        <v>201.47533333333334</v>
      </c>
      <c r="L297" s="24">
        <v>2.3975</v>
      </c>
      <c r="M297" s="24">
        <v>36</v>
      </c>
      <c r="N297" s="27">
        <f t="shared" si="56"/>
        <v>17389.336019999999</v>
      </c>
      <c r="O297" s="102">
        <f t="shared" si="57"/>
        <v>19.321000000000002</v>
      </c>
      <c r="P297" s="21">
        <f>VLOOKUP(A297,'2022-23 Salary &amp; Benefits'!$A:$I,5,)</f>
        <v>68937</v>
      </c>
      <c r="Q297" s="21">
        <f>VLOOKUP(A297,'2022-23 Salary &amp; Benefits'!$A:$I,6,FALSE)</f>
        <v>72728</v>
      </c>
      <c r="R297" s="22">
        <f t="shared" si="58"/>
        <v>1331931.78</v>
      </c>
      <c r="S297" s="22">
        <f t="shared" si="59"/>
        <v>129453.02</v>
      </c>
      <c r="T297" s="22">
        <f>'2022-23 Salary &amp; Benefits'!$G$6</f>
        <v>12558.24</v>
      </c>
      <c r="U297" s="23">
        <f>'2022-23 Salary &amp; Benefits'!$H$6</f>
        <v>0.2298</v>
      </c>
      <c r="V297" s="23">
        <f>'2022-23 Salary &amp; Benefits'!$I$6</f>
        <v>0.22339999999999999</v>
      </c>
      <c r="W297" s="22">
        <f t="shared" si="60"/>
        <v>577635.48</v>
      </c>
      <c r="X297" s="22">
        <f t="shared" si="61"/>
        <v>24356.41</v>
      </c>
      <c r="Y297" s="22">
        <f t="shared" si="62"/>
        <v>5441.22</v>
      </c>
      <c r="Z297" s="22">
        <f t="shared" si="63"/>
        <v>29797.63</v>
      </c>
      <c r="AA297" s="22">
        <f t="shared" si="64"/>
        <v>2068817.91</v>
      </c>
    </row>
    <row r="298" spans="1:27">
      <c r="A298" s="125" t="s">
        <v>2565</v>
      </c>
      <c r="B298" s="3" t="s">
        <v>2240</v>
      </c>
      <c r="C298" s="93">
        <f>IF(A298=Summary!$B$9,Summary!$G$9,0)</f>
        <v>0</v>
      </c>
      <c r="D298" s="134">
        <f>VLOOKUP(A298,AAFTE!$A:$S,3,0)</f>
        <v>3068.07</v>
      </c>
      <c r="E298" s="20">
        <f>VLOOKUP($A298,'2022-23 Salary &amp; Benefits'!$A:$I,3,)</f>
        <v>1</v>
      </c>
      <c r="F298" s="20">
        <f>VLOOKUP($A298,'2022-23 Salary &amp; Benefits'!$A:$I,4,)</f>
        <v>1</v>
      </c>
      <c r="G298" s="34">
        <f>VLOOKUP(A298,'CEDARS District FRPL'!$A:$C,3,)</f>
        <v>0.90939999999999999</v>
      </c>
      <c r="H298" s="25">
        <f t="shared" si="53"/>
        <v>3068.07</v>
      </c>
      <c r="I298" s="39">
        <f t="shared" si="54"/>
        <v>2790.1</v>
      </c>
      <c r="J298" s="24">
        <v>15</v>
      </c>
      <c r="K298" s="26">
        <f t="shared" si="55"/>
        <v>186.00666666666666</v>
      </c>
      <c r="L298" s="24">
        <v>2.3975</v>
      </c>
      <c r="M298" s="24">
        <v>36</v>
      </c>
      <c r="N298" s="27">
        <f t="shared" si="56"/>
        <v>16054.2354</v>
      </c>
      <c r="O298" s="102">
        <f t="shared" si="57"/>
        <v>17.838000000000001</v>
      </c>
      <c r="P298" s="21">
        <f>VLOOKUP(A298,'2022-23 Salary &amp; Benefits'!$A:$I,5,)</f>
        <v>68937</v>
      </c>
      <c r="Q298" s="21">
        <f>VLOOKUP(A298,'2022-23 Salary &amp; Benefits'!$A:$I,6,FALSE)</f>
        <v>72728</v>
      </c>
      <c r="R298" s="22">
        <f t="shared" si="58"/>
        <v>1229698.21</v>
      </c>
      <c r="S298" s="22">
        <f t="shared" si="59"/>
        <v>67623.850000000006</v>
      </c>
      <c r="T298" s="22">
        <f>'2022-23 Salary &amp; Benefits'!$G$6</f>
        <v>12558.24</v>
      </c>
      <c r="U298" s="23">
        <f>'2022-23 Salary &amp; Benefits'!$H$6</f>
        <v>0.2298</v>
      </c>
      <c r="V298" s="23">
        <f>'2022-23 Salary &amp; Benefits'!$I$6</f>
        <v>0.22339999999999999</v>
      </c>
      <c r="W298" s="22">
        <f t="shared" si="60"/>
        <v>521705.7</v>
      </c>
      <c r="X298" s="22">
        <f t="shared" si="61"/>
        <v>21622.03</v>
      </c>
      <c r="Y298" s="22">
        <f t="shared" si="62"/>
        <v>4830.3599999999997</v>
      </c>
      <c r="Z298" s="22">
        <f t="shared" si="63"/>
        <v>26452.39</v>
      </c>
      <c r="AA298" s="22">
        <f t="shared" si="64"/>
        <v>1845480.15</v>
      </c>
    </row>
    <row r="299" spans="1:27">
      <c r="A299" s="125" t="s">
        <v>2319</v>
      </c>
      <c r="B299" s="3" t="s">
        <v>421</v>
      </c>
      <c r="C299" s="93">
        <f>IF(A299=Summary!$B$9,Summary!$G$9,0)</f>
        <v>0</v>
      </c>
      <c r="D299" s="134">
        <f>VLOOKUP(A299,AAFTE!$A:$S,3,0)</f>
        <v>883.85</v>
      </c>
      <c r="E299" s="20">
        <f>VLOOKUP($A299,'2022-23 Salary &amp; Benefits'!$A:$I,3,)</f>
        <v>1</v>
      </c>
      <c r="F299" s="20">
        <f>VLOOKUP($A299,'2022-23 Salary &amp; Benefits'!$A:$I,4,)</f>
        <v>1</v>
      </c>
      <c r="G299" s="34">
        <f>VLOOKUP(A299,'CEDARS District FRPL'!$A:$C,3,)</f>
        <v>0.82379999999999998</v>
      </c>
      <c r="H299" s="25">
        <f t="shared" si="53"/>
        <v>883.85</v>
      </c>
      <c r="I299" s="39">
        <f t="shared" si="54"/>
        <v>728.12</v>
      </c>
      <c r="J299" s="24">
        <v>15</v>
      </c>
      <c r="K299" s="26">
        <f t="shared" si="55"/>
        <v>48.541333333333334</v>
      </c>
      <c r="L299" s="24">
        <v>2.3975</v>
      </c>
      <c r="M299" s="24">
        <v>36</v>
      </c>
      <c r="N299" s="27">
        <f t="shared" si="56"/>
        <v>4189.6024800000005</v>
      </c>
      <c r="O299" s="102">
        <f t="shared" si="57"/>
        <v>4.6550000000000002</v>
      </c>
      <c r="P299" s="21">
        <f>VLOOKUP(A299,'2022-23 Salary &amp; Benefits'!$A:$I,5,)</f>
        <v>68937</v>
      </c>
      <c r="Q299" s="21">
        <f>VLOOKUP(A299,'2022-23 Salary &amp; Benefits'!$A:$I,6,FALSE)</f>
        <v>72728</v>
      </c>
      <c r="R299" s="22">
        <f t="shared" si="58"/>
        <v>320901.74</v>
      </c>
      <c r="S299" s="22">
        <f t="shared" si="59"/>
        <v>17647.099999999999</v>
      </c>
      <c r="T299" s="22">
        <f>'2022-23 Salary &amp; Benefits'!$G$6</f>
        <v>12558.24</v>
      </c>
      <c r="U299" s="23">
        <f>'2022-23 Salary &amp; Benefits'!$H$6</f>
        <v>0.2298</v>
      </c>
      <c r="V299" s="23">
        <f>'2022-23 Salary &amp; Benefits'!$I$6</f>
        <v>0.22339999999999999</v>
      </c>
      <c r="W299" s="22">
        <f t="shared" si="60"/>
        <v>136144.19</v>
      </c>
      <c r="X299" s="22">
        <f t="shared" si="61"/>
        <v>5642.48</v>
      </c>
      <c r="Y299" s="22">
        <f t="shared" si="62"/>
        <v>1260.53</v>
      </c>
      <c r="Z299" s="22">
        <f t="shared" si="63"/>
        <v>6903.0099999999993</v>
      </c>
      <c r="AA299" s="22">
        <f t="shared" si="64"/>
        <v>481596.04</v>
      </c>
    </row>
    <row r="300" spans="1:27">
      <c r="A300" s="125" t="s">
        <v>2287</v>
      </c>
      <c r="B300" s="3" t="s">
        <v>213</v>
      </c>
      <c r="C300" s="93">
        <f>IF(A300=Summary!$B$9,Summary!$G$9,0)</f>
        <v>0</v>
      </c>
      <c r="D300" s="134">
        <f>VLOOKUP(A300,AAFTE!$A:$S,3,0)</f>
        <v>2900.48</v>
      </c>
      <c r="E300" s="20">
        <f>VLOOKUP($A300,'2022-23 Salary &amp; Benefits'!$A:$I,3,)</f>
        <v>1.06</v>
      </c>
      <c r="F300" s="20">
        <f>VLOOKUP($A300,'2022-23 Salary &amp; Benefits'!$A:$I,4,)</f>
        <v>1.06</v>
      </c>
      <c r="G300" s="34">
        <f>VLOOKUP(A300,'CEDARS District FRPL'!$A:$C,3,)</f>
        <v>0.34189999999999998</v>
      </c>
      <c r="H300" s="25">
        <f t="shared" si="53"/>
        <v>2900.48</v>
      </c>
      <c r="I300" s="39">
        <f t="shared" si="54"/>
        <v>991.67</v>
      </c>
      <c r="J300" s="24">
        <v>15</v>
      </c>
      <c r="K300" s="26">
        <f t="shared" si="55"/>
        <v>66.111333333333334</v>
      </c>
      <c r="L300" s="24">
        <v>2.3975</v>
      </c>
      <c r="M300" s="24">
        <v>36</v>
      </c>
      <c r="N300" s="27">
        <f t="shared" si="56"/>
        <v>5706.0691800000004</v>
      </c>
      <c r="O300" s="102">
        <f t="shared" si="57"/>
        <v>6.34</v>
      </c>
      <c r="P300" s="21">
        <f>VLOOKUP(A300,'2022-23 Salary &amp; Benefits'!$A:$I,5,)</f>
        <v>68937</v>
      </c>
      <c r="Q300" s="21">
        <f>VLOOKUP(A300,'2022-23 Salary &amp; Benefits'!$A:$I,6,FALSE)</f>
        <v>72728</v>
      </c>
      <c r="R300" s="22">
        <f t="shared" si="58"/>
        <v>463284.21</v>
      </c>
      <c r="S300" s="22">
        <f t="shared" si="59"/>
        <v>25477.040000000001</v>
      </c>
      <c r="T300" s="22">
        <f>'2022-23 Salary &amp; Benefits'!$G$6</f>
        <v>12558.24</v>
      </c>
      <c r="U300" s="23">
        <f>'2022-23 Salary &amp; Benefits'!$H$6</f>
        <v>0.2298</v>
      </c>
      <c r="V300" s="23">
        <f>'2022-23 Salary &amp; Benefits'!$I$6</f>
        <v>0.22339999999999999</v>
      </c>
      <c r="W300" s="22">
        <f t="shared" si="60"/>
        <v>191773.52</v>
      </c>
      <c r="X300" s="22">
        <f t="shared" si="61"/>
        <v>8146.02</v>
      </c>
      <c r="Y300" s="22">
        <f t="shared" si="62"/>
        <v>1819.82</v>
      </c>
      <c r="Z300" s="22">
        <f t="shared" si="63"/>
        <v>9965.84</v>
      </c>
      <c r="AA300" s="22">
        <f t="shared" si="64"/>
        <v>690500.61</v>
      </c>
    </row>
    <row r="301" spans="1:27">
      <c r="A301" s="125" t="s">
        <v>2257</v>
      </c>
      <c r="B301" s="3" t="s">
        <v>0</v>
      </c>
      <c r="C301" s="93">
        <f>IF(A301=Summary!$B$9,Summary!$G$9,0)</f>
        <v>0</v>
      </c>
      <c r="D301" s="134">
        <f>VLOOKUP(A301,AAFTE!$A:$S,3,0)</f>
        <v>79.62</v>
      </c>
      <c r="E301" s="20">
        <f>VLOOKUP($A301,'2022-23 Salary &amp; Benefits'!$A:$I,3,)</f>
        <v>1</v>
      </c>
      <c r="F301" s="20">
        <f>VLOOKUP($A301,'2022-23 Salary &amp; Benefits'!$A:$I,4,)</f>
        <v>1</v>
      </c>
      <c r="G301" s="34">
        <f>VLOOKUP(A301,'CEDARS District FRPL'!$A:$C,3,)</f>
        <v>0.74390000000000001</v>
      </c>
      <c r="H301" s="25">
        <f t="shared" si="53"/>
        <v>79.62</v>
      </c>
      <c r="I301" s="39">
        <f t="shared" si="54"/>
        <v>59.23</v>
      </c>
      <c r="J301" s="24">
        <v>15</v>
      </c>
      <c r="K301" s="26">
        <f t="shared" si="55"/>
        <v>3.9486666666666665</v>
      </c>
      <c r="L301" s="24">
        <v>2.3975</v>
      </c>
      <c r="M301" s="24">
        <v>36</v>
      </c>
      <c r="N301" s="27">
        <f t="shared" si="56"/>
        <v>340.80941999999999</v>
      </c>
      <c r="O301" s="102">
        <f t="shared" si="57"/>
        <v>0.379</v>
      </c>
      <c r="P301" s="21">
        <f>VLOOKUP(A301,'2022-23 Salary &amp; Benefits'!$A:$I,5,)</f>
        <v>68937</v>
      </c>
      <c r="Q301" s="21">
        <f>VLOOKUP(A301,'2022-23 Salary &amp; Benefits'!$A:$I,6,FALSE)</f>
        <v>72728</v>
      </c>
      <c r="R301" s="22">
        <f t="shared" si="58"/>
        <v>26127.119999999999</v>
      </c>
      <c r="S301" s="22">
        <f t="shared" si="59"/>
        <v>1436.79</v>
      </c>
      <c r="T301" s="22">
        <f>'2022-23 Salary &amp; Benefits'!$G$6</f>
        <v>12558.24</v>
      </c>
      <c r="U301" s="23">
        <f>'2022-23 Salary &amp; Benefits'!$H$6</f>
        <v>0.2298</v>
      </c>
      <c r="V301" s="23">
        <f>'2022-23 Salary &amp; Benefits'!$I$6</f>
        <v>0.22339999999999999</v>
      </c>
      <c r="W301" s="22">
        <f t="shared" si="60"/>
        <v>11084.56</v>
      </c>
      <c r="X301" s="22">
        <f t="shared" si="61"/>
        <v>459.4</v>
      </c>
      <c r="Y301" s="22">
        <f t="shared" si="62"/>
        <v>102.63</v>
      </c>
      <c r="Z301" s="22">
        <f t="shared" si="63"/>
        <v>562.03</v>
      </c>
      <c r="AA301" s="22">
        <f t="shared" si="64"/>
        <v>39210.5</v>
      </c>
    </row>
    <row r="302" spans="1:27">
      <c r="A302" s="125" t="s">
        <v>2306</v>
      </c>
      <c r="B302" s="3" t="s">
        <v>355</v>
      </c>
      <c r="C302" s="93">
        <f>IF(A302=Summary!$B$9,Summary!$G$9,0)</f>
        <v>0</v>
      </c>
      <c r="D302" s="134">
        <f>VLOOKUP(A302,AAFTE!$A:$S,3,0)</f>
        <v>258.33</v>
      </c>
      <c r="E302" s="20">
        <f>VLOOKUP($A302,'2022-23 Salary &amp; Benefits'!$A:$I,3,)</f>
        <v>1</v>
      </c>
      <c r="F302" s="20">
        <f>VLOOKUP($A302,'2022-23 Salary &amp; Benefits'!$A:$I,4,)</f>
        <v>1</v>
      </c>
      <c r="G302" s="34">
        <f>VLOOKUP(A302,'CEDARS District FRPL'!$A:$C,3,)</f>
        <v>0.4824</v>
      </c>
      <c r="H302" s="25">
        <f t="shared" si="53"/>
        <v>258.33</v>
      </c>
      <c r="I302" s="39">
        <f t="shared" si="54"/>
        <v>124.62</v>
      </c>
      <c r="J302" s="24">
        <v>15</v>
      </c>
      <c r="K302" s="26">
        <f t="shared" si="55"/>
        <v>8.3079999999999998</v>
      </c>
      <c r="L302" s="24">
        <v>2.3975</v>
      </c>
      <c r="M302" s="24">
        <v>36</v>
      </c>
      <c r="N302" s="27">
        <f t="shared" si="56"/>
        <v>717.06348000000003</v>
      </c>
      <c r="O302" s="102">
        <f t="shared" si="57"/>
        <v>0.79700000000000004</v>
      </c>
      <c r="P302" s="21">
        <f>VLOOKUP(A302,'2022-23 Salary &amp; Benefits'!$A:$I,5,)</f>
        <v>68937</v>
      </c>
      <c r="Q302" s="21">
        <f>VLOOKUP(A302,'2022-23 Salary &amp; Benefits'!$A:$I,6,FALSE)</f>
        <v>72728</v>
      </c>
      <c r="R302" s="22">
        <f t="shared" si="58"/>
        <v>54942.79</v>
      </c>
      <c r="S302" s="22">
        <f t="shared" si="59"/>
        <v>3021.43</v>
      </c>
      <c r="T302" s="22">
        <f>'2022-23 Salary &amp; Benefits'!$G$6</f>
        <v>12558.24</v>
      </c>
      <c r="U302" s="23">
        <f>'2022-23 Salary &amp; Benefits'!$H$6</f>
        <v>0.2298</v>
      </c>
      <c r="V302" s="23">
        <f>'2022-23 Salary &amp; Benefits'!$I$6</f>
        <v>0.22339999999999999</v>
      </c>
      <c r="W302" s="22">
        <f t="shared" si="60"/>
        <v>23309.759999999998</v>
      </c>
      <c r="X302" s="22">
        <f t="shared" si="61"/>
        <v>966.07</v>
      </c>
      <c r="Y302" s="22">
        <f t="shared" si="62"/>
        <v>215.82</v>
      </c>
      <c r="Z302" s="22">
        <f t="shared" si="63"/>
        <v>1181.8900000000001</v>
      </c>
      <c r="AA302" s="22">
        <f t="shared" si="64"/>
        <v>82455.87</v>
      </c>
    </row>
    <row r="303" spans="1:27">
      <c r="A303" s="125" t="s">
        <v>2505</v>
      </c>
      <c r="B303" s="3" t="s">
        <v>1928</v>
      </c>
      <c r="C303" s="93">
        <f>IF(A303=Summary!$B$9,Summary!$G$9,0)</f>
        <v>0</v>
      </c>
      <c r="D303" s="134">
        <f>VLOOKUP(A303,AAFTE!$A:$S,3,0)</f>
        <v>387.37</v>
      </c>
      <c r="E303" s="20">
        <f>VLOOKUP($A303,'2022-23 Salary &amp; Benefits'!$A:$I,3,)</f>
        <v>1</v>
      </c>
      <c r="F303" s="20">
        <f>VLOOKUP($A303,'2022-23 Salary &amp; Benefits'!$A:$I,4,)</f>
        <v>1</v>
      </c>
      <c r="G303" s="34">
        <f>VLOOKUP(A303,'CEDARS District FRPL'!$A:$C,3,)</f>
        <v>0.8992</v>
      </c>
      <c r="H303" s="25">
        <f t="shared" si="53"/>
        <v>387.37</v>
      </c>
      <c r="I303" s="39">
        <f t="shared" si="54"/>
        <v>348.32</v>
      </c>
      <c r="J303" s="24">
        <v>15</v>
      </c>
      <c r="K303" s="26">
        <f t="shared" si="55"/>
        <v>23.221333333333334</v>
      </c>
      <c r="L303" s="24">
        <v>2.3975</v>
      </c>
      <c r="M303" s="24">
        <v>36</v>
      </c>
      <c r="N303" s="27">
        <f t="shared" si="56"/>
        <v>2004.2332799999999</v>
      </c>
      <c r="O303" s="102">
        <f t="shared" si="57"/>
        <v>2.2269999999999999</v>
      </c>
      <c r="P303" s="21">
        <f>VLOOKUP(A303,'2022-23 Salary &amp; Benefits'!$A:$I,5,)</f>
        <v>68937</v>
      </c>
      <c r="Q303" s="21">
        <f>VLOOKUP(A303,'2022-23 Salary &amp; Benefits'!$A:$I,6,FALSE)</f>
        <v>72728</v>
      </c>
      <c r="R303" s="22">
        <f t="shared" si="58"/>
        <v>153522.70000000001</v>
      </c>
      <c r="S303" s="22">
        <f t="shared" si="59"/>
        <v>8442.56</v>
      </c>
      <c r="T303" s="22">
        <f>'2022-23 Salary &amp; Benefits'!$G$6</f>
        <v>12558.24</v>
      </c>
      <c r="U303" s="23">
        <f>'2022-23 Salary &amp; Benefits'!$H$6</f>
        <v>0.2298</v>
      </c>
      <c r="V303" s="23">
        <f>'2022-23 Salary &amp; Benefits'!$I$6</f>
        <v>0.22339999999999999</v>
      </c>
      <c r="W303" s="22">
        <f t="shared" si="60"/>
        <v>65132.78</v>
      </c>
      <c r="X303" s="22">
        <f t="shared" si="61"/>
        <v>2699.42</v>
      </c>
      <c r="Y303" s="22">
        <f t="shared" si="62"/>
        <v>603.04999999999995</v>
      </c>
      <c r="Z303" s="22">
        <f t="shared" si="63"/>
        <v>3302.4700000000003</v>
      </c>
      <c r="AA303" s="22">
        <f t="shared" si="64"/>
        <v>230400.51</v>
      </c>
    </row>
    <row r="304" spans="1:27">
      <c r="A304" s="29" t="s">
        <v>2276</v>
      </c>
      <c r="B304" s="29" t="s">
        <v>121</v>
      </c>
      <c r="C304" s="93">
        <f>IF(A304=Summary!$B$9,Summary!$G$9,0)</f>
        <v>0</v>
      </c>
      <c r="D304" s="134">
        <f>VLOOKUP(A304,AAFTE!$A:$S,3,0)</f>
        <v>7287.31</v>
      </c>
      <c r="E304" s="20">
        <f>VLOOKUP($A304,'2022-23 Salary &amp; Benefits'!$A:$I,3,)</f>
        <v>1.03</v>
      </c>
      <c r="F304" s="20">
        <f>VLOOKUP($A304,'2022-23 Salary &amp; Benefits'!$A:$I,4,)</f>
        <v>1.03</v>
      </c>
      <c r="G304" s="34">
        <f>VLOOKUP(A304,'CEDARS District FRPL'!$A:$C,3,)</f>
        <v>0.58399999999999996</v>
      </c>
      <c r="H304" s="25">
        <f t="shared" ref="H304" si="65">IF(C304&gt;0,C304,D304)</f>
        <v>7287.31</v>
      </c>
      <c r="I304" s="39">
        <f t="shared" si="54"/>
        <v>4255.79</v>
      </c>
      <c r="J304" s="24">
        <v>15</v>
      </c>
      <c r="K304" s="26">
        <f t="shared" ref="K304" si="66">I304/J304</f>
        <v>283.71933333333334</v>
      </c>
      <c r="L304" s="24">
        <v>2.3975</v>
      </c>
      <c r="M304" s="24">
        <v>36</v>
      </c>
      <c r="N304" s="27">
        <f t="shared" ref="N304" si="67">K304*L304*M304</f>
        <v>24487.81566</v>
      </c>
      <c r="O304" s="102">
        <f t="shared" si="57"/>
        <v>27.209</v>
      </c>
      <c r="P304" s="21">
        <f>VLOOKUP(A304,'2022-23 Salary &amp; Benefits'!$A:$I,5,)</f>
        <v>68937</v>
      </c>
      <c r="Q304" s="21">
        <f>VLOOKUP(A304,'2022-23 Salary &amp; Benefits'!$A:$I,6,FALSE)</f>
        <v>72728</v>
      </c>
      <c r="R304" s="22">
        <f t="shared" si="58"/>
        <v>1931978.04</v>
      </c>
      <c r="S304" s="22">
        <f t="shared" si="59"/>
        <v>106243.8</v>
      </c>
      <c r="T304" s="22">
        <f>'2022-23 Salary &amp; Benefits'!$G$6</f>
        <v>12558.24</v>
      </c>
      <c r="U304" s="23">
        <f>'2022-23 Salary &amp; Benefits'!$H$6</f>
        <v>0.2298</v>
      </c>
      <c r="V304" s="23">
        <f>'2022-23 Salary &amp; Benefits'!$I$6</f>
        <v>0.22339999999999999</v>
      </c>
      <c r="W304" s="22">
        <f t="shared" si="60"/>
        <v>809400.57</v>
      </c>
      <c r="X304" s="22">
        <f t="shared" si="61"/>
        <v>33970.36</v>
      </c>
      <c r="Y304" s="22">
        <f t="shared" si="62"/>
        <v>7588.98</v>
      </c>
      <c r="Z304" s="22">
        <f t="shared" ref="Z304" si="68">SUM(X304:Y304)</f>
        <v>41559.339999999997</v>
      </c>
      <c r="AA304" s="22">
        <f t="shared" ref="AA304" si="69">SUM(W304,R304:S304,Z304)</f>
        <v>2889181.7499999995</v>
      </c>
    </row>
    <row r="305" spans="1:27">
      <c r="A305" s="125" t="s">
        <v>2497</v>
      </c>
      <c r="B305" s="3" t="s">
        <v>1898</v>
      </c>
      <c r="C305" s="93">
        <f>IF(A305=Summary!$B$9,Summary!$G$9,0)</f>
        <v>0</v>
      </c>
      <c r="D305" s="134">
        <f>VLOOKUP(A305,AAFTE!$A:$S,3,0)</f>
        <v>3406.39</v>
      </c>
      <c r="E305" s="20">
        <f>VLOOKUP($A305,'2022-23 Salary &amp; Benefits'!$A:$I,3,)</f>
        <v>1</v>
      </c>
      <c r="F305" s="20">
        <f>VLOOKUP($A305,'2022-23 Salary &amp; Benefits'!$A:$I,4,)</f>
        <v>1</v>
      </c>
      <c r="G305" s="34">
        <f>VLOOKUP(A305,'CEDARS District FRPL'!$A:$C,3,)</f>
        <v>0.52390000000000003</v>
      </c>
      <c r="H305" s="25">
        <f t="shared" si="53"/>
        <v>3406.39</v>
      </c>
      <c r="I305" s="39">
        <f t="shared" si="54"/>
        <v>1784.61</v>
      </c>
      <c r="J305" s="24">
        <v>15</v>
      </c>
      <c r="K305" s="26">
        <f t="shared" si="55"/>
        <v>118.97399999999999</v>
      </c>
      <c r="L305" s="24">
        <v>2.3975</v>
      </c>
      <c r="M305" s="24">
        <v>36</v>
      </c>
      <c r="N305" s="27">
        <f t="shared" si="56"/>
        <v>10268.64594</v>
      </c>
      <c r="O305" s="102">
        <f t="shared" si="57"/>
        <v>11.41</v>
      </c>
      <c r="P305" s="21">
        <f>VLOOKUP(A305,'2022-23 Salary &amp; Benefits'!$A:$I,5,)</f>
        <v>68937</v>
      </c>
      <c r="Q305" s="21">
        <f>VLOOKUP(A305,'2022-23 Salary &amp; Benefits'!$A:$I,6,FALSE)</f>
        <v>72728</v>
      </c>
      <c r="R305" s="22">
        <f t="shared" si="58"/>
        <v>786571.17</v>
      </c>
      <c r="S305" s="22">
        <f t="shared" si="59"/>
        <v>43255.31</v>
      </c>
      <c r="T305" s="22">
        <f>'2022-23 Salary &amp; Benefits'!$G$6</f>
        <v>12558.24</v>
      </c>
      <c r="U305" s="23">
        <f>'2022-23 Salary &amp; Benefits'!$H$6</f>
        <v>0.2298</v>
      </c>
      <c r="V305" s="23">
        <f>'2022-23 Salary &amp; Benefits'!$I$6</f>
        <v>0.22339999999999999</v>
      </c>
      <c r="W305" s="22">
        <f t="shared" si="60"/>
        <v>333706.81</v>
      </c>
      <c r="X305" s="22">
        <f t="shared" si="61"/>
        <v>13830.44</v>
      </c>
      <c r="Y305" s="22">
        <f t="shared" si="62"/>
        <v>3089.72</v>
      </c>
      <c r="Z305" s="22">
        <f t="shared" si="63"/>
        <v>16920.16</v>
      </c>
      <c r="AA305" s="22">
        <f t="shared" si="64"/>
        <v>1180453.45</v>
      </c>
    </row>
    <row r="306" spans="1:27">
      <c r="A306" s="125" t="s">
        <v>2566</v>
      </c>
      <c r="B306" s="3" t="s">
        <v>2246</v>
      </c>
      <c r="C306" s="93">
        <f>IF(A306=Summary!$B$9,Summary!$G$9,0)</f>
        <v>0</v>
      </c>
      <c r="D306" s="134">
        <f>VLOOKUP(A306,AAFTE!$A:$S,3,0)</f>
        <v>5225.99</v>
      </c>
      <c r="E306" s="20">
        <f>VLOOKUP($A306,'2022-23 Salary &amp; Benefits'!$A:$I,3,)</f>
        <v>1.03</v>
      </c>
      <c r="F306" s="20">
        <f>VLOOKUP($A306,'2022-23 Salary &amp; Benefits'!$A:$I,4,)</f>
        <v>1.03</v>
      </c>
      <c r="G306" s="34">
        <f>VLOOKUP(A306,'CEDARS District FRPL'!$A:$C,3,)</f>
        <v>0.46389999999999998</v>
      </c>
      <c r="H306" s="25">
        <f t="shared" si="53"/>
        <v>5225.99</v>
      </c>
      <c r="I306" s="39">
        <f t="shared" si="54"/>
        <v>2424.34</v>
      </c>
      <c r="J306" s="24">
        <v>15</v>
      </c>
      <c r="K306" s="26">
        <f t="shared" si="55"/>
        <v>161.62266666666667</v>
      </c>
      <c r="L306" s="24">
        <v>2.3975</v>
      </c>
      <c r="M306" s="24">
        <v>36</v>
      </c>
      <c r="N306" s="27">
        <f t="shared" si="56"/>
        <v>13949.65236</v>
      </c>
      <c r="O306" s="102">
        <f t="shared" si="57"/>
        <v>15.5</v>
      </c>
      <c r="P306" s="21">
        <f>VLOOKUP(A306,'2022-23 Salary &amp; Benefits'!$A:$I,5,)</f>
        <v>68937</v>
      </c>
      <c r="Q306" s="21">
        <f>VLOOKUP(A306,'2022-23 Salary &amp; Benefits'!$A:$I,6,FALSE)</f>
        <v>72728</v>
      </c>
      <c r="R306" s="22">
        <f t="shared" si="58"/>
        <v>1100579.21</v>
      </c>
      <c r="S306" s="22">
        <f t="shared" si="59"/>
        <v>60523.31</v>
      </c>
      <c r="T306" s="22">
        <f>'2022-23 Salary &amp; Benefits'!$G$6</f>
        <v>12558.24</v>
      </c>
      <c r="U306" s="23">
        <f>'2022-23 Salary &amp; Benefits'!$H$6</f>
        <v>0.2298</v>
      </c>
      <c r="V306" s="23">
        <f>'2022-23 Salary &amp; Benefits'!$I$6</f>
        <v>0.22339999999999999</v>
      </c>
      <c r="W306" s="22">
        <f t="shared" si="60"/>
        <v>461086.73</v>
      </c>
      <c r="X306" s="22">
        <f t="shared" si="61"/>
        <v>19351.71</v>
      </c>
      <c r="Y306" s="22">
        <f t="shared" si="62"/>
        <v>4323.17</v>
      </c>
      <c r="Z306" s="22">
        <f t="shared" si="63"/>
        <v>23674.879999999997</v>
      </c>
      <c r="AA306" s="22">
        <f t="shared" si="64"/>
        <v>1645864.13</v>
      </c>
    </row>
    <row r="307" spans="1:27">
      <c r="A307" s="125" t="s">
        <v>2858</v>
      </c>
      <c r="B307" s="3" t="s">
        <v>2859</v>
      </c>
      <c r="C307" s="93">
        <f>IF(A307=Summary!$B$9,Summary!$G$9,0)</f>
        <v>0</v>
      </c>
      <c r="D307" s="134">
        <f>VLOOKUP(A307,AAFTE!$A:$S,3,0)</f>
        <v>49.03</v>
      </c>
      <c r="E307" s="20">
        <f>VLOOKUP($A307,'2022-23 Salary &amp; Benefits'!$A:$I,3,)</f>
        <v>1.0900000000000001</v>
      </c>
      <c r="F307" s="20">
        <f>VLOOKUP($A307,'2022-23 Salary &amp; Benefits'!$A:$I,4,)</f>
        <v>1.0900000000000001</v>
      </c>
      <c r="G307" s="34">
        <f>VLOOKUP(A307,'CEDARS District FRPL'!$A:$C,3,)</f>
        <v>0.60419999999999996</v>
      </c>
      <c r="H307" s="25">
        <f t="shared" si="53"/>
        <v>49.03</v>
      </c>
      <c r="I307" s="39">
        <f t="shared" si="54"/>
        <v>29.62</v>
      </c>
      <c r="J307" s="24">
        <v>15</v>
      </c>
      <c r="K307" s="26">
        <f t="shared" si="55"/>
        <v>1.9746666666666668</v>
      </c>
      <c r="L307" s="24">
        <v>2.3975</v>
      </c>
      <c r="M307" s="24">
        <v>36</v>
      </c>
      <c r="N307" s="27">
        <f t="shared" si="56"/>
        <v>170.43348</v>
      </c>
      <c r="O307" s="102">
        <f t="shared" si="57"/>
        <v>0.189</v>
      </c>
      <c r="P307" s="21">
        <f>VLOOKUP(A307,'2022-23 Salary &amp; Benefits'!$A:$I,5,)</f>
        <v>68937</v>
      </c>
      <c r="Q307" s="21">
        <f>VLOOKUP(A307,'2022-23 Salary &amp; Benefits'!$A:$I,6,FALSE)</f>
        <v>72728</v>
      </c>
      <c r="R307" s="22">
        <f t="shared" si="58"/>
        <v>14201.71</v>
      </c>
      <c r="S307" s="22">
        <f t="shared" si="59"/>
        <v>780.99</v>
      </c>
      <c r="T307" s="22">
        <f>'2022-23 Salary &amp; Benefits'!$G$6</f>
        <v>12558.24</v>
      </c>
      <c r="U307" s="23">
        <f>'2022-23 Salary &amp; Benefits'!$H$6</f>
        <v>0.2298</v>
      </c>
      <c r="V307" s="23">
        <f>'2022-23 Salary &amp; Benefits'!$I$6</f>
        <v>0.22339999999999999</v>
      </c>
      <c r="W307" s="22">
        <f t="shared" si="60"/>
        <v>5811.53</v>
      </c>
      <c r="X307" s="22">
        <f t="shared" si="61"/>
        <v>249.71</v>
      </c>
      <c r="Y307" s="22">
        <f t="shared" si="62"/>
        <v>55.79</v>
      </c>
      <c r="Z307" s="22">
        <f t="shared" si="63"/>
        <v>305.5</v>
      </c>
      <c r="AA307" s="22">
        <f t="shared" si="64"/>
        <v>21099.73</v>
      </c>
    </row>
    <row r="308" spans="1:27">
      <c r="A308" s="125" t="s">
        <v>2404</v>
      </c>
      <c r="B308" s="3" t="s">
        <v>1170</v>
      </c>
      <c r="C308" s="93">
        <f>IF(A308=Summary!$B$9,Summary!$G$9,0)</f>
        <v>0</v>
      </c>
      <c r="D308" s="134">
        <f>VLOOKUP(A308,AAFTE!$A:$S,3,0)</f>
        <v>322.83</v>
      </c>
      <c r="E308" s="20">
        <f>VLOOKUP($A308,'2022-23 Salary &amp; Benefits'!$A:$I,3,)</f>
        <v>1</v>
      </c>
      <c r="F308" s="20">
        <f>VLOOKUP($A308,'2022-23 Salary &amp; Benefits'!$A:$I,4,)</f>
        <v>1</v>
      </c>
      <c r="G308" s="34">
        <f>VLOOKUP(A308,'CEDARS District FRPL'!$A:$C,3,)</f>
        <v>0.69669999999999999</v>
      </c>
      <c r="H308" s="25">
        <f t="shared" si="53"/>
        <v>322.83</v>
      </c>
      <c r="I308" s="39">
        <f t="shared" si="54"/>
        <v>224.92</v>
      </c>
      <c r="J308" s="24">
        <v>15</v>
      </c>
      <c r="K308" s="26">
        <f t="shared" si="55"/>
        <v>14.994666666666665</v>
      </c>
      <c r="L308" s="24">
        <v>2.3975</v>
      </c>
      <c r="M308" s="24">
        <v>36</v>
      </c>
      <c r="N308" s="27">
        <f t="shared" si="56"/>
        <v>1294.1896799999997</v>
      </c>
      <c r="O308" s="102">
        <f t="shared" si="57"/>
        <v>1.4379999999999999</v>
      </c>
      <c r="P308" s="21">
        <f>VLOOKUP(A308,'2022-23 Salary &amp; Benefits'!$A:$I,5,)</f>
        <v>68937</v>
      </c>
      <c r="Q308" s="21">
        <f>VLOOKUP(A308,'2022-23 Salary &amp; Benefits'!$A:$I,6,FALSE)</f>
        <v>72728</v>
      </c>
      <c r="R308" s="22">
        <f t="shared" si="58"/>
        <v>99131.41</v>
      </c>
      <c r="S308" s="22">
        <f t="shared" si="59"/>
        <v>5451.45</v>
      </c>
      <c r="T308" s="22">
        <f>'2022-23 Salary &amp; Benefits'!$G$6</f>
        <v>12558.24</v>
      </c>
      <c r="U308" s="23">
        <f>'2022-23 Salary &amp; Benefits'!$H$6</f>
        <v>0.2298</v>
      </c>
      <c r="V308" s="23">
        <f>'2022-23 Salary &amp; Benefits'!$I$6</f>
        <v>0.22339999999999999</v>
      </c>
      <c r="W308" s="22">
        <f t="shared" si="60"/>
        <v>42057</v>
      </c>
      <c r="X308" s="22">
        <f t="shared" si="61"/>
        <v>1743.05</v>
      </c>
      <c r="Y308" s="22">
        <f t="shared" si="62"/>
        <v>389.4</v>
      </c>
      <c r="Z308" s="22">
        <f t="shared" si="63"/>
        <v>2132.4499999999998</v>
      </c>
      <c r="AA308" s="22">
        <f t="shared" si="64"/>
        <v>148772.31000000003</v>
      </c>
    </row>
    <row r="309" spans="1:27">
      <c r="A309" s="125" t="s">
        <v>2451</v>
      </c>
      <c r="B309" s="3" t="s">
        <v>1508</v>
      </c>
      <c r="C309" s="93">
        <f>IF(A309=Summary!$B$9,Summary!$G$9,0)</f>
        <v>0</v>
      </c>
      <c r="D309" s="134">
        <f>VLOOKUP(A309,AAFTE!$A:$S,3,0)</f>
        <v>4131.5600000000004</v>
      </c>
      <c r="E309" s="20">
        <f>VLOOKUP($A309,'2022-23 Salary &amp; Benefits'!$A:$I,3,)</f>
        <v>1.06</v>
      </c>
      <c r="F309" s="20">
        <f>VLOOKUP($A309,'2022-23 Salary &amp; Benefits'!$A:$I,4,)</f>
        <v>1.06</v>
      </c>
      <c r="G309" s="34">
        <f>VLOOKUP(A309,'CEDARS District FRPL'!$A:$C,3,)</f>
        <v>0.29320000000000002</v>
      </c>
      <c r="H309" s="25">
        <f t="shared" si="53"/>
        <v>4131.5600000000004</v>
      </c>
      <c r="I309" s="39">
        <f t="shared" si="54"/>
        <v>1211.3699999999999</v>
      </c>
      <c r="J309" s="24">
        <v>15</v>
      </c>
      <c r="K309" s="26">
        <f t="shared" si="55"/>
        <v>80.757999999999996</v>
      </c>
      <c r="L309" s="24">
        <v>2.3975</v>
      </c>
      <c r="M309" s="24">
        <v>36</v>
      </c>
      <c r="N309" s="27">
        <f t="shared" si="56"/>
        <v>6970.2229799999996</v>
      </c>
      <c r="O309" s="102">
        <f t="shared" si="57"/>
        <v>7.7450000000000001</v>
      </c>
      <c r="P309" s="21">
        <f>VLOOKUP(A309,'2022-23 Salary &amp; Benefits'!$A:$I,5,)</f>
        <v>68937</v>
      </c>
      <c r="Q309" s="21">
        <f>VLOOKUP(A309,'2022-23 Salary &amp; Benefits'!$A:$I,6,FALSE)</f>
        <v>72728</v>
      </c>
      <c r="R309" s="22">
        <f t="shared" si="58"/>
        <v>565952.09</v>
      </c>
      <c r="S309" s="22">
        <f t="shared" si="59"/>
        <v>31122.97</v>
      </c>
      <c r="T309" s="22">
        <f>'2022-23 Salary &amp; Benefits'!$G$6</f>
        <v>12558.24</v>
      </c>
      <c r="U309" s="23">
        <f>'2022-23 Salary &amp; Benefits'!$H$6</f>
        <v>0.2298</v>
      </c>
      <c r="V309" s="23">
        <f>'2022-23 Salary &amp; Benefits'!$I$6</f>
        <v>0.22339999999999999</v>
      </c>
      <c r="W309" s="22">
        <f t="shared" si="60"/>
        <v>234272.23</v>
      </c>
      <c r="X309" s="22">
        <f t="shared" si="61"/>
        <v>9951.25</v>
      </c>
      <c r="Y309" s="22">
        <f t="shared" si="62"/>
        <v>2223.11</v>
      </c>
      <c r="Z309" s="22">
        <f t="shared" si="63"/>
        <v>12174.36</v>
      </c>
      <c r="AA309" s="22">
        <f t="shared" si="64"/>
        <v>843521.64999999991</v>
      </c>
    </row>
    <row r="310" spans="1:27">
      <c r="A310" s="126" t="s">
        <v>2391</v>
      </c>
      <c r="B310" s="3" t="s">
        <v>1123</v>
      </c>
      <c r="C310" s="93">
        <f>IF(A310=Summary!$B$9,Summary!$G$9,0)</f>
        <v>0</v>
      </c>
      <c r="D310" s="134">
        <f>VLOOKUP(A310,AAFTE!$A:$S,3,0)</f>
        <v>1104.93</v>
      </c>
      <c r="E310" s="20">
        <f>VLOOKUP($A310,'2022-23 Salary &amp; Benefits'!$A:$I,3,)</f>
        <v>1</v>
      </c>
      <c r="F310" s="20">
        <f>VLOOKUP($A310,'2022-23 Salary &amp; Benefits'!$A:$I,4,)</f>
        <v>1</v>
      </c>
      <c r="G310" s="34">
        <f>VLOOKUP(A310,'CEDARS District FRPL'!$A:$C,3,)</f>
        <v>0.43130000000000002</v>
      </c>
      <c r="H310" s="25">
        <f t="shared" si="53"/>
        <v>1104.93</v>
      </c>
      <c r="I310" s="39">
        <f t="shared" si="54"/>
        <v>476.56</v>
      </c>
      <c r="J310" s="24">
        <v>15</v>
      </c>
      <c r="K310" s="26">
        <f t="shared" si="55"/>
        <v>31.770666666666667</v>
      </c>
      <c r="L310" s="24">
        <v>2.3975</v>
      </c>
      <c r="M310" s="24">
        <v>36</v>
      </c>
      <c r="N310" s="27">
        <f t="shared" si="56"/>
        <v>2742.1262400000001</v>
      </c>
      <c r="O310" s="102">
        <f t="shared" si="57"/>
        <v>3.0470000000000002</v>
      </c>
      <c r="P310" s="21">
        <f>VLOOKUP(A310,'2022-23 Salary &amp; Benefits'!$A:$I,5,)</f>
        <v>68937</v>
      </c>
      <c r="Q310" s="21">
        <f>VLOOKUP(A310,'2022-23 Salary &amp; Benefits'!$A:$I,6,FALSE)</f>
        <v>72728</v>
      </c>
      <c r="R310" s="22">
        <f t="shared" si="58"/>
        <v>210051.04</v>
      </c>
      <c r="S310" s="22">
        <f t="shared" si="59"/>
        <v>11551.18</v>
      </c>
      <c r="T310" s="22">
        <f>'2022-23 Salary &amp; Benefits'!$G$6</f>
        <v>12558.24</v>
      </c>
      <c r="U310" s="23">
        <f>'2022-23 Salary &amp; Benefits'!$H$6</f>
        <v>0.2298</v>
      </c>
      <c r="V310" s="23">
        <f>'2022-23 Salary &amp; Benefits'!$I$6</f>
        <v>0.22339999999999999</v>
      </c>
      <c r="W310" s="22">
        <f t="shared" si="60"/>
        <v>89115.22</v>
      </c>
      <c r="X310" s="22">
        <f t="shared" si="61"/>
        <v>3693.37</v>
      </c>
      <c r="Y310" s="22">
        <f t="shared" si="62"/>
        <v>825.1</v>
      </c>
      <c r="Z310" s="22">
        <f t="shared" si="63"/>
        <v>4518.47</v>
      </c>
      <c r="AA310" s="22">
        <f t="shared" si="64"/>
        <v>315235.90999999997</v>
      </c>
    </row>
    <row r="311" spans="1:27">
      <c r="A311" s="125" t="s">
        <v>2855</v>
      </c>
      <c r="B311" s="3" t="s">
        <v>2950</v>
      </c>
      <c r="C311" s="93">
        <f>IF(A311=Summary!$B$9,Summary!$G$9,0)</f>
        <v>0</v>
      </c>
      <c r="D311" s="134">
        <f>VLOOKUP(A311,AAFTE!$A:$S,3,0)</f>
        <v>102.33</v>
      </c>
      <c r="E311" s="20">
        <f>VLOOKUP($A311,'2022-23 Salary &amp; Benefits'!$A:$I,3,)</f>
        <v>1.18</v>
      </c>
      <c r="F311" s="20">
        <f>VLOOKUP($A311,'2022-23 Salary &amp; Benefits'!$A:$I,4,)</f>
        <v>1.18</v>
      </c>
      <c r="G311" s="34">
        <f>VLOOKUP(A311,'CEDARS District FRPL'!$A:$C,3,)</f>
        <v>0.68630000000000002</v>
      </c>
      <c r="H311" s="25">
        <f t="shared" si="53"/>
        <v>102.33</v>
      </c>
      <c r="I311" s="39">
        <f t="shared" si="54"/>
        <v>70.23</v>
      </c>
      <c r="J311" s="24">
        <v>15</v>
      </c>
      <c r="K311" s="26">
        <f t="shared" si="55"/>
        <v>4.6820000000000004</v>
      </c>
      <c r="L311" s="24">
        <v>2.3975</v>
      </c>
      <c r="M311" s="24">
        <v>36</v>
      </c>
      <c r="N311" s="27">
        <f t="shared" si="56"/>
        <v>404.10342000000003</v>
      </c>
      <c r="O311" s="102">
        <f t="shared" si="57"/>
        <v>0.44900000000000001</v>
      </c>
      <c r="P311" s="21">
        <f>VLOOKUP(A311,'2022-23 Salary &amp; Benefits'!$A:$I,5,)</f>
        <v>68937</v>
      </c>
      <c r="Q311" s="21">
        <f>VLOOKUP(A311,'2022-23 Salary &amp; Benefits'!$A:$I,6,FALSE)</f>
        <v>72728</v>
      </c>
      <c r="R311" s="22">
        <f t="shared" si="58"/>
        <v>36524.199999999997</v>
      </c>
      <c r="S311" s="22">
        <f t="shared" si="59"/>
        <v>2008.55</v>
      </c>
      <c r="T311" s="22">
        <f>'2022-23 Salary &amp; Benefits'!$G$6</f>
        <v>12558.24</v>
      </c>
      <c r="U311" s="23">
        <f>'2022-23 Salary &amp; Benefits'!$H$6</f>
        <v>0.2298</v>
      </c>
      <c r="V311" s="23">
        <f>'2022-23 Salary &amp; Benefits'!$I$6</f>
        <v>0.22339999999999999</v>
      </c>
      <c r="W311" s="22">
        <f t="shared" si="60"/>
        <v>14480.62</v>
      </c>
      <c r="X311" s="22">
        <f t="shared" si="61"/>
        <v>642.21</v>
      </c>
      <c r="Y311" s="22">
        <f t="shared" si="62"/>
        <v>143.47</v>
      </c>
      <c r="Z311" s="22">
        <f t="shared" si="63"/>
        <v>785.68000000000006</v>
      </c>
      <c r="AA311" s="22">
        <f t="shared" si="64"/>
        <v>53799.05</v>
      </c>
    </row>
    <row r="312" spans="1:27">
      <c r="A312" s="125" t="s">
        <v>2411</v>
      </c>
      <c r="B312" s="3" t="s">
        <v>1195</v>
      </c>
      <c r="C312" s="93">
        <f>IF(A312=Summary!$B$9,Summary!$G$9,0)</f>
        <v>0</v>
      </c>
      <c r="D312" s="134">
        <f>VLOOKUP(A312,AAFTE!$A:$S,3,0)</f>
        <v>220.36</v>
      </c>
      <c r="E312" s="20">
        <f>VLOOKUP($A312,'2022-23 Salary &amp; Benefits'!$A:$I,3,)</f>
        <v>1</v>
      </c>
      <c r="F312" s="20">
        <f>VLOOKUP($A312,'2022-23 Salary &amp; Benefits'!$A:$I,4,)</f>
        <v>1</v>
      </c>
      <c r="G312" s="34">
        <f>VLOOKUP(A312,'CEDARS District FRPL'!$A:$C,3,)</f>
        <v>0.33639999999999998</v>
      </c>
      <c r="H312" s="25">
        <f t="shared" si="53"/>
        <v>220.36</v>
      </c>
      <c r="I312" s="39">
        <f t="shared" si="54"/>
        <v>74.13</v>
      </c>
      <c r="J312" s="24">
        <v>15</v>
      </c>
      <c r="K312" s="26">
        <f t="shared" si="55"/>
        <v>4.9419999999999993</v>
      </c>
      <c r="L312" s="24">
        <v>2.3975</v>
      </c>
      <c r="M312" s="24">
        <v>36</v>
      </c>
      <c r="N312" s="27">
        <f t="shared" si="56"/>
        <v>426.54401999999993</v>
      </c>
      <c r="O312" s="102">
        <f t="shared" si="57"/>
        <v>0.47399999999999998</v>
      </c>
      <c r="P312" s="21">
        <f>VLOOKUP(A312,'2022-23 Salary &amp; Benefits'!$A:$I,5,)</f>
        <v>68937</v>
      </c>
      <c r="Q312" s="21">
        <f>VLOOKUP(A312,'2022-23 Salary &amp; Benefits'!$A:$I,6,FALSE)</f>
        <v>72728</v>
      </c>
      <c r="R312" s="22">
        <f t="shared" si="58"/>
        <v>32676.14</v>
      </c>
      <c r="S312" s="22">
        <f t="shared" si="59"/>
        <v>1796.93</v>
      </c>
      <c r="T312" s="22">
        <f>'2022-23 Salary &amp; Benefits'!$G$6</f>
        <v>12558.24</v>
      </c>
      <c r="U312" s="23">
        <f>'2022-23 Salary &amp; Benefits'!$H$6</f>
        <v>0.2298</v>
      </c>
      <c r="V312" s="23">
        <f>'2022-23 Salary &amp; Benefits'!$I$6</f>
        <v>0.22339999999999999</v>
      </c>
      <c r="W312" s="22">
        <f t="shared" si="60"/>
        <v>13863.02</v>
      </c>
      <c r="X312" s="22">
        <f t="shared" si="61"/>
        <v>574.54999999999995</v>
      </c>
      <c r="Y312" s="22">
        <f t="shared" si="62"/>
        <v>128.35</v>
      </c>
      <c r="Z312" s="22">
        <f t="shared" si="63"/>
        <v>702.9</v>
      </c>
      <c r="AA312" s="22">
        <f t="shared" si="64"/>
        <v>49038.990000000005</v>
      </c>
    </row>
    <row r="313" spans="1:27">
      <c r="A313" s="125" t="s">
        <v>2433</v>
      </c>
      <c r="B313" s="3" t="s">
        <v>1275</v>
      </c>
      <c r="C313" s="93">
        <f>IF(A313=Summary!$B$9,Summary!$G$9,0)</f>
        <v>0</v>
      </c>
      <c r="D313" s="134">
        <f>VLOOKUP(A313,AAFTE!$A:$S,3,0)</f>
        <v>359.33</v>
      </c>
      <c r="E313" s="20">
        <f>VLOOKUP($A313,'2022-23 Salary &amp; Benefits'!$A:$I,3,)</f>
        <v>1</v>
      </c>
      <c r="F313" s="20">
        <f>VLOOKUP($A313,'2022-23 Salary &amp; Benefits'!$A:$I,4,)</f>
        <v>1</v>
      </c>
      <c r="G313" s="34">
        <f>VLOOKUP(A313,'CEDARS District FRPL'!$A:$C,3,)</f>
        <v>0.3831</v>
      </c>
      <c r="H313" s="25">
        <f t="shared" si="53"/>
        <v>359.33</v>
      </c>
      <c r="I313" s="39">
        <f t="shared" si="54"/>
        <v>137.66</v>
      </c>
      <c r="J313" s="24">
        <v>15</v>
      </c>
      <c r="K313" s="26">
        <f t="shared" si="55"/>
        <v>9.1773333333333333</v>
      </c>
      <c r="L313" s="24">
        <v>2.3975</v>
      </c>
      <c r="M313" s="24">
        <v>36</v>
      </c>
      <c r="N313" s="27">
        <f t="shared" si="56"/>
        <v>792.09564</v>
      </c>
      <c r="O313" s="102">
        <f t="shared" si="57"/>
        <v>0.88</v>
      </c>
      <c r="P313" s="21">
        <f>VLOOKUP(A313,'2022-23 Salary &amp; Benefits'!$A:$I,5,)</f>
        <v>68937</v>
      </c>
      <c r="Q313" s="21">
        <f>VLOOKUP(A313,'2022-23 Salary &amp; Benefits'!$A:$I,6,FALSE)</f>
        <v>72728</v>
      </c>
      <c r="R313" s="22">
        <f t="shared" si="58"/>
        <v>60664.56</v>
      </c>
      <c r="S313" s="22">
        <f t="shared" si="59"/>
        <v>3336.08</v>
      </c>
      <c r="T313" s="22">
        <f>'2022-23 Salary &amp; Benefits'!$G$6</f>
        <v>12558.24</v>
      </c>
      <c r="U313" s="23">
        <f>'2022-23 Salary &amp; Benefits'!$H$6</f>
        <v>0.2298</v>
      </c>
      <c r="V313" s="23">
        <f>'2022-23 Salary &amp; Benefits'!$I$6</f>
        <v>0.22339999999999999</v>
      </c>
      <c r="W313" s="22">
        <f t="shared" si="60"/>
        <v>25737.25</v>
      </c>
      <c r="X313" s="22">
        <f t="shared" si="61"/>
        <v>1066.68</v>
      </c>
      <c r="Y313" s="22">
        <f t="shared" si="62"/>
        <v>238.3</v>
      </c>
      <c r="Z313" s="22">
        <f t="shared" si="63"/>
        <v>1304.98</v>
      </c>
      <c r="AA313" s="22">
        <f t="shared" si="64"/>
        <v>91042.87</v>
      </c>
    </row>
    <row r="314" spans="1:27">
      <c r="A314" s="125" t="s">
        <v>2325</v>
      </c>
      <c r="B314" s="3" t="s">
        <v>459</v>
      </c>
      <c r="C314" s="93">
        <f>IF(A314=Summary!$B$9,Summary!$G$9,0)</f>
        <v>0</v>
      </c>
      <c r="D314" s="134">
        <f>VLOOKUP(A314,AAFTE!$A:$S,3,0)</f>
        <v>112.96</v>
      </c>
      <c r="E314" s="20">
        <f>VLOOKUP($A314,'2022-23 Salary &amp; Benefits'!$A:$I,3,)</f>
        <v>1</v>
      </c>
      <c r="F314" s="20">
        <f>VLOOKUP($A314,'2022-23 Salary &amp; Benefits'!$A:$I,4,)</f>
        <v>1.04</v>
      </c>
      <c r="G314" s="34">
        <f>VLOOKUP(A314,'CEDARS District FRPL'!$A:$C,3,)</f>
        <v>0.53390000000000004</v>
      </c>
      <c r="H314" s="25">
        <f t="shared" si="53"/>
        <v>112.96</v>
      </c>
      <c r="I314" s="39">
        <f t="shared" si="54"/>
        <v>60.31</v>
      </c>
      <c r="J314" s="24">
        <v>15</v>
      </c>
      <c r="K314" s="26">
        <f t="shared" si="55"/>
        <v>4.0206666666666671</v>
      </c>
      <c r="L314" s="24">
        <v>2.3975</v>
      </c>
      <c r="M314" s="24">
        <v>36</v>
      </c>
      <c r="N314" s="27">
        <f t="shared" si="56"/>
        <v>347.02374000000003</v>
      </c>
      <c r="O314" s="102">
        <f t="shared" si="57"/>
        <v>0.38600000000000001</v>
      </c>
      <c r="P314" s="21">
        <f>VLOOKUP(A314,'2022-23 Salary &amp; Benefits'!$A:$I,5,)</f>
        <v>68937</v>
      </c>
      <c r="Q314" s="21">
        <f>VLOOKUP(A314,'2022-23 Salary &amp; Benefits'!$A:$I,6,FALSE)</f>
        <v>72728</v>
      </c>
      <c r="R314" s="22">
        <f t="shared" si="58"/>
        <v>26609.68</v>
      </c>
      <c r="S314" s="22">
        <f t="shared" si="59"/>
        <v>2586.25</v>
      </c>
      <c r="T314" s="22">
        <f>'2022-23 Salary &amp; Benefits'!$G$6</f>
        <v>12558.24</v>
      </c>
      <c r="U314" s="23">
        <f>'2022-23 Salary &amp; Benefits'!$H$6</f>
        <v>0.2298</v>
      </c>
      <c r="V314" s="23">
        <f>'2022-23 Salary &amp; Benefits'!$I$6</f>
        <v>0.22339999999999999</v>
      </c>
      <c r="W314" s="22">
        <f t="shared" si="60"/>
        <v>11540.15</v>
      </c>
      <c r="X314" s="22">
        <f t="shared" si="61"/>
        <v>486.6</v>
      </c>
      <c r="Y314" s="22">
        <f t="shared" si="62"/>
        <v>108.71</v>
      </c>
      <c r="Z314" s="22">
        <f t="shared" si="63"/>
        <v>595.31000000000006</v>
      </c>
      <c r="AA314" s="22">
        <f t="shared" si="64"/>
        <v>41331.39</v>
      </c>
    </row>
    <row r="315" spans="1:27">
      <c r="A315" s="125" t="s">
        <v>2398</v>
      </c>
      <c r="B315" s="3" t="s">
        <v>1148</v>
      </c>
      <c r="C315" s="93">
        <f>IF(A315=Summary!$B$9,Summary!$G$9,0)</f>
        <v>0</v>
      </c>
      <c r="D315" s="134">
        <f>VLOOKUP(A315,AAFTE!$A:$S,3,0)</f>
        <v>732.54</v>
      </c>
      <c r="E315" s="20">
        <f>VLOOKUP($A315,'2022-23 Salary &amp; Benefits'!$A:$I,3,)</f>
        <v>1</v>
      </c>
      <c r="F315" s="20">
        <f>VLOOKUP($A315,'2022-23 Salary &amp; Benefits'!$A:$I,4,)</f>
        <v>1.04</v>
      </c>
      <c r="G315" s="34">
        <f>VLOOKUP(A315,'CEDARS District FRPL'!$A:$C,3,)</f>
        <v>0.77039999999999997</v>
      </c>
      <c r="H315" s="25">
        <f t="shared" si="53"/>
        <v>732.54</v>
      </c>
      <c r="I315" s="39">
        <f t="shared" si="54"/>
        <v>564.35</v>
      </c>
      <c r="J315" s="24">
        <v>15</v>
      </c>
      <c r="K315" s="26">
        <f t="shared" si="55"/>
        <v>37.623333333333335</v>
      </c>
      <c r="L315" s="24">
        <v>2.3975</v>
      </c>
      <c r="M315" s="24">
        <v>36</v>
      </c>
      <c r="N315" s="27">
        <f t="shared" si="56"/>
        <v>3247.2699000000002</v>
      </c>
      <c r="O315" s="102">
        <f t="shared" si="57"/>
        <v>3.6080000000000001</v>
      </c>
      <c r="P315" s="21">
        <f>VLOOKUP(A315,'2022-23 Salary &amp; Benefits'!$A:$I,5,)</f>
        <v>68937</v>
      </c>
      <c r="Q315" s="21">
        <f>VLOOKUP(A315,'2022-23 Salary &amp; Benefits'!$A:$I,6,FALSE)</f>
        <v>72728</v>
      </c>
      <c r="R315" s="22">
        <f t="shared" si="58"/>
        <v>248724.7</v>
      </c>
      <c r="S315" s="22">
        <f t="shared" si="59"/>
        <v>24174.03</v>
      </c>
      <c r="T315" s="22">
        <f>'2022-23 Salary &amp; Benefits'!$G$6</f>
        <v>12558.24</v>
      </c>
      <c r="U315" s="23">
        <f>'2022-23 Salary &amp; Benefits'!$H$6</f>
        <v>0.2298</v>
      </c>
      <c r="V315" s="23">
        <f>'2022-23 Salary &amp; Benefits'!$I$6</f>
        <v>0.22339999999999999</v>
      </c>
      <c r="W315" s="22">
        <f t="shared" si="60"/>
        <v>107867.54</v>
      </c>
      <c r="X315" s="22">
        <f t="shared" si="61"/>
        <v>4548.3100000000004</v>
      </c>
      <c r="Y315" s="22">
        <f t="shared" si="62"/>
        <v>1016.09</v>
      </c>
      <c r="Z315" s="22">
        <f t="shared" si="63"/>
        <v>5564.4000000000005</v>
      </c>
      <c r="AA315" s="22">
        <f t="shared" si="64"/>
        <v>386330.67000000004</v>
      </c>
    </row>
    <row r="316" spans="1:27" s="56" customFormat="1">
      <c r="A316" s="125" t="s">
        <v>2337</v>
      </c>
      <c r="B316" s="3" t="s">
        <v>505</v>
      </c>
      <c r="C316" s="93">
        <f>IF(A316=Summary!$B$9,Summary!$G$9,0)</f>
        <v>0</v>
      </c>
      <c r="D316" s="134">
        <f>VLOOKUP(A316,AAFTE!$A:$S,3,0)</f>
        <v>156.93</v>
      </c>
      <c r="E316" s="20">
        <f>VLOOKUP($A316,'2022-23 Salary &amp; Benefits'!$A:$I,3,)</f>
        <v>1</v>
      </c>
      <c r="F316" s="20">
        <f>VLOOKUP($A316,'2022-23 Salary &amp; Benefits'!$A:$I,4,)</f>
        <v>1</v>
      </c>
      <c r="G316" s="34">
        <f>VLOOKUP(A316,'CEDARS District FRPL'!$A:$C,3,)</f>
        <v>0.6774</v>
      </c>
      <c r="H316" s="25">
        <f t="shared" si="53"/>
        <v>156.93</v>
      </c>
      <c r="I316" s="39">
        <f t="shared" si="54"/>
        <v>106.3</v>
      </c>
      <c r="J316" s="24">
        <v>15</v>
      </c>
      <c r="K316" s="26">
        <f t="shared" ref="K316" si="70">I316/J316</f>
        <v>7.0866666666666669</v>
      </c>
      <c r="L316" s="24">
        <v>2.3975</v>
      </c>
      <c r="M316" s="24">
        <v>36</v>
      </c>
      <c r="N316" s="27">
        <f t="shared" ref="N316" si="71">K316*L316*M316</f>
        <v>611.65020000000004</v>
      </c>
      <c r="O316" s="102">
        <f t="shared" si="57"/>
        <v>0.68</v>
      </c>
      <c r="P316" s="21">
        <f>VLOOKUP(A316,'2022-23 Salary &amp; Benefits'!$A:$I,5,)</f>
        <v>68937</v>
      </c>
      <c r="Q316" s="21">
        <f>VLOOKUP(A316,'2022-23 Salary &amp; Benefits'!$A:$I,6,FALSE)</f>
        <v>72728</v>
      </c>
      <c r="R316" s="22">
        <f t="shared" si="58"/>
        <v>46877.16</v>
      </c>
      <c r="S316" s="22">
        <f t="shared" si="59"/>
        <v>2577.88</v>
      </c>
      <c r="T316" s="22">
        <f>'2022-23 Salary &amp; Benefits'!$G$6</f>
        <v>12558.24</v>
      </c>
      <c r="U316" s="23">
        <f>'2022-23 Salary &amp; Benefits'!$H$6</f>
        <v>0.2298</v>
      </c>
      <c r="V316" s="23">
        <f>'2022-23 Salary &amp; Benefits'!$I$6</f>
        <v>0.22339999999999999</v>
      </c>
      <c r="W316" s="22">
        <f t="shared" si="60"/>
        <v>19887.87</v>
      </c>
      <c r="X316" s="22">
        <f t="shared" si="61"/>
        <v>824.25</v>
      </c>
      <c r="Y316" s="22">
        <f t="shared" si="62"/>
        <v>184.14</v>
      </c>
      <c r="Z316" s="22">
        <f t="shared" ref="Z316" si="72">SUM(X316:Y316)</f>
        <v>1008.39</v>
      </c>
      <c r="AA316" s="22">
        <f t="shared" ref="AA316" si="73">SUM(W316,R316:S316,Z316)</f>
        <v>70351.3</v>
      </c>
    </row>
    <row r="317" spans="1:27">
      <c r="A317" s="125" t="s">
        <v>2383</v>
      </c>
      <c r="B317" s="3" t="s">
        <v>1104</v>
      </c>
      <c r="C317" s="93">
        <f>IF(A317=Summary!$B$9,Summary!$G$9,0)</f>
        <v>0</v>
      </c>
      <c r="D317" s="134">
        <f>VLOOKUP(A317,AAFTE!$A:$S,3,0)</f>
        <v>60.12</v>
      </c>
      <c r="E317" s="20">
        <f>VLOOKUP($A317,'2022-23 Salary &amp; Benefits'!$A:$I,3,)</f>
        <v>1</v>
      </c>
      <c r="F317" s="20">
        <f>VLOOKUP($A317,'2022-23 Salary &amp; Benefits'!$A:$I,4,)</f>
        <v>1</v>
      </c>
      <c r="G317" s="34">
        <f>VLOOKUP(A317,'CEDARS District FRPL'!$A:$C,3,)</f>
        <v>0.91379999999999995</v>
      </c>
      <c r="H317" s="25">
        <f t="shared" si="53"/>
        <v>60.12</v>
      </c>
      <c r="I317" s="39">
        <f t="shared" si="54"/>
        <v>54.94</v>
      </c>
      <c r="J317" s="24">
        <v>15</v>
      </c>
      <c r="K317" s="26">
        <f t="shared" si="55"/>
        <v>3.6626666666666665</v>
      </c>
      <c r="L317" s="24">
        <v>2.3975</v>
      </c>
      <c r="M317" s="24">
        <v>36</v>
      </c>
      <c r="N317" s="27">
        <f t="shared" si="56"/>
        <v>316.12475999999998</v>
      </c>
      <c r="O317" s="102">
        <f t="shared" si="57"/>
        <v>0.35099999999999998</v>
      </c>
      <c r="P317" s="21">
        <f>VLOOKUP(A317,'2022-23 Salary &amp; Benefits'!$A:$I,5,)</f>
        <v>68937</v>
      </c>
      <c r="Q317" s="21">
        <f>VLOOKUP(A317,'2022-23 Salary &amp; Benefits'!$A:$I,6,FALSE)</f>
        <v>72728</v>
      </c>
      <c r="R317" s="22">
        <f t="shared" si="58"/>
        <v>24196.89</v>
      </c>
      <c r="S317" s="22">
        <f t="shared" si="59"/>
        <v>1330.64</v>
      </c>
      <c r="T317" s="22">
        <f>'2022-23 Salary &amp; Benefits'!$G$6</f>
        <v>12558.24</v>
      </c>
      <c r="U317" s="23">
        <f>'2022-23 Salary &amp; Benefits'!$H$6</f>
        <v>0.2298</v>
      </c>
      <c r="V317" s="23">
        <f>'2022-23 Salary &amp; Benefits'!$I$6</f>
        <v>0.22339999999999999</v>
      </c>
      <c r="W317" s="22">
        <f t="shared" si="60"/>
        <v>10265.65</v>
      </c>
      <c r="X317" s="22">
        <f t="shared" si="61"/>
        <v>425.46</v>
      </c>
      <c r="Y317" s="22">
        <f t="shared" si="62"/>
        <v>95.05</v>
      </c>
      <c r="Z317" s="22">
        <f t="shared" si="63"/>
        <v>520.51</v>
      </c>
      <c r="AA317" s="22">
        <f t="shared" si="64"/>
        <v>36313.69</v>
      </c>
    </row>
    <row r="318" spans="1:27">
      <c r="A318" s="125" t="s">
        <v>2299</v>
      </c>
      <c r="B318" s="3" t="s">
        <v>320</v>
      </c>
      <c r="C318" s="93">
        <f>IF(A318=Summary!$B$9,Summary!$G$9,0)</f>
        <v>0</v>
      </c>
      <c r="D318" s="134">
        <f>VLOOKUP(A318,AAFTE!$A:$S,3,0)</f>
        <v>2344.1</v>
      </c>
      <c r="E318" s="20">
        <f>VLOOKUP($A318,'2022-23 Salary &amp; Benefits'!$A:$I,3,)</f>
        <v>1</v>
      </c>
      <c r="F318" s="20">
        <f>VLOOKUP($A318,'2022-23 Salary &amp; Benefits'!$A:$I,4,)</f>
        <v>1</v>
      </c>
      <c r="G318" s="34">
        <f>VLOOKUP(A318,'CEDARS District FRPL'!$A:$C,3,)</f>
        <v>0.40860000000000002</v>
      </c>
      <c r="H318" s="25">
        <f t="shared" si="53"/>
        <v>2344.1</v>
      </c>
      <c r="I318" s="39">
        <f t="shared" si="54"/>
        <v>957.8</v>
      </c>
      <c r="J318" s="24">
        <v>15</v>
      </c>
      <c r="K318" s="26">
        <f t="shared" si="55"/>
        <v>63.853333333333332</v>
      </c>
      <c r="L318" s="24">
        <v>2.3975</v>
      </c>
      <c r="M318" s="24">
        <v>36</v>
      </c>
      <c r="N318" s="27">
        <f t="shared" si="56"/>
        <v>5511.1812</v>
      </c>
      <c r="O318" s="102">
        <f t="shared" si="57"/>
        <v>6.1239999999999997</v>
      </c>
      <c r="P318" s="21">
        <f>VLOOKUP(A318,'2022-23 Salary &amp; Benefits'!$A:$I,5,)</f>
        <v>68937</v>
      </c>
      <c r="Q318" s="21">
        <f>VLOOKUP(A318,'2022-23 Salary &amp; Benefits'!$A:$I,6,FALSE)</f>
        <v>72728</v>
      </c>
      <c r="R318" s="22">
        <f t="shared" si="58"/>
        <v>422170.19</v>
      </c>
      <c r="S318" s="22">
        <f t="shared" si="59"/>
        <v>23216.080000000002</v>
      </c>
      <c r="T318" s="22">
        <f>'2022-23 Salary &amp; Benefits'!$G$6</f>
        <v>12558.24</v>
      </c>
      <c r="U318" s="23">
        <f>'2022-23 Salary &amp; Benefits'!$H$6</f>
        <v>0.2298</v>
      </c>
      <c r="V318" s="23">
        <f>'2022-23 Salary &amp; Benefits'!$I$6</f>
        <v>0.22339999999999999</v>
      </c>
      <c r="W318" s="22">
        <f t="shared" si="60"/>
        <v>179107.84</v>
      </c>
      <c r="X318" s="22">
        <f t="shared" si="61"/>
        <v>7423.1</v>
      </c>
      <c r="Y318" s="22">
        <f t="shared" si="62"/>
        <v>1658.32</v>
      </c>
      <c r="Z318" s="22">
        <f t="shared" si="63"/>
        <v>9081.42</v>
      </c>
      <c r="AA318" s="22">
        <f t="shared" si="64"/>
        <v>633575.53</v>
      </c>
    </row>
    <row r="319" spans="1:27">
      <c r="A319" s="125" t="s">
        <v>2763</v>
      </c>
      <c r="B319" s="3" t="s">
        <v>2766</v>
      </c>
      <c r="C319" s="93">
        <f>IF(A319=Summary!$B$9,Summary!$G$9,0)</f>
        <v>0</v>
      </c>
      <c r="D319" s="134">
        <f>VLOOKUP(A319,AAFTE!$A:$S,3,0)</f>
        <v>129.86000000000001</v>
      </c>
      <c r="E319" s="20">
        <f>VLOOKUP($A319,'2022-23 Salary &amp; Benefits'!$A:$I,3,)</f>
        <v>1</v>
      </c>
      <c r="F319" s="20">
        <f>VLOOKUP($A319,'2022-23 Salary &amp; Benefits'!$A:$I,4,)</f>
        <v>1</v>
      </c>
      <c r="G319" s="34">
        <f>VLOOKUP(A319,'CEDARS District FRPL'!$A:$C,3,)</f>
        <v>0</v>
      </c>
      <c r="H319" s="25">
        <f t="shared" si="53"/>
        <v>129.86000000000001</v>
      </c>
      <c r="I319" s="39">
        <f t="shared" si="54"/>
        <v>0</v>
      </c>
      <c r="J319" s="24">
        <v>15</v>
      </c>
      <c r="K319" s="26">
        <f t="shared" si="55"/>
        <v>0</v>
      </c>
      <c r="L319" s="24">
        <v>2.3975</v>
      </c>
      <c r="M319" s="24">
        <v>36</v>
      </c>
      <c r="N319" s="27">
        <f t="shared" si="56"/>
        <v>0</v>
      </c>
      <c r="O319" s="102">
        <f t="shared" si="57"/>
        <v>0</v>
      </c>
      <c r="P319" s="21">
        <f>VLOOKUP(A319,'2022-23 Salary &amp; Benefits'!$A:$I,5,)</f>
        <v>68937</v>
      </c>
      <c r="Q319" s="21">
        <f>VLOOKUP(A319,'2022-23 Salary &amp; Benefits'!$A:$I,6,FALSE)</f>
        <v>72728</v>
      </c>
      <c r="R319" s="22">
        <f t="shared" si="58"/>
        <v>0</v>
      </c>
      <c r="S319" s="22">
        <f t="shared" si="59"/>
        <v>0</v>
      </c>
      <c r="T319" s="22">
        <f>'2022-23 Salary &amp; Benefits'!$G$6</f>
        <v>12558.24</v>
      </c>
      <c r="U319" s="23">
        <f>'2022-23 Salary &amp; Benefits'!$H$6</f>
        <v>0.2298</v>
      </c>
      <c r="V319" s="23">
        <f>'2022-23 Salary &amp; Benefits'!$I$6</f>
        <v>0.22339999999999999</v>
      </c>
      <c r="W319" s="22">
        <f t="shared" si="60"/>
        <v>0</v>
      </c>
      <c r="X319" s="22">
        <f t="shared" si="61"/>
        <v>0</v>
      </c>
      <c r="Y319" s="22">
        <f t="shared" si="62"/>
        <v>0</v>
      </c>
      <c r="Z319" s="22">
        <f t="shared" si="63"/>
        <v>0</v>
      </c>
      <c r="AA319" s="22">
        <f t="shared" si="64"/>
        <v>0</v>
      </c>
    </row>
    <row r="320" spans="1:27">
      <c r="A320" s="29" t="s">
        <v>2555</v>
      </c>
      <c r="B320" s="29" t="s">
        <v>2170</v>
      </c>
      <c r="C320" s="93">
        <f>IF(A320=Summary!$B$9,Summary!$G$9,0)</f>
        <v>0</v>
      </c>
      <c r="D320" s="134">
        <f>VLOOKUP(A320,AAFTE!$A:$S,3,0)</f>
        <v>15582.22</v>
      </c>
      <c r="E320" s="20">
        <f>VLOOKUP($A320,'2022-23 Salary &amp; Benefits'!$A:$I,3,)</f>
        <v>1</v>
      </c>
      <c r="F320" s="20">
        <f>VLOOKUP($A320,'2022-23 Salary &amp; Benefits'!$A:$I,4,)</f>
        <v>1</v>
      </c>
      <c r="G320" s="34">
        <f>VLOOKUP(A320,'CEDARS District FRPL'!$A:$C,3,)</f>
        <v>0.8538</v>
      </c>
      <c r="H320" s="25">
        <f t="shared" ref="H320:H322" si="74">IF(C320&gt;0,C320,D320)</f>
        <v>15582.22</v>
      </c>
      <c r="I320" s="39">
        <f t="shared" si="54"/>
        <v>13304.1</v>
      </c>
      <c r="J320" s="24">
        <v>15</v>
      </c>
      <c r="K320" s="26">
        <f t="shared" ref="K320:K322" si="75">I320/J320</f>
        <v>886.94</v>
      </c>
      <c r="L320" s="24">
        <v>2.3975</v>
      </c>
      <c r="M320" s="24">
        <v>36</v>
      </c>
      <c r="N320" s="27">
        <f t="shared" ref="N320:N322" si="76">K320*L320*M320</f>
        <v>76551.791400000002</v>
      </c>
      <c r="O320" s="102">
        <f t="shared" si="57"/>
        <v>85.058000000000007</v>
      </c>
      <c r="P320" s="21">
        <f>VLOOKUP(A320,'2022-23 Salary &amp; Benefits'!$A:$I,5,)</f>
        <v>68937</v>
      </c>
      <c r="Q320" s="21">
        <f>VLOOKUP(A320,'2022-23 Salary &amp; Benefits'!$A:$I,6,FALSE)</f>
        <v>72728</v>
      </c>
      <c r="R320" s="22">
        <f t="shared" si="58"/>
        <v>5863643.3499999996</v>
      </c>
      <c r="S320" s="22">
        <f t="shared" si="59"/>
        <v>322454.87</v>
      </c>
      <c r="T320" s="22">
        <f>'2022-23 Salary &amp; Benefits'!$G$6</f>
        <v>12558.24</v>
      </c>
      <c r="U320" s="23">
        <f>'2022-23 Salary &amp; Benefits'!$H$6</f>
        <v>0.2298</v>
      </c>
      <c r="V320" s="23">
        <f>'2022-23 Salary &amp; Benefits'!$I$6</f>
        <v>0.22339999999999999</v>
      </c>
      <c r="W320" s="22">
        <f t="shared" si="60"/>
        <v>2487680.44</v>
      </c>
      <c r="X320" s="22">
        <f t="shared" si="61"/>
        <v>103101.64</v>
      </c>
      <c r="Y320" s="22">
        <f t="shared" si="62"/>
        <v>23032.91</v>
      </c>
      <c r="Z320" s="22">
        <f t="shared" ref="Z320:Z322" si="77">SUM(X320:Y320)</f>
        <v>126134.55</v>
      </c>
      <c r="AA320" s="22">
        <f t="shared" ref="AA320:AA322" si="78">SUM(W320,R320:S320,Z320)</f>
        <v>8799913.209999999</v>
      </c>
    </row>
    <row r="321" spans="1:27">
      <c r="A321" s="29" t="s">
        <v>2515</v>
      </c>
      <c r="B321" s="29" t="s">
        <v>1964</v>
      </c>
      <c r="C321" s="93">
        <f>IF(A321=Summary!$B$9,Summary!$G$9,0)</f>
        <v>0</v>
      </c>
      <c r="D321" s="134">
        <f>VLOOKUP(A321,AAFTE!$A:$S,3,0)</f>
        <v>5360.49</v>
      </c>
      <c r="E321" s="20">
        <f>VLOOKUP($A321,'2022-23 Salary &amp; Benefits'!$A:$I,3,)</f>
        <v>1</v>
      </c>
      <c r="F321" s="20">
        <f>VLOOKUP($A321,'2022-23 Salary &amp; Benefits'!$A:$I,4,)</f>
        <v>1</v>
      </c>
      <c r="G321" s="34">
        <f>VLOOKUP(A321,'CEDARS District FRPL'!$A:$C,3,)</f>
        <v>0.46560000000000001</v>
      </c>
      <c r="H321" s="25">
        <f t="shared" si="74"/>
        <v>5360.49</v>
      </c>
      <c r="I321" s="39">
        <f t="shared" si="54"/>
        <v>2495.84</v>
      </c>
      <c r="J321" s="24">
        <v>15</v>
      </c>
      <c r="K321" s="26">
        <f t="shared" si="75"/>
        <v>166.38933333333335</v>
      </c>
      <c r="L321" s="24">
        <v>2.3975</v>
      </c>
      <c r="M321" s="24">
        <v>36</v>
      </c>
      <c r="N321" s="27">
        <f t="shared" si="76"/>
        <v>14361.063360000002</v>
      </c>
      <c r="O321" s="102">
        <f t="shared" si="57"/>
        <v>15.957000000000001</v>
      </c>
      <c r="P321" s="21">
        <f>VLOOKUP(A321,'2022-23 Salary &amp; Benefits'!$A:$I,5,)</f>
        <v>68937</v>
      </c>
      <c r="Q321" s="21">
        <f>VLOOKUP(A321,'2022-23 Salary &amp; Benefits'!$A:$I,6,FALSE)</f>
        <v>72728</v>
      </c>
      <c r="R321" s="22">
        <f t="shared" si="58"/>
        <v>1100027.71</v>
      </c>
      <c r="S321" s="22">
        <f t="shared" si="59"/>
        <v>60492.99</v>
      </c>
      <c r="T321" s="22">
        <f>'2022-23 Salary &amp; Benefits'!$G$6</f>
        <v>12558.24</v>
      </c>
      <c r="U321" s="23">
        <f>'2022-23 Salary &amp; Benefits'!$H$6</f>
        <v>0.2298</v>
      </c>
      <c r="V321" s="23">
        <f>'2022-23 Salary &amp; Benefits'!$I$6</f>
        <v>0.22339999999999999</v>
      </c>
      <c r="W321" s="22">
        <f t="shared" si="60"/>
        <v>466692.34</v>
      </c>
      <c r="X321" s="22">
        <f t="shared" si="61"/>
        <v>19342.009999999998</v>
      </c>
      <c r="Y321" s="22">
        <f t="shared" si="62"/>
        <v>4321.01</v>
      </c>
      <c r="Z321" s="22">
        <f t="shared" si="77"/>
        <v>23663.019999999997</v>
      </c>
      <c r="AA321" s="22">
        <f t="shared" si="78"/>
        <v>1650876.06</v>
      </c>
    </row>
    <row r="322" spans="1:27">
      <c r="A322" s="29" t="s">
        <v>2564</v>
      </c>
      <c r="B322" s="29" t="s">
        <v>2235</v>
      </c>
      <c r="C322" s="93">
        <f>IF(A322=Summary!$B$9,Summary!$G$9,0)</f>
        <v>0</v>
      </c>
      <c r="D322" s="134">
        <f>VLOOKUP(A322,AAFTE!$A:$S,3,0)</f>
        <v>1260.6400000000001</v>
      </c>
      <c r="E322" s="20">
        <f>VLOOKUP($A322,'2022-23 Salary &amp; Benefits'!$A:$I,3,)</f>
        <v>1</v>
      </c>
      <c r="F322" s="20">
        <f>VLOOKUP($A322,'2022-23 Salary &amp; Benefits'!$A:$I,4,)</f>
        <v>1</v>
      </c>
      <c r="G322" s="34">
        <f>VLOOKUP(A322,'CEDARS District FRPL'!$A:$C,3,)</f>
        <v>0.5786</v>
      </c>
      <c r="H322" s="25">
        <f t="shared" si="74"/>
        <v>1260.6400000000001</v>
      </c>
      <c r="I322" s="39">
        <f t="shared" si="54"/>
        <v>729.41</v>
      </c>
      <c r="J322" s="24">
        <v>15</v>
      </c>
      <c r="K322" s="26">
        <f t="shared" si="75"/>
        <v>48.627333333333333</v>
      </c>
      <c r="L322" s="24">
        <v>2.3975</v>
      </c>
      <c r="M322" s="24">
        <v>36</v>
      </c>
      <c r="N322" s="27">
        <f t="shared" si="76"/>
        <v>4197.0251399999997</v>
      </c>
      <c r="O322" s="102">
        <f t="shared" si="57"/>
        <v>4.6630000000000003</v>
      </c>
      <c r="P322" s="21">
        <f>VLOOKUP(A322,'2022-23 Salary &amp; Benefits'!$A:$I,5,)</f>
        <v>68937</v>
      </c>
      <c r="Q322" s="21">
        <f>VLOOKUP(A322,'2022-23 Salary &amp; Benefits'!$A:$I,6,FALSE)</f>
        <v>72728</v>
      </c>
      <c r="R322" s="22">
        <f t="shared" si="58"/>
        <v>321453.23</v>
      </c>
      <c r="S322" s="22">
        <f t="shared" si="59"/>
        <v>17677.43</v>
      </c>
      <c r="T322" s="22">
        <f>'2022-23 Salary &amp; Benefits'!$G$6</f>
        <v>12558.24</v>
      </c>
      <c r="U322" s="23">
        <f>'2022-23 Salary &amp; Benefits'!$H$6</f>
        <v>0.2298</v>
      </c>
      <c r="V322" s="23">
        <f>'2022-23 Salary &amp; Benefits'!$I$6</f>
        <v>0.22339999999999999</v>
      </c>
      <c r="W322" s="22">
        <f t="shared" si="60"/>
        <v>136378.16</v>
      </c>
      <c r="X322" s="22">
        <f t="shared" si="61"/>
        <v>5652.18</v>
      </c>
      <c r="Y322" s="22">
        <f t="shared" si="62"/>
        <v>1262.7</v>
      </c>
      <c r="Z322" s="22">
        <f t="shared" si="77"/>
        <v>6914.88</v>
      </c>
      <c r="AA322" s="22">
        <f t="shared" si="78"/>
        <v>482423.7</v>
      </c>
    </row>
  </sheetData>
  <autoFilter ref="A4:AA322" xr:uid="{00000000-0009-0000-0000-000003000000}"/>
  <sortState xmlns:xlrd2="http://schemas.microsoft.com/office/spreadsheetml/2017/richdata2" ref="A4:X313">
    <sortCondition ref="B4:B31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322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9.109375" defaultRowHeight="14.4"/>
  <cols>
    <col min="1" max="1" width="9.109375" style="59"/>
    <col min="2" max="2" width="53.33203125" style="59" bestFit="1" customWidth="1"/>
    <col min="3" max="3" width="17.5546875" style="56" customWidth="1"/>
    <col min="4" max="4" width="14.6640625" style="56" customWidth="1"/>
    <col min="5" max="6" width="9.109375" style="56" customWidth="1"/>
    <col min="7" max="8" width="9.109375" style="56"/>
    <col min="9" max="9" width="12.109375" style="56" bestFit="1" customWidth="1"/>
    <col min="10" max="11" width="9.109375" style="56"/>
    <col min="12" max="12" width="10.109375" style="56" customWidth="1"/>
    <col min="13" max="13" width="9.109375" style="56"/>
    <col min="14" max="14" width="10.6640625" style="56" bestFit="1" customWidth="1"/>
    <col min="15" max="17" width="9.109375" style="56"/>
    <col min="18" max="18" width="9.88671875" style="56" bestFit="1" customWidth="1"/>
    <col min="19" max="19" width="13.6640625" style="56" bestFit="1" customWidth="1"/>
    <col min="20" max="22" width="9.109375" style="56"/>
    <col min="23" max="23" width="9.88671875" style="56" bestFit="1" customWidth="1"/>
    <col min="24" max="26" width="9.88671875" style="56" customWidth="1"/>
    <col min="27" max="27" width="11.33203125" style="56" bestFit="1" customWidth="1"/>
    <col min="28" max="28" width="13.44140625" style="56" bestFit="1" customWidth="1"/>
    <col min="29" max="29" width="14.5546875" style="56" bestFit="1" customWidth="1"/>
    <col min="30" max="16384" width="9.109375" style="56"/>
  </cols>
  <sheetData>
    <row r="1" spans="1:29">
      <c r="A1" s="59">
        <f>COLUMN(A1)</f>
        <v>1</v>
      </c>
      <c r="B1" s="59">
        <f t="shared" ref="B1:AA1" si="0">COLUMN(B1)</f>
        <v>2</v>
      </c>
      <c r="C1" s="59">
        <f t="shared" si="0"/>
        <v>3</v>
      </c>
      <c r="D1" s="59">
        <f t="shared" si="0"/>
        <v>4</v>
      </c>
      <c r="E1" s="59">
        <f t="shared" si="0"/>
        <v>5</v>
      </c>
      <c r="F1" s="59">
        <f t="shared" si="0"/>
        <v>6</v>
      </c>
      <c r="G1" s="59">
        <f t="shared" si="0"/>
        <v>7</v>
      </c>
      <c r="H1" s="59">
        <f t="shared" si="0"/>
        <v>8</v>
      </c>
      <c r="I1" s="59">
        <f t="shared" si="0"/>
        <v>9</v>
      </c>
      <c r="J1" s="59">
        <f t="shared" si="0"/>
        <v>10</v>
      </c>
      <c r="K1" s="59">
        <f t="shared" si="0"/>
        <v>11</v>
      </c>
      <c r="L1" s="59">
        <f t="shared" si="0"/>
        <v>12</v>
      </c>
      <c r="M1" s="59">
        <f t="shared" si="0"/>
        <v>13</v>
      </c>
      <c r="N1" s="59">
        <f t="shared" si="0"/>
        <v>14</v>
      </c>
      <c r="O1" s="59">
        <f t="shared" si="0"/>
        <v>15</v>
      </c>
      <c r="P1" s="59">
        <f t="shared" si="0"/>
        <v>16</v>
      </c>
      <c r="Q1" s="59">
        <f t="shared" si="0"/>
        <v>17</v>
      </c>
      <c r="R1" s="59">
        <f t="shared" si="0"/>
        <v>18</v>
      </c>
      <c r="S1" s="59">
        <f t="shared" si="0"/>
        <v>19</v>
      </c>
      <c r="T1" s="59">
        <f t="shared" si="0"/>
        <v>20</v>
      </c>
      <c r="U1" s="59">
        <f t="shared" si="0"/>
        <v>21</v>
      </c>
      <c r="V1" s="59">
        <f t="shared" si="0"/>
        <v>22</v>
      </c>
      <c r="W1" s="59">
        <f t="shared" si="0"/>
        <v>23</v>
      </c>
      <c r="X1" s="59"/>
      <c r="Y1" s="59"/>
      <c r="Z1" s="59"/>
      <c r="AA1" s="59">
        <f t="shared" si="0"/>
        <v>27</v>
      </c>
    </row>
    <row r="2" spans="1:29">
      <c r="C2" s="136"/>
      <c r="D2" s="135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C2" s="178"/>
    </row>
    <row r="3" spans="1:29">
      <c r="D3" s="56" t="s">
        <v>2685</v>
      </c>
      <c r="AA3" s="168">
        <f>SUM(AA5:AA322)</f>
        <v>5519882.4600000037</v>
      </c>
      <c r="AB3" s="77"/>
      <c r="AC3" s="168"/>
    </row>
    <row r="4" spans="1:29" ht="57">
      <c r="A4" s="59" t="s">
        <v>2707</v>
      </c>
      <c r="B4" s="59" t="s">
        <v>2571</v>
      </c>
      <c r="C4" s="15" t="s">
        <v>3062</v>
      </c>
      <c r="D4" s="11" t="s">
        <v>3081</v>
      </c>
      <c r="E4" s="37" t="s">
        <v>3063</v>
      </c>
      <c r="F4" s="37" t="s">
        <v>3064</v>
      </c>
      <c r="G4" s="38" t="s">
        <v>2691</v>
      </c>
      <c r="H4" s="38" t="s">
        <v>2689</v>
      </c>
      <c r="I4" s="38" t="s">
        <v>2690</v>
      </c>
      <c r="J4" s="38" t="s">
        <v>2580</v>
      </c>
      <c r="K4" s="38" t="s">
        <v>2581</v>
      </c>
      <c r="L4" s="38" t="s">
        <v>2582</v>
      </c>
      <c r="M4" s="38" t="s">
        <v>2583</v>
      </c>
      <c r="N4" s="38" t="s">
        <v>2584</v>
      </c>
      <c r="O4" s="40" t="s">
        <v>2574</v>
      </c>
      <c r="P4" s="12" t="s">
        <v>2572</v>
      </c>
      <c r="Q4" s="12" t="s">
        <v>2573</v>
      </c>
      <c r="R4" s="36" t="s">
        <v>2575</v>
      </c>
      <c r="S4" s="36" t="s">
        <v>2576</v>
      </c>
      <c r="T4" s="13" t="s">
        <v>2577</v>
      </c>
      <c r="U4" s="13" t="s">
        <v>2578</v>
      </c>
      <c r="V4" s="13" t="s">
        <v>2579</v>
      </c>
      <c r="W4" s="36" t="s">
        <v>2588</v>
      </c>
      <c r="X4" s="94" t="s">
        <v>2759</v>
      </c>
      <c r="Y4" s="94" t="s">
        <v>2760</v>
      </c>
      <c r="Z4" s="94" t="s">
        <v>2761</v>
      </c>
      <c r="AA4" s="13" t="s">
        <v>3066</v>
      </c>
      <c r="AC4" s="179"/>
    </row>
    <row r="5" spans="1:29">
      <c r="A5" s="125" t="s">
        <v>2327</v>
      </c>
      <c r="B5" s="3" t="s">
        <v>465</v>
      </c>
      <c r="C5" s="93">
        <f>IF(A5=Summary!$B$9,Summary!$G$9,0)</f>
        <v>0</v>
      </c>
      <c r="D5" s="134">
        <f>VLOOKUP(A5,AAFTE!$A:$S,3,0)</f>
        <v>3111.81</v>
      </c>
      <c r="E5" s="20">
        <f>VLOOKUP($A5,'2022-23 Salary &amp; Benefits'!$A:$I,3,)</f>
        <v>1</v>
      </c>
      <c r="F5" s="20">
        <f>VLOOKUP($A5,'2022-23 Salary &amp; Benefits'!$A:$I,4,)</f>
        <v>1</v>
      </c>
      <c r="G5" s="34">
        <f>VLOOKUP(A5,'CEDARS District FRPL'!$A:$F,6,)</f>
        <v>0</v>
      </c>
      <c r="H5" s="25">
        <f t="shared" ref="H5:H70" si="1">IF(C5&gt;0,C5,D5)</f>
        <v>3111.81</v>
      </c>
      <c r="I5" s="39">
        <f>ROUND(H5*G5,2)</f>
        <v>0</v>
      </c>
      <c r="J5" s="24">
        <v>15</v>
      </c>
      <c r="K5" s="26">
        <f t="shared" ref="K5:K71" si="2">I5/J5</f>
        <v>0</v>
      </c>
      <c r="L5" s="24">
        <v>2.3975</v>
      </c>
      <c r="M5" s="24">
        <v>36</v>
      </c>
      <c r="N5" s="27">
        <f t="shared" ref="N5:N71" si="3">K5*L5*M5</f>
        <v>0</v>
      </c>
      <c r="O5" s="102">
        <f>ROUND(N5/900,3)</f>
        <v>0</v>
      </c>
      <c r="P5" s="21">
        <f>VLOOKUP(A5,'2022-23 Salary &amp; Benefits'!$A:$I,5,)</f>
        <v>68937</v>
      </c>
      <c r="Q5" s="21">
        <f>VLOOKUP(A5,'2022-23 Salary &amp; Benefits'!$A:$I,6,FALSE)</f>
        <v>72728</v>
      </c>
      <c r="R5" s="22">
        <f>ROUND($E5*$P5*$O5,2)</f>
        <v>0</v>
      </c>
      <c r="S5" s="22">
        <f>ROUND(($Q5*$F5*$O5-$R5),2)</f>
        <v>0</v>
      </c>
      <c r="T5" s="22">
        <f>'2022-23 Salary &amp; Benefits'!$G$6</f>
        <v>12558.24</v>
      </c>
      <c r="U5" s="23">
        <f>'2022-23 Salary &amp; Benefits'!$H$6</f>
        <v>0.2298</v>
      </c>
      <c r="V5" s="23">
        <f>'2022-23 Salary &amp; Benefits'!$I$6</f>
        <v>0.22339999999999999</v>
      </c>
      <c r="W5" s="22">
        <f>ROUND(R5*U5+S5*V5+O5*T5,2)</f>
        <v>0</v>
      </c>
      <c r="X5" s="22">
        <f>ROUND(($Q5*$F5*$O5/180*3),2)</f>
        <v>0</v>
      </c>
      <c r="Y5" s="22">
        <f>ROUND(X5*V5,2)</f>
        <v>0</v>
      </c>
      <c r="Z5" s="22">
        <f>SUM(X5:Y5)</f>
        <v>0</v>
      </c>
      <c r="AA5" s="22">
        <f>SUM(W5,R5:S5,Z5)</f>
        <v>0</v>
      </c>
    </row>
    <row r="6" spans="1:29">
      <c r="A6" s="125" t="s">
        <v>2397</v>
      </c>
      <c r="B6" s="3" t="s">
        <v>1145</v>
      </c>
      <c r="C6" s="93">
        <f>IF(A6=Summary!$B$9,Summary!$G$9,0)</f>
        <v>0</v>
      </c>
      <c r="D6" s="134">
        <f>VLOOKUP(A6,AAFTE!$A:$S,3,0)</f>
        <v>616.02</v>
      </c>
      <c r="E6" s="20">
        <f>VLOOKUP($A6,'2022-23 Salary &amp; Benefits'!$A:$I,3,)</f>
        <v>1</v>
      </c>
      <c r="F6" s="20">
        <f>VLOOKUP($A6,'2022-23 Salary &amp; Benefits'!$A:$I,4,)</f>
        <v>1.04</v>
      </c>
      <c r="G6" s="34">
        <f>VLOOKUP(A6,'CEDARS District FRPL'!$A:$F,6,)</f>
        <v>1.040000000000002E-2</v>
      </c>
      <c r="H6" s="25">
        <f t="shared" si="1"/>
        <v>616.02</v>
      </c>
      <c r="I6" s="39">
        <f t="shared" ref="I6:I69" si="4">ROUND(H6*G6,2)</f>
        <v>6.41</v>
      </c>
      <c r="J6" s="24">
        <v>15</v>
      </c>
      <c r="K6" s="26">
        <f t="shared" si="2"/>
        <v>0.42733333333333334</v>
      </c>
      <c r="L6" s="24">
        <v>2.3975</v>
      </c>
      <c r="M6" s="24">
        <v>36</v>
      </c>
      <c r="N6" s="27">
        <f t="shared" si="3"/>
        <v>36.883139999999997</v>
      </c>
      <c r="O6" s="102">
        <f t="shared" ref="O6:O69" si="5">ROUND(N6/900,3)</f>
        <v>4.1000000000000002E-2</v>
      </c>
      <c r="P6" s="21">
        <f>VLOOKUP(A6,'2022-23 Salary &amp; Benefits'!$A:$I,5,)</f>
        <v>68937</v>
      </c>
      <c r="Q6" s="21">
        <f>VLOOKUP(A6,'2022-23 Salary &amp; Benefits'!$A:$I,6,FALSE)</f>
        <v>72728</v>
      </c>
      <c r="R6" s="22">
        <f t="shared" ref="R6:R69" si="6">ROUND($E6*$P6*$O6,2)</f>
        <v>2826.42</v>
      </c>
      <c r="S6" s="22">
        <f t="shared" ref="S6:S69" si="7">ROUND(($Q6*$F6*$O6-$R6),2)</f>
        <v>274.7</v>
      </c>
      <c r="T6" s="22">
        <f>'2022-23 Salary &amp; Benefits'!$G$6</f>
        <v>12558.24</v>
      </c>
      <c r="U6" s="23">
        <f>'2022-23 Salary &amp; Benefits'!$H$6</f>
        <v>0.2298</v>
      </c>
      <c r="V6" s="23">
        <f>'2022-23 Salary &amp; Benefits'!$I$6</f>
        <v>0.22339999999999999</v>
      </c>
      <c r="W6" s="22">
        <f t="shared" ref="W6:W69" si="8">ROUND(R6*U6+S6*V6+O6*T6,2)</f>
        <v>1225.77</v>
      </c>
      <c r="X6" s="22">
        <f t="shared" ref="X6:X69" si="9">ROUND(($Q6*$F6*$O6/180*3),2)</f>
        <v>51.69</v>
      </c>
      <c r="Y6" s="22">
        <f t="shared" ref="Y6:Y69" si="10">ROUND(X6*V6,2)</f>
        <v>11.55</v>
      </c>
      <c r="Z6" s="22">
        <f t="shared" ref="Z6:Z72" si="11">SUM(X6:Y6)</f>
        <v>63.239999999999995</v>
      </c>
      <c r="AA6" s="22">
        <f t="shared" ref="AA6:AA72" si="12">SUM(W6,R6:S6,Z6)</f>
        <v>4390.13</v>
      </c>
    </row>
    <row r="7" spans="1:29">
      <c r="A7" s="125" t="s">
        <v>2408</v>
      </c>
      <c r="B7" s="3" t="s">
        <v>1187</v>
      </c>
      <c r="C7" s="93">
        <f>IF(A7=Summary!$B$9,Summary!$G$9,0)</f>
        <v>0</v>
      </c>
      <c r="D7" s="134">
        <f>VLOOKUP(A7,AAFTE!$A:$S,3,0)</f>
        <v>96.41</v>
      </c>
      <c r="E7" s="20">
        <f>VLOOKUP($A7,'2022-23 Salary &amp; Benefits'!$A:$I,3,)</f>
        <v>1</v>
      </c>
      <c r="F7" s="20">
        <f>VLOOKUP($A7,'2022-23 Salary &amp; Benefits'!$A:$I,4,)</f>
        <v>1.04</v>
      </c>
      <c r="G7" s="34">
        <f>VLOOKUP(A7,'CEDARS District FRPL'!$A:$F,6,)</f>
        <v>7.1299999999999975E-2</v>
      </c>
      <c r="H7" s="25">
        <f t="shared" si="1"/>
        <v>96.41</v>
      </c>
      <c r="I7" s="39">
        <f t="shared" si="4"/>
        <v>6.87</v>
      </c>
      <c r="J7" s="24">
        <v>15</v>
      </c>
      <c r="K7" s="26">
        <f t="shared" si="2"/>
        <v>0.45800000000000002</v>
      </c>
      <c r="L7" s="24">
        <v>2.3975</v>
      </c>
      <c r="M7" s="24">
        <v>36</v>
      </c>
      <c r="N7" s="27">
        <f t="shared" si="3"/>
        <v>39.529980000000002</v>
      </c>
      <c r="O7" s="102">
        <f t="shared" si="5"/>
        <v>4.3999999999999997E-2</v>
      </c>
      <c r="P7" s="21">
        <f>VLOOKUP(A7,'2022-23 Salary &amp; Benefits'!$A:$I,5,)</f>
        <v>68937</v>
      </c>
      <c r="Q7" s="21">
        <f>VLOOKUP(A7,'2022-23 Salary &amp; Benefits'!$A:$I,6,FALSE)</f>
        <v>72728</v>
      </c>
      <c r="R7" s="22">
        <f t="shared" si="6"/>
        <v>3033.23</v>
      </c>
      <c r="S7" s="22">
        <f t="shared" si="7"/>
        <v>294.8</v>
      </c>
      <c r="T7" s="22">
        <f>'2022-23 Salary &amp; Benefits'!$G$6</f>
        <v>12558.24</v>
      </c>
      <c r="U7" s="23">
        <f>'2022-23 Salary &amp; Benefits'!$H$6</f>
        <v>0.2298</v>
      </c>
      <c r="V7" s="23">
        <f>'2022-23 Salary &amp; Benefits'!$I$6</f>
        <v>0.22339999999999999</v>
      </c>
      <c r="W7" s="22">
        <f t="shared" si="8"/>
        <v>1315.46</v>
      </c>
      <c r="X7" s="22">
        <f t="shared" si="9"/>
        <v>55.47</v>
      </c>
      <c r="Y7" s="22">
        <f t="shared" si="10"/>
        <v>12.39</v>
      </c>
      <c r="Z7" s="22">
        <f t="shared" si="11"/>
        <v>67.86</v>
      </c>
      <c r="AA7" s="22">
        <f t="shared" si="12"/>
        <v>4711.3500000000004</v>
      </c>
    </row>
    <row r="8" spans="1:29">
      <c r="A8" s="125" t="s">
        <v>2463</v>
      </c>
      <c r="B8" s="3" t="s">
        <v>1562</v>
      </c>
      <c r="C8" s="93">
        <f>IF(A8=Summary!$B$9,Summary!$G$9,0)</f>
        <v>0</v>
      </c>
      <c r="D8" s="134">
        <f>VLOOKUP(A8,AAFTE!$A:$S,3,0)</f>
        <v>2501.83</v>
      </c>
      <c r="E8" s="20">
        <f>VLOOKUP($A8,'2022-23 Salary &amp; Benefits'!$A:$I,3,)</f>
        <v>1.1200000000000001</v>
      </c>
      <c r="F8" s="20">
        <f>VLOOKUP($A8,'2022-23 Salary &amp; Benefits'!$A:$I,4,)</f>
        <v>1.1200000000000001</v>
      </c>
      <c r="G8" s="34">
        <f>VLOOKUP(A8,'CEDARS District FRPL'!$A:$F,6,)</f>
        <v>0</v>
      </c>
      <c r="H8" s="25">
        <f t="shared" si="1"/>
        <v>2501.83</v>
      </c>
      <c r="I8" s="39">
        <f t="shared" si="4"/>
        <v>0</v>
      </c>
      <c r="J8" s="24">
        <v>15</v>
      </c>
      <c r="K8" s="26">
        <f t="shared" si="2"/>
        <v>0</v>
      </c>
      <c r="L8" s="24">
        <v>2.3975</v>
      </c>
      <c r="M8" s="24">
        <v>36</v>
      </c>
      <c r="N8" s="27">
        <f t="shared" si="3"/>
        <v>0</v>
      </c>
      <c r="O8" s="102">
        <f t="shared" si="5"/>
        <v>0</v>
      </c>
      <c r="P8" s="21">
        <f>VLOOKUP(A8,'2022-23 Salary &amp; Benefits'!$A:$I,5,)</f>
        <v>68937</v>
      </c>
      <c r="Q8" s="21">
        <f>VLOOKUP(A8,'2022-23 Salary &amp; Benefits'!$A:$I,6,FALSE)</f>
        <v>72728</v>
      </c>
      <c r="R8" s="22">
        <f t="shared" si="6"/>
        <v>0</v>
      </c>
      <c r="S8" s="22">
        <f t="shared" si="7"/>
        <v>0</v>
      </c>
      <c r="T8" s="22">
        <f>'2022-23 Salary &amp; Benefits'!$G$6</f>
        <v>12558.24</v>
      </c>
      <c r="U8" s="23">
        <f>'2022-23 Salary &amp; Benefits'!$H$6</f>
        <v>0.2298</v>
      </c>
      <c r="V8" s="23">
        <f>'2022-23 Salary &amp; Benefits'!$I$6</f>
        <v>0.22339999999999999</v>
      </c>
      <c r="W8" s="22">
        <f t="shared" si="8"/>
        <v>0</v>
      </c>
      <c r="X8" s="22">
        <f t="shared" si="9"/>
        <v>0</v>
      </c>
      <c r="Y8" s="22">
        <f t="shared" si="10"/>
        <v>0</v>
      </c>
      <c r="Z8" s="22">
        <f t="shared" si="11"/>
        <v>0</v>
      </c>
      <c r="AA8" s="22">
        <f t="shared" si="12"/>
        <v>0</v>
      </c>
    </row>
    <row r="9" spans="1:29">
      <c r="A9" s="125" t="s">
        <v>2476</v>
      </c>
      <c r="B9" s="3" t="s">
        <v>1681</v>
      </c>
      <c r="C9" s="93">
        <f>IF(A9=Summary!$B$9,Summary!$G$9,0)</f>
        <v>0</v>
      </c>
      <c r="D9" s="134">
        <f>VLOOKUP(A9,AAFTE!$A:$S,3,0)</f>
        <v>5343.29</v>
      </c>
      <c r="E9" s="20">
        <f>VLOOKUP($A9,'2022-23 Salary &amp; Benefits'!$A:$I,3,)</f>
        <v>1.1499999999999999</v>
      </c>
      <c r="F9" s="20">
        <f>VLOOKUP($A9,'2022-23 Salary &amp; Benefits'!$A:$I,4,)</f>
        <v>1.1499999999999999</v>
      </c>
      <c r="G9" s="34">
        <f>VLOOKUP(A9,'CEDARS District FRPL'!$A:$F,6,)</f>
        <v>5.1999999999999824E-3</v>
      </c>
      <c r="H9" s="25">
        <f t="shared" si="1"/>
        <v>5343.29</v>
      </c>
      <c r="I9" s="39">
        <f t="shared" si="4"/>
        <v>27.79</v>
      </c>
      <c r="J9" s="24">
        <v>15</v>
      </c>
      <c r="K9" s="26">
        <f t="shared" si="2"/>
        <v>1.8526666666666667</v>
      </c>
      <c r="L9" s="24">
        <v>2.3975</v>
      </c>
      <c r="M9" s="24">
        <v>36</v>
      </c>
      <c r="N9" s="27">
        <f t="shared" si="3"/>
        <v>159.90366</v>
      </c>
      <c r="O9" s="102">
        <f t="shared" si="5"/>
        <v>0.17799999999999999</v>
      </c>
      <c r="P9" s="21">
        <f>VLOOKUP(A9,'2022-23 Salary &amp; Benefits'!$A:$I,5,)</f>
        <v>68937</v>
      </c>
      <c r="Q9" s="21">
        <f>VLOOKUP(A9,'2022-23 Salary &amp; Benefits'!$A:$I,6,FALSE)</f>
        <v>72728</v>
      </c>
      <c r="R9" s="22">
        <f t="shared" si="6"/>
        <v>14111.4</v>
      </c>
      <c r="S9" s="22">
        <f t="shared" si="7"/>
        <v>776.02</v>
      </c>
      <c r="T9" s="22">
        <f>'2022-23 Salary &amp; Benefits'!$G$6</f>
        <v>12558.24</v>
      </c>
      <c r="U9" s="23">
        <f>'2022-23 Salary &amp; Benefits'!$H$6</f>
        <v>0.2298</v>
      </c>
      <c r="V9" s="23">
        <f>'2022-23 Salary &amp; Benefits'!$I$6</f>
        <v>0.22339999999999999</v>
      </c>
      <c r="W9" s="22">
        <f t="shared" si="8"/>
        <v>5651.53</v>
      </c>
      <c r="X9" s="22">
        <f t="shared" si="9"/>
        <v>248.12</v>
      </c>
      <c r="Y9" s="22">
        <f t="shared" si="10"/>
        <v>55.43</v>
      </c>
      <c r="Z9" s="22">
        <f t="shared" si="11"/>
        <v>303.55</v>
      </c>
      <c r="AA9" s="22">
        <f t="shared" si="12"/>
        <v>20842.5</v>
      </c>
    </row>
    <row r="10" spans="1:29">
      <c r="A10" s="125" t="s">
        <v>2263</v>
      </c>
      <c r="B10" s="3" t="s">
        <v>30</v>
      </c>
      <c r="C10" s="93">
        <f>IF(A10=Summary!$B$9,Summary!$G$9,0)</f>
        <v>0</v>
      </c>
      <c r="D10" s="134">
        <f>VLOOKUP(A10,AAFTE!$A:$S,3,0)</f>
        <v>607.87</v>
      </c>
      <c r="E10" s="20">
        <f>VLOOKUP($A10,'2022-23 Salary &amp; Benefits'!$A:$I,3,)</f>
        <v>1</v>
      </c>
      <c r="F10" s="20">
        <f>VLOOKUP($A10,'2022-23 Salary &amp; Benefits'!$A:$I,4,)</f>
        <v>1</v>
      </c>
      <c r="G10" s="34">
        <f>VLOOKUP(A10,'CEDARS District FRPL'!$A:$F,6,)</f>
        <v>5.0800000000000012E-2</v>
      </c>
      <c r="H10" s="25">
        <f t="shared" si="1"/>
        <v>607.87</v>
      </c>
      <c r="I10" s="39">
        <f t="shared" si="4"/>
        <v>30.88</v>
      </c>
      <c r="J10" s="24">
        <v>15</v>
      </c>
      <c r="K10" s="26">
        <f t="shared" si="2"/>
        <v>2.0586666666666664</v>
      </c>
      <c r="L10" s="24">
        <v>2.3975</v>
      </c>
      <c r="M10" s="24">
        <v>36</v>
      </c>
      <c r="N10" s="27">
        <f t="shared" si="3"/>
        <v>177.68351999999999</v>
      </c>
      <c r="O10" s="102">
        <f t="shared" si="5"/>
        <v>0.19700000000000001</v>
      </c>
      <c r="P10" s="21">
        <f>VLOOKUP(A10,'2022-23 Salary &amp; Benefits'!$A:$I,5,)</f>
        <v>68937</v>
      </c>
      <c r="Q10" s="21">
        <f>VLOOKUP(A10,'2022-23 Salary &amp; Benefits'!$A:$I,6,FALSE)</f>
        <v>72728</v>
      </c>
      <c r="R10" s="22">
        <f t="shared" si="6"/>
        <v>13580.59</v>
      </c>
      <c r="S10" s="22">
        <f t="shared" si="7"/>
        <v>746.83</v>
      </c>
      <c r="T10" s="22">
        <f>'2022-23 Salary &amp; Benefits'!$G$6</f>
        <v>12558.24</v>
      </c>
      <c r="U10" s="23">
        <f>'2022-23 Salary &amp; Benefits'!$H$6</f>
        <v>0.2298</v>
      </c>
      <c r="V10" s="23">
        <f>'2022-23 Salary &amp; Benefits'!$I$6</f>
        <v>0.22339999999999999</v>
      </c>
      <c r="W10" s="22">
        <f t="shared" si="8"/>
        <v>5761.63</v>
      </c>
      <c r="X10" s="22">
        <f t="shared" si="9"/>
        <v>238.79</v>
      </c>
      <c r="Y10" s="22">
        <f t="shared" si="10"/>
        <v>53.35</v>
      </c>
      <c r="Z10" s="22">
        <f t="shared" si="11"/>
        <v>292.14</v>
      </c>
      <c r="AA10" s="22">
        <f t="shared" si="12"/>
        <v>20381.190000000002</v>
      </c>
    </row>
    <row r="11" spans="1:29">
      <c r="A11" s="125" t="s">
        <v>2359</v>
      </c>
      <c r="B11" s="3" t="s">
        <v>808</v>
      </c>
      <c r="C11" s="93">
        <f>IF(A11=Summary!$B$9,Summary!$G$9,0)</f>
        <v>0</v>
      </c>
      <c r="D11" s="134">
        <f>VLOOKUP(A11,AAFTE!$A:$S,3,0)</f>
        <v>16795.96</v>
      </c>
      <c r="E11" s="20">
        <f>VLOOKUP($A11,'2022-23 Salary &amp; Benefits'!$A:$I,3,)</f>
        <v>1.1499999999999999</v>
      </c>
      <c r="F11" s="20">
        <f>VLOOKUP($A11,'2022-23 Salary &amp; Benefits'!$A:$I,4,)</f>
        <v>1.1499999999999999</v>
      </c>
      <c r="G11" s="34">
        <f>VLOOKUP(A11,'CEDARS District FRPL'!$A:$F,6,)</f>
        <v>0</v>
      </c>
      <c r="H11" s="25">
        <f t="shared" si="1"/>
        <v>16795.96</v>
      </c>
      <c r="I11" s="39">
        <f t="shared" si="4"/>
        <v>0</v>
      </c>
      <c r="J11" s="24">
        <v>15</v>
      </c>
      <c r="K11" s="26">
        <f t="shared" si="2"/>
        <v>0</v>
      </c>
      <c r="L11" s="24">
        <v>2.3975</v>
      </c>
      <c r="M11" s="24">
        <v>36</v>
      </c>
      <c r="N11" s="27">
        <f t="shared" si="3"/>
        <v>0</v>
      </c>
      <c r="O11" s="102">
        <f t="shared" si="5"/>
        <v>0</v>
      </c>
      <c r="P11" s="21">
        <f>VLOOKUP(A11,'2022-23 Salary &amp; Benefits'!$A:$I,5,)</f>
        <v>68937</v>
      </c>
      <c r="Q11" s="21">
        <f>VLOOKUP(A11,'2022-23 Salary &amp; Benefits'!$A:$I,6,FALSE)</f>
        <v>72728</v>
      </c>
      <c r="R11" s="22">
        <f t="shared" si="6"/>
        <v>0</v>
      </c>
      <c r="S11" s="22">
        <f t="shared" si="7"/>
        <v>0</v>
      </c>
      <c r="T11" s="22">
        <f>'2022-23 Salary &amp; Benefits'!$G$6</f>
        <v>12558.24</v>
      </c>
      <c r="U11" s="23">
        <f>'2022-23 Salary &amp; Benefits'!$H$6</f>
        <v>0.2298</v>
      </c>
      <c r="V11" s="23">
        <f>'2022-23 Salary &amp; Benefits'!$I$6</f>
        <v>0.22339999999999999</v>
      </c>
      <c r="W11" s="22">
        <f t="shared" si="8"/>
        <v>0</v>
      </c>
      <c r="X11" s="22">
        <f t="shared" si="9"/>
        <v>0</v>
      </c>
      <c r="Y11" s="22">
        <f t="shared" si="10"/>
        <v>0</v>
      </c>
      <c r="Z11" s="22">
        <f t="shared" si="11"/>
        <v>0</v>
      </c>
      <c r="AA11" s="22">
        <f t="shared" si="12"/>
        <v>0</v>
      </c>
    </row>
    <row r="12" spans="1:29">
      <c r="A12" s="125" t="s">
        <v>2372</v>
      </c>
      <c r="B12" s="3" t="s">
        <v>1028</v>
      </c>
      <c r="C12" s="93">
        <f>IF(A12=Summary!$B$9,Summary!$G$9,0)</f>
        <v>0</v>
      </c>
      <c r="D12" s="134">
        <f>VLOOKUP(A12,AAFTE!$A:$S,3,0)</f>
        <v>3587.84</v>
      </c>
      <c r="E12" s="20">
        <f>VLOOKUP($A12,'2022-23 Salary &amp; Benefits'!$A:$I,3,)</f>
        <v>1.18</v>
      </c>
      <c r="F12" s="20">
        <f>VLOOKUP($A12,'2022-23 Salary &amp; Benefits'!$A:$I,4,)</f>
        <v>1.18</v>
      </c>
      <c r="G12" s="34">
        <f>VLOOKUP(A12,'CEDARS District FRPL'!$A:$F,6,)</f>
        <v>0</v>
      </c>
      <c r="H12" s="25">
        <f t="shared" si="1"/>
        <v>3587.84</v>
      </c>
      <c r="I12" s="39">
        <f t="shared" si="4"/>
        <v>0</v>
      </c>
      <c r="J12" s="24">
        <v>15</v>
      </c>
      <c r="K12" s="26">
        <f t="shared" si="2"/>
        <v>0</v>
      </c>
      <c r="L12" s="24">
        <v>2.3975</v>
      </c>
      <c r="M12" s="24">
        <v>36</v>
      </c>
      <c r="N12" s="27">
        <f t="shared" si="3"/>
        <v>0</v>
      </c>
      <c r="O12" s="102">
        <f t="shared" si="5"/>
        <v>0</v>
      </c>
      <c r="P12" s="21">
        <f>VLOOKUP(A12,'2022-23 Salary &amp; Benefits'!$A:$I,5,)</f>
        <v>68937</v>
      </c>
      <c r="Q12" s="21">
        <f>VLOOKUP(A12,'2022-23 Salary &amp; Benefits'!$A:$I,6,FALSE)</f>
        <v>72728</v>
      </c>
      <c r="R12" s="22">
        <f t="shared" si="6"/>
        <v>0</v>
      </c>
      <c r="S12" s="22">
        <f t="shared" si="7"/>
        <v>0</v>
      </c>
      <c r="T12" s="22">
        <f>'2022-23 Salary &amp; Benefits'!$G$6</f>
        <v>12558.24</v>
      </c>
      <c r="U12" s="23">
        <f>'2022-23 Salary &amp; Benefits'!$H$6</f>
        <v>0.2298</v>
      </c>
      <c r="V12" s="23">
        <f>'2022-23 Salary &amp; Benefits'!$I$6</f>
        <v>0.22339999999999999</v>
      </c>
      <c r="W12" s="22">
        <f t="shared" si="8"/>
        <v>0</v>
      </c>
      <c r="X12" s="22">
        <f t="shared" si="9"/>
        <v>0</v>
      </c>
      <c r="Y12" s="22">
        <f t="shared" si="10"/>
        <v>0</v>
      </c>
      <c r="Z12" s="22">
        <f t="shared" si="11"/>
        <v>0</v>
      </c>
      <c r="AA12" s="22">
        <f t="shared" si="12"/>
        <v>0</v>
      </c>
    </row>
    <row r="13" spans="1:29">
      <c r="A13" s="125" t="s">
        <v>2290</v>
      </c>
      <c r="B13" s="3" t="s">
        <v>265</v>
      </c>
      <c r="C13" s="93">
        <f>IF(A13=Summary!$B$9,Summary!$G$9,0)</f>
        <v>0</v>
      </c>
      <c r="D13" s="134">
        <f>VLOOKUP(A13,AAFTE!$A:$S,3,0)</f>
        <v>11718.48</v>
      </c>
      <c r="E13" s="20">
        <f>VLOOKUP($A13,'2022-23 Salary &amp; Benefits'!$A:$I,3,)</f>
        <v>1.06</v>
      </c>
      <c r="F13" s="20">
        <f>VLOOKUP($A13,'2022-23 Salary &amp; Benefits'!$A:$I,4,)</f>
        <v>1.06</v>
      </c>
      <c r="G13" s="34">
        <f>VLOOKUP(A13,'CEDARS District FRPL'!$A:$F,6,)</f>
        <v>0</v>
      </c>
      <c r="H13" s="25">
        <f t="shared" si="1"/>
        <v>11718.48</v>
      </c>
      <c r="I13" s="39">
        <f t="shared" si="4"/>
        <v>0</v>
      </c>
      <c r="J13" s="24">
        <v>15</v>
      </c>
      <c r="K13" s="26">
        <f t="shared" si="2"/>
        <v>0</v>
      </c>
      <c r="L13" s="24">
        <v>2.3975</v>
      </c>
      <c r="M13" s="24">
        <v>36</v>
      </c>
      <c r="N13" s="27">
        <f t="shared" si="3"/>
        <v>0</v>
      </c>
      <c r="O13" s="102">
        <f t="shared" si="5"/>
        <v>0</v>
      </c>
      <c r="P13" s="21">
        <f>VLOOKUP(A13,'2022-23 Salary &amp; Benefits'!$A:$I,5,)</f>
        <v>68937</v>
      </c>
      <c r="Q13" s="21">
        <f>VLOOKUP(A13,'2022-23 Salary &amp; Benefits'!$A:$I,6,FALSE)</f>
        <v>72728</v>
      </c>
      <c r="R13" s="22">
        <f t="shared" si="6"/>
        <v>0</v>
      </c>
      <c r="S13" s="22">
        <f t="shared" si="7"/>
        <v>0</v>
      </c>
      <c r="T13" s="22">
        <f>'2022-23 Salary &amp; Benefits'!$G$6</f>
        <v>12558.24</v>
      </c>
      <c r="U13" s="23">
        <f>'2022-23 Salary &amp; Benefits'!$H$6</f>
        <v>0.2298</v>
      </c>
      <c r="V13" s="23">
        <f>'2022-23 Salary &amp; Benefits'!$I$6</f>
        <v>0.22339999999999999</v>
      </c>
      <c r="W13" s="22">
        <f t="shared" si="8"/>
        <v>0</v>
      </c>
      <c r="X13" s="22">
        <f t="shared" si="9"/>
        <v>0</v>
      </c>
      <c r="Y13" s="22">
        <f t="shared" si="10"/>
        <v>0</v>
      </c>
      <c r="Z13" s="22">
        <f t="shared" si="11"/>
        <v>0</v>
      </c>
      <c r="AA13" s="22">
        <f t="shared" si="12"/>
        <v>0</v>
      </c>
    </row>
    <row r="14" spans="1:29">
      <c r="A14" s="125" t="s">
        <v>2356</v>
      </c>
      <c r="B14" s="3" t="s">
        <v>763</v>
      </c>
      <c r="C14" s="93">
        <f>IF(A14=Summary!$B$9,Summary!$G$9,0)</f>
        <v>0</v>
      </c>
      <c r="D14" s="134">
        <f>VLOOKUP(A14,AAFTE!$A:$S,3,0)</f>
        <v>18936.25</v>
      </c>
      <c r="E14" s="20">
        <f>VLOOKUP($A14,'2022-23 Salary &amp; Benefits'!$A:$I,3,)</f>
        <v>1.18</v>
      </c>
      <c r="F14" s="20">
        <f>VLOOKUP($A14,'2022-23 Salary &amp; Benefits'!$A:$I,4,)</f>
        <v>1.18</v>
      </c>
      <c r="G14" s="34">
        <f>VLOOKUP(A14,'CEDARS District FRPL'!$A:$F,6,)</f>
        <v>4.0000000000000036E-3</v>
      </c>
      <c r="H14" s="25">
        <f t="shared" si="1"/>
        <v>18936.25</v>
      </c>
      <c r="I14" s="39">
        <f t="shared" si="4"/>
        <v>75.75</v>
      </c>
      <c r="J14" s="24">
        <v>15</v>
      </c>
      <c r="K14" s="26">
        <f t="shared" si="2"/>
        <v>5.05</v>
      </c>
      <c r="L14" s="24">
        <v>2.3975</v>
      </c>
      <c r="M14" s="24">
        <v>36</v>
      </c>
      <c r="N14" s="27">
        <f t="shared" si="3"/>
        <v>435.8655</v>
      </c>
      <c r="O14" s="102">
        <f t="shared" si="5"/>
        <v>0.48399999999999999</v>
      </c>
      <c r="P14" s="21">
        <f>VLOOKUP(A14,'2022-23 Salary &amp; Benefits'!$A:$I,5,)</f>
        <v>68937</v>
      </c>
      <c r="Q14" s="21">
        <f>VLOOKUP(A14,'2022-23 Salary &amp; Benefits'!$A:$I,6,FALSE)</f>
        <v>72728</v>
      </c>
      <c r="R14" s="22">
        <f t="shared" si="6"/>
        <v>39371.300000000003</v>
      </c>
      <c r="S14" s="22">
        <f t="shared" si="7"/>
        <v>2165.12</v>
      </c>
      <c r="T14" s="22">
        <f>'2022-23 Salary &amp; Benefits'!$G$6</f>
        <v>12558.24</v>
      </c>
      <c r="U14" s="23">
        <f>'2022-23 Salary &amp; Benefits'!$H$6</f>
        <v>0.2298</v>
      </c>
      <c r="V14" s="23">
        <f>'2022-23 Salary &amp; Benefits'!$I$6</f>
        <v>0.22339999999999999</v>
      </c>
      <c r="W14" s="22">
        <f t="shared" si="8"/>
        <v>15609.4</v>
      </c>
      <c r="X14" s="22">
        <f t="shared" si="9"/>
        <v>692.27</v>
      </c>
      <c r="Y14" s="22">
        <f t="shared" si="10"/>
        <v>154.65</v>
      </c>
      <c r="Z14" s="22">
        <f t="shared" si="11"/>
        <v>846.92</v>
      </c>
      <c r="AA14" s="22">
        <f t="shared" si="12"/>
        <v>57992.740000000005</v>
      </c>
    </row>
    <row r="15" spans="1:29">
      <c r="A15" s="125" t="s">
        <v>2532</v>
      </c>
      <c r="B15" s="3" t="s">
        <v>2064</v>
      </c>
      <c r="C15" s="93">
        <f>IF(A15=Summary!$B$9,Summary!$G$9,0)</f>
        <v>0</v>
      </c>
      <c r="D15" s="134">
        <f>VLOOKUP(A15,AAFTE!$A:$S,3,0)</f>
        <v>11263.21</v>
      </c>
      <c r="E15" s="20">
        <f>VLOOKUP($A15,'2022-23 Salary &amp; Benefits'!$A:$I,3,)</f>
        <v>1.0900000000000001</v>
      </c>
      <c r="F15" s="20">
        <f>VLOOKUP($A15,'2022-23 Salary &amp; Benefits'!$A:$I,4,)</f>
        <v>1.0900000000000001</v>
      </c>
      <c r="G15" s="34">
        <f>VLOOKUP(A15,'CEDARS District FRPL'!$A:$F,6,)</f>
        <v>0</v>
      </c>
      <c r="H15" s="25">
        <f t="shared" si="1"/>
        <v>11263.21</v>
      </c>
      <c r="I15" s="39">
        <f t="shared" si="4"/>
        <v>0</v>
      </c>
      <c r="J15" s="24">
        <v>15</v>
      </c>
      <c r="K15" s="26">
        <f t="shared" si="2"/>
        <v>0</v>
      </c>
      <c r="L15" s="24">
        <v>2.3975</v>
      </c>
      <c r="M15" s="24">
        <v>36</v>
      </c>
      <c r="N15" s="27">
        <f t="shared" si="3"/>
        <v>0</v>
      </c>
      <c r="O15" s="102">
        <f t="shared" si="5"/>
        <v>0</v>
      </c>
      <c r="P15" s="21">
        <f>VLOOKUP(A15,'2022-23 Salary &amp; Benefits'!$A:$I,5,)</f>
        <v>68937</v>
      </c>
      <c r="Q15" s="21">
        <f>VLOOKUP(A15,'2022-23 Salary &amp; Benefits'!$A:$I,6,FALSE)</f>
        <v>72728</v>
      </c>
      <c r="R15" s="22">
        <f t="shared" si="6"/>
        <v>0</v>
      </c>
      <c r="S15" s="22">
        <f t="shared" si="7"/>
        <v>0</v>
      </c>
      <c r="T15" s="22">
        <f>'2022-23 Salary &amp; Benefits'!$G$6</f>
        <v>12558.24</v>
      </c>
      <c r="U15" s="23">
        <f>'2022-23 Salary &amp; Benefits'!$H$6</f>
        <v>0.2298</v>
      </c>
      <c r="V15" s="23">
        <f>'2022-23 Salary &amp; Benefits'!$I$6</f>
        <v>0.22339999999999999</v>
      </c>
      <c r="W15" s="22">
        <f t="shared" si="8"/>
        <v>0</v>
      </c>
      <c r="X15" s="22">
        <f t="shared" si="9"/>
        <v>0</v>
      </c>
      <c r="Y15" s="22">
        <f t="shared" si="10"/>
        <v>0</v>
      </c>
      <c r="Z15" s="22">
        <f t="shared" si="11"/>
        <v>0</v>
      </c>
      <c r="AA15" s="22">
        <f t="shared" si="12"/>
        <v>0</v>
      </c>
    </row>
    <row r="16" spans="1:29">
      <c r="A16" s="125" t="s">
        <v>2258</v>
      </c>
      <c r="B16" s="3" t="s">
        <v>2</v>
      </c>
      <c r="C16" s="93">
        <f>IF(A16=Summary!$B$9,Summary!$G$9,0)</f>
        <v>0</v>
      </c>
      <c r="D16" s="134">
        <f>VLOOKUP(A16,AAFTE!$A:$S,3,0)</f>
        <v>11.57</v>
      </c>
      <c r="E16" s="20">
        <f>VLOOKUP($A16,'2022-23 Salary &amp; Benefits'!$A:$I,3,)</f>
        <v>1</v>
      </c>
      <c r="F16" s="20">
        <f>VLOOKUP($A16,'2022-23 Salary &amp; Benefits'!$A:$I,4,)</f>
        <v>1</v>
      </c>
      <c r="G16" s="34">
        <f>VLOOKUP(A16,'CEDARS District FRPL'!$A:$F,6,)</f>
        <v>4.7600000000000003E-2</v>
      </c>
      <c r="H16" s="25">
        <f t="shared" si="1"/>
        <v>11.57</v>
      </c>
      <c r="I16" s="39">
        <f t="shared" si="4"/>
        <v>0.55000000000000004</v>
      </c>
      <c r="J16" s="24">
        <v>15</v>
      </c>
      <c r="K16" s="26">
        <f t="shared" si="2"/>
        <v>3.6666666666666667E-2</v>
      </c>
      <c r="L16" s="24">
        <v>2.3975</v>
      </c>
      <c r="M16" s="24">
        <v>36</v>
      </c>
      <c r="N16" s="27">
        <f t="shared" si="3"/>
        <v>3.1647000000000003</v>
      </c>
      <c r="O16" s="102">
        <f t="shared" si="5"/>
        <v>4.0000000000000001E-3</v>
      </c>
      <c r="P16" s="21">
        <f>VLOOKUP(A16,'2022-23 Salary &amp; Benefits'!$A:$I,5,)</f>
        <v>68937</v>
      </c>
      <c r="Q16" s="21">
        <f>VLOOKUP(A16,'2022-23 Salary &amp; Benefits'!$A:$I,6,FALSE)</f>
        <v>72728</v>
      </c>
      <c r="R16" s="22">
        <f t="shared" si="6"/>
        <v>275.75</v>
      </c>
      <c r="S16" s="22">
        <f t="shared" si="7"/>
        <v>15.16</v>
      </c>
      <c r="T16" s="22">
        <f>'2022-23 Salary &amp; Benefits'!$G$6</f>
        <v>12558.24</v>
      </c>
      <c r="U16" s="23">
        <f>'2022-23 Salary &amp; Benefits'!$H$6</f>
        <v>0.2298</v>
      </c>
      <c r="V16" s="23">
        <f>'2022-23 Salary &amp; Benefits'!$I$6</f>
        <v>0.22339999999999999</v>
      </c>
      <c r="W16" s="22">
        <f t="shared" si="8"/>
        <v>116.99</v>
      </c>
      <c r="X16" s="22">
        <f t="shared" si="9"/>
        <v>4.8499999999999996</v>
      </c>
      <c r="Y16" s="22">
        <f t="shared" si="10"/>
        <v>1.08</v>
      </c>
      <c r="Z16" s="22">
        <f t="shared" si="11"/>
        <v>5.93</v>
      </c>
      <c r="AA16" s="22">
        <f t="shared" si="12"/>
        <v>413.83000000000004</v>
      </c>
    </row>
    <row r="17" spans="1:27">
      <c r="A17" s="125" t="s">
        <v>2449</v>
      </c>
      <c r="B17" s="3" t="s">
        <v>1473</v>
      </c>
      <c r="C17" s="93">
        <f>IF(A17=Summary!$B$9,Summary!$G$9,0)</f>
        <v>0</v>
      </c>
      <c r="D17" s="134">
        <f>VLOOKUP(A17,AAFTE!$A:$S,3,0)</f>
        <v>20148.52</v>
      </c>
      <c r="E17" s="20">
        <f>VLOOKUP($A17,'2022-23 Salary &amp; Benefits'!$A:$I,3,)</f>
        <v>1</v>
      </c>
      <c r="F17" s="20">
        <f>VLOOKUP($A17,'2022-23 Salary &amp; Benefits'!$A:$I,4,)</f>
        <v>1</v>
      </c>
      <c r="G17" s="34">
        <f>VLOOKUP(A17,'CEDARS District FRPL'!$A:$F,6,)</f>
        <v>3.7899999999999989E-2</v>
      </c>
      <c r="H17" s="25">
        <f t="shared" si="1"/>
        <v>20148.52</v>
      </c>
      <c r="I17" s="39">
        <f t="shared" si="4"/>
        <v>763.63</v>
      </c>
      <c r="J17" s="24">
        <v>15</v>
      </c>
      <c r="K17" s="26">
        <f t="shared" si="2"/>
        <v>50.908666666666669</v>
      </c>
      <c r="L17" s="24">
        <v>2.3975</v>
      </c>
      <c r="M17" s="24">
        <v>36</v>
      </c>
      <c r="N17" s="27">
        <f t="shared" si="3"/>
        <v>4393.9270200000001</v>
      </c>
      <c r="O17" s="102">
        <f t="shared" si="5"/>
        <v>4.8819999999999997</v>
      </c>
      <c r="P17" s="21">
        <f>VLOOKUP(A17,'2022-23 Salary &amp; Benefits'!$A:$I,5,)</f>
        <v>68937</v>
      </c>
      <c r="Q17" s="21">
        <f>VLOOKUP(A17,'2022-23 Salary &amp; Benefits'!$A:$I,6,FALSE)</f>
        <v>72728</v>
      </c>
      <c r="R17" s="22">
        <f t="shared" si="6"/>
        <v>336550.43</v>
      </c>
      <c r="S17" s="22">
        <f t="shared" si="7"/>
        <v>18507.669999999998</v>
      </c>
      <c r="T17" s="22">
        <f>'2022-23 Salary &amp; Benefits'!$G$6</f>
        <v>12558.24</v>
      </c>
      <c r="U17" s="23">
        <f>'2022-23 Salary &amp; Benefits'!$H$6</f>
        <v>0.2298</v>
      </c>
      <c r="V17" s="23">
        <f>'2022-23 Salary &amp; Benefits'!$I$6</f>
        <v>0.22339999999999999</v>
      </c>
      <c r="W17" s="22">
        <f t="shared" si="8"/>
        <v>142783.23000000001</v>
      </c>
      <c r="X17" s="22">
        <f t="shared" si="9"/>
        <v>5917.63</v>
      </c>
      <c r="Y17" s="22">
        <f t="shared" si="10"/>
        <v>1322</v>
      </c>
      <c r="Z17" s="22">
        <f t="shared" si="11"/>
        <v>7239.63</v>
      </c>
      <c r="AA17" s="22">
        <f t="shared" si="12"/>
        <v>505080.96</v>
      </c>
    </row>
    <row r="18" spans="1:27">
      <c r="A18" s="125" t="s">
        <v>2384</v>
      </c>
      <c r="B18" s="3" t="s">
        <v>1106</v>
      </c>
      <c r="C18" s="93">
        <f>IF(A18=Summary!$B$9,Summary!$G$9,0)</f>
        <v>0</v>
      </c>
      <c r="D18" s="134">
        <f>VLOOKUP(A18,AAFTE!$A:$S,3,0)</f>
        <v>113.01</v>
      </c>
      <c r="E18" s="20">
        <f>VLOOKUP($A18,'2022-23 Salary &amp; Benefits'!$A:$I,3,)</f>
        <v>1</v>
      </c>
      <c r="F18" s="20">
        <f>VLOOKUP($A18,'2022-23 Salary &amp; Benefits'!$A:$I,4,)</f>
        <v>1</v>
      </c>
      <c r="G18" s="34">
        <f>VLOOKUP(A18,'CEDARS District FRPL'!$A:$F,6,)</f>
        <v>0</v>
      </c>
      <c r="H18" s="25">
        <f t="shared" si="1"/>
        <v>113.01</v>
      </c>
      <c r="I18" s="39">
        <f t="shared" si="4"/>
        <v>0</v>
      </c>
      <c r="J18" s="24">
        <v>15</v>
      </c>
      <c r="K18" s="26">
        <f t="shared" si="2"/>
        <v>0</v>
      </c>
      <c r="L18" s="24">
        <v>2.3975</v>
      </c>
      <c r="M18" s="24">
        <v>36</v>
      </c>
      <c r="N18" s="27">
        <f t="shared" si="3"/>
        <v>0</v>
      </c>
      <c r="O18" s="102">
        <f t="shared" si="5"/>
        <v>0</v>
      </c>
      <c r="P18" s="21">
        <f>VLOOKUP(A18,'2022-23 Salary &amp; Benefits'!$A:$I,5,)</f>
        <v>68937</v>
      </c>
      <c r="Q18" s="21">
        <f>VLOOKUP(A18,'2022-23 Salary &amp; Benefits'!$A:$I,6,FALSE)</f>
        <v>72728</v>
      </c>
      <c r="R18" s="22">
        <f t="shared" si="6"/>
        <v>0</v>
      </c>
      <c r="S18" s="22">
        <f t="shared" si="7"/>
        <v>0</v>
      </c>
      <c r="T18" s="22">
        <f>'2022-23 Salary &amp; Benefits'!$G$6</f>
        <v>12558.24</v>
      </c>
      <c r="U18" s="23">
        <f>'2022-23 Salary &amp; Benefits'!$H$6</f>
        <v>0.2298</v>
      </c>
      <c r="V18" s="23">
        <f>'2022-23 Salary &amp; Benefits'!$I$6</f>
        <v>0.22339999999999999</v>
      </c>
      <c r="W18" s="22">
        <f t="shared" si="8"/>
        <v>0</v>
      </c>
      <c r="X18" s="22">
        <f t="shared" si="9"/>
        <v>0</v>
      </c>
      <c r="Y18" s="22">
        <f t="shared" si="10"/>
        <v>0</v>
      </c>
      <c r="Z18" s="22">
        <f t="shared" si="11"/>
        <v>0</v>
      </c>
      <c r="AA18" s="22">
        <f t="shared" si="12"/>
        <v>0</v>
      </c>
    </row>
    <row r="19" spans="1:27">
      <c r="A19" s="125" t="s">
        <v>2534</v>
      </c>
      <c r="B19" s="3" t="s">
        <v>2096</v>
      </c>
      <c r="C19" s="93">
        <f>IF(A19=Summary!$B$9,Summary!$G$9,0)</f>
        <v>0</v>
      </c>
      <c r="D19" s="134">
        <f>VLOOKUP(A19,AAFTE!$A:$S,3,0)</f>
        <v>2102.3200000000002</v>
      </c>
      <c r="E19" s="20">
        <f>VLOOKUP($A19,'2022-23 Salary &amp; Benefits'!$A:$I,3,)</f>
        <v>1.1200000000000001</v>
      </c>
      <c r="F19" s="20">
        <f>VLOOKUP($A19,'2022-23 Salary &amp; Benefits'!$A:$I,4,)</f>
        <v>1.1600000000000001</v>
      </c>
      <c r="G19" s="34">
        <f>VLOOKUP(A19,'CEDARS District FRPL'!$A:$F,6,)</f>
        <v>9.6999999999999864E-3</v>
      </c>
      <c r="H19" s="25">
        <f t="shared" si="1"/>
        <v>2102.3200000000002</v>
      </c>
      <c r="I19" s="39">
        <f t="shared" si="4"/>
        <v>20.39</v>
      </c>
      <c r="J19" s="24">
        <v>15</v>
      </c>
      <c r="K19" s="26">
        <f t="shared" si="2"/>
        <v>1.3593333333333333</v>
      </c>
      <c r="L19" s="24">
        <v>2.3975</v>
      </c>
      <c r="M19" s="24">
        <v>36</v>
      </c>
      <c r="N19" s="27">
        <f t="shared" si="3"/>
        <v>117.32405999999999</v>
      </c>
      <c r="O19" s="102">
        <f t="shared" si="5"/>
        <v>0.13</v>
      </c>
      <c r="P19" s="21">
        <f>VLOOKUP(A19,'2022-23 Salary &amp; Benefits'!$A:$I,5,)</f>
        <v>68937</v>
      </c>
      <c r="Q19" s="21">
        <f>VLOOKUP(A19,'2022-23 Salary &amp; Benefits'!$A:$I,6,FALSE)</f>
        <v>72728</v>
      </c>
      <c r="R19" s="22">
        <f t="shared" si="6"/>
        <v>10037.23</v>
      </c>
      <c r="S19" s="22">
        <f t="shared" si="7"/>
        <v>930.15</v>
      </c>
      <c r="T19" s="22">
        <f>'2022-23 Salary &amp; Benefits'!$G$6</f>
        <v>12558.24</v>
      </c>
      <c r="U19" s="23">
        <f>'2022-23 Salary &amp; Benefits'!$H$6</f>
        <v>0.2298</v>
      </c>
      <c r="V19" s="23">
        <f>'2022-23 Salary &amp; Benefits'!$I$6</f>
        <v>0.22339999999999999</v>
      </c>
      <c r="W19" s="22">
        <f t="shared" si="8"/>
        <v>4146.92</v>
      </c>
      <c r="X19" s="22">
        <f t="shared" si="9"/>
        <v>182.79</v>
      </c>
      <c r="Y19" s="22">
        <f t="shared" si="10"/>
        <v>40.840000000000003</v>
      </c>
      <c r="Z19" s="22">
        <f t="shared" si="11"/>
        <v>223.63</v>
      </c>
      <c r="AA19" s="22">
        <f t="shared" si="12"/>
        <v>15337.929999999998</v>
      </c>
    </row>
    <row r="20" spans="1:27">
      <c r="A20" s="125" t="s">
        <v>2399</v>
      </c>
      <c r="B20" s="3" t="s">
        <v>1153</v>
      </c>
      <c r="C20" s="93">
        <f>IF(A20=Summary!$B$9,Summary!$G$9,0)</f>
        <v>0</v>
      </c>
      <c r="D20" s="134">
        <f>VLOOKUP(A20,AAFTE!$A:$S,3,0)</f>
        <v>85.66</v>
      </c>
      <c r="E20" s="20">
        <f>VLOOKUP($A20,'2022-23 Salary &amp; Benefits'!$A:$I,3,)</f>
        <v>1</v>
      </c>
      <c r="F20" s="20">
        <f>VLOOKUP($A20,'2022-23 Salary &amp; Benefits'!$A:$I,4,)</f>
        <v>1</v>
      </c>
      <c r="G20" s="34">
        <f>VLOOKUP(A20,'CEDARS District FRPL'!$A:$F,6,)</f>
        <v>3.7200000000000066E-2</v>
      </c>
      <c r="H20" s="25">
        <f t="shared" si="1"/>
        <v>85.66</v>
      </c>
      <c r="I20" s="39">
        <f t="shared" si="4"/>
        <v>3.19</v>
      </c>
      <c r="J20" s="24">
        <v>15</v>
      </c>
      <c r="K20" s="26">
        <f t="shared" si="2"/>
        <v>0.21266666666666667</v>
      </c>
      <c r="L20" s="24">
        <v>2.3975</v>
      </c>
      <c r="M20" s="24">
        <v>36</v>
      </c>
      <c r="N20" s="27">
        <f t="shared" si="3"/>
        <v>18.355260000000001</v>
      </c>
      <c r="O20" s="102">
        <f t="shared" si="5"/>
        <v>0.02</v>
      </c>
      <c r="P20" s="21">
        <f>VLOOKUP(A20,'2022-23 Salary &amp; Benefits'!$A:$I,5,)</f>
        <v>68937</v>
      </c>
      <c r="Q20" s="21">
        <f>VLOOKUP(A20,'2022-23 Salary &amp; Benefits'!$A:$I,6,FALSE)</f>
        <v>72728</v>
      </c>
      <c r="R20" s="22">
        <f t="shared" si="6"/>
        <v>1378.74</v>
      </c>
      <c r="S20" s="22">
        <f t="shared" si="7"/>
        <v>75.819999999999993</v>
      </c>
      <c r="T20" s="22">
        <f>'2022-23 Salary &amp; Benefits'!$G$6</f>
        <v>12558.24</v>
      </c>
      <c r="U20" s="23">
        <f>'2022-23 Salary &amp; Benefits'!$H$6</f>
        <v>0.2298</v>
      </c>
      <c r="V20" s="23">
        <f>'2022-23 Salary &amp; Benefits'!$I$6</f>
        <v>0.22339999999999999</v>
      </c>
      <c r="W20" s="22">
        <f t="shared" si="8"/>
        <v>584.94000000000005</v>
      </c>
      <c r="X20" s="22">
        <f t="shared" si="9"/>
        <v>24.24</v>
      </c>
      <c r="Y20" s="22">
        <f t="shared" si="10"/>
        <v>5.42</v>
      </c>
      <c r="Z20" s="22">
        <f t="shared" si="11"/>
        <v>29.659999999999997</v>
      </c>
      <c r="AA20" s="22">
        <f t="shared" si="12"/>
        <v>2069.16</v>
      </c>
    </row>
    <row r="21" spans="1:27">
      <c r="A21" s="125" t="s">
        <v>2371</v>
      </c>
      <c r="B21" s="3" t="s">
        <v>1017</v>
      </c>
      <c r="C21" s="93">
        <f>IF(A21=Summary!$B$9,Summary!$G$9,0)</f>
        <v>0</v>
      </c>
      <c r="D21" s="134">
        <f>VLOOKUP(A21,AAFTE!$A:$S,3,0)</f>
        <v>4557.6400000000003</v>
      </c>
      <c r="E21" s="20">
        <f>VLOOKUP($A21,'2022-23 Salary &amp; Benefits'!$A:$I,3,)</f>
        <v>1.18</v>
      </c>
      <c r="F21" s="20">
        <f>VLOOKUP($A21,'2022-23 Salary &amp; Benefits'!$A:$I,4,)</f>
        <v>1.18</v>
      </c>
      <c r="G21" s="34">
        <f>VLOOKUP(A21,'CEDARS District FRPL'!$A:$F,6,)</f>
        <v>0</v>
      </c>
      <c r="H21" s="25">
        <f t="shared" si="1"/>
        <v>4557.6400000000003</v>
      </c>
      <c r="I21" s="39">
        <f t="shared" si="4"/>
        <v>0</v>
      </c>
      <c r="J21" s="24">
        <v>15</v>
      </c>
      <c r="K21" s="26">
        <f t="shared" si="2"/>
        <v>0</v>
      </c>
      <c r="L21" s="24">
        <v>2.3975</v>
      </c>
      <c r="M21" s="24">
        <v>36</v>
      </c>
      <c r="N21" s="27">
        <f t="shared" si="3"/>
        <v>0</v>
      </c>
      <c r="O21" s="102">
        <f t="shared" si="5"/>
        <v>0</v>
      </c>
      <c r="P21" s="21">
        <f>VLOOKUP(A21,'2022-23 Salary &amp; Benefits'!$A:$I,5,)</f>
        <v>68937</v>
      </c>
      <c r="Q21" s="21">
        <f>VLOOKUP(A21,'2022-23 Salary &amp; Benefits'!$A:$I,6,FALSE)</f>
        <v>72728</v>
      </c>
      <c r="R21" s="22">
        <f t="shared" si="6"/>
        <v>0</v>
      </c>
      <c r="S21" s="22">
        <f t="shared" si="7"/>
        <v>0</v>
      </c>
      <c r="T21" s="22">
        <f>'2022-23 Salary &amp; Benefits'!$G$6</f>
        <v>12558.24</v>
      </c>
      <c r="U21" s="23">
        <f>'2022-23 Salary &amp; Benefits'!$H$6</f>
        <v>0.2298</v>
      </c>
      <c r="V21" s="23">
        <f>'2022-23 Salary &amp; Benefits'!$I$6</f>
        <v>0.22339999999999999</v>
      </c>
      <c r="W21" s="22">
        <f t="shared" si="8"/>
        <v>0</v>
      </c>
      <c r="X21" s="22">
        <f t="shared" si="9"/>
        <v>0</v>
      </c>
      <c r="Y21" s="22">
        <f t="shared" si="10"/>
        <v>0</v>
      </c>
      <c r="Z21" s="22">
        <f t="shared" si="11"/>
        <v>0</v>
      </c>
      <c r="AA21" s="22">
        <f t="shared" si="12"/>
        <v>0</v>
      </c>
    </row>
    <row r="22" spans="1:27">
      <c r="A22" s="125" t="s">
        <v>2424</v>
      </c>
      <c r="B22" s="3" t="s">
        <v>1242</v>
      </c>
      <c r="C22" s="93">
        <f>IF(A22=Summary!$B$9,Summary!$G$9,0)</f>
        <v>0</v>
      </c>
      <c r="D22" s="134">
        <f>VLOOKUP(A22,AAFTE!$A:$S,3,0)</f>
        <v>953</v>
      </c>
      <c r="E22" s="20">
        <f>VLOOKUP($A22,'2022-23 Salary &amp; Benefits'!$A:$I,3,)</f>
        <v>1</v>
      </c>
      <c r="F22" s="20">
        <f>VLOOKUP($A22,'2022-23 Salary &amp; Benefits'!$A:$I,4,)</f>
        <v>1</v>
      </c>
      <c r="G22" s="34">
        <f>VLOOKUP(A22,'CEDARS District FRPL'!$A:$F,6,)</f>
        <v>0</v>
      </c>
      <c r="H22" s="25">
        <f t="shared" si="1"/>
        <v>953</v>
      </c>
      <c r="I22" s="39">
        <f t="shared" si="4"/>
        <v>0</v>
      </c>
      <c r="J22" s="24">
        <v>15</v>
      </c>
      <c r="K22" s="26">
        <f t="shared" si="2"/>
        <v>0</v>
      </c>
      <c r="L22" s="24">
        <v>2.3975</v>
      </c>
      <c r="M22" s="24">
        <v>36</v>
      </c>
      <c r="N22" s="27">
        <f t="shared" si="3"/>
        <v>0</v>
      </c>
      <c r="O22" s="102">
        <f t="shared" si="5"/>
        <v>0</v>
      </c>
      <c r="P22" s="21">
        <f>VLOOKUP(A22,'2022-23 Salary &amp; Benefits'!$A:$I,5,)</f>
        <v>68937</v>
      </c>
      <c r="Q22" s="21">
        <f>VLOOKUP(A22,'2022-23 Salary &amp; Benefits'!$A:$I,6,FALSE)</f>
        <v>72728</v>
      </c>
      <c r="R22" s="22">
        <f t="shared" si="6"/>
        <v>0</v>
      </c>
      <c r="S22" s="22">
        <f t="shared" si="7"/>
        <v>0</v>
      </c>
      <c r="T22" s="22">
        <f>'2022-23 Salary &amp; Benefits'!$G$6</f>
        <v>12558.24</v>
      </c>
      <c r="U22" s="23">
        <f>'2022-23 Salary &amp; Benefits'!$H$6</f>
        <v>0.2298</v>
      </c>
      <c r="V22" s="23">
        <f>'2022-23 Salary &amp; Benefits'!$I$6</f>
        <v>0.22339999999999999</v>
      </c>
      <c r="W22" s="22">
        <f t="shared" si="8"/>
        <v>0</v>
      </c>
      <c r="X22" s="22">
        <f t="shared" si="9"/>
        <v>0</v>
      </c>
      <c r="Y22" s="22">
        <f t="shared" si="10"/>
        <v>0</v>
      </c>
      <c r="Z22" s="22">
        <f t="shared" si="11"/>
        <v>0</v>
      </c>
      <c r="AA22" s="22">
        <f t="shared" si="12"/>
        <v>0</v>
      </c>
    </row>
    <row r="23" spans="1:27">
      <c r="A23" s="125" t="s">
        <v>2302</v>
      </c>
      <c r="B23" s="3" t="s">
        <v>339</v>
      </c>
      <c r="C23" s="93">
        <f>IF(A23=Summary!$B$9,Summary!$G$9,0)</f>
        <v>0</v>
      </c>
      <c r="D23" s="134">
        <f>VLOOKUP(A23,AAFTE!$A:$S,3,0)</f>
        <v>741.18</v>
      </c>
      <c r="E23" s="20">
        <f>VLOOKUP($A23,'2022-23 Salary &amp; Benefits'!$A:$I,3,)</f>
        <v>1</v>
      </c>
      <c r="F23" s="20">
        <f>VLOOKUP($A23,'2022-23 Salary &amp; Benefits'!$A:$I,4,)</f>
        <v>1</v>
      </c>
      <c r="G23" s="34">
        <f>VLOOKUP(A23,'CEDARS District FRPL'!$A:$F,6,)</f>
        <v>0</v>
      </c>
      <c r="H23" s="25">
        <f t="shared" si="1"/>
        <v>741.18</v>
      </c>
      <c r="I23" s="39">
        <f t="shared" si="4"/>
        <v>0</v>
      </c>
      <c r="J23" s="24">
        <v>15</v>
      </c>
      <c r="K23" s="26">
        <f t="shared" si="2"/>
        <v>0</v>
      </c>
      <c r="L23" s="24">
        <v>2.3975</v>
      </c>
      <c r="M23" s="24">
        <v>36</v>
      </c>
      <c r="N23" s="27">
        <f t="shared" si="3"/>
        <v>0</v>
      </c>
      <c r="O23" s="102">
        <f t="shared" si="5"/>
        <v>0</v>
      </c>
      <c r="P23" s="21">
        <f>VLOOKUP(A23,'2022-23 Salary &amp; Benefits'!$A:$I,5,)</f>
        <v>68937</v>
      </c>
      <c r="Q23" s="21">
        <f>VLOOKUP(A23,'2022-23 Salary &amp; Benefits'!$A:$I,6,FALSE)</f>
        <v>72728</v>
      </c>
      <c r="R23" s="22">
        <f t="shared" si="6"/>
        <v>0</v>
      </c>
      <c r="S23" s="22">
        <f t="shared" si="7"/>
        <v>0</v>
      </c>
      <c r="T23" s="22">
        <f>'2022-23 Salary &amp; Benefits'!$G$6</f>
        <v>12558.24</v>
      </c>
      <c r="U23" s="23">
        <f>'2022-23 Salary &amp; Benefits'!$H$6</f>
        <v>0.2298</v>
      </c>
      <c r="V23" s="23">
        <f>'2022-23 Salary &amp; Benefits'!$I$6</f>
        <v>0.22339999999999999</v>
      </c>
      <c r="W23" s="22">
        <f t="shared" si="8"/>
        <v>0</v>
      </c>
      <c r="X23" s="22">
        <f t="shared" si="9"/>
        <v>0</v>
      </c>
      <c r="Y23" s="22">
        <f t="shared" si="10"/>
        <v>0</v>
      </c>
      <c r="Z23" s="22">
        <f t="shared" si="11"/>
        <v>0</v>
      </c>
      <c r="AA23" s="22">
        <f t="shared" si="12"/>
        <v>0</v>
      </c>
    </row>
    <row r="24" spans="1:27">
      <c r="A24" s="125" t="s">
        <v>2344</v>
      </c>
      <c r="B24" s="3" t="s">
        <v>534</v>
      </c>
      <c r="C24" s="93">
        <f>IF(A24=Summary!$B$9,Summary!$G$9,0)</f>
        <v>0</v>
      </c>
      <c r="D24" s="134">
        <f>VLOOKUP(A24,AAFTE!$A:$S,3,0)</f>
        <v>72.239999999999995</v>
      </c>
      <c r="E24" s="20">
        <f>VLOOKUP($A24,'2022-23 Salary &amp; Benefits'!$A:$I,3,)</f>
        <v>1</v>
      </c>
      <c r="F24" s="20">
        <f>VLOOKUP($A24,'2022-23 Salary &amp; Benefits'!$A:$I,4,)</f>
        <v>1</v>
      </c>
      <c r="G24" s="34">
        <f>VLOOKUP(A24,'CEDARS District FRPL'!$A:$F,6,)</f>
        <v>2.090000000000003E-2</v>
      </c>
      <c r="H24" s="25">
        <f t="shared" si="1"/>
        <v>72.239999999999995</v>
      </c>
      <c r="I24" s="39">
        <f t="shared" si="4"/>
        <v>1.51</v>
      </c>
      <c r="J24" s="24">
        <v>15</v>
      </c>
      <c r="K24" s="26">
        <f t="shared" si="2"/>
        <v>0.10066666666666667</v>
      </c>
      <c r="L24" s="24">
        <v>2.3975</v>
      </c>
      <c r="M24" s="24">
        <v>36</v>
      </c>
      <c r="N24" s="27">
        <f t="shared" si="3"/>
        <v>8.6885399999999997</v>
      </c>
      <c r="O24" s="102">
        <f t="shared" si="5"/>
        <v>0.01</v>
      </c>
      <c r="P24" s="21">
        <f>VLOOKUP(A24,'2022-23 Salary &amp; Benefits'!$A:$I,5,)</f>
        <v>68937</v>
      </c>
      <c r="Q24" s="21">
        <f>VLOOKUP(A24,'2022-23 Salary &amp; Benefits'!$A:$I,6,FALSE)</f>
        <v>72728</v>
      </c>
      <c r="R24" s="22">
        <f t="shared" si="6"/>
        <v>689.37</v>
      </c>
      <c r="S24" s="22">
        <f t="shared" si="7"/>
        <v>37.909999999999997</v>
      </c>
      <c r="T24" s="22">
        <f>'2022-23 Salary &amp; Benefits'!$G$6</f>
        <v>12558.24</v>
      </c>
      <c r="U24" s="23">
        <f>'2022-23 Salary &amp; Benefits'!$H$6</f>
        <v>0.2298</v>
      </c>
      <c r="V24" s="23">
        <f>'2022-23 Salary &amp; Benefits'!$I$6</f>
        <v>0.22339999999999999</v>
      </c>
      <c r="W24" s="22">
        <f t="shared" si="8"/>
        <v>292.47000000000003</v>
      </c>
      <c r="X24" s="22">
        <f t="shared" si="9"/>
        <v>12.12</v>
      </c>
      <c r="Y24" s="22">
        <f t="shared" si="10"/>
        <v>2.71</v>
      </c>
      <c r="Z24" s="22">
        <f t="shared" si="11"/>
        <v>14.829999999999998</v>
      </c>
      <c r="AA24" s="22">
        <f t="shared" si="12"/>
        <v>1034.58</v>
      </c>
    </row>
    <row r="25" spans="1:27">
      <c r="A25" s="125" t="s">
        <v>2461</v>
      </c>
      <c r="B25" s="3" t="s">
        <v>1546</v>
      </c>
      <c r="C25" s="93">
        <f>IF(A25=Summary!$B$9,Summary!$G$9,0)</f>
        <v>0</v>
      </c>
      <c r="D25" s="134">
        <f>VLOOKUP(A25,AAFTE!$A:$S,3,0)</f>
        <v>3269.27</v>
      </c>
      <c r="E25" s="20">
        <f>VLOOKUP($A25,'2022-23 Salary &amp; Benefits'!$A:$I,3,)</f>
        <v>1.1499999999999999</v>
      </c>
      <c r="F25" s="20">
        <f>VLOOKUP($A25,'2022-23 Salary &amp; Benefits'!$A:$I,4,)</f>
        <v>1.1499999999999999</v>
      </c>
      <c r="G25" s="34">
        <f>VLOOKUP(A25,'CEDARS District FRPL'!$A:$F,6,)</f>
        <v>0</v>
      </c>
      <c r="H25" s="25">
        <f t="shared" si="1"/>
        <v>3269.27</v>
      </c>
      <c r="I25" s="39">
        <f t="shared" si="4"/>
        <v>0</v>
      </c>
      <c r="J25" s="24">
        <v>15</v>
      </c>
      <c r="K25" s="26">
        <f t="shared" si="2"/>
        <v>0</v>
      </c>
      <c r="L25" s="24">
        <v>2.3975</v>
      </c>
      <c r="M25" s="24">
        <v>36</v>
      </c>
      <c r="N25" s="27">
        <f t="shared" si="3"/>
        <v>0</v>
      </c>
      <c r="O25" s="102">
        <f t="shared" si="5"/>
        <v>0</v>
      </c>
      <c r="P25" s="21">
        <f>VLOOKUP(A25,'2022-23 Salary &amp; Benefits'!$A:$I,5,)</f>
        <v>68937</v>
      </c>
      <c r="Q25" s="21">
        <f>VLOOKUP(A25,'2022-23 Salary &amp; Benefits'!$A:$I,6,FALSE)</f>
        <v>72728</v>
      </c>
      <c r="R25" s="22">
        <f t="shared" si="6"/>
        <v>0</v>
      </c>
      <c r="S25" s="22">
        <f t="shared" si="7"/>
        <v>0</v>
      </c>
      <c r="T25" s="22">
        <f>'2022-23 Salary &amp; Benefits'!$G$6</f>
        <v>12558.24</v>
      </c>
      <c r="U25" s="23">
        <f>'2022-23 Salary &amp; Benefits'!$H$6</f>
        <v>0.2298</v>
      </c>
      <c r="V25" s="23">
        <f>'2022-23 Salary &amp; Benefits'!$I$6</f>
        <v>0.22339999999999999</v>
      </c>
      <c r="W25" s="22">
        <f t="shared" si="8"/>
        <v>0</v>
      </c>
      <c r="X25" s="22">
        <f t="shared" si="9"/>
        <v>0</v>
      </c>
      <c r="Y25" s="22">
        <f t="shared" si="10"/>
        <v>0</v>
      </c>
      <c r="Z25" s="22">
        <f t="shared" si="11"/>
        <v>0</v>
      </c>
      <c r="AA25" s="22">
        <f t="shared" si="12"/>
        <v>0</v>
      </c>
    </row>
    <row r="26" spans="1:27">
      <c r="A26" s="125" t="s">
        <v>2289</v>
      </c>
      <c r="B26" s="3" t="s">
        <v>255</v>
      </c>
      <c r="C26" s="93">
        <f>IF(A26=Summary!$B$9,Summary!$G$9,0)</f>
        <v>0</v>
      </c>
      <c r="D26" s="134">
        <f>VLOOKUP(A26,AAFTE!$A:$S,3,0)</f>
        <v>7046.78</v>
      </c>
      <c r="E26" s="20">
        <f>VLOOKUP($A26,'2022-23 Salary &amp; Benefits'!$A:$I,3,)</f>
        <v>1.0900000000000001</v>
      </c>
      <c r="F26" s="20">
        <f>VLOOKUP($A26,'2022-23 Salary &amp; Benefits'!$A:$I,4,)</f>
        <v>1.0900000000000001</v>
      </c>
      <c r="G26" s="34">
        <f>VLOOKUP(A26,'CEDARS District FRPL'!$A:$F,6,)</f>
        <v>0</v>
      </c>
      <c r="H26" s="25">
        <f t="shared" si="1"/>
        <v>7046.78</v>
      </c>
      <c r="I26" s="39">
        <f t="shared" si="4"/>
        <v>0</v>
      </c>
      <c r="J26" s="24">
        <v>15</v>
      </c>
      <c r="K26" s="26">
        <f t="shared" si="2"/>
        <v>0</v>
      </c>
      <c r="L26" s="24">
        <v>2.3975</v>
      </c>
      <c r="M26" s="24">
        <v>36</v>
      </c>
      <c r="N26" s="27">
        <f t="shared" si="3"/>
        <v>0</v>
      </c>
      <c r="O26" s="102">
        <f t="shared" si="5"/>
        <v>0</v>
      </c>
      <c r="P26" s="21">
        <f>VLOOKUP(A26,'2022-23 Salary &amp; Benefits'!$A:$I,5,)</f>
        <v>68937</v>
      </c>
      <c r="Q26" s="21">
        <f>VLOOKUP(A26,'2022-23 Salary &amp; Benefits'!$A:$I,6,FALSE)</f>
        <v>72728</v>
      </c>
      <c r="R26" s="22">
        <f t="shared" si="6"/>
        <v>0</v>
      </c>
      <c r="S26" s="22">
        <f t="shared" si="7"/>
        <v>0</v>
      </c>
      <c r="T26" s="22">
        <f>'2022-23 Salary &amp; Benefits'!$G$6</f>
        <v>12558.24</v>
      </c>
      <c r="U26" s="23">
        <f>'2022-23 Salary &amp; Benefits'!$H$6</f>
        <v>0.2298</v>
      </c>
      <c r="V26" s="23">
        <f>'2022-23 Salary &amp; Benefits'!$I$6</f>
        <v>0.22339999999999999</v>
      </c>
      <c r="W26" s="22">
        <f t="shared" si="8"/>
        <v>0</v>
      </c>
      <c r="X26" s="22">
        <f t="shared" si="9"/>
        <v>0</v>
      </c>
      <c r="Y26" s="22">
        <f t="shared" si="10"/>
        <v>0</v>
      </c>
      <c r="Z26" s="22">
        <f t="shared" si="11"/>
        <v>0</v>
      </c>
      <c r="AA26" s="22">
        <f t="shared" si="12"/>
        <v>0</v>
      </c>
    </row>
    <row r="27" spans="1:27">
      <c r="A27" s="125" t="s">
        <v>2280</v>
      </c>
      <c r="B27" s="3" t="s">
        <v>153</v>
      </c>
      <c r="C27" s="93">
        <f>IF(A27=Summary!$B$9,Summary!$G$9,0)</f>
        <v>0</v>
      </c>
      <c r="D27" s="134">
        <f>VLOOKUP(A27,AAFTE!$A:$S,3,0)</f>
        <v>480.79</v>
      </c>
      <c r="E27" s="20">
        <f>VLOOKUP($A27,'2022-23 Salary &amp; Benefits'!$A:$I,3,)</f>
        <v>1</v>
      </c>
      <c r="F27" s="20">
        <f>VLOOKUP($A27,'2022-23 Salary &amp; Benefits'!$A:$I,4,)</f>
        <v>1</v>
      </c>
      <c r="G27" s="34">
        <f>VLOOKUP(A27,'CEDARS District FRPL'!$A:$F,6,)</f>
        <v>5.6200000000000028E-2</v>
      </c>
      <c r="H27" s="25">
        <f t="shared" si="1"/>
        <v>480.79</v>
      </c>
      <c r="I27" s="39">
        <f t="shared" si="4"/>
        <v>27.02</v>
      </c>
      <c r="J27" s="24">
        <v>15</v>
      </c>
      <c r="K27" s="26">
        <f t="shared" si="2"/>
        <v>1.8013333333333332</v>
      </c>
      <c r="L27" s="24">
        <v>2.3975</v>
      </c>
      <c r="M27" s="24">
        <v>36</v>
      </c>
      <c r="N27" s="27">
        <f t="shared" si="3"/>
        <v>155.47307999999998</v>
      </c>
      <c r="O27" s="102">
        <f t="shared" si="5"/>
        <v>0.17299999999999999</v>
      </c>
      <c r="P27" s="21">
        <f>VLOOKUP(A27,'2022-23 Salary &amp; Benefits'!$A:$I,5,)</f>
        <v>68937</v>
      </c>
      <c r="Q27" s="21">
        <f>VLOOKUP(A27,'2022-23 Salary &amp; Benefits'!$A:$I,6,FALSE)</f>
        <v>72728</v>
      </c>
      <c r="R27" s="22">
        <f t="shared" si="6"/>
        <v>11926.1</v>
      </c>
      <c r="S27" s="22">
        <f t="shared" si="7"/>
        <v>655.84</v>
      </c>
      <c r="T27" s="22">
        <f>'2022-23 Salary &amp; Benefits'!$G$6</f>
        <v>12558.24</v>
      </c>
      <c r="U27" s="23">
        <f>'2022-23 Salary &amp; Benefits'!$H$6</f>
        <v>0.2298</v>
      </c>
      <c r="V27" s="23">
        <f>'2022-23 Salary &amp; Benefits'!$I$6</f>
        <v>0.22339999999999999</v>
      </c>
      <c r="W27" s="22">
        <f t="shared" si="8"/>
        <v>5059.71</v>
      </c>
      <c r="X27" s="22">
        <f t="shared" si="9"/>
        <v>209.7</v>
      </c>
      <c r="Y27" s="22">
        <f t="shared" si="10"/>
        <v>46.85</v>
      </c>
      <c r="Z27" s="22">
        <f t="shared" si="11"/>
        <v>256.55</v>
      </c>
      <c r="AA27" s="22">
        <f t="shared" si="12"/>
        <v>17898.2</v>
      </c>
    </row>
    <row r="28" spans="1:27">
      <c r="A28" s="125" t="s">
        <v>2441</v>
      </c>
      <c r="B28" s="3" t="s">
        <v>1385</v>
      </c>
      <c r="C28" s="93">
        <f>IF(A28=Summary!$B$9,Summary!$G$9,0)</f>
        <v>0</v>
      </c>
      <c r="D28" s="134">
        <f>VLOOKUP(A28,AAFTE!$A:$S,3,0)</f>
        <v>177.35</v>
      </c>
      <c r="E28" s="20">
        <f>VLOOKUP($A28,'2022-23 Salary &amp; Benefits'!$A:$I,3,)</f>
        <v>1.06</v>
      </c>
      <c r="F28" s="20">
        <f>VLOOKUP($A28,'2022-23 Salary &amp; Benefits'!$A:$I,4,)</f>
        <v>1.1000000000000001</v>
      </c>
      <c r="G28" s="34">
        <f>VLOOKUP(A28,'CEDARS District FRPL'!$A:$F,6,)</f>
        <v>6.3200000000000006E-2</v>
      </c>
      <c r="H28" s="25">
        <f t="shared" si="1"/>
        <v>177.35</v>
      </c>
      <c r="I28" s="39">
        <f t="shared" si="4"/>
        <v>11.21</v>
      </c>
      <c r="J28" s="24">
        <v>15</v>
      </c>
      <c r="K28" s="26">
        <f t="shared" si="2"/>
        <v>0.7473333333333334</v>
      </c>
      <c r="L28" s="24">
        <v>2.3975</v>
      </c>
      <c r="M28" s="24">
        <v>36</v>
      </c>
      <c r="N28" s="27">
        <f t="shared" si="3"/>
        <v>64.502340000000004</v>
      </c>
      <c r="O28" s="102">
        <f t="shared" si="5"/>
        <v>7.1999999999999995E-2</v>
      </c>
      <c r="P28" s="21">
        <f>VLOOKUP(A28,'2022-23 Salary &amp; Benefits'!$A:$I,5,)</f>
        <v>68937</v>
      </c>
      <c r="Q28" s="21">
        <f>VLOOKUP(A28,'2022-23 Salary &amp; Benefits'!$A:$I,6,FALSE)</f>
        <v>72728</v>
      </c>
      <c r="R28" s="22">
        <f t="shared" si="6"/>
        <v>5261.27</v>
      </c>
      <c r="S28" s="22">
        <f t="shared" si="7"/>
        <v>498.79</v>
      </c>
      <c r="T28" s="22">
        <f>'2022-23 Salary &amp; Benefits'!$G$6</f>
        <v>12558.24</v>
      </c>
      <c r="U28" s="23">
        <f>'2022-23 Salary &amp; Benefits'!$H$6</f>
        <v>0.2298</v>
      </c>
      <c r="V28" s="23">
        <f>'2022-23 Salary &amp; Benefits'!$I$6</f>
        <v>0.22339999999999999</v>
      </c>
      <c r="W28" s="22">
        <f t="shared" si="8"/>
        <v>2224.66</v>
      </c>
      <c r="X28" s="22">
        <f t="shared" si="9"/>
        <v>96</v>
      </c>
      <c r="Y28" s="22">
        <f t="shared" si="10"/>
        <v>21.45</v>
      </c>
      <c r="Z28" s="22">
        <f t="shared" si="11"/>
        <v>117.45</v>
      </c>
      <c r="AA28" s="22">
        <f t="shared" si="12"/>
        <v>8102.17</v>
      </c>
    </row>
    <row r="29" spans="1:27">
      <c r="A29" s="59" t="s">
        <v>2275</v>
      </c>
      <c r="B29" s="59" t="s">
        <v>115</v>
      </c>
      <c r="C29" s="93">
        <f>IF(A29=Summary!$B$9,Summary!$G$9,0)</f>
        <v>0</v>
      </c>
      <c r="D29" s="134">
        <f>VLOOKUP(A29,AAFTE!$A:$S,3,0)</f>
        <v>1233.19</v>
      </c>
      <c r="E29" s="20">
        <f>VLOOKUP($A29,'2022-23 Salary &amp; Benefits'!$A:$I,3,)</f>
        <v>1</v>
      </c>
      <c r="F29" s="20">
        <f>VLOOKUP($A29,'2022-23 Salary &amp; Benefits'!$A:$I,4,)</f>
        <v>1</v>
      </c>
      <c r="G29" s="34">
        <f>VLOOKUP(A29,'CEDARS District FRPL'!$A:$F,6,)</f>
        <v>2.0999999999999963E-2</v>
      </c>
      <c r="H29" s="25">
        <f>IF(C29&gt;0,C29,D29)</f>
        <v>1233.19</v>
      </c>
      <c r="I29" s="39">
        <f t="shared" si="4"/>
        <v>25.9</v>
      </c>
      <c r="J29" s="24">
        <v>15</v>
      </c>
      <c r="K29" s="26">
        <f>I29/J29</f>
        <v>1.7266666666666666</v>
      </c>
      <c r="L29" s="24">
        <v>2.3975</v>
      </c>
      <c r="M29" s="24">
        <v>36</v>
      </c>
      <c r="N29" s="27">
        <f>K29*L29*M29</f>
        <v>149.02859999999998</v>
      </c>
      <c r="O29" s="102">
        <f t="shared" si="5"/>
        <v>0.16600000000000001</v>
      </c>
      <c r="P29" s="21">
        <f>VLOOKUP(A29,'2022-23 Salary &amp; Benefits'!$A:$I,5,)</f>
        <v>68937</v>
      </c>
      <c r="Q29" s="21">
        <f>VLOOKUP(A29,'2022-23 Salary &amp; Benefits'!$A:$I,6,FALSE)</f>
        <v>72728</v>
      </c>
      <c r="R29" s="22">
        <f t="shared" si="6"/>
        <v>11443.54</v>
      </c>
      <c r="S29" s="22">
        <f t="shared" si="7"/>
        <v>629.30999999999995</v>
      </c>
      <c r="T29" s="22">
        <f>'2022-23 Salary &amp; Benefits'!$G$6</f>
        <v>12558.24</v>
      </c>
      <c r="U29" s="23">
        <f>'2022-23 Salary &amp; Benefits'!$H$6</f>
        <v>0.2298</v>
      </c>
      <c r="V29" s="23">
        <f>'2022-23 Salary &amp; Benefits'!$I$6</f>
        <v>0.22339999999999999</v>
      </c>
      <c r="W29" s="22">
        <f t="shared" si="8"/>
        <v>4854.9799999999996</v>
      </c>
      <c r="X29" s="22">
        <f t="shared" si="9"/>
        <v>201.21</v>
      </c>
      <c r="Y29" s="22">
        <f t="shared" si="10"/>
        <v>44.95</v>
      </c>
      <c r="Z29" s="22">
        <f>SUM(X29:Y29)</f>
        <v>246.16000000000003</v>
      </c>
      <c r="AA29" s="22">
        <f>SUM(W29,R29:S29,Z29)</f>
        <v>17173.990000000002</v>
      </c>
    </row>
    <row r="30" spans="1:27">
      <c r="A30" s="125" t="s">
        <v>2274</v>
      </c>
      <c r="B30" s="3" t="s">
        <v>2585</v>
      </c>
      <c r="C30" s="93">
        <f>IF(A30=Summary!$B$9,Summary!$G$9,0)</f>
        <v>0</v>
      </c>
      <c r="D30" s="134">
        <f>VLOOKUP(A30,AAFTE!$A:$S,3,0)</f>
        <v>1563.24</v>
      </c>
      <c r="E30" s="20">
        <f>VLOOKUP($A30,'2022-23 Salary &amp; Benefits'!$A:$I,3,)</f>
        <v>1</v>
      </c>
      <c r="F30" s="20">
        <f>VLOOKUP($A30,'2022-23 Salary &amp; Benefits'!$A:$I,4,)</f>
        <v>1.04</v>
      </c>
      <c r="G30" s="34">
        <f>VLOOKUP(A30,'CEDARS District FRPL'!$A:$F,6,)</f>
        <v>1.5400000000000025E-2</v>
      </c>
      <c r="H30" s="25">
        <f t="shared" si="1"/>
        <v>1563.24</v>
      </c>
      <c r="I30" s="39">
        <f t="shared" si="4"/>
        <v>24.07</v>
      </c>
      <c r="J30" s="24">
        <v>15</v>
      </c>
      <c r="K30" s="26">
        <f t="shared" si="2"/>
        <v>1.6046666666666667</v>
      </c>
      <c r="L30" s="24">
        <v>2.3975</v>
      </c>
      <c r="M30" s="24">
        <v>36</v>
      </c>
      <c r="N30" s="27">
        <f t="shared" si="3"/>
        <v>138.49878000000001</v>
      </c>
      <c r="O30" s="102">
        <f t="shared" si="5"/>
        <v>0.154</v>
      </c>
      <c r="P30" s="21">
        <f>VLOOKUP(A30,'2022-23 Salary &amp; Benefits'!$A:$I,5,)</f>
        <v>68937</v>
      </c>
      <c r="Q30" s="21">
        <f>VLOOKUP(A30,'2022-23 Salary &amp; Benefits'!$A:$I,6,FALSE)</f>
        <v>72728</v>
      </c>
      <c r="R30" s="22">
        <f t="shared" si="6"/>
        <v>10616.3</v>
      </c>
      <c r="S30" s="22">
        <f t="shared" si="7"/>
        <v>1031.82</v>
      </c>
      <c r="T30" s="22">
        <f>'2022-23 Salary &amp; Benefits'!$G$6</f>
        <v>12558.24</v>
      </c>
      <c r="U30" s="23">
        <f>'2022-23 Salary &amp; Benefits'!$H$6</f>
        <v>0.2298</v>
      </c>
      <c r="V30" s="23">
        <f>'2022-23 Salary &amp; Benefits'!$I$6</f>
        <v>0.22339999999999999</v>
      </c>
      <c r="W30" s="22">
        <f t="shared" si="8"/>
        <v>4604.1000000000004</v>
      </c>
      <c r="X30" s="22">
        <f t="shared" si="9"/>
        <v>194.14</v>
      </c>
      <c r="Y30" s="22">
        <f t="shared" si="10"/>
        <v>43.37</v>
      </c>
      <c r="Z30" s="22">
        <f t="shared" si="11"/>
        <v>237.51</v>
      </c>
      <c r="AA30" s="22">
        <f t="shared" si="12"/>
        <v>16489.73</v>
      </c>
    </row>
    <row r="31" spans="1:27">
      <c r="A31" s="125" t="s">
        <v>2297</v>
      </c>
      <c r="B31" s="3" t="s">
        <v>314</v>
      </c>
      <c r="C31" s="93">
        <f>IF(A31=Summary!$B$9,Summary!$G$9,0)</f>
        <v>0</v>
      </c>
      <c r="D31" s="134">
        <f>VLOOKUP(A31,AAFTE!$A:$S,3,0)</f>
        <v>1402.43</v>
      </c>
      <c r="E31" s="20">
        <f>VLOOKUP($A31,'2022-23 Salary &amp; Benefits'!$A:$I,3,)</f>
        <v>1</v>
      </c>
      <c r="F31" s="20">
        <f>VLOOKUP($A31,'2022-23 Salary &amp; Benefits'!$A:$I,4,)</f>
        <v>1</v>
      </c>
      <c r="G31" s="34">
        <f>VLOOKUP(A31,'CEDARS District FRPL'!$A:$F,6,)</f>
        <v>7.6000000000000512E-3</v>
      </c>
      <c r="H31" s="25">
        <f t="shared" si="1"/>
        <v>1402.43</v>
      </c>
      <c r="I31" s="39">
        <f t="shared" si="4"/>
        <v>10.66</v>
      </c>
      <c r="J31" s="24">
        <v>15</v>
      </c>
      <c r="K31" s="26">
        <f t="shared" si="2"/>
        <v>0.71066666666666667</v>
      </c>
      <c r="L31" s="24">
        <v>2.3975</v>
      </c>
      <c r="M31" s="24">
        <v>36</v>
      </c>
      <c r="N31" s="27">
        <f t="shared" si="3"/>
        <v>61.337639999999993</v>
      </c>
      <c r="O31" s="102">
        <f t="shared" si="5"/>
        <v>6.8000000000000005E-2</v>
      </c>
      <c r="P31" s="21">
        <f>VLOOKUP(A31,'2022-23 Salary &amp; Benefits'!$A:$I,5,)</f>
        <v>68937</v>
      </c>
      <c r="Q31" s="21">
        <f>VLOOKUP(A31,'2022-23 Salary &amp; Benefits'!$A:$I,6,FALSE)</f>
        <v>72728</v>
      </c>
      <c r="R31" s="22">
        <f t="shared" si="6"/>
        <v>4687.72</v>
      </c>
      <c r="S31" s="22">
        <f t="shared" si="7"/>
        <v>257.77999999999997</v>
      </c>
      <c r="T31" s="22">
        <f>'2022-23 Salary &amp; Benefits'!$G$6</f>
        <v>12558.24</v>
      </c>
      <c r="U31" s="23">
        <f>'2022-23 Salary &amp; Benefits'!$H$6</f>
        <v>0.2298</v>
      </c>
      <c r="V31" s="23">
        <f>'2022-23 Salary &amp; Benefits'!$I$6</f>
        <v>0.22339999999999999</v>
      </c>
      <c r="W31" s="22">
        <f t="shared" si="8"/>
        <v>1988.79</v>
      </c>
      <c r="X31" s="22">
        <f t="shared" si="9"/>
        <v>82.43</v>
      </c>
      <c r="Y31" s="22">
        <f t="shared" si="10"/>
        <v>18.41</v>
      </c>
      <c r="Z31" s="22">
        <f t="shared" si="11"/>
        <v>100.84</v>
      </c>
      <c r="AA31" s="22">
        <f t="shared" si="12"/>
        <v>7035.13</v>
      </c>
    </row>
    <row r="32" spans="1:27">
      <c r="A32" s="125" t="s">
        <v>2856</v>
      </c>
      <c r="B32" s="3" t="s">
        <v>2869</v>
      </c>
      <c r="C32" s="93">
        <f>IF(A32=Summary!$B$9,Summary!$G$9,0)</f>
        <v>0</v>
      </c>
      <c r="D32" s="134">
        <f>VLOOKUP(A32,AAFTE!$A:$S,3,0)</f>
        <v>301.14</v>
      </c>
      <c r="E32" s="20">
        <f>VLOOKUP($A32,'2022-23 Salary &amp; Benefits'!$A:$I,3,)</f>
        <v>1.18</v>
      </c>
      <c r="F32" s="20">
        <f>VLOOKUP($A32,'2022-23 Salary &amp; Benefits'!$A:$I,4,)</f>
        <v>1.18</v>
      </c>
      <c r="G32" s="34">
        <f>VLOOKUP(A32,'CEDARS District FRPL'!$A:$F,6,)</f>
        <v>0</v>
      </c>
      <c r="H32" s="25">
        <f t="shared" si="1"/>
        <v>301.14</v>
      </c>
      <c r="I32" s="39">
        <f t="shared" si="4"/>
        <v>0</v>
      </c>
      <c r="J32" s="24">
        <v>15</v>
      </c>
      <c r="K32" s="26">
        <f t="shared" si="2"/>
        <v>0</v>
      </c>
      <c r="L32" s="24">
        <v>2.3975</v>
      </c>
      <c r="M32" s="24">
        <v>36</v>
      </c>
      <c r="N32" s="27">
        <f t="shared" si="3"/>
        <v>0</v>
      </c>
      <c r="O32" s="102">
        <f t="shared" si="5"/>
        <v>0</v>
      </c>
      <c r="P32" s="21">
        <f>VLOOKUP(A32,'2022-23 Salary &amp; Benefits'!$A:$I,5,)</f>
        <v>68937</v>
      </c>
      <c r="Q32" s="21">
        <f>VLOOKUP(A32,'2022-23 Salary &amp; Benefits'!$A:$I,6,FALSE)</f>
        <v>72728</v>
      </c>
      <c r="R32" s="22">
        <f t="shared" si="6"/>
        <v>0</v>
      </c>
      <c r="S32" s="22">
        <f t="shared" si="7"/>
        <v>0</v>
      </c>
      <c r="T32" s="22">
        <f>'2022-23 Salary &amp; Benefits'!$G$6</f>
        <v>12558.24</v>
      </c>
      <c r="U32" s="23">
        <f>'2022-23 Salary &amp; Benefits'!$H$6</f>
        <v>0.2298</v>
      </c>
      <c r="V32" s="23">
        <f>'2022-23 Salary &amp; Benefits'!$I$6</f>
        <v>0.22339999999999999</v>
      </c>
      <c r="W32" s="22">
        <f t="shared" si="8"/>
        <v>0</v>
      </c>
      <c r="X32" s="22">
        <f t="shared" si="9"/>
        <v>0</v>
      </c>
      <c r="Y32" s="22">
        <f t="shared" si="10"/>
        <v>0</v>
      </c>
      <c r="Z32" s="22">
        <f t="shared" si="11"/>
        <v>0</v>
      </c>
      <c r="AA32" s="22">
        <f t="shared" si="12"/>
        <v>0</v>
      </c>
    </row>
    <row r="33" spans="1:27">
      <c r="A33" s="59" t="s">
        <v>2385</v>
      </c>
      <c r="B33" s="59" t="s">
        <v>1108</v>
      </c>
      <c r="C33" s="93">
        <f>IF(A33=Summary!$B$9,Summary!$G$9,0)</f>
        <v>0</v>
      </c>
      <c r="D33" s="134">
        <f>VLOOKUP(A33,AAFTE!$A:$S,3,0)</f>
        <v>86</v>
      </c>
      <c r="E33" s="20">
        <f>VLOOKUP($A33,'2022-23 Salary &amp; Benefits'!$A:$I,3,)</f>
        <v>1</v>
      </c>
      <c r="F33" s="20">
        <f>VLOOKUP($A33,'2022-23 Salary &amp; Benefits'!$A:$I,4,)</f>
        <v>1.04</v>
      </c>
      <c r="G33" s="34">
        <f>VLOOKUP(A33,'CEDARS District FRPL'!$A:$F,6,)</f>
        <v>2.2999999999999965E-2</v>
      </c>
      <c r="H33" s="25">
        <f>IF(C33&gt;0,C33,D33)</f>
        <v>86</v>
      </c>
      <c r="I33" s="39">
        <f t="shared" si="4"/>
        <v>1.98</v>
      </c>
      <c r="J33" s="24">
        <v>15</v>
      </c>
      <c r="K33" s="26">
        <f>I33/J33</f>
        <v>0.13200000000000001</v>
      </c>
      <c r="L33" s="24">
        <v>2.3975</v>
      </c>
      <c r="M33" s="24">
        <v>36</v>
      </c>
      <c r="N33" s="27">
        <f>K33*L33*M33</f>
        <v>11.39292</v>
      </c>
      <c r="O33" s="102">
        <f t="shared" si="5"/>
        <v>1.2999999999999999E-2</v>
      </c>
      <c r="P33" s="21">
        <f>VLOOKUP(A33,'2022-23 Salary &amp; Benefits'!$A:$I,5,)</f>
        <v>68937</v>
      </c>
      <c r="Q33" s="21">
        <f>VLOOKUP(A33,'2022-23 Salary &amp; Benefits'!$A:$I,6,FALSE)</f>
        <v>72728</v>
      </c>
      <c r="R33" s="22">
        <f t="shared" si="6"/>
        <v>896.18</v>
      </c>
      <c r="S33" s="22">
        <f t="shared" si="7"/>
        <v>87.1</v>
      </c>
      <c r="T33" s="22">
        <f>'2022-23 Salary &amp; Benefits'!$G$6</f>
        <v>12558.24</v>
      </c>
      <c r="U33" s="23">
        <f>'2022-23 Salary &amp; Benefits'!$H$6</f>
        <v>0.2298</v>
      </c>
      <c r="V33" s="23">
        <f>'2022-23 Salary &amp; Benefits'!$I$6</f>
        <v>0.22339999999999999</v>
      </c>
      <c r="W33" s="22">
        <f t="shared" si="8"/>
        <v>388.66</v>
      </c>
      <c r="X33" s="22">
        <f t="shared" si="9"/>
        <v>16.39</v>
      </c>
      <c r="Y33" s="22">
        <f t="shared" si="10"/>
        <v>3.66</v>
      </c>
      <c r="Z33" s="22">
        <f>SUM(X33:Y33)</f>
        <v>20.05</v>
      </c>
      <c r="AA33" s="22">
        <f>SUM(W33,R33:S33,Z33)</f>
        <v>1391.9899999999998</v>
      </c>
    </row>
    <row r="34" spans="1:27">
      <c r="A34" s="125" t="s">
        <v>2374</v>
      </c>
      <c r="B34" s="3" t="s">
        <v>1050</v>
      </c>
      <c r="C34" s="93">
        <f>IF(A34=Summary!$B$9,Summary!$G$9,0)</f>
        <v>0</v>
      </c>
      <c r="D34" s="134">
        <f>VLOOKUP(A34,AAFTE!$A:$S,3,0)</f>
        <v>11131.92</v>
      </c>
      <c r="E34" s="20">
        <f>VLOOKUP($A34,'2022-23 Salary &amp; Benefits'!$A:$I,3,)</f>
        <v>1.18</v>
      </c>
      <c r="F34" s="20">
        <f>VLOOKUP($A34,'2022-23 Salary &amp; Benefits'!$A:$I,4,)</f>
        <v>1.18</v>
      </c>
      <c r="G34" s="34">
        <f>VLOOKUP(A34,'CEDARS District FRPL'!$A:$F,6,)</f>
        <v>1.5000000000000013E-2</v>
      </c>
      <c r="H34" s="25">
        <f t="shared" si="1"/>
        <v>11131.92</v>
      </c>
      <c r="I34" s="39">
        <f t="shared" si="4"/>
        <v>166.98</v>
      </c>
      <c r="J34" s="24">
        <v>15</v>
      </c>
      <c r="K34" s="26">
        <f t="shared" si="2"/>
        <v>11.132</v>
      </c>
      <c r="L34" s="24">
        <v>2.3975</v>
      </c>
      <c r="M34" s="24">
        <v>36</v>
      </c>
      <c r="N34" s="27">
        <f t="shared" si="3"/>
        <v>960.80291999999986</v>
      </c>
      <c r="O34" s="102">
        <f t="shared" si="5"/>
        <v>1.0680000000000001</v>
      </c>
      <c r="P34" s="21">
        <f>VLOOKUP(A34,'2022-23 Salary &amp; Benefits'!$A:$I,5,)</f>
        <v>68937</v>
      </c>
      <c r="Q34" s="21">
        <f>VLOOKUP(A34,'2022-23 Salary &amp; Benefits'!$A:$I,6,FALSE)</f>
        <v>72728</v>
      </c>
      <c r="R34" s="22">
        <f t="shared" si="6"/>
        <v>86877.16</v>
      </c>
      <c r="S34" s="22">
        <f t="shared" si="7"/>
        <v>4777.57</v>
      </c>
      <c r="T34" s="22">
        <f>'2022-23 Salary &amp; Benefits'!$G$6</f>
        <v>12558.24</v>
      </c>
      <c r="U34" s="23">
        <f>'2022-23 Salary &amp; Benefits'!$H$6</f>
        <v>0.2298</v>
      </c>
      <c r="V34" s="23">
        <f>'2022-23 Salary &amp; Benefits'!$I$6</f>
        <v>0.22339999999999999</v>
      </c>
      <c r="W34" s="22">
        <f t="shared" si="8"/>
        <v>34443.879999999997</v>
      </c>
      <c r="X34" s="22">
        <f t="shared" si="9"/>
        <v>1527.58</v>
      </c>
      <c r="Y34" s="22">
        <f t="shared" si="10"/>
        <v>341.26</v>
      </c>
      <c r="Z34" s="22">
        <f t="shared" si="11"/>
        <v>1868.84</v>
      </c>
      <c r="AA34" s="22">
        <f t="shared" si="12"/>
        <v>127967.45000000001</v>
      </c>
    </row>
    <row r="35" spans="1:27">
      <c r="A35" s="125" t="s">
        <v>2492</v>
      </c>
      <c r="B35" s="3" t="s">
        <v>1849</v>
      </c>
      <c r="C35" s="93">
        <f>IF(A35=Summary!$B$9,Summary!$G$9,0)</f>
        <v>0</v>
      </c>
      <c r="D35" s="134">
        <f>VLOOKUP(A35,AAFTE!$A:$S,3,0)</f>
        <v>14060.24</v>
      </c>
      <c r="E35" s="20">
        <f>VLOOKUP($A35,'2022-23 Salary &amp; Benefits'!$A:$I,3,)</f>
        <v>1</v>
      </c>
      <c r="F35" s="20">
        <f>VLOOKUP($A35,'2022-23 Salary &amp; Benefits'!$A:$I,4,)</f>
        <v>1</v>
      </c>
      <c r="G35" s="34">
        <f>VLOOKUP(A35,'CEDARS District FRPL'!$A:$F,6,)</f>
        <v>2.2199999999999998E-2</v>
      </c>
      <c r="H35" s="25">
        <f t="shared" si="1"/>
        <v>14060.24</v>
      </c>
      <c r="I35" s="39">
        <f t="shared" si="4"/>
        <v>312.14</v>
      </c>
      <c r="J35" s="24">
        <v>15</v>
      </c>
      <c r="K35" s="26">
        <f t="shared" si="2"/>
        <v>20.809333333333331</v>
      </c>
      <c r="L35" s="24">
        <v>2.3975</v>
      </c>
      <c r="M35" s="24">
        <v>36</v>
      </c>
      <c r="N35" s="27">
        <f t="shared" si="3"/>
        <v>1796.0535599999998</v>
      </c>
      <c r="O35" s="102">
        <f t="shared" si="5"/>
        <v>1.996</v>
      </c>
      <c r="P35" s="21">
        <f>VLOOKUP(A35,'2022-23 Salary &amp; Benefits'!$A:$I,5,)</f>
        <v>68937</v>
      </c>
      <c r="Q35" s="21">
        <f>VLOOKUP(A35,'2022-23 Salary &amp; Benefits'!$A:$I,6,FALSE)</f>
        <v>72728</v>
      </c>
      <c r="R35" s="22">
        <f t="shared" si="6"/>
        <v>137598.25</v>
      </c>
      <c r="S35" s="22">
        <f t="shared" si="7"/>
        <v>7566.84</v>
      </c>
      <c r="T35" s="22">
        <f>'2022-23 Salary &amp; Benefits'!$G$6</f>
        <v>12558.24</v>
      </c>
      <c r="U35" s="23">
        <f>'2022-23 Salary &amp; Benefits'!$H$6</f>
        <v>0.2298</v>
      </c>
      <c r="V35" s="23">
        <f>'2022-23 Salary &amp; Benefits'!$I$6</f>
        <v>0.22339999999999999</v>
      </c>
      <c r="W35" s="22">
        <f t="shared" si="8"/>
        <v>58376.76</v>
      </c>
      <c r="X35" s="22">
        <f t="shared" si="9"/>
        <v>2419.42</v>
      </c>
      <c r="Y35" s="22">
        <f t="shared" si="10"/>
        <v>540.5</v>
      </c>
      <c r="Z35" s="22">
        <f t="shared" si="11"/>
        <v>2959.92</v>
      </c>
      <c r="AA35" s="22">
        <f t="shared" si="12"/>
        <v>206501.77000000002</v>
      </c>
    </row>
    <row r="36" spans="1:27">
      <c r="A36" s="125" t="s">
        <v>2405</v>
      </c>
      <c r="B36" s="3" t="s">
        <v>1173</v>
      </c>
      <c r="C36" s="93">
        <f>IF(A36=Summary!$B$9,Summary!$G$9,0)</f>
        <v>0</v>
      </c>
      <c r="D36" s="134">
        <f>VLOOKUP(A36,AAFTE!$A:$S,3,0)</f>
        <v>3365.81</v>
      </c>
      <c r="E36" s="20">
        <f>VLOOKUP($A36,'2022-23 Salary &amp; Benefits'!$A:$I,3,)</f>
        <v>1</v>
      </c>
      <c r="F36" s="20">
        <f>VLOOKUP($A36,'2022-23 Salary &amp; Benefits'!$A:$I,4,)</f>
        <v>1</v>
      </c>
      <c r="G36" s="34">
        <f>VLOOKUP(A36,'CEDARS District FRPL'!$A:$F,6,)</f>
        <v>0</v>
      </c>
      <c r="H36" s="25">
        <f t="shared" si="1"/>
        <v>3365.81</v>
      </c>
      <c r="I36" s="39">
        <f t="shared" si="4"/>
        <v>0</v>
      </c>
      <c r="J36" s="24">
        <v>15</v>
      </c>
      <c r="K36" s="26">
        <f t="shared" si="2"/>
        <v>0</v>
      </c>
      <c r="L36" s="24">
        <v>2.3975</v>
      </c>
      <c r="M36" s="24">
        <v>36</v>
      </c>
      <c r="N36" s="27">
        <f t="shared" si="3"/>
        <v>0</v>
      </c>
      <c r="O36" s="102">
        <f t="shared" si="5"/>
        <v>0</v>
      </c>
      <c r="P36" s="21">
        <f>VLOOKUP(A36,'2022-23 Salary &amp; Benefits'!$A:$I,5,)</f>
        <v>68937</v>
      </c>
      <c r="Q36" s="21">
        <f>VLOOKUP(A36,'2022-23 Salary &amp; Benefits'!$A:$I,6,FALSE)</f>
        <v>72728</v>
      </c>
      <c r="R36" s="22">
        <f t="shared" si="6"/>
        <v>0</v>
      </c>
      <c r="S36" s="22">
        <f t="shared" si="7"/>
        <v>0</v>
      </c>
      <c r="T36" s="22">
        <f>'2022-23 Salary &amp; Benefits'!$G$6</f>
        <v>12558.24</v>
      </c>
      <c r="U36" s="23">
        <f>'2022-23 Salary &amp; Benefits'!$H$6</f>
        <v>0.2298</v>
      </c>
      <c r="V36" s="23">
        <f>'2022-23 Salary &amp; Benefits'!$I$6</f>
        <v>0.22339999999999999</v>
      </c>
      <c r="W36" s="22">
        <f t="shared" si="8"/>
        <v>0</v>
      </c>
      <c r="X36" s="22">
        <f t="shared" si="9"/>
        <v>0</v>
      </c>
      <c r="Y36" s="22">
        <f t="shared" si="10"/>
        <v>0</v>
      </c>
      <c r="Z36" s="22">
        <f t="shared" si="11"/>
        <v>0</v>
      </c>
      <c r="AA36" s="22">
        <f t="shared" si="12"/>
        <v>0</v>
      </c>
    </row>
    <row r="37" spans="1:27">
      <c r="A37" s="125" t="s">
        <v>2403</v>
      </c>
      <c r="B37" s="3" t="s">
        <v>1166</v>
      </c>
      <c r="C37" s="93">
        <f>IF(A37=Summary!$B$9,Summary!$G$9,0)</f>
        <v>0</v>
      </c>
      <c r="D37" s="134">
        <f>VLOOKUP(A37,AAFTE!$A:$S,3,0)</f>
        <v>2839.71</v>
      </c>
      <c r="E37" s="20">
        <f>VLOOKUP($A37,'2022-23 Salary &amp; Benefits'!$A:$I,3,)</f>
        <v>1</v>
      </c>
      <c r="F37" s="20">
        <f>VLOOKUP($A37,'2022-23 Salary &amp; Benefits'!$A:$I,4,)</f>
        <v>1.04</v>
      </c>
      <c r="G37" s="34">
        <f>VLOOKUP(A37,'CEDARS District FRPL'!$A:$F,6,)</f>
        <v>9.7999999999999754E-3</v>
      </c>
      <c r="H37" s="25">
        <f t="shared" si="1"/>
        <v>2839.71</v>
      </c>
      <c r="I37" s="39">
        <f t="shared" si="4"/>
        <v>27.83</v>
      </c>
      <c r="J37" s="24">
        <v>15</v>
      </c>
      <c r="K37" s="26">
        <f t="shared" si="2"/>
        <v>1.8553333333333333</v>
      </c>
      <c r="L37" s="24">
        <v>2.3975</v>
      </c>
      <c r="M37" s="24">
        <v>36</v>
      </c>
      <c r="N37" s="27">
        <f t="shared" si="3"/>
        <v>160.13381999999999</v>
      </c>
      <c r="O37" s="102">
        <f t="shared" si="5"/>
        <v>0.17799999999999999</v>
      </c>
      <c r="P37" s="21">
        <f>VLOOKUP(A37,'2022-23 Salary &amp; Benefits'!$A:$I,5,)</f>
        <v>68937</v>
      </c>
      <c r="Q37" s="21">
        <f>VLOOKUP(A37,'2022-23 Salary &amp; Benefits'!$A:$I,6,FALSE)</f>
        <v>72728</v>
      </c>
      <c r="R37" s="22">
        <f t="shared" si="6"/>
        <v>12270.79</v>
      </c>
      <c r="S37" s="22">
        <f t="shared" si="7"/>
        <v>1192.6199999999999</v>
      </c>
      <c r="T37" s="22">
        <f>'2022-23 Salary &amp; Benefits'!$G$6</f>
        <v>12558.24</v>
      </c>
      <c r="U37" s="23">
        <f>'2022-23 Salary &amp; Benefits'!$H$6</f>
        <v>0.2298</v>
      </c>
      <c r="V37" s="23">
        <f>'2022-23 Salary &amp; Benefits'!$I$6</f>
        <v>0.22339999999999999</v>
      </c>
      <c r="W37" s="22">
        <f t="shared" si="8"/>
        <v>5321.63</v>
      </c>
      <c r="X37" s="22">
        <f t="shared" si="9"/>
        <v>224.39</v>
      </c>
      <c r="Y37" s="22">
        <f t="shared" si="10"/>
        <v>50.13</v>
      </c>
      <c r="Z37" s="22">
        <f t="shared" si="11"/>
        <v>274.52</v>
      </c>
      <c r="AA37" s="22">
        <f t="shared" si="12"/>
        <v>19059.560000000001</v>
      </c>
    </row>
    <row r="38" spans="1:27">
      <c r="A38" s="125" t="s">
        <v>2494</v>
      </c>
      <c r="B38" s="3" t="s">
        <v>1875</v>
      </c>
      <c r="C38" s="93">
        <f>IF(A38=Summary!$B$9,Summary!$G$9,0)</f>
        <v>0</v>
      </c>
      <c r="D38" s="134">
        <f>VLOOKUP(A38,AAFTE!$A:$S,3,0)</f>
        <v>5161.33</v>
      </c>
      <c r="E38" s="20">
        <f>VLOOKUP($A38,'2022-23 Salary &amp; Benefits'!$A:$I,3,)</f>
        <v>1</v>
      </c>
      <c r="F38" s="20">
        <f>VLOOKUP($A38,'2022-23 Salary &amp; Benefits'!$A:$I,4,)</f>
        <v>1</v>
      </c>
      <c r="G38" s="34">
        <f>VLOOKUP(A38,'CEDARS District FRPL'!$A:$F,6,)</f>
        <v>4.1100000000000025E-2</v>
      </c>
      <c r="H38" s="25">
        <f t="shared" si="1"/>
        <v>5161.33</v>
      </c>
      <c r="I38" s="39">
        <f t="shared" si="4"/>
        <v>212.13</v>
      </c>
      <c r="J38" s="24">
        <v>15</v>
      </c>
      <c r="K38" s="26">
        <f t="shared" si="2"/>
        <v>14.141999999999999</v>
      </c>
      <c r="L38" s="24">
        <v>2.3975</v>
      </c>
      <c r="M38" s="24">
        <v>36</v>
      </c>
      <c r="N38" s="27">
        <f t="shared" si="3"/>
        <v>1220.59602</v>
      </c>
      <c r="O38" s="102">
        <f t="shared" si="5"/>
        <v>1.3560000000000001</v>
      </c>
      <c r="P38" s="21">
        <f>VLOOKUP(A38,'2022-23 Salary &amp; Benefits'!$A:$I,5,)</f>
        <v>68937</v>
      </c>
      <c r="Q38" s="21">
        <f>VLOOKUP(A38,'2022-23 Salary &amp; Benefits'!$A:$I,6,FALSE)</f>
        <v>72728</v>
      </c>
      <c r="R38" s="22">
        <f t="shared" si="6"/>
        <v>93478.57</v>
      </c>
      <c r="S38" s="22">
        <f t="shared" si="7"/>
        <v>5140.6000000000004</v>
      </c>
      <c r="T38" s="22">
        <f>'2022-23 Salary &amp; Benefits'!$G$6</f>
        <v>12558.24</v>
      </c>
      <c r="U38" s="23">
        <f>'2022-23 Salary &amp; Benefits'!$H$6</f>
        <v>0.2298</v>
      </c>
      <c r="V38" s="23">
        <f>'2022-23 Salary &amp; Benefits'!$I$6</f>
        <v>0.22339999999999999</v>
      </c>
      <c r="W38" s="22">
        <f t="shared" si="8"/>
        <v>39658.76</v>
      </c>
      <c r="X38" s="22">
        <f t="shared" si="9"/>
        <v>1643.65</v>
      </c>
      <c r="Y38" s="22">
        <f t="shared" si="10"/>
        <v>367.19</v>
      </c>
      <c r="Z38" s="22">
        <f t="shared" si="11"/>
        <v>2010.8400000000001</v>
      </c>
      <c r="AA38" s="22">
        <f t="shared" si="12"/>
        <v>140288.77000000002</v>
      </c>
    </row>
    <row r="39" spans="1:27">
      <c r="A39" s="125" t="s">
        <v>2504</v>
      </c>
      <c r="B39" s="3" t="s">
        <v>1925</v>
      </c>
      <c r="C39" s="93">
        <f>IF(A39=Summary!$B$9,Summary!$G$9,0)</f>
        <v>0</v>
      </c>
      <c r="D39" s="134">
        <f>VLOOKUP(A39,AAFTE!$A:$S,3,0)</f>
        <v>767.63</v>
      </c>
      <c r="E39" s="20">
        <f>VLOOKUP($A39,'2022-23 Salary &amp; Benefits'!$A:$I,3,)</f>
        <v>1</v>
      </c>
      <c r="F39" s="20">
        <f>VLOOKUP($A39,'2022-23 Salary &amp; Benefits'!$A:$I,4,)</f>
        <v>1</v>
      </c>
      <c r="G39" s="34">
        <f>VLOOKUP(A39,'CEDARS District FRPL'!$A:$F,6,)</f>
        <v>0</v>
      </c>
      <c r="H39" s="25">
        <f t="shared" si="1"/>
        <v>767.63</v>
      </c>
      <c r="I39" s="39">
        <f t="shared" si="4"/>
        <v>0</v>
      </c>
      <c r="J39" s="24">
        <v>15</v>
      </c>
      <c r="K39" s="26">
        <f t="shared" si="2"/>
        <v>0</v>
      </c>
      <c r="L39" s="24">
        <v>2.3975</v>
      </c>
      <c r="M39" s="24">
        <v>36</v>
      </c>
      <c r="N39" s="27">
        <f t="shared" si="3"/>
        <v>0</v>
      </c>
      <c r="O39" s="102">
        <f t="shared" si="5"/>
        <v>0</v>
      </c>
      <c r="P39" s="21">
        <f>VLOOKUP(A39,'2022-23 Salary &amp; Benefits'!$A:$I,5,)</f>
        <v>68937</v>
      </c>
      <c r="Q39" s="21">
        <f>VLOOKUP(A39,'2022-23 Salary &amp; Benefits'!$A:$I,6,FALSE)</f>
        <v>72728</v>
      </c>
      <c r="R39" s="22">
        <f t="shared" si="6"/>
        <v>0</v>
      </c>
      <c r="S39" s="22">
        <f t="shared" si="7"/>
        <v>0</v>
      </c>
      <c r="T39" s="22">
        <f>'2022-23 Salary &amp; Benefits'!$G$6</f>
        <v>12558.24</v>
      </c>
      <c r="U39" s="23">
        <f>'2022-23 Salary &amp; Benefits'!$H$6</f>
        <v>0.2298</v>
      </c>
      <c r="V39" s="23">
        <f>'2022-23 Salary &amp; Benefits'!$I$6</f>
        <v>0.22339999999999999</v>
      </c>
      <c r="W39" s="22">
        <f t="shared" si="8"/>
        <v>0</v>
      </c>
      <c r="X39" s="22">
        <f t="shared" si="9"/>
        <v>0</v>
      </c>
      <c r="Y39" s="22">
        <f t="shared" si="10"/>
        <v>0</v>
      </c>
      <c r="Z39" s="22">
        <f t="shared" si="11"/>
        <v>0</v>
      </c>
      <c r="AA39" s="22">
        <f t="shared" si="12"/>
        <v>0</v>
      </c>
    </row>
    <row r="40" spans="1:27">
      <c r="A40" s="125" t="s">
        <v>2762</v>
      </c>
      <c r="B40" s="106" t="s">
        <v>2964</v>
      </c>
      <c r="C40" s="93">
        <f>IF(A40=Summary!$B$9,Summary!$G$9,0)</f>
        <v>0</v>
      </c>
      <c r="D40" s="134">
        <f>VLOOKUP(A40,AAFTE!$A:$S,3,0)</f>
        <v>580.71</v>
      </c>
      <c r="E40" s="20">
        <f>VLOOKUP($A40,'2022-23 Salary &amp; Benefits'!$A:$I,3,)</f>
        <v>1.06</v>
      </c>
      <c r="F40" s="20">
        <f>VLOOKUP($A40,'2022-23 Salary &amp; Benefits'!$A:$I,4,)</f>
        <v>1.06</v>
      </c>
      <c r="G40" s="34">
        <f>VLOOKUP(A40,'CEDARS District FRPL'!$A:$F,6,)</f>
        <v>0</v>
      </c>
      <c r="H40" s="25">
        <f t="shared" si="1"/>
        <v>580.71</v>
      </c>
      <c r="I40" s="39">
        <f t="shared" si="4"/>
        <v>0</v>
      </c>
      <c r="J40" s="24">
        <v>15</v>
      </c>
      <c r="K40" s="26">
        <f t="shared" si="2"/>
        <v>0</v>
      </c>
      <c r="L40" s="24">
        <v>2.3975</v>
      </c>
      <c r="M40" s="24">
        <v>36</v>
      </c>
      <c r="N40" s="27">
        <f t="shared" si="3"/>
        <v>0</v>
      </c>
      <c r="O40" s="102">
        <f t="shared" si="5"/>
        <v>0</v>
      </c>
      <c r="P40" s="21">
        <f>VLOOKUP(A40,'2022-23 Salary &amp; Benefits'!$A:$I,5,)</f>
        <v>68937</v>
      </c>
      <c r="Q40" s="21">
        <f>VLOOKUP(A40,'2022-23 Salary &amp; Benefits'!$A:$I,6,FALSE)</f>
        <v>72728</v>
      </c>
      <c r="R40" s="22">
        <f t="shared" si="6"/>
        <v>0</v>
      </c>
      <c r="S40" s="22">
        <f t="shared" si="7"/>
        <v>0</v>
      </c>
      <c r="T40" s="22">
        <f>'2022-23 Salary &amp; Benefits'!$G$6</f>
        <v>12558.24</v>
      </c>
      <c r="U40" s="23">
        <f>'2022-23 Salary &amp; Benefits'!$H$6</f>
        <v>0.2298</v>
      </c>
      <c r="V40" s="23">
        <f>'2022-23 Salary &amp; Benefits'!$I$6</f>
        <v>0.22339999999999999</v>
      </c>
      <c r="W40" s="22">
        <f t="shared" si="8"/>
        <v>0</v>
      </c>
      <c r="X40" s="22">
        <f t="shared" si="9"/>
        <v>0</v>
      </c>
      <c r="Y40" s="22">
        <f t="shared" si="10"/>
        <v>0</v>
      </c>
      <c r="Z40" s="22">
        <f t="shared" si="11"/>
        <v>0</v>
      </c>
      <c r="AA40" s="22">
        <f t="shared" si="12"/>
        <v>0</v>
      </c>
    </row>
    <row r="41" spans="1:27">
      <c r="A41" s="125" t="s">
        <v>2346</v>
      </c>
      <c r="B41" s="3" t="s">
        <v>539</v>
      </c>
      <c r="C41" s="93">
        <f>IF(A41=Summary!$B$9,Summary!$G$9,0)</f>
        <v>0</v>
      </c>
      <c r="D41" s="134">
        <f>VLOOKUP(A41,AAFTE!$A:$S,3,0)</f>
        <v>673.68</v>
      </c>
      <c r="E41" s="20">
        <f>VLOOKUP($A41,'2022-23 Salary &amp; Benefits'!$A:$I,3,)</f>
        <v>1.1200000000000001</v>
      </c>
      <c r="F41" s="20">
        <f>VLOOKUP($A41,'2022-23 Salary &amp; Benefits'!$A:$I,4,)</f>
        <v>1.1200000000000001</v>
      </c>
      <c r="G41" s="34">
        <f>VLOOKUP(A41,'CEDARS District FRPL'!$A:$F,6,)</f>
        <v>0</v>
      </c>
      <c r="H41" s="25">
        <f t="shared" si="1"/>
        <v>673.68</v>
      </c>
      <c r="I41" s="39">
        <f t="shared" si="4"/>
        <v>0</v>
      </c>
      <c r="J41" s="24">
        <v>15</v>
      </c>
      <c r="K41" s="26">
        <f t="shared" si="2"/>
        <v>0</v>
      </c>
      <c r="L41" s="24">
        <v>2.3975</v>
      </c>
      <c r="M41" s="24">
        <v>36</v>
      </c>
      <c r="N41" s="27">
        <f t="shared" si="3"/>
        <v>0</v>
      </c>
      <c r="O41" s="102">
        <f t="shared" si="5"/>
        <v>0</v>
      </c>
      <c r="P41" s="21">
        <f>VLOOKUP(A41,'2022-23 Salary &amp; Benefits'!$A:$I,5,)</f>
        <v>68937</v>
      </c>
      <c r="Q41" s="21">
        <f>VLOOKUP(A41,'2022-23 Salary &amp; Benefits'!$A:$I,6,FALSE)</f>
        <v>72728</v>
      </c>
      <c r="R41" s="22">
        <f t="shared" si="6"/>
        <v>0</v>
      </c>
      <c r="S41" s="22">
        <f t="shared" si="7"/>
        <v>0</v>
      </c>
      <c r="T41" s="22">
        <f>'2022-23 Salary &amp; Benefits'!$G$6</f>
        <v>12558.24</v>
      </c>
      <c r="U41" s="23">
        <f>'2022-23 Salary &amp; Benefits'!$H$6</f>
        <v>0.2298</v>
      </c>
      <c r="V41" s="23">
        <f>'2022-23 Salary &amp; Benefits'!$I$6</f>
        <v>0.22339999999999999</v>
      </c>
      <c r="W41" s="22">
        <f t="shared" si="8"/>
        <v>0</v>
      </c>
      <c r="X41" s="22">
        <f t="shared" si="9"/>
        <v>0</v>
      </c>
      <c r="Y41" s="22">
        <f t="shared" si="10"/>
        <v>0</v>
      </c>
      <c r="Z41" s="22">
        <f t="shared" si="11"/>
        <v>0</v>
      </c>
      <c r="AA41" s="22">
        <f t="shared" si="12"/>
        <v>0</v>
      </c>
    </row>
    <row r="42" spans="1:27">
      <c r="A42" s="125" t="s">
        <v>2262</v>
      </c>
      <c r="B42" s="3" t="s">
        <v>20</v>
      </c>
      <c r="C42" s="93">
        <f>IF(A42=Summary!$B$9,Summary!$G$9,0)</f>
        <v>0</v>
      </c>
      <c r="D42" s="134">
        <f>VLOOKUP(A42,AAFTE!$A:$S,3,0)</f>
        <v>2431.79</v>
      </c>
      <c r="E42" s="20">
        <f>VLOOKUP($A42,'2022-23 Salary &amp; Benefits'!$A:$I,3,)</f>
        <v>1</v>
      </c>
      <c r="F42" s="20">
        <f>VLOOKUP($A42,'2022-23 Salary &amp; Benefits'!$A:$I,4,)</f>
        <v>1</v>
      </c>
      <c r="G42" s="34">
        <f>VLOOKUP(A42,'CEDARS District FRPL'!$A:$F,6,)</f>
        <v>1.9100000000000006E-2</v>
      </c>
      <c r="H42" s="25">
        <f t="shared" si="1"/>
        <v>2431.79</v>
      </c>
      <c r="I42" s="39">
        <f t="shared" si="4"/>
        <v>46.45</v>
      </c>
      <c r="J42" s="24">
        <v>15</v>
      </c>
      <c r="K42" s="26">
        <f t="shared" si="2"/>
        <v>3.0966666666666667</v>
      </c>
      <c r="L42" s="24">
        <v>2.3975</v>
      </c>
      <c r="M42" s="24">
        <v>36</v>
      </c>
      <c r="N42" s="27">
        <f t="shared" si="3"/>
        <v>267.27330000000001</v>
      </c>
      <c r="O42" s="102">
        <f t="shared" si="5"/>
        <v>0.29699999999999999</v>
      </c>
      <c r="P42" s="21">
        <f>VLOOKUP(A42,'2022-23 Salary &amp; Benefits'!$A:$I,5,)</f>
        <v>68937</v>
      </c>
      <c r="Q42" s="21">
        <f>VLOOKUP(A42,'2022-23 Salary &amp; Benefits'!$A:$I,6,FALSE)</f>
        <v>72728</v>
      </c>
      <c r="R42" s="22">
        <f t="shared" si="6"/>
        <v>20474.29</v>
      </c>
      <c r="S42" s="22">
        <f t="shared" si="7"/>
        <v>1125.93</v>
      </c>
      <c r="T42" s="22">
        <f>'2022-23 Salary &amp; Benefits'!$G$6</f>
        <v>12558.24</v>
      </c>
      <c r="U42" s="23">
        <f>'2022-23 Salary &amp; Benefits'!$H$6</f>
        <v>0.2298</v>
      </c>
      <c r="V42" s="23">
        <f>'2022-23 Salary &amp; Benefits'!$I$6</f>
        <v>0.22339999999999999</v>
      </c>
      <c r="W42" s="22">
        <f t="shared" si="8"/>
        <v>8686.32</v>
      </c>
      <c r="X42" s="22">
        <f t="shared" si="9"/>
        <v>360</v>
      </c>
      <c r="Y42" s="22">
        <f t="shared" si="10"/>
        <v>80.42</v>
      </c>
      <c r="Z42" s="22">
        <f t="shared" si="11"/>
        <v>440.42</v>
      </c>
      <c r="AA42" s="22">
        <f t="shared" si="12"/>
        <v>30726.959999999999</v>
      </c>
    </row>
    <row r="43" spans="1:27">
      <c r="A43" s="125" t="s">
        <v>2382</v>
      </c>
      <c r="B43" s="3" t="s">
        <v>1099</v>
      </c>
      <c r="C43" s="93">
        <f>IF(A43=Summary!$B$9,Summary!$G$9,0)</f>
        <v>0</v>
      </c>
      <c r="D43" s="134">
        <f>VLOOKUP(A43,AAFTE!$A:$S,3,0)</f>
        <v>881.17</v>
      </c>
      <c r="E43" s="20">
        <f>VLOOKUP($A43,'2022-23 Salary &amp; Benefits'!$A:$I,3,)</f>
        <v>1</v>
      </c>
      <c r="F43" s="20">
        <f>VLOOKUP($A43,'2022-23 Salary &amp; Benefits'!$A:$I,4,)</f>
        <v>1</v>
      </c>
      <c r="G43" s="34">
        <f>VLOOKUP(A43,'CEDARS District FRPL'!$A:$F,6,)</f>
        <v>5.1900000000000002E-2</v>
      </c>
      <c r="H43" s="25">
        <f t="shared" si="1"/>
        <v>881.17</v>
      </c>
      <c r="I43" s="39">
        <f t="shared" si="4"/>
        <v>45.73</v>
      </c>
      <c r="J43" s="24">
        <v>15</v>
      </c>
      <c r="K43" s="26">
        <f t="shared" si="2"/>
        <v>3.0486666666666666</v>
      </c>
      <c r="L43" s="24">
        <v>2.3975</v>
      </c>
      <c r="M43" s="24">
        <v>36</v>
      </c>
      <c r="N43" s="27">
        <f t="shared" si="3"/>
        <v>263.13042000000002</v>
      </c>
      <c r="O43" s="102">
        <f t="shared" si="5"/>
        <v>0.29199999999999998</v>
      </c>
      <c r="P43" s="21">
        <f>VLOOKUP(A43,'2022-23 Salary &amp; Benefits'!$A:$I,5,)</f>
        <v>68937</v>
      </c>
      <c r="Q43" s="21">
        <f>VLOOKUP(A43,'2022-23 Salary &amp; Benefits'!$A:$I,6,FALSE)</f>
        <v>72728</v>
      </c>
      <c r="R43" s="22">
        <f t="shared" si="6"/>
        <v>20129.599999999999</v>
      </c>
      <c r="S43" s="22">
        <f t="shared" si="7"/>
        <v>1106.98</v>
      </c>
      <c r="T43" s="22">
        <f>'2022-23 Salary &amp; Benefits'!$G$6</f>
        <v>12558.24</v>
      </c>
      <c r="U43" s="23">
        <f>'2022-23 Salary &amp; Benefits'!$H$6</f>
        <v>0.2298</v>
      </c>
      <c r="V43" s="23">
        <f>'2022-23 Salary &amp; Benefits'!$I$6</f>
        <v>0.22339999999999999</v>
      </c>
      <c r="W43" s="22">
        <f t="shared" si="8"/>
        <v>8540.09</v>
      </c>
      <c r="X43" s="22">
        <f t="shared" si="9"/>
        <v>353.94</v>
      </c>
      <c r="Y43" s="22">
        <f t="shared" si="10"/>
        <v>79.069999999999993</v>
      </c>
      <c r="Z43" s="22">
        <f t="shared" si="11"/>
        <v>433.01</v>
      </c>
      <c r="AA43" s="22">
        <f t="shared" si="12"/>
        <v>30209.679999999997</v>
      </c>
    </row>
    <row r="44" spans="1:27">
      <c r="A44" s="125" t="s">
        <v>2446</v>
      </c>
      <c r="B44" s="3" t="s">
        <v>1418</v>
      </c>
      <c r="C44" s="93">
        <f>IF(A44=Summary!$B$9,Summary!$G$9,0)</f>
        <v>0</v>
      </c>
      <c r="D44" s="134">
        <f>VLOOKUP(A44,AAFTE!$A:$S,3,0)</f>
        <v>11989.59</v>
      </c>
      <c r="E44" s="20">
        <f>VLOOKUP($A44,'2022-23 Salary &amp; Benefits'!$A:$I,3,)</f>
        <v>1.06</v>
      </c>
      <c r="F44" s="20">
        <f>VLOOKUP($A44,'2022-23 Salary &amp; Benefits'!$A:$I,4,)</f>
        <v>1.06</v>
      </c>
      <c r="G44" s="34">
        <f>VLOOKUP(A44,'CEDARS District FRPL'!$A:$F,6,)</f>
        <v>0</v>
      </c>
      <c r="H44" s="25">
        <f t="shared" si="1"/>
        <v>11989.59</v>
      </c>
      <c r="I44" s="39">
        <f t="shared" si="4"/>
        <v>0</v>
      </c>
      <c r="J44" s="24">
        <v>15</v>
      </c>
      <c r="K44" s="26">
        <f t="shared" si="2"/>
        <v>0</v>
      </c>
      <c r="L44" s="24">
        <v>2.3975</v>
      </c>
      <c r="M44" s="24">
        <v>36</v>
      </c>
      <c r="N44" s="27">
        <f t="shared" si="3"/>
        <v>0</v>
      </c>
      <c r="O44" s="102">
        <f t="shared" si="5"/>
        <v>0</v>
      </c>
      <c r="P44" s="21">
        <f>VLOOKUP(A44,'2022-23 Salary &amp; Benefits'!$A:$I,5,)</f>
        <v>68937</v>
      </c>
      <c r="Q44" s="21">
        <f>VLOOKUP(A44,'2022-23 Salary &amp; Benefits'!$A:$I,6,FALSE)</f>
        <v>72728</v>
      </c>
      <c r="R44" s="22">
        <f t="shared" si="6"/>
        <v>0</v>
      </c>
      <c r="S44" s="22">
        <f t="shared" si="7"/>
        <v>0</v>
      </c>
      <c r="T44" s="22">
        <f>'2022-23 Salary &amp; Benefits'!$G$6</f>
        <v>12558.24</v>
      </c>
      <c r="U44" s="23">
        <f>'2022-23 Salary &amp; Benefits'!$H$6</f>
        <v>0.2298</v>
      </c>
      <c r="V44" s="23">
        <f>'2022-23 Salary &amp; Benefits'!$I$6</f>
        <v>0.22339999999999999</v>
      </c>
      <c r="W44" s="22">
        <f t="shared" si="8"/>
        <v>0</v>
      </c>
      <c r="X44" s="22">
        <f t="shared" si="9"/>
        <v>0</v>
      </c>
      <c r="Y44" s="22">
        <f t="shared" si="10"/>
        <v>0</v>
      </c>
      <c r="Z44" s="22">
        <f t="shared" si="11"/>
        <v>0</v>
      </c>
      <c r="AA44" s="22">
        <f t="shared" si="12"/>
        <v>0</v>
      </c>
    </row>
    <row r="45" spans="1:27">
      <c r="A45" s="125" t="s">
        <v>2544</v>
      </c>
      <c r="B45" s="3" t="s">
        <v>2140</v>
      </c>
      <c r="C45" s="93">
        <f>IF(A45=Summary!$B$9,Summary!$G$9,0)</f>
        <v>0</v>
      </c>
      <c r="D45" s="134">
        <f>VLOOKUP(A45,AAFTE!$A:$S,3,0)</f>
        <v>515.82000000000005</v>
      </c>
      <c r="E45" s="20">
        <f>VLOOKUP($A45,'2022-23 Salary &amp; Benefits'!$A:$I,3,)</f>
        <v>1</v>
      </c>
      <c r="F45" s="20">
        <f>VLOOKUP($A45,'2022-23 Salary &amp; Benefits'!$A:$I,4,)</f>
        <v>1</v>
      </c>
      <c r="G45" s="34">
        <f>VLOOKUP(A45,'CEDARS District FRPL'!$A:$F,6,)</f>
        <v>0</v>
      </c>
      <c r="H45" s="25">
        <f t="shared" si="1"/>
        <v>515.82000000000005</v>
      </c>
      <c r="I45" s="39">
        <f t="shared" si="4"/>
        <v>0</v>
      </c>
      <c r="J45" s="24">
        <v>15</v>
      </c>
      <c r="K45" s="26">
        <f t="shared" si="2"/>
        <v>0</v>
      </c>
      <c r="L45" s="24">
        <v>2.3975</v>
      </c>
      <c r="M45" s="24">
        <v>36</v>
      </c>
      <c r="N45" s="27">
        <f t="shared" si="3"/>
        <v>0</v>
      </c>
      <c r="O45" s="102">
        <f t="shared" si="5"/>
        <v>0</v>
      </c>
      <c r="P45" s="21">
        <f>VLOOKUP(A45,'2022-23 Salary &amp; Benefits'!$A:$I,5,)</f>
        <v>68937</v>
      </c>
      <c r="Q45" s="21">
        <f>VLOOKUP(A45,'2022-23 Salary &amp; Benefits'!$A:$I,6,FALSE)</f>
        <v>72728</v>
      </c>
      <c r="R45" s="22">
        <f t="shared" si="6"/>
        <v>0</v>
      </c>
      <c r="S45" s="22">
        <f t="shared" si="7"/>
        <v>0</v>
      </c>
      <c r="T45" s="22">
        <f>'2022-23 Salary &amp; Benefits'!$G$6</f>
        <v>12558.24</v>
      </c>
      <c r="U45" s="23">
        <f>'2022-23 Salary &amp; Benefits'!$H$6</f>
        <v>0.2298</v>
      </c>
      <c r="V45" s="23">
        <f>'2022-23 Salary &amp; Benefits'!$I$6</f>
        <v>0.22339999999999999</v>
      </c>
      <c r="W45" s="22">
        <f t="shared" si="8"/>
        <v>0</v>
      </c>
      <c r="X45" s="22">
        <f t="shared" si="9"/>
        <v>0</v>
      </c>
      <c r="Y45" s="22">
        <f t="shared" si="10"/>
        <v>0</v>
      </c>
      <c r="Z45" s="22">
        <f t="shared" si="11"/>
        <v>0</v>
      </c>
      <c r="AA45" s="22">
        <f t="shared" si="12"/>
        <v>0</v>
      </c>
    </row>
    <row r="46" spans="1:27">
      <c r="A46" s="125" t="s">
        <v>2527</v>
      </c>
      <c r="B46" s="3" t="s">
        <v>2049</v>
      </c>
      <c r="C46" s="93">
        <f>IF(A46=Summary!$B$9,Summary!$G$9,0)</f>
        <v>0</v>
      </c>
      <c r="D46" s="134">
        <f>VLOOKUP(A46,AAFTE!$A:$S,3,0)</f>
        <v>1522.54</v>
      </c>
      <c r="E46" s="20">
        <f>VLOOKUP($A46,'2022-23 Salary &amp; Benefits'!$A:$I,3,)</f>
        <v>1</v>
      </c>
      <c r="F46" s="20">
        <f>VLOOKUP($A46,'2022-23 Salary &amp; Benefits'!$A:$I,4,)</f>
        <v>1</v>
      </c>
      <c r="G46" s="34">
        <f>VLOOKUP(A46,'CEDARS District FRPL'!$A:$F,6,)</f>
        <v>2.189999999999992E-2</v>
      </c>
      <c r="H46" s="25">
        <f t="shared" si="1"/>
        <v>1522.54</v>
      </c>
      <c r="I46" s="39">
        <f t="shared" si="4"/>
        <v>33.340000000000003</v>
      </c>
      <c r="J46" s="24">
        <v>15</v>
      </c>
      <c r="K46" s="26">
        <f t="shared" si="2"/>
        <v>2.222666666666667</v>
      </c>
      <c r="L46" s="24">
        <v>2.3975</v>
      </c>
      <c r="M46" s="24">
        <v>36</v>
      </c>
      <c r="N46" s="27">
        <f t="shared" si="3"/>
        <v>191.83836000000002</v>
      </c>
      <c r="O46" s="102">
        <f t="shared" si="5"/>
        <v>0.21299999999999999</v>
      </c>
      <c r="P46" s="21">
        <f>VLOOKUP(A46,'2022-23 Salary &amp; Benefits'!$A:$I,5,)</f>
        <v>68937</v>
      </c>
      <c r="Q46" s="21">
        <f>VLOOKUP(A46,'2022-23 Salary &amp; Benefits'!$A:$I,6,FALSE)</f>
        <v>72728</v>
      </c>
      <c r="R46" s="22">
        <f t="shared" si="6"/>
        <v>14683.58</v>
      </c>
      <c r="S46" s="22">
        <f t="shared" si="7"/>
        <v>807.48</v>
      </c>
      <c r="T46" s="22">
        <f>'2022-23 Salary &amp; Benefits'!$G$6</f>
        <v>12558.24</v>
      </c>
      <c r="U46" s="23">
        <f>'2022-23 Salary &amp; Benefits'!$H$6</f>
        <v>0.2298</v>
      </c>
      <c r="V46" s="23">
        <f>'2022-23 Salary &amp; Benefits'!$I$6</f>
        <v>0.22339999999999999</v>
      </c>
      <c r="W46" s="22">
        <f t="shared" si="8"/>
        <v>6229.58</v>
      </c>
      <c r="X46" s="22">
        <f t="shared" si="9"/>
        <v>258.18</v>
      </c>
      <c r="Y46" s="22">
        <f t="shared" si="10"/>
        <v>57.68</v>
      </c>
      <c r="Z46" s="22">
        <f t="shared" si="11"/>
        <v>315.86</v>
      </c>
      <c r="AA46" s="22">
        <f t="shared" si="12"/>
        <v>22036.5</v>
      </c>
    </row>
    <row r="47" spans="1:27">
      <c r="A47" s="125" t="s">
        <v>2548</v>
      </c>
      <c r="B47" s="3" t="s">
        <v>2152</v>
      </c>
      <c r="C47" s="93">
        <f>IF(A47=Summary!$B$9,Summary!$G$9,0)</f>
        <v>0</v>
      </c>
      <c r="D47" s="134">
        <f>VLOOKUP(A47,AAFTE!$A:$S,3,0)</f>
        <v>157.51</v>
      </c>
      <c r="E47" s="20">
        <f>VLOOKUP($A47,'2022-23 Salary &amp; Benefits'!$A:$I,3,)</f>
        <v>1</v>
      </c>
      <c r="F47" s="20">
        <f>VLOOKUP($A47,'2022-23 Salary &amp; Benefits'!$A:$I,4,)</f>
        <v>1.04</v>
      </c>
      <c r="G47" s="34">
        <f>VLOOKUP(A47,'CEDARS District FRPL'!$A:$F,6,)</f>
        <v>0</v>
      </c>
      <c r="H47" s="25">
        <f t="shared" si="1"/>
        <v>157.51</v>
      </c>
      <c r="I47" s="39">
        <f t="shared" si="4"/>
        <v>0</v>
      </c>
      <c r="J47" s="24">
        <v>15</v>
      </c>
      <c r="K47" s="26">
        <f t="shared" si="2"/>
        <v>0</v>
      </c>
      <c r="L47" s="24">
        <v>2.3975</v>
      </c>
      <c r="M47" s="24">
        <v>36</v>
      </c>
      <c r="N47" s="27">
        <f t="shared" si="3"/>
        <v>0</v>
      </c>
      <c r="O47" s="102">
        <f t="shared" si="5"/>
        <v>0</v>
      </c>
      <c r="P47" s="21">
        <f>VLOOKUP(A47,'2022-23 Salary &amp; Benefits'!$A:$I,5,)</f>
        <v>68937</v>
      </c>
      <c r="Q47" s="21">
        <f>VLOOKUP(A47,'2022-23 Salary &amp; Benefits'!$A:$I,6,FALSE)</f>
        <v>72728</v>
      </c>
      <c r="R47" s="22">
        <f t="shared" si="6"/>
        <v>0</v>
      </c>
      <c r="S47" s="22">
        <f t="shared" si="7"/>
        <v>0</v>
      </c>
      <c r="T47" s="22">
        <f>'2022-23 Salary &amp; Benefits'!$G$6</f>
        <v>12558.24</v>
      </c>
      <c r="U47" s="23">
        <f>'2022-23 Salary &amp; Benefits'!$H$6</f>
        <v>0.2298</v>
      </c>
      <c r="V47" s="23">
        <f>'2022-23 Salary &amp; Benefits'!$I$6</f>
        <v>0.22339999999999999</v>
      </c>
      <c r="W47" s="22">
        <f t="shared" si="8"/>
        <v>0</v>
      </c>
      <c r="X47" s="22">
        <f t="shared" si="9"/>
        <v>0</v>
      </c>
      <c r="Y47" s="22">
        <f t="shared" si="10"/>
        <v>0</v>
      </c>
      <c r="Z47" s="22">
        <f t="shared" si="11"/>
        <v>0</v>
      </c>
      <c r="AA47" s="22">
        <f t="shared" si="12"/>
        <v>0</v>
      </c>
    </row>
    <row r="48" spans="1:27">
      <c r="A48" s="125" t="s">
        <v>2511</v>
      </c>
      <c r="B48" s="3" t="s">
        <v>1949</v>
      </c>
      <c r="C48" s="93">
        <f>IF(A48=Summary!$B$9,Summary!$G$9,0)</f>
        <v>0</v>
      </c>
      <c r="D48" s="134">
        <f>VLOOKUP(A48,AAFTE!$A:$S,3,0)</f>
        <v>106.41</v>
      </c>
      <c r="E48" s="20">
        <f>VLOOKUP($A48,'2022-23 Salary &amp; Benefits'!$A:$I,3,)</f>
        <v>1</v>
      </c>
      <c r="F48" s="20">
        <f>VLOOKUP($A48,'2022-23 Salary &amp; Benefits'!$A:$I,4,)</f>
        <v>1</v>
      </c>
      <c r="G48" s="34">
        <f>VLOOKUP(A48,'CEDARS District FRPL'!$A:$F,6,)</f>
        <v>7.4500000000000011E-2</v>
      </c>
      <c r="H48" s="25">
        <f t="shared" si="1"/>
        <v>106.41</v>
      </c>
      <c r="I48" s="39">
        <f t="shared" si="4"/>
        <v>7.93</v>
      </c>
      <c r="J48" s="24">
        <v>15</v>
      </c>
      <c r="K48" s="26">
        <f t="shared" si="2"/>
        <v>0.52866666666666662</v>
      </c>
      <c r="L48" s="24">
        <v>2.3975</v>
      </c>
      <c r="M48" s="24">
        <v>36</v>
      </c>
      <c r="N48" s="27">
        <f t="shared" si="3"/>
        <v>45.629219999999997</v>
      </c>
      <c r="O48" s="102">
        <f t="shared" si="5"/>
        <v>5.0999999999999997E-2</v>
      </c>
      <c r="P48" s="21">
        <f>VLOOKUP(A48,'2022-23 Salary &amp; Benefits'!$A:$I,5,)</f>
        <v>68937</v>
      </c>
      <c r="Q48" s="21">
        <f>VLOOKUP(A48,'2022-23 Salary &amp; Benefits'!$A:$I,6,FALSE)</f>
        <v>72728</v>
      </c>
      <c r="R48" s="22">
        <f t="shared" si="6"/>
        <v>3515.79</v>
      </c>
      <c r="S48" s="22">
        <f t="shared" si="7"/>
        <v>193.34</v>
      </c>
      <c r="T48" s="22">
        <f>'2022-23 Salary &amp; Benefits'!$G$6</f>
        <v>12558.24</v>
      </c>
      <c r="U48" s="23">
        <f>'2022-23 Salary &amp; Benefits'!$H$6</f>
        <v>0.2298</v>
      </c>
      <c r="V48" s="23">
        <f>'2022-23 Salary &amp; Benefits'!$I$6</f>
        <v>0.22339999999999999</v>
      </c>
      <c r="W48" s="22">
        <f t="shared" si="8"/>
        <v>1491.59</v>
      </c>
      <c r="X48" s="22">
        <f t="shared" si="9"/>
        <v>61.82</v>
      </c>
      <c r="Y48" s="22">
        <f t="shared" si="10"/>
        <v>13.81</v>
      </c>
      <c r="Z48" s="22">
        <f t="shared" si="11"/>
        <v>75.63</v>
      </c>
      <c r="AA48" s="22">
        <f t="shared" si="12"/>
        <v>5276.35</v>
      </c>
    </row>
    <row r="49" spans="1:27">
      <c r="A49" s="125" t="s">
        <v>2529</v>
      </c>
      <c r="B49" s="3" t="s">
        <v>2055</v>
      </c>
      <c r="C49" s="93">
        <f>IF(A49=Summary!$B$9,Summary!$G$9,0)</f>
        <v>0</v>
      </c>
      <c r="D49" s="134">
        <f>VLOOKUP(A49,AAFTE!$A:$S,3,0)</f>
        <v>714.36</v>
      </c>
      <c r="E49" s="20">
        <f>VLOOKUP($A49,'2022-23 Salary &amp; Benefits'!$A:$I,3,)</f>
        <v>1</v>
      </c>
      <c r="F49" s="20">
        <f>VLOOKUP($A49,'2022-23 Salary &amp; Benefits'!$A:$I,4,)</f>
        <v>1.04</v>
      </c>
      <c r="G49" s="34">
        <f>VLOOKUP(A49,'CEDARS District FRPL'!$A:$F,6,)</f>
        <v>0</v>
      </c>
      <c r="H49" s="25">
        <f t="shared" si="1"/>
        <v>714.36</v>
      </c>
      <c r="I49" s="39">
        <f t="shared" si="4"/>
        <v>0</v>
      </c>
      <c r="J49" s="24">
        <v>15</v>
      </c>
      <c r="K49" s="26">
        <f t="shared" si="2"/>
        <v>0</v>
      </c>
      <c r="L49" s="24">
        <v>2.3975</v>
      </c>
      <c r="M49" s="24">
        <v>36</v>
      </c>
      <c r="N49" s="27">
        <f t="shared" si="3"/>
        <v>0</v>
      </c>
      <c r="O49" s="102">
        <f t="shared" si="5"/>
        <v>0</v>
      </c>
      <c r="P49" s="21">
        <f>VLOOKUP(A49,'2022-23 Salary &amp; Benefits'!$A:$I,5,)</f>
        <v>68937</v>
      </c>
      <c r="Q49" s="21">
        <f>VLOOKUP(A49,'2022-23 Salary &amp; Benefits'!$A:$I,6,FALSE)</f>
        <v>72728</v>
      </c>
      <c r="R49" s="22">
        <f t="shared" si="6"/>
        <v>0</v>
      </c>
      <c r="S49" s="22">
        <f t="shared" si="7"/>
        <v>0</v>
      </c>
      <c r="T49" s="22">
        <f>'2022-23 Salary &amp; Benefits'!$G$6</f>
        <v>12558.24</v>
      </c>
      <c r="U49" s="23">
        <f>'2022-23 Salary &amp; Benefits'!$H$6</f>
        <v>0.2298</v>
      </c>
      <c r="V49" s="23">
        <f>'2022-23 Salary &amp; Benefits'!$I$6</f>
        <v>0.22339999999999999</v>
      </c>
      <c r="W49" s="22">
        <f t="shared" si="8"/>
        <v>0</v>
      </c>
      <c r="X49" s="22">
        <f t="shared" si="9"/>
        <v>0</v>
      </c>
      <c r="Y49" s="22">
        <f t="shared" si="10"/>
        <v>0</v>
      </c>
      <c r="Z49" s="22">
        <f t="shared" si="11"/>
        <v>0</v>
      </c>
      <c r="AA49" s="22">
        <f t="shared" si="12"/>
        <v>0</v>
      </c>
    </row>
    <row r="50" spans="1:27">
      <c r="A50" s="125" t="s">
        <v>2507</v>
      </c>
      <c r="B50" s="3" t="s">
        <v>1936</v>
      </c>
      <c r="C50" s="93">
        <f>IF(A50=Summary!$B$9,Summary!$G$9,0)</f>
        <v>0</v>
      </c>
      <c r="D50" s="134">
        <f>VLOOKUP(A50,AAFTE!$A:$S,3,0)</f>
        <v>1630.3</v>
      </c>
      <c r="E50" s="20">
        <f>VLOOKUP($A50,'2022-23 Salary &amp; Benefits'!$A:$I,3,)</f>
        <v>1</v>
      </c>
      <c r="F50" s="20">
        <f>VLOOKUP($A50,'2022-23 Salary &amp; Benefits'!$A:$I,4,)</f>
        <v>1.04</v>
      </c>
      <c r="G50" s="34">
        <f>VLOOKUP(A50,'CEDARS District FRPL'!$A:$F,6,)</f>
        <v>0</v>
      </c>
      <c r="H50" s="25">
        <f t="shared" si="1"/>
        <v>1630.3</v>
      </c>
      <c r="I50" s="39">
        <f t="shared" si="4"/>
        <v>0</v>
      </c>
      <c r="J50" s="24">
        <v>15</v>
      </c>
      <c r="K50" s="26">
        <f t="shared" si="2"/>
        <v>0</v>
      </c>
      <c r="L50" s="24">
        <v>2.3975</v>
      </c>
      <c r="M50" s="24">
        <v>36</v>
      </c>
      <c r="N50" s="27">
        <f t="shared" si="3"/>
        <v>0</v>
      </c>
      <c r="O50" s="102">
        <f t="shared" si="5"/>
        <v>0</v>
      </c>
      <c r="P50" s="21">
        <f>VLOOKUP(A50,'2022-23 Salary &amp; Benefits'!$A:$I,5,)</f>
        <v>68937</v>
      </c>
      <c r="Q50" s="21">
        <f>VLOOKUP(A50,'2022-23 Salary &amp; Benefits'!$A:$I,6,FALSE)</f>
        <v>72728</v>
      </c>
      <c r="R50" s="22">
        <f t="shared" si="6"/>
        <v>0</v>
      </c>
      <c r="S50" s="22">
        <f t="shared" si="7"/>
        <v>0</v>
      </c>
      <c r="T50" s="22">
        <f>'2022-23 Salary &amp; Benefits'!$G$6</f>
        <v>12558.24</v>
      </c>
      <c r="U50" s="23">
        <f>'2022-23 Salary &amp; Benefits'!$H$6</f>
        <v>0.2298</v>
      </c>
      <c r="V50" s="23">
        <f>'2022-23 Salary &amp; Benefits'!$I$6</f>
        <v>0.22339999999999999</v>
      </c>
      <c r="W50" s="22">
        <f t="shared" si="8"/>
        <v>0</v>
      </c>
      <c r="X50" s="22">
        <f t="shared" si="9"/>
        <v>0</v>
      </c>
      <c r="Y50" s="22">
        <f t="shared" si="10"/>
        <v>0</v>
      </c>
      <c r="Z50" s="22">
        <f t="shared" si="11"/>
        <v>0</v>
      </c>
      <c r="AA50" s="22">
        <f t="shared" si="12"/>
        <v>0</v>
      </c>
    </row>
    <row r="51" spans="1:27">
      <c r="A51" s="125" t="s">
        <v>2460</v>
      </c>
      <c r="B51" s="3" t="s">
        <v>1542</v>
      </c>
      <c r="C51" s="93">
        <f>IF(A51=Summary!$B$9,Summary!$G$9,0)</f>
        <v>0</v>
      </c>
      <c r="D51" s="134">
        <f>VLOOKUP(A51,AAFTE!$A:$S,3,0)</f>
        <v>486.61</v>
      </c>
      <c r="E51" s="20">
        <f>VLOOKUP($A51,'2022-23 Salary &amp; Benefits'!$A:$I,3,)</f>
        <v>1.1200000000000001</v>
      </c>
      <c r="F51" s="20">
        <f>VLOOKUP($A51,'2022-23 Salary &amp; Benefits'!$A:$I,4,)</f>
        <v>1.1200000000000001</v>
      </c>
      <c r="G51" s="34">
        <f>VLOOKUP(A51,'CEDARS District FRPL'!$A:$F,6,)</f>
        <v>0</v>
      </c>
      <c r="H51" s="25">
        <f t="shared" si="1"/>
        <v>486.61</v>
      </c>
      <c r="I51" s="39">
        <f t="shared" si="4"/>
        <v>0</v>
      </c>
      <c r="J51" s="24">
        <v>15</v>
      </c>
      <c r="K51" s="26">
        <f t="shared" si="2"/>
        <v>0</v>
      </c>
      <c r="L51" s="24">
        <v>2.3975</v>
      </c>
      <c r="M51" s="24">
        <v>36</v>
      </c>
      <c r="N51" s="27">
        <f t="shared" si="3"/>
        <v>0</v>
      </c>
      <c r="O51" s="102">
        <f t="shared" si="5"/>
        <v>0</v>
      </c>
      <c r="P51" s="21">
        <f>VLOOKUP(A51,'2022-23 Salary &amp; Benefits'!$A:$I,5,)</f>
        <v>68937</v>
      </c>
      <c r="Q51" s="21">
        <f>VLOOKUP(A51,'2022-23 Salary &amp; Benefits'!$A:$I,6,FALSE)</f>
        <v>72728</v>
      </c>
      <c r="R51" s="22">
        <f t="shared" si="6"/>
        <v>0</v>
      </c>
      <c r="S51" s="22">
        <f t="shared" si="7"/>
        <v>0</v>
      </c>
      <c r="T51" s="22">
        <f>'2022-23 Salary &amp; Benefits'!$G$6</f>
        <v>12558.24</v>
      </c>
      <c r="U51" s="23">
        <f>'2022-23 Salary &amp; Benefits'!$H$6</f>
        <v>0.2298</v>
      </c>
      <c r="V51" s="23">
        <f>'2022-23 Salary &amp; Benefits'!$I$6</f>
        <v>0.22339999999999999</v>
      </c>
      <c r="W51" s="22">
        <f t="shared" si="8"/>
        <v>0</v>
      </c>
      <c r="X51" s="22">
        <f t="shared" si="9"/>
        <v>0</v>
      </c>
      <c r="Y51" s="22">
        <f t="shared" si="10"/>
        <v>0</v>
      </c>
      <c r="Z51" s="22">
        <f t="shared" si="11"/>
        <v>0</v>
      </c>
      <c r="AA51" s="22">
        <f t="shared" si="12"/>
        <v>0</v>
      </c>
    </row>
    <row r="52" spans="1:27">
      <c r="A52" s="125" t="s">
        <v>2465</v>
      </c>
      <c r="B52" s="3" t="s">
        <v>1573</v>
      </c>
      <c r="C52" s="93">
        <f>IF(A52=Summary!$B$9,Summary!$G$9,0)</f>
        <v>0</v>
      </c>
      <c r="D52" s="134">
        <f>VLOOKUP(A52,AAFTE!$A:$S,3,0)</f>
        <v>450.34</v>
      </c>
      <c r="E52" s="20">
        <f>VLOOKUP($A52,'2022-23 Salary &amp; Benefits'!$A:$I,3,)</f>
        <v>1.0900000000000001</v>
      </c>
      <c r="F52" s="20">
        <f>VLOOKUP($A52,'2022-23 Salary &amp; Benefits'!$A:$I,4,)</f>
        <v>1.1299999999999999</v>
      </c>
      <c r="G52" s="34">
        <f>VLOOKUP(A52,'CEDARS District FRPL'!$A:$F,6,)</f>
        <v>0</v>
      </c>
      <c r="H52" s="25">
        <f t="shared" si="1"/>
        <v>450.34</v>
      </c>
      <c r="I52" s="39">
        <f t="shared" si="4"/>
        <v>0</v>
      </c>
      <c r="J52" s="24">
        <v>15</v>
      </c>
      <c r="K52" s="26">
        <f t="shared" si="2"/>
        <v>0</v>
      </c>
      <c r="L52" s="24">
        <v>2.3975</v>
      </c>
      <c r="M52" s="24">
        <v>36</v>
      </c>
      <c r="N52" s="27">
        <f t="shared" si="3"/>
        <v>0</v>
      </c>
      <c r="O52" s="102">
        <f t="shared" si="5"/>
        <v>0</v>
      </c>
      <c r="P52" s="21">
        <f>VLOOKUP(A52,'2022-23 Salary &amp; Benefits'!$A:$I,5,)</f>
        <v>68937</v>
      </c>
      <c r="Q52" s="21">
        <f>VLOOKUP(A52,'2022-23 Salary &amp; Benefits'!$A:$I,6,FALSE)</f>
        <v>72728</v>
      </c>
      <c r="R52" s="22">
        <f t="shared" si="6"/>
        <v>0</v>
      </c>
      <c r="S52" s="22">
        <f t="shared" si="7"/>
        <v>0</v>
      </c>
      <c r="T52" s="22">
        <f>'2022-23 Salary &amp; Benefits'!$G$6</f>
        <v>12558.24</v>
      </c>
      <c r="U52" s="23">
        <f>'2022-23 Salary &amp; Benefits'!$H$6</f>
        <v>0.2298</v>
      </c>
      <c r="V52" s="23">
        <f>'2022-23 Salary &amp; Benefits'!$I$6</f>
        <v>0.22339999999999999</v>
      </c>
      <c r="W52" s="22">
        <f t="shared" si="8"/>
        <v>0</v>
      </c>
      <c r="X52" s="22">
        <f t="shared" si="9"/>
        <v>0</v>
      </c>
      <c r="Y52" s="22">
        <f t="shared" si="10"/>
        <v>0</v>
      </c>
      <c r="Z52" s="22">
        <f t="shared" si="11"/>
        <v>0</v>
      </c>
      <c r="AA52" s="22">
        <f t="shared" si="12"/>
        <v>0</v>
      </c>
    </row>
    <row r="53" spans="1:27">
      <c r="A53" s="125" t="s">
        <v>2335</v>
      </c>
      <c r="B53" s="3" t="s">
        <v>501</v>
      </c>
      <c r="C53" s="93">
        <f>IF(A53=Summary!$B$9,Summary!$G$9,0)</f>
        <v>0</v>
      </c>
      <c r="D53" s="134">
        <f>VLOOKUP(A53,AAFTE!$A:$S,3,0)</f>
        <v>164.64</v>
      </c>
      <c r="E53" s="20">
        <f>VLOOKUP($A53,'2022-23 Salary &amp; Benefits'!$A:$I,3,)</f>
        <v>1</v>
      </c>
      <c r="F53" s="20">
        <f>VLOOKUP($A53,'2022-23 Salary &amp; Benefits'!$A:$I,4,)</f>
        <v>1</v>
      </c>
      <c r="G53" s="34">
        <f>VLOOKUP(A53,'CEDARS District FRPL'!$A:$F,6,)</f>
        <v>8.4099999999999953E-2</v>
      </c>
      <c r="H53" s="25">
        <f t="shared" si="1"/>
        <v>164.64</v>
      </c>
      <c r="I53" s="39">
        <f t="shared" si="4"/>
        <v>13.85</v>
      </c>
      <c r="J53" s="24">
        <v>15</v>
      </c>
      <c r="K53" s="26">
        <f t="shared" si="2"/>
        <v>0.92333333333333334</v>
      </c>
      <c r="L53" s="24">
        <v>2.3975</v>
      </c>
      <c r="M53" s="24">
        <v>36</v>
      </c>
      <c r="N53" s="27">
        <f t="shared" si="3"/>
        <v>79.692899999999995</v>
      </c>
      <c r="O53" s="102">
        <f t="shared" si="5"/>
        <v>8.8999999999999996E-2</v>
      </c>
      <c r="P53" s="21">
        <f>VLOOKUP(A53,'2022-23 Salary &amp; Benefits'!$A:$I,5,)</f>
        <v>68937</v>
      </c>
      <c r="Q53" s="21">
        <f>VLOOKUP(A53,'2022-23 Salary &amp; Benefits'!$A:$I,6,FALSE)</f>
        <v>72728</v>
      </c>
      <c r="R53" s="22">
        <f t="shared" si="6"/>
        <v>6135.39</v>
      </c>
      <c r="S53" s="22">
        <f t="shared" si="7"/>
        <v>337.4</v>
      </c>
      <c r="T53" s="22">
        <f>'2022-23 Salary &amp; Benefits'!$G$6</f>
        <v>12558.24</v>
      </c>
      <c r="U53" s="23">
        <f>'2022-23 Salary &amp; Benefits'!$H$6</f>
        <v>0.2298</v>
      </c>
      <c r="V53" s="23">
        <f>'2022-23 Salary &amp; Benefits'!$I$6</f>
        <v>0.22339999999999999</v>
      </c>
      <c r="W53" s="22">
        <f t="shared" si="8"/>
        <v>2602.9699999999998</v>
      </c>
      <c r="X53" s="22">
        <f t="shared" si="9"/>
        <v>107.88</v>
      </c>
      <c r="Y53" s="22">
        <f t="shared" si="10"/>
        <v>24.1</v>
      </c>
      <c r="Z53" s="22">
        <f t="shared" si="11"/>
        <v>131.97999999999999</v>
      </c>
      <c r="AA53" s="22">
        <f t="shared" si="12"/>
        <v>9207.74</v>
      </c>
    </row>
    <row r="54" spans="1:27">
      <c r="A54" s="125" t="s">
        <v>2320</v>
      </c>
      <c r="B54" s="3" t="s">
        <v>425</v>
      </c>
      <c r="C54" s="93">
        <f>IF(A54=Summary!$B$9,Summary!$G$9,0)</f>
        <v>0</v>
      </c>
      <c r="D54" s="134">
        <f>VLOOKUP(A54,AAFTE!$A:$S,3,0)</f>
        <v>214.85</v>
      </c>
      <c r="E54" s="20">
        <f>VLOOKUP($A54,'2022-23 Salary &amp; Benefits'!$A:$I,3,)</f>
        <v>1</v>
      </c>
      <c r="F54" s="20">
        <f>VLOOKUP($A54,'2022-23 Salary &amp; Benefits'!$A:$I,4,)</f>
        <v>1</v>
      </c>
      <c r="G54" s="34">
        <f>VLOOKUP(A54,'CEDARS District FRPL'!$A:$F,6,)</f>
        <v>0</v>
      </c>
      <c r="H54" s="25">
        <f t="shared" si="1"/>
        <v>214.85</v>
      </c>
      <c r="I54" s="39">
        <f t="shared" si="4"/>
        <v>0</v>
      </c>
      <c r="J54" s="24">
        <v>15</v>
      </c>
      <c r="K54" s="26">
        <f t="shared" si="2"/>
        <v>0</v>
      </c>
      <c r="L54" s="24">
        <v>2.3975</v>
      </c>
      <c r="M54" s="24">
        <v>36</v>
      </c>
      <c r="N54" s="27">
        <f t="shared" si="3"/>
        <v>0</v>
      </c>
      <c r="O54" s="102">
        <f t="shared" si="5"/>
        <v>0</v>
      </c>
      <c r="P54" s="21">
        <f>VLOOKUP(A54,'2022-23 Salary &amp; Benefits'!$A:$I,5,)</f>
        <v>68937</v>
      </c>
      <c r="Q54" s="21">
        <f>VLOOKUP(A54,'2022-23 Salary &amp; Benefits'!$A:$I,6,FALSE)</f>
        <v>72728</v>
      </c>
      <c r="R54" s="22">
        <f t="shared" si="6"/>
        <v>0</v>
      </c>
      <c r="S54" s="22">
        <f t="shared" si="7"/>
        <v>0</v>
      </c>
      <c r="T54" s="22">
        <f>'2022-23 Salary &amp; Benefits'!$G$6</f>
        <v>12558.24</v>
      </c>
      <c r="U54" s="23">
        <f>'2022-23 Salary &amp; Benefits'!$H$6</f>
        <v>0.2298</v>
      </c>
      <c r="V54" s="23">
        <f>'2022-23 Salary &amp; Benefits'!$I$6</f>
        <v>0.22339999999999999</v>
      </c>
      <c r="W54" s="22">
        <f t="shared" si="8"/>
        <v>0</v>
      </c>
      <c r="X54" s="22">
        <f t="shared" si="9"/>
        <v>0</v>
      </c>
      <c r="Y54" s="22">
        <f t="shared" si="10"/>
        <v>0</v>
      </c>
      <c r="Z54" s="22">
        <f t="shared" si="11"/>
        <v>0</v>
      </c>
      <c r="AA54" s="22">
        <f t="shared" si="12"/>
        <v>0</v>
      </c>
    </row>
    <row r="55" spans="1:27">
      <c r="A55" s="125" t="s">
        <v>2341</v>
      </c>
      <c r="B55" s="3" t="s">
        <v>522</v>
      </c>
      <c r="C55" s="93">
        <f>IF(A55=Summary!$B$9,Summary!$G$9,0)</f>
        <v>0</v>
      </c>
      <c r="D55" s="134">
        <f>VLOOKUP(A55,AAFTE!$A:$S,3,0)</f>
        <v>966.05</v>
      </c>
      <c r="E55" s="20">
        <f>VLOOKUP($A55,'2022-23 Salary &amp; Benefits'!$A:$I,3,)</f>
        <v>1.1200000000000001</v>
      </c>
      <c r="F55" s="20">
        <f>VLOOKUP($A55,'2022-23 Salary &amp; Benefits'!$A:$I,4,)</f>
        <v>1.1600000000000001</v>
      </c>
      <c r="G55" s="34">
        <f>VLOOKUP(A55,'CEDARS District FRPL'!$A:$F,6,)</f>
        <v>1.0300000000000031E-2</v>
      </c>
      <c r="H55" s="25">
        <f t="shared" si="1"/>
        <v>966.05</v>
      </c>
      <c r="I55" s="39">
        <f t="shared" si="4"/>
        <v>9.9499999999999993</v>
      </c>
      <c r="J55" s="24">
        <v>15</v>
      </c>
      <c r="K55" s="26">
        <f t="shared" si="2"/>
        <v>0.66333333333333333</v>
      </c>
      <c r="L55" s="24">
        <v>2.3975</v>
      </c>
      <c r="M55" s="24">
        <v>36</v>
      </c>
      <c r="N55" s="27">
        <f t="shared" si="3"/>
        <v>57.252299999999998</v>
      </c>
      <c r="O55" s="102">
        <f t="shared" si="5"/>
        <v>6.4000000000000001E-2</v>
      </c>
      <c r="P55" s="21">
        <f>VLOOKUP(A55,'2022-23 Salary &amp; Benefits'!$A:$I,5,)</f>
        <v>68937</v>
      </c>
      <c r="Q55" s="21">
        <f>VLOOKUP(A55,'2022-23 Salary &amp; Benefits'!$A:$I,6,FALSE)</f>
        <v>72728</v>
      </c>
      <c r="R55" s="22">
        <f t="shared" si="6"/>
        <v>4941.3999999999996</v>
      </c>
      <c r="S55" s="22">
        <f t="shared" si="7"/>
        <v>457.93</v>
      </c>
      <c r="T55" s="22">
        <f>'2022-23 Salary &amp; Benefits'!$G$6</f>
        <v>12558.24</v>
      </c>
      <c r="U55" s="23">
        <f>'2022-23 Salary &amp; Benefits'!$H$6</f>
        <v>0.2298</v>
      </c>
      <c r="V55" s="23">
        <f>'2022-23 Salary &amp; Benefits'!$I$6</f>
        <v>0.22339999999999999</v>
      </c>
      <c r="W55" s="22">
        <f t="shared" si="8"/>
        <v>2041.56</v>
      </c>
      <c r="X55" s="22">
        <f t="shared" si="9"/>
        <v>89.99</v>
      </c>
      <c r="Y55" s="22">
        <f t="shared" si="10"/>
        <v>20.100000000000001</v>
      </c>
      <c r="Z55" s="22">
        <f t="shared" si="11"/>
        <v>110.09</v>
      </c>
      <c r="AA55" s="22">
        <f t="shared" si="12"/>
        <v>7550.98</v>
      </c>
    </row>
    <row r="56" spans="1:27">
      <c r="A56" s="125" t="s">
        <v>2278</v>
      </c>
      <c r="B56" s="3" t="s">
        <v>145</v>
      </c>
      <c r="C56" s="93">
        <f>IF(A56=Summary!$B$9,Summary!$G$9,0)</f>
        <v>0</v>
      </c>
      <c r="D56" s="134">
        <f>VLOOKUP(A56,AAFTE!$A:$S,3,0)</f>
        <v>307.98</v>
      </c>
      <c r="E56" s="20">
        <f>VLOOKUP($A56,'2022-23 Salary &amp; Benefits'!$A:$I,3,)</f>
        <v>1</v>
      </c>
      <c r="F56" s="20">
        <f>VLOOKUP($A56,'2022-23 Salary &amp; Benefits'!$A:$I,4,)</f>
        <v>1</v>
      </c>
      <c r="G56" s="34">
        <f>VLOOKUP(A56,'CEDARS District FRPL'!$A:$F,6,)</f>
        <v>0</v>
      </c>
      <c r="H56" s="25">
        <f t="shared" si="1"/>
        <v>307.98</v>
      </c>
      <c r="I56" s="39">
        <f t="shared" si="4"/>
        <v>0</v>
      </c>
      <c r="J56" s="24">
        <v>15</v>
      </c>
      <c r="K56" s="26">
        <f t="shared" si="2"/>
        <v>0</v>
      </c>
      <c r="L56" s="24">
        <v>2.3975</v>
      </c>
      <c r="M56" s="24">
        <v>36</v>
      </c>
      <c r="N56" s="27">
        <f t="shared" si="3"/>
        <v>0</v>
      </c>
      <c r="O56" s="102">
        <f t="shared" si="5"/>
        <v>0</v>
      </c>
      <c r="P56" s="21">
        <f>VLOOKUP(A56,'2022-23 Salary &amp; Benefits'!$A:$I,5,)</f>
        <v>68937</v>
      </c>
      <c r="Q56" s="21">
        <f>VLOOKUP(A56,'2022-23 Salary &amp; Benefits'!$A:$I,6,FALSE)</f>
        <v>72728</v>
      </c>
      <c r="R56" s="22">
        <f t="shared" si="6"/>
        <v>0</v>
      </c>
      <c r="S56" s="22">
        <f t="shared" si="7"/>
        <v>0</v>
      </c>
      <c r="T56" s="22">
        <f>'2022-23 Salary &amp; Benefits'!$G$6</f>
        <v>12558.24</v>
      </c>
      <c r="U56" s="23">
        <f>'2022-23 Salary &amp; Benefits'!$H$6</f>
        <v>0.2298</v>
      </c>
      <c r="V56" s="23">
        <f>'2022-23 Salary &amp; Benefits'!$I$6</f>
        <v>0.22339999999999999</v>
      </c>
      <c r="W56" s="22">
        <f t="shared" si="8"/>
        <v>0</v>
      </c>
      <c r="X56" s="22">
        <f t="shared" si="9"/>
        <v>0</v>
      </c>
      <c r="Y56" s="22">
        <f t="shared" si="10"/>
        <v>0</v>
      </c>
      <c r="Z56" s="22">
        <f t="shared" si="11"/>
        <v>0</v>
      </c>
      <c r="AA56" s="22">
        <f t="shared" si="12"/>
        <v>0</v>
      </c>
    </row>
    <row r="57" spans="1:27">
      <c r="A57" s="125" t="s">
        <v>2409</v>
      </c>
      <c r="B57" s="3" t="s">
        <v>1189</v>
      </c>
      <c r="C57" s="93">
        <f>IF(A57=Summary!$B$9,Summary!$G$9,0)</f>
        <v>0</v>
      </c>
      <c r="D57" s="134">
        <f>VLOOKUP(A57,AAFTE!$A:$S,3,0)</f>
        <v>87.01</v>
      </c>
      <c r="E57" s="20">
        <f>VLOOKUP($A57,'2022-23 Salary &amp; Benefits'!$A:$I,3,)</f>
        <v>1</v>
      </c>
      <c r="F57" s="20">
        <f>VLOOKUP($A57,'2022-23 Salary &amp; Benefits'!$A:$I,4,)</f>
        <v>1.04</v>
      </c>
      <c r="G57" s="34">
        <f>VLOOKUP(A57,'CEDARS District FRPL'!$A:$F,6,)</f>
        <v>0</v>
      </c>
      <c r="H57" s="25">
        <f t="shared" si="1"/>
        <v>87.01</v>
      </c>
      <c r="I57" s="39">
        <f t="shared" si="4"/>
        <v>0</v>
      </c>
      <c r="J57" s="24">
        <v>15</v>
      </c>
      <c r="K57" s="26">
        <f t="shared" si="2"/>
        <v>0</v>
      </c>
      <c r="L57" s="24">
        <v>2.3975</v>
      </c>
      <c r="M57" s="24">
        <v>36</v>
      </c>
      <c r="N57" s="27">
        <f t="shared" si="3"/>
        <v>0</v>
      </c>
      <c r="O57" s="102">
        <f t="shared" si="5"/>
        <v>0</v>
      </c>
      <c r="P57" s="21">
        <f>VLOOKUP(A57,'2022-23 Salary &amp; Benefits'!$A:$I,5,)</f>
        <v>68937</v>
      </c>
      <c r="Q57" s="21">
        <f>VLOOKUP(A57,'2022-23 Salary &amp; Benefits'!$A:$I,6,FALSE)</f>
        <v>72728</v>
      </c>
      <c r="R57" s="22">
        <f t="shared" si="6"/>
        <v>0</v>
      </c>
      <c r="S57" s="22">
        <f t="shared" si="7"/>
        <v>0</v>
      </c>
      <c r="T57" s="22">
        <f>'2022-23 Salary &amp; Benefits'!$G$6</f>
        <v>12558.24</v>
      </c>
      <c r="U57" s="23">
        <f>'2022-23 Salary &amp; Benefits'!$H$6</f>
        <v>0.2298</v>
      </c>
      <c r="V57" s="23">
        <f>'2022-23 Salary &amp; Benefits'!$I$6</f>
        <v>0.22339999999999999</v>
      </c>
      <c r="W57" s="22">
        <f t="shared" si="8"/>
        <v>0</v>
      </c>
      <c r="X57" s="22">
        <f t="shared" si="9"/>
        <v>0</v>
      </c>
      <c r="Y57" s="22">
        <f t="shared" si="10"/>
        <v>0</v>
      </c>
      <c r="Z57" s="22">
        <f t="shared" si="11"/>
        <v>0</v>
      </c>
      <c r="AA57" s="22">
        <f t="shared" si="12"/>
        <v>0</v>
      </c>
    </row>
    <row r="58" spans="1:27">
      <c r="A58" s="125" t="s">
        <v>2308</v>
      </c>
      <c r="B58" s="3" t="s">
        <v>360</v>
      </c>
      <c r="C58" s="93">
        <f>IF(A58=Summary!$B$9,Summary!$G$9,0)</f>
        <v>0</v>
      </c>
      <c r="D58" s="134">
        <f>VLOOKUP(A58,AAFTE!$A:$S,3,0)</f>
        <v>248.33</v>
      </c>
      <c r="E58" s="20">
        <f>VLOOKUP($A58,'2022-23 Salary &amp; Benefits'!$A:$I,3,)</f>
        <v>1</v>
      </c>
      <c r="F58" s="20">
        <f>VLOOKUP($A58,'2022-23 Salary &amp; Benefits'!$A:$I,4,)</f>
        <v>1.04</v>
      </c>
      <c r="G58" s="34">
        <f>VLOOKUP(A58,'CEDARS District FRPL'!$A:$F,6,)</f>
        <v>0</v>
      </c>
      <c r="H58" s="25">
        <f t="shared" si="1"/>
        <v>248.33</v>
      </c>
      <c r="I58" s="39">
        <f t="shared" si="4"/>
        <v>0</v>
      </c>
      <c r="J58" s="24">
        <v>15</v>
      </c>
      <c r="K58" s="26">
        <f t="shared" si="2"/>
        <v>0</v>
      </c>
      <c r="L58" s="24">
        <v>2.3975</v>
      </c>
      <c r="M58" s="24">
        <v>36</v>
      </c>
      <c r="N58" s="27">
        <f t="shared" si="3"/>
        <v>0</v>
      </c>
      <c r="O58" s="102">
        <f t="shared" si="5"/>
        <v>0</v>
      </c>
      <c r="P58" s="21">
        <f>VLOOKUP(A58,'2022-23 Salary &amp; Benefits'!$A:$I,5,)</f>
        <v>68937</v>
      </c>
      <c r="Q58" s="21">
        <f>VLOOKUP(A58,'2022-23 Salary &amp; Benefits'!$A:$I,6,FALSE)</f>
        <v>72728</v>
      </c>
      <c r="R58" s="22">
        <f t="shared" si="6"/>
        <v>0</v>
      </c>
      <c r="S58" s="22">
        <f t="shared" si="7"/>
        <v>0</v>
      </c>
      <c r="T58" s="22">
        <f>'2022-23 Salary &amp; Benefits'!$G$6</f>
        <v>12558.24</v>
      </c>
      <c r="U58" s="23">
        <f>'2022-23 Salary &amp; Benefits'!$H$6</f>
        <v>0.2298</v>
      </c>
      <c r="V58" s="23">
        <f>'2022-23 Salary &amp; Benefits'!$I$6</f>
        <v>0.22339999999999999</v>
      </c>
      <c r="W58" s="22">
        <f t="shared" si="8"/>
        <v>0</v>
      </c>
      <c r="X58" s="22">
        <f t="shared" si="9"/>
        <v>0</v>
      </c>
      <c r="Y58" s="22">
        <f t="shared" si="10"/>
        <v>0</v>
      </c>
      <c r="Z58" s="22">
        <f t="shared" si="11"/>
        <v>0</v>
      </c>
      <c r="AA58" s="22">
        <f t="shared" si="12"/>
        <v>0</v>
      </c>
    </row>
    <row r="59" spans="1:27">
      <c r="A59" s="125" t="s">
        <v>2436</v>
      </c>
      <c r="B59" s="3" t="s">
        <v>1285</v>
      </c>
      <c r="C59" s="93">
        <f>IF(A59=Summary!$B$9,Summary!$G$9,0)</f>
        <v>0</v>
      </c>
      <c r="D59" s="134">
        <f>VLOOKUP(A59,AAFTE!$A:$S,3,0)</f>
        <v>322.45999999999998</v>
      </c>
      <c r="E59" s="20">
        <f>VLOOKUP($A59,'2022-23 Salary &amp; Benefits'!$A:$I,3,)</f>
        <v>1</v>
      </c>
      <c r="F59" s="20">
        <f>VLOOKUP($A59,'2022-23 Salary &amp; Benefits'!$A:$I,4,)</f>
        <v>1</v>
      </c>
      <c r="G59" s="34">
        <f>VLOOKUP(A59,'CEDARS District FRPL'!$A:$F,6,)</f>
        <v>0</v>
      </c>
      <c r="H59" s="25">
        <f t="shared" si="1"/>
        <v>322.45999999999998</v>
      </c>
      <c r="I59" s="39">
        <f t="shared" si="4"/>
        <v>0</v>
      </c>
      <c r="J59" s="24">
        <v>15</v>
      </c>
      <c r="K59" s="26">
        <f t="shared" si="2"/>
        <v>0</v>
      </c>
      <c r="L59" s="24">
        <v>2.3975</v>
      </c>
      <c r="M59" s="24">
        <v>36</v>
      </c>
      <c r="N59" s="27">
        <f t="shared" si="3"/>
        <v>0</v>
      </c>
      <c r="O59" s="102">
        <f t="shared" si="5"/>
        <v>0</v>
      </c>
      <c r="P59" s="21">
        <f>VLOOKUP(A59,'2022-23 Salary &amp; Benefits'!$A:$I,5,)</f>
        <v>68937</v>
      </c>
      <c r="Q59" s="21">
        <f>VLOOKUP(A59,'2022-23 Salary &amp; Benefits'!$A:$I,6,FALSE)</f>
        <v>72728</v>
      </c>
      <c r="R59" s="22">
        <f t="shared" si="6"/>
        <v>0</v>
      </c>
      <c r="S59" s="22">
        <f t="shared" si="7"/>
        <v>0</v>
      </c>
      <c r="T59" s="22">
        <f>'2022-23 Salary &amp; Benefits'!$G$6</f>
        <v>12558.24</v>
      </c>
      <c r="U59" s="23">
        <f>'2022-23 Salary &amp; Benefits'!$H$6</f>
        <v>0.2298</v>
      </c>
      <c r="V59" s="23">
        <f>'2022-23 Salary &amp; Benefits'!$I$6</f>
        <v>0.22339999999999999</v>
      </c>
      <c r="W59" s="22">
        <f t="shared" si="8"/>
        <v>0</v>
      </c>
      <c r="X59" s="22">
        <f t="shared" si="9"/>
        <v>0</v>
      </c>
      <c r="Y59" s="22">
        <f t="shared" si="10"/>
        <v>0</v>
      </c>
      <c r="Z59" s="22">
        <f t="shared" si="11"/>
        <v>0</v>
      </c>
      <c r="AA59" s="22">
        <f t="shared" si="12"/>
        <v>0</v>
      </c>
    </row>
    <row r="60" spans="1:27">
      <c r="A60" s="125" t="s">
        <v>2377</v>
      </c>
      <c r="B60" s="3" t="s">
        <v>1083</v>
      </c>
      <c r="C60" s="93">
        <f>IF(A60=Summary!$B$9,Summary!$G$9,0)</f>
        <v>0</v>
      </c>
      <c r="D60" s="134">
        <f>VLOOKUP(A60,AAFTE!$A:$S,3,0)</f>
        <v>41.01</v>
      </c>
      <c r="E60" s="20">
        <f>VLOOKUP($A60,'2022-23 Salary &amp; Benefits'!$A:$I,3,)</f>
        <v>1</v>
      </c>
      <c r="F60" s="20">
        <f>VLOOKUP($A60,'2022-23 Salary &amp; Benefits'!$A:$I,4,)</f>
        <v>1</v>
      </c>
      <c r="G60" s="34">
        <f>VLOOKUP(A60,'CEDARS District FRPL'!$A:$F,6,)</f>
        <v>0</v>
      </c>
      <c r="H60" s="25">
        <f t="shared" si="1"/>
        <v>41.01</v>
      </c>
      <c r="I60" s="39">
        <f t="shared" si="4"/>
        <v>0</v>
      </c>
      <c r="J60" s="24">
        <v>15</v>
      </c>
      <c r="K60" s="26">
        <f t="shared" si="2"/>
        <v>0</v>
      </c>
      <c r="L60" s="24">
        <v>2.3975</v>
      </c>
      <c r="M60" s="24">
        <v>36</v>
      </c>
      <c r="N60" s="27">
        <f t="shared" si="3"/>
        <v>0</v>
      </c>
      <c r="O60" s="102">
        <f t="shared" si="5"/>
        <v>0</v>
      </c>
      <c r="P60" s="21">
        <f>VLOOKUP(A60,'2022-23 Salary &amp; Benefits'!$A:$I,5,)</f>
        <v>68937</v>
      </c>
      <c r="Q60" s="21">
        <f>VLOOKUP(A60,'2022-23 Salary &amp; Benefits'!$A:$I,6,FALSE)</f>
        <v>72728</v>
      </c>
      <c r="R60" s="22">
        <f t="shared" si="6"/>
        <v>0</v>
      </c>
      <c r="S60" s="22">
        <f t="shared" si="7"/>
        <v>0</v>
      </c>
      <c r="T60" s="22">
        <f>'2022-23 Salary &amp; Benefits'!$G$6</f>
        <v>12558.24</v>
      </c>
      <c r="U60" s="23">
        <f>'2022-23 Salary &amp; Benefits'!$H$6</f>
        <v>0.2298</v>
      </c>
      <c r="V60" s="23">
        <f>'2022-23 Salary &amp; Benefits'!$I$6</f>
        <v>0.22339999999999999</v>
      </c>
      <c r="W60" s="22">
        <f t="shared" si="8"/>
        <v>0</v>
      </c>
      <c r="X60" s="22">
        <f t="shared" si="9"/>
        <v>0</v>
      </c>
      <c r="Y60" s="22">
        <f t="shared" si="10"/>
        <v>0</v>
      </c>
      <c r="Z60" s="22">
        <f t="shared" si="11"/>
        <v>0</v>
      </c>
      <c r="AA60" s="22">
        <f t="shared" si="12"/>
        <v>0</v>
      </c>
    </row>
    <row r="61" spans="1:27">
      <c r="A61" s="125" t="s">
        <v>2483</v>
      </c>
      <c r="B61" s="3" t="s">
        <v>1752</v>
      </c>
      <c r="C61" s="93">
        <f>IF(A61=Summary!$B$9,Summary!$G$9,0)</f>
        <v>0</v>
      </c>
      <c r="D61" s="134">
        <f>VLOOKUP(A61,AAFTE!$A:$S,3,0)</f>
        <v>406.59</v>
      </c>
      <c r="E61" s="20">
        <f>VLOOKUP($A61,'2022-23 Salary &amp; Benefits'!$A:$I,3,)</f>
        <v>1.1200000000000001</v>
      </c>
      <c r="F61" s="20">
        <f>VLOOKUP($A61,'2022-23 Salary &amp; Benefits'!$A:$I,4,)</f>
        <v>1.1200000000000001</v>
      </c>
      <c r="G61" s="34">
        <f>VLOOKUP(A61,'CEDARS District FRPL'!$A:$F,6,)</f>
        <v>2.5100000000000011E-2</v>
      </c>
      <c r="H61" s="25">
        <f t="shared" si="1"/>
        <v>406.59</v>
      </c>
      <c r="I61" s="39">
        <f t="shared" si="4"/>
        <v>10.210000000000001</v>
      </c>
      <c r="J61" s="24">
        <v>15</v>
      </c>
      <c r="K61" s="26">
        <f t="shared" si="2"/>
        <v>0.68066666666666675</v>
      </c>
      <c r="L61" s="24">
        <v>2.3975</v>
      </c>
      <c r="M61" s="24">
        <v>36</v>
      </c>
      <c r="N61" s="27">
        <f t="shared" si="3"/>
        <v>58.748340000000006</v>
      </c>
      <c r="O61" s="102">
        <f t="shared" si="5"/>
        <v>6.5000000000000002E-2</v>
      </c>
      <c r="P61" s="21">
        <f>VLOOKUP(A61,'2022-23 Salary &amp; Benefits'!$A:$I,5,)</f>
        <v>68937</v>
      </c>
      <c r="Q61" s="21">
        <f>VLOOKUP(A61,'2022-23 Salary &amp; Benefits'!$A:$I,6,FALSE)</f>
        <v>72728</v>
      </c>
      <c r="R61" s="22">
        <f t="shared" si="6"/>
        <v>5018.6099999999997</v>
      </c>
      <c r="S61" s="22">
        <f t="shared" si="7"/>
        <v>275.99</v>
      </c>
      <c r="T61" s="22">
        <f>'2022-23 Salary &amp; Benefits'!$G$6</f>
        <v>12558.24</v>
      </c>
      <c r="U61" s="23">
        <f>'2022-23 Salary &amp; Benefits'!$H$6</f>
        <v>0.2298</v>
      </c>
      <c r="V61" s="23">
        <f>'2022-23 Salary &amp; Benefits'!$I$6</f>
        <v>0.22339999999999999</v>
      </c>
      <c r="W61" s="22">
        <f t="shared" si="8"/>
        <v>2031.22</v>
      </c>
      <c r="X61" s="22">
        <f t="shared" si="9"/>
        <v>88.24</v>
      </c>
      <c r="Y61" s="22">
        <f t="shared" si="10"/>
        <v>19.71</v>
      </c>
      <c r="Z61" s="22">
        <f t="shared" si="11"/>
        <v>107.94999999999999</v>
      </c>
      <c r="AA61" s="22">
        <f t="shared" si="12"/>
        <v>7433.7699999999995</v>
      </c>
    </row>
    <row r="62" spans="1:27">
      <c r="A62" s="125" t="s">
        <v>2413</v>
      </c>
      <c r="B62" s="3" t="s">
        <v>1201</v>
      </c>
      <c r="C62" s="93">
        <f>IF(A62=Summary!$B$9,Summary!$G$9,0)</f>
        <v>0</v>
      </c>
      <c r="D62" s="134">
        <f>VLOOKUP(A62,AAFTE!$A:$S,3,0)</f>
        <v>570.62</v>
      </c>
      <c r="E62" s="20">
        <f>VLOOKUP($A62,'2022-23 Salary &amp; Benefits'!$A:$I,3,)</f>
        <v>1</v>
      </c>
      <c r="F62" s="20">
        <f>VLOOKUP($A62,'2022-23 Salary &amp; Benefits'!$A:$I,4,)</f>
        <v>1</v>
      </c>
      <c r="G62" s="34">
        <f>VLOOKUP(A62,'CEDARS District FRPL'!$A:$F,6,)</f>
        <v>6.0999999999999999E-2</v>
      </c>
      <c r="H62" s="25">
        <f t="shared" si="1"/>
        <v>570.62</v>
      </c>
      <c r="I62" s="39">
        <f t="shared" si="4"/>
        <v>34.81</v>
      </c>
      <c r="J62" s="24">
        <v>15</v>
      </c>
      <c r="K62" s="26">
        <f t="shared" si="2"/>
        <v>2.3206666666666669</v>
      </c>
      <c r="L62" s="24">
        <v>2.3975</v>
      </c>
      <c r="M62" s="24">
        <v>36</v>
      </c>
      <c r="N62" s="27">
        <f t="shared" si="3"/>
        <v>200.29674</v>
      </c>
      <c r="O62" s="102">
        <f t="shared" si="5"/>
        <v>0.223</v>
      </c>
      <c r="P62" s="21">
        <f>VLOOKUP(A62,'2022-23 Salary &amp; Benefits'!$A:$I,5,)</f>
        <v>68937</v>
      </c>
      <c r="Q62" s="21">
        <f>VLOOKUP(A62,'2022-23 Salary &amp; Benefits'!$A:$I,6,FALSE)</f>
        <v>72728</v>
      </c>
      <c r="R62" s="22">
        <f t="shared" si="6"/>
        <v>15372.95</v>
      </c>
      <c r="S62" s="22">
        <f t="shared" si="7"/>
        <v>845.39</v>
      </c>
      <c r="T62" s="22">
        <f>'2022-23 Salary &amp; Benefits'!$G$6</f>
        <v>12558.24</v>
      </c>
      <c r="U62" s="23">
        <f>'2022-23 Salary &amp; Benefits'!$H$6</f>
        <v>0.2298</v>
      </c>
      <c r="V62" s="23">
        <f>'2022-23 Salary &amp; Benefits'!$I$6</f>
        <v>0.22339999999999999</v>
      </c>
      <c r="W62" s="22">
        <f t="shared" si="8"/>
        <v>6522.05</v>
      </c>
      <c r="X62" s="22">
        <f t="shared" si="9"/>
        <v>270.31</v>
      </c>
      <c r="Y62" s="22">
        <f t="shared" si="10"/>
        <v>60.39</v>
      </c>
      <c r="Z62" s="22">
        <f t="shared" si="11"/>
        <v>330.7</v>
      </c>
      <c r="AA62" s="22">
        <f t="shared" si="12"/>
        <v>23071.09</v>
      </c>
    </row>
    <row r="63" spans="1:27">
      <c r="A63" s="125" t="s">
        <v>2293</v>
      </c>
      <c r="B63" s="3" t="s">
        <v>290</v>
      </c>
      <c r="C63" s="93">
        <f>IF(A63=Summary!$B$9,Summary!$G$9,0)</f>
        <v>0</v>
      </c>
      <c r="D63" s="134">
        <f>VLOOKUP(A63,AAFTE!$A:$S,3,0)</f>
        <v>353.55</v>
      </c>
      <c r="E63" s="20">
        <f>VLOOKUP($A63,'2022-23 Salary &amp; Benefits'!$A:$I,3,)</f>
        <v>1</v>
      </c>
      <c r="F63" s="20">
        <f>VLOOKUP($A63,'2022-23 Salary &amp; Benefits'!$A:$I,4,)</f>
        <v>1</v>
      </c>
      <c r="G63" s="34">
        <f>VLOOKUP(A63,'CEDARS District FRPL'!$A:$F,6,)</f>
        <v>0</v>
      </c>
      <c r="H63" s="25">
        <f t="shared" si="1"/>
        <v>353.55</v>
      </c>
      <c r="I63" s="39">
        <f t="shared" si="4"/>
        <v>0</v>
      </c>
      <c r="J63" s="24">
        <v>15</v>
      </c>
      <c r="K63" s="26">
        <f t="shared" si="2"/>
        <v>0</v>
      </c>
      <c r="L63" s="24">
        <v>2.3975</v>
      </c>
      <c r="M63" s="24">
        <v>36</v>
      </c>
      <c r="N63" s="27">
        <f t="shared" si="3"/>
        <v>0</v>
      </c>
      <c r="O63" s="102">
        <f t="shared" si="5"/>
        <v>0</v>
      </c>
      <c r="P63" s="21">
        <f>VLOOKUP(A63,'2022-23 Salary &amp; Benefits'!$A:$I,5,)</f>
        <v>68937</v>
      </c>
      <c r="Q63" s="21">
        <f>VLOOKUP(A63,'2022-23 Salary &amp; Benefits'!$A:$I,6,FALSE)</f>
        <v>72728</v>
      </c>
      <c r="R63" s="22">
        <f t="shared" si="6"/>
        <v>0</v>
      </c>
      <c r="S63" s="22">
        <f t="shared" si="7"/>
        <v>0</v>
      </c>
      <c r="T63" s="22">
        <f>'2022-23 Salary &amp; Benefits'!$G$6</f>
        <v>12558.24</v>
      </c>
      <c r="U63" s="23">
        <f>'2022-23 Salary &amp; Benefits'!$H$6</f>
        <v>0.2298</v>
      </c>
      <c r="V63" s="23">
        <f>'2022-23 Salary &amp; Benefits'!$I$6</f>
        <v>0.22339999999999999</v>
      </c>
      <c r="W63" s="22">
        <f t="shared" si="8"/>
        <v>0</v>
      </c>
      <c r="X63" s="22">
        <f t="shared" si="9"/>
        <v>0</v>
      </c>
      <c r="Y63" s="22">
        <f t="shared" si="10"/>
        <v>0</v>
      </c>
      <c r="Z63" s="22">
        <f t="shared" si="11"/>
        <v>0</v>
      </c>
      <c r="AA63" s="22">
        <f t="shared" si="12"/>
        <v>0</v>
      </c>
    </row>
    <row r="64" spans="1:27">
      <c r="A64" s="125" t="s">
        <v>2498</v>
      </c>
      <c r="B64" s="3" t="s">
        <v>1908</v>
      </c>
      <c r="C64" s="93">
        <f>IF(A64=Summary!$B$9,Summary!$G$9,0)</f>
        <v>0</v>
      </c>
      <c r="D64" s="134">
        <f>VLOOKUP(A64,AAFTE!$A:$S,3,0)</f>
        <v>2504.4699999999998</v>
      </c>
      <c r="E64" s="20">
        <f>VLOOKUP($A64,'2022-23 Salary &amp; Benefits'!$A:$I,3,)</f>
        <v>1</v>
      </c>
      <c r="F64" s="20">
        <f>VLOOKUP($A64,'2022-23 Salary &amp; Benefits'!$A:$I,4,)</f>
        <v>1</v>
      </c>
      <c r="G64" s="34">
        <f>VLOOKUP(A64,'CEDARS District FRPL'!$A:$F,6,)</f>
        <v>0</v>
      </c>
      <c r="H64" s="25">
        <f t="shared" si="1"/>
        <v>2504.4699999999998</v>
      </c>
      <c r="I64" s="39">
        <f t="shared" si="4"/>
        <v>0</v>
      </c>
      <c r="J64" s="24">
        <v>15</v>
      </c>
      <c r="K64" s="26">
        <f t="shared" si="2"/>
        <v>0</v>
      </c>
      <c r="L64" s="24">
        <v>2.3975</v>
      </c>
      <c r="M64" s="24">
        <v>36</v>
      </c>
      <c r="N64" s="27">
        <f t="shared" si="3"/>
        <v>0</v>
      </c>
      <c r="O64" s="102">
        <f t="shared" si="5"/>
        <v>0</v>
      </c>
      <c r="P64" s="21">
        <f>VLOOKUP(A64,'2022-23 Salary &amp; Benefits'!$A:$I,5,)</f>
        <v>68937</v>
      </c>
      <c r="Q64" s="21">
        <f>VLOOKUP(A64,'2022-23 Salary &amp; Benefits'!$A:$I,6,FALSE)</f>
        <v>72728</v>
      </c>
      <c r="R64" s="22">
        <f t="shared" si="6"/>
        <v>0</v>
      </c>
      <c r="S64" s="22">
        <f t="shared" si="7"/>
        <v>0</v>
      </c>
      <c r="T64" s="22">
        <f>'2022-23 Salary &amp; Benefits'!$G$6</f>
        <v>12558.24</v>
      </c>
      <c r="U64" s="23">
        <f>'2022-23 Salary &amp; Benefits'!$H$6</f>
        <v>0.2298</v>
      </c>
      <c r="V64" s="23">
        <f>'2022-23 Salary &amp; Benefits'!$I$6</f>
        <v>0.22339999999999999</v>
      </c>
      <c r="W64" s="22">
        <f t="shared" si="8"/>
        <v>0</v>
      </c>
      <c r="X64" s="22">
        <f t="shared" si="9"/>
        <v>0</v>
      </c>
      <c r="Y64" s="22">
        <f t="shared" si="10"/>
        <v>0</v>
      </c>
      <c r="Z64" s="22">
        <f t="shared" si="11"/>
        <v>0</v>
      </c>
      <c r="AA64" s="22">
        <f t="shared" si="12"/>
        <v>0</v>
      </c>
    </row>
    <row r="65" spans="1:27">
      <c r="A65" s="125" t="s">
        <v>2444</v>
      </c>
      <c r="B65" s="3" t="s">
        <v>1409</v>
      </c>
      <c r="C65" s="93">
        <f>IF(A65=Summary!$B$9,Summary!$G$9,0)</f>
        <v>0</v>
      </c>
      <c r="D65" s="134">
        <f>VLOOKUP(A65,AAFTE!$A:$S,3,0)</f>
        <v>1367.91</v>
      </c>
      <c r="E65" s="20">
        <f>VLOOKUP($A65,'2022-23 Salary &amp; Benefits'!$A:$I,3,)</f>
        <v>1.1200000000000001</v>
      </c>
      <c r="F65" s="20">
        <f>VLOOKUP($A65,'2022-23 Salary &amp; Benefits'!$A:$I,4,)</f>
        <v>1.1600000000000001</v>
      </c>
      <c r="G65" s="34">
        <f>VLOOKUP(A65,'CEDARS District FRPL'!$A:$F,6,)</f>
        <v>0</v>
      </c>
      <c r="H65" s="25">
        <f t="shared" si="1"/>
        <v>1367.91</v>
      </c>
      <c r="I65" s="39">
        <f t="shared" si="4"/>
        <v>0</v>
      </c>
      <c r="J65" s="24">
        <v>15</v>
      </c>
      <c r="K65" s="26">
        <f t="shared" si="2"/>
        <v>0</v>
      </c>
      <c r="L65" s="24">
        <v>2.3975</v>
      </c>
      <c r="M65" s="24">
        <v>36</v>
      </c>
      <c r="N65" s="27">
        <f t="shared" si="3"/>
        <v>0</v>
      </c>
      <c r="O65" s="102">
        <f t="shared" si="5"/>
        <v>0</v>
      </c>
      <c r="P65" s="21">
        <f>VLOOKUP(A65,'2022-23 Salary &amp; Benefits'!$A:$I,5,)</f>
        <v>68937</v>
      </c>
      <c r="Q65" s="21">
        <f>VLOOKUP(A65,'2022-23 Salary &amp; Benefits'!$A:$I,6,FALSE)</f>
        <v>72728</v>
      </c>
      <c r="R65" s="22">
        <f t="shared" si="6"/>
        <v>0</v>
      </c>
      <c r="S65" s="22">
        <f t="shared" si="7"/>
        <v>0</v>
      </c>
      <c r="T65" s="22">
        <f>'2022-23 Salary &amp; Benefits'!$G$6</f>
        <v>12558.24</v>
      </c>
      <c r="U65" s="23">
        <f>'2022-23 Salary &amp; Benefits'!$H$6</f>
        <v>0.2298</v>
      </c>
      <c r="V65" s="23">
        <f>'2022-23 Salary &amp; Benefits'!$I$6</f>
        <v>0.22339999999999999</v>
      </c>
      <c r="W65" s="22">
        <f t="shared" si="8"/>
        <v>0</v>
      </c>
      <c r="X65" s="22">
        <f t="shared" si="9"/>
        <v>0</v>
      </c>
      <c r="Y65" s="22">
        <f t="shared" si="10"/>
        <v>0</v>
      </c>
      <c r="Z65" s="22">
        <f t="shared" si="11"/>
        <v>0</v>
      </c>
      <c r="AA65" s="22">
        <f t="shared" si="12"/>
        <v>0</v>
      </c>
    </row>
    <row r="66" spans="1:27">
      <c r="A66" s="125" t="s">
        <v>2525</v>
      </c>
      <c r="B66" s="3" t="s">
        <v>2039</v>
      </c>
      <c r="C66" s="93">
        <f>IF(A66=Summary!$B$9,Summary!$G$9,0)</f>
        <v>0</v>
      </c>
      <c r="D66" s="134">
        <f>VLOOKUP(A66,AAFTE!$A:$S,3,0)</f>
        <v>17.43</v>
      </c>
      <c r="E66" s="20">
        <f>VLOOKUP($A66,'2022-23 Salary &amp; Benefits'!$A:$I,3,)</f>
        <v>1</v>
      </c>
      <c r="F66" s="20">
        <f>VLOOKUP($A66,'2022-23 Salary &amp; Benefits'!$A:$I,4,)</f>
        <v>1</v>
      </c>
      <c r="G66" s="34">
        <f>VLOOKUP(A66,'CEDARS District FRPL'!$A:$F,6,)</f>
        <v>0</v>
      </c>
      <c r="H66" s="25">
        <f t="shared" si="1"/>
        <v>17.43</v>
      </c>
      <c r="I66" s="39">
        <f t="shared" si="4"/>
        <v>0</v>
      </c>
      <c r="J66" s="24">
        <v>15</v>
      </c>
      <c r="K66" s="26">
        <f t="shared" si="2"/>
        <v>0</v>
      </c>
      <c r="L66" s="24">
        <v>2.3975</v>
      </c>
      <c r="M66" s="24">
        <v>36</v>
      </c>
      <c r="N66" s="27">
        <f t="shared" si="3"/>
        <v>0</v>
      </c>
      <c r="O66" s="102">
        <f t="shared" si="5"/>
        <v>0</v>
      </c>
      <c r="P66" s="21">
        <f>VLOOKUP(A66,'2022-23 Salary &amp; Benefits'!$A:$I,5,)</f>
        <v>68937</v>
      </c>
      <c r="Q66" s="21">
        <f>VLOOKUP(A66,'2022-23 Salary &amp; Benefits'!$A:$I,6,FALSE)</f>
        <v>72728</v>
      </c>
      <c r="R66" s="22">
        <f t="shared" si="6"/>
        <v>0</v>
      </c>
      <c r="S66" s="22">
        <f t="shared" si="7"/>
        <v>0</v>
      </c>
      <c r="T66" s="22">
        <f>'2022-23 Salary &amp; Benefits'!$G$6</f>
        <v>12558.24</v>
      </c>
      <c r="U66" s="23">
        <f>'2022-23 Salary &amp; Benefits'!$H$6</f>
        <v>0.2298</v>
      </c>
      <c r="V66" s="23">
        <f>'2022-23 Salary &amp; Benefits'!$I$6</f>
        <v>0.22339999999999999</v>
      </c>
      <c r="W66" s="22">
        <f t="shared" si="8"/>
        <v>0</v>
      </c>
      <c r="X66" s="22">
        <f t="shared" si="9"/>
        <v>0</v>
      </c>
      <c r="Y66" s="22">
        <f t="shared" si="10"/>
        <v>0</v>
      </c>
      <c r="Z66" s="22">
        <f t="shared" si="11"/>
        <v>0</v>
      </c>
      <c r="AA66" s="22">
        <f t="shared" si="12"/>
        <v>0</v>
      </c>
    </row>
    <row r="67" spans="1:27">
      <c r="A67" s="125" t="s">
        <v>2495</v>
      </c>
      <c r="B67" s="3" t="s">
        <v>1886</v>
      </c>
      <c r="C67" s="93">
        <f>IF(A67=Summary!$B$9,Summary!$G$9,0)</f>
        <v>0</v>
      </c>
      <c r="D67" s="134">
        <f>VLOOKUP(A67,AAFTE!$A:$S,3,0)</f>
        <v>3494.42</v>
      </c>
      <c r="E67" s="20">
        <f>VLOOKUP($A67,'2022-23 Salary &amp; Benefits'!$A:$I,3,)</f>
        <v>1</v>
      </c>
      <c r="F67" s="20">
        <f>VLOOKUP($A67,'2022-23 Salary &amp; Benefits'!$A:$I,4,)</f>
        <v>1.04</v>
      </c>
      <c r="G67" s="34">
        <f>VLOOKUP(A67,'CEDARS District FRPL'!$A:$F,6,)</f>
        <v>0</v>
      </c>
      <c r="H67" s="25">
        <f t="shared" si="1"/>
        <v>3494.42</v>
      </c>
      <c r="I67" s="39">
        <f t="shared" si="4"/>
        <v>0</v>
      </c>
      <c r="J67" s="24">
        <v>15</v>
      </c>
      <c r="K67" s="26">
        <f t="shared" si="2"/>
        <v>0</v>
      </c>
      <c r="L67" s="24">
        <v>2.3975</v>
      </c>
      <c r="M67" s="24">
        <v>36</v>
      </c>
      <c r="N67" s="27">
        <f t="shared" si="3"/>
        <v>0</v>
      </c>
      <c r="O67" s="102">
        <f t="shared" si="5"/>
        <v>0</v>
      </c>
      <c r="P67" s="21">
        <f>VLOOKUP(A67,'2022-23 Salary &amp; Benefits'!$A:$I,5,)</f>
        <v>68937</v>
      </c>
      <c r="Q67" s="21">
        <f>VLOOKUP(A67,'2022-23 Salary &amp; Benefits'!$A:$I,6,FALSE)</f>
        <v>72728</v>
      </c>
      <c r="R67" s="22">
        <f t="shared" si="6"/>
        <v>0</v>
      </c>
      <c r="S67" s="22">
        <f t="shared" si="7"/>
        <v>0</v>
      </c>
      <c r="T67" s="22">
        <f>'2022-23 Salary &amp; Benefits'!$G$6</f>
        <v>12558.24</v>
      </c>
      <c r="U67" s="23">
        <f>'2022-23 Salary &amp; Benefits'!$H$6</f>
        <v>0.2298</v>
      </c>
      <c r="V67" s="23">
        <f>'2022-23 Salary &amp; Benefits'!$I$6</f>
        <v>0.22339999999999999</v>
      </c>
      <c r="W67" s="22">
        <f t="shared" si="8"/>
        <v>0</v>
      </c>
      <c r="X67" s="22">
        <f t="shared" si="9"/>
        <v>0</v>
      </c>
      <c r="Y67" s="22">
        <f t="shared" si="10"/>
        <v>0</v>
      </c>
      <c r="Z67" s="22">
        <f t="shared" si="11"/>
        <v>0</v>
      </c>
      <c r="AA67" s="22">
        <f t="shared" si="12"/>
        <v>0</v>
      </c>
    </row>
    <row r="68" spans="1:27">
      <c r="A68" s="125" t="s">
        <v>2556</v>
      </c>
      <c r="B68" s="3" t="s">
        <v>2190</v>
      </c>
      <c r="C68" s="93">
        <f>IF(A68=Summary!$B$9,Summary!$G$9,0)</f>
        <v>0</v>
      </c>
      <c r="D68" s="134">
        <f>VLOOKUP(A68,AAFTE!$A:$S,3,0)</f>
        <v>3265.46</v>
      </c>
      <c r="E68" s="20">
        <f>VLOOKUP($A68,'2022-23 Salary &amp; Benefits'!$A:$I,3,)</f>
        <v>1</v>
      </c>
      <c r="F68" s="20">
        <f>VLOOKUP($A68,'2022-23 Salary &amp; Benefits'!$A:$I,4,)</f>
        <v>1</v>
      </c>
      <c r="G68" s="34">
        <f>VLOOKUP(A68,'CEDARS District FRPL'!$A:$F,6,)</f>
        <v>0</v>
      </c>
      <c r="H68" s="25">
        <f t="shared" si="1"/>
        <v>3265.46</v>
      </c>
      <c r="I68" s="39">
        <f t="shared" si="4"/>
        <v>0</v>
      </c>
      <c r="J68" s="24">
        <v>15</v>
      </c>
      <c r="K68" s="26">
        <f t="shared" si="2"/>
        <v>0</v>
      </c>
      <c r="L68" s="24">
        <v>2.3975</v>
      </c>
      <c r="M68" s="24">
        <v>36</v>
      </c>
      <c r="N68" s="27">
        <f t="shared" si="3"/>
        <v>0</v>
      </c>
      <c r="O68" s="102">
        <f t="shared" si="5"/>
        <v>0</v>
      </c>
      <c r="P68" s="21">
        <f>VLOOKUP(A68,'2022-23 Salary &amp; Benefits'!$A:$I,5,)</f>
        <v>68937</v>
      </c>
      <c r="Q68" s="21">
        <f>VLOOKUP(A68,'2022-23 Salary &amp; Benefits'!$A:$I,6,FALSE)</f>
        <v>72728</v>
      </c>
      <c r="R68" s="22">
        <f t="shared" si="6"/>
        <v>0</v>
      </c>
      <c r="S68" s="22">
        <f t="shared" si="7"/>
        <v>0</v>
      </c>
      <c r="T68" s="22">
        <f>'2022-23 Salary &amp; Benefits'!$G$6</f>
        <v>12558.24</v>
      </c>
      <c r="U68" s="23">
        <f>'2022-23 Salary &amp; Benefits'!$H$6</f>
        <v>0.2298</v>
      </c>
      <c r="V68" s="23">
        <f>'2022-23 Salary &amp; Benefits'!$I$6</f>
        <v>0.22339999999999999</v>
      </c>
      <c r="W68" s="22">
        <f t="shared" si="8"/>
        <v>0</v>
      </c>
      <c r="X68" s="22">
        <f t="shared" si="9"/>
        <v>0</v>
      </c>
      <c r="Y68" s="22">
        <f t="shared" si="10"/>
        <v>0</v>
      </c>
      <c r="Z68" s="22">
        <f t="shared" si="11"/>
        <v>0</v>
      </c>
      <c r="AA68" s="22">
        <f t="shared" si="12"/>
        <v>0</v>
      </c>
    </row>
    <row r="69" spans="1:27">
      <c r="A69" s="125" t="s">
        <v>2304</v>
      </c>
      <c r="B69" s="3" t="s">
        <v>346</v>
      </c>
      <c r="C69" s="93">
        <f>IF(A69=Summary!$B$9,Summary!$G$9,0)</f>
        <v>0</v>
      </c>
      <c r="D69" s="134">
        <f>VLOOKUP(A69,AAFTE!$A:$S,3,0)</f>
        <v>5809.48</v>
      </c>
      <c r="E69" s="20">
        <f>VLOOKUP($A69,'2022-23 Salary &amp; Benefits'!$A:$I,3,)</f>
        <v>1</v>
      </c>
      <c r="F69" s="20">
        <f>VLOOKUP($A69,'2022-23 Salary &amp; Benefits'!$A:$I,4,)</f>
        <v>1</v>
      </c>
      <c r="G69" s="34">
        <f>VLOOKUP(A69,'CEDARS District FRPL'!$A:$F,6,)</f>
        <v>5.3000000000000824E-3</v>
      </c>
      <c r="H69" s="25">
        <f t="shared" si="1"/>
        <v>5809.48</v>
      </c>
      <c r="I69" s="39">
        <f t="shared" si="4"/>
        <v>30.79</v>
      </c>
      <c r="J69" s="24">
        <v>15</v>
      </c>
      <c r="K69" s="26">
        <f t="shared" si="2"/>
        <v>2.0526666666666666</v>
      </c>
      <c r="L69" s="24">
        <v>2.3975</v>
      </c>
      <c r="M69" s="24">
        <v>36</v>
      </c>
      <c r="N69" s="27">
        <f t="shared" si="3"/>
        <v>177.16565999999997</v>
      </c>
      <c r="O69" s="102">
        <f t="shared" si="5"/>
        <v>0.19700000000000001</v>
      </c>
      <c r="P69" s="21">
        <f>VLOOKUP(A69,'2022-23 Salary &amp; Benefits'!$A:$I,5,)</f>
        <v>68937</v>
      </c>
      <c r="Q69" s="21">
        <f>VLOOKUP(A69,'2022-23 Salary &amp; Benefits'!$A:$I,6,FALSE)</f>
        <v>72728</v>
      </c>
      <c r="R69" s="22">
        <f t="shared" si="6"/>
        <v>13580.59</v>
      </c>
      <c r="S69" s="22">
        <f t="shared" si="7"/>
        <v>746.83</v>
      </c>
      <c r="T69" s="22">
        <f>'2022-23 Salary &amp; Benefits'!$G$6</f>
        <v>12558.24</v>
      </c>
      <c r="U69" s="23">
        <f>'2022-23 Salary &amp; Benefits'!$H$6</f>
        <v>0.2298</v>
      </c>
      <c r="V69" s="23">
        <f>'2022-23 Salary &amp; Benefits'!$I$6</f>
        <v>0.22339999999999999</v>
      </c>
      <c r="W69" s="22">
        <f t="shared" si="8"/>
        <v>5761.63</v>
      </c>
      <c r="X69" s="22">
        <f t="shared" si="9"/>
        <v>238.79</v>
      </c>
      <c r="Y69" s="22">
        <f t="shared" si="10"/>
        <v>53.35</v>
      </c>
      <c r="Z69" s="22">
        <f t="shared" si="11"/>
        <v>292.14</v>
      </c>
      <c r="AA69" s="22">
        <f t="shared" si="12"/>
        <v>20381.190000000002</v>
      </c>
    </row>
    <row r="70" spans="1:27">
      <c r="A70" s="125" t="s">
        <v>2378</v>
      </c>
      <c r="B70" s="3" t="s">
        <v>1085</v>
      </c>
      <c r="C70" s="93">
        <f>IF(A70=Summary!$B$9,Summary!$G$9,0)</f>
        <v>0</v>
      </c>
      <c r="D70" s="134">
        <f>VLOOKUP(A70,AAFTE!$A:$S,3,0)</f>
        <v>84.66</v>
      </c>
      <c r="E70" s="20">
        <f>VLOOKUP($A70,'2022-23 Salary &amp; Benefits'!$A:$I,3,)</f>
        <v>1</v>
      </c>
      <c r="F70" s="20">
        <f>VLOOKUP($A70,'2022-23 Salary &amp; Benefits'!$A:$I,4,)</f>
        <v>1</v>
      </c>
      <c r="G70" s="34">
        <f>VLOOKUP(A70,'CEDARS District FRPL'!$A:$F,6,)</f>
        <v>0</v>
      </c>
      <c r="H70" s="25">
        <f t="shared" si="1"/>
        <v>84.66</v>
      </c>
      <c r="I70" s="39">
        <f t="shared" ref="I70:I133" si="13">ROUND(H70*G70,2)</f>
        <v>0</v>
      </c>
      <c r="J70" s="24">
        <v>15</v>
      </c>
      <c r="K70" s="26">
        <f t="shared" si="2"/>
        <v>0</v>
      </c>
      <c r="L70" s="24">
        <v>2.3975</v>
      </c>
      <c r="M70" s="24">
        <v>36</v>
      </c>
      <c r="N70" s="27">
        <f t="shared" si="3"/>
        <v>0</v>
      </c>
      <c r="O70" s="102">
        <f t="shared" ref="O70:O133" si="14">ROUND(N70/900,3)</f>
        <v>0</v>
      </c>
      <c r="P70" s="21">
        <f>VLOOKUP(A70,'2022-23 Salary &amp; Benefits'!$A:$I,5,)</f>
        <v>68937</v>
      </c>
      <c r="Q70" s="21">
        <f>VLOOKUP(A70,'2022-23 Salary &amp; Benefits'!$A:$I,6,FALSE)</f>
        <v>72728</v>
      </c>
      <c r="R70" s="22">
        <f t="shared" ref="R70:R133" si="15">ROUND($E70*$P70*$O70,2)</f>
        <v>0</v>
      </c>
      <c r="S70" s="22">
        <f t="shared" ref="S70:S133" si="16">ROUND(($Q70*$F70*$O70-$R70),2)</f>
        <v>0</v>
      </c>
      <c r="T70" s="22">
        <f>'2022-23 Salary &amp; Benefits'!$G$6</f>
        <v>12558.24</v>
      </c>
      <c r="U70" s="23">
        <f>'2022-23 Salary &amp; Benefits'!$H$6</f>
        <v>0.2298</v>
      </c>
      <c r="V70" s="23">
        <f>'2022-23 Salary &amp; Benefits'!$I$6</f>
        <v>0.22339999999999999</v>
      </c>
      <c r="W70" s="22">
        <f t="shared" ref="W70:W133" si="17">ROUND(R70*U70+S70*V70+O70*T70,2)</f>
        <v>0</v>
      </c>
      <c r="X70" s="22">
        <f t="shared" ref="X70:X133" si="18">ROUND(($Q70*$F70*$O70/180*3),2)</f>
        <v>0</v>
      </c>
      <c r="Y70" s="22">
        <f t="shared" ref="Y70:Y133" si="19">ROUND(X70*V70,2)</f>
        <v>0</v>
      </c>
      <c r="Z70" s="22">
        <f t="shared" si="11"/>
        <v>0</v>
      </c>
      <c r="AA70" s="22">
        <f t="shared" si="12"/>
        <v>0</v>
      </c>
    </row>
    <row r="71" spans="1:27">
      <c r="A71" s="125" t="s">
        <v>2450</v>
      </c>
      <c r="B71" s="3" t="s">
        <v>1500</v>
      </c>
      <c r="C71" s="93">
        <f>IF(A71=Summary!$B$9,Summary!$G$9,0)</f>
        <v>0</v>
      </c>
      <c r="D71" s="134">
        <f>VLOOKUP(A71,AAFTE!$A:$S,3,0)</f>
        <v>1899.41</v>
      </c>
      <c r="E71" s="20">
        <f>VLOOKUP($A71,'2022-23 Salary &amp; Benefits'!$A:$I,3,)</f>
        <v>1</v>
      </c>
      <c r="F71" s="20">
        <f>VLOOKUP($A71,'2022-23 Salary &amp; Benefits'!$A:$I,4,)</f>
        <v>1</v>
      </c>
      <c r="G71" s="34">
        <f>VLOOKUP(A71,'CEDARS District FRPL'!$A:$F,6,)</f>
        <v>3.8600000000000023E-2</v>
      </c>
      <c r="H71" s="25">
        <f t="shared" ref="H71:H133" si="20">IF(C71&gt;0,C71,D71)</f>
        <v>1899.41</v>
      </c>
      <c r="I71" s="39">
        <f t="shared" si="13"/>
        <v>73.319999999999993</v>
      </c>
      <c r="J71" s="24">
        <v>15</v>
      </c>
      <c r="K71" s="26">
        <f t="shared" si="2"/>
        <v>4.8879999999999999</v>
      </c>
      <c r="L71" s="24">
        <v>2.3975</v>
      </c>
      <c r="M71" s="24">
        <v>36</v>
      </c>
      <c r="N71" s="27">
        <f t="shared" si="3"/>
        <v>421.88328000000001</v>
      </c>
      <c r="O71" s="102">
        <f t="shared" si="14"/>
        <v>0.46899999999999997</v>
      </c>
      <c r="P71" s="21">
        <f>VLOOKUP(A71,'2022-23 Salary &amp; Benefits'!$A:$I,5,)</f>
        <v>68937</v>
      </c>
      <c r="Q71" s="21">
        <f>VLOOKUP(A71,'2022-23 Salary &amp; Benefits'!$A:$I,6,FALSE)</f>
        <v>72728</v>
      </c>
      <c r="R71" s="22">
        <f t="shared" si="15"/>
        <v>32331.45</v>
      </c>
      <c r="S71" s="22">
        <f t="shared" si="16"/>
        <v>1777.98</v>
      </c>
      <c r="T71" s="22">
        <f>'2022-23 Salary &amp; Benefits'!$G$6</f>
        <v>12558.24</v>
      </c>
      <c r="U71" s="23">
        <f>'2022-23 Salary &amp; Benefits'!$H$6</f>
        <v>0.2298</v>
      </c>
      <c r="V71" s="23">
        <f>'2022-23 Salary &amp; Benefits'!$I$6</f>
        <v>0.22339999999999999</v>
      </c>
      <c r="W71" s="22">
        <f t="shared" si="17"/>
        <v>13716.78</v>
      </c>
      <c r="X71" s="22">
        <f t="shared" si="18"/>
        <v>568.49</v>
      </c>
      <c r="Y71" s="22">
        <f t="shared" si="19"/>
        <v>127</v>
      </c>
      <c r="Z71" s="22">
        <f t="shared" si="11"/>
        <v>695.49</v>
      </c>
      <c r="AA71" s="22">
        <f t="shared" si="12"/>
        <v>48521.700000000004</v>
      </c>
    </row>
    <row r="72" spans="1:27">
      <c r="A72" s="125" t="s">
        <v>2475</v>
      </c>
      <c r="B72" s="3" t="s">
        <v>1645</v>
      </c>
      <c r="C72" s="93">
        <f>IF(A72=Summary!$B$9,Summary!$G$9,0)</f>
        <v>0</v>
      </c>
      <c r="D72" s="134">
        <f>VLOOKUP(A72,AAFTE!$A:$S,3,0)</f>
        <v>20050.11</v>
      </c>
      <c r="E72" s="20">
        <f>VLOOKUP($A72,'2022-23 Salary &amp; Benefits'!$A:$I,3,)</f>
        <v>1.18</v>
      </c>
      <c r="F72" s="20">
        <f>VLOOKUP($A72,'2022-23 Salary &amp; Benefits'!$A:$I,4,)</f>
        <v>1.18</v>
      </c>
      <c r="G72" s="34">
        <f>VLOOKUP(A72,'CEDARS District FRPL'!$A:$F,6,)</f>
        <v>2.2900000000000031E-2</v>
      </c>
      <c r="H72" s="25">
        <f t="shared" si="20"/>
        <v>20050.11</v>
      </c>
      <c r="I72" s="39">
        <f t="shared" si="13"/>
        <v>459.15</v>
      </c>
      <c r="J72" s="24">
        <v>15</v>
      </c>
      <c r="K72" s="26">
        <f t="shared" ref="K72:K134" si="21">I72/J72</f>
        <v>30.61</v>
      </c>
      <c r="L72" s="24">
        <v>2.3975</v>
      </c>
      <c r="M72" s="24">
        <v>36</v>
      </c>
      <c r="N72" s="27">
        <f t="shared" ref="N72:N134" si="22">K72*L72*M72</f>
        <v>2641.9490999999998</v>
      </c>
      <c r="O72" s="102">
        <f t="shared" si="14"/>
        <v>2.9350000000000001</v>
      </c>
      <c r="P72" s="21">
        <f>VLOOKUP(A72,'2022-23 Salary &amp; Benefits'!$A:$I,5,)</f>
        <v>68937</v>
      </c>
      <c r="Q72" s="21">
        <f>VLOOKUP(A72,'2022-23 Salary &amp; Benefits'!$A:$I,6,FALSE)</f>
        <v>72728</v>
      </c>
      <c r="R72" s="22">
        <f t="shared" si="15"/>
        <v>238749.51</v>
      </c>
      <c r="S72" s="22">
        <f t="shared" si="16"/>
        <v>13129.37</v>
      </c>
      <c r="T72" s="22">
        <f>'2022-23 Salary &amp; Benefits'!$G$6</f>
        <v>12558.24</v>
      </c>
      <c r="U72" s="23">
        <f>'2022-23 Salary &amp; Benefits'!$H$6</f>
        <v>0.2298</v>
      </c>
      <c r="V72" s="23">
        <f>'2022-23 Salary &amp; Benefits'!$I$6</f>
        <v>0.22339999999999999</v>
      </c>
      <c r="W72" s="22">
        <f t="shared" si="17"/>
        <v>94656.17</v>
      </c>
      <c r="X72" s="22">
        <f t="shared" si="18"/>
        <v>4197.9799999999996</v>
      </c>
      <c r="Y72" s="22">
        <f t="shared" si="19"/>
        <v>937.83</v>
      </c>
      <c r="Z72" s="22">
        <f t="shared" si="11"/>
        <v>5135.8099999999995</v>
      </c>
      <c r="AA72" s="22">
        <f t="shared" si="12"/>
        <v>351670.86</v>
      </c>
    </row>
    <row r="73" spans="1:27">
      <c r="A73" s="125" t="s">
        <v>2380</v>
      </c>
      <c r="B73" s="3" t="s">
        <v>1089</v>
      </c>
      <c r="C73" s="93">
        <f>IF(A73=Summary!$B$9,Summary!$G$9,0)</f>
        <v>0</v>
      </c>
      <c r="D73" s="134">
        <f>VLOOKUP(A73,AAFTE!$A:$S,3,0)</f>
        <v>3231.49</v>
      </c>
      <c r="E73" s="20">
        <f>VLOOKUP($A73,'2022-23 Salary &amp; Benefits'!$A:$I,3,)</f>
        <v>1</v>
      </c>
      <c r="F73" s="20">
        <f>VLOOKUP($A73,'2022-23 Salary &amp; Benefits'!$A:$I,4,)</f>
        <v>1</v>
      </c>
      <c r="G73" s="34">
        <f>VLOOKUP(A73,'CEDARS District FRPL'!$A:$F,6,)</f>
        <v>0</v>
      </c>
      <c r="H73" s="25">
        <f t="shared" si="20"/>
        <v>3231.49</v>
      </c>
      <c r="I73" s="39">
        <f t="shared" si="13"/>
        <v>0</v>
      </c>
      <c r="J73" s="24">
        <v>15</v>
      </c>
      <c r="K73" s="26">
        <f t="shared" si="21"/>
        <v>0</v>
      </c>
      <c r="L73" s="24">
        <v>2.3975</v>
      </c>
      <c r="M73" s="24">
        <v>36</v>
      </c>
      <c r="N73" s="27">
        <f t="shared" si="22"/>
        <v>0</v>
      </c>
      <c r="O73" s="102">
        <f t="shared" si="14"/>
        <v>0</v>
      </c>
      <c r="P73" s="21">
        <f>VLOOKUP(A73,'2022-23 Salary &amp; Benefits'!$A:$I,5,)</f>
        <v>68937</v>
      </c>
      <c r="Q73" s="21">
        <f>VLOOKUP(A73,'2022-23 Salary &amp; Benefits'!$A:$I,6,FALSE)</f>
        <v>72728</v>
      </c>
      <c r="R73" s="22">
        <f t="shared" si="15"/>
        <v>0</v>
      </c>
      <c r="S73" s="22">
        <f t="shared" si="16"/>
        <v>0</v>
      </c>
      <c r="T73" s="22">
        <f>'2022-23 Salary &amp; Benefits'!$G$6</f>
        <v>12558.24</v>
      </c>
      <c r="U73" s="23">
        <f>'2022-23 Salary &amp; Benefits'!$H$6</f>
        <v>0.2298</v>
      </c>
      <c r="V73" s="23">
        <f>'2022-23 Salary &amp; Benefits'!$I$6</f>
        <v>0.22339999999999999</v>
      </c>
      <c r="W73" s="22">
        <f t="shared" si="17"/>
        <v>0</v>
      </c>
      <c r="X73" s="22">
        <f t="shared" si="18"/>
        <v>0</v>
      </c>
      <c r="Y73" s="22">
        <f t="shared" si="19"/>
        <v>0</v>
      </c>
      <c r="Z73" s="22">
        <f t="shared" ref="Z73:Z134" si="23">SUM(X73:Y73)</f>
        <v>0</v>
      </c>
      <c r="AA73" s="22">
        <f t="shared" ref="AA73:AA135" si="24">SUM(W73,R73:S73,Z73)</f>
        <v>0</v>
      </c>
    </row>
    <row r="74" spans="1:27">
      <c r="A74" s="125" t="s">
        <v>2332</v>
      </c>
      <c r="B74" s="3" t="s">
        <v>491</v>
      </c>
      <c r="C74" s="93">
        <f>IF(A74=Summary!$B$9,Summary!$G$9,0)</f>
        <v>0</v>
      </c>
      <c r="D74" s="134">
        <f>VLOOKUP(A74,AAFTE!$A:$S,3,0)</f>
        <v>1565.07</v>
      </c>
      <c r="E74" s="20">
        <f>VLOOKUP($A74,'2022-23 Salary &amp; Benefits'!$A:$I,3,)</f>
        <v>1</v>
      </c>
      <c r="F74" s="20">
        <f>VLOOKUP($A74,'2022-23 Salary &amp; Benefits'!$A:$I,4,)</f>
        <v>1.04</v>
      </c>
      <c r="G74" s="34">
        <f>VLOOKUP(A74,'CEDARS District FRPL'!$A:$F,6,)</f>
        <v>0</v>
      </c>
      <c r="H74" s="25">
        <f t="shared" si="20"/>
        <v>1565.07</v>
      </c>
      <c r="I74" s="39">
        <f t="shared" si="13"/>
        <v>0</v>
      </c>
      <c r="J74" s="24">
        <v>15</v>
      </c>
      <c r="K74" s="26">
        <f t="shared" si="21"/>
        <v>0</v>
      </c>
      <c r="L74" s="24">
        <v>2.3975</v>
      </c>
      <c r="M74" s="24">
        <v>36</v>
      </c>
      <c r="N74" s="27">
        <f t="shared" si="22"/>
        <v>0</v>
      </c>
      <c r="O74" s="102">
        <f t="shared" si="14"/>
        <v>0</v>
      </c>
      <c r="P74" s="21">
        <f>VLOOKUP(A74,'2022-23 Salary &amp; Benefits'!$A:$I,5,)</f>
        <v>68937</v>
      </c>
      <c r="Q74" s="21">
        <f>VLOOKUP(A74,'2022-23 Salary &amp; Benefits'!$A:$I,6,FALSE)</f>
        <v>72728</v>
      </c>
      <c r="R74" s="22">
        <f t="shared" si="15"/>
        <v>0</v>
      </c>
      <c r="S74" s="22">
        <f t="shared" si="16"/>
        <v>0</v>
      </c>
      <c r="T74" s="22">
        <f>'2022-23 Salary &amp; Benefits'!$G$6</f>
        <v>12558.24</v>
      </c>
      <c r="U74" s="23">
        <f>'2022-23 Salary &amp; Benefits'!$H$6</f>
        <v>0.2298</v>
      </c>
      <c r="V74" s="23">
        <f>'2022-23 Salary &amp; Benefits'!$I$6</f>
        <v>0.22339999999999999</v>
      </c>
      <c r="W74" s="22">
        <f t="shared" si="17"/>
        <v>0</v>
      </c>
      <c r="X74" s="22">
        <f t="shared" si="18"/>
        <v>0</v>
      </c>
      <c r="Y74" s="22">
        <f t="shared" si="19"/>
        <v>0</v>
      </c>
      <c r="Z74" s="22">
        <f t="shared" si="23"/>
        <v>0</v>
      </c>
      <c r="AA74" s="22">
        <f t="shared" si="24"/>
        <v>0</v>
      </c>
    </row>
    <row r="75" spans="1:27">
      <c r="A75" s="125" t="s">
        <v>2549</v>
      </c>
      <c r="B75" s="3" t="s">
        <v>2154</v>
      </c>
      <c r="C75" s="93">
        <f>IF(A75=Summary!$B$9,Summary!$G$9,0)</f>
        <v>0</v>
      </c>
      <c r="D75" s="134">
        <f>VLOOKUP(A75,AAFTE!$A:$S,3,0)</f>
        <v>74.8</v>
      </c>
      <c r="E75" s="20">
        <f>VLOOKUP($A75,'2022-23 Salary &amp; Benefits'!$A:$I,3,)</f>
        <v>1</v>
      </c>
      <c r="F75" s="20">
        <f>VLOOKUP($A75,'2022-23 Salary &amp; Benefits'!$A:$I,4,)</f>
        <v>1</v>
      </c>
      <c r="G75" s="34">
        <f>VLOOKUP(A75,'CEDARS District FRPL'!$A:$F,6,)</f>
        <v>3.1299999999999994E-2</v>
      </c>
      <c r="H75" s="25">
        <f t="shared" si="20"/>
        <v>74.8</v>
      </c>
      <c r="I75" s="39">
        <f t="shared" si="13"/>
        <v>2.34</v>
      </c>
      <c r="J75" s="24">
        <v>15</v>
      </c>
      <c r="K75" s="26">
        <f t="shared" si="21"/>
        <v>0.156</v>
      </c>
      <c r="L75" s="24">
        <v>2.3975</v>
      </c>
      <c r="M75" s="24">
        <v>36</v>
      </c>
      <c r="N75" s="27">
        <f t="shared" si="22"/>
        <v>13.464360000000001</v>
      </c>
      <c r="O75" s="102">
        <f t="shared" si="14"/>
        <v>1.4999999999999999E-2</v>
      </c>
      <c r="P75" s="21">
        <f>VLOOKUP(A75,'2022-23 Salary &amp; Benefits'!$A:$I,5,)</f>
        <v>68937</v>
      </c>
      <c r="Q75" s="21">
        <f>VLOOKUP(A75,'2022-23 Salary &amp; Benefits'!$A:$I,6,FALSE)</f>
        <v>72728</v>
      </c>
      <c r="R75" s="22">
        <f t="shared" si="15"/>
        <v>1034.06</v>
      </c>
      <c r="S75" s="22">
        <f t="shared" si="16"/>
        <v>56.86</v>
      </c>
      <c r="T75" s="22">
        <f>'2022-23 Salary &amp; Benefits'!$G$6</f>
        <v>12558.24</v>
      </c>
      <c r="U75" s="23">
        <f>'2022-23 Salary &amp; Benefits'!$H$6</f>
        <v>0.2298</v>
      </c>
      <c r="V75" s="23">
        <f>'2022-23 Salary &amp; Benefits'!$I$6</f>
        <v>0.22339999999999999</v>
      </c>
      <c r="W75" s="22">
        <f t="shared" si="17"/>
        <v>438.7</v>
      </c>
      <c r="X75" s="22">
        <f t="shared" si="18"/>
        <v>18.18</v>
      </c>
      <c r="Y75" s="22">
        <f t="shared" si="19"/>
        <v>4.0599999999999996</v>
      </c>
      <c r="Z75" s="22">
        <f t="shared" si="23"/>
        <v>22.24</v>
      </c>
      <c r="AA75" s="22">
        <f t="shared" si="24"/>
        <v>1551.86</v>
      </c>
    </row>
    <row r="76" spans="1:27">
      <c r="A76" s="125" t="s">
        <v>2272</v>
      </c>
      <c r="B76" s="3" t="s">
        <v>102</v>
      </c>
      <c r="C76" s="93">
        <f>IF(A76=Summary!$B$9,Summary!$G$9,0)</f>
        <v>0</v>
      </c>
      <c r="D76" s="134">
        <f>VLOOKUP(A76,AAFTE!$A:$S,3,0)</f>
        <v>311.72000000000003</v>
      </c>
      <c r="E76" s="20">
        <f>VLOOKUP($A76,'2022-23 Salary &amp; Benefits'!$A:$I,3,)</f>
        <v>1</v>
      </c>
      <c r="F76" s="20">
        <f>VLOOKUP($A76,'2022-23 Salary &amp; Benefits'!$A:$I,4,)</f>
        <v>1.04</v>
      </c>
      <c r="G76" s="34">
        <f>VLOOKUP(A76,'CEDARS District FRPL'!$A:$F,6,)</f>
        <v>0</v>
      </c>
      <c r="H76" s="25">
        <f t="shared" si="20"/>
        <v>311.72000000000003</v>
      </c>
      <c r="I76" s="39">
        <f t="shared" si="13"/>
        <v>0</v>
      </c>
      <c r="J76" s="24">
        <v>15</v>
      </c>
      <c r="K76" s="26">
        <f t="shared" si="21"/>
        <v>0</v>
      </c>
      <c r="L76" s="24">
        <v>2.3975</v>
      </c>
      <c r="M76" s="24">
        <v>36</v>
      </c>
      <c r="N76" s="27">
        <f t="shared" si="22"/>
        <v>0</v>
      </c>
      <c r="O76" s="102">
        <f t="shared" si="14"/>
        <v>0</v>
      </c>
      <c r="P76" s="21">
        <f>VLOOKUP(A76,'2022-23 Salary &amp; Benefits'!$A:$I,5,)</f>
        <v>68937</v>
      </c>
      <c r="Q76" s="21">
        <f>VLOOKUP(A76,'2022-23 Salary &amp; Benefits'!$A:$I,6,FALSE)</f>
        <v>72728</v>
      </c>
      <c r="R76" s="22">
        <f t="shared" si="15"/>
        <v>0</v>
      </c>
      <c r="S76" s="22">
        <f t="shared" si="16"/>
        <v>0</v>
      </c>
      <c r="T76" s="22">
        <f>'2022-23 Salary &amp; Benefits'!$G$6</f>
        <v>12558.24</v>
      </c>
      <c r="U76" s="23">
        <f>'2022-23 Salary &amp; Benefits'!$H$6</f>
        <v>0.2298</v>
      </c>
      <c r="V76" s="23">
        <f>'2022-23 Salary &amp; Benefits'!$I$6</f>
        <v>0.22339999999999999</v>
      </c>
      <c r="W76" s="22">
        <f t="shared" si="17"/>
        <v>0</v>
      </c>
      <c r="X76" s="22">
        <f t="shared" si="18"/>
        <v>0</v>
      </c>
      <c r="Y76" s="22">
        <f t="shared" si="19"/>
        <v>0</v>
      </c>
      <c r="Z76" s="22">
        <f t="shared" si="23"/>
        <v>0</v>
      </c>
      <c r="AA76" s="22">
        <f t="shared" si="24"/>
        <v>0</v>
      </c>
    </row>
    <row r="77" spans="1:27">
      <c r="A77" s="125" t="s">
        <v>2350</v>
      </c>
      <c r="B77" s="3" t="s">
        <v>685</v>
      </c>
      <c r="C77" s="93">
        <f>IF(A77=Summary!$B$9,Summary!$G$9,0)</f>
        <v>0</v>
      </c>
      <c r="D77" s="134">
        <f>VLOOKUP(A77,AAFTE!$A:$S,3,0)</f>
        <v>4086.68</v>
      </c>
      <c r="E77" s="20">
        <f>VLOOKUP($A77,'2022-23 Salary &amp; Benefits'!$A:$I,3,)</f>
        <v>1.1200000000000001</v>
      </c>
      <c r="F77" s="20">
        <f>VLOOKUP($A77,'2022-23 Salary &amp; Benefits'!$A:$I,4,)</f>
        <v>1.1600000000000001</v>
      </c>
      <c r="G77" s="34">
        <f>VLOOKUP(A77,'CEDARS District FRPL'!$A:$F,6,)</f>
        <v>4.9000000000000155E-3</v>
      </c>
      <c r="H77" s="25">
        <f t="shared" si="20"/>
        <v>4086.68</v>
      </c>
      <c r="I77" s="39">
        <f t="shared" si="13"/>
        <v>20.02</v>
      </c>
      <c r="J77" s="24">
        <v>15</v>
      </c>
      <c r="K77" s="26">
        <f t="shared" si="21"/>
        <v>1.3346666666666667</v>
      </c>
      <c r="L77" s="24">
        <v>2.3975</v>
      </c>
      <c r="M77" s="24">
        <v>36</v>
      </c>
      <c r="N77" s="27">
        <f t="shared" si="22"/>
        <v>115.19508</v>
      </c>
      <c r="O77" s="102">
        <f t="shared" si="14"/>
        <v>0.128</v>
      </c>
      <c r="P77" s="21">
        <f>VLOOKUP(A77,'2022-23 Salary &amp; Benefits'!$A:$I,5,)</f>
        <v>68937</v>
      </c>
      <c r="Q77" s="21">
        <f>VLOOKUP(A77,'2022-23 Salary &amp; Benefits'!$A:$I,6,FALSE)</f>
        <v>72728</v>
      </c>
      <c r="R77" s="22">
        <f t="shared" si="15"/>
        <v>9882.81</v>
      </c>
      <c r="S77" s="22">
        <f t="shared" si="16"/>
        <v>915.84</v>
      </c>
      <c r="T77" s="22">
        <f>'2022-23 Salary &amp; Benefits'!$G$6</f>
        <v>12558.24</v>
      </c>
      <c r="U77" s="23">
        <f>'2022-23 Salary &amp; Benefits'!$H$6</f>
        <v>0.2298</v>
      </c>
      <c r="V77" s="23">
        <f>'2022-23 Salary &amp; Benefits'!$I$6</f>
        <v>0.22339999999999999</v>
      </c>
      <c r="W77" s="22">
        <f t="shared" si="17"/>
        <v>4083.12</v>
      </c>
      <c r="X77" s="22">
        <f t="shared" si="18"/>
        <v>179.98</v>
      </c>
      <c r="Y77" s="22">
        <f t="shared" si="19"/>
        <v>40.21</v>
      </c>
      <c r="Z77" s="22">
        <f t="shared" si="23"/>
        <v>220.19</v>
      </c>
      <c r="AA77" s="22">
        <f t="shared" si="24"/>
        <v>15101.960000000001</v>
      </c>
    </row>
    <row r="78" spans="1:27">
      <c r="A78" s="125" t="s">
        <v>2324</v>
      </c>
      <c r="B78" s="3" t="s">
        <v>452</v>
      </c>
      <c r="C78" s="93">
        <f>IF(A78=Summary!$B$9,Summary!$G$9,0)</f>
        <v>0</v>
      </c>
      <c r="D78" s="134">
        <f>VLOOKUP(A78,AAFTE!$A:$S,3,0)</f>
        <v>2578.62</v>
      </c>
      <c r="E78" s="20">
        <f>VLOOKUP($A78,'2022-23 Salary &amp; Benefits'!$A:$I,3,)</f>
        <v>1</v>
      </c>
      <c r="F78" s="20">
        <f>VLOOKUP($A78,'2022-23 Salary &amp; Benefits'!$A:$I,4,)</f>
        <v>1.04</v>
      </c>
      <c r="G78" s="34">
        <f>VLOOKUP(A78,'CEDARS District FRPL'!$A:$F,6,)</f>
        <v>0</v>
      </c>
      <c r="H78" s="25">
        <f t="shared" si="20"/>
        <v>2578.62</v>
      </c>
      <c r="I78" s="39">
        <f t="shared" si="13"/>
        <v>0</v>
      </c>
      <c r="J78" s="24">
        <v>15</v>
      </c>
      <c r="K78" s="26">
        <f t="shared" si="21"/>
        <v>0</v>
      </c>
      <c r="L78" s="24">
        <v>2.3975</v>
      </c>
      <c r="M78" s="24">
        <v>36</v>
      </c>
      <c r="N78" s="27">
        <f t="shared" si="22"/>
        <v>0</v>
      </c>
      <c r="O78" s="102">
        <f t="shared" si="14"/>
        <v>0</v>
      </c>
      <c r="P78" s="21">
        <f>VLOOKUP(A78,'2022-23 Salary &amp; Benefits'!$A:$I,5,)</f>
        <v>68937</v>
      </c>
      <c r="Q78" s="21">
        <f>VLOOKUP(A78,'2022-23 Salary &amp; Benefits'!$A:$I,6,FALSE)</f>
        <v>72728</v>
      </c>
      <c r="R78" s="22">
        <f t="shared" si="15"/>
        <v>0</v>
      </c>
      <c r="S78" s="22">
        <f t="shared" si="16"/>
        <v>0</v>
      </c>
      <c r="T78" s="22">
        <f>'2022-23 Salary &amp; Benefits'!$G$6</f>
        <v>12558.24</v>
      </c>
      <c r="U78" s="23">
        <f>'2022-23 Salary &amp; Benefits'!$H$6</f>
        <v>0.2298</v>
      </c>
      <c r="V78" s="23">
        <f>'2022-23 Salary &amp; Benefits'!$I$6</f>
        <v>0.22339999999999999</v>
      </c>
      <c r="W78" s="22">
        <f t="shared" si="17"/>
        <v>0</v>
      </c>
      <c r="X78" s="22">
        <f t="shared" si="18"/>
        <v>0</v>
      </c>
      <c r="Y78" s="22">
        <f t="shared" si="19"/>
        <v>0</v>
      </c>
      <c r="Z78" s="22">
        <f t="shared" si="23"/>
        <v>0</v>
      </c>
      <c r="AA78" s="22">
        <f t="shared" si="24"/>
        <v>0</v>
      </c>
    </row>
    <row r="79" spans="1:27">
      <c r="A79" s="125" t="s">
        <v>2394</v>
      </c>
      <c r="B79" s="3" t="s">
        <v>1136</v>
      </c>
      <c r="C79" s="93">
        <f>IF(A79=Summary!$B$9,Summary!$G$9,0)</f>
        <v>0</v>
      </c>
      <c r="D79" s="134">
        <f>VLOOKUP(A79,AAFTE!$A:$S,3,0)</f>
        <v>45.43</v>
      </c>
      <c r="E79" s="20">
        <f>VLOOKUP($A79,'2022-23 Salary &amp; Benefits'!$A:$I,3,)</f>
        <v>1</v>
      </c>
      <c r="F79" s="20">
        <f>VLOOKUP($A79,'2022-23 Salary &amp; Benefits'!$A:$I,4,)</f>
        <v>1</v>
      </c>
      <c r="G79" s="34">
        <f>VLOOKUP(A79,'CEDARS District FRPL'!$A:$F,6,)</f>
        <v>8.0999999999999961E-3</v>
      </c>
      <c r="H79" s="25">
        <f t="shared" si="20"/>
        <v>45.43</v>
      </c>
      <c r="I79" s="39">
        <f t="shared" si="13"/>
        <v>0.37</v>
      </c>
      <c r="J79" s="24">
        <v>15</v>
      </c>
      <c r="K79" s="26">
        <f t="shared" si="21"/>
        <v>2.4666666666666667E-2</v>
      </c>
      <c r="L79" s="24">
        <v>2.3975</v>
      </c>
      <c r="M79" s="24">
        <v>36</v>
      </c>
      <c r="N79" s="27">
        <f t="shared" si="22"/>
        <v>2.1289799999999999</v>
      </c>
      <c r="O79" s="102">
        <f t="shared" si="14"/>
        <v>2E-3</v>
      </c>
      <c r="P79" s="21">
        <f>VLOOKUP(A79,'2022-23 Salary &amp; Benefits'!$A:$I,5,)</f>
        <v>68937</v>
      </c>
      <c r="Q79" s="21">
        <f>VLOOKUP(A79,'2022-23 Salary &amp; Benefits'!$A:$I,6,FALSE)</f>
        <v>72728</v>
      </c>
      <c r="R79" s="22">
        <f t="shared" si="15"/>
        <v>137.87</v>
      </c>
      <c r="S79" s="22">
        <f t="shared" si="16"/>
        <v>7.59</v>
      </c>
      <c r="T79" s="22">
        <f>'2022-23 Salary &amp; Benefits'!$G$6</f>
        <v>12558.24</v>
      </c>
      <c r="U79" s="23">
        <f>'2022-23 Salary &amp; Benefits'!$H$6</f>
        <v>0.2298</v>
      </c>
      <c r="V79" s="23">
        <f>'2022-23 Salary &amp; Benefits'!$I$6</f>
        <v>0.22339999999999999</v>
      </c>
      <c r="W79" s="22">
        <f t="shared" si="17"/>
        <v>58.49</v>
      </c>
      <c r="X79" s="22">
        <f t="shared" si="18"/>
        <v>2.42</v>
      </c>
      <c r="Y79" s="22">
        <f t="shared" si="19"/>
        <v>0.54</v>
      </c>
      <c r="Z79" s="22">
        <f t="shared" si="23"/>
        <v>2.96</v>
      </c>
      <c r="AA79" s="22">
        <f t="shared" si="24"/>
        <v>206.91000000000003</v>
      </c>
    </row>
    <row r="80" spans="1:27">
      <c r="A80" s="125" t="s">
        <v>2472</v>
      </c>
      <c r="B80" s="3" t="s">
        <v>1594</v>
      </c>
      <c r="C80" s="93">
        <f>IF(A80=Summary!$B$9,Summary!$G$9,0)</f>
        <v>0</v>
      </c>
      <c r="D80" s="134">
        <f>VLOOKUP(A80,AAFTE!$A:$S,3,0)</f>
        <v>19761.12</v>
      </c>
      <c r="E80" s="20">
        <f>VLOOKUP($A80,'2022-23 Salary &amp; Benefits'!$A:$I,3,)</f>
        <v>1.18</v>
      </c>
      <c r="F80" s="20">
        <f>VLOOKUP($A80,'2022-23 Salary &amp; Benefits'!$A:$I,4,)</f>
        <v>1.18</v>
      </c>
      <c r="G80" s="34">
        <f>VLOOKUP(A80,'CEDARS District FRPL'!$A:$F,6,)</f>
        <v>0</v>
      </c>
      <c r="H80" s="25">
        <f t="shared" si="20"/>
        <v>19761.12</v>
      </c>
      <c r="I80" s="39">
        <f t="shared" si="13"/>
        <v>0</v>
      </c>
      <c r="J80" s="24">
        <v>15</v>
      </c>
      <c r="K80" s="26">
        <f t="shared" si="21"/>
        <v>0</v>
      </c>
      <c r="L80" s="24">
        <v>2.3975</v>
      </c>
      <c r="M80" s="24">
        <v>36</v>
      </c>
      <c r="N80" s="27">
        <f t="shared" si="22"/>
        <v>0</v>
      </c>
      <c r="O80" s="102">
        <f t="shared" si="14"/>
        <v>0</v>
      </c>
      <c r="P80" s="21">
        <f>VLOOKUP(A80,'2022-23 Salary &amp; Benefits'!$A:$I,5,)</f>
        <v>68937</v>
      </c>
      <c r="Q80" s="21">
        <f>VLOOKUP(A80,'2022-23 Salary &amp; Benefits'!$A:$I,6,FALSE)</f>
        <v>72728</v>
      </c>
      <c r="R80" s="22">
        <f t="shared" si="15"/>
        <v>0</v>
      </c>
      <c r="S80" s="22">
        <f t="shared" si="16"/>
        <v>0</v>
      </c>
      <c r="T80" s="22">
        <f>'2022-23 Salary &amp; Benefits'!$G$6</f>
        <v>12558.24</v>
      </c>
      <c r="U80" s="23">
        <f>'2022-23 Salary &amp; Benefits'!$H$6</f>
        <v>0.2298</v>
      </c>
      <c r="V80" s="23">
        <f>'2022-23 Salary &amp; Benefits'!$I$6</f>
        <v>0.22339999999999999</v>
      </c>
      <c r="W80" s="22">
        <f t="shared" si="17"/>
        <v>0</v>
      </c>
      <c r="X80" s="22">
        <f t="shared" si="18"/>
        <v>0</v>
      </c>
      <c r="Y80" s="22">
        <f t="shared" si="19"/>
        <v>0</v>
      </c>
      <c r="Z80" s="22">
        <f t="shared" si="23"/>
        <v>0</v>
      </c>
      <c r="AA80" s="22">
        <f t="shared" si="24"/>
        <v>0</v>
      </c>
    </row>
    <row r="81" spans="1:27">
      <c r="A81" s="125" t="s">
        <v>2288</v>
      </c>
      <c r="B81" s="3" t="s">
        <v>220</v>
      </c>
      <c r="C81" s="93">
        <f>IF(A81=Summary!$B$9,Summary!$G$9,0)</f>
        <v>0</v>
      </c>
      <c r="D81" s="134">
        <f>VLOOKUP(A81,AAFTE!$A:$S,3,0)</f>
        <v>22960.48</v>
      </c>
      <c r="E81" s="20">
        <f>VLOOKUP($A81,'2022-23 Salary &amp; Benefits'!$A:$I,3,)</f>
        <v>1.06</v>
      </c>
      <c r="F81" s="20">
        <f>VLOOKUP($A81,'2022-23 Salary &amp; Benefits'!$A:$I,4,)</f>
        <v>1.06</v>
      </c>
      <c r="G81" s="34">
        <f>VLOOKUP(A81,'CEDARS District FRPL'!$A:$F,6,)</f>
        <v>0</v>
      </c>
      <c r="H81" s="25">
        <f t="shared" si="20"/>
        <v>22960.48</v>
      </c>
      <c r="I81" s="39">
        <f t="shared" si="13"/>
        <v>0</v>
      </c>
      <c r="J81" s="24">
        <v>15</v>
      </c>
      <c r="K81" s="26">
        <f t="shared" si="21"/>
        <v>0</v>
      </c>
      <c r="L81" s="24">
        <v>2.3975</v>
      </c>
      <c r="M81" s="24">
        <v>36</v>
      </c>
      <c r="N81" s="27">
        <f t="shared" si="22"/>
        <v>0</v>
      </c>
      <c r="O81" s="102">
        <f t="shared" si="14"/>
        <v>0</v>
      </c>
      <c r="P81" s="21">
        <f>VLOOKUP(A81,'2022-23 Salary &amp; Benefits'!$A:$I,5,)</f>
        <v>68937</v>
      </c>
      <c r="Q81" s="21">
        <f>VLOOKUP(A81,'2022-23 Salary &amp; Benefits'!$A:$I,6,FALSE)</f>
        <v>72728</v>
      </c>
      <c r="R81" s="22">
        <f t="shared" si="15"/>
        <v>0</v>
      </c>
      <c r="S81" s="22">
        <f t="shared" si="16"/>
        <v>0</v>
      </c>
      <c r="T81" s="22">
        <f>'2022-23 Salary &amp; Benefits'!$G$6</f>
        <v>12558.24</v>
      </c>
      <c r="U81" s="23">
        <f>'2022-23 Salary &amp; Benefits'!$H$6</f>
        <v>0.2298</v>
      </c>
      <c r="V81" s="23">
        <f>'2022-23 Salary &amp; Benefits'!$I$6</f>
        <v>0.22339999999999999</v>
      </c>
      <c r="W81" s="22">
        <f t="shared" si="17"/>
        <v>0</v>
      </c>
      <c r="X81" s="22">
        <f t="shared" si="18"/>
        <v>0</v>
      </c>
      <c r="Y81" s="22">
        <f t="shared" si="19"/>
        <v>0</v>
      </c>
      <c r="Z81" s="22">
        <f t="shared" si="23"/>
        <v>0</v>
      </c>
      <c r="AA81" s="22">
        <f t="shared" si="24"/>
        <v>0</v>
      </c>
    </row>
    <row r="82" spans="1:27">
      <c r="A82" s="125" t="s">
        <v>2510</v>
      </c>
      <c r="B82" s="3" t="s">
        <v>1947</v>
      </c>
      <c r="C82" s="93">
        <f>IF(A82=Summary!$B$9,Summary!$G$9,0)</f>
        <v>0</v>
      </c>
      <c r="D82" s="134">
        <f>VLOOKUP(A82,AAFTE!$A:$S,3,0)</f>
        <v>26.43</v>
      </c>
      <c r="E82" s="20">
        <f>VLOOKUP($A82,'2022-23 Salary &amp; Benefits'!$A:$I,3,)</f>
        <v>1</v>
      </c>
      <c r="F82" s="20">
        <f>VLOOKUP($A82,'2022-23 Salary &amp; Benefits'!$A:$I,4,)</f>
        <v>1</v>
      </c>
      <c r="G82" s="34">
        <f>VLOOKUP(A82,'CEDARS District FRPL'!$A:$F,6,)</f>
        <v>0</v>
      </c>
      <c r="H82" s="25">
        <f t="shared" si="20"/>
        <v>26.43</v>
      </c>
      <c r="I82" s="39">
        <f t="shared" si="13"/>
        <v>0</v>
      </c>
      <c r="J82" s="24">
        <v>15</v>
      </c>
      <c r="K82" s="26">
        <f t="shared" si="21"/>
        <v>0</v>
      </c>
      <c r="L82" s="24">
        <v>2.3975</v>
      </c>
      <c r="M82" s="24">
        <v>36</v>
      </c>
      <c r="N82" s="27">
        <f t="shared" si="22"/>
        <v>0</v>
      </c>
      <c r="O82" s="102">
        <f t="shared" si="14"/>
        <v>0</v>
      </c>
      <c r="P82" s="21">
        <f>VLOOKUP(A82,'2022-23 Salary &amp; Benefits'!$A:$I,5,)</f>
        <v>68937</v>
      </c>
      <c r="Q82" s="21">
        <f>VLOOKUP(A82,'2022-23 Salary &amp; Benefits'!$A:$I,6,FALSE)</f>
        <v>72728</v>
      </c>
      <c r="R82" s="22">
        <f t="shared" si="15"/>
        <v>0</v>
      </c>
      <c r="S82" s="22">
        <f t="shared" si="16"/>
        <v>0</v>
      </c>
      <c r="T82" s="22">
        <f>'2022-23 Salary &amp; Benefits'!$G$6</f>
        <v>12558.24</v>
      </c>
      <c r="U82" s="23">
        <f>'2022-23 Salary &amp; Benefits'!$H$6</f>
        <v>0.2298</v>
      </c>
      <c r="V82" s="23">
        <f>'2022-23 Salary &amp; Benefits'!$I$6</f>
        <v>0.22339999999999999</v>
      </c>
      <c r="W82" s="22">
        <f t="shared" si="17"/>
        <v>0</v>
      </c>
      <c r="X82" s="22">
        <f t="shared" si="18"/>
        <v>0</v>
      </c>
      <c r="Y82" s="22">
        <f t="shared" si="19"/>
        <v>0</v>
      </c>
      <c r="Z82" s="22">
        <f t="shared" si="23"/>
        <v>0</v>
      </c>
      <c r="AA82" s="22">
        <f t="shared" si="24"/>
        <v>0</v>
      </c>
    </row>
    <row r="83" spans="1:27">
      <c r="A83" s="125" t="s">
        <v>2349</v>
      </c>
      <c r="B83" s="3" t="s">
        <v>645</v>
      </c>
      <c r="C83" s="93">
        <f>IF(A83=Summary!$B$9,Summary!$G$9,0)</f>
        <v>0</v>
      </c>
      <c r="D83" s="134">
        <f>VLOOKUP(A83,AAFTE!$A:$S,3,0)</f>
        <v>20443.560000000001</v>
      </c>
      <c r="E83" s="20">
        <f>VLOOKUP($A83,'2022-23 Salary &amp; Benefits'!$A:$I,3,)</f>
        <v>1.1200000000000001</v>
      </c>
      <c r="F83" s="20">
        <f>VLOOKUP($A83,'2022-23 Salary &amp; Benefits'!$A:$I,4,)</f>
        <v>1.1200000000000001</v>
      </c>
      <c r="G83" s="34">
        <f>VLOOKUP(A83,'CEDARS District FRPL'!$A:$F,6,)</f>
        <v>0</v>
      </c>
      <c r="H83" s="25">
        <f t="shared" si="20"/>
        <v>20443.560000000001</v>
      </c>
      <c r="I83" s="39">
        <f t="shared" si="13"/>
        <v>0</v>
      </c>
      <c r="J83" s="24">
        <v>15</v>
      </c>
      <c r="K83" s="26">
        <f t="shared" si="21"/>
        <v>0</v>
      </c>
      <c r="L83" s="24">
        <v>2.3975</v>
      </c>
      <c r="M83" s="24">
        <v>36</v>
      </c>
      <c r="N83" s="27">
        <f t="shared" si="22"/>
        <v>0</v>
      </c>
      <c r="O83" s="102">
        <f t="shared" si="14"/>
        <v>0</v>
      </c>
      <c r="P83" s="21">
        <f>VLOOKUP(A83,'2022-23 Salary &amp; Benefits'!$A:$I,5,)</f>
        <v>68937</v>
      </c>
      <c r="Q83" s="21">
        <f>VLOOKUP(A83,'2022-23 Salary &amp; Benefits'!$A:$I,6,FALSE)</f>
        <v>72728</v>
      </c>
      <c r="R83" s="22">
        <f t="shared" si="15"/>
        <v>0</v>
      </c>
      <c r="S83" s="22">
        <f t="shared" si="16"/>
        <v>0</v>
      </c>
      <c r="T83" s="22">
        <f>'2022-23 Salary &amp; Benefits'!$G$6</f>
        <v>12558.24</v>
      </c>
      <c r="U83" s="23">
        <f>'2022-23 Salary &amp; Benefits'!$H$6</f>
        <v>0.2298</v>
      </c>
      <c r="V83" s="23">
        <f>'2022-23 Salary &amp; Benefits'!$I$6</f>
        <v>0.22339999999999999</v>
      </c>
      <c r="W83" s="22">
        <f t="shared" si="17"/>
        <v>0</v>
      </c>
      <c r="X83" s="22">
        <f t="shared" si="18"/>
        <v>0</v>
      </c>
      <c r="Y83" s="22">
        <f t="shared" si="19"/>
        <v>0</v>
      </c>
      <c r="Z83" s="22">
        <f t="shared" si="23"/>
        <v>0</v>
      </c>
      <c r="AA83" s="22">
        <f t="shared" si="24"/>
        <v>0</v>
      </c>
    </row>
    <row r="84" spans="1:27">
      <c r="A84" s="125" t="s">
        <v>2533</v>
      </c>
      <c r="B84" s="3" t="s">
        <v>2088</v>
      </c>
      <c r="C84" s="93">
        <f>IF(A84=Summary!$B$9,Summary!$G$9,0)</f>
        <v>0</v>
      </c>
      <c r="D84" s="134">
        <f>VLOOKUP(A84,AAFTE!$A:$S,3,0)</f>
        <v>4373.3999999999996</v>
      </c>
      <c r="E84" s="20">
        <f>VLOOKUP($A84,'2022-23 Salary &amp; Benefits'!$A:$I,3,)</f>
        <v>1.0900000000000001</v>
      </c>
      <c r="F84" s="20">
        <f>VLOOKUP($A84,'2022-23 Salary &amp; Benefits'!$A:$I,4,)</f>
        <v>1.0900000000000001</v>
      </c>
      <c r="G84" s="34">
        <f>VLOOKUP(A84,'CEDARS District FRPL'!$A:$F,6,)</f>
        <v>0</v>
      </c>
      <c r="H84" s="25">
        <f t="shared" si="20"/>
        <v>4373.3999999999996</v>
      </c>
      <c r="I84" s="39">
        <f t="shared" si="13"/>
        <v>0</v>
      </c>
      <c r="J84" s="24">
        <v>15</v>
      </c>
      <c r="K84" s="26">
        <f t="shared" si="21"/>
        <v>0</v>
      </c>
      <c r="L84" s="24">
        <v>2.3975</v>
      </c>
      <c r="M84" s="24">
        <v>36</v>
      </c>
      <c r="N84" s="27">
        <f t="shared" si="22"/>
        <v>0</v>
      </c>
      <c r="O84" s="102">
        <f t="shared" si="14"/>
        <v>0</v>
      </c>
      <c r="P84" s="21">
        <f>VLOOKUP(A84,'2022-23 Salary &amp; Benefits'!$A:$I,5,)</f>
        <v>68937</v>
      </c>
      <c r="Q84" s="21">
        <f>VLOOKUP(A84,'2022-23 Salary &amp; Benefits'!$A:$I,6,FALSE)</f>
        <v>72728</v>
      </c>
      <c r="R84" s="22">
        <f t="shared" si="15"/>
        <v>0</v>
      </c>
      <c r="S84" s="22">
        <f t="shared" si="16"/>
        <v>0</v>
      </c>
      <c r="T84" s="22">
        <f>'2022-23 Salary &amp; Benefits'!$G$6</f>
        <v>12558.24</v>
      </c>
      <c r="U84" s="23">
        <f>'2022-23 Salary &amp; Benefits'!$H$6</f>
        <v>0.2298</v>
      </c>
      <c r="V84" s="23">
        <f>'2022-23 Salary &amp; Benefits'!$I$6</f>
        <v>0.22339999999999999</v>
      </c>
      <c r="W84" s="22">
        <f t="shared" si="17"/>
        <v>0</v>
      </c>
      <c r="X84" s="22">
        <f t="shared" si="18"/>
        <v>0</v>
      </c>
      <c r="Y84" s="22">
        <f t="shared" si="19"/>
        <v>0</v>
      </c>
      <c r="Z84" s="22">
        <f t="shared" si="23"/>
        <v>0</v>
      </c>
      <c r="AA84" s="22">
        <f t="shared" si="24"/>
        <v>0</v>
      </c>
    </row>
    <row r="85" spans="1:27">
      <c r="A85" s="125" t="s">
        <v>2452</v>
      </c>
      <c r="B85" s="3" t="s">
        <v>1516</v>
      </c>
      <c r="C85" s="93">
        <f>IF(A85=Summary!$B$9,Summary!$G$9,0)</f>
        <v>0</v>
      </c>
      <c r="D85" s="134">
        <f>VLOOKUP(A85,AAFTE!$A:$S,3,0)</f>
        <v>3706.35</v>
      </c>
      <c r="E85" s="20">
        <f>VLOOKUP($A85,'2022-23 Salary &amp; Benefits'!$A:$I,3,)</f>
        <v>1.1200000000000001</v>
      </c>
      <c r="F85" s="20">
        <f>VLOOKUP($A85,'2022-23 Salary &amp; Benefits'!$A:$I,4,)</f>
        <v>1.1200000000000001</v>
      </c>
      <c r="G85" s="34">
        <f>VLOOKUP(A85,'CEDARS District FRPL'!$A:$F,6,)</f>
        <v>1.5799999999999981E-2</v>
      </c>
      <c r="H85" s="25">
        <f t="shared" si="20"/>
        <v>3706.35</v>
      </c>
      <c r="I85" s="39">
        <f t="shared" si="13"/>
        <v>58.56</v>
      </c>
      <c r="J85" s="24">
        <v>15</v>
      </c>
      <c r="K85" s="26">
        <f t="shared" si="21"/>
        <v>3.9040000000000004</v>
      </c>
      <c r="L85" s="24">
        <v>2.3975</v>
      </c>
      <c r="M85" s="24">
        <v>36</v>
      </c>
      <c r="N85" s="27">
        <f t="shared" si="22"/>
        <v>336.95424000000003</v>
      </c>
      <c r="O85" s="102">
        <f t="shared" si="14"/>
        <v>0.374</v>
      </c>
      <c r="P85" s="21">
        <f>VLOOKUP(A85,'2022-23 Salary &amp; Benefits'!$A:$I,5,)</f>
        <v>68937</v>
      </c>
      <c r="Q85" s="21">
        <f>VLOOKUP(A85,'2022-23 Salary &amp; Benefits'!$A:$I,6,FALSE)</f>
        <v>72728</v>
      </c>
      <c r="R85" s="22">
        <f t="shared" si="15"/>
        <v>28876.33</v>
      </c>
      <c r="S85" s="22">
        <f t="shared" si="16"/>
        <v>1587.97</v>
      </c>
      <c r="T85" s="22">
        <f>'2022-23 Salary &amp; Benefits'!$G$6</f>
        <v>12558.24</v>
      </c>
      <c r="U85" s="23">
        <f>'2022-23 Salary &amp; Benefits'!$H$6</f>
        <v>0.2298</v>
      </c>
      <c r="V85" s="23">
        <f>'2022-23 Salary &amp; Benefits'!$I$6</f>
        <v>0.22339999999999999</v>
      </c>
      <c r="W85" s="22">
        <f t="shared" si="17"/>
        <v>11687.31</v>
      </c>
      <c r="X85" s="22">
        <f t="shared" si="18"/>
        <v>507.74</v>
      </c>
      <c r="Y85" s="22">
        <f t="shared" si="19"/>
        <v>113.43</v>
      </c>
      <c r="Z85" s="22">
        <f t="shared" si="23"/>
        <v>621.17000000000007</v>
      </c>
      <c r="AA85" s="22">
        <f t="shared" si="24"/>
        <v>42772.78</v>
      </c>
    </row>
    <row r="86" spans="1:27">
      <c r="A86" s="125" t="s">
        <v>2267</v>
      </c>
      <c r="B86" s="3" t="s">
        <v>67</v>
      </c>
      <c r="C86" s="93">
        <f>IF(A86=Summary!$B$9,Summary!$G$9,0)</f>
        <v>0</v>
      </c>
      <c r="D86" s="134">
        <f>VLOOKUP(A86,AAFTE!$A:$S,3,0)</f>
        <v>843.67</v>
      </c>
      <c r="E86" s="20">
        <f>VLOOKUP($A86,'2022-23 Salary &amp; Benefits'!$A:$I,3,)</f>
        <v>1</v>
      </c>
      <c r="F86" s="20">
        <f>VLOOKUP($A86,'2022-23 Salary &amp; Benefits'!$A:$I,4,)</f>
        <v>1</v>
      </c>
      <c r="G86" s="34">
        <f>VLOOKUP(A86,'CEDARS District FRPL'!$A:$F,6,)</f>
        <v>0</v>
      </c>
      <c r="H86" s="25">
        <f t="shared" si="20"/>
        <v>843.67</v>
      </c>
      <c r="I86" s="39">
        <f t="shared" si="13"/>
        <v>0</v>
      </c>
      <c r="J86" s="24">
        <v>15</v>
      </c>
      <c r="K86" s="26">
        <f t="shared" si="21"/>
        <v>0</v>
      </c>
      <c r="L86" s="24">
        <v>2.3975</v>
      </c>
      <c r="M86" s="24">
        <v>36</v>
      </c>
      <c r="N86" s="27">
        <f t="shared" si="22"/>
        <v>0</v>
      </c>
      <c r="O86" s="102">
        <f t="shared" si="14"/>
        <v>0</v>
      </c>
      <c r="P86" s="21">
        <f>VLOOKUP(A86,'2022-23 Salary &amp; Benefits'!$A:$I,5,)</f>
        <v>68937</v>
      </c>
      <c r="Q86" s="21">
        <f>VLOOKUP(A86,'2022-23 Salary &amp; Benefits'!$A:$I,6,FALSE)</f>
        <v>72728</v>
      </c>
      <c r="R86" s="22">
        <f t="shared" si="15"/>
        <v>0</v>
      </c>
      <c r="S86" s="22">
        <f t="shared" si="16"/>
        <v>0</v>
      </c>
      <c r="T86" s="22">
        <f>'2022-23 Salary &amp; Benefits'!$G$6</f>
        <v>12558.24</v>
      </c>
      <c r="U86" s="23">
        <f>'2022-23 Salary &amp; Benefits'!$H$6</f>
        <v>0.2298</v>
      </c>
      <c r="V86" s="23">
        <f>'2022-23 Salary &amp; Benefits'!$I$6</f>
        <v>0.22339999999999999</v>
      </c>
      <c r="W86" s="22">
        <f t="shared" si="17"/>
        <v>0</v>
      </c>
      <c r="X86" s="22">
        <f t="shared" si="18"/>
        <v>0</v>
      </c>
      <c r="Y86" s="22">
        <f t="shared" si="19"/>
        <v>0</v>
      </c>
      <c r="Z86" s="22">
        <f t="shared" si="23"/>
        <v>0</v>
      </c>
      <c r="AA86" s="22">
        <f t="shared" si="24"/>
        <v>0</v>
      </c>
    </row>
    <row r="87" spans="1:27">
      <c r="A87" s="125" t="s">
        <v>2448</v>
      </c>
      <c r="B87" s="3" t="s">
        <v>1459</v>
      </c>
      <c r="C87" s="93">
        <f>IF(A87=Summary!$B$9,Summary!$G$9,0)</f>
        <v>0</v>
      </c>
      <c r="D87" s="134">
        <f>VLOOKUP(A87,AAFTE!$A:$S,3,0)</f>
        <v>7281.76</v>
      </c>
      <c r="E87" s="20">
        <f>VLOOKUP($A87,'2022-23 Salary &amp; Benefits'!$A:$I,3,)</f>
        <v>1.06</v>
      </c>
      <c r="F87" s="20">
        <f>VLOOKUP($A87,'2022-23 Salary &amp; Benefits'!$A:$I,4,)</f>
        <v>1.06</v>
      </c>
      <c r="G87" s="34">
        <f>VLOOKUP(A87,'CEDARS District FRPL'!$A:$F,6,)</f>
        <v>5.9999999999999942E-2</v>
      </c>
      <c r="H87" s="25">
        <f t="shared" si="20"/>
        <v>7281.76</v>
      </c>
      <c r="I87" s="39">
        <f t="shared" si="13"/>
        <v>436.91</v>
      </c>
      <c r="J87" s="24">
        <v>15</v>
      </c>
      <c r="K87" s="26">
        <f t="shared" si="21"/>
        <v>29.127333333333336</v>
      </c>
      <c r="L87" s="24">
        <v>2.3975</v>
      </c>
      <c r="M87" s="24">
        <v>36</v>
      </c>
      <c r="N87" s="27">
        <f t="shared" si="22"/>
        <v>2513.9801400000006</v>
      </c>
      <c r="O87" s="102">
        <f t="shared" si="14"/>
        <v>2.7930000000000001</v>
      </c>
      <c r="P87" s="21">
        <f>VLOOKUP(A87,'2022-23 Salary &amp; Benefits'!$A:$I,5,)</f>
        <v>68937</v>
      </c>
      <c r="Q87" s="21">
        <f>VLOOKUP(A87,'2022-23 Salary &amp; Benefits'!$A:$I,6,FALSE)</f>
        <v>72728</v>
      </c>
      <c r="R87" s="22">
        <f t="shared" si="15"/>
        <v>204093.5</v>
      </c>
      <c r="S87" s="22">
        <f t="shared" si="16"/>
        <v>11223.56</v>
      </c>
      <c r="T87" s="22">
        <f>'2022-23 Salary &amp; Benefits'!$G$6</f>
        <v>12558.24</v>
      </c>
      <c r="U87" s="23">
        <f>'2022-23 Salary &amp; Benefits'!$H$6</f>
        <v>0.2298</v>
      </c>
      <c r="V87" s="23">
        <f>'2022-23 Salary &amp; Benefits'!$I$6</f>
        <v>0.22339999999999999</v>
      </c>
      <c r="W87" s="22">
        <f t="shared" si="17"/>
        <v>84483.19</v>
      </c>
      <c r="X87" s="22">
        <f t="shared" si="18"/>
        <v>3588.62</v>
      </c>
      <c r="Y87" s="22">
        <f t="shared" si="19"/>
        <v>801.7</v>
      </c>
      <c r="Z87" s="22">
        <f t="shared" si="23"/>
        <v>4390.32</v>
      </c>
      <c r="AA87" s="22">
        <f t="shared" si="24"/>
        <v>304190.57</v>
      </c>
    </row>
    <row r="88" spans="1:27">
      <c r="A88" s="125" t="s">
        <v>2493</v>
      </c>
      <c r="B88" s="3" t="s">
        <v>1871</v>
      </c>
      <c r="C88" s="93">
        <f>IF(A88=Summary!$B$9,Summary!$G$9,0)</f>
        <v>0</v>
      </c>
      <c r="D88" s="134">
        <f>VLOOKUP(A88,AAFTE!$A:$S,3,0)</f>
        <v>860.02</v>
      </c>
      <c r="E88" s="20">
        <f>VLOOKUP($A88,'2022-23 Salary &amp; Benefits'!$A:$I,3,)</f>
        <v>1</v>
      </c>
      <c r="F88" s="20">
        <f>VLOOKUP($A88,'2022-23 Salary &amp; Benefits'!$A:$I,4,)</f>
        <v>1.04</v>
      </c>
      <c r="G88" s="34">
        <f>VLOOKUP(A88,'CEDARS District FRPL'!$A:$F,6,)</f>
        <v>2.7999999999999969E-3</v>
      </c>
      <c r="H88" s="25">
        <f t="shared" si="20"/>
        <v>860.02</v>
      </c>
      <c r="I88" s="39">
        <f t="shared" si="13"/>
        <v>2.41</v>
      </c>
      <c r="J88" s="24">
        <v>15</v>
      </c>
      <c r="K88" s="26">
        <f t="shared" si="21"/>
        <v>0.16066666666666668</v>
      </c>
      <c r="L88" s="24">
        <v>2.3975</v>
      </c>
      <c r="M88" s="24">
        <v>36</v>
      </c>
      <c r="N88" s="27">
        <f t="shared" si="22"/>
        <v>13.867140000000001</v>
      </c>
      <c r="O88" s="102">
        <f t="shared" si="14"/>
        <v>1.4999999999999999E-2</v>
      </c>
      <c r="P88" s="21">
        <f>VLOOKUP(A88,'2022-23 Salary &amp; Benefits'!$A:$I,5,)</f>
        <v>68937</v>
      </c>
      <c r="Q88" s="21">
        <f>VLOOKUP(A88,'2022-23 Salary &amp; Benefits'!$A:$I,6,FALSE)</f>
        <v>72728</v>
      </c>
      <c r="R88" s="22">
        <f t="shared" si="15"/>
        <v>1034.06</v>
      </c>
      <c r="S88" s="22">
        <f t="shared" si="16"/>
        <v>100.5</v>
      </c>
      <c r="T88" s="22">
        <f>'2022-23 Salary &amp; Benefits'!$G$6</f>
        <v>12558.24</v>
      </c>
      <c r="U88" s="23">
        <f>'2022-23 Salary &amp; Benefits'!$H$6</f>
        <v>0.2298</v>
      </c>
      <c r="V88" s="23">
        <f>'2022-23 Salary &amp; Benefits'!$I$6</f>
        <v>0.22339999999999999</v>
      </c>
      <c r="W88" s="22">
        <f t="shared" si="17"/>
        <v>448.45</v>
      </c>
      <c r="X88" s="22">
        <f t="shared" si="18"/>
        <v>18.91</v>
      </c>
      <c r="Y88" s="22">
        <f t="shared" si="19"/>
        <v>4.22</v>
      </c>
      <c r="Z88" s="22">
        <f t="shared" si="23"/>
        <v>23.13</v>
      </c>
      <c r="AA88" s="22">
        <f t="shared" si="24"/>
        <v>1606.14</v>
      </c>
    </row>
    <row r="89" spans="1:27">
      <c r="A89" s="125" t="s">
        <v>2546</v>
      </c>
      <c r="B89" s="3" t="s">
        <v>2147</v>
      </c>
      <c r="C89" s="93">
        <f>IF(A89=Summary!$B$9,Summary!$G$9,0)</f>
        <v>0</v>
      </c>
      <c r="D89" s="134">
        <f>VLOOKUP(A89,AAFTE!$A:$S,3,0)</f>
        <v>105.52</v>
      </c>
      <c r="E89" s="20">
        <f>VLOOKUP($A89,'2022-23 Salary &amp; Benefits'!$A:$I,3,)</f>
        <v>1</v>
      </c>
      <c r="F89" s="20">
        <f>VLOOKUP($A89,'2022-23 Salary &amp; Benefits'!$A:$I,4,)</f>
        <v>1</v>
      </c>
      <c r="G89" s="34">
        <f>VLOOKUP(A89,'CEDARS District FRPL'!$A:$F,6,)</f>
        <v>0</v>
      </c>
      <c r="H89" s="25">
        <f t="shared" si="20"/>
        <v>105.52</v>
      </c>
      <c r="I89" s="39">
        <f t="shared" si="13"/>
        <v>0</v>
      </c>
      <c r="J89" s="24">
        <v>15</v>
      </c>
      <c r="K89" s="26">
        <f t="shared" si="21"/>
        <v>0</v>
      </c>
      <c r="L89" s="24">
        <v>2.3975</v>
      </c>
      <c r="M89" s="24">
        <v>36</v>
      </c>
      <c r="N89" s="27">
        <f t="shared" si="22"/>
        <v>0</v>
      </c>
      <c r="O89" s="102">
        <f t="shared" si="14"/>
        <v>0</v>
      </c>
      <c r="P89" s="21">
        <f>VLOOKUP(A89,'2022-23 Salary &amp; Benefits'!$A:$I,5,)</f>
        <v>68937</v>
      </c>
      <c r="Q89" s="21">
        <f>VLOOKUP(A89,'2022-23 Salary &amp; Benefits'!$A:$I,6,FALSE)</f>
        <v>72728</v>
      </c>
      <c r="R89" s="22">
        <f t="shared" si="15"/>
        <v>0</v>
      </c>
      <c r="S89" s="22">
        <f t="shared" si="16"/>
        <v>0</v>
      </c>
      <c r="T89" s="22">
        <f>'2022-23 Salary &amp; Benefits'!$G$6</f>
        <v>12558.24</v>
      </c>
      <c r="U89" s="23">
        <f>'2022-23 Salary &amp; Benefits'!$H$6</f>
        <v>0.2298</v>
      </c>
      <c r="V89" s="23">
        <f>'2022-23 Salary &amp; Benefits'!$I$6</f>
        <v>0.22339999999999999</v>
      </c>
      <c r="W89" s="22">
        <f t="shared" si="17"/>
        <v>0</v>
      </c>
      <c r="X89" s="22">
        <f t="shared" si="18"/>
        <v>0</v>
      </c>
      <c r="Y89" s="22">
        <f t="shared" si="19"/>
        <v>0</v>
      </c>
      <c r="Z89" s="22">
        <f t="shared" si="23"/>
        <v>0</v>
      </c>
      <c r="AA89" s="22">
        <f t="shared" si="24"/>
        <v>0</v>
      </c>
    </row>
    <row r="90" spans="1:27">
      <c r="A90" s="125" t="s">
        <v>2387</v>
      </c>
      <c r="B90" s="3" t="s">
        <v>1113</v>
      </c>
      <c r="C90" s="93">
        <f>IF(A90=Summary!$B$9,Summary!$G$9,0)</f>
        <v>0</v>
      </c>
      <c r="D90" s="134">
        <f>VLOOKUP(A90,AAFTE!$A:$S,3,0)</f>
        <v>52.27</v>
      </c>
      <c r="E90" s="20">
        <f>VLOOKUP($A90,'2022-23 Salary &amp; Benefits'!$A:$I,3,)</f>
        <v>1</v>
      </c>
      <c r="F90" s="20">
        <f>VLOOKUP($A90,'2022-23 Salary &amp; Benefits'!$A:$I,4,)</f>
        <v>1.04</v>
      </c>
      <c r="G90" s="34">
        <f>VLOOKUP(A90,'CEDARS District FRPL'!$A:$F,6,)</f>
        <v>0</v>
      </c>
      <c r="H90" s="25">
        <f t="shared" si="20"/>
        <v>52.27</v>
      </c>
      <c r="I90" s="39">
        <f t="shared" si="13"/>
        <v>0</v>
      </c>
      <c r="J90" s="24">
        <v>15</v>
      </c>
      <c r="K90" s="26">
        <f t="shared" si="21"/>
        <v>0</v>
      </c>
      <c r="L90" s="24">
        <v>2.3975</v>
      </c>
      <c r="M90" s="24">
        <v>36</v>
      </c>
      <c r="N90" s="27">
        <f t="shared" si="22"/>
        <v>0</v>
      </c>
      <c r="O90" s="102">
        <f t="shared" si="14"/>
        <v>0</v>
      </c>
      <c r="P90" s="21">
        <f>VLOOKUP(A90,'2022-23 Salary &amp; Benefits'!$A:$I,5,)</f>
        <v>68937</v>
      </c>
      <c r="Q90" s="21">
        <f>VLOOKUP(A90,'2022-23 Salary &amp; Benefits'!$A:$I,6,FALSE)</f>
        <v>72728</v>
      </c>
      <c r="R90" s="22">
        <f t="shared" si="15"/>
        <v>0</v>
      </c>
      <c r="S90" s="22">
        <f t="shared" si="16"/>
        <v>0</v>
      </c>
      <c r="T90" s="22">
        <f>'2022-23 Salary &amp; Benefits'!$G$6</f>
        <v>12558.24</v>
      </c>
      <c r="U90" s="23">
        <f>'2022-23 Salary &amp; Benefits'!$H$6</f>
        <v>0.2298</v>
      </c>
      <c r="V90" s="23">
        <f>'2022-23 Salary &amp; Benefits'!$I$6</f>
        <v>0.22339999999999999</v>
      </c>
      <c r="W90" s="22">
        <f t="shared" si="17"/>
        <v>0</v>
      </c>
      <c r="X90" s="22">
        <f t="shared" si="18"/>
        <v>0</v>
      </c>
      <c r="Y90" s="22">
        <f t="shared" si="19"/>
        <v>0</v>
      </c>
      <c r="Z90" s="22">
        <f t="shared" si="23"/>
        <v>0</v>
      </c>
      <c r="AA90" s="22">
        <f t="shared" si="24"/>
        <v>0</v>
      </c>
    </row>
    <row r="91" spans="1:27">
      <c r="A91" s="125" t="s">
        <v>2390</v>
      </c>
      <c r="B91" s="3" t="s">
        <v>1119</v>
      </c>
      <c r="C91" s="93">
        <f>IF(A91=Summary!$B$9,Summary!$G$9,0)</f>
        <v>0</v>
      </c>
      <c r="D91" s="134">
        <f>VLOOKUP(A91,AAFTE!$A:$S,3,0)</f>
        <v>2271.36</v>
      </c>
      <c r="E91" s="20">
        <f>VLOOKUP($A91,'2022-23 Salary &amp; Benefits'!$A:$I,3,)</f>
        <v>1</v>
      </c>
      <c r="F91" s="20">
        <f>VLOOKUP($A91,'2022-23 Salary &amp; Benefits'!$A:$I,4,)</f>
        <v>1</v>
      </c>
      <c r="G91" s="34">
        <f>VLOOKUP(A91,'CEDARS District FRPL'!$A:$F,6,)</f>
        <v>0.12530000000000002</v>
      </c>
      <c r="H91" s="25">
        <f t="shared" si="20"/>
        <v>2271.36</v>
      </c>
      <c r="I91" s="39">
        <f t="shared" si="13"/>
        <v>284.60000000000002</v>
      </c>
      <c r="J91" s="24">
        <v>15</v>
      </c>
      <c r="K91" s="26">
        <f t="shared" si="21"/>
        <v>18.973333333333336</v>
      </c>
      <c r="L91" s="24">
        <v>2.3975</v>
      </c>
      <c r="M91" s="24">
        <v>36</v>
      </c>
      <c r="N91" s="27">
        <f t="shared" si="22"/>
        <v>1637.5884000000001</v>
      </c>
      <c r="O91" s="102">
        <f t="shared" si="14"/>
        <v>1.82</v>
      </c>
      <c r="P91" s="21">
        <f>VLOOKUP(A91,'2022-23 Salary &amp; Benefits'!$A:$I,5,)</f>
        <v>68937</v>
      </c>
      <c r="Q91" s="21">
        <f>VLOOKUP(A91,'2022-23 Salary &amp; Benefits'!$A:$I,6,FALSE)</f>
        <v>72728</v>
      </c>
      <c r="R91" s="22">
        <f t="shared" si="15"/>
        <v>125465.34</v>
      </c>
      <c r="S91" s="22">
        <f t="shared" si="16"/>
        <v>6899.62</v>
      </c>
      <c r="T91" s="22">
        <f>'2022-23 Salary &amp; Benefits'!$G$6</f>
        <v>12558.24</v>
      </c>
      <c r="U91" s="23">
        <f>'2022-23 Salary &amp; Benefits'!$H$6</f>
        <v>0.2298</v>
      </c>
      <c r="V91" s="23">
        <f>'2022-23 Salary &amp; Benefits'!$I$6</f>
        <v>0.22339999999999999</v>
      </c>
      <c r="W91" s="22">
        <f t="shared" si="17"/>
        <v>53229.31</v>
      </c>
      <c r="X91" s="22">
        <f t="shared" si="18"/>
        <v>2206.08</v>
      </c>
      <c r="Y91" s="22">
        <f t="shared" si="19"/>
        <v>492.84</v>
      </c>
      <c r="Z91" s="22">
        <f t="shared" si="23"/>
        <v>2698.92</v>
      </c>
      <c r="AA91" s="22">
        <f t="shared" si="24"/>
        <v>188293.19</v>
      </c>
    </row>
    <row r="92" spans="1:27">
      <c r="A92" s="125" t="s">
        <v>2326</v>
      </c>
      <c r="B92" s="3" t="s">
        <v>462</v>
      </c>
      <c r="C92" s="93">
        <f>IF(A92=Summary!$B$9,Summary!$G$9,0)</f>
        <v>0</v>
      </c>
      <c r="D92" s="134">
        <f>VLOOKUP(A92,AAFTE!$A:$S,3,0)</f>
        <v>717.81</v>
      </c>
      <c r="E92" s="20">
        <f>VLOOKUP($A92,'2022-23 Salary &amp; Benefits'!$A:$I,3,)</f>
        <v>1</v>
      </c>
      <c r="F92" s="20">
        <f>VLOOKUP($A92,'2022-23 Salary &amp; Benefits'!$A:$I,4,)</f>
        <v>1</v>
      </c>
      <c r="G92" s="34">
        <f>VLOOKUP(A92,'CEDARS District FRPL'!$A:$F,6,)</f>
        <v>0</v>
      </c>
      <c r="H92" s="25">
        <f t="shared" si="20"/>
        <v>717.81</v>
      </c>
      <c r="I92" s="39">
        <f t="shared" si="13"/>
        <v>0</v>
      </c>
      <c r="J92" s="24">
        <v>15</v>
      </c>
      <c r="K92" s="26">
        <f t="shared" si="21"/>
        <v>0</v>
      </c>
      <c r="L92" s="24">
        <v>2.3975</v>
      </c>
      <c r="M92" s="24">
        <v>36</v>
      </c>
      <c r="N92" s="27">
        <f t="shared" si="22"/>
        <v>0</v>
      </c>
      <c r="O92" s="102">
        <f t="shared" si="14"/>
        <v>0</v>
      </c>
      <c r="P92" s="21">
        <f>VLOOKUP(A92,'2022-23 Salary &amp; Benefits'!$A:$I,5,)</f>
        <v>68937</v>
      </c>
      <c r="Q92" s="21">
        <f>VLOOKUP(A92,'2022-23 Salary &amp; Benefits'!$A:$I,6,FALSE)</f>
        <v>72728</v>
      </c>
      <c r="R92" s="22">
        <f t="shared" si="15"/>
        <v>0</v>
      </c>
      <c r="S92" s="22">
        <f t="shared" si="16"/>
        <v>0</v>
      </c>
      <c r="T92" s="22">
        <f>'2022-23 Salary &amp; Benefits'!$G$6</f>
        <v>12558.24</v>
      </c>
      <c r="U92" s="23">
        <f>'2022-23 Salary &amp; Benefits'!$H$6</f>
        <v>0.2298</v>
      </c>
      <c r="V92" s="23">
        <f>'2022-23 Salary &amp; Benefits'!$I$6</f>
        <v>0.22339999999999999</v>
      </c>
      <c r="W92" s="22">
        <f t="shared" si="17"/>
        <v>0</v>
      </c>
      <c r="X92" s="22">
        <f t="shared" si="18"/>
        <v>0</v>
      </c>
      <c r="Y92" s="22">
        <f t="shared" si="19"/>
        <v>0</v>
      </c>
      <c r="Z92" s="22">
        <f t="shared" si="23"/>
        <v>0</v>
      </c>
      <c r="AA92" s="22">
        <f t="shared" si="24"/>
        <v>0</v>
      </c>
    </row>
    <row r="93" spans="1:27">
      <c r="A93" s="125" t="s">
        <v>2559</v>
      </c>
      <c r="B93" s="3" t="s">
        <v>2204</v>
      </c>
      <c r="C93" s="93">
        <f>IF(A93=Summary!$B$9,Summary!$G$9,0)</f>
        <v>0</v>
      </c>
      <c r="D93" s="134">
        <f>VLOOKUP(A93,AAFTE!$A:$S,3,0)</f>
        <v>3493.38</v>
      </c>
      <c r="E93" s="20">
        <f>VLOOKUP($A93,'2022-23 Salary &amp; Benefits'!$A:$I,3,)</f>
        <v>1</v>
      </c>
      <c r="F93" s="20">
        <f>VLOOKUP($A93,'2022-23 Salary &amp; Benefits'!$A:$I,4,)</f>
        <v>1</v>
      </c>
      <c r="G93" s="34">
        <f>VLOOKUP(A93,'CEDARS District FRPL'!$A:$F,6,)</f>
        <v>4.4000000000000705E-3</v>
      </c>
      <c r="H93" s="25">
        <f t="shared" si="20"/>
        <v>3493.38</v>
      </c>
      <c r="I93" s="39">
        <f t="shared" si="13"/>
        <v>15.37</v>
      </c>
      <c r="J93" s="24">
        <v>15</v>
      </c>
      <c r="K93" s="26">
        <f t="shared" si="21"/>
        <v>1.0246666666666666</v>
      </c>
      <c r="L93" s="24">
        <v>2.3975</v>
      </c>
      <c r="M93" s="24">
        <v>36</v>
      </c>
      <c r="N93" s="27">
        <f t="shared" si="22"/>
        <v>88.438980000000001</v>
      </c>
      <c r="O93" s="102">
        <f t="shared" si="14"/>
        <v>9.8000000000000004E-2</v>
      </c>
      <c r="P93" s="21">
        <f>VLOOKUP(A93,'2022-23 Salary &amp; Benefits'!$A:$I,5,)</f>
        <v>68937</v>
      </c>
      <c r="Q93" s="21">
        <f>VLOOKUP(A93,'2022-23 Salary &amp; Benefits'!$A:$I,6,FALSE)</f>
        <v>72728</v>
      </c>
      <c r="R93" s="22">
        <f t="shared" si="15"/>
        <v>6755.83</v>
      </c>
      <c r="S93" s="22">
        <f t="shared" si="16"/>
        <v>371.51</v>
      </c>
      <c r="T93" s="22">
        <f>'2022-23 Salary &amp; Benefits'!$G$6</f>
        <v>12558.24</v>
      </c>
      <c r="U93" s="23">
        <f>'2022-23 Salary &amp; Benefits'!$H$6</f>
        <v>0.2298</v>
      </c>
      <c r="V93" s="23">
        <f>'2022-23 Salary &amp; Benefits'!$I$6</f>
        <v>0.22339999999999999</v>
      </c>
      <c r="W93" s="22">
        <f t="shared" si="17"/>
        <v>2866.19</v>
      </c>
      <c r="X93" s="22">
        <f t="shared" si="18"/>
        <v>118.79</v>
      </c>
      <c r="Y93" s="22">
        <f t="shared" si="19"/>
        <v>26.54</v>
      </c>
      <c r="Z93" s="22">
        <f t="shared" si="23"/>
        <v>145.33000000000001</v>
      </c>
      <c r="AA93" s="22">
        <f t="shared" si="24"/>
        <v>10138.86</v>
      </c>
    </row>
    <row r="94" spans="1:27">
      <c r="A94" s="125" t="s">
        <v>2563</v>
      </c>
      <c r="B94" s="3" t="s">
        <v>2232</v>
      </c>
      <c r="C94" s="93">
        <f>IF(A94=Summary!$B$9,Summary!$G$9,0)</f>
        <v>0</v>
      </c>
      <c r="D94" s="134">
        <f>VLOOKUP(A94,AAFTE!$A:$S,3,0)</f>
        <v>1452.77</v>
      </c>
      <c r="E94" s="20">
        <f>VLOOKUP($A94,'2022-23 Salary &amp; Benefits'!$A:$I,3,)</f>
        <v>1</v>
      </c>
      <c r="F94" s="20">
        <f>VLOOKUP($A94,'2022-23 Salary &amp; Benefits'!$A:$I,4,)</f>
        <v>1</v>
      </c>
      <c r="G94" s="34">
        <f>VLOOKUP(A94,'CEDARS District FRPL'!$A:$F,6,)</f>
        <v>0</v>
      </c>
      <c r="H94" s="25">
        <f t="shared" si="20"/>
        <v>1452.77</v>
      </c>
      <c r="I94" s="39">
        <f t="shared" si="13"/>
        <v>0</v>
      </c>
      <c r="J94" s="24">
        <v>15</v>
      </c>
      <c r="K94" s="26">
        <f t="shared" si="21"/>
        <v>0</v>
      </c>
      <c r="L94" s="24">
        <v>2.3975</v>
      </c>
      <c r="M94" s="24">
        <v>36</v>
      </c>
      <c r="N94" s="27">
        <f t="shared" si="22"/>
        <v>0</v>
      </c>
      <c r="O94" s="102">
        <f t="shared" si="14"/>
        <v>0</v>
      </c>
      <c r="P94" s="21">
        <f>VLOOKUP(A94,'2022-23 Salary &amp; Benefits'!$A:$I,5,)</f>
        <v>68937</v>
      </c>
      <c r="Q94" s="21">
        <f>VLOOKUP(A94,'2022-23 Salary &amp; Benefits'!$A:$I,6,FALSE)</f>
        <v>72728</v>
      </c>
      <c r="R94" s="22">
        <f t="shared" si="15"/>
        <v>0</v>
      </c>
      <c r="S94" s="22">
        <f t="shared" si="16"/>
        <v>0</v>
      </c>
      <c r="T94" s="22">
        <f>'2022-23 Salary &amp; Benefits'!$G$6</f>
        <v>12558.24</v>
      </c>
      <c r="U94" s="23">
        <f>'2022-23 Salary &amp; Benefits'!$H$6</f>
        <v>0.2298</v>
      </c>
      <c r="V94" s="23">
        <f>'2022-23 Salary &amp; Benefits'!$I$6</f>
        <v>0.22339999999999999</v>
      </c>
      <c r="W94" s="22">
        <f t="shared" si="17"/>
        <v>0</v>
      </c>
      <c r="X94" s="22">
        <f t="shared" si="18"/>
        <v>0</v>
      </c>
      <c r="Y94" s="22">
        <f t="shared" si="19"/>
        <v>0</v>
      </c>
      <c r="Z94" s="22">
        <f t="shared" si="23"/>
        <v>0</v>
      </c>
      <c r="AA94" s="22">
        <f t="shared" si="24"/>
        <v>0</v>
      </c>
    </row>
    <row r="95" spans="1:27">
      <c r="A95" s="125" t="s">
        <v>2484</v>
      </c>
      <c r="B95" s="3" t="s">
        <v>1754</v>
      </c>
      <c r="C95" s="93">
        <f>IF(A95=Summary!$B$9,Summary!$G$9,0)</f>
        <v>0</v>
      </c>
      <c r="D95" s="134">
        <f>VLOOKUP(A95,AAFTE!$A:$S,3,0)</f>
        <v>2176.44</v>
      </c>
      <c r="E95" s="20">
        <f>VLOOKUP($A95,'2022-23 Salary &amp; Benefits'!$A:$I,3,)</f>
        <v>1.1200000000000001</v>
      </c>
      <c r="F95" s="20">
        <f>VLOOKUP($A95,'2022-23 Salary &amp; Benefits'!$A:$I,4,)</f>
        <v>1.1200000000000001</v>
      </c>
      <c r="G95" s="34">
        <f>VLOOKUP(A95,'CEDARS District FRPL'!$A:$F,6,)</f>
        <v>3.6899999999999988E-2</v>
      </c>
      <c r="H95" s="25">
        <f t="shared" si="20"/>
        <v>2176.44</v>
      </c>
      <c r="I95" s="39">
        <f t="shared" si="13"/>
        <v>80.31</v>
      </c>
      <c r="J95" s="24">
        <v>15</v>
      </c>
      <c r="K95" s="26">
        <f t="shared" si="21"/>
        <v>5.3540000000000001</v>
      </c>
      <c r="L95" s="24">
        <v>2.3975</v>
      </c>
      <c r="M95" s="24">
        <v>36</v>
      </c>
      <c r="N95" s="27">
        <f t="shared" si="22"/>
        <v>462.10373999999996</v>
      </c>
      <c r="O95" s="102">
        <f t="shared" si="14"/>
        <v>0.51300000000000001</v>
      </c>
      <c r="P95" s="21">
        <f>VLOOKUP(A95,'2022-23 Salary &amp; Benefits'!$A:$I,5,)</f>
        <v>68937</v>
      </c>
      <c r="Q95" s="21">
        <f>VLOOKUP(A95,'2022-23 Salary &amp; Benefits'!$A:$I,6,FALSE)</f>
        <v>72728</v>
      </c>
      <c r="R95" s="22">
        <f t="shared" si="15"/>
        <v>39608.44</v>
      </c>
      <c r="S95" s="22">
        <f t="shared" si="16"/>
        <v>2178.16</v>
      </c>
      <c r="T95" s="22">
        <f>'2022-23 Salary &amp; Benefits'!$G$6</f>
        <v>12558.24</v>
      </c>
      <c r="U95" s="23">
        <f>'2022-23 Salary &amp; Benefits'!$H$6</f>
        <v>0.2298</v>
      </c>
      <c r="V95" s="23">
        <f>'2022-23 Salary &amp; Benefits'!$I$6</f>
        <v>0.22339999999999999</v>
      </c>
      <c r="W95" s="22">
        <f t="shared" si="17"/>
        <v>16031</v>
      </c>
      <c r="X95" s="22">
        <f t="shared" si="18"/>
        <v>696.44</v>
      </c>
      <c r="Y95" s="22">
        <f t="shared" si="19"/>
        <v>155.58000000000001</v>
      </c>
      <c r="Z95" s="22">
        <f t="shared" si="23"/>
        <v>852.0200000000001</v>
      </c>
      <c r="AA95" s="22">
        <f t="shared" si="24"/>
        <v>58669.62</v>
      </c>
    </row>
    <row r="96" spans="1:27">
      <c r="A96" s="125" t="s">
        <v>2415</v>
      </c>
      <c r="B96" s="3" t="s">
        <v>1206</v>
      </c>
      <c r="C96" s="93">
        <f>IF(A96=Summary!$B$9,Summary!$G$9,0)</f>
        <v>0</v>
      </c>
      <c r="D96" s="134">
        <f>VLOOKUP(A96,AAFTE!$A:$S,3,0)</f>
        <v>214.28</v>
      </c>
      <c r="E96" s="20">
        <f>VLOOKUP($A96,'2022-23 Salary &amp; Benefits'!$A:$I,3,)</f>
        <v>1</v>
      </c>
      <c r="F96" s="20">
        <f>VLOOKUP($A96,'2022-23 Salary &amp; Benefits'!$A:$I,4,)</f>
        <v>1</v>
      </c>
      <c r="G96" s="34">
        <f>VLOOKUP(A96,'CEDARS District FRPL'!$A:$F,6,)</f>
        <v>6.1000000000000054E-2</v>
      </c>
      <c r="H96" s="25">
        <f t="shared" si="20"/>
        <v>214.28</v>
      </c>
      <c r="I96" s="39">
        <f t="shared" si="13"/>
        <v>13.07</v>
      </c>
      <c r="J96" s="24">
        <v>15</v>
      </c>
      <c r="K96" s="26">
        <f t="shared" si="21"/>
        <v>0.8713333333333334</v>
      </c>
      <c r="L96" s="24">
        <v>2.3975</v>
      </c>
      <c r="M96" s="24">
        <v>36</v>
      </c>
      <c r="N96" s="27">
        <f t="shared" si="22"/>
        <v>75.204780000000014</v>
      </c>
      <c r="O96" s="102">
        <f t="shared" si="14"/>
        <v>8.4000000000000005E-2</v>
      </c>
      <c r="P96" s="21">
        <f>VLOOKUP(A96,'2022-23 Salary &amp; Benefits'!$A:$I,5,)</f>
        <v>68937</v>
      </c>
      <c r="Q96" s="21">
        <f>VLOOKUP(A96,'2022-23 Salary &amp; Benefits'!$A:$I,6,FALSE)</f>
        <v>72728</v>
      </c>
      <c r="R96" s="22">
        <f t="shared" si="15"/>
        <v>5790.71</v>
      </c>
      <c r="S96" s="22">
        <f t="shared" si="16"/>
        <v>318.44</v>
      </c>
      <c r="T96" s="22">
        <f>'2022-23 Salary &amp; Benefits'!$G$6</f>
        <v>12558.24</v>
      </c>
      <c r="U96" s="23">
        <f>'2022-23 Salary &amp; Benefits'!$H$6</f>
        <v>0.2298</v>
      </c>
      <c r="V96" s="23">
        <f>'2022-23 Salary &amp; Benefits'!$I$6</f>
        <v>0.22339999999999999</v>
      </c>
      <c r="W96" s="22">
        <f t="shared" si="17"/>
        <v>2456.7399999999998</v>
      </c>
      <c r="X96" s="22">
        <f t="shared" si="18"/>
        <v>101.82</v>
      </c>
      <c r="Y96" s="22">
        <f t="shared" si="19"/>
        <v>22.75</v>
      </c>
      <c r="Z96" s="22">
        <f t="shared" si="23"/>
        <v>124.57</v>
      </c>
      <c r="AA96" s="22">
        <f t="shared" si="24"/>
        <v>8690.4600000000009</v>
      </c>
    </row>
    <row r="97" spans="1:27">
      <c r="A97" s="125" t="s">
        <v>2488</v>
      </c>
      <c r="B97" s="3" t="s">
        <v>1824</v>
      </c>
      <c r="C97" s="93">
        <f>IF(A97=Summary!$B$9,Summary!$G$9,0)</f>
        <v>0</v>
      </c>
      <c r="D97" s="134">
        <f>VLOOKUP(A97,AAFTE!$A:$S,3,0)</f>
        <v>28.14</v>
      </c>
      <c r="E97" s="20">
        <f>VLOOKUP($A97,'2022-23 Salary &amp; Benefits'!$A:$I,3,)</f>
        <v>1</v>
      </c>
      <c r="F97" s="20">
        <f>VLOOKUP($A97,'2022-23 Salary &amp; Benefits'!$A:$I,4,)</f>
        <v>1</v>
      </c>
      <c r="G97" s="34">
        <f>VLOOKUP(A97,'CEDARS District FRPL'!$A:$F,6,)</f>
        <v>0</v>
      </c>
      <c r="H97" s="25">
        <f t="shared" si="20"/>
        <v>28.14</v>
      </c>
      <c r="I97" s="39">
        <f t="shared" si="13"/>
        <v>0</v>
      </c>
      <c r="J97" s="24">
        <v>15</v>
      </c>
      <c r="K97" s="26">
        <f t="shared" si="21"/>
        <v>0</v>
      </c>
      <c r="L97" s="24">
        <v>2.3975</v>
      </c>
      <c r="M97" s="24">
        <v>36</v>
      </c>
      <c r="N97" s="27">
        <f t="shared" si="22"/>
        <v>0</v>
      </c>
      <c r="O97" s="102">
        <f t="shared" si="14"/>
        <v>0</v>
      </c>
      <c r="P97" s="21">
        <f>VLOOKUP(A97,'2022-23 Salary &amp; Benefits'!$A:$I,5,)</f>
        <v>68937</v>
      </c>
      <c r="Q97" s="21">
        <f>VLOOKUP(A97,'2022-23 Salary &amp; Benefits'!$A:$I,6,FALSE)</f>
        <v>72728</v>
      </c>
      <c r="R97" s="22">
        <f t="shared" si="15"/>
        <v>0</v>
      </c>
      <c r="S97" s="22">
        <f t="shared" si="16"/>
        <v>0</v>
      </c>
      <c r="T97" s="22">
        <f>'2022-23 Salary &amp; Benefits'!$G$6</f>
        <v>12558.24</v>
      </c>
      <c r="U97" s="23">
        <f>'2022-23 Salary &amp; Benefits'!$H$6</f>
        <v>0.2298</v>
      </c>
      <c r="V97" s="23">
        <f>'2022-23 Salary &amp; Benefits'!$I$6</f>
        <v>0.22339999999999999</v>
      </c>
      <c r="W97" s="22">
        <f t="shared" si="17"/>
        <v>0</v>
      </c>
      <c r="X97" s="22">
        <f t="shared" si="18"/>
        <v>0</v>
      </c>
      <c r="Y97" s="22">
        <f t="shared" si="19"/>
        <v>0</v>
      </c>
      <c r="Z97" s="22">
        <f t="shared" si="23"/>
        <v>0</v>
      </c>
      <c r="AA97" s="22">
        <f t="shared" si="24"/>
        <v>0</v>
      </c>
    </row>
    <row r="98" spans="1:27">
      <c r="A98" s="125" t="s">
        <v>2286</v>
      </c>
      <c r="B98" s="3" t="s">
        <v>211</v>
      </c>
      <c r="C98" s="93">
        <f>IF(A98=Summary!$B$9,Summary!$G$9,0)</f>
        <v>0</v>
      </c>
      <c r="D98" s="134">
        <f>VLOOKUP(A98,AAFTE!$A:$S,3,0)</f>
        <v>153.29</v>
      </c>
      <c r="E98" s="20">
        <f>VLOOKUP($A98,'2022-23 Salary &amp; Benefits'!$A:$I,3,)</f>
        <v>1</v>
      </c>
      <c r="F98" s="20">
        <f>VLOOKUP($A98,'2022-23 Salary &amp; Benefits'!$A:$I,4,)</f>
        <v>1</v>
      </c>
      <c r="G98" s="34">
        <f>VLOOKUP(A98,'CEDARS District FRPL'!$A:$F,6,)</f>
        <v>0.19339999999999996</v>
      </c>
      <c r="H98" s="25">
        <f t="shared" si="20"/>
        <v>153.29</v>
      </c>
      <c r="I98" s="39">
        <f t="shared" si="13"/>
        <v>29.65</v>
      </c>
      <c r="J98" s="24">
        <v>15</v>
      </c>
      <c r="K98" s="26">
        <f t="shared" si="21"/>
        <v>1.9766666666666666</v>
      </c>
      <c r="L98" s="24">
        <v>2.3975</v>
      </c>
      <c r="M98" s="24">
        <v>36</v>
      </c>
      <c r="N98" s="27">
        <f t="shared" si="22"/>
        <v>170.6061</v>
      </c>
      <c r="O98" s="102">
        <f t="shared" si="14"/>
        <v>0.19</v>
      </c>
      <c r="P98" s="21">
        <f>VLOOKUP(A98,'2022-23 Salary &amp; Benefits'!$A:$I,5,)</f>
        <v>68937</v>
      </c>
      <c r="Q98" s="21">
        <f>VLOOKUP(A98,'2022-23 Salary &amp; Benefits'!$A:$I,6,FALSE)</f>
        <v>72728</v>
      </c>
      <c r="R98" s="22">
        <f t="shared" si="15"/>
        <v>13098.03</v>
      </c>
      <c r="S98" s="22">
        <f t="shared" si="16"/>
        <v>720.29</v>
      </c>
      <c r="T98" s="22">
        <f>'2022-23 Salary &amp; Benefits'!$G$6</f>
        <v>12558.24</v>
      </c>
      <c r="U98" s="23">
        <f>'2022-23 Salary &amp; Benefits'!$H$6</f>
        <v>0.2298</v>
      </c>
      <c r="V98" s="23">
        <f>'2022-23 Salary &amp; Benefits'!$I$6</f>
        <v>0.22339999999999999</v>
      </c>
      <c r="W98" s="22">
        <f t="shared" si="17"/>
        <v>5556.91</v>
      </c>
      <c r="X98" s="22">
        <f t="shared" si="18"/>
        <v>230.31</v>
      </c>
      <c r="Y98" s="22">
        <f t="shared" si="19"/>
        <v>51.45</v>
      </c>
      <c r="Z98" s="22">
        <f t="shared" si="23"/>
        <v>281.76</v>
      </c>
      <c r="AA98" s="22">
        <f t="shared" si="24"/>
        <v>19656.990000000002</v>
      </c>
    </row>
    <row r="99" spans="1:27">
      <c r="A99" s="126" t="s">
        <v>2520</v>
      </c>
      <c r="B99" s="3" t="s">
        <v>2023</v>
      </c>
      <c r="C99" s="93">
        <f>IF(A99=Summary!$B$9,Summary!$G$9,0)</f>
        <v>0</v>
      </c>
      <c r="D99" s="134">
        <f>VLOOKUP(A99,AAFTE!$A:$S,3,0)</f>
        <v>603</v>
      </c>
      <c r="E99" s="20">
        <f>VLOOKUP($A99,'2022-23 Salary &amp; Benefits'!$A:$I,3,)</f>
        <v>1</v>
      </c>
      <c r="F99" s="20">
        <f>VLOOKUP($A99,'2022-23 Salary &amp; Benefits'!$A:$I,4,)</f>
        <v>1</v>
      </c>
      <c r="G99" s="34">
        <f>VLOOKUP(A99,'CEDARS District FRPL'!$A:$F,6,)</f>
        <v>0</v>
      </c>
      <c r="H99" s="25">
        <f t="shared" si="20"/>
        <v>603</v>
      </c>
      <c r="I99" s="39">
        <f t="shared" si="13"/>
        <v>0</v>
      </c>
      <c r="J99" s="24">
        <v>15</v>
      </c>
      <c r="K99" s="26">
        <f t="shared" si="21"/>
        <v>0</v>
      </c>
      <c r="L99" s="24">
        <v>2.3975</v>
      </c>
      <c r="M99" s="24">
        <v>36</v>
      </c>
      <c r="N99" s="27">
        <f t="shared" si="22"/>
        <v>0</v>
      </c>
      <c r="O99" s="102">
        <f t="shared" si="14"/>
        <v>0</v>
      </c>
      <c r="P99" s="21">
        <f>VLOOKUP(A99,'2022-23 Salary &amp; Benefits'!$A:$I,5,)</f>
        <v>68937</v>
      </c>
      <c r="Q99" s="21">
        <f>VLOOKUP(A99,'2022-23 Salary &amp; Benefits'!$A:$I,6,FALSE)</f>
        <v>72728</v>
      </c>
      <c r="R99" s="22">
        <f t="shared" si="15"/>
        <v>0</v>
      </c>
      <c r="S99" s="22">
        <f t="shared" si="16"/>
        <v>0</v>
      </c>
      <c r="T99" s="22">
        <f>'2022-23 Salary &amp; Benefits'!$G$6</f>
        <v>12558.24</v>
      </c>
      <c r="U99" s="23">
        <f>'2022-23 Salary &amp; Benefits'!$H$6</f>
        <v>0.2298</v>
      </c>
      <c r="V99" s="23">
        <f>'2022-23 Salary &amp; Benefits'!$I$6</f>
        <v>0.22339999999999999</v>
      </c>
      <c r="W99" s="22">
        <f t="shared" si="17"/>
        <v>0</v>
      </c>
      <c r="X99" s="22">
        <f t="shared" si="18"/>
        <v>0</v>
      </c>
      <c r="Y99" s="22">
        <f t="shared" si="19"/>
        <v>0</v>
      </c>
      <c r="Z99" s="22">
        <f t="shared" si="23"/>
        <v>0</v>
      </c>
      <c r="AA99" s="22">
        <f t="shared" si="24"/>
        <v>0</v>
      </c>
    </row>
    <row r="100" spans="1:27">
      <c r="A100" s="125" t="s">
        <v>2412</v>
      </c>
      <c r="B100" s="3" t="s">
        <v>1198</v>
      </c>
      <c r="C100" s="93">
        <f>IF(A100=Summary!$B$9,Summary!$G$9,0)</f>
        <v>0</v>
      </c>
      <c r="D100" s="134">
        <f>VLOOKUP(A100,AAFTE!$A:$S,3,0)</f>
        <v>111.84</v>
      </c>
      <c r="E100" s="20">
        <f>VLOOKUP($A100,'2022-23 Salary &amp; Benefits'!$A:$I,3,)</f>
        <v>1</v>
      </c>
      <c r="F100" s="20">
        <f>VLOOKUP($A100,'2022-23 Salary &amp; Benefits'!$A:$I,4,)</f>
        <v>1.04</v>
      </c>
      <c r="G100" s="34">
        <f>VLOOKUP(A100,'CEDARS District FRPL'!$A:$F,6,)</f>
        <v>0</v>
      </c>
      <c r="H100" s="25">
        <f t="shared" si="20"/>
        <v>111.84</v>
      </c>
      <c r="I100" s="39">
        <f t="shared" si="13"/>
        <v>0</v>
      </c>
      <c r="J100" s="24">
        <v>15</v>
      </c>
      <c r="K100" s="26">
        <f t="shared" si="21"/>
        <v>0</v>
      </c>
      <c r="L100" s="24">
        <v>2.3975</v>
      </c>
      <c r="M100" s="24">
        <v>36</v>
      </c>
      <c r="N100" s="27">
        <f t="shared" si="22"/>
        <v>0</v>
      </c>
      <c r="O100" s="102">
        <f t="shared" si="14"/>
        <v>0</v>
      </c>
      <c r="P100" s="21">
        <f>VLOOKUP(A100,'2022-23 Salary &amp; Benefits'!$A:$I,5,)</f>
        <v>68937</v>
      </c>
      <c r="Q100" s="21">
        <f>VLOOKUP(A100,'2022-23 Salary &amp; Benefits'!$A:$I,6,FALSE)</f>
        <v>72728</v>
      </c>
      <c r="R100" s="22">
        <f t="shared" si="15"/>
        <v>0</v>
      </c>
      <c r="S100" s="22">
        <f t="shared" si="16"/>
        <v>0</v>
      </c>
      <c r="T100" s="22">
        <f>'2022-23 Salary &amp; Benefits'!$G$6</f>
        <v>12558.24</v>
      </c>
      <c r="U100" s="23">
        <f>'2022-23 Salary &amp; Benefits'!$H$6</f>
        <v>0.2298</v>
      </c>
      <c r="V100" s="23">
        <f>'2022-23 Salary &amp; Benefits'!$I$6</f>
        <v>0.22339999999999999</v>
      </c>
      <c r="W100" s="22">
        <f t="shared" si="17"/>
        <v>0</v>
      </c>
      <c r="X100" s="22">
        <f t="shared" si="18"/>
        <v>0</v>
      </c>
      <c r="Y100" s="22">
        <f t="shared" si="19"/>
        <v>0</v>
      </c>
      <c r="Z100" s="22">
        <f t="shared" si="23"/>
        <v>0</v>
      </c>
      <c r="AA100" s="22">
        <f t="shared" si="24"/>
        <v>0</v>
      </c>
    </row>
    <row r="101" spans="1:27">
      <c r="A101" s="125" t="s">
        <v>2562</v>
      </c>
      <c r="B101" s="3" t="s">
        <v>2227</v>
      </c>
      <c r="C101" s="93">
        <f>IF(A101=Summary!$B$9,Summary!$G$9,0)</f>
        <v>0</v>
      </c>
      <c r="D101" s="134">
        <f>VLOOKUP(A101,AAFTE!$A:$S,3,0)</f>
        <v>1032.1300000000001</v>
      </c>
      <c r="E101" s="20">
        <f>VLOOKUP($A101,'2022-23 Salary &amp; Benefits'!$A:$I,3,)</f>
        <v>1</v>
      </c>
      <c r="F101" s="20">
        <f>VLOOKUP($A101,'2022-23 Salary &amp; Benefits'!$A:$I,4,)</f>
        <v>1</v>
      </c>
      <c r="G101" s="34">
        <f>VLOOKUP(A101,'CEDARS District FRPL'!$A:$F,6,)</f>
        <v>1.8199999999999994E-2</v>
      </c>
      <c r="H101" s="25">
        <f t="shared" si="20"/>
        <v>1032.1300000000001</v>
      </c>
      <c r="I101" s="39">
        <f t="shared" si="13"/>
        <v>18.78</v>
      </c>
      <c r="J101" s="24">
        <v>15</v>
      </c>
      <c r="K101" s="26">
        <f t="shared" si="21"/>
        <v>1.252</v>
      </c>
      <c r="L101" s="24">
        <v>2.3975</v>
      </c>
      <c r="M101" s="24">
        <v>36</v>
      </c>
      <c r="N101" s="27">
        <f t="shared" si="22"/>
        <v>108.06012</v>
      </c>
      <c r="O101" s="102">
        <f t="shared" si="14"/>
        <v>0.12</v>
      </c>
      <c r="P101" s="21">
        <f>VLOOKUP(A101,'2022-23 Salary &amp; Benefits'!$A:$I,5,)</f>
        <v>68937</v>
      </c>
      <c r="Q101" s="21">
        <f>VLOOKUP(A101,'2022-23 Salary &amp; Benefits'!$A:$I,6,FALSE)</f>
        <v>72728</v>
      </c>
      <c r="R101" s="22">
        <f t="shared" si="15"/>
        <v>8272.44</v>
      </c>
      <c r="S101" s="22">
        <f t="shared" si="16"/>
        <v>454.92</v>
      </c>
      <c r="T101" s="22">
        <f>'2022-23 Salary &amp; Benefits'!$G$6</f>
        <v>12558.24</v>
      </c>
      <c r="U101" s="23">
        <f>'2022-23 Salary &amp; Benefits'!$H$6</f>
        <v>0.2298</v>
      </c>
      <c r="V101" s="23">
        <f>'2022-23 Salary &amp; Benefits'!$I$6</f>
        <v>0.22339999999999999</v>
      </c>
      <c r="W101" s="22">
        <f t="shared" si="17"/>
        <v>3509.62</v>
      </c>
      <c r="X101" s="22">
        <f t="shared" si="18"/>
        <v>145.46</v>
      </c>
      <c r="Y101" s="22">
        <f t="shared" si="19"/>
        <v>32.5</v>
      </c>
      <c r="Z101" s="22">
        <f t="shared" si="23"/>
        <v>177.96</v>
      </c>
      <c r="AA101" s="22">
        <f t="shared" si="24"/>
        <v>12414.94</v>
      </c>
    </row>
    <row r="102" spans="1:27">
      <c r="A102" s="125" t="s">
        <v>2352</v>
      </c>
      <c r="B102" s="3" t="s">
        <v>702</v>
      </c>
      <c r="C102" s="93">
        <f>IF(A102=Summary!$B$9,Summary!$G$9,0)</f>
        <v>0</v>
      </c>
      <c r="D102" s="134">
        <f>VLOOKUP(A102,AAFTE!$A:$S,3,0)</f>
        <v>17725.89</v>
      </c>
      <c r="E102" s="20">
        <f>VLOOKUP($A102,'2022-23 Salary &amp; Benefits'!$A:$I,3,)</f>
        <v>1.18</v>
      </c>
      <c r="F102" s="20">
        <f>VLOOKUP($A102,'2022-23 Salary &amp; Benefits'!$A:$I,4,)</f>
        <v>1.18</v>
      </c>
      <c r="G102" s="34">
        <f>VLOOKUP(A102,'CEDARS District FRPL'!$A:$F,6,)</f>
        <v>0</v>
      </c>
      <c r="H102" s="25">
        <f t="shared" si="20"/>
        <v>17725.89</v>
      </c>
      <c r="I102" s="39">
        <f t="shared" si="13"/>
        <v>0</v>
      </c>
      <c r="J102" s="24">
        <v>15</v>
      </c>
      <c r="K102" s="26">
        <f t="shared" si="21"/>
        <v>0</v>
      </c>
      <c r="L102" s="24">
        <v>2.3975</v>
      </c>
      <c r="M102" s="24">
        <v>36</v>
      </c>
      <c r="N102" s="27">
        <f t="shared" si="22"/>
        <v>0</v>
      </c>
      <c r="O102" s="102">
        <f t="shared" si="14"/>
        <v>0</v>
      </c>
      <c r="P102" s="21">
        <f>VLOOKUP(A102,'2022-23 Salary &amp; Benefits'!$A:$I,5,)</f>
        <v>68937</v>
      </c>
      <c r="Q102" s="21">
        <f>VLOOKUP(A102,'2022-23 Salary &amp; Benefits'!$A:$I,6,FALSE)</f>
        <v>72728</v>
      </c>
      <c r="R102" s="22">
        <f t="shared" si="15"/>
        <v>0</v>
      </c>
      <c r="S102" s="22">
        <f t="shared" si="16"/>
        <v>0</v>
      </c>
      <c r="T102" s="22">
        <f>'2022-23 Salary &amp; Benefits'!$G$6</f>
        <v>12558.24</v>
      </c>
      <c r="U102" s="23">
        <f>'2022-23 Salary &amp; Benefits'!$H$6</f>
        <v>0.2298</v>
      </c>
      <c r="V102" s="23">
        <f>'2022-23 Salary &amp; Benefits'!$I$6</f>
        <v>0.22339999999999999</v>
      </c>
      <c r="W102" s="22">
        <f t="shared" si="17"/>
        <v>0</v>
      </c>
      <c r="X102" s="22">
        <f t="shared" si="18"/>
        <v>0</v>
      </c>
      <c r="Y102" s="22">
        <f t="shared" si="19"/>
        <v>0</v>
      </c>
      <c r="Z102" s="22">
        <f t="shared" si="23"/>
        <v>0</v>
      </c>
      <c r="AA102" s="22">
        <f t="shared" si="24"/>
        <v>0</v>
      </c>
    </row>
    <row r="103" spans="1:27">
      <c r="A103" s="125" t="s">
        <v>2284</v>
      </c>
      <c r="B103" s="3" t="s">
        <v>202</v>
      </c>
      <c r="C103" s="93">
        <f>IF(A103=Summary!$B$9,Summary!$G$9,0)</f>
        <v>0</v>
      </c>
      <c r="D103" s="134">
        <f>VLOOKUP(A103,AAFTE!$A:$S,3,0)</f>
        <v>1917</v>
      </c>
      <c r="E103" s="20">
        <f>VLOOKUP($A103,'2022-23 Salary &amp; Benefits'!$A:$I,3,)</f>
        <v>1.06</v>
      </c>
      <c r="F103" s="20">
        <f>VLOOKUP($A103,'2022-23 Salary &amp; Benefits'!$A:$I,4,)</f>
        <v>1.06</v>
      </c>
      <c r="G103" s="34">
        <f>VLOOKUP(A103,'CEDARS District FRPL'!$A:$F,6,)</f>
        <v>2.0000000000000573E-4</v>
      </c>
      <c r="H103" s="25">
        <f t="shared" si="20"/>
        <v>1917</v>
      </c>
      <c r="I103" s="39">
        <f t="shared" si="13"/>
        <v>0.38</v>
      </c>
      <c r="J103" s="24">
        <v>15</v>
      </c>
      <c r="K103" s="26">
        <f t="shared" si="21"/>
        <v>2.5333333333333333E-2</v>
      </c>
      <c r="L103" s="24">
        <v>2.3975</v>
      </c>
      <c r="M103" s="24">
        <v>36</v>
      </c>
      <c r="N103" s="27">
        <f t="shared" si="22"/>
        <v>2.1865199999999998</v>
      </c>
      <c r="O103" s="102">
        <f t="shared" si="14"/>
        <v>2E-3</v>
      </c>
      <c r="P103" s="21">
        <f>VLOOKUP(A103,'2022-23 Salary &amp; Benefits'!$A:$I,5,)</f>
        <v>68937</v>
      </c>
      <c r="Q103" s="21">
        <f>VLOOKUP(A103,'2022-23 Salary &amp; Benefits'!$A:$I,6,FALSE)</f>
        <v>72728</v>
      </c>
      <c r="R103" s="22">
        <f t="shared" si="15"/>
        <v>146.15</v>
      </c>
      <c r="S103" s="22">
        <f t="shared" si="16"/>
        <v>8.0299999999999994</v>
      </c>
      <c r="T103" s="22">
        <f>'2022-23 Salary &amp; Benefits'!$G$6</f>
        <v>12558.24</v>
      </c>
      <c r="U103" s="23">
        <f>'2022-23 Salary &amp; Benefits'!$H$6</f>
        <v>0.2298</v>
      </c>
      <c r="V103" s="23">
        <f>'2022-23 Salary &amp; Benefits'!$I$6</f>
        <v>0.22339999999999999</v>
      </c>
      <c r="W103" s="22">
        <f t="shared" si="17"/>
        <v>60.5</v>
      </c>
      <c r="X103" s="22">
        <f t="shared" si="18"/>
        <v>2.57</v>
      </c>
      <c r="Y103" s="22">
        <f t="shared" si="19"/>
        <v>0.56999999999999995</v>
      </c>
      <c r="Z103" s="22">
        <f t="shared" si="23"/>
        <v>3.1399999999999997</v>
      </c>
      <c r="AA103" s="22">
        <f t="shared" si="24"/>
        <v>217.82</v>
      </c>
    </row>
    <row r="104" spans="1:27">
      <c r="A104" s="125" t="s">
        <v>2420</v>
      </c>
      <c r="B104" s="3" t="s">
        <v>1224</v>
      </c>
      <c r="C104" s="93">
        <f>IF(A104=Summary!$B$9,Summary!$G$9,0)</f>
        <v>0</v>
      </c>
      <c r="D104" s="134">
        <f>VLOOKUP(A104,AAFTE!$A:$S,3,0)</f>
        <v>304.72000000000003</v>
      </c>
      <c r="E104" s="20">
        <f>VLOOKUP($A104,'2022-23 Salary &amp; Benefits'!$A:$I,3,)</f>
        <v>1</v>
      </c>
      <c r="F104" s="20">
        <f>VLOOKUP($A104,'2022-23 Salary &amp; Benefits'!$A:$I,4,)</f>
        <v>1</v>
      </c>
      <c r="G104" s="34">
        <f>VLOOKUP(A104,'CEDARS District FRPL'!$A:$F,6,)</f>
        <v>1.3999999999999568E-3</v>
      </c>
      <c r="H104" s="25">
        <f t="shared" si="20"/>
        <v>304.72000000000003</v>
      </c>
      <c r="I104" s="39">
        <f t="shared" si="13"/>
        <v>0.43</v>
      </c>
      <c r="J104" s="24">
        <v>15</v>
      </c>
      <c r="K104" s="26">
        <f t="shared" si="21"/>
        <v>2.8666666666666667E-2</v>
      </c>
      <c r="L104" s="24">
        <v>2.3975</v>
      </c>
      <c r="M104" s="24">
        <v>36</v>
      </c>
      <c r="N104" s="27">
        <f t="shared" si="22"/>
        <v>2.4742199999999999</v>
      </c>
      <c r="O104" s="102">
        <f t="shared" si="14"/>
        <v>3.0000000000000001E-3</v>
      </c>
      <c r="P104" s="21">
        <f>VLOOKUP(A104,'2022-23 Salary &amp; Benefits'!$A:$I,5,)</f>
        <v>68937</v>
      </c>
      <c r="Q104" s="21">
        <f>VLOOKUP(A104,'2022-23 Salary &amp; Benefits'!$A:$I,6,FALSE)</f>
        <v>72728</v>
      </c>
      <c r="R104" s="22">
        <f t="shared" si="15"/>
        <v>206.81</v>
      </c>
      <c r="S104" s="22">
        <f t="shared" si="16"/>
        <v>11.37</v>
      </c>
      <c r="T104" s="22">
        <f>'2022-23 Salary &amp; Benefits'!$G$6</f>
        <v>12558.24</v>
      </c>
      <c r="U104" s="23">
        <f>'2022-23 Salary &amp; Benefits'!$H$6</f>
        <v>0.2298</v>
      </c>
      <c r="V104" s="23">
        <f>'2022-23 Salary &amp; Benefits'!$I$6</f>
        <v>0.22339999999999999</v>
      </c>
      <c r="W104" s="22">
        <f t="shared" si="17"/>
        <v>87.74</v>
      </c>
      <c r="X104" s="22">
        <f t="shared" si="18"/>
        <v>3.64</v>
      </c>
      <c r="Y104" s="22">
        <f t="shared" si="19"/>
        <v>0.81</v>
      </c>
      <c r="Z104" s="22">
        <f t="shared" si="23"/>
        <v>4.45</v>
      </c>
      <c r="AA104" s="22">
        <f t="shared" si="24"/>
        <v>310.37</v>
      </c>
    </row>
    <row r="105" spans="1:27">
      <c r="A105" s="125" t="s">
        <v>2328</v>
      </c>
      <c r="B105" s="3" t="s">
        <v>474</v>
      </c>
      <c r="C105" s="93">
        <f>IF(A105=Summary!$B$9,Summary!$G$9,0)</f>
        <v>0</v>
      </c>
      <c r="D105" s="134">
        <f>VLOOKUP(A105,AAFTE!$A:$S,3,0)</f>
        <v>1567</v>
      </c>
      <c r="E105" s="20">
        <f>VLOOKUP($A105,'2022-23 Salary &amp; Benefits'!$A:$I,3,)</f>
        <v>1</v>
      </c>
      <c r="F105" s="20">
        <f>VLOOKUP($A105,'2022-23 Salary &amp; Benefits'!$A:$I,4,)</f>
        <v>1</v>
      </c>
      <c r="G105" s="34">
        <f>VLOOKUP(A105,'CEDARS District FRPL'!$A:$F,6,)</f>
        <v>0</v>
      </c>
      <c r="H105" s="25">
        <f t="shared" si="20"/>
        <v>1567</v>
      </c>
      <c r="I105" s="39">
        <f t="shared" si="13"/>
        <v>0</v>
      </c>
      <c r="J105" s="24">
        <v>15</v>
      </c>
      <c r="K105" s="26">
        <f t="shared" si="21"/>
        <v>0</v>
      </c>
      <c r="L105" s="24">
        <v>2.3975</v>
      </c>
      <c r="M105" s="24">
        <v>36</v>
      </c>
      <c r="N105" s="27">
        <f t="shared" si="22"/>
        <v>0</v>
      </c>
      <c r="O105" s="102">
        <f t="shared" si="14"/>
        <v>0</v>
      </c>
      <c r="P105" s="21">
        <f>VLOOKUP(A105,'2022-23 Salary &amp; Benefits'!$A:$I,5,)</f>
        <v>68937</v>
      </c>
      <c r="Q105" s="21">
        <f>VLOOKUP(A105,'2022-23 Salary &amp; Benefits'!$A:$I,6,FALSE)</f>
        <v>72728</v>
      </c>
      <c r="R105" s="22">
        <f t="shared" si="15"/>
        <v>0</v>
      </c>
      <c r="S105" s="22">
        <f t="shared" si="16"/>
        <v>0</v>
      </c>
      <c r="T105" s="22">
        <f>'2022-23 Salary &amp; Benefits'!$G$6</f>
        <v>12558.24</v>
      </c>
      <c r="U105" s="23">
        <f>'2022-23 Salary &amp; Benefits'!$H$6</f>
        <v>0.2298</v>
      </c>
      <c r="V105" s="23">
        <f>'2022-23 Salary &amp; Benefits'!$I$6</f>
        <v>0.22339999999999999</v>
      </c>
      <c r="W105" s="22">
        <f t="shared" si="17"/>
        <v>0</v>
      </c>
      <c r="X105" s="22">
        <f t="shared" si="18"/>
        <v>0</v>
      </c>
      <c r="Y105" s="22">
        <f t="shared" si="19"/>
        <v>0</v>
      </c>
      <c r="Z105" s="22">
        <f t="shared" si="23"/>
        <v>0</v>
      </c>
      <c r="AA105" s="22">
        <f t="shared" si="24"/>
        <v>0</v>
      </c>
    </row>
    <row r="106" spans="1:27">
      <c r="A106" s="125" t="s">
        <v>2708</v>
      </c>
      <c r="B106" s="96" t="s">
        <v>2885</v>
      </c>
      <c r="C106" s="93">
        <f>IF(A106=Summary!$B$9,Summary!$G$9,0)</f>
        <v>0</v>
      </c>
      <c r="D106" s="134">
        <f>VLOOKUP(A106,AAFTE!$A:$S,3,0)</f>
        <v>591.14</v>
      </c>
      <c r="E106" s="20">
        <f>VLOOKUP($A106,'2022-23 Salary &amp; Benefits'!$A:$I,3,)</f>
        <v>1.18</v>
      </c>
      <c r="F106" s="20">
        <f>VLOOKUP($A106,'2022-23 Salary &amp; Benefits'!$A:$I,4,)</f>
        <v>1.18</v>
      </c>
      <c r="G106" s="34">
        <f>VLOOKUP(A106,'CEDARS District FRPL'!$A:$F,6,)</f>
        <v>5.0300000000000011E-2</v>
      </c>
      <c r="H106" s="25">
        <f t="shared" si="20"/>
        <v>591.14</v>
      </c>
      <c r="I106" s="39">
        <f t="shared" si="13"/>
        <v>29.73</v>
      </c>
      <c r="J106" s="24">
        <v>15</v>
      </c>
      <c r="K106" s="26">
        <f t="shared" si="21"/>
        <v>1.982</v>
      </c>
      <c r="L106" s="24">
        <v>2.3975</v>
      </c>
      <c r="M106" s="24">
        <v>36</v>
      </c>
      <c r="N106" s="27">
        <f t="shared" si="22"/>
        <v>171.06642000000002</v>
      </c>
      <c r="O106" s="102">
        <f t="shared" si="14"/>
        <v>0.19</v>
      </c>
      <c r="P106" s="21">
        <f>VLOOKUP(A106,'2022-23 Salary &amp; Benefits'!$A:$I,5,)</f>
        <v>68937</v>
      </c>
      <c r="Q106" s="21">
        <f>VLOOKUP(A106,'2022-23 Salary &amp; Benefits'!$A:$I,6,FALSE)</f>
        <v>72728</v>
      </c>
      <c r="R106" s="22">
        <f t="shared" si="15"/>
        <v>15455.68</v>
      </c>
      <c r="S106" s="22">
        <f t="shared" si="16"/>
        <v>849.94</v>
      </c>
      <c r="T106" s="22">
        <f>'2022-23 Salary &amp; Benefits'!$G$6</f>
        <v>12558.24</v>
      </c>
      <c r="U106" s="23">
        <f>'2022-23 Salary &amp; Benefits'!$H$6</f>
        <v>0.2298</v>
      </c>
      <c r="V106" s="23">
        <f>'2022-23 Salary &amp; Benefits'!$I$6</f>
        <v>0.22339999999999999</v>
      </c>
      <c r="W106" s="22">
        <f t="shared" si="17"/>
        <v>6127.66</v>
      </c>
      <c r="X106" s="22">
        <f t="shared" si="18"/>
        <v>271.76</v>
      </c>
      <c r="Y106" s="22">
        <f t="shared" si="19"/>
        <v>60.71</v>
      </c>
      <c r="Z106" s="22">
        <f t="shared" si="23"/>
        <v>332.46999999999997</v>
      </c>
      <c r="AA106" s="22">
        <f t="shared" si="24"/>
        <v>22765.75</v>
      </c>
    </row>
    <row r="107" spans="1:27">
      <c r="A107" s="125" t="s">
        <v>2853</v>
      </c>
      <c r="B107" s="96" t="s">
        <v>2886</v>
      </c>
      <c r="C107" s="93">
        <f>IF(A107=Summary!$B$9,Summary!$G$9,0)</f>
        <v>0</v>
      </c>
      <c r="D107" s="134">
        <f>VLOOKUP(A107,AAFTE!$A:$S,3,0)</f>
        <v>284.86</v>
      </c>
      <c r="E107" s="20">
        <f>VLOOKUP($A107,'2022-23 Salary &amp; Benefits'!$A:$I,3,)</f>
        <v>1.18</v>
      </c>
      <c r="F107" s="20">
        <f>VLOOKUP($A107,'2022-23 Salary &amp; Benefits'!$A:$I,4,)</f>
        <v>1.18</v>
      </c>
      <c r="G107" s="34">
        <f>VLOOKUP(A107,'CEDARS District FRPL'!$A:$F,6,)</f>
        <v>0</v>
      </c>
      <c r="H107" s="25">
        <f t="shared" si="20"/>
        <v>284.86</v>
      </c>
      <c r="I107" s="39">
        <f t="shared" si="13"/>
        <v>0</v>
      </c>
      <c r="J107" s="24">
        <v>15</v>
      </c>
      <c r="K107" s="26">
        <f t="shared" si="21"/>
        <v>0</v>
      </c>
      <c r="L107" s="24">
        <v>2.3975</v>
      </c>
      <c r="M107" s="24">
        <v>36</v>
      </c>
      <c r="N107" s="27">
        <f t="shared" si="22"/>
        <v>0</v>
      </c>
      <c r="O107" s="102">
        <f t="shared" si="14"/>
        <v>0</v>
      </c>
      <c r="P107" s="21">
        <f>VLOOKUP(A107,'2022-23 Salary &amp; Benefits'!$A:$I,5,)</f>
        <v>68937</v>
      </c>
      <c r="Q107" s="21">
        <f>VLOOKUP(A107,'2022-23 Salary &amp; Benefits'!$A:$I,6,FALSE)</f>
        <v>72728</v>
      </c>
      <c r="R107" s="22">
        <f t="shared" si="15"/>
        <v>0</v>
      </c>
      <c r="S107" s="22">
        <f t="shared" si="16"/>
        <v>0</v>
      </c>
      <c r="T107" s="22">
        <f>'2022-23 Salary &amp; Benefits'!$G$6</f>
        <v>12558.24</v>
      </c>
      <c r="U107" s="23">
        <f>'2022-23 Salary &amp; Benefits'!$H$6</f>
        <v>0.2298</v>
      </c>
      <c r="V107" s="23">
        <f>'2022-23 Salary &amp; Benefits'!$I$6</f>
        <v>0.22339999999999999</v>
      </c>
      <c r="W107" s="22">
        <f t="shared" si="17"/>
        <v>0</v>
      </c>
      <c r="X107" s="22">
        <f t="shared" si="18"/>
        <v>0</v>
      </c>
      <c r="Y107" s="22">
        <f t="shared" si="19"/>
        <v>0</v>
      </c>
      <c r="Z107" s="22">
        <f t="shared" si="23"/>
        <v>0</v>
      </c>
      <c r="AA107" s="22">
        <f t="shared" si="24"/>
        <v>0</v>
      </c>
    </row>
    <row r="108" spans="1:27">
      <c r="A108" s="126" t="s">
        <v>2953</v>
      </c>
      <c r="B108" s="56" t="s">
        <v>2987</v>
      </c>
      <c r="C108" s="93">
        <f>IF(A108=Summary!$B$9,Summary!$G$9,0)</f>
        <v>0</v>
      </c>
      <c r="D108" s="134">
        <f>VLOOKUP(A108,AAFTE!$A:$S,3,0)</f>
        <v>263</v>
      </c>
      <c r="E108" s="20">
        <f>VLOOKUP($A108,'2022-23 Salary &amp; Benefits'!$A:$I,3,)</f>
        <v>1.1200000000000001</v>
      </c>
      <c r="F108" s="20">
        <f>VLOOKUP($A108,'2022-23 Salary &amp; Benefits'!$A:$I,4,)</f>
        <v>1.1200000000000001</v>
      </c>
      <c r="G108" s="34">
        <f>VLOOKUP(A108,'CEDARS District FRPL'!$A:$F,6,)</f>
        <v>0</v>
      </c>
      <c r="H108" s="25">
        <f t="shared" si="20"/>
        <v>263</v>
      </c>
      <c r="I108" s="39">
        <f t="shared" si="13"/>
        <v>0</v>
      </c>
      <c r="J108" s="24">
        <v>15</v>
      </c>
      <c r="K108" s="26">
        <f t="shared" si="21"/>
        <v>0</v>
      </c>
      <c r="L108" s="24">
        <v>2.3975</v>
      </c>
      <c r="M108" s="24">
        <v>36</v>
      </c>
      <c r="N108" s="27">
        <f t="shared" si="22"/>
        <v>0</v>
      </c>
      <c r="O108" s="102">
        <f t="shared" si="14"/>
        <v>0</v>
      </c>
      <c r="P108" s="21">
        <f>VLOOKUP(A108,'2022-23 Salary &amp; Benefits'!$A:$I,5,)</f>
        <v>68937</v>
      </c>
      <c r="Q108" s="21">
        <f>VLOOKUP(A108,'2022-23 Salary &amp; Benefits'!$A:$I,6,FALSE)</f>
        <v>72728</v>
      </c>
      <c r="R108" s="22">
        <f t="shared" si="15"/>
        <v>0</v>
      </c>
      <c r="S108" s="22">
        <f t="shared" si="16"/>
        <v>0</v>
      </c>
      <c r="T108" s="22">
        <f>'2022-23 Salary &amp; Benefits'!$G$6</f>
        <v>12558.24</v>
      </c>
      <c r="U108" s="23">
        <f>'2022-23 Salary &amp; Benefits'!$H$6</f>
        <v>0.2298</v>
      </c>
      <c r="V108" s="23">
        <f>'2022-23 Salary &amp; Benefits'!$I$6</f>
        <v>0.22339999999999999</v>
      </c>
      <c r="W108" s="22">
        <f t="shared" si="17"/>
        <v>0</v>
      </c>
      <c r="X108" s="22">
        <f t="shared" si="18"/>
        <v>0</v>
      </c>
      <c r="Y108" s="22">
        <f t="shared" si="19"/>
        <v>0</v>
      </c>
      <c r="Z108" s="22">
        <f t="shared" si="23"/>
        <v>0</v>
      </c>
      <c r="AA108" s="22">
        <f t="shared" si="24"/>
        <v>0</v>
      </c>
    </row>
    <row r="109" spans="1:27">
      <c r="A109" s="59" t="s">
        <v>2310</v>
      </c>
      <c r="B109" s="59" t="s">
        <v>363</v>
      </c>
      <c r="C109" s="93">
        <f>IF(A109=Summary!$B$9,Summary!$G$9,0)</f>
        <v>0</v>
      </c>
      <c r="D109" s="134">
        <f>VLOOKUP(A109,AAFTE!$A:$S,3,0)</f>
        <v>223.64</v>
      </c>
      <c r="E109" s="20">
        <f>VLOOKUP($A109,'2022-23 Salary &amp; Benefits'!$A:$I,3,)</f>
        <v>1</v>
      </c>
      <c r="F109" s="20">
        <f>VLOOKUP($A109,'2022-23 Salary &amp; Benefits'!$A:$I,4,)</f>
        <v>1</v>
      </c>
      <c r="G109" s="34">
        <f>VLOOKUP(A109,'CEDARS District FRPL'!$A:$F,6,)</f>
        <v>0</v>
      </c>
      <c r="H109" s="25">
        <f>IF(C109&gt;0,C109,D109)</f>
        <v>223.64</v>
      </c>
      <c r="I109" s="39">
        <f t="shared" si="13"/>
        <v>0</v>
      </c>
      <c r="J109" s="24">
        <v>15</v>
      </c>
      <c r="K109" s="26">
        <f>I109/J109</f>
        <v>0</v>
      </c>
      <c r="L109" s="24">
        <v>2.3975</v>
      </c>
      <c r="M109" s="24">
        <v>36</v>
      </c>
      <c r="N109" s="27">
        <f>K109*L109*M109</f>
        <v>0</v>
      </c>
      <c r="O109" s="102">
        <f t="shared" si="14"/>
        <v>0</v>
      </c>
      <c r="P109" s="21">
        <f>VLOOKUP(A109,'2022-23 Salary &amp; Benefits'!$A:$I,5,)</f>
        <v>68937</v>
      </c>
      <c r="Q109" s="21">
        <f>VLOOKUP(A109,'2022-23 Salary &amp; Benefits'!$A:$I,6,FALSE)</f>
        <v>72728</v>
      </c>
      <c r="R109" s="22">
        <f t="shared" si="15"/>
        <v>0</v>
      </c>
      <c r="S109" s="22">
        <f t="shared" si="16"/>
        <v>0</v>
      </c>
      <c r="T109" s="22">
        <f>'2022-23 Salary &amp; Benefits'!$G$6</f>
        <v>12558.24</v>
      </c>
      <c r="U109" s="23">
        <f>'2022-23 Salary &amp; Benefits'!$H$6</f>
        <v>0.2298</v>
      </c>
      <c r="V109" s="23">
        <f>'2022-23 Salary &amp; Benefits'!$I$6</f>
        <v>0.22339999999999999</v>
      </c>
      <c r="W109" s="22">
        <f t="shared" si="17"/>
        <v>0</v>
      </c>
      <c r="X109" s="22">
        <f t="shared" si="18"/>
        <v>0</v>
      </c>
      <c r="Y109" s="22">
        <f t="shared" si="19"/>
        <v>0</v>
      </c>
      <c r="Z109" s="22">
        <f>SUM(X109:Y109)</f>
        <v>0</v>
      </c>
      <c r="AA109" s="22">
        <f>SUM(W109,R109:S109,Z109)</f>
        <v>0</v>
      </c>
    </row>
    <row r="110" spans="1:27">
      <c r="A110" s="125" t="s">
        <v>2478</v>
      </c>
      <c r="B110" s="3" t="s">
        <v>1708</v>
      </c>
      <c r="C110" s="93">
        <f>IF(A110=Summary!$B$9,Summary!$G$9,0)</f>
        <v>0</v>
      </c>
      <c r="D110" s="134">
        <f>VLOOKUP(A110,AAFTE!$A:$S,3,0)</f>
        <v>24.23</v>
      </c>
      <c r="E110" s="20">
        <f>VLOOKUP($A110,'2022-23 Salary &amp; Benefits'!$A:$I,3,)</f>
        <v>1.1200000000000001</v>
      </c>
      <c r="F110" s="20">
        <f>VLOOKUP($A110,'2022-23 Salary &amp; Benefits'!$A:$I,4,)</f>
        <v>1.1200000000000001</v>
      </c>
      <c r="G110" s="34">
        <f>VLOOKUP(A110,'CEDARS District FRPL'!$A:$F,6,)</f>
        <v>0</v>
      </c>
      <c r="H110" s="25">
        <f t="shared" si="20"/>
        <v>24.23</v>
      </c>
      <c r="I110" s="39">
        <f t="shared" si="13"/>
        <v>0</v>
      </c>
      <c r="J110" s="24">
        <v>15</v>
      </c>
      <c r="K110" s="26">
        <f t="shared" si="21"/>
        <v>0</v>
      </c>
      <c r="L110" s="24">
        <v>2.3975</v>
      </c>
      <c r="M110" s="24">
        <v>36</v>
      </c>
      <c r="N110" s="27">
        <f t="shared" si="22"/>
        <v>0</v>
      </c>
      <c r="O110" s="102">
        <f t="shared" si="14"/>
        <v>0</v>
      </c>
      <c r="P110" s="21">
        <f>VLOOKUP(A110,'2022-23 Salary &amp; Benefits'!$A:$I,5,)</f>
        <v>68937</v>
      </c>
      <c r="Q110" s="21">
        <f>VLOOKUP(A110,'2022-23 Salary &amp; Benefits'!$A:$I,6,FALSE)</f>
        <v>72728</v>
      </c>
      <c r="R110" s="22">
        <f t="shared" si="15"/>
        <v>0</v>
      </c>
      <c r="S110" s="22">
        <f t="shared" si="16"/>
        <v>0</v>
      </c>
      <c r="T110" s="22">
        <f>'2022-23 Salary &amp; Benefits'!$G$6</f>
        <v>12558.24</v>
      </c>
      <c r="U110" s="23">
        <f>'2022-23 Salary &amp; Benefits'!$H$6</f>
        <v>0.2298</v>
      </c>
      <c r="V110" s="23">
        <f>'2022-23 Salary &amp; Benefits'!$I$6</f>
        <v>0.22339999999999999</v>
      </c>
      <c r="W110" s="22">
        <f t="shared" si="17"/>
        <v>0</v>
      </c>
      <c r="X110" s="22">
        <f t="shared" si="18"/>
        <v>0</v>
      </c>
      <c r="Y110" s="22">
        <f t="shared" si="19"/>
        <v>0</v>
      </c>
      <c r="Z110" s="22">
        <f t="shared" si="23"/>
        <v>0</v>
      </c>
      <c r="AA110" s="22">
        <f t="shared" si="24"/>
        <v>0</v>
      </c>
    </row>
    <row r="111" spans="1:27">
      <c r="A111" s="125" t="s">
        <v>2362</v>
      </c>
      <c r="B111" s="3" t="s">
        <v>846</v>
      </c>
      <c r="C111" s="93">
        <f>IF(A111=Summary!$B$9,Summary!$G$9,0)</f>
        <v>0</v>
      </c>
      <c r="D111" s="134">
        <f>VLOOKUP(A111,AAFTE!$A:$S,3,0)</f>
        <v>19248.759999999998</v>
      </c>
      <c r="E111" s="20">
        <f>VLOOKUP($A111,'2022-23 Salary &amp; Benefits'!$A:$I,3,)</f>
        <v>1.18</v>
      </c>
      <c r="F111" s="20">
        <f>VLOOKUP($A111,'2022-23 Salary &amp; Benefits'!$A:$I,4,)</f>
        <v>1.18</v>
      </c>
      <c r="G111" s="34">
        <f>VLOOKUP(A111,'CEDARS District FRPL'!$A:$F,6,)</f>
        <v>0</v>
      </c>
      <c r="H111" s="25">
        <f t="shared" si="20"/>
        <v>19248.759999999998</v>
      </c>
      <c r="I111" s="39">
        <f t="shared" si="13"/>
        <v>0</v>
      </c>
      <c r="J111" s="24">
        <v>15</v>
      </c>
      <c r="K111" s="26">
        <f t="shared" si="21"/>
        <v>0</v>
      </c>
      <c r="L111" s="24">
        <v>2.3975</v>
      </c>
      <c r="M111" s="24">
        <v>36</v>
      </c>
      <c r="N111" s="27">
        <f t="shared" si="22"/>
        <v>0</v>
      </c>
      <c r="O111" s="102">
        <f t="shared" si="14"/>
        <v>0</v>
      </c>
      <c r="P111" s="21">
        <f>VLOOKUP(A111,'2022-23 Salary &amp; Benefits'!$A:$I,5,)</f>
        <v>68937</v>
      </c>
      <c r="Q111" s="21">
        <f>VLOOKUP(A111,'2022-23 Salary &amp; Benefits'!$A:$I,6,FALSE)</f>
        <v>72728</v>
      </c>
      <c r="R111" s="22">
        <f t="shared" si="15"/>
        <v>0</v>
      </c>
      <c r="S111" s="22">
        <f t="shared" si="16"/>
        <v>0</v>
      </c>
      <c r="T111" s="22">
        <f>'2022-23 Salary &amp; Benefits'!$G$6</f>
        <v>12558.24</v>
      </c>
      <c r="U111" s="23">
        <f>'2022-23 Salary &amp; Benefits'!$H$6</f>
        <v>0.2298</v>
      </c>
      <c r="V111" s="23">
        <f>'2022-23 Salary &amp; Benefits'!$I$6</f>
        <v>0.22339999999999999</v>
      </c>
      <c r="W111" s="22">
        <f t="shared" si="17"/>
        <v>0</v>
      </c>
      <c r="X111" s="22">
        <f t="shared" si="18"/>
        <v>0</v>
      </c>
      <c r="Y111" s="22">
        <f t="shared" si="19"/>
        <v>0</v>
      </c>
      <c r="Z111" s="22">
        <f t="shared" si="23"/>
        <v>0</v>
      </c>
      <c r="AA111" s="22">
        <f t="shared" si="24"/>
        <v>0</v>
      </c>
    </row>
    <row r="112" spans="1:27">
      <c r="A112" s="125" t="s">
        <v>2315</v>
      </c>
      <c r="B112" s="3" t="s">
        <v>403</v>
      </c>
      <c r="C112" s="93">
        <f>IF(A112=Summary!$B$9,Summary!$G$9,0)</f>
        <v>0</v>
      </c>
      <c r="D112" s="134">
        <f>VLOOKUP(A112,AAFTE!$A:$S,3,0)</f>
        <v>38.549999999999997</v>
      </c>
      <c r="E112" s="20">
        <f>VLOOKUP($A112,'2022-23 Salary &amp; Benefits'!$A:$I,3,)</f>
        <v>1</v>
      </c>
      <c r="F112" s="20">
        <f>VLOOKUP($A112,'2022-23 Salary &amp; Benefits'!$A:$I,4,)</f>
        <v>1.04</v>
      </c>
      <c r="G112" s="34">
        <f>VLOOKUP(A112,'CEDARS District FRPL'!$A:$F,6,)</f>
        <v>0</v>
      </c>
      <c r="H112" s="25">
        <f t="shared" si="20"/>
        <v>38.549999999999997</v>
      </c>
      <c r="I112" s="39">
        <f t="shared" si="13"/>
        <v>0</v>
      </c>
      <c r="J112" s="24">
        <v>15</v>
      </c>
      <c r="K112" s="26">
        <f t="shared" si="21"/>
        <v>0</v>
      </c>
      <c r="L112" s="24">
        <v>2.3975</v>
      </c>
      <c r="M112" s="24">
        <v>36</v>
      </c>
      <c r="N112" s="27">
        <f t="shared" si="22"/>
        <v>0</v>
      </c>
      <c r="O112" s="102">
        <f t="shared" si="14"/>
        <v>0</v>
      </c>
      <c r="P112" s="21">
        <f>VLOOKUP(A112,'2022-23 Salary &amp; Benefits'!$A:$I,5,)</f>
        <v>68937</v>
      </c>
      <c r="Q112" s="21">
        <f>VLOOKUP(A112,'2022-23 Salary &amp; Benefits'!$A:$I,6,FALSE)</f>
        <v>72728</v>
      </c>
      <c r="R112" s="22">
        <f t="shared" si="15"/>
        <v>0</v>
      </c>
      <c r="S112" s="22">
        <f t="shared" si="16"/>
        <v>0</v>
      </c>
      <c r="T112" s="22">
        <f>'2022-23 Salary &amp; Benefits'!$G$6</f>
        <v>12558.24</v>
      </c>
      <c r="U112" s="23">
        <f>'2022-23 Salary &amp; Benefits'!$H$6</f>
        <v>0.2298</v>
      </c>
      <c r="V112" s="23">
        <f>'2022-23 Salary &amp; Benefits'!$I$6</f>
        <v>0.22339999999999999</v>
      </c>
      <c r="W112" s="22">
        <f t="shared" si="17"/>
        <v>0</v>
      </c>
      <c r="X112" s="22">
        <f t="shared" si="18"/>
        <v>0</v>
      </c>
      <c r="Y112" s="22">
        <f t="shared" si="19"/>
        <v>0</v>
      </c>
      <c r="Z112" s="22">
        <f t="shared" si="23"/>
        <v>0</v>
      </c>
      <c r="AA112" s="22">
        <f t="shared" si="24"/>
        <v>0</v>
      </c>
    </row>
    <row r="113" spans="1:27">
      <c r="A113" s="125" t="s">
        <v>2298</v>
      </c>
      <c r="B113" s="3" t="s">
        <v>318</v>
      </c>
      <c r="C113" s="93">
        <f>IF(A113=Summary!$B$9,Summary!$G$9,0)</f>
        <v>0</v>
      </c>
      <c r="D113" s="134">
        <f>VLOOKUP(A113,AAFTE!$A:$S,3,0)</f>
        <v>1043.6099999999999</v>
      </c>
      <c r="E113" s="20">
        <f>VLOOKUP($A113,'2022-23 Salary &amp; Benefits'!$A:$I,3,)</f>
        <v>1</v>
      </c>
      <c r="F113" s="20">
        <f>VLOOKUP($A113,'2022-23 Salary &amp; Benefits'!$A:$I,4,)</f>
        <v>1</v>
      </c>
      <c r="G113" s="34">
        <f>VLOOKUP(A113,'CEDARS District FRPL'!$A:$F,6,)</f>
        <v>1.8799999999999983E-2</v>
      </c>
      <c r="H113" s="25">
        <f t="shared" si="20"/>
        <v>1043.6099999999999</v>
      </c>
      <c r="I113" s="39">
        <f t="shared" si="13"/>
        <v>19.62</v>
      </c>
      <c r="J113" s="24">
        <v>15</v>
      </c>
      <c r="K113" s="26">
        <f t="shared" si="21"/>
        <v>1.3080000000000001</v>
      </c>
      <c r="L113" s="24">
        <v>2.3975</v>
      </c>
      <c r="M113" s="24">
        <v>36</v>
      </c>
      <c r="N113" s="27">
        <f t="shared" si="22"/>
        <v>112.89348000000001</v>
      </c>
      <c r="O113" s="102">
        <f t="shared" si="14"/>
        <v>0.125</v>
      </c>
      <c r="P113" s="21">
        <f>VLOOKUP(A113,'2022-23 Salary &amp; Benefits'!$A:$I,5,)</f>
        <v>68937</v>
      </c>
      <c r="Q113" s="21">
        <f>VLOOKUP(A113,'2022-23 Salary &amp; Benefits'!$A:$I,6,FALSE)</f>
        <v>72728</v>
      </c>
      <c r="R113" s="22">
        <f t="shared" si="15"/>
        <v>8617.1299999999992</v>
      </c>
      <c r="S113" s="22">
        <f t="shared" si="16"/>
        <v>473.87</v>
      </c>
      <c r="T113" s="22">
        <f>'2022-23 Salary &amp; Benefits'!$G$6</f>
        <v>12558.24</v>
      </c>
      <c r="U113" s="23">
        <f>'2022-23 Salary &amp; Benefits'!$H$6</f>
        <v>0.2298</v>
      </c>
      <c r="V113" s="23">
        <f>'2022-23 Salary &amp; Benefits'!$I$6</f>
        <v>0.22339999999999999</v>
      </c>
      <c r="W113" s="22">
        <f t="shared" si="17"/>
        <v>3655.86</v>
      </c>
      <c r="X113" s="22">
        <f t="shared" si="18"/>
        <v>151.52000000000001</v>
      </c>
      <c r="Y113" s="22">
        <f t="shared" si="19"/>
        <v>33.85</v>
      </c>
      <c r="Z113" s="22">
        <f t="shared" si="23"/>
        <v>185.37</v>
      </c>
      <c r="AA113" s="22">
        <f t="shared" si="24"/>
        <v>12932.230000000001</v>
      </c>
    </row>
    <row r="114" spans="1:27">
      <c r="A114" s="125" t="s">
        <v>2307</v>
      </c>
      <c r="B114" s="3" t="s">
        <v>358</v>
      </c>
      <c r="C114" s="93">
        <f>IF(A114=Summary!$B$9,Summary!$G$9,0)</f>
        <v>0</v>
      </c>
      <c r="D114" s="134">
        <f>VLOOKUP(A114,AAFTE!$A:$S,3,0)</f>
        <v>33.72</v>
      </c>
      <c r="E114" s="20">
        <f>VLOOKUP($A114,'2022-23 Salary &amp; Benefits'!$A:$I,3,)</f>
        <v>1</v>
      </c>
      <c r="F114" s="20">
        <f>VLOOKUP($A114,'2022-23 Salary &amp; Benefits'!$A:$I,4,)</f>
        <v>1</v>
      </c>
      <c r="G114" s="34">
        <f>VLOOKUP(A114,'CEDARS District FRPL'!$A:$F,6,)</f>
        <v>0</v>
      </c>
      <c r="H114" s="25">
        <f t="shared" si="20"/>
        <v>33.72</v>
      </c>
      <c r="I114" s="39">
        <f t="shared" si="13"/>
        <v>0</v>
      </c>
      <c r="J114" s="24">
        <v>15</v>
      </c>
      <c r="K114" s="26">
        <f t="shared" si="21"/>
        <v>0</v>
      </c>
      <c r="L114" s="24">
        <v>2.3975</v>
      </c>
      <c r="M114" s="24">
        <v>36</v>
      </c>
      <c r="N114" s="27">
        <f t="shared" si="22"/>
        <v>0</v>
      </c>
      <c r="O114" s="102">
        <f t="shared" si="14"/>
        <v>0</v>
      </c>
      <c r="P114" s="21">
        <f>VLOOKUP(A114,'2022-23 Salary &amp; Benefits'!$A:$I,5,)</f>
        <v>68937</v>
      </c>
      <c r="Q114" s="21">
        <f>VLOOKUP(A114,'2022-23 Salary &amp; Benefits'!$A:$I,6,FALSE)</f>
        <v>72728</v>
      </c>
      <c r="R114" s="22">
        <f t="shared" si="15"/>
        <v>0</v>
      </c>
      <c r="S114" s="22">
        <f t="shared" si="16"/>
        <v>0</v>
      </c>
      <c r="T114" s="22">
        <f>'2022-23 Salary &amp; Benefits'!$G$6</f>
        <v>12558.24</v>
      </c>
      <c r="U114" s="23">
        <f>'2022-23 Salary &amp; Benefits'!$H$6</f>
        <v>0.2298</v>
      </c>
      <c r="V114" s="23">
        <f>'2022-23 Salary &amp; Benefits'!$I$6</f>
        <v>0.22339999999999999</v>
      </c>
      <c r="W114" s="22">
        <f t="shared" si="17"/>
        <v>0</v>
      </c>
      <c r="X114" s="22">
        <f t="shared" si="18"/>
        <v>0</v>
      </c>
      <c r="Y114" s="22">
        <f t="shared" si="19"/>
        <v>0</v>
      </c>
      <c r="Z114" s="22">
        <f t="shared" si="23"/>
        <v>0</v>
      </c>
      <c r="AA114" s="22">
        <f t="shared" si="24"/>
        <v>0</v>
      </c>
    </row>
    <row r="115" spans="1:27">
      <c r="A115" s="125" t="s">
        <v>2300</v>
      </c>
      <c r="B115" s="3" t="s">
        <v>326</v>
      </c>
      <c r="C115" s="93">
        <f>IF(A115=Summary!$B$9,Summary!$G$9,0)</f>
        <v>0</v>
      </c>
      <c r="D115" s="134">
        <f>VLOOKUP(A115,AAFTE!$A:$S,3,0)</f>
        <v>4809.55</v>
      </c>
      <c r="E115" s="20">
        <f>VLOOKUP($A115,'2022-23 Salary &amp; Benefits'!$A:$I,3,)</f>
        <v>1</v>
      </c>
      <c r="F115" s="20">
        <f>VLOOKUP($A115,'2022-23 Salary &amp; Benefits'!$A:$I,4,)</f>
        <v>1</v>
      </c>
      <c r="G115" s="34">
        <f>VLOOKUP(A115,'CEDARS District FRPL'!$A:$F,6,)</f>
        <v>0</v>
      </c>
      <c r="H115" s="25">
        <f t="shared" si="20"/>
        <v>4809.55</v>
      </c>
      <c r="I115" s="39">
        <f t="shared" si="13"/>
        <v>0</v>
      </c>
      <c r="J115" s="24">
        <v>15</v>
      </c>
      <c r="K115" s="26">
        <f t="shared" si="21"/>
        <v>0</v>
      </c>
      <c r="L115" s="24">
        <v>2.3975</v>
      </c>
      <c r="M115" s="24">
        <v>36</v>
      </c>
      <c r="N115" s="27">
        <f t="shared" si="22"/>
        <v>0</v>
      </c>
      <c r="O115" s="102">
        <f t="shared" si="14"/>
        <v>0</v>
      </c>
      <c r="P115" s="21">
        <f>VLOOKUP(A115,'2022-23 Salary &amp; Benefits'!$A:$I,5,)</f>
        <v>68937</v>
      </c>
      <c r="Q115" s="21">
        <f>VLOOKUP(A115,'2022-23 Salary &amp; Benefits'!$A:$I,6,FALSE)</f>
        <v>72728</v>
      </c>
      <c r="R115" s="22">
        <f t="shared" si="15"/>
        <v>0</v>
      </c>
      <c r="S115" s="22">
        <f t="shared" si="16"/>
        <v>0</v>
      </c>
      <c r="T115" s="22">
        <f>'2022-23 Salary &amp; Benefits'!$G$6</f>
        <v>12558.24</v>
      </c>
      <c r="U115" s="23">
        <f>'2022-23 Salary &amp; Benefits'!$H$6</f>
        <v>0.2298</v>
      </c>
      <c r="V115" s="23">
        <f>'2022-23 Salary &amp; Benefits'!$I$6</f>
        <v>0.22339999999999999</v>
      </c>
      <c r="W115" s="22">
        <f t="shared" si="17"/>
        <v>0</v>
      </c>
      <c r="X115" s="22">
        <f t="shared" si="18"/>
        <v>0</v>
      </c>
      <c r="Y115" s="22">
        <f t="shared" si="19"/>
        <v>0</v>
      </c>
      <c r="Z115" s="22">
        <f t="shared" si="23"/>
        <v>0</v>
      </c>
      <c r="AA115" s="22">
        <f t="shared" si="24"/>
        <v>0</v>
      </c>
    </row>
    <row r="116" spans="1:27">
      <c r="A116" s="125" t="s">
        <v>2264</v>
      </c>
      <c r="B116" s="3" t="s">
        <v>33</v>
      </c>
      <c r="C116" s="93">
        <f>IF(A116=Summary!$B$9,Summary!$G$9,0)</f>
        <v>0</v>
      </c>
      <c r="D116" s="134">
        <f>VLOOKUP(A116,AAFTE!$A:$S,3,0)</f>
        <v>18301.560000000001</v>
      </c>
      <c r="E116" s="20">
        <f>VLOOKUP($A116,'2022-23 Salary &amp; Benefits'!$A:$I,3,)</f>
        <v>1</v>
      </c>
      <c r="F116" s="20">
        <f>VLOOKUP($A116,'2022-23 Salary &amp; Benefits'!$A:$I,4,)</f>
        <v>1</v>
      </c>
      <c r="G116" s="34">
        <f>VLOOKUP(A116,'CEDARS District FRPL'!$A:$F,6,)</f>
        <v>0</v>
      </c>
      <c r="H116" s="25">
        <f t="shared" si="20"/>
        <v>18301.560000000001</v>
      </c>
      <c r="I116" s="39">
        <f t="shared" si="13"/>
        <v>0</v>
      </c>
      <c r="J116" s="24">
        <v>15</v>
      </c>
      <c r="K116" s="26">
        <f t="shared" si="21"/>
        <v>0</v>
      </c>
      <c r="L116" s="24">
        <v>2.3975</v>
      </c>
      <c r="M116" s="24">
        <v>36</v>
      </c>
      <c r="N116" s="27">
        <f t="shared" si="22"/>
        <v>0</v>
      </c>
      <c r="O116" s="102">
        <f t="shared" si="14"/>
        <v>0</v>
      </c>
      <c r="P116" s="21">
        <f>VLOOKUP(A116,'2022-23 Salary &amp; Benefits'!$A:$I,5,)</f>
        <v>68937</v>
      </c>
      <c r="Q116" s="21">
        <f>VLOOKUP(A116,'2022-23 Salary &amp; Benefits'!$A:$I,6,FALSE)</f>
        <v>72728</v>
      </c>
      <c r="R116" s="22">
        <f t="shared" si="15"/>
        <v>0</v>
      </c>
      <c r="S116" s="22">
        <f t="shared" si="16"/>
        <v>0</v>
      </c>
      <c r="T116" s="22">
        <f>'2022-23 Salary &amp; Benefits'!$G$6</f>
        <v>12558.24</v>
      </c>
      <c r="U116" s="23">
        <f>'2022-23 Salary &amp; Benefits'!$H$6</f>
        <v>0.2298</v>
      </c>
      <c r="V116" s="23">
        <f>'2022-23 Salary &amp; Benefits'!$I$6</f>
        <v>0.22339999999999999</v>
      </c>
      <c r="W116" s="22">
        <f t="shared" si="17"/>
        <v>0</v>
      </c>
      <c r="X116" s="22">
        <f t="shared" si="18"/>
        <v>0</v>
      </c>
      <c r="Y116" s="22">
        <f t="shared" si="19"/>
        <v>0</v>
      </c>
      <c r="Z116" s="22">
        <f t="shared" si="23"/>
        <v>0</v>
      </c>
      <c r="AA116" s="22">
        <f t="shared" si="24"/>
        <v>0</v>
      </c>
    </row>
    <row r="117" spans="1:27">
      <c r="A117" s="125" t="s">
        <v>2365</v>
      </c>
      <c r="B117" s="3" t="s">
        <v>939</v>
      </c>
      <c r="C117" s="93">
        <f>IF(A117=Summary!$B$9,Summary!$G$9,0)</f>
        <v>0</v>
      </c>
      <c r="D117" s="134">
        <f>VLOOKUP(A117,AAFTE!$A:$S,3,0)</f>
        <v>24681.21</v>
      </c>
      <c r="E117" s="20">
        <f>VLOOKUP($A117,'2022-23 Salary &amp; Benefits'!$A:$I,3,)</f>
        <v>1.18</v>
      </c>
      <c r="F117" s="20">
        <f>VLOOKUP($A117,'2022-23 Salary &amp; Benefits'!$A:$I,4,)</f>
        <v>1.18</v>
      </c>
      <c r="G117" s="34">
        <f>VLOOKUP(A117,'CEDARS District FRPL'!$A:$F,6,)</f>
        <v>0</v>
      </c>
      <c r="H117" s="25">
        <f t="shared" si="20"/>
        <v>24681.21</v>
      </c>
      <c r="I117" s="39">
        <f t="shared" si="13"/>
        <v>0</v>
      </c>
      <c r="J117" s="24">
        <v>15</v>
      </c>
      <c r="K117" s="26">
        <f t="shared" si="21"/>
        <v>0</v>
      </c>
      <c r="L117" s="24">
        <v>2.3975</v>
      </c>
      <c r="M117" s="24">
        <v>36</v>
      </c>
      <c r="N117" s="27">
        <f t="shared" si="22"/>
        <v>0</v>
      </c>
      <c r="O117" s="102">
        <f t="shared" si="14"/>
        <v>0</v>
      </c>
      <c r="P117" s="21">
        <f>VLOOKUP(A117,'2022-23 Salary &amp; Benefits'!$A:$I,5,)</f>
        <v>68937</v>
      </c>
      <c r="Q117" s="21">
        <f>VLOOKUP(A117,'2022-23 Salary &amp; Benefits'!$A:$I,6,FALSE)</f>
        <v>72728</v>
      </c>
      <c r="R117" s="22">
        <f t="shared" si="15"/>
        <v>0</v>
      </c>
      <c r="S117" s="22">
        <f t="shared" si="16"/>
        <v>0</v>
      </c>
      <c r="T117" s="22">
        <f>'2022-23 Salary &amp; Benefits'!$G$6</f>
        <v>12558.24</v>
      </c>
      <c r="U117" s="23">
        <f>'2022-23 Salary &amp; Benefits'!$H$6</f>
        <v>0.2298</v>
      </c>
      <c r="V117" s="23">
        <f>'2022-23 Salary &amp; Benefits'!$I$6</f>
        <v>0.22339999999999999</v>
      </c>
      <c r="W117" s="22">
        <f t="shared" si="17"/>
        <v>0</v>
      </c>
      <c r="X117" s="22">
        <f t="shared" si="18"/>
        <v>0</v>
      </c>
      <c r="Y117" s="22">
        <f t="shared" si="19"/>
        <v>0</v>
      </c>
      <c r="Z117" s="22">
        <f t="shared" si="23"/>
        <v>0</v>
      </c>
      <c r="AA117" s="22">
        <f t="shared" si="24"/>
        <v>0</v>
      </c>
    </row>
    <row r="118" spans="1:27">
      <c r="A118" s="125" t="s">
        <v>2514</v>
      </c>
      <c r="B118" s="3" t="s">
        <v>1959</v>
      </c>
      <c r="C118" s="93">
        <f>IF(A118=Summary!$B$9,Summary!$G$9,0)</f>
        <v>0</v>
      </c>
      <c r="D118" s="134">
        <f>VLOOKUP(A118,AAFTE!$A:$S,3,0)</f>
        <v>1045.68</v>
      </c>
      <c r="E118" s="20">
        <f>VLOOKUP($A118,'2022-23 Salary &amp; Benefits'!$A:$I,3,)</f>
        <v>1</v>
      </c>
      <c r="F118" s="20">
        <f>VLOOKUP($A118,'2022-23 Salary &amp; Benefits'!$A:$I,4,)</f>
        <v>1.04</v>
      </c>
      <c r="G118" s="34">
        <f>VLOOKUP(A118,'CEDARS District FRPL'!$A:$F,6,)</f>
        <v>0</v>
      </c>
      <c r="H118" s="25">
        <f t="shared" si="20"/>
        <v>1045.68</v>
      </c>
      <c r="I118" s="39">
        <f t="shared" si="13"/>
        <v>0</v>
      </c>
      <c r="J118" s="24">
        <v>15</v>
      </c>
      <c r="K118" s="26">
        <f t="shared" si="21"/>
        <v>0</v>
      </c>
      <c r="L118" s="24">
        <v>2.3975</v>
      </c>
      <c r="M118" s="24">
        <v>36</v>
      </c>
      <c r="N118" s="27">
        <f t="shared" si="22"/>
        <v>0</v>
      </c>
      <c r="O118" s="102">
        <f t="shared" si="14"/>
        <v>0</v>
      </c>
      <c r="P118" s="21">
        <f>VLOOKUP(A118,'2022-23 Salary &amp; Benefits'!$A:$I,5,)</f>
        <v>68937</v>
      </c>
      <c r="Q118" s="21">
        <f>VLOOKUP(A118,'2022-23 Salary &amp; Benefits'!$A:$I,6,FALSE)</f>
        <v>72728</v>
      </c>
      <c r="R118" s="22">
        <f t="shared" si="15"/>
        <v>0</v>
      </c>
      <c r="S118" s="22">
        <f t="shared" si="16"/>
        <v>0</v>
      </c>
      <c r="T118" s="22">
        <f>'2022-23 Salary &amp; Benefits'!$G$6</f>
        <v>12558.24</v>
      </c>
      <c r="U118" s="23">
        <f>'2022-23 Salary &amp; Benefits'!$H$6</f>
        <v>0.2298</v>
      </c>
      <c r="V118" s="23">
        <f>'2022-23 Salary &amp; Benefits'!$I$6</f>
        <v>0.22339999999999999</v>
      </c>
      <c r="W118" s="22">
        <f t="shared" si="17"/>
        <v>0</v>
      </c>
      <c r="X118" s="22">
        <f t="shared" si="18"/>
        <v>0</v>
      </c>
      <c r="Y118" s="22">
        <f t="shared" si="19"/>
        <v>0</v>
      </c>
      <c r="Z118" s="22">
        <f t="shared" si="23"/>
        <v>0</v>
      </c>
      <c r="AA118" s="22">
        <f t="shared" si="24"/>
        <v>0</v>
      </c>
    </row>
    <row r="119" spans="1:27">
      <c r="A119" s="125" t="s">
        <v>2266</v>
      </c>
      <c r="B119" s="3" t="s">
        <v>62</v>
      </c>
      <c r="C119" s="93">
        <f>IF(A119=Summary!$B$9,Summary!$G$9,0)</f>
        <v>0</v>
      </c>
      <c r="D119" s="134">
        <f>VLOOKUP(A119,AAFTE!$A:$S,3,0)</f>
        <v>1395.47</v>
      </c>
      <c r="E119" s="20">
        <f>VLOOKUP($A119,'2022-23 Salary &amp; Benefits'!$A:$I,3,)</f>
        <v>1</v>
      </c>
      <c r="F119" s="20">
        <f>VLOOKUP($A119,'2022-23 Salary &amp; Benefits'!$A:$I,4,)</f>
        <v>1</v>
      </c>
      <c r="G119" s="34">
        <f>VLOOKUP(A119,'CEDARS District FRPL'!$A:$F,6,)</f>
        <v>0</v>
      </c>
      <c r="H119" s="25">
        <f t="shared" si="20"/>
        <v>1395.47</v>
      </c>
      <c r="I119" s="39">
        <f t="shared" si="13"/>
        <v>0</v>
      </c>
      <c r="J119" s="24">
        <v>15</v>
      </c>
      <c r="K119" s="26">
        <f t="shared" si="21"/>
        <v>0</v>
      </c>
      <c r="L119" s="24">
        <v>2.3975</v>
      </c>
      <c r="M119" s="24">
        <v>36</v>
      </c>
      <c r="N119" s="27">
        <f t="shared" si="22"/>
        <v>0</v>
      </c>
      <c r="O119" s="102">
        <f t="shared" si="14"/>
        <v>0</v>
      </c>
      <c r="P119" s="21">
        <f>VLOOKUP(A119,'2022-23 Salary &amp; Benefits'!$A:$I,5,)</f>
        <v>68937</v>
      </c>
      <c r="Q119" s="21">
        <f>VLOOKUP(A119,'2022-23 Salary &amp; Benefits'!$A:$I,6,FALSE)</f>
        <v>72728</v>
      </c>
      <c r="R119" s="22">
        <f t="shared" si="15"/>
        <v>0</v>
      </c>
      <c r="S119" s="22">
        <f t="shared" si="16"/>
        <v>0</v>
      </c>
      <c r="T119" s="22">
        <f>'2022-23 Salary &amp; Benefits'!$G$6</f>
        <v>12558.24</v>
      </c>
      <c r="U119" s="23">
        <f>'2022-23 Salary &amp; Benefits'!$H$6</f>
        <v>0.2298</v>
      </c>
      <c r="V119" s="23">
        <f>'2022-23 Salary &amp; Benefits'!$I$6</f>
        <v>0.22339999999999999</v>
      </c>
      <c r="W119" s="22">
        <f t="shared" si="17"/>
        <v>0</v>
      </c>
      <c r="X119" s="22">
        <f t="shared" si="18"/>
        <v>0</v>
      </c>
      <c r="Y119" s="22">
        <f t="shared" si="19"/>
        <v>0</v>
      </c>
      <c r="Z119" s="22">
        <f t="shared" si="23"/>
        <v>0</v>
      </c>
      <c r="AA119" s="22">
        <f t="shared" si="24"/>
        <v>0</v>
      </c>
    </row>
    <row r="120" spans="1:27">
      <c r="A120" s="125" t="s">
        <v>2381</v>
      </c>
      <c r="B120" s="3" t="s">
        <v>1095</v>
      </c>
      <c r="C120" s="93">
        <f>IF(A120=Summary!$B$9,Summary!$G$9,0)</f>
        <v>0</v>
      </c>
      <c r="D120" s="134">
        <f>VLOOKUP(A120,AAFTE!$A:$S,3,0)</f>
        <v>579.14</v>
      </c>
      <c r="E120" s="20">
        <f>VLOOKUP($A120,'2022-23 Salary &amp; Benefits'!$A:$I,3,)</f>
        <v>1</v>
      </c>
      <c r="F120" s="20">
        <f>VLOOKUP($A120,'2022-23 Salary &amp; Benefits'!$A:$I,4,)</f>
        <v>1</v>
      </c>
      <c r="G120" s="34">
        <f>VLOOKUP(A120,'CEDARS District FRPL'!$A:$F,6,)</f>
        <v>0</v>
      </c>
      <c r="H120" s="25">
        <f t="shared" si="20"/>
        <v>579.14</v>
      </c>
      <c r="I120" s="39">
        <f t="shared" si="13"/>
        <v>0</v>
      </c>
      <c r="J120" s="24">
        <v>15</v>
      </c>
      <c r="K120" s="26">
        <f t="shared" si="21"/>
        <v>0</v>
      </c>
      <c r="L120" s="24">
        <v>2.3975</v>
      </c>
      <c r="M120" s="24">
        <v>36</v>
      </c>
      <c r="N120" s="27">
        <f t="shared" si="22"/>
        <v>0</v>
      </c>
      <c r="O120" s="102">
        <f t="shared" si="14"/>
        <v>0</v>
      </c>
      <c r="P120" s="21">
        <f>VLOOKUP(A120,'2022-23 Salary &amp; Benefits'!$A:$I,5,)</f>
        <v>68937</v>
      </c>
      <c r="Q120" s="21">
        <f>VLOOKUP(A120,'2022-23 Salary &amp; Benefits'!$A:$I,6,FALSE)</f>
        <v>72728</v>
      </c>
      <c r="R120" s="22">
        <f t="shared" si="15"/>
        <v>0</v>
      </c>
      <c r="S120" s="22">
        <f t="shared" si="16"/>
        <v>0</v>
      </c>
      <c r="T120" s="22">
        <f>'2022-23 Salary &amp; Benefits'!$G$6</f>
        <v>12558.24</v>
      </c>
      <c r="U120" s="23">
        <f>'2022-23 Salary &amp; Benefits'!$H$6</f>
        <v>0.2298</v>
      </c>
      <c r="V120" s="23">
        <f>'2022-23 Salary &amp; Benefits'!$I$6</f>
        <v>0.22339999999999999</v>
      </c>
      <c r="W120" s="22">
        <f t="shared" si="17"/>
        <v>0</v>
      </c>
      <c r="X120" s="22">
        <f t="shared" si="18"/>
        <v>0</v>
      </c>
      <c r="Y120" s="22">
        <f t="shared" si="19"/>
        <v>0</v>
      </c>
      <c r="Z120" s="22">
        <f t="shared" si="23"/>
        <v>0</v>
      </c>
      <c r="AA120" s="22">
        <f t="shared" si="24"/>
        <v>0</v>
      </c>
    </row>
    <row r="121" spans="1:27">
      <c r="A121" s="125" t="s">
        <v>2388</v>
      </c>
      <c r="B121" s="3" t="s">
        <v>1116</v>
      </c>
      <c r="C121" s="93">
        <f>IF(A121=Summary!$B$9,Summary!$G$9,0)</f>
        <v>0</v>
      </c>
      <c r="D121" s="134">
        <f>VLOOKUP(A121,AAFTE!$A:$S,3,0)</f>
        <v>93.6</v>
      </c>
      <c r="E121" s="20">
        <f>VLOOKUP($A121,'2022-23 Salary &amp; Benefits'!$A:$I,3,)</f>
        <v>1</v>
      </c>
      <c r="F121" s="20">
        <f>VLOOKUP($A121,'2022-23 Salary &amp; Benefits'!$A:$I,4,)</f>
        <v>1.04</v>
      </c>
      <c r="G121" s="34">
        <f>VLOOKUP(A121,'CEDARS District FRPL'!$A:$F,6,)</f>
        <v>1.7599999999999949E-2</v>
      </c>
      <c r="H121" s="25">
        <f t="shared" si="20"/>
        <v>93.6</v>
      </c>
      <c r="I121" s="39">
        <f t="shared" si="13"/>
        <v>1.65</v>
      </c>
      <c r="J121" s="24">
        <v>15</v>
      </c>
      <c r="K121" s="26">
        <f t="shared" si="21"/>
        <v>0.11</v>
      </c>
      <c r="L121" s="24">
        <v>2.3975</v>
      </c>
      <c r="M121" s="24">
        <v>36</v>
      </c>
      <c r="N121" s="27">
        <f t="shared" si="22"/>
        <v>9.4940999999999995</v>
      </c>
      <c r="O121" s="102">
        <f t="shared" si="14"/>
        <v>1.0999999999999999E-2</v>
      </c>
      <c r="P121" s="21">
        <f>VLOOKUP(A121,'2022-23 Salary &amp; Benefits'!$A:$I,5,)</f>
        <v>68937</v>
      </c>
      <c r="Q121" s="21">
        <f>VLOOKUP(A121,'2022-23 Salary &amp; Benefits'!$A:$I,6,FALSE)</f>
        <v>72728</v>
      </c>
      <c r="R121" s="22">
        <f t="shared" si="15"/>
        <v>758.31</v>
      </c>
      <c r="S121" s="22">
        <f t="shared" si="16"/>
        <v>73.7</v>
      </c>
      <c r="T121" s="22">
        <f>'2022-23 Salary &amp; Benefits'!$G$6</f>
        <v>12558.24</v>
      </c>
      <c r="U121" s="23">
        <f>'2022-23 Salary &amp; Benefits'!$H$6</f>
        <v>0.2298</v>
      </c>
      <c r="V121" s="23">
        <f>'2022-23 Salary &amp; Benefits'!$I$6</f>
        <v>0.22339999999999999</v>
      </c>
      <c r="W121" s="22">
        <f t="shared" si="17"/>
        <v>328.86</v>
      </c>
      <c r="X121" s="22">
        <f t="shared" si="18"/>
        <v>13.87</v>
      </c>
      <c r="Y121" s="22">
        <f t="shared" si="19"/>
        <v>3.1</v>
      </c>
      <c r="Z121" s="22">
        <f t="shared" si="23"/>
        <v>16.97</v>
      </c>
      <c r="AA121" s="22">
        <f t="shared" si="24"/>
        <v>1177.8400000000001</v>
      </c>
    </row>
    <row r="122" spans="1:27">
      <c r="A122" s="125" t="s">
        <v>2285</v>
      </c>
      <c r="B122" s="3" t="s">
        <v>206</v>
      </c>
      <c r="C122" s="93">
        <f>IF(A122=Summary!$B$9,Summary!$G$9,0)</f>
        <v>0</v>
      </c>
      <c r="D122" s="134">
        <f>VLOOKUP(A122,AAFTE!$A:$S,3,0)</f>
        <v>1672.64</v>
      </c>
      <c r="E122" s="20">
        <f>VLOOKUP($A122,'2022-23 Salary &amp; Benefits'!$A:$I,3,)</f>
        <v>1.06</v>
      </c>
      <c r="F122" s="20">
        <f>VLOOKUP($A122,'2022-23 Salary &amp; Benefits'!$A:$I,4,)</f>
        <v>1.1000000000000001</v>
      </c>
      <c r="G122" s="34">
        <f>VLOOKUP(A122,'CEDARS District FRPL'!$A:$F,6,)</f>
        <v>0</v>
      </c>
      <c r="H122" s="25">
        <f t="shared" si="20"/>
        <v>1672.64</v>
      </c>
      <c r="I122" s="39">
        <f t="shared" si="13"/>
        <v>0</v>
      </c>
      <c r="J122" s="24">
        <v>15</v>
      </c>
      <c r="K122" s="26">
        <f t="shared" si="21"/>
        <v>0</v>
      </c>
      <c r="L122" s="24">
        <v>2.3975</v>
      </c>
      <c r="M122" s="24">
        <v>36</v>
      </c>
      <c r="N122" s="27">
        <f t="shared" si="22"/>
        <v>0</v>
      </c>
      <c r="O122" s="102">
        <f t="shared" si="14"/>
        <v>0</v>
      </c>
      <c r="P122" s="21">
        <f>VLOOKUP(A122,'2022-23 Salary &amp; Benefits'!$A:$I,5,)</f>
        <v>68937</v>
      </c>
      <c r="Q122" s="21">
        <f>VLOOKUP(A122,'2022-23 Salary &amp; Benefits'!$A:$I,6,FALSE)</f>
        <v>72728</v>
      </c>
      <c r="R122" s="22">
        <f t="shared" si="15"/>
        <v>0</v>
      </c>
      <c r="S122" s="22">
        <f t="shared" si="16"/>
        <v>0</v>
      </c>
      <c r="T122" s="22">
        <f>'2022-23 Salary &amp; Benefits'!$G$6</f>
        <v>12558.24</v>
      </c>
      <c r="U122" s="23">
        <f>'2022-23 Salary &amp; Benefits'!$H$6</f>
        <v>0.2298</v>
      </c>
      <c r="V122" s="23">
        <f>'2022-23 Salary &amp; Benefits'!$I$6</f>
        <v>0.22339999999999999</v>
      </c>
      <c r="W122" s="22">
        <f t="shared" si="17"/>
        <v>0</v>
      </c>
      <c r="X122" s="22">
        <f t="shared" si="18"/>
        <v>0</v>
      </c>
      <c r="Y122" s="22">
        <f t="shared" si="19"/>
        <v>0</v>
      </c>
      <c r="Z122" s="22">
        <f t="shared" si="23"/>
        <v>0</v>
      </c>
      <c r="AA122" s="22">
        <f t="shared" si="24"/>
        <v>0</v>
      </c>
    </row>
    <row r="123" spans="1:27">
      <c r="A123" s="125" t="s">
        <v>2464</v>
      </c>
      <c r="B123" s="3" t="s">
        <v>1569</v>
      </c>
      <c r="C123" s="93">
        <f>IF(A123=Summary!$B$9,Summary!$G$9,0)</f>
        <v>0</v>
      </c>
      <c r="D123" s="134">
        <f>VLOOKUP(A123,AAFTE!$A:$S,3,0)</f>
        <v>572.16</v>
      </c>
      <c r="E123" s="20">
        <f>VLOOKUP($A123,'2022-23 Salary &amp; Benefits'!$A:$I,3,)</f>
        <v>1.1200000000000001</v>
      </c>
      <c r="F123" s="20">
        <f>VLOOKUP($A123,'2022-23 Salary &amp; Benefits'!$A:$I,4,)</f>
        <v>1.1600000000000001</v>
      </c>
      <c r="G123" s="34">
        <f>VLOOKUP(A123,'CEDARS District FRPL'!$A:$F,6,)</f>
        <v>2.6100000000000012E-2</v>
      </c>
      <c r="H123" s="25">
        <f t="shared" si="20"/>
        <v>572.16</v>
      </c>
      <c r="I123" s="39">
        <f t="shared" si="13"/>
        <v>14.93</v>
      </c>
      <c r="J123" s="24">
        <v>15</v>
      </c>
      <c r="K123" s="26">
        <f t="shared" si="21"/>
        <v>0.99533333333333329</v>
      </c>
      <c r="L123" s="24">
        <v>2.3975</v>
      </c>
      <c r="M123" s="24">
        <v>36</v>
      </c>
      <c r="N123" s="27">
        <f t="shared" si="22"/>
        <v>85.907219999999995</v>
      </c>
      <c r="O123" s="102">
        <f t="shared" si="14"/>
        <v>9.5000000000000001E-2</v>
      </c>
      <c r="P123" s="21">
        <f>VLOOKUP(A123,'2022-23 Salary &amp; Benefits'!$A:$I,5,)</f>
        <v>68937</v>
      </c>
      <c r="Q123" s="21">
        <f>VLOOKUP(A123,'2022-23 Salary &amp; Benefits'!$A:$I,6,FALSE)</f>
        <v>72728</v>
      </c>
      <c r="R123" s="22">
        <f t="shared" si="15"/>
        <v>7334.9</v>
      </c>
      <c r="S123" s="22">
        <f t="shared" si="16"/>
        <v>679.73</v>
      </c>
      <c r="T123" s="22">
        <f>'2022-23 Salary &amp; Benefits'!$G$6</f>
        <v>12558.24</v>
      </c>
      <c r="U123" s="23">
        <f>'2022-23 Salary &amp; Benefits'!$H$6</f>
        <v>0.2298</v>
      </c>
      <c r="V123" s="23">
        <f>'2022-23 Salary &amp; Benefits'!$I$6</f>
        <v>0.22339999999999999</v>
      </c>
      <c r="W123" s="22">
        <f t="shared" si="17"/>
        <v>3030.44</v>
      </c>
      <c r="X123" s="22">
        <f t="shared" si="18"/>
        <v>133.58000000000001</v>
      </c>
      <c r="Y123" s="22">
        <f t="shared" si="19"/>
        <v>29.84</v>
      </c>
      <c r="Z123" s="22">
        <f t="shared" si="23"/>
        <v>163.42000000000002</v>
      </c>
      <c r="AA123" s="22">
        <f t="shared" si="24"/>
        <v>11208.49</v>
      </c>
    </row>
    <row r="124" spans="1:27">
      <c r="A124" s="125" t="s">
        <v>2540</v>
      </c>
      <c r="B124" s="3" t="s">
        <v>2130</v>
      </c>
      <c r="C124" s="93">
        <f>IF(A124=Summary!$B$9,Summary!$G$9,0)</f>
        <v>0</v>
      </c>
      <c r="D124" s="134">
        <f>VLOOKUP(A124,AAFTE!$A:$S,3,0)</f>
        <v>80.28</v>
      </c>
      <c r="E124" s="20">
        <f>VLOOKUP($A124,'2022-23 Salary &amp; Benefits'!$A:$I,3,)</f>
        <v>1</v>
      </c>
      <c r="F124" s="20">
        <f>VLOOKUP($A124,'2022-23 Salary &amp; Benefits'!$A:$I,4,)</f>
        <v>1.04</v>
      </c>
      <c r="G124" s="34">
        <f>VLOOKUP(A124,'CEDARS District FRPL'!$A:$F,6,)</f>
        <v>0</v>
      </c>
      <c r="H124" s="25">
        <f t="shared" si="20"/>
        <v>80.28</v>
      </c>
      <c r="I124" s="39">
        <f t="shared" si="13"/>
        <v>0</v>
      </c>
      <c r="J124" s="24">
        <v>15</v>
      </c>
      <c r="K124" s="26">
        <f t="shared" si="21"/>
        <v>0</v>
      </c>
      <c r="L124" s="24">
        <v>2.3975</v>
      </c>
      <c r="M124" s="24">
        <v>36</v>
      </c>
      <c r="N124" s="27">
        <f t="shared" si="22"/>
        <v>0</v>
      </c>
      <c r="O124" s="102">
        <f t="shared" si="14"/>
        <v>0</v>
      </c>
      <c r="P124" s="21">
        <f>VLOOKUP(A124,'2022-23 Salary &amp; Benefits'!$A:$I,5,)</f>
        <v>68937</v>
      </c>
      <c r="Q124" s="21">
        <f>VLOOKUP(A124,'2022-23 Salary &amp; Benefits'!$A:$I,6,FALSE)</f>
        <v>72728</v>
      </c>
      <c r="R124" s="22">
        <f t="shared" si="15"/>
        <v>0</v>
      </c>
      <c r="S124" s="22">
        <f t="shared" si="16"/>
        <v>0</v>
      </c>
      <c r="T124" s="22">
        <f>'2022-23 Salary &amp; Benefits'!$G$6</f>
        <v>12558.24</v>
      </c>
      <c r="U124" s="23">
        <f>'2022-23 Salary &amp; Benefits'!$H$6</f>
        <v>0.2298</v>
      </c>
      <c r="V124" s="23">
        <f>'2022-23 Salary &amp; Benefits'!$I$6</f>
        <v>0.22339999999999999</v>
      </c>
      <c r="W124" s="22">
        <f t="shared" si="17"/>
        <v>0</v>
      </c>
      <c r="X124" s="22">
        <f t="shared" si="18"/>
        <v>0</v>
      </c>
      <c r="Y124" s="22">
        <f t="shared" si="19"/>
        <v>0</v>
      </c>
      <c r="Z124" s="22">
        <f t="shared" si="23"/>
        <v>0</v>
      </c>
      <c r="AA124" s="22">
        <f t="shared" si="24"/>
        <v>0</v>
      </c>
    </row>
    <row r="125" spans="1:27">
      <c r="A125" s="125" t="s">
        <v>2273</v>
      </c>
      <c r="B125" s="3" t="s">
        <v>105</v>
      </c>
      <c r="C125" s="93">
        <f>IF(A125=Summary!$B$9,Summary!$G$9,0)</f>
        <v>0</v>
      </c>
      <c r="D125" s="134">
        <f>VLOOKUP(A125,AAFTE!$A:$S,3,0)</f>
        <v>1255.3</v>
      </c>
      <c r="E125" s="20">
        <f>VLOOKUP($A125,'2022-23 Salary &amp; Benefits'!$A:$I,3,)</f>
        <v>1</v>
      </c>
      <c r="F125" s="20">
        <f>VLOOKUP($A125,'2022-23 Salary &amp; Benefits'!$A:$I,4,)</f>
        <v>1</v>
      </c>
      <c r="G125" s="34">
        <f>VLOOKUP(A125,'CEDARS District FRPL'!$A:$F,6,)</f>
        <v>7.1599999999999997E-2</v>
      </c>
      <c r="H125" s="25">
        <f t="shared" si="20"/>
        <v>1255.3</v>
      </c>
      <c r="I125" s="39">
        <f t="shared" si="13"/>
        <v>89.88</v>
      </c>
      <c r="J125" s="24">
        <v>15</v>
      </c>
      <c r="K125" s="26">
        <f t="shared" si="21"/>
        <v>5.992</v>
      </c>
      <c r="L125" s="24">
        <v>2.3975</v>
      </c>
      <c r="M125" s="24">
        <v>36</v>
      </c>
      <c r="N125" s="27">
        <f t="shared" si="22"/>
        <v>517.16951999999992</v>
      </c>
      <c r="O125" s="102">
        <f t="shared" si="14"/>
        <v>0.57499999999999996</v>
      </c>
      <c r="P125" s="21">
        <f>VLOOKUP(A125,'2022-23 Salary &amp; Benefits'!$A:$I,5,)</f>
        <v>68937</v>
      </c>
      <c r="Q125" s="21">
        <f>VLOOKUP(A125,'2022-23 Salary &amp; Benefits'!$A:$I,6,FALSE)</f>
        <v>72728</v>
      </c>
      <c r="R125" s="22">
        <f t="shared" si="15"/>
        <v>39638.78</v>
      </c>
      <c r="S125" s="22">
        <f t="shared" si="16"/>
        <v>2179.8200000000002</v>
      </c>
      <c r="T125" s="22">
        <f>'2022-23 Salary &amp; Benefits'!$G$6</f>
        <v>12558.24</v>
      </c>
      <c r="U125" s="23">
        <f>'2022-23 Salary &amp; Benefits'!$H$6</f>
        <v>0.2298</v>
      </c>
      <c r="V125" s="23">
        <f>'2022-23 Salary &amp; Benefits'!$I$6</f>
        <v>0.22339999999999999</v>
      </c>
      <c r="W125" s="22">
        <f t="shared" si="17"/>
        <v>16816.95</v>
      </c>
      <c r="X125" s="22">
        <f t="shared" si="18"/>
        <v>696.98</v>
      </c>
      <c r="Y125" s="22">
        <f t="shared" si="19"/>
        <v>155.71</v>
      </c>
      <c r="Z125" s="22">
        <f t="shared" si="23"/>
        <v>852.69</v>
      </c>
      <c r="AA125" s="22">
        <f t="shared" si="24"/>
        <v>59488.24</v>
      </c>
    </row>
    <row r="126" spans="1:27">
      <c r="A126" s="125" t="s">
        <v>2334</v>
      </c>
      <c r="B126" s="3" t="s">
        <v>500</v>
      </c>
      <c r="C126" s="93">
        <f>IF(A126=Summary!$B$9,Summary!$G$9,0)</f>
        <v>0</v>
      </c>
      <c r="D126" s="134">
        <f>VLOOKUP(A126,AAFTE!$A:$S,3,0)</f>
        <v>176.7</v>
      </c>
      <c r="E126" s="20">
        <f>VLOOKUP($A126,'2022-23 Salary &amp; Benefits'!$A:$I,3,)</f>
        <v>1</v>
      </c>
      <c r="F126" s="20">
        <f>VLOOKUP($A126,'2022-23 Salary &amp; Benefits'!$A:$I,4,)</f>
        <v>1</v>
      </c>
      <c r="G126" s="34">
        <f>VLOOKUP(A126,'CEDARS District FRPL'!$A:$F,6,)</f>
        <v>0</v>
      </c>
      <c r="H126" s="25">
        <f t="shared" si="20"/>
        <v>176.7</v>
      </c>
      <c r="I126" s="39">
        <f t="shared" si="13"/>
        <v>0</v>
      </c>
      <c r="J126" s="24">
        <v>15</v>
      </c>
      <c r="K126" s="26">
        <f t="shared" si="21"/>
        <v>0</v>
      </c>
      <c r="L126" s="24">
        <v>2.3975</v>
      </c>
      <c r="M126" s="24">
        <v>36</v>
      </c>
      <c r="N126" s="27">
        <f t="shared" si="22"/>
        <v>0</v>
      </c>
      <c r="O126" s="102">
        <f t="shared" si="14"/>
        <v>0</v>
      </c>
      <c r="P126" s="21">
        <f>VLOOKUP(A126,'2022-23 Salary &amp; Benefits'!$A:$I,5,)</f>
        <v>68937</v>
      </c>
      <c r="Q126" s="21">
        <f>VLOOKUP(A126,'2022-23 Salary &amp; Benefits'!$A:$I,6,FALSE)</f>
        <v>72728</v>
      </c>
      <c r="R126" s="22">
        <f t="shared" si="15"/>
        <v>0</v>
      </c>
      <c r="S126" s="22">
        <f t="shared" si="16"/>
        <v>0</v>
      </c>
      <c r="T126" s="22">
        <f>'2022-23 Salary &amp; Benefits'!$G$6</f>
        <v>12558.24</v>
      </c>
      <c r="U126" s="23">
        <f>'2022-23 Salary &amp; Benefits'!$H$6</f>
        <v>0.2298</v>
      </c>
      <c r="V126" s="23">
        <f>'2022-23 Salary &amp; Benefits'!$I$6</f>
        <v>0.22339999999999999</v>
      </c>
      <c r="W126" s="22">
        <f t="shared" si="17"/>
        <v>0</v>
      </c>
      <c r="X126" s="22">
        <f t="shared" si="18"/>
        <v>0</v>
      </c>
      <c r="Y126" s="22">
        <f t="shared" si="19"/>
        <v>0</v>
      </c>
      <c r="Z126" s="22">
        <f t="shared" si="23"/>
        <v>0</v>
      </c>
      <c r="AA126" s="22">
        <f t="shared" si="24"/>
        <v>0</v>
      </c>
    </row>
    <row r="127" spans="1:27">
      <c r="A127" s="125" t="s">
        <v>2473</v>
      </c>
      <c r="B127" s="3" t="s">
        <v>1618</v>
      </c>
      <c r="C127" s="93">
        <f>IF(A127=Summary!$B$9,Summary!$G$9,0)</f>
        <v>0</v>
      </c>
      <c r="D127" s="134">
        <f>VLOOKUP(A127,AAFTE!$A:$S,3,0)</f>
        <v>9281.94</v>
      </c>
      <c r="E127" s="20">
        <f>VLOOKUP($A127,'2022-23 Salary &amp; Benefits'!$A:$I,3,)</f>
        <v>1.18</v>
      </c>
      <c r="F127" s="20">
        <f>VLOOKUP($A127,'2022-23 Salary &amp; Benefits'!$A:$I,4,)</f>
        <v>1.18</v>
      </c>
      <c r="G127" s="34">
        <f>VLOOKUP(A127,'CEDARS District FRPL'!$A:$F,6,)</f>
        <v>1.26E-2</v>
      </c>
      <c r="H127" s="25">
        <f t="shared" si="20"/>
        <v>9281.94</v>
      </c>
      <c r="I127" s="39">
        <f t="shared" si="13"/>
        <v>116.95</v>
      </c>
      <c r="J127" s="24">
        <v>15</v>
      </c>
      <c r="K127" s="26">
        <f t="shared" si="21"/>
        <v>7.7966666666666669</v>
      </c>
      <c r="L127" s="24">
        <v>2.3975</v>
      </c>
      <c r="M127" s="24">
        <v>36</v>
      </c>
      <c r="N127" s="27">
        <f t="shared" si="22"/>
        <v>672.93029999999999</v>
      </c>
      <c r="O127" s="102">
        <f t="shared" si="14"/>
        <v>0.748</v>
      </c>
      <c r="P127" s="21">
        <f>VLOOKUP(A127,'2022-23 Salary &amp; Benefits'!$A:$I,5,)</f>
        <v>68937</v>
      </c>
      <c r="Q127" s="21">
        <f>VLOOKUP(A127,'2022-23 Salary &amp; Benefits'!$A:$I,6,FALSE)</f>
        <v>72728</v>
      </c>
      <c r="R127" s="22">
        <f t="shared" si="15"/>
        <v>60846.55</v>
      </c>
      <c r="S127" s="22">
        <f t="shared" si="16"/>
        <v>3346.09</v>
      </c>
      <c r="T127" s="22">
        <f>'2022-23 Salary &amp; Benefits'!$G$6</f>
        <v>12558.24</v>
      </c>
      <c r="U127" s="23">
        <f>'2022-23 Salary &amp; Benefits'!$H$6</f>
        <v>0.2298</v>
      </c>
      <c r="V127" s="23">
        <f>'2022-23 Salary &amp; Benefits'!$I$6</f>
        <v>0.22339999999999999</v>
      </c>
      <c r="W127" s="22">
        <f t="shared" si="17"/>
        <v>24123.62</v>
      </c>
      <c r="X127" s="22">
        <f t="shared" si="18"/>
        <v>1069.8800000000001</v>
      </c>
      <c r="Y127" s="22">
        <f t="shared" si="19"/>
        <v>239.01</v>
      </c>
      <c r="Z127" s="22">
        <f t="shared" si="23"/>
        <v>1308.8900000000001</v>
      </c>
      <c r="AA127" s="22">
        <f t="shared" si="24"/>
        <v>89625.15</v>
      </c>
    </row>
    <row r="128" spans="1:27">
      <c r="A128" s="125" t="s">
        <v>2364</v>
      </c>
      <c r="B128" s="3" t="s">
        <v>888</v>
      </c>
      <c r="C128" s="93">
        <f>IF(A128=Summary!$B$9,Summary!$G$9,0)</f>
        <v>0</v>
      </c>
      <c r="D128" s="134">
        <f>VLOOKUP(A128,AAFTE!$A:$S,3,0)</f>
        <v>30579.47</v>
      </c>
      <c r="E128" s="20">
        <f>VLOOKUP($A128,'2022-23 Salary &amp; Benefits'!$A:$I,3,)</f>
        <v>1.18</v>
      </c>
      <c r="F128" s="20">
        <f>VLOOKUP($A128,'2022-23 Salary &amp; Benefits'!$A:$I,4,)</f>
        <v>1.18</v>
      </c>
      <c r="G128" s="34">
        <f>VLOOKUP(A128,'CEDARS District FRPL'!$A:$F,6,)</f>
        <v>1.1400000000000007E-2</v>
      </c>
      <c r="H128" s="25">
        <f t="shared" si="20"/>
        <v>30579.47</v>
      </c>
      <c r="I128" s="39">
        <f t="shared" si="13"/>
        <v>348.61</v>
      </c>
      <c r="J128" s="24">
        <v>15</v>
      </c>
      <c r="K128" s="26">
        <f t="shared" si="21"/>
        <v>23.240666666666666</v>
      </c>
      <c r="L128" s="24">
        <v>2.3975</v>
      </c>
      <c r="M128" s="24">
        <v>36</v>
      </c>
      <c r="N128" s="27">
        <f t="shared" si="22"/>
        <v>2005.90194</v>
      </c>
      <c r="O128" s="102">
        <f t="shared" si="14"/>
        <v>2.2290000000000001</v>
      </c>
      <c r="P128" s="21">
        <f>VLOOKUP(A128,'2022-23 Salary &amp; Benefits'!$A:$I,5,)</f>
        <v>68937</v>
      </c>
      <c r="Q128" s="21">
        <f>VLOOKUP(A128,'2022-23 Salary &amp; Benefits'!$A:$I,6,FALSE)</f>
        <v>72728</v>
      </c>
      <c r="R128" s="22">
        <f t="shared" si="15"/>
        <v>181319.48</v>
      </c>
      <c r="S128" s="22">
        <f t="shared" si="16"/>
        <v>9971.16</v>
      </c>
      <c r="T128" s="22">
        <f>'2022-23 Salary &amp; Benefits'!$G$6</f>
        <v>12558.24</v>
      </c>
      <c r="U128" s="23">
        <f>'2022-23 Salary &amp; Benefits'!$H$6</f>
        <v>0.2298</v>
      </c>
      <c r="V128" s="23">
        <f>'2022-23 Salary &amp; Benefits'!$I$6</f>
        <v>0.22339999999999999</v>
      </c>
      <c r="W128" s="22">
        <f t="shared" si="17"/>
        <v>71887.09</v>
      </c>
      <c r="X128" s="22">
        <f t="shared" si="18"/>
        <v>3188.18</v>
      </c>
      <c r="Y128" s="22">
        <f t="shared" si="19"/>
        <v>712.24</v>
      </c>
      <c r="Z128" s="22">
        <f t="shared" si="23"/>
        <v>3900.42</v>
      </c>
      <c r="AA128" s="22">
        <f t="shared" si="24"/>
        <v>267078.14999999997</v>
      </c>
    </row>
    <row r="129" spans="1:27">
      <c r="A129" s="125" t="s">
        <v>2481</v>
      </c>
      <c r="B129" s="3" t="s">
        <v>1740</v>
      </c>
      <c r="C129" s="93">
        <f>IF(A129=Summary!$B$9,Summary!$G$9,0)</f>
        <v>0</v>
      </c>
      <c r="D129" s="134">
        <f>VLOOKUP(A129,AAFTE!$A:$S,3,0)</f>
        <v>2535.91</v>
      </c>
      <c r="E129" s="20">
        <f>VLOOKUP($A129,'2022-23 Salary &amp; Benefits'!$A:$I,3,)</f>
        <v>1.1499999999999999</v>
      </c>
      <c r="F129" s="20">
        <f>VLOOKUP($A129,'2022-23 Salary &amp; Benefits'!$A:$I,4,)</f>
        <v>1.1499999999999999</v>
      </c>
      <c r="G129" s="34">
        <f>VLOOKUP(A129,'CEDARS District FRPL'!$A:$F,6,)</f>
        <v>0</v>
      </c>
      <c r="H129" s="25">
        <f t="shared" si="20"/>
        <v>2535.91</v>
      </c>
      <c r="I129" s="39">
        <f t="shared" si="13"/>
        <v>0</v>
      </c>
      <c r="J129" s="24">
        <v>15</v>
      </c>
      <c r="K129" s="26">
        <f t="shared" si="21"/>
        <v>0</v>
      </c>
      <c r="L129" s="24">
        <v>2.3975</v>
      </c>
      <c r="M129" s="24">
        <v>36</v>
      </c>
      <c r="N129" s="27">
        <f t="shared" si="22"/>
        <v>0</v>
      </c>
      <c r="O129" s="102">
        <f t="shared" si="14"/>
        <v>0</v>
      </c>
      <c r="P129" s="21">
        <f>VLOOKUP(A129,'2022-23 Salary &amp; Benefits'!$A:$I,5,)</f>
        <v>68937</v>
      </c>
      <c r="Q129" s="21">
        <f>VLOOKUP(A129,'2022-23 Salary &amp; Benefits'!$A:$I,6,FALSE)</f>
        <v>72728</v>
      </c>
      <c r="R129" s="22">
        <f t="shared" si="15"/>
        <v>0</v>
      </c>
      <c r="S129" s="22">
        <f t="shared" si="16"/>
        <v>0</v>
      </c>
      <c r="T129" s="22">
        <f>'2022-23 Salary &amp; Benefits'!$G$6</f>
        <v>12558.24</v>
      </c>
      <c r="U129" s="23">
        <f>'2022-23 Salary &amp; Benefits'!$H$6</f>
        <v>0.2298</v>
      </c>
      <c r="V129" s="23">
        <f>'2022-23 Salary &amp; Benefits'!$I$6</f>
        <v>0.22339999999999999</v>
      </c>
      <c r="W129" s="22">
        <f t="shared" si="17"/>
        <v>0</v>
      </c>
      <c r="X129" s="22">
        <f t="shared" si="18"/>
        <v>0</v>
      </c>
      <c r="Y129" s="22">
        <f t="shared" si="19"/>
        <v>0</v>
      </c>
      <c r="Z129" s="22">
        <f t="shared" si="23"/>
        <v>0</v>
      </c>
      <c r="AA129" s="22">
        <f t="shared" si="24"/>
        <v>0</v>
      </c>
    </row>
    <row r="130" spans="1:27">
      <c r="A130" s="125" t="s">
        <v>2541</v>
      </c>
      <c r="B130" s="3" t="s">
        <v>2133</v>
      </c>
      <c r="C130" s="93">
        <f>IF(A130=Summary!$B$9,Summary!$G$9,0)</f>
        <v>0</v>
      </c>
      <c r="D130" s="134">
        <f>VLOOKUP(A130,AAFTE!$A:$S,3,0)</f>
        <v>36.29</v>
      </c>
      <c r="E130" s="20">
        <f>VLOOKUP($A130,'2022-23 Salary &amp; Benefits'!$A:$I,3,)</f>
        <v>1</v>
      </c>
      <c r="F130" s="20">
        <f>VLOOKUP($A130,'2022-23 Salary &amp; Benefits'!$A:$I,4,)</f>
        <v>1</v>
      </c>
      <c r="G130" s="34">
        <f>VLOOKUP(A130,'CEDARS District FRPL'!$A:$F,6,)</f>
        <v>0.14069999999999994</v>
      </c>
      <c r="H130" s="25">
        <f t="shared" si="20"/>
        <v>36.29</v>
      </c>
      <c r="I130" s="39">
        <f t="shared" si="13"/>
        <v>5.1100000000000003</v>
      </c>
      <c r="J130" s="24">
        <v>15</v>
      </c>
      <c r="K130" s="26">
        <f t="shared" si="21"/>
        <v>0.34066666666666667</v>
      </c>
      <c r="L130" s="24">
        <v>2.3975</v>
      </c>
      <c r="M130" s="24">
        <v>36</v>
      </c>
      <c r="N130" s="27">
        <f t="shared" si="22"/>
        <v>29.402939999999997</v>
      </c>
      <c r="O130" s="102">
        <f t="shared" si="14"/>
        <v>3.3000000000000002E-2</v>
      </c>
      <c r="P130" s="21">
        <f>VLOOKUP(A130,'2022-23 Salary &amp; Benefits'!$A:$I,5,)</f>
        <v>68937</v>
      </c>
      <c r="Q130" s="21">
        <f>VLOOKUP(A130,'2022-23 Salary &amp; Benefits'!$A:$I,6,FALSE)</f>
        <v>72728</v>
      </c>
      <c r="R130" s="22">
        <f t="shared" si="15"/>
        <v>2274.92</v>
      </c>
      <c r="S130" s="22">
        <f t="shared" si="16"/>
        <v>125.1</v>
      </c>
      <c r="T130" s="22">
        <f>'2022-23 Salary &amp; Benefits'!$G$6</f>
        <v>12558.24</v>
      </c>
      <c r="U130" s="23">
        <f>'2022-23 Salary &amp; Benefits'!$H$6</f>
        <v>0.2298</v>
      </c>
      <c r="V130" s="23">
        <f>'2022-23 Salary &amp; Benefits'!$I$6</f>
        <v>0.22339999999999999</v>
      </c>
      <c r="W130" s="22">
        <f t="shared" si="17"/>
        <v>965.15</v>
      </c>
      <c r="X130" s="22">
        <f t="shared" si="18"/>
        <v>40</v>
      </c>
      <c r="Y130" s="22">
        <f t="shared" si="19"/>
        <v>8.94</v>
      </c>
      <c r="Z130" s="22">
        <f t="shared" si="23"/>
        <v>48.94</v>
      </c>
      <c r="AA130" s="22">
        <f t="shared" si="24"/>
        <v>3414.11</v>
      </c>
    </row>
    <row r="131" spans="1:27">
      <c r="A131" s="125" t="s">
        <v>2496</v>
      </c>
      <c r="B131" s="3" t="s">
        <v>1895</v>
      </c>
      <c r="C131" s="93">
        <f>IF(A131=Summary!$B$9,Summary!$G$9,0)</f>
        <v>0</v>
      </c>
      <c r="D131" s="134">
        <f>VLOOKUP(A131,AAFTE!$A:$S,3,0)</f>
        <v>566.72</v>
      </c>
      <c r="E131" s="20">
        <f>VLOOKUP($A131,'2022-23 Salary &amp; Benefits'!$A:$I,3,)</f>
        <v>1</v>
      </c>
      <c r="F131" s="20">
        <f>VLOOKUP($A131,'2022-23 Salary &amp; Benefits'!$A:$I,4,)</f>
        <v>1</v>
      </c>
      <c r="G131" s="34">
        <f>VLOOKUP(A131,'CEDARS District FRPL'!$A:$F,6,)</f>
        <v>2.3499999999999965E-2</v>
      </c>
      <c r="H131" s="25">
        <f t="shared" si="20"/>
        <v>566.72</v>
      </c>
      <c r="I131" s="39">
        <f t="shared" si="13"/>
        <v>13.32</v>
      </c>
      <c r="J131" s="24">
        <v>15</v>
      </c>
      <c r="K131" s="26">
        <f t="shared" si="21"/>
        <v>0.88800000000000001</v>
      </c>
      <c r="L131" s="24">
        <v>2.3975</v>
      </c>
      <c r="M131" s="24">
        <v>36</v>
      </c>
      <c r="N131" s="27">
        <f t="shared" si="22"/>
        <v>76.64327999999999</v>
      </c>
      <c r="O131" s="102">
        <f t="shared" si="14"/>
        <v>8.5000000000000006E-2</v>
      </c>
      <c r="P131" s="21">
        <f>VLOOKUP(A131,'2022-23 Salary &amp; Benefits'!$A:$I,5,)</f>
        <v>68937</v>
      </c>
      <c r="Q131" s="21">
        <f>VLOOKUP(A131,'2022-23 Salary &amp; Benefits'!$A:$I,6,FALSE)</f>
        <v>72728</v>
      </c>
      <c r="R131" s="22">
        <f t="shared" si="15"/>
        <v>5859.65</v>
      </c>
      <c r="S131" s="22">
        <f t="shared" si="16"/>
        <v>322.23</v>
      </c>
      <c r="T131" s="22">
        <f>'2022-23 Salary &amp; Benefits'!$G$6</f>
        <v>12558.24</v>
      </c>
      <c r="U131" s="23">
        <f>'2022-23 Salary &amp; Benefits'!$H$6</f>
        <v>0.2298</v>
      </c>
      <c r="V131" s="23">
        <f>'2022-23 Salary &amp; Benefits'!$I$6</f>
        <v>0.22339999999999999</v>
      </c>
      <c r="W131" s="22">
        <f t="shared" si="17"/>
        <v>2485.98</v>
      </c>
      <c r="X131" s="22">
        <f t="shared" si="18"/>
        <v>103.03</v>
      </c>
      <c r="Y131" s="22">
        <f t="shared" si="19"/>
        <v>23.02</v>
      </c>
      <c r="Z131" s="22">
        <f t="shared" si="23"/>
        <v>126.05</v>
      </c>
      <c r="AA131" s="22">
        <f t="shared" si="24"/>
        <v>8793.909999999998</v>
      </c>
    </row>
    <row r="132" spans="1:27">
      <c r="A132" s="125" t="s">
        <v>2260</v>
      </c>
      <c r="B132" s="3" t="s">
        <v>12</v>
      </c>
      <c r="C132" s="93">
        <f>IF(A132=Summary!$B$9,Summary!$G$9,0)</f>
        <v>0</v>
      </c>
      <c r="D132" s="134">
        <f>VLOOKUP(A132,AAFTE!$A:$S,3,0)</f>
        <v>189.86</v>
      </c>
      <c r="E132" s="20">
        <f>VLOOKUP($A132,'2022-23 Salary &amp; Benefits'!$A:$I,3,)</f>
        <v>1</v>
      </c>
      <c r="F132" s="20">
        <f>VLOOKUP($A132,'2022-23 Salary &amp; Benefits'!$A:$I,4,)</f>
        <v>1</v>
      </c>
      <c r="G132" s="34">
        <f>VLOOKUP(A132,'CEDARS District FRPL'!$A:$F,6,)</f>
        <v>4.6399999999999997E-2</v>
      </c>
      <c r="H132" s="25">
        <f t="shared" si="20"/>
        <v>189.86</v>
      </c>
      <c r="I132" s="39">
        <f t="shared" si="13"/>
        <v>8.81</v>
      </c>
      <c r="J132" s="24">
        <v>15</v>
      </c>
      <c r="K132" s="26">
        <f t="shared" si="21"/>
        <v>0.58733333333333337</v>
      </c>
      <c r="L132" s="24">
        <v>2.3975</v>
      </c>
      <c r="M132" s="24">
        <v>36</v>
      </c>
      <c r="N132" s="27">
        <f t="shared" si="22"/>
        <v>50.692740000000001</v>
      </c>
      <c r="O132" s="102">
        <f t="shared" si="14"/>
        <v>5.6000000000000001E-2</v>
      </c>
      <c r="P132" s="21">
        <f>VLOOKUP(A132,'2022-23 Salary &amp; Benefits'!$A:$I,5,)</f>
        <v>68937</v>
      </c>
      <c r="Q132" s="21">
        <f>VLOOKUP(A132,'2022-23 Salary &amp; Benefits'!$A:$I,6,FALSE)</f>
        <v>72728</v>
      </c>
      <c r="R132" s="22">
        <f t="shared" si="15"/>
        <v>3860.47</v>
      </c>
      <c r="S132" s="22">
        <f t="shared" si="16"/>
        <v>212.3</v>
      </c>
      <c r="T132" s="22">
        <f>'2022-23 Salary &amp; Benefits'!$G$6</f>
        <v>12558.24</v>
      </c>
      <c r="U132" s="23">
        <f>'2022-23 Salary &amp; Benefits'!$H$6</f>
        <v>0.2298</v>
      </c>
      <c r="V132" s="23">
        <f>'2022-23 Salary &amp; Benefits'!$I$6</f>
        <v>0.22339999999999999</v>
      </c>
      <c r="W132" s="22">
        <f t="shared" si="17"/>
        <v>1637.83</v>
      </c>
      <c r="X132" s="22">
        <f t="shared" si="18"/>
        <v>67.88</v>
      </c>
      <c r="Y132" s="22">
        <f t="shared" si="19"/>
        <v>15.16</v>
      </c>
      <c r="Z132" s="22">
        <f t="shared" si="23"/>
        <v>83.039999999999992</v>
      </c>
      <c r="AA132" s="22">
        <f t="shared" si="24"/>
        <v>5793.6399999999994</v>
      </c>
    </row>
    <row r="133" spans="1:27">
      <c r="A133" s="125" t="s">
        <v>2295</v>
      </c>
      <c r="B133" s="3" t="s">
        <v>296</v>
      </c>
      <c r="C133" s="93">
        <f>IF(A133=Summary!$B$9,Summary!$G$9,0)</f>
        <v>0</v>
      </c>
      <c r="D133" s="134">
        <f>VLOOKUP(A133,AAFTE!$A:$S,3,0)</f>
        <v>6159.1</v>
      </c>
      <c r="E133" s="20">
        <f>VLOOKUP($A133,'2022-23 Salary &amp; Benefits'!$A:$I,3,)</f>
        <v>1</v>
      </c>
      <c r="F133" s="20">
        <f>VLOOKUP($A133,'2022-23 Salary &amp; Benefits'!$A:$I,4,)</f>
        <v>1</v>
      </c>
      <c r="G133" s="34">
        <f>VLOOKUP(A133,'CEDARS District FRPL'!$A:$F,6,)</f>
        <v>0</v>
      </c>
      <c r="H133" s="25">
        <f t="shared" si="20"/>
        <v>6159.1</v>
      </c>
      <c r="I133" s="39">
        <f t="shared" si="13"/>
        <v>0</v>
      </c>
      <c r="J133" s="24">
        <v>15</v>
      </c>
      <c r="K133" s="26">
        <f t="shared" si="21"/>
        <v>0</v>
      </c>
      <c r="L133" s="24">
        <v>2.3975</v>
      </c>
      <c r="M133" s="24">
        <v>36</v>
      </c>
      <c r="N133" s="27">
        <f t="shared" si="22"/>
        <v>0</v>
      </c>
      <c r="O133" s="102">
        <f t="shared" si="14"/>
        <v>0</v>
      </c>
      <c r="P133" s="21">
        <f>VLOOKUP(A133,'2022-23 Salary &amp; Benefits'!$A:$I,5,)</f>
        <v>68937</v>
      </c>
      <c r="Q133" s="21">
        <f>VLOOKUP(A133,'2022-23 Salary &amp; Benefits'!$A:$I,6,FALSE)</f>
        <v>72728</v>
      </c>
      <c r="R133" s="22">
        <f t="shared" si="15"/>
        <v>0</v>
      </c>
      <c r="S133" s="22">
        <f t="shared" si="16"/>
        <v>0</v>
      </c>
      <c r="T133" s="22">
        <f>'2022-23 Salary &amp; Benefits'!$G$6</f>
        <v>12558.24</v>
      </c>
      <c r="U133" s="23">
        <f>'2022-23 Salary &amp; Benefits'!$H$6</f>
        <v>0.2298</v>
      </c>
      <c r="V133" s="23">
        <f>'2022-23 Salary &amp; Benefits'!$I$6</f>
        <v>0.22339999999999999</v>
      </c>
      <c r="W133" s="22">
        <f t="shared" si="17"/>
        <v>0</v>
      </c>
      <c r="X133" s="22">
        <f t="shared" si="18"/>
        <v>0</v>
      </c>
      <c r="Y133" s="22">
        <f t="shared" si="19"/>
        <v>0</v>
      </c>
      <c r="Z133" s="22">
        <f t="shared" si="23"/>
        <v>0</v>
      </c>
      <c r="AA133" s="22">
        <f t="shared" si="24"/>
        <v>0</v>
      </c>
    </row>
    <row r="134" spans="1:27">
      <c r="A134" s="125" t="s">
        <v>2508</v>
      </c>
      <c r="B134" s="3" t="s">
        <v>1942</v>
      </c>
      <c r="C134" s="93">
        <f>IF(A134=Summary!$B$9,Summary!$G$9,0)</f>
        <v>0</v>
      </c>
      <c r="D134" s="134">
        <f>VLOOKUP(A134,AAFTE!$A:$S,3,0)</f>
        <v>232.56</v>
      </c>
      <c r="E134" s="20">
        <f>VLOOKUP($A134,'2022-23 Salary &amp; Benefits'!$A:$I,3,)</f>
        <v>1</v>
      </c>
      <c r="F134" s="20">
        <f>VLOOKUP($A134,'2022-23 Salary &amp; Benefits'!$A:$I,4,)</f>
        <v>1</v>
      </c>
      <c r="G134" s="34">
        <f>VLOOKUP(A134,'CEDARS District FRPL'!$A:$F,6,)</f>
        <v>0</v>
      </c>
      <c r="H134" s="25">
        <f t="shared" ref="H134:H198" si="25">IF(C134&gt;0,C134,D134)</f>
        <v>232.56</v>
      </c>
      <c r="I134" s="39">
        <f t="shared" ref="I134:I197" si="26">ROUND(H134*G134,2)</f>
        <v>0</v>
      </c>
      <c r="J134" s="24">
        <v>15</v>
      </c>
      <c r="K134" s="26">
        <f t="shared" si="21"/>
        <v>0</v>
      </c>
      <c r="L134" s="24">
        <v>2.3975</v>
      </c>
      <c r="M134" s="24">
        <v>36</v>
      </c>
      <c r="N134" s="27">
        <f t="shared" si="22"/>
        <v>0</v>
      </c>
      <c r="O134" s="102">
        <f t="shared" ref="O134:O197" si="27">ROUND(N134/900,3)</f>
        <v>0</v>
      </c>
      <c r="P134" s="21">
        <f>VLOOKUP(A134,'2022-23 Salary &amp; Benefits'!$A:$I,5,)</f>
        <v>68937</v>
      </c>
      <c r="Q134" s="21">
        <f>VLOOKUP(A134,'2022-23 Salary &amp; Benefits'!$A:$I,6,FALSE)</f>
        <v>72728</v>
      </c>
      <c r="R134" s="22">
        <f t="shared" ref="R134:R197" si="28">ROUND($E134*$P134*$O134,2)</f>
        <v>0</v>
      </c>
      <c r="S134" s="22">
        <f t="shared" ref="S134:S197" si="29">ROUND(($Q134*$F134*$O134-$R134),2)</f>
        <v>0</v>
      </c>
      <c r="T134" s="22">
        <f>'2022-23 Salary &amp; Benefits'!$G$6</f>
        <v>12558.24</v>
      </c>
      <c r="U134" s="23">
        <f>'2022-23 Salary &amp; Benefits'!$H$6</f>
        <v>0.2298</v>
      </c>
      <c r="V134" s="23">
        <f>'2022-23 Salary &amp; Benefits'!$I$6</f>
        <v>0.22339999999999999</v>
      </c>
      <c r="W134" s="22">
        <f t="shared" ref="W134:W197" si="30">ROUND(R134*U134+S134*V134+O134*T134,2)</f>
        <v>0</v>
      </c>
      <c r="X134" s="22">
        <f t="shared" ref="X134:X197" si="31">ROUND(($Q134*$F134*$O134/180*3),2)</f>
        <v>0</v>
      </c>
      <c r="Y134" s="22">
        <f t="shared" ref="Y134:Y197" si="32">ROUND(X134*V134,2)</f>
        <v>0</v>
      </c>
      <c r="Z134" s="22">
        <f t="shared" si="23"/>
        <v>0</v>
      </c>
      <c r="AA134" s="22">
        <f t="shared" si="24"/>
        <v>0</v>
      </c>
    </row>
    <row r="135" spans="1:27">
      <c r="A135" s="125" t="s">
        <v>2458</v>
      </c>
      <c r="B135" s="3" t="s">
        <v>1533</v>
      </c>
      <c r="C135" s="93">
        <f>IF(A135=Summary!$B$9,Summary!$G$9,0)</f>
        <v>0</v>
      </c>
      <c r="D135" s="134">
        <f>VLOOKUP(A135,AAFTE!$A:$S,3,0)</f>
        <v>242.05</v>
      </c>
      <c r="E135" s="20">
        <f>VLOOKUP($A135,'2022-23 Salary &amp; Benefits'!$A:$I,3,)</f>
        <v>1.1200000000000001</v>
      </c>
      <c r="F135" s="20">
        <f>VLOOKUP($A135,'2022-23 Salary &amp; Benefits'!$A:$I,4,)</f>
        <v>1.1200000000000001</v>
      </c>
      <c r="G135" s="34">
        <f>VLOOKUP(A135,'CEDARS District FRPL'!$A:$F,6,)</f>
        <v>0</v>
      </c>
      <c r="H135" s="25">
        <f t="shared" si="25"/>
        <v>242.05</v>
      </c>
      <c r="I135" s="39">
        <f t="shared" si="26"/>
        <v>0</v>
      </c>
      <c r="J135" s="24">
        <v>15</v>
      </c>
      <c r="K135" s="26">
        <f t="shared" ref="K135:K199" si="33">I135/J135</f>
        <v>0</v>
      </c>
      <c r="L135" s="24">
        <v>2.3975</v>
      </c>
      <c r="M135" s="24">
        <v>36</v>
      </c>
      <c r="N135" s="27">
        <f t="shared" ref="N135:N199" si="34">K135*L135*M135</f>
        <v>0</v>
      </c>
      <c r="O135" s="102">
        <f t="shared" si="27"/>
        <v>0</v>
      </c>
      <c r="P135" s="21">
        <f>VLOOKUP(A135,'2022-23 Salary &amp; Benefits'!$A:$I,5,)</f>
        <v>68937</v>
      </c>
      <c r="Q135" s="21">
        <f>VLOOKUP(A135,'2022-23 Salary &amp; Benefits'!$A:$I,6,FALSE)</f>
        <v>72728</v>
      </c>
      <c r="R135" s="22">
        <f t="shared" si="28"/>
        <v>0</v>
      </c>
      <c r="S135" s="22">
        <f t="shared" si="29"/>
        <v>0</v>
      </c>
      <c r="T135" s="22">
        <f>'2022-23 Salary &amp; Benefits'!$G$6</f>
        <v>12558.24</v>
      </c>
      <c r="U135" s="23">
        <f>'2022-23 Salary &amp; Benefits'!$H$6</f>
        <v>0.2298</v>
      </c>
      <c r="V135" s="23">
        <f>'2022-23 Salary &amp; Benefits'!$I$6</f>
        <v>0.22339999999999999</v>
      </c>
      <c r="W135" s="22">
        <f t="shared" si="30"/>
        <v>0</v>
      </c>
      <c r="X135" s="22">
        <f t="shared" si="31"/>
        <v>0</v>
      </c>
      <c r="Y135" s="22">
        <f t="shared" si="32"/>
        <v>0</v>
      </c>
      <c r="Z135" s="22">
        <f t="shared" ref="Z135:Z199" si="35">SUM(X135:Y135)</f>
        <v>0</v>
      </c>
      <c r="AA135" s="22">
        <f t="shared" si="24"/>
        <v>0</v>
      </c>
    </row>
    <row r="136" spans="1:27">
      <c r="A136" s="59" t="s">
        <v>2857</v>
      </c>
      <c r="B136" s="59" t="s">
        <v>2965</v>
      </c>
      <c r="C136" s="93">
        <f>IF(A136=Summary!$B$9,Summary!$G$9,0)</f>
        <v>0</v>
      </c>
      <c r="D136" s="134">
        <f>VLOOKUP(A136,AAFTE!$A:$S,3,0)</f>
        <v>35.71</v>
      </c>
      <c r="E136" s="20">
        <f>VLOOKUP($A136,'2022-23 Salary &amp; Benefits'!$A:$I,3,)</f>
        <v>1.03</v>
      </c>
      <c r="F136" s="20">
        <f>VLOOKUP($A136,'2022-23 Salary &amp; Benefits'!$A:$I,4,)</f>
        <v>1.03</v>
      </c>
      <c r="G136" s="34">
        <f>VLOOKUP(A136,'CEDARS District FRPL'!$A:$F,6,)</f>
        <v>0</v>
      </c>
      <c r="H136" s="25">
        <f>IF(C136&gt;0,C136,D136)</f>
        <v>35.71</v>
      </c>
      <c r="I136" s="39">
        <f t="shared" si="26"/>
        <v>0</v>
      </c>
      <c r="J136" s="24">
        <v>15</v>
      </c>
      <c r="K136" s="26">
        <f>I136/J136</f>
        <v>0</v>
      </c>
      <c r="L136" s="24">
        <v>2.3975</v>
      </c>
      <c r="M136" s="24">
        <v>36</v>
      </c>
      <c r="N136" s="27">
        <f>K136*L136*M136</f>
        <v>0</v>
      </c>
      <c r="O136" s="102">
        <f t="shared" si="27"/>
        <v>0</v>
      </c>
      <c r="P136" s="21">
        <f>VLOOKUP(A136,'2022-23 Salary &amp; Benefits'!$A:$I,5,)</f>
        <v>68937</v>
      </c>
      <c r="Q136" s="21">
        <f>VLOOKUP(A136,'2022-23 Salary &amp; Benefits'!$A:$I,6,FALSE)</f>
        <v>72728</v>
      </c>
      <c r="R136" s="22">
        <f t="shared" si="28"/>
        <v>0</v>
      </c>
      <c r="S136" s="22">
        <f t="shared" si="29"/>
        <v>0</v>
      </c>
      <c r="T136" s="22">
        <f>'2022-23 Salary &amp; Benefits'!$G$6</f>
        <v>12558.24</v>
      </c>
      <c r="U136" s="23">
        <f>'2022-23 Salary &amp; Benefits'!$H$6</f>
        <v>0.2298</v>
      </c>
      <c r="V136" s="23">
        <f>'2022-23 Salary &amp; Benefits'!$I$6</f>
        <v>0.22339999999999999</v>
      </c>
      <c r="W136" s="22">
        <f t="shared" si="30"/>
        <v>0</v>
      </c>
      <c r="X136" s="22">
        <f t="shared" si="31"/>
        <v>0</v>
      </c>
      <c r="Y136" s="22">
        <f t="shared" si="32"/>
        <v>0</v>
      </c>
      <c r="Z136" s="22">
        <f>SUM(X136:Y136)</f>
        <v>0</v>
      </c>
      <c r="AA136" s="22">
        <f>SUM(W136,R136:S136,Z136)</f>
        <v>0</v>
      </c>
    </row>
    <row r="137" spans="1:27">
      <c r="A137" s="125" t="s">
        <v>2539</v>
      </c>
      <c r="B137" s="3" t="s">
        <v>2128</v>
      </c>
      <c r="C137" s="93">
        <f>IF(A137=Summary!$B$9,Summary!$G$9,0)</f>
        <v>0</v>
      </c>
      <c r="D137" s="134">
        <f>VLOOKUP(A137,AAFTE!$A:$S,3,0)</f>
        <v>397.29</v>
      </c>
      <c r="E137" s="20">
        <f>VLOOKUP($A137,'2022-23 Salary &amp; Benefits'!$A:$I,3,)</f>
        <v>1.0900000000000001</v>
      </c>
      <c r="F137" s="20">
        <f>VLOOKUP($A137,'2022-23 Salary &amp; Benefits'!$A:$I,4,)</f>
        <v>1.0900000000000001</v>
      </c>
      <c r="G137" s="34">
        <f>VLOOKUP(A137,'CEDARS District FRPL'!$A:$F,6,)</f>
        <v>8.900000000000019E-3</v>
      </c>
      <c r="H137" s="25">
        <f t="shared" si="25"/>
        <v>397.29</v>
      </c>
      <c r="I137" s="39">
        <f t="shared" si="26"/>
        <v>3.54</v>
      </c>
      <c r="J137" s="24">
        <v>15</v>
      </c>
      <c r="K137" s="26">
        <f t="shared" si="33"/>
        <v>0.23600000000000002</v>
      </c>
      <c r="L137" s="24">
        <v>2.3975</v>
      </c>
      <c r="M137" s="24">
        <v>36</v>
      </c>
      <c r="N137" s="27">
        <f t="shared" si="34"/>
        <v>20.369160000000001</v>
      </c>
      <c r="O137" s="102">
        <f t="shared" si="27"/>
        <v>2.3E-2</v>
      </c>
      <c r="P137" s="21">
        <f>VLOOKUP(A137,'2022-23 Salary &amp; Benefits'!$A:$I,5,)</f>
        <v>68937</v>
      </c>
      <c r="Q137" s="21">
        <f>VLOOKUP(A137,'2022-23 Salary &amp; Benefits'!$A:$I,6,FALSE)</f>
        <v>72728</v>
      </c>
      <c r="R137" s="22">
        <f t="shared" si="28"/>
        <v>1728.25</v>
      </c>
      <c r="S137" s="22">
        <f t="shared" si="29"/>
        <v>95.04</v>
      </c>
      <c r="T137" s="22">
        <f>'2022-23 Salary &amp; Benefits'!$G$6</f>
        <v>12558.24</v>
      </c>
      <c r="U137" s="23">
        <f>'2022-23 Salary &amp; Benefits'!$H$6</f>
        <v>0.2298</v>
      </c>
      <c r="V137" s="23">
        <f>'2022-23 Salary &amp; Benefits'!$I$6</f>
        <v>0.22339999999999999</v>
      </c>
      <c r="W137" s="22">
        <f t="shared" si="30"/>
        <v>707.22</v>
      </c>
      <c r="X137" s="22">
        <f t="shared" si="31"/>
        <v>30.39</v>
      </c>
      <c r="Y137" s="22">
        <f t="shared" si="32"/>
        <v>6.79</v>
      </c>
      <c r="Z137" s="22">
        <f t="shared" si="35"/>
        <v>37.18</v>
      </c>
      <c r="AA137" s="22">
        <f t="shared" ref="AA137:AA201" si="36">SUM(W137,R137:S137,Z137)</f>
        <v>2567.69</v>
      </c>
    </row>
    <row r="138" spans="1:27">
      <c r="A138" s="125" t="s">
        <v>2392</v>
      </c>
      <c r="B138" s="3" t="s">
        <v>1129</v>
      </c>
      <c r="C138" s="93">
        <f>IF(A138=Summary!$B$9,Summary!$G$9,0)</f>
        <v>0</v>
      </c>
      <c r="D138" s="134">
        <f>VLOOKUP(A138,AAFTE!$A:$S,3,0)</f>
        <v>210.02</v>
      </c>
      <c r="E138" s="20">
        <f>VLOOKUP($A138,'2022-23 Salary &amp; Benefits'!$A:$I,3,)</f>
        <v>1</v>
      </c>
      <c r="F138" s="20">
        <f>VLOOKUP($A138,'2022-23 Salary &amp; Benefits'!$A:$I,4,)</f>
        <v>1</v>
      </c>
      <c r="G138" s="34">
        <f>VLOOKUP(A138,'CEDARS District FRPL'!$A:$F,6,)</f>
        <v>0</v>
      </c>
      <c r="H138" s="25">
        <f t="shared" si="25"/>
        <v>210.02</v>
      </c>
      <c r="I138" s="39">
        <f t="shared" si="26"/>
        <v>0</v>
      </c>
      <c r="J138" s="24">
        <v>15</v>
      </c>
      <c r="K138" s="26">
        <f t="shared" si="33"/>
        <v>0</v>
      </c>
      <c r="L138" s="24">
        <v>2.3975</v>
      </c>
      <c r="M138" s="24">
        <v>36</v>
      </c>
      <c r="N138" s="27">
        <f t="shared" si="34"/>
        <v>0</v>
      </c>
      <c r="O138" s="102">
        <f t="shared" si="27"/>
        <v>0</v>
      </c>
      <c r="P138" s="21">
        <f>VLOOKUP(A138,'2022-23 Salary &amp; Benefits'!$A:$I,5,)</f>
        <v>68937</v>
      </c>
      <c r="Q138" s="21">
        <f>VLOOKUP(A138,'2022-23 Salary &amp; Benefits'!$A:$I,6,FALSE)</f>
        <v>72728</v>
      </c>
      <c r="R138" s="22">
        <f t="shared" si="28"/>
        <v>0</v>
      </c>
      <c r="S138" s="22">
        <f t="shared" si="29"/>
        <v>0</v>
      </c>
      <c r="T138" s="22">
        <f>'2022-23 Salary &amp; Benefits'!$G$6</f>
        <v>12558.24</v>
      </c>
      <c r="U138" s="23">
        <f>'2022-23 Salary &amp; Benefits'!$H$6</f>
        <v>0.2298</v>
      </c>
      <c r="V138" s="23">
        <f>'2022-23 Salary &amp; Benefits'!$I$6</f>
        <v>0.22339999999999999</v>
      </c>
      <c r="W138" s="22">
        <f t="shared" si="30"/>
        <v>0</v>
      </c>
      <c r="X138" s="22">
        <f t="shared" si="31"/>
        <v>0</v>
      </c>
      <c r="Y138" s="22">
        <f t="shared" si="32"/>
        <v>0</v>
      </c>
      <c r="Z138" s="22">
        <f t="shared" si="35"/>
        <v>0</v>
      </c>
      <c r="AA138" s="22">
        <f t="shared" si="36"/>
        <v>0</v>
      </c>
    </row>
    <row r="139" spans="1:27">
      <c r="A139" s="125" t="s">
        <v>2535</v>
      </c>
      <c r="B139" s="3" t="s">
        <v>2103</v>
      </c>
      <c r="C139" s="93">
        <f>IF(A139=Summary!$B$9,Summary!$G$9,0)</f>
        <v>0</v>
      </c>
      <c r="D139" s="134">
        <f>VLOOKUP(A139,AAFTE!$A:$S,3,0)</f>
        <v>3317.95</v>
      </c>
      <c r="E139" s="20">
        <f>VLOOKUP($A139,'2022-23 Salary &amp; Benefits'!$A:$I,3,)</f>
        <v>1.06</v>
      </c>
      <c r="F139" s="20">
        <f>VLOOKUP($A139,'2022-23 Salary &amp; Benefits'!$A:$I,4,)</f>
        <v>1.06</v>
      </c>
      <c r="G139" s="34">
        <f>VLOOKUP(A139,'CEDARS District FRPL'!$A:$F,6,)</f>
        <v>8.1599999999999978E-2</v>
      </c>
      <c r="H139" s="25">
        <f t="shared" si="25"/>
        <v>3317.95</v>
      </c>
      <c r="I139" s="39">
        <f t="shared" si="26"/>
        <v>270.74</v>
      </c>
      <c r="J139" s="24">
        <v>15</v>
      </c>
      <c r="K139" s="26">
        <f t="shared" si="33"/>
        <v>18.049333333333333</v>
      </c>
      <c r="L139" s="24">
        <v>2.3975</v>
      </c>
      <c r="M139" s="24">
        <v>36</v>
      </c>
      <c r="N139" s="27">
        <f t="shared" si="34"/>
        <v>1557.8379600000001</v>
      </c>
      <c r="O139" s="102">
        <f t="shared" si="27"/>
        <v>1.7310000000000001</v>
      </c>
      <c r="P139" s="21">
        <f>VLOOKUP(A139,'2022-23 Salary &amp; Benefits'!$A:$I,5,)</f>
        <v>68937</v>
      </c>
      <c r="Q139" s="21">
        <f>VLOOKUP(A139,'2022-23 Salary &amp; Benefits'!$A:$I,6,FALSE)</f>
        <v>72728</v>
      </c>
      <c r="R139" s="22">
        <f t="shared" si="28"/>
        <v>126489.74</v>
      </c>
      <c r="S139" s="22">
        <f t="shared" si="29"/>
        <v>6955.96</v>
      </c>
      <c r="T139" s="22">
        <f>'2022-23 Salary &amp; Benefits'!$G$6</f>
        <v>12558.24</v>
      </c>
      <c r="U139" s="23">
        <f>'2022-23 Salary &amp; Benefits'!$H$6</f>
        <v>0.2298</v>
      </c>
      <c r="V139" s="23">
        <f>'2022-23 Salary &amp; Benefits'!$I$6</f>
        <v>0.22339999999999999</v>
      </c>
      <c r="W139" s="22">
        <f t="shared" si="30"/>
        <v>52359.62</v>
      </c>
      <c r="X139" s="22">
        <f t="shared" si="31"/>
        <v>2224.09</v>
      </c>
      <c r="Y139" s="22">
        <f t="shared" si="32"/>
        <v>496.86</v>
      </c>
      <c r="Z139" s="22">
        <f t="shared" si="35"/>
        <v>2720.9500000000003</v>
      </c>
      <c r="AA139" s="22">
        <f t="shared" si="36"/>
        <v>188526.27000000002</v>
      </c>
    </row>
    <row r="140" spans="1:27">
      <c r="A140" s="125" t="s">
        <v>2558</v>
      </c>
      <c r="B140" s="3" t="s">
        <v>2201</v>
      </c>
      <c r="C140" s="93">
        <f>IF(A140=Summary!$B$9,Summary!$G$9,0)</f>
        <v>0</v>
      </c>
      <c r="D140" s="134">
        <f>VLOOKUP(A140,AAFTE!$A:$S,3,0)</f>
        <v>807.38</v>
      </c>
      <c r="E140" s="20">
        <f>VLOOKUP($A140,'2022-23 Salary &amp; Benefits'!$A:$I,3,)</f>
        <v>1</v>
      </c>
      <c r="F140" s="20">
        <f>VLOOKUP($A140,'2022-23 Salary &amp; Benefits'!$A:$I,4,)</f>
        <v>1</v>
      </c>
      <c r="G140" s="34">
        <f>VLOOKUP(A140,'CEDARS District FRPL'!$A:$F,6,)</f>
        <v>0</v>
      </c>
      <c r="H140" s="25">
        <f t="shared" si="25"/>
        <v>807.38</v>
      </c>
      <c r="I140" s="39">
        <f t="shared" si="26"/>
        <v>0</v>
      </c>
      <c r="J140" s="24">
        <v>15</v>
      </c>
      <c r="K140" s="26">
        <f t="shared" si="33"/>
        <v>0</v>
      </c>
      <c r="L140" s="24">
        <v>2.3975</v>
      </c>
      <c r="M140" s="24">
        <v>36</v>
      </c>
      <c r="N140" s="27">
        <f t="shared" si="34"/>
        <v>0</v>
      </c>
      <c r="O140" s="102">
        <f t="shared" si="27"/>
        <v>0</v>
      </c>
      <c r="P140" s="21">
        <f>VLOOKUP(A140,'2022-23 Salary &amp; Benefits'!$A:$I,5,)</f>
        <v>68937</v>
      </c>
      <c r="Q140" s="21">
        <f>VLOOKUP(A140,'2022-23 Salary &amp; Benefits'!$A:$I,6,FALSE)</f>
        <v>72728</v>
      </c>
      <c r="R140" s="22">
        <f t="shared" si="28"/>
        <v>0</v>
      </c>
      <c r="S140" s="22">
        <f t="shared" si="29"/>
        <v>0</v>
      </c>
      <c r="T140" s="22">
        <f>'2022-23 Salary &amp; Benefits'!$G$6</f>
        <v>12558.24</v>
      </c>
      <c r="U140" s="23">
        <f>'2022-23 Salary &amp; Benefits'!$H$6</f>
        <v>0.2298</v>
      </c>
      <c r="V140" s="23">
        <f>'2022-23 Salary &amp; Benefits'!$I$6</f>
        <v>0.22339999999999999</v>
      </c>
      <c r="W140" s="22">
        <f t="shared" si="30"/>
        <v>0</v>
      </c>
      <c r="X140" s="22">
        <f t="shared" si="31"/>
        <v>0</v>
      </c>
      <c r="Y140" s="22">
        <f t="shared" si="32"/>
        <v>0</v>
      </c>
      <c r="Z140" s="22">
        <f t="shared" si="35"/>
        <v>0</v>
      </c>
      <c r="AA140" s="22">
        <f t="shared" si="36"/>
        <v>0</v>
      </c>
    </row>
    <row r="141" spans="1:27">
      <c r="A141" s="125" t="s">
        <v>2305</v>
      </c>
      <c r="B141" s="3" t="s">
        <v>353</v>
      </c>
      <c r="C141" s="93">
        <f>IF(A141=Summary!$B$9,Summary!$G$9,0)</f>
        <v>0</v>
      </c>
      <c r="D141" s="134">
        <f>VLOOKUP(A141,AAFTE!$A:$S,3,0)</f>
        <v>89.98</v>
      </c>
      <c r="E141" s="20">
        <f>VLOOKUP($A141,'2022-23 Salary &amp; Benefits'!$A:$I,3,)</f>
        <v>1</v>
      </c>
      <c r="F141" s="20">
        <f>VLOOKUP($A141,'2022-23 Salary &amp; Benefits'!$A:$I,4,)</f>
        <v>1</v>
      </c>
      <c r="G141" s="34">
        <f>VLOOKUP(A141,'CEDARS District FRPL'!$A:$F,6,)</f>
        <v>8.0399999999999916E-2</v>
      </c>
      <c r="H141" s="25">
        <f t="shared" si="25"/>
        <v>89.98</v>
      </c>
      <c r="I141" s="39">
        <f t="shared" si="26"/>
        <v>7.23</v>
      </c>
      <c r="J141" s="24">
        <v>15</v>
      </c>
      <c r="K141" s="26">
        <f t="shared" si="33"/>
        <v>0.48200000000000004</v>
      </c>
      <c r="L141" s="24">
        <v>2.3975</v>
      </c>
      <c r="M141" s="24">
        <v>36</v>
      </c>
      <c r="N141" s="27">
        <f t="shared" si="34"/>
        <v>41.601420000000005</v>
      </c>
      <c r="O141" s="102">
        <f t="shared" si="27"/>
        <v>4.5999999999999999E-2</v>
      </c>
      <c r="P141" s="21">
        <f>VLOOKUP(A141,'2022-23 Salary &amp; Benefits'!$A:$I,5,)</f>
        <v>68937</v>
      </c>
      <c r="Q141" s="21">
        <f>VLOOKUP(A141,'2022-23 Salary &amp; Benefits'!$A:$I,6,FALSE)</f>
        <v>72728</v>
      </c>
      <c r="R141" s="22">
        <f t="shared" si="28"/>
        <v>3171.1</v>
      </c>
      <c r="S141" s="22">
        <f t="shared" si="29"/>
        <v>174.39</v>
      </c>
      <c r="T141" s="22">
        <f>'2022-23 Salary &amp; Benefits'!$G$6</f>
        <v>12558.24</v>
      </c>
      <c r="U141" s="23">
        <f>'2022-23 Salary &amp; Benefits'!$H$6</f>
        <v>0.2298</v>
      </c>
      <c r="V141" s="23">
        <f>'2022-23 Salary &amp; Benefits'!$I$6</f>
        <v>0.22339999999999999</v>
      </c>
      <c r="W141" s="22">
        <f t="shared" si="30"/>
        <v>1345.36</v>
      </c>
      <c r="X141" s="22">
        <f t="shared" si="31"/>
        <v>55.76</v>
      </c>
      <c r="Y141" s="22">
        <f t="shared" si="32"/>
        <v>12.46</v>
      </c>
      <c r="Z141" s="22">
        <f t="shared" si="35"/>
        <v>68.22</v>
      </c>
      <c r="AA141" s="22">
        <f t="shared" si="36"/>
        <v>4759.0700000000006</v>
      </c>
    </row>
    <row r="142" spans="1:27">
      <c r="A142" s="125" t="s">
        <v>2270</v>
      </c>
      <c r="B142" s="3" t="s">
        <v>96</v>
      </c>
      <c r="C142" s="93">
        <f>IF(A142=Summary!$B$9,Summary!$G$9,0)</f>
        <v>0</v>
      </c>
      <c r="D142" s="134">
        <f>VLOOKUP(A142,AAFTE!$A:$S,3,0)</f>
        <v>597.22</v>
      </c>
      <c r="E142" s="20">
        <f>VLOOKUP($A142,'2022-23 Salary &amp; Benefits'!$A:$I,3,)</f>
        <v>1</v>
      </c>
      <c r="F142" s="20">
        <f>VLOOKUP($A142,'2022-23 Salary &amp; Benefits'!$A:$I,4,)</f>
        <v>1</v>
      </c>
      <c r="G142" s="34">
        <f>VLOOKUP(A142,'CEDARS District FRPL'!$A:$F,6,)</f>
        <v>4.6800000000000064E-2</v>
      </c>
      <c r="H142" s="25">
        <f t="shared" si="25"/>
        <v>597.22</v>
      </c>
      <c r="I142" s="39">
        <f t="shared" si="26"/>
        <v>27.95</v>
      </c>
      <c r="J142" s="24">
        <v>15</v>
      </c>
      <c r="K142" s="26">
        <f t="shared" si="33"/>
        <v>1.8633333333333333</v>
      </c>
      <c r="L142" s="24">
        <v>2.3975</v>
      </c>
      <c r="M142" s="24">
        <v>36</v>
      </c>
      <c r="N142" s="27">
        <f t="shared" si="34"/>
        <v>160.82429999999999</v>
      </c>
      <c r="O142" s="102">
        <f t="shared" si="27"/>
        <v>0.17899999999999999</v>
      </c>
      <c r="P142" s="21">
        <f>VLOOKUP(A142,'2022-23 Salary &amp; Benefits'!$A:$I,5,)</f>
        <v>68937</v>
      </c>
      <c r="Q142" s="21">
        <f>VLOOKUP(A142,'2022-23 Salary &amp; Benefits'!$A:$I,6,FALSE)</f>
        <v>72728</v>
      </c>
      <c r="R142" s="22">
        <f t="shared" si="28"/>
        <v>12339.72</v>
      </c>
      <c r="S142" s="22">
        <f t="shared" si="29"/>
        <v>678.59</v>
      </c>
      <c r="T142" s="22">
        <f>'2022-23 Salary &amp; Benefits'!$G$6</f>
        <v>12558.24</v>
      </c>
      <c r="U142" s="23">
        <f>'2022-23 Salary &amp; Benefits'!$H$6</f>
        <v>0.2298</v>
      </c>
      <c r="V142" s="23">
        <f>'2022-23 Salary &amp; Benefits'!$I$6</f>
        <v>0.22339999999999999</v>
      </c>
      <c r="W142" s="22">
        <f t="shared" si="30"/>
        <v>5235.1899999999996</v>
      </c>
      <c r="X142" s="22">
        <f t="shared" si="31"/>
        <v>216.97</v>
      </c>
      <c r="Y142" s="22">
        <f t="shared" si="32"/>
        <v>48.47</v>
      </c>
      <c r="Z142" s="22">
        <f t="shared" si="35"/>
        <v>265.44</v>
      </c>
      <c r="AA142" s="22">
        <f t="shared" si="36"/>
        <v>18518.939999999999</v>
      </c>
    </row>
    <row r="143" spans="1:27">
      <c r="A143" s="125" t="s">
        <v>2417</v>
      </c>
      <c r="B143" s="3" t="s">
        <v>1213</v>
      </c>
      <c r="C143" s="93">
        <f>IF(A143=Summary!$B$9,Summary!$G$9,0)</f>
        <v>0</v>
      </c>
      <c r="D143" s="134">
        <f>VLOOKUP(A143,AAFTE!$A:$S,3,0)</f>
        <v>1434.69</v>
      </c>
      <c r="E143" s="20">
        <f>VLOOKUP($A143,'2022-23 Salary &amp; Benefits'!$A:$I,3,)</f>
        <v>1</v>
      </c>
      <c r="F143" s="20">
        <f>VLOOKUP($A143,'2022-23 Salary &amp; Benefits'!$A:$I,4,)</f>
        <v>1</v>
      </c>
      <c r="G143" s="34">
        <f>VLOOKUP(A143,'CEDARS District FRPL'!$A:$F,6,)</f>
        <v>0</v>
      </c>
      <c r="H143" s="25">
        <f t="shared" si="25"/>
        <v>1434.69</v>
      </c>
      <c r="I143" s="39">
        <f t="shared" si="26"/>
        <v>0</v>
      </c>
      <c r="J143" s="24">
        <v>15</v>
      </c>
      <c r="K143" s="26">
        <f t="shared" si="33"/>
        <v>0</v>
      </c>
      <c r="L143" s="24">
        <v>2.3975</v>
      </c>
      <c r="M143" s="24">
        <v>36</v>
      </c>
      <c r="N143" s="27">
        <f t="shared" si="34"/>
        <v>0</v>
      </c>
      <c r="O143" s="102">
        <f t="shared" si="27"/>
        <v>0</v>
      </c>
      <c r="P143" s="21">
        <f>VLOOKUP(A143,'2022-23 Salary &amp; Benefits'!$A:$I,5,)</f>
        <v>68937</v>
      </c>
      <c r="Q143" s="21">
        <f>VLOOKUP(A143,'2022-23 Salary &amp; Benefits'!$A:$I,6,FALSE)</f>
        <v>72728</v>
      </c>
      <c r="R143" s="22">
        <f t="shared" si="28"/>
        <v>0</v>
      </c>
      <c r="S143" s="22">
        <f t="shared" si="29"/>
        <v>0</v>
      </c>
      <c r="T143" s="22">
        <f>'2022-23 Salary &amp; Benefits'!$G$6</f>
        <v>12558.24</v>
      </c>
      <c r="U143" s="23">
        <f>'2022-23 Salary &amp; Benefits'!$H$6</f>
        <v>0.2298</v>
      </c>
      <c r="V143" s="23">
        <f>'2022-23 Salary &amp; Benefits'!$I$6</f>
        <v>0.22339999999999999</v>
      </c>
      <c r="W143" s="22">
        <f t="shared" si="30"/>
        <v>0</v>
      </c>
      <c r="X143" s="22">
        <f t="shared" si="31"/>
        <v>0</v>
      </c>
      <c r="Y143" s="22">
        <f t="shared" si="32"/>
        <v>0</v>
      </c>
      <c r="Z143" s="22">
        <f t="shared" si="35"/>
        <v>0</v>
      </c>
      <c r="AA143" s="22">
        <f t="shared" si="36"/>
        <v>0</v>
      </c>
    </row>
    <row r="144" spans="1:27">
      <c r="A144" s="125" t="s">
        <v>2512</v>
      </c>
      <c r="B144" s="3" t="s">
        <v>1951</v>
      </c>
      <c r="C144" s="93">
        <f>IF(A144=Summary!$B$9,Summary!$G$9,0)</f>
        <v>0</v>
      </c>
      <c r="D144" s="134">
        <f>VLOOKUP(A144,AAFTE!$A:$S,3,0)</f>
        <v>454.99</v>
      </c>
      <c r="E144" s="20">
        <f>VLOOKUP($A144,'2022-23 Salary &amp; Benefits'!$A:$I,3,)</f>
        <v>1</v>
      </c>
      <c r="F144" s="20">
        <f>VLOOKUP($A144,'2022-23 Salary &amp; Benefits'!$A:$I,4,)</f>
        <v>1</v>
      </c>
      <c r="G144" s="34">
        <f>VLOOKUP(A144,'CEDARS District FRPL'!$A:$F,6,)</f>
        <v>0</v>
      </c>
      <c r="H144" s="25">
        <f t="shared" si="25"/>
        <v>454.99</v>
      </c>
      <c r="I144" s="39">
        <f t="shared" si="26"/>
        <v>0</v>
      </c>
      <c r="J144" s="24">
        <v>15</v>
      </c>
      <c r="K144" s="26">
        <f t="shared" si="33"/>
        <v>0</v>
      </c>
      <c r="L144" s="24">
        <v>2.3975</v>
      </c>
      <c r="M144" s="24">
        <v>36</v>
      </c>
      <c r="N144" s="27">
        <f t="shared" si="34"/>
        <v>0</v>
      </c>
      <c r="O144" s="102">
        <f t="shared" si="27"/>
        <v>0</v>
      </c>
      <c r="P144" s="21">
        <f>VLOOKUP(A144,'2022-23 Salary &amp; Benefits'!$A:$I,5,)</f>
        <v>68937</v>
      </c>
      <c r="Q144" s="21">
        <f>VLOOKUP(A144,'2022-23 Salary &amp; Benefits'!$A:$I,6,FALSE)</f>
        <v>72728</v>
      </c>
      <c r="R144" s="22">
        <f t="shared" si="28"/>
        <v>0</v>
      </c>
      <c r="S144" s="22">
        <f t="shared" si="29"/>
        <v>0</v>
      </c>
      <c r="T144" s="22">
        <f>'2022-23 Salary &amp; Benefits'!$G$6</f>
        <v>12558.24</v>
      </c>
      <c r="U144" s="23">
        <f>'2022-23 Salary &amp; Benefits'!$H$6</f>
        <v>0.2298</v>
      </c>
      <c r="V144" s="23">
        <f>'2022-23 Salary &amp; Benefits'!$I$6</f>
        <v>0.22339999999999999</v>
      </c>
      <c r="W144" s="22">
        <f t="shared" si="30"/>
        <v>0</v>
      </c>
      <c r="X144" s="22">
        <f t="shared" si="31"/>
        <v>0</v>
      </c>
      <c r="Y144" s="22">
        <f t="shared" si="32"/>
        <v>0</v>
      </c>
      <c r="Z144" s="22">
        <f t="shared" si="35"/>
        <v>0</v>
      </c>
      <c r="AA144" s="22">
        <f t="shared" si="36"/>
        <v>0</v>
      </c>
    </row>
    <row r="145" spans="1:27">
      <c r="A145" s="125" t="s">
        <v>2477</v>
      </c>
      <c r="B145" s="3" t="s">
        <v>1689</v>
      </c>
      <c r="C145" s="93">
        <f>IF(A145=Summary!$B$9,Summary!$G$9,0)</f>
        <v>0</v>
      </c>
      <c r="D145" s="134">
        <f>VLOOKUP(A145,AAFTE!$A:$S,3,0)</f>
        <v>9893.4599999999991</v>
      </c>
      <c r="E145" s="20">
        <f>VLOOKUP($A145,'2022-23 Salary &amp; Benefits'!$A:$I,3,)</f>
        <v>1.1499999999999999</v>
      </c>
      <c r="F145" s="20">
        <f>VLOOKUP($A145,'2022-23 Salary &amp; Benefits'!$A:$I,4,)</f>
        <v>1.1499999999999999</v>
      </c>
      <c r="G145" s="34">
        <f>VLOOKUP(A145,'CEDARS District FRPL'!$A:$F,6,)</f>
        <v>0</v>
      </c>
      <c r="H145" s="25">
        <f t="shared" si="25"/>
        <v>9893.4599999999991</v>
      </c>
      <c r="I145" s="39">
        <f t="shared" si="26"/>
        <v>0</v>
      </c>
      <c r="J145" s="24">
        <v>15</v>
      </c>
      <c r="K145" s="26">
        <f t="shared" si="33"/>
        <v>0</v>
      </c>
      <c r="L145" s="24">
        <v>2.3975</v>
      </c>
      <c r="M145" s="24">
        <v>36</v>
      </c>
      <c r="N145" s="27">
        <f t="shared" si="34"/>
        <v>0</v>
      </c>
      <c r="O145" s="102">
        <f t="shared" si="27"/>
        <v>0</v>
      </c>
      <c r="P145" s="21">
        <f>VLOOKUP(A145,'2022-23 Salary &amp; Benefits'!$A:$I,5,)</f>
        <v>68937</v>
      </c>
      <c r="Q145" s="21">
        <f>VLOOKUP(A145,'2022-23 Salary &amp; Benefits'!$A:$I,6,FALSE)</f>
        <v>72728</v>
      </c>
      <c r="R145" s="22">
        <f t="shared" si="28"/>
        <v>0</v>
      </c>
      <c r="S145" s="22">
        <f t="shared" si="29"/>
        <v>0</v>
      </c>
      <c r="T145" s="22">
        <f>'2022-23 Salary &amp; Benefits'!$G$6</f>
        <v>12558.24</v>
      </c>
      <c r="U145" s="23">
        <f>'2022-23 Salary &amp; Benefits'!$H$6</f>
        <v>0.2298</v>
      </c>
      <c r="V145" s="23">
        <f>'2022-23 Salary &amp; Benefits'!$I$6</f>
        <v>0.22339999999999999</v>
      </c>
      <c r="W145" s="22">
        <f t="shared" si="30"/>
        <v>0</v>
      </c>
      <c r="X145" s="22">
        <f t="shared" si="31"/>
        <v>0</v>
      </c>
      <c r="Y145" s="22">
        <f t="shared" si="32"/>
        <v>0</v>
      </c>
      <c r="Z145" s="22">
        <f t="shared" si="35"/>
        <v>0</v>
      </c>
      <c r="AA145" s="22">
        <f t="shared" si="36"/>
        <v>0</v>
      </c>
    </row>
    <row r="146" spans="1:27">
      <c r="A146" s="125" t="s">
        <v>2330</v>
      </c>
      <c r="B146" s="3" t="s">
        <v>485</v>
      </c>
      <c r="C146" s="93">
        <f>IF(A146=Summary!$B$9,Summary!$G$9,0)</f>
        <v>0</v>
      </c>
      <c r="D146" s="134">
        <f>VLOOKUP(A146,AAFTE!$A:$S,3,0)</f>
        <v>290.92</v>
      </c>
      <c r="E146" s="20">
        <f>VLOOKUP($A146,'2022-23 Salary &amp; Benefits'!$A:$I,3,)</f>
        <v>1</v>
      </c>
      <c r="F146" s="20">
        <f>VLOOKUP($A146,'2022-23 Salary &amp; Benefits'!$A:$I,4,)</f>
        <v>1</v>
      </c>
      <c r="G146" s="34">
        <f>VLOOKUP(A146,'CEDARS District FRPL'!$A:$F,6,)</f>
        <v>8.2799999999999985E-2</v>
      </c>
      <c r="H146" s="25">
        <f t="shared" si="25"/>
        <v>290.92</v>
      </c>
      <c r="I146" s="39">
        <f t="shared" si="26"/>
        <v>24.09</v>
      </c>
      <c r="J146" s="24">
        <v>15</v>
      </c>
      <c r="K146" s="26">
        <f t="shared" si="33"/>
        <v>1.6060000000000001</v>
      </c>
      <c r="L146" s="24">
        <v>2.3975</v>
      </c>
      <c r="M146" s="24">
        <v>36</v>
      </c>
      <c r="N146" s="27">
        <f t="shared" si="34"/>
        <v>138.61386000000002</v>
      </c>
      <c r="O146" s="102">
        <f t="shared" si="27"/>
        <v>0.154</v>
      </c>
      <c r="P146" s="21">
        <f>VLOOKUP(A146,'2022-23 Salary &amp; Benefits'!$A:$I,5,)</f>
        <v>68937</v>
      </c>
      <c r="Q146" s="21">
        <f>VLOOKUP(A146,'2022-23 Salary &amp; Benefits'!$A:$I,6,FALSE)</f>
        <v>72728</v>
      </c>
      <c r="R146" s="22">
        <f t="shared" si="28"/>
        <v>10616.3</v>
      </c>
      <c r="S146" s="22">
        <f t="shared" si="29"/>
        <v>583.80999999999995</v>
      </c>
      <c r="T146" s="22">
        <f>'2022-23 Salary &amp; Benefits'!$G$6</f>
        <v>12558.24</v>
      </c>
      <c r="U146" s="23">
        <f>'2022-23 Salary &amp; Benefits'!$H$6</f>
        <v>0.2298</v>
      </c>
      <c r="V146" s="23">
        <f>'2022-23 Salary &amp; Benefits'!$I$6</f>
        <v>0.22339999999999999</v>
      </c>
      <c r="W146" s="22">
        <f t="shared" si="30"/>
        <v>4504.0200000000004</v>
      </c>
      <c r="X146" s="22">
        <f t="shared" si="31"/>
        <v>186.67</v>
      </c>
      <c r="Y146" s="22">
        <f t="shared" si="32"/>
        <v>41.7</v>
      </c>
      <c r="Z146" s="22">
        <f t="shared" si="35"/>
        <v>228.37</v>
      </c>
      <c r="AA146" s="22">
        <f t="shared" si="36"/>
        <v>15932.5</v>
      </c>
    </row>
    <row r="147" spans="1:27">
      <c r="A147" s="125" t="s">
        <v>2491</v>
      </c>
      <c r="B147" s="3" t="s">
        <v>1837</v>
      </c>
      <c r="C147" s="93">
        <f>IF(A147=Summary!$B$9,Summary!$G$9,0)</f>
        <v>0</v>
      </c>
      <c r="D147" s="134">
        <f>VLOOKUP(A147,AAFTE!$A:$S,3,0)</f>
        <v>10197.75</v>
      </c>
      <c r="E147" s="20">
        <f>VLOOKUP($A147,'2022-23 Salary &amp; Benefits'!$A:$I,3,)</f>
        <v>1.03</v>
      </c>
      <c r="F147" s="20">
        <f>VLOOKUP($A147,'2022-23 Salary &amp; Benefits'!$A:$I,4,)</f>
        <v>1.03</v>
      </c>
      <c r="G147" s="34">
        <f>VLOOKUP(A147,'CEDARS District FRPL'!$A:$F,6,)</f>
        <v>2.6100000000000012E-2</v>
      </c>
      <c r="H147" s="25">
        <f t="shared" si="25"/>
        <v>10197.75</v>
      </c>
      <c r="I147" s="39">
        <f t="shared" si="26"/>
        <v>266.16000000000003</v>
      </c>
      <c r="J147" s="24">
        <v>15</v>
      </c>
      <c r="K147" s="26">
        <f t="shared" si="33"/>
        <v>17.744000000000003</v>
      </c>
      <c r="L147" s="24">
        <v>2.3975</v>
      </c>
      <c r="M147" s="24">
        <v>36</v>
      </c>
      <c r="N147" s="27">
        <f t="shared" si="34"/>
        <v>1531.4846400000004</v>
      </c>
      <c r="O147" s="102">
        <f t="shared" si="27"/>
        <v>1.702</v>
      </c>
      <c r="P147" s="21">
        <f>VLOOKUP(A147,'2022-23 Salary &amp; Benefits'!$A:$I,5,)</f>
        <v>68937</v>
      </c>
      <c r="Q147" s="21">
        <f>VLOOKUP(A147,'2022-23 Salary &amp; Benefits'!$A:$I,6,FALSE)</f>
        <v>72728</v>
      </c>
      <c r="R147" s="22">
        <f t="shared" si="28"/>
        <v>120850.7</v>
      </c>
      <c r="S147" s="22">
        <f t="shared" si="29"/>
        <v>6645.85</v>
      </c>
      <c r="T147" s="22">
        <f>'2022-23 Salary &amp; Benefits'!$G$6</f>
        <v>12558.24</v>
      </c>
      <c r="U147" s="23">
        <f>'2022-23 Salary &amp; Benefits'!$H$6</f>
        <v>0.2298</v>
      </c>
      <c r="V147" s="23">
        <f>'2022-23 Salary &amp; Benefits'!$I$6</f>
        <v>0.22339999999999999</v>
      </c>
      <c r="W147" s="22">
        <f t="shared" si="30"/>
        <v>50630.3</v>
      </c>
      <c r="X147" s="22">
        <f t="shared" si="31"/>
        <v>2124.94</v>
      </c>
      <c r="Y147" s="22">
        <f t="shared" si="32"/>
        <v>474.71</v>
      </c>
      <c r="Z147" s="22">
        <f t="shared" si="35"/>
        <v>2599.65</v>
      </c>
      <c r="AA147" s="22">
        <f t="shared" si="36"/>
        <v>180726.5</v>
      </c>
    </row>
    <row r="148" spans="1:27">
      <c r="A148" s="125" t="s">
        <v>2490</v>
      </c>
      <c r="B148" s="3" t="s">
        <v>1832</v>
      </c>
      <c r="C148" s="93">
        <f>IF(A148=Summary!$B$9,Summary!$G$9,0)</f>
        <v>0</v>
      </c>
      <c r="D148" s="134">
        <f>VLOOKUP(A148,AAFTE!$A:$S,3,0)</f>
        <v>1753.79</v>
      </c>
      <c r="E148" s="20">
        <f>VLOOKUP($A148,'2022-23 Salary &amp; Benefits'!$A:$I,3,)</f>
        <v>1</v>
      </c>
      <c r="F148" s="20">
        <f>VLOOKUP($A148,'2022-23 Salary &amp; Benefits'!$A:$I,4,)</f>
        <v>1</v>
      </c>
      <c r="G148" s="34">
        <f>VLOOKUP(A148,'CEDARS District FRPL'!$A:$F,6,)</f>
        <v>2.9499999999999971E-2</v>
      </c>
      <c r="H148" s="25">
        <f t="shared" si="25"/>
        <v>1753.79</v>
      </c>
      <c r="I148" s="39">
        <f t="shared" si="26"/>
        <v>51.74</v>
      </c>
      <c r="J148" s="24">
        <v>15</v>
      </c>
      <c r="K148" s="26">
        <f t="shared" si="33"/>
        <v>3.4493333333333336</v>
      </c>
      <c r="L148" s="24">
        <v>2.3975</v>
      </c>
      <c r="M148" s="24">
        <v>36</v>
      </c>
      <c r="N148" s="27">
        <f t="shared" si="34"/>
        <v>297.71196000000003</v>
      </c>
      <c r="O148" s="102">
        <f t="shared" si="27"/>
        <v>0.33100000000000002</v>
      </c>
      <c r="P148" s="21">
        <f>VLOOKUP(A148,'2022-23 Salary &amp; Benefits'!$A:$I,5,)</f>
        <v>68937</v>
      </c>
      <c r="Q148" s="21">
        <f>VLOOKUP(A148,'2022-23 Salary &amp; Benefits'!$A:$I,6,FALSE)</f>
        <v>72728</v>
      </c>
      <c r="R148" s="22">
        <f t="shared" si="28"/>
        <v>22818.15</v>
      </c>
      <c r="S148" s="22">
        <f t="shared" si="29"/>
        <v>1254.82</v>
      </c>
      <c r="T148" s="22">
        <f>'2022-23 Salary &amp; Benefits'!$G$6</f>
        <v>12558.24</v>
      </c>
      <c r="U148" s="23">
        <f>'2022-23 Salary &amp; Benefits'!$H$6</f>
        <v>0.2298</v>
      </c>
      <c r="V148" s="23">
        <f>'2022-23 Salary &amp; Benefits'!$I$6</f>
        <v>0.22339999999999999</v>
      </c>
      <c r="W148" s="22">
        <f t="shared" si="30"/>
        <v>9680.7199999999993</v>
      </c>
      <c r="X148" s="22">
        <f t="shared" si="31"/>
        <v>401.22</v>
      </c>
      <c r="Y148" s="22">
        <f t="shared" si="32"/>
        <v>89.63</v>
      </c>
      <c r="Z148" s="22">
        <f t="shared" si="35"/>
        <v>490.85</v>
      </c>
      <c r="AA148" s="22">
        <f t="shared" si="36"/>
        <v>34244.54</v>
      </c>
    </row>
    <row r="149" spans="1:27">
      <c r="A149" s="125" t="s">
        <v>2351</v>
      </c>
      <c r="B149" s="3" t="s">
        <v>695</v>
      </c>
      <c r="C149" s="93">
        <f>IF(A149=Summary!$B$9,Summary!$G$9,0)</f>
        <v>0</v>
      </c>
      <c r="D149" s="134">
        <f>VLOOKUP(A149,AAFTE!$A:$S,3,0)</f>
        <v>3995.14</v>
      </c>
      <c r="E149" s="20">
        <f>VLOOKUP($A149,'2022-23 Salary &amp; Benefits'!$A:$I,3,)</f>
        <v>1.18</v>
      </c>
      <c r="F149" s="20">
        <f>VLOOKUP($A149,'2022-23 Salary &amp; Benefits'!$A:$I,4,)</f>
        <v>1.18</v>
      </c>
      <c r="G149" s="34">
        <f>VLOOKUP(A149,'CEDARS District FRPL'!$A:$F,6,)</f>
        <v>2.8000000000000039E-3</v>
      </c>
      <c r="H149" s="25">
        <f t="shared" si="25"/>
        <v>3995.14</v>
      </c>
      <c r="I149" s="39">
        <f t="shared" si="26"/>
        <v>11.19</v>
      </c>
      <c r="J149" s="24">
        <v>15</v>
      </c>
      <c r="K149" s="26">
        <f t="shared" si="33"/>
        <v>0.746</v>
      </c>
      <c r="L149" s="24">
        <v>2.3975</v>
      </c>
      <c r="M149" s="24">
        <v>36</v>
      </c>
      <c r="N149" s="27">
        <f t="shared" si="34"/>
        <v>64.387259999999998</v>
      </c>
      <c r="O149" s="102">
        <f t="shared" si="27"/>
        <v>7.1999999999999995E-2</v>
      </c>
      <c r="P149" s="21">
        <f>VLOOKUP(A149,'2022-23 Salary &amp; Benefits'!$A:$I,5,)</f>
        <v>68937</v>
      </c>
      <c r="Q149" s="21">
        <f>VLOOKUP(A149,'2022-23 Salary &amp; Benefits'!$A:$I,6,FALSE)</f>
        <v>72728</v>
      </c>
      <c r="R149" s="22">
        <f t="shared" si="28"/>
        <v>5856.89</v>
      </c>
      <c r="S149" s="22">
        <f t="shared" si="29"/>
        <v>322.08</v>
      </c>
      <c r="T149" s="22">
        <f>'2022-23 Salary &amp; Benefits'!$G$6</f>
        <v>12558.24</v>
      </c>
      <c r="U149" s="23">
        <f>'2022-23 Salary &amp; Benefits'!$H$6</f>
        <v>0.2298</v>
      </c>
      <c r="V149" s="23">
        <f>'2022-23 Salary &amp; Benefits'!$I$6</f>
        <v>0.22339999999999999</v>
      </c>
      <c r="W149" s="22">
        <f t="shared" si="30"/>
        <v>2322.06</v>
      </c>
      <c r="X149" s="22">
        <f t="shared" si="31"/>
        <v>102.98</v>
      </c>
      <c r="Y149" s="22">
        <f t="shared" si="32"/>
        <v>23.01</v>
      </c>
      <c r="Z149" s="22">
        <f t="shared" si="35"/>
        <v>125.99000000000001</v>
      </c>
      <c r="AA149" s="22">
        <f t="shared" si="36"/>
        <v>8627.02</v>
      </c>
    </row>
    <row r="150" spans="1:27">
      <c r="A150" s="125" t="s">
        <v>2536</v>
      </c>
      <c r="B150" s="3" t="s">
        <v>2110</v>
      </c>
      <c r="C150" s="93">
        <f>IF(A150=Summary!$B$9,Summary!$G$9,0)</f>
        <v>0</v>
      </c>
      <c r="D150" s="134">
        <f>VLOOKUP(A150,AAFTE!$A:$S,3,0)</f>
        <v>1738.27</v>
      </c>
      <c r="E150" s="20">
        <f>VLOOKUP($A150,'2022-23 Salary &amp; Benefits'!$A:$I,3,)</f>
        <v>1.06</v>
      </c>
      <c r="F150" s="20">
        <f>VLOOKUP($A150,'2022-23 Salary &amp; Benefits'!$A:$I,4,)</f>
        <v>1.06</v>
      </c>
      <c r="G150" s="34">
        <f>VLOOKUP(A150,'CEDARS District FRPL'!$A:$F,6,)</f>
        <v>0.13220000000000001</v>
      </c>
      <c r="H150" s="25">
        <f t="shared" si="25"/>
        <v>1738.27</v>
      </c>
      <c r="I150" s="39">
        <f t="shared" si="26"/>
        <v>229.8</v>
      </c>
      <c r="J150" s="24">
        <v>15</v>
      </c>
      <c r="K150" s="26">
        <f t="shared" si="33"/>
        <v>15.32</v>
      </c>
      <c r="L150" s="24">
        <v>2.3975</v>
      </c>
      <c r="M150" s="24">
        <v>36</v>
      </c>
      <c r="N150" s="27">
        <f t="shared" si="34"/>
        <v>1322.2692</v>
      </c>
      <c r="O150" s="102">
        <f t="shared" si="27"/>
        <v>1.4690000000000001</v>
      </c>
      <c r="P150" s="21">
        <f>VLOOKUP(A150,'2022-23 Salary &amp; Benefits'!$A:$I,5,)</f>
        <v>68937</v>
      </c>
      <c r="Q150" s="21">
        <f>VLOOKUP(A150,'2022-23 Salary &amp; Benefits'!$A:$I,6,FALSE)</f>
        <v>72728</v>
      </c>
      <c r="R150" s="22">
        <f t="shared" si="28"/>
        <v>107344.56</v>
      </c>
      <c r="S150" s="22">
        <f t="shared" si="29"/>
        <v>5903.12</v>
      </c>
      <c r="T150" s="22">
        <f>'2022-23 Salary &amp; Benefits'!$G$6</f>
        <v>12558.24</v>
      </c>
      <c r="U150" s="23">
        <f>'2022-23 Salary &amp; Benefits'!$H$6</f>
        <v>0.2298</v>
      </c>
      <c r="V150" s="23">
        <f>'2022-23 Salary &amp; Benefits'!$I$6</f>
        <v>0.22339999999999999</v>
      </c>
      <c r="W150" s="22">
        <f t="shared" si="30"/>
        <v>44434.59</v>
      </c>
      <c r="X150" s="22">
        <f t="shared" si="31"/>
        <v>1887.46</v>
      </c>
      <c r="Y150" s="22">
        <f t="shared" si="32"/>
        <v>421.66</v>
      </c>
      <c r="Z150" s="22">
        <f t="shared" si="35"/>
        <v>2309.12</v>
      </c>
      <c r="AA150" s="22">
        <f t="shared" si="36"/>
        <v>159991.38999999998</v>
      </c>
    </row>
    <row r="151" spans="1:27">
      <c r="A151" s="125" t="s">
        <v>2426</v>
      </c>
      <c r="B151" s="3" t="s">
        <v>1250</v>
      </c>
      <c r="C151" s="93">
        <f>IF(A151=Summary!$B$9,Summary!$G$9,0)</f>
        <v>0</v>
      </c>
      <c r="D151" s="134">
        <f>VLOOKUP(A151,AAFTE!$A:$S,3,0)</f>
        <v>717.87</v>
      </c>
      <c r="E151" s="20">
        <f>VLOOKUP($A151,'2022-23 Salary &amp; Benefits'!$A:$I,3,)</f>
        <v>1</v>
      </c>
      <c r="F151" s="20">
        <f>VLOOKUP($A151,'2022-23 Salary &amp; Benefits'!$A:$I,4,)</f>
        <v>1</v>
      </c>
      <c r="G151" s="34">
        <f>VLOOKUP(A151,'CEDARS District FRPL'!$A:$F,6,)</f>
        <v>8.4600000000000009E-2</v>
      </c>
      <c r="H151" s="25">
        <f t="shared" si="25"/>
        <v>717.87</v>
      </c>
      <c r="I151" s="39">
        <f t="shared" si="26"/>
        <v>60.73</v>
      </c>
      <c r="J151" s="24">
        <v>15</v>
      </c>
      <c r="K151" s="26">
        <f t="shared" si="33"/>
        <v>4.0486666666666666</v>
      </c>
      <c r="L151" s="24">
        <v>2.3975</v>
      </c>
      <c r="M151" s="24">
        <v>36</v>
      </c>
      <c r="N151" s="27">
        <f t="shared" si="34"/>
        <v>349.44041999999996</v>
      </c>
      <c r="O151" s="102">
        <f t="shared" si="27"/>
        <v>0.38800000000000001</v>
      </c>
      <c r="P151" s="21">
        <f>VLOOKUP(A151,'2022-23 Salary &amp; Benefits'!$A:$I,5,)</f>
        <v>68937</v>
      </c>
      <c r="Q151" s="21">
        <f>VLOOKUP(A151,'2022-23 Salary &amp; Benefits'!$A:$I,6,FALSE)</f>
        <v>72728</v>
      </c>
      <c r="R151" s="22">
        <f t="shared" si="28"/>
        <v>26747.56</v>
      </c>
      <c r="S151" s="22">
        <f t="shared" si="29"/>
        <v>1470.9</v>
      </c>
      <c r="T151" s="22">
        <f>'2022-23 Salary &amp; Benefits'!$G$6</f>
        <v>12558.24</v>
      </c>
      <c r="U151" s="23">
        <f>'2022-23 Salary &amp; Benefits'!$H$6</f>
        <v>0.2298</v>
      </c>
      <c r="V151" s="23">
        <f>'2022-23 Salary &amp; Benefits'!$I$6</f>
        <v>0.22339999999999999</v>
      </c>
      <c r="W151" s="22">
        <f t="shared" si="30"/>
        <v>11347.79</v>
      </c>
      <c r="X151" s="22">
        <f t="shared" si="31"/>
        <v>470.31</v>
      </c>
      <c r="Y151" s="22">
        <f t="shared" si="32"/>
        <v>105.07</v>
      </c>
      <c r="Z151" s="22">
        <f t="shared" si="35"/>
        <v>575.38</v>
      </c>
      <c r="AA151" s="22">
        <f t="shared" si="36"/>
        <v>40141.630000000005</v>
      </c>
    </row>
    <row r="152" spans="1:27">
      <c r="A152" s="125" t="s">
        <v>2470</v>
      </c>
      <c r="B152" s="3" t="s">
        <v>1589</v>
      </c>
      <c r="C152" s="93">
        <f>IF(A152=Summary!$B$9,Summary!$G$9,0)</f>
        <v>0</v>
      </c>
      <c r="D152" s="134">
        <f>VLOOKUP(A152,AAFTE!$A:$S,3,0)</f>
        <v>25.84</v>
      </c>
      <c r="E152" s="20">
        <f>VLOOKUP($A152,'2022-23 Salary &amp; Benefits'!$A:$I,3,)</f>
        <v>1</v>
      </c>
      <c r="F152" s="20">
        <f>VLOOKUP($A152,'2022-23 Salary &amp; Benefits'!$A:$I,4,)</f>
        <v>1</v>
      </c>
      <c r="G152" s="34">
        <f>VLOOKUP(A152,'CEDARS District FRPL'!$A:$F,6,)</f>
        <v>0</v>
      </c>
      <c r="H152" s="25">
        <f t="shared" si="25"/>
        <v>25.84</v>
      </c>
      <c r="I152" s="39">
        <f t="shared" si="26"/>
        <v>0</v>
      </c>
      <c r="J152" s="24">
        <v>15</v>
      </c>
      <c r="K152" s="26">
        <f t="shared" si="33"/>
        <v>0</v>
      </c>
      <c r="L152" s="24">
        <v>2.3975</v>
      </c>
      <c r="M152" s="24">
        <v>36</v>
      </c>
      <c r="N152" s="27">
        <f t="shared" si="34"/>
        <v>0</v>
      </c>
      <c r="O152" s="102">
        <f t="shared" si="27"/>
        <v>0</v>
      </c>
      <c r="P152" s="21">
        <f>VLOOKUP(A152,'2022-23 Salary &amp; Benefits'!$A:$I,5,)</f>
        <v>68937</v>
      </c>
      <c r="Q152" s="21">
        <f>VLOOKUP(A152,'2022-23 Salary &amp; Benefits'!$A:$I,6,FALSE)</f>
        <v>72728</v>
      </c>
      <c r="R152" s="22">
        <f t="shared" si="28"/>
        <v>0</v>
      </c>
      <c r="S152" s="22">
        <f t="shared" si="29"/>
        <v>0</v>
      </c>
      <c r="T152" s="22">
        <f>'2022-23 Salary &amp; Benefits'!$G$6</f>
        <v>12558.24</v>
      </c>
      <c r="U152" s="23">
        <f>'2022-23 Salary &amp; Benefits'!$H$6</f>
        <v>0.2298</v>
      </c>
      <c r="V152" s="23">
        <f>'2022-23 Salary &amp; Benefits'!$I$6</f>
        <v>0.22339999999999999</v>
      </c>
      <c r="W152" s="22">
        <f t="shared" si="30"/>
        <v>0</v>
      </c>
      <c r="X152" s="22">
        <f t="shared" si="31"/>
        <v>0</v>
      </c>
      <c r="Y152" s="22">
        <f t="shared" si="32"/>
        <v>0</v>
      </c>
      <c r="Z152" s="22">
        <f t="shared" si="35"/>
        <v>0</v>
      </c>
      <c r="AA152" s="22">
        <f t="shared" si="36"/>
        <v>0</v>
      </c>
    </row>
    <row r="153" spans="1:27">
      <c r="A153" s="125" t="s">
        <v>2479</v>
      </c>
      <c r="B153" s="3" t="s">
        <v>1710</v>
      </c>
      <c r="C153" s="93">
        <f>IF(A153=Summary!$B$9,Summary!$G$9,0)</f>
        <v>0</v>
      </c>
      <c r="D153" s="134">
        <f>VLOOKUP(A153,AAFTE!$A:$S,3,0)</f>
        <v>5796.21</v>
      </c>
      <c r="E153" s="20">
        <f>VLOOKUP($A153,'2022-23 Salary &amp; Benefits'!$A:$I,3,)</f>
        <v>1.18</v>
      </c>
      <c r="F153" s="20">
        <f>VLOOKUP($A153,'2022-23 Salary &amp; Benefits'!$A:$I,4,)</f>
        <v>1.18</v>
      </c>
      <c r="G153" s="34">
        <f>VLOOKUP(A153,'CEDARS District FRPL'!$A:$F,6,)</f>
        <v>0</v>
      </c>
      <c r="H153" s="25">
        <f t="shared" si="25"/>
        <v>5796.21</v>
      </c>
      <c r="I153" s="39">
        <f t="shared" si="26"/>
        <v>0</v>
      </c>
      <c r="J153" s="24">
        <v>15</v>
      </c>
      <c r="K153" s="26">
        <f t="shared" si="33"/>
        <v>0</v>
      </c>
      <c r="L153" s="24">
        <v>2.3975</v>
      </c>
      <c r="M153" s="24">
        <v>36</v>
      </c>
      <c r="N153" s="27">
        <f t="shared" si="34"/>
        <v>0</v>
      </c>
      <c r="O153" s="102">
        <f t="shared" si="27"/>
        <v>0</v>
      </c>
      <c r="P153" s="21">
        <f>VLOOKUP(A153,'2022-23 Salary &amp; Benefits'!$A:$I,5,)</f>
        <v>68937</v>
      </c>
      <c r="Q153" s="21">
        <f>VLOOKUP(A153,'2022-23 Salary &amp; Benefits'!$A:$I,6,FALSE)</f>
        <v>72728</v>
      </c>
      <c r="R153" s="22">
        <f t="shared" si="28"/>
        <v>0</v>
      </c>
      <c r="S153" s="22">
        <f t="shared" si="29"/>
        <v>0</v>
      </c>
      <c r="T153" s="22">
        <f>'2022-23 Salary &amp; Benefits'!$G$6</f>
        <v>12558.24</v>
      </c>
      <c r="U153" s="23">
        <f>'2022-23 Salary &amp; Benefits'!$H$6</f>
        <v>0.2298</v>
      </c>
      <c r="V153" s="23">
        <f>'2022-23 Salary &amp; Benefits'!$I$6</f>
        <v>0.22339999999999999</v>
      </c>
      <c r="W153" s="22">
        <f t="shared" si="30"/>
        <v>0</v>
      </c>
      <c r="X153" s="22">
        <f t="shared" si="31"/>
        <v>0</v>
      </c>
      <c r="Y153" s="22">
        <f t="shared" si="32"/>
        <v>0</v>
      </c>
      <c r="Z153" s="22">
        <f t="shared" si="35"/>
        <v>0</v>
      </c>
      <c r="AA153" s="22">
        <f t="shared" si="36"/>
        <v>0</v>
      </c>
    </row>
    <row r="154" spans="1:27">
      <c r="A154" s="125" t="s">
        <v>2331</v>
      </c>
      <c r="B154" s="3" t="s">
        <v>487</v>
      </c>
      <c r="C154" s="93">
        <f>IF(A154=Summary!$B$9,Summary!$G$9,0)</f>
        <v>0</v>
      </c>
      <c r="D154" s="134">
        <f>VLOOKUP(A154,AAFTE!$A:$S,3,0)</f>
        <v>1350.77</v>
      </c>
      <c r="E154" s="20">
        <f>VLOOKUP($A154,'2022-23 Salary &amp; Benefits'!$A:$I,3,)</f>
        <v>1</v>
      </c>
      <c r="F154" s="20">
        <f>VLOOKUP($A154,'2022-23 Salary &amp; Benefits'!$A:$I,4,)</f>
        <v>1.04</v>
      </c>
      <c r="G154" s="34">
        <f>VLOOKUP(A154,'CEDARS District FRPL'!$A:$F,6,)</f>
        <v>1.9900000000000029E-2</v>
      </c>
      <c r="H154" s="25">
        <f t="shared" si="25"/>
        <v>1350.77</v>
      </c>
      <c r="I154" s="39">
        <f t="shared" si="26"/>
        <v>26.88</v>
      </c>
      <c r="J154" s="24">
        <v>15</v>
      </c>
      <c r="K154" s="26">
        <f t="shared" si="33"/>
        <v>1.792</v>
      </c>
      <c r="L154" s="24">
        <v>2.3975</v>
      </c>
      <c r="M154" s="24">
        <v>36</v>
      </c>
      <c r="N154" s="27">
        <f t="shared" si="34"/>
        <v>154.66752</v>
      </c>
      <c r="O154" s="102">
        <f t="shared" si="27"/>
        <v>0.17199999999999999</v>
      </c>
      <c r="P154" s="21">
        <f>VLOOKUP(A154,'2022-23 Salary &amp; Benefits'!$A:$I,5,)</f>
        <v>68937</v>
      </c>
      <c r="Q154" s="21">
        <f>VLOOKUP(A154,'2022-23 Salary &amp; Benefits'!$A:$I,6,FALSE)</f>
        <v>72728</v>
      </c>
      <c r="R154" s="22">
        <f t="shared" si="28"/>
        <v>11857.16</v>
      </c>
      <c r="S154" s="22">
        <f t="shared" si="29"/>
        <v>1152.42</v>
      </c>
      <c r="T154" s="22">
        <f>'2022-23 Salary &amp; Benefits'!$G$6</f>
        <v>12558.24</v>
      </c>
      <c r="U154" s="23">
        <f>'2022-23 Salary &amp; Benefits'!$H$6</f>
        <v>0.2298</v>
      </c>
      <c r="V154" s="23">
        <f>'2022-23 Salary &amp; Benefits'!$I$6</f>
        <v>0.22339999999999999</v>
      </c>
      <c r="W154" s="22">
        <f t="shared" si="30"/>
        <v>5142.24</v>
      </c>
      <c r="X154" s="22">
        <f t="shared" si="31"/>
        <v>216.83</v>
      </c>
      <c r="Y154" s="22">
        <f t="shared" si="32"/>
        <v>48.44</v>
      </c>
      <c r="Z154" s="22">
        <f t="shared" si="35"/>
        <v>265.27</v>
      </c>
      <c r="AA154" s="22">
        <f t="shared" si="36"/>
        <v>18417.09</v>
      </c>
    </row>
    <row r="155" spans="1:27">
      <c r="A155" s="125" t="s">
        <v>2396</v>
      </c>
      <c r="B155" s="3" t="s">
        <v>1142</v>
      </c>
      <c r="C155" s="93">
        <f>IF(A155=Summary!$B$9,Summary!$G$9,0)</f>
        <v>0</v>
      </c>
      <c r="D155" s="134">
        <f>VLOOKUP(A155,AAFTE!$A:$S,3,0)</f>
        <v>386.1</v>
      </c>
      <c r="E155" s="20">
        <f>VLOOKUP($A155,'2022-23 Salary &amp; Benefits'!$A:$I,3,)</f>
        <v>1</v>
      </c>
      <c r="F155" s="20">
        <f>VLOOKUP($A155,'2022-23 Salary &amp; Benefits'!$A:$I,4,)</f>
        <v>1</v>
      </c>
      <c r="G155" s="34">
        <f>VLOOKUP(A155,'CEDARS District FRPL'!$A:$F,6,)</f>
        <v>4.6700000000000075E-2</v>
      </c>
      <c r="H155" s="25">
        <f t="shared" si="25"/>
        <v>386.1</v>
      </c>
      <c r="I155" s="39">
        <f t="shared" si="26"/>
        <v>18.03</v>
      </c>
      <c r="J155" s="24">
        <v>15</v>
      </c>
      <c r="K155" s="26">
        <f t="shared" si="33"/>
        <v>1.2020000000000002</v>
      </c>
      <c r="L155" s="24">
        <v>2.3975</v>
      </c>
      <c r="M155" s="24">
        <v>36</v>
      </c>
      <c r="N155" s="27">
        <f t="shared" si="34"/>
        <v>103.74462000000001</v>
      </c>
      <c r="O155" s="102">
        <f t="shared" si="27"/>
        <v>0.115</v>
      </c>
      <c r="P155" s="21">
        <f>VLOOKUP(A155,'2022-23 Salary &amp; Benefits'!$A:$I,5,)</f>
        <v>68937</v>
      </c>
      <c r="Q155" s="21">
        <f>VLOOKUP(A155,'2022-23 Salary &amp; Benefits'!$A:$I,6,FALSE)</f>
        <v>72728</v>
      </c>
      <c r="R155" s="22">
        <f t="shared" si="28"/>
        <v>7927.76</v>
      </c>
      <c r="S155" s="22">
        <f t="shared" si="29"/>
        <v>435.96</v>
      </c>
      <c r="T155" s="22">
        <f>'2022-23 Salary &amp; Benefits'!$G$6</f>
        <v>12558.24</v>
      </c>
      <c r="U155" s="23">
        <f>'2022-23 Salary &amp; Benefits'!$H$6</f>
        <v>0.2298</v>
      </c>
      <c r="V155" s="23">
        <f>'2022-23 Salary &amp; Benefits'!$I$6</f>
        <v>0.22339999999999999</v>
      </c>
      <c r="W155" s="22">
        <f t="shared" si="30"/>
        <v>3363.39</v>
      </c>
      <c r="X155" s="22">
        <f t="shared" si="31"/>
        <v>139.4</v>
      </c>
      <c r="Y155" s="22">
        <f t="shared" si="32"/>
        <v>31.14</v>
      </c>
      <c r="Z155" s="22">
        <f t="shared" si="35"/>
        <v>170.54000000000002</v>
      </c>
      <c r="AA155" s="22">
        <f t="shared" si="36"/>
        <v>11897.65</v>
      </c>
    </row>
    <row r="156" spans="1:27">
      <c r="A156" s="125" t="s">
        <v>2323</v>
      </c>
      <c r="B156" s="3" t="s">
        <v>436</v>
      </c>
      <c r="C156" s="93">
        <f>IF(A156=Summary!$B$9,Summary!$G$9,0)</f>
        <v>0</v>
      </c>
      <c r="D156" s="134">
        <f>VLOOKUP(A156,AAFTE!$A:$S,3,0)</f>
        <v>8352.58</v>
      </c>
      <c r="E156" s="20">
        <f>VLOOKUP($A156,'2022-23 Salary &amp; Benefits'!$A:$I,3,)</f>
        <v>1.03</v>
      </c>
      <c r="F156" s="20">
        <f>VLOOKUP($A156,'2022-23 Salary &amp; Benefits'!$A:$I,4,)</f>
        <v>1.03</v>
      </c>
      <c r="G156" s="34">
        <f>VLOOKUP(A156,'CEDARS District FRPL'!$A:$F,6,)</f>
        <v>4.9000000000000155E-3</v>
      </c>
      <c r="H156" s="25">
        <f t="shared" si="25"/>
        <v>8352.58</v>
      </c>
      <c r="I156" s="39">
        <f t="shared" si="26"/>
        <v>40.93</v>
      </c>
      <c r="J156" s="24">
        <v>15</v>
      </c>
      <c r="K156" s="26">
        <f t="shared" si="33"/>
        <v>2.7286666666666668</v>
      </c>
      <c r="L156" s="24">
        <v>2.3975</v>
      </c>
      <c r="M156" s="24">
        <v>36</v>
      </c>
      <c r="N156" s="27">
        <f t="shared" si="34"/>
        <v>235.51122000000001</v>
      </c>
      <c r="O156" s="102">
        <f t="shared" si="27"/>
        <v>0.26200000000000001</v>
      </c>
      <c r="P156" s="21">
        <f>VLOOKUP(A156,'2022-23 Salary &amp; Benefits'!$A:$I,5,)</f>
        <v>68937</v>
      </c>
      <c r="Q156" s="21">
        <f>VLOOKUP(A156,'2022-23 Salary &amp; Benefits'!$A:$I,6,FALSE)</f>
        <v>72728</v>
      </c>
      <c r="R156" s="22">
        <f t="shared" si="28"/>
        <v>18603.34</v>
      </c>
      <c r="S156" s="22">
        <f t="shared" si="29"/>
        <v>1023.04</v>
      </c>
      <c r="T156" s="22">
        <f>'2022-23 Salary &amp; Benefits'!$G$6</f>
        <v>12558.24</v>
      </c>
      <c r="U156" s="23">
        <f>'2022-23 Salary &amp; Benefits'!$H$6</f>
        <v>0.2298</v>
      </c>
      <c r="V156" s="23">
        <f>'2022-23 Salary &amp; Benefits'!$I$6</f>
        <v>0.22339999999999999</v>
      </c>
      <c r="W156" s="22">
        <f t="shared" si="30"/>
        <v>7793.85</v>
      </c>
      <c r="X156" s="22">
        <f t="shared" si="31"/>
        <v>327.11</v>
      </c>
      <c r="Y156" s="22">
        <f t="shared" si="32"/>
        <v>73.08</v>
      </c>
      <c r="Z156" s="22">
        <f t="shared" si="35"/>
        <v>400.19</v>
      </c>
      <c r="AA156" s="22">
        <f t="shared" si="36"/>
        <v>27820.420000000002</v>
      </c>
    </row>
    <row r="157" spans="1:27">
      <c r="A157" s="125" t="s">
        <v>2395</v>
      </c>
      <c r="B157" s="3" t="s">
        <v>1138</v>
      </c>
      <c r="C157" s="93">
        <f>IF(A157=Summary!$B$9,Summary!$G$9,0)</f>
        <v>0</v>
      </c>
      <c r="D157" s="134">
        <f>VLOOKUP(A157,AAFTE!$A:$S,3,0)</f>
        <v>576.45000000000005</v>
      </c>
      <c r="E157" s="20">
        <f>VLOOKUP($A157,'2022-23 Salary &amp; Benefits'!$A:$I,3,)</f>
        <v>1</v>
      </c>
      <c r="F157" s="20">
        <f>VLOOKUP($A157,'2022-23 Salary &amp; Benefits'!$A:$I,4,)</f>
        <v>1</v>
      </c>
      <c r="G157" s="34">
        <f>VLOOKUP(A157,'CEDARS District FRPL'!$A:$F,6,)</f>
        <v>9.2600000000000016E-2</v>
      </c>
      <c r="H157" s="25">
        <f t="shared" si="25"/>
        <v>576.45000000000005</v>
      </c>
      <c r="I157" s="39">
        <f t="shared" si="26"/>
        <v>53.38</v>
      </c>
      <c r="J157" s="24">
        <v>15</v>
      </c>
      <c r="K157" s="26">
        <f t="shared" si="33"/>
        <v>3.5586666666666669</v>
      </c>
      <c r="L157" s="24">
        <v>2.3975</v>
      </c>
      <c r="M157" s="24">
        <v>36</v>
      </c>
      <c r="N157" s="27">
        <f t="shared" si="34"/>
        <v>307.14852000000002</v>
      </c>
      <c r="O157" s="102">
        <f t="shared" si="27"/>
        <v>0.34100000000000003</v>
      </c>
      <c r="P157" s="21">
        <f>VLOOKUP(A157,'2022-23 Salary &amp; Benefits'!$A:$I,5,)</f>
        <v>68937</v>
      </c>
      <c r="Q157" s="21">
        <f>VLOOKUP(A157,'2022-23 Salary &amp; Benefits'!$A:$I,6,FALSE)</f>
        <v>72728</v>
      </c>
      <c r="R157" s="22">
        <f t="shared" si="28"/>
        <v>23507.52</v>
      </c>
      <c r="S157" s="22">
        <f t="shared" si="29"/>
        <v>1292.73</v>
      </c>
      <c r="T157" s="22">
        <f>'2022-23 Salary &amp; Benefits'!$G$6</f>
        <v>12558.24</v>
      </c>
      <c r="U157" s="23">
        <f>'2022-23 Salary &amp; Benefits'!$H$6</f>
        <v>0.2298</v>
      </c>
      <c r="V157" s="23">
        <f>'2022-23 Salary &amp; Benefits'!$I$6</f>
        <v>0.22339999999999999</v>
      </c>
      <c r="W157" s="22">
        <f t="shared" si="30"/>
        <v>9973.18</v>
      </c>
      <c r="X157" s="22">
        <f t="shared" si="31"/>
        <v>413.34</v>
      </c>
      <c r="Y157" s="22">
        <f t="shared" si="32"/>
        <v>92.34</v>
      </c>
      <c r="Z157" s="22">
        <f t="shared" si="35"/>
        <v>505.67999999999995</v>
      </c>
      <c r="AA157" s="22">
        <f t="shared" si="36"/>
        <v>35279.11</v>
      </c>
    </row>
    <row r="158" spans="1:27">
      <c r="A158" s="125" t="s">
        <v>2567</v>
      </c>
      <c r="B158" s="3" t="s">
        <v>2253</v>
      </c>
      <c r="C158" s="93">
        <f>IF(A158=Summary!$B$9,Summary!$G$9,0)</f>
        <v>0</v>
      </c>
      <c r="D158" s="134">
        <f>VLOOKUP(A158,AAFTE!$A:$S,3,0)</f>
        <v>833.87</v>
      </c>
      <c r="E158" s="20">
        <f>VLOOKUP($A158,'2022-23 Salary &amp; Benefits'!$A:$I,3,)</f>
        <v>1</v>
      </c>
      <c r="F158" s="20">
        <f>VLOOKUP($A158,'2022-23 Salary &amp; Benefits'!$A:$I,4,)</f>
        <v>1</v>
      </c>
      <c r="G158" s="34">
        <f>VLOOKUP(A158,'CEDARS District FRPL'!$A:$F,6,)</f>
        <v>0</v>
      </c>
      <c r="H158" s="25">
        <f t="shared" si="25"/>
        <v>833.87</v>
      </c>
      <c r="I158" s="39">
        <f t="shared" si="26"/>
        <v>0</v>
      </c>
      <c r="J158" s="24">
        <v>15</v>
      </c>
      <c r="K158" s="26">
        <f t="shared" si="33"/>
        <v>0</v>
      </c>
      <c r="L158" s="24">
        <v>2.3975</v>
      </c>
      <c r="M158" s="24">
        <v>36</v>
      </c>
      <c r="N158" s="27">
        <f t="shared" si="34"/>
        <v>0</v>
      </c>
      <c r="O158" s="102">
        <f t="shared" si="27"/>
        <v>0</v>
      </c>
      <c r="P158" s="21">
        <f>VLOOKUP(A158,'2022-23 Salary &amp; Benefits'!$A:$I,5,)</f>
        <v>68937</v>
      </c>
      <c r="Q158" s="21">
        <f>VLOOKUP(A158,'2022-23 Salary &amp; Benefits'!$A:$I,6,FALSE)</f>
        <v>72728</v>
      </c>
      <c r="R158" s="22">
        <f t="shared" si="28"/>
        <v>0</v>
      </c>
      <c r="S158" s="22">
        <f t="shared" si="29"/>
        <v>0</v>
      </c>
      <c r="T158" s="22">
        <f>'2022-23 Salary &amp; Benefits'!$G$6</f>
        <v>12558.24</v>
      </c>
      <c r="U158" s="23">
        <f>'2022-23 Salary &amp; Benefits'!$H$6</f>
        <v>0.2298</v>
      </c>
      <c r="V158" s="23">
        <f>'2022-23 Salary &amp; Benefits'!$I$6</f>
        <v>0.22339999999999999</v>
      </c>
      <c r="W158" s="22">
        <f t="shared" si="30"/>
        <v>0</v>
      </c>
      <c r="X158" s="22">
        <f t="shared" si="31"/>
        <v>0</v>
      </c>
      <c r="Y158" s="22">
        <f t="shared" si="32"/>
        <v>0</v>
      </c>
      <c r="Z158" s="22">
        <f t="shared" si="35"/>
        <v>0</v>
      </c>
      <c r="AA158" s="22">
        <f t="shared" si="36"/>
        <v>0</v>
      </c>
    </row>
    <row r="159" spans="1:27">
      <c r="A159" s="125" t="s">
        <v>2538</v>
      </c>
      <c r="B159" s="3" t="s">
        <v>2121</v>
      </c>
      <c r="C159" s="93">
        <f>IF(A159=Summary!$B$9,Summary!$G$9,0)</f>
        <v>0</v>
      </c>
      <c r="D159" s="134">
        <f>VLOOKUP(A159,AAFTE!$A:$S,3,0)</f>
        <v>1640.48</v>
      </c>
      <c r="E159" s="20">
        <f>VLOOKUP($A159,'2022-23 Salary &amp; Benefits'!$A:$I,3,)</f>
        <v>1.1200000000000001</v>
      </c>
      <c r="F159" s="20">
        <f>VLOOKUP($A159,'2022-23 Salary &amp; Benefits'!$A:$I,4,)</f>
        <v>1.1200000000000001</v>
      </c>
      <c r="G159" s="34">
        <f>VLOOKUP(A159,'CEDARS District FRPL'!$A:$F,6,)</f>
        <v>0</v>
      </c>
      <c r="H159" s="25">
        <f t="shared" si="25"/>
        <v>1640.48</v>
      </c>
      <c r="I159" s="39">
        <f t="shared" si="26"/>
        <v>0</v>
      </c>
      <c r="J159" s="24">
        <v>15</v>
      </c>
      <c r="K159" s="26">
        <f t="shared" si="33"/>
        <v>0</v>
      </c>
      <c r="L159" s="24">
        <v>2.3975</v>
      </c>
      <c r="M159" s="24">
        <v>36</v>
      </c>
      <c r="N159" s="27">
        <f t="shared" si="34"/>
        <v>0</v>
      </c>
      <c r="O159" s="102">
        <f t="shared" si="27"/>
        <v>0</v>
      </c>
      <c r="P159" s="21">
        <f>VLOOKUP(A159,'2022-23 Salary &amp; Benefits'!$A:$I,5,)</f>
        <v>68937</v>
      </c>
      <c r="Q159" s="21">
        <f>VLOOKUP(A159,'2022-23 Salary &amp; Benefits'!$A:$I,6,FALSE)</f>
        <v>72728</v>
      </c>
      <c r="R159" s="22">
        <f t="shared" si="28"/>
        <v>0</v>
      </c>
      <c r="S159" s="22">
        <f t="shared" si="29"/>
        <v>0</v>
      </c>
      <c r="T159" s="22">
        <f>'2022-23 Salary &amp; Benefits'!$G$6</f>
        <v>12558.24</v>
      </c>
      <c r="U159" s="23">
        <f>'2022-23 Salary &amp; Benefits'!$H$6</f>
        <v>0.2298</v>
      </c>
      <c r="V159" s="23">
        <f>'2022-23 Salary &amp; Benefits'!$I$6</f>
        <v>0.22339999999999999</v>
      </c>
      <c r="W159" s="22">
        <f t="shared" si="30"/>
        <v>0</v>
      </c>
      <c r="X159" s="22">
        <f t="shared" si="31"/>
        <v>0</v>
      </c>
      <c r="Y159" s="22">
        <f t="shared" si="32"/>
        <v>0</v>
      </c>
      <c r="Z159" s="22">
        <f t="shared" si="35"/>
        <v>0</v>
      </c>
      <c r="AA159" s="22">
        <f t="shared" si="36"/>
        <v>0</v>
      </c>
    </row>
    <row r="160" spans="1:27">
      <c r="A160" s="125" t="s">
        <v>2469</v>
      </c>
      <c r="B160" s="3" t="s">
        <v>1587</v>
      </c>
      <c r="C160" s="93">
        <f>IF(A160=Summary!$B$9,Summary!$G$9,0)</f>
        <v>0</v>
      </c>
      <c r="D160" s="134">
        <f>VLOOKUP(A160,AAFTE!$A:$S,3,0)</f>
        <v>59.58</v>
      </c>
      <c r="E160" s="20">
        <f>VLOOKUP($A160,'2022-23 Salary &amp; Benefits'!$A:$I,3,)</f>
        <v>1.06</v>
      </c>
      <c r="F160" s="20">
        <f>VLOOKUP($A160,'2022-23 Salary &amp; Benefits'!$A:$I,4,)</f>
        <v>1.06</v>
      </c>
      <c r="G160" s="34">
        <f>VLOOKUP(A160,'CEDARS District FRPL'!$A:$F,6,)</f>
        <v>0</v>
      </c>
      <c r="H160" s="25">
        <f t="shared" si="25"/>
        <v>59.58</v>
      </c>
      <c r="I160" s="39">
        <f t="shared" si="26"/>
        <v>0</v>
      </c>
      <c r="J160" s="24">
        <v>15</v>
      </c>
      <c r="K160" s="26">
        <f t="shared" si="33"/>
        <v>0</v>
      </c>
      <c r="L160" s="24">
        <v>2.3975</v>
      </c>
      <c r="M160" s="24">
        <v>36</v>
      </c>
      <c r="N160" s="27">
        <f t="shared" si="34"/>
        <v>0</v>
      </c>
      <c r="O160" s="102">
        <f t="shared" si="27"/>
        <v>0</v>
      </c>
      <c r="P160" s="21">
        <f>VLOOKUP(A160,'2022-23 Salary &amp; Benefits'!$A:$I,5,)</f>
        <v>68937</v>
      </c>
      <c r="Q160" s="21">
        <f>VLOOKUP(A160,'2022-23 Salary &amp; Benefits'!$A:$I,6,FALSE)</f>
        <v>72728</v>
      </c>
      <c r="R160" s="22">
        <f t="shared" si="28"/>
        <v>0</v>
      </c>
      <c r="S160" s="22">
        <f t="shared" si="29"/>
        <v>0</v>
      </c>
      <c r="T160" s="22">
        <f>'2022-23 Salary &amp; Benefits'!$G$6</f>
        <v>12558.24</v>
      </c>
      <c r="U160" s="23">
        <f>'2022-23 Salary &amp; Benefits'!$H$6</f>
        <v>0.2298</v>
      </c>
      <c r="V160" s="23">
        <f>'2022-23 Salary &amp; Benefits'!$I$6</f>
        <v>0.22339999999999999</v>
      </c>
      <c r="W160" s="22">
        <f t="shared" si="30"/>
        <v>0</v>
      </c>
      <c r="X160" s="22">
        <f t="shared" si="31"/>
        <v>0</v>
      </c>
      <c r="Y160" s="22">
        <f t="shared" si="32"/>
        <v>0</v>
      </c>
      <c r="Z160" s="22">
        <f t="shared" si="35"/>
        <v>0</v>
      </c>
      <c r="AA160" s="22">
        <f t="shared" si="36"/>
        <v>0</v>
      </c>
    </row>
    <row r="161" spans="1:27">
      <c r="A161" s="125" t="s">
        <v>2466</v>
      </c>
      <c r="B161" s="3" t="s">
        <v>1575</v>
      </c>
      <c r="C161" s="93">
        <f>IF(A161=Summary!$B$9,Summary!$G$9,0)</f>
        <v>0</v>
      </c>
      <c r="D161" s="134">
        <f>VLOOKUP(A161,AAFTE!$A:$S,3,0)</f>
        <v>6587.32</v>
      </c>
      <c r="E161" s="20">
        <f>VLOOKUP($A161,'2022-23 Salary &amp; Benefits'!$A:$I,3,)</f>
        <v>1.1200000000000001</v>
      </c>
      <c r="F161" s="20">
        <f>VLOOKUP($A161,'2022-23 Salary &amp; Benefits'!$A:$I,4,)</f>
        <v>1.1200000000000001</v>
      </c>
      <c r="G161" s="34">
        <f>VLOOKUP(A161,'CEDARS District FRPL'!$A:$F,6,)</f>
        <v>0</v>
      </c>
      <c r="H161" s="25">
        <f t="shared" si="25"/>
        <v>6587.32</v>
      </c>
      <c r="I161" s="39">
        <f t="shared" si="26"/>
        <v>0</v>
      </c>
      <c r="J161" s="24">
        <v>15</v>
      </c>
      <c r="K161" s="26">
        <f t="shared" si="33"/>
        <v>0</v>
      </c>
      <c r="L161" s="24">
        <v>2.3975</v>
      </c>
      <c r="M161" s="24">
        <v>36</v>
      </c>
      <c r="N161" s="27">
        <f t="shared" si="34"/>
        <v>0</v>
      </c>
      <c r="O161" s="102">
        <f t="shared" si="27"/>
        <v>0</v>
      </c>
      <c r="P161" s="21">
        <f>VLOOKUP(A161,'2022-23 Salary &amp; Benefits'!$A:$I,5,)</f>
        <v>68937</v>
      </c>
      <c r="Q161" s="21">
        <f>VLOOKUP(A161,'2022-23 Salary &amp; Benefits'!$A:$I,6,FALSE)</f>
        <v>72728</v>
      </c>
      <c r="R161" s="22">
        <f t="shared" si="28"/>
        <v>0</v>
      </c>
      <c r="S161" s="22">
        <f t="shared" si="29"/>
        <v>0</v>
      </c>
      <c r="T161" s="22">
        <f>'2022-23 Salary &amp; Benefits'!$G$6</f>
        <v>12558.24</v>
      </c>
      <c r="U161" s="23">
        <f>'2022-23 Salary &amp; Benefits'!$H$6</f>
        <v>0.2298</v>
      </c>
      <c r="V161" s="23">
        <f>'2022-23 Salary &amp; Benefits'!$I$6</f>
        <v>0.22339999999999999</v>
      </c>
      <c r="W161" s="22">
        <f t="shared" si="30"/>
        <v>0</v>
      </c>
      <c r="X161" s="22">
        <f t="shared" si="31"/>
        <v>0</v>
      </c>
      <c r="Y161" s="22">
        <f t="shared" si="32"/>
        <v>0</v>
      </c>
      <c r="Z161" s="22">
        <f t="shared" si="35"/>
        <v>0</v>
      </c>
      <c r="AA161" s="22">
        <f t="shared" si="36"/>
        <v>0</v>
      </c>
    </row>
    <row r="162" spans="1:27">
      <c r="A162" s="125" t="s">
        <v>2368</v>
      </c>
      <c r="B162" s="3" t="s">
        <v>1012</v>
      </c>
      <c r="C162" s="93">
        <f>IF(A162=Summary!$B$9,Summary!$G$9,0)</f>
        <v>0</v>
      </c>
      <c r="D162" s="134">
        <f>VLOOKUP(A162,AAFTE!$A:$S,3,0)</f>
        <v>530.78</v>
      </c>
      <c r="E162" s="20">
        <f>VLOOKUP($A162,'2022-23 Salary &amp; Benefits'!$A:$I,3,)</f>
        <v>1.1800000000000002</v>
      </c>
      <c r="F162" s="20">
        <f>VLOOKUP($A162,'2022-23 Salary &amp; Benefits'!$A:$I,4,)</f>
        <v>1.1800000000000002</v>
      </c>
      <c r="G162" s="34">
        <f>VLOOKUP(A162,'CEDARS District FRPL'!$A:$F,6,)</f>
        <v>0</v>
      </c>
      <c r="H162" s="25">
        <f t="shared" si="25"/>
        <v>530.78</v>
      </c>
      <c r="I162" s="39">
        <f t="shared" si="26"/>
        <v>0</v>
      </c>
      <c r="J162" s="24">
        <v>15</v>
      </c>
      <c r="K162" s="26">
        <f t="shared" si="33"/>
        <v>0</v>
      </c>
      <c r="L162" s="24">
        <v>2.3975</v>
      </c>
      <c r="M162" s="24">
        <v>36</v>
      </c>
      <c r="N162" s="27">
        <f t="shared" si="34"/>
        <v>0</v>
      </c>
      <c r="O162" s="102">
        <f t="shared" si="27"/>
        <v>0</v>
      </c>
      <c r="P162" s="21">
        <f>VLOOKUP(A162,'2022-23 Salary &amp; Benefits'!$A:$I,5,)</f>
        <v>68937</v>
      </c>
      <c r="Q162" s="21">
        <f>VLOOKUP(A162,'2022-23 Salary &amp; Benefits'!$A:$I,6,FALSE)</f>
        <v>72728</v>
      </c>
      <c r="R162" s="22">
        <f t="shared" si="28"/>
        <v>0</v>
      </c>
      <c r="S162" s="22">
        <f t="shared" si="29"/>
        <v>0</v>
      </c>
      <c r="T162" s="22">
        <f>'2022-23 Salary &amp; Benefits'!$G$6</f>
        <v>12558.24</v>
      </c>
      <c r="U162" s="23">
        <f>'2022-23 Salary &amp; Benefits'!$H$6</f>
        <v>0.2298</v>
      </c>
      <c r="V162" s="23">
        <f>'2022-23 Salary &amp; Benefits'!$I$6</f>
        <v>0.22339999999999999</v>
      </c>
      <c r="W162" s="22">
        <f t="shared" si="30"/>
        <v>0</v>
      </c>
      <c r="X162" s="22">
        <f t="shared" si="31"/>
        <v>0</v>
      </c>
      <c r="Y162" s="22">
        <f t="shared" si="32"/>
        <v>0</v>
      </c>
      <c r="Z162" s="22">
        <f t="shared" si="35"/>
        <v>0</v>
      </c>
      <c r="AA162" s="22">
        <f t="shared" si="36"/>
        <v>0</v>
      </c>
    </row>
    <row r="163" spans="1:27">
      <c r="A163" s="125" t="s">
        <v>2474</v>
      </c>
      <c r="B163" s="3" t="s">
        <v>1627</v>
      </c>
      <c r="C163" s="93">
        <f>IF(A163=Summary!$B$9,Summary!$G$9,0)</f>
        <v>0</v>
      </c>
      <c r="D163" s="134">
        <f>VLOOKUP(A163,AAFTE!$A:$S,3,0)</f>
        <v>15033.65</v>
      </c>
      <c r="E163" s="20">
        <f>VLOOKUP($A163,'2022-23 Salary &amp; Benefits'!$A:$I,3,)</f>
        <v>1.18</v>
      </c>
      <c r="F163" s="20">
        <f>VLOOKUP($A163,'2022-23 Salary &amp; Benefits'!$A:$I,4,)</f>
        <v>1.18</v>
      </c>
      <c r="G163" s="34">
        <f>VLOOKUP(A163,'CEDARS District FRPL'!$A:$F,6,)</f>
        <v>0</v>
      </c>
      <c r="H163" s="25">
        <f t="shared" si="25"/>
        <v>15033.65</v>
      </c>
      <c r="I163" s="39">
        <f t="shared" si="26"/>
        <v>0</v>
      </c>
      <c r="J163" s="24">
        <v>15</v>
      </c>
      <c r="K163" s="26">
        <f t="shared" si="33"/>
        <v>0</v>
      </c>
      <c r="L163" s="24">
        <v>2.3975</v>
      </c>
      <c r="M163" s="24">
        <v>36</v>
      </c>
      <c r="N163" s="27">
        <f t="shared" si="34"/>
        <v>0</v>
      </c>
      <c r="O163" s="102">
        <f t="shared" si="27"/>
        <v>0</v>
      </c>
      <c r="P163" s="21">
        <f>VLOOKUP(A163,'2022-23 Salary &amp; Benefits'!$A:$I,5,)</f>
        <v>68937</v>
      </c>
      <c r="Q163" s="21">
        <f>VLOOKUP(A163,'2022-23 Salary &amp; Benefits'!$A:$I,6,FALSE)</f>
        <v>72728</v>
      </c>
      <c r="R163" s="22">
        <f t="shared" si="28"/>
        <v>0</v>
      </c>
      <c r="S163" s="22">
        <f t="shared" si="29"/>
        <v>0</v>
      </c>
      <c r="T163" s="22">
        <f>'2022-23 Salary &amp; Benefits'!$G$6</f>
        <v>12558.24</v>
      </c>
      <c r="U163" s="23">
        <f>'2022-23 Salary &amp; Benefits'!$H$6</f>
        <v>0.2298</v>
      </c>
      <c r="V163" s="23">
        <f>'2022-23 Salary &amp; Benefits'!$I$6</f>
        <v>0.22339999999999999</v>
      </c>
      <c r="W163" s="22">
        <f t="shared" si="30"/>
        <v>0</v>
      </c>
      <c r="X163" s="22">
        <f t="shared" si="31"/>
        <v>0</v>
      </c>
      <c r="Y163" s="22">
        <f t="shared" si="32"/>
        <v>0</v>
      </c>
      <c r="Z163" s="22">
        <f t="shared" si="35"/>
        <v>0</v>
      </c>
      <c r="AA163" s="22">
        <f t="shared" si="36"/>
        <v>0</v>
      </c>
    </row>
    <row r="164" spans="1:27">
      <c r="A164" s="125" t="s">
        <v>2554</v>
      </c>
      <c r="B164" s="3" t="s">
        <v>2166</v>
      </c>
      <c r="C164" s="93">
        <f>IF(A164=Summary!$B$9,Summary!$G$9,0)</f>
        <v>0</v>
      </c>
      <c r="D164" s="134">
        <f>VLOOKUP(A164,AAFTE!$A:$S,3,0)</f>
        <v>1227.42</v>
      </c>
      <c r="E164" s="20">
        <f>VLOOKUP($A164,'2022-23 Salary &amp; Benefits'!$A:$I,3,)</f>
        <v>1</v>
      </c>
      <c r="F164" s="20">
        <f>VLOOKUP($A164,'2022-23 Salary &amp; Benefits'!$A:$I,4,)</f>
        <v>1</v>
      </c>
      <c r="G164" s="34">
        <f>VLOOKUP(A164,'CEDARS District FRPL'!$A:$F,6,)</f>
        <v>0</v>
      </c>
      <c r="H164" s="25">
        <f t="shared" si="25"/>
        <v>1227.42</v>
      </c>
      <c r="I164" s="39">
        <f t="shared" si="26"/>
        <v>0</v>
      </c>
      <c r="J164" s="24">
        <v>15</v>
      </c>
      <c r="K164" s="26">
        <f t="shared" si="33"/>
        <v>0</v>
      </c>
      <c r="L164" s="24">
        <v>2.3975</v>
      </c>
      <c r="M164" s="24">
        <v>36</v>
      </c>
      <c r="N164" s="27">
        <f t="shared" si="34"/>
        <v>0</v>
      </c>
      <c r="O164" s="102">
        <f t="shared" si="27"/>
        <v>0</v>
      </c>
      <c r="P164" s="21">
        <f>VLOOKUP(A164,'2022-23 Salary &amp; Benefits'!$A:$I,5,)</f>
        <v>68937</v>
      </c>
      <c r="Q164" s="21">
        <f>VLOOKUP(A164,'2022-23 Salary &amp; Benefits'!$A:$I,6,FALSE)</f>
        <v>72728</v>
      </c>
      <c r="R164" s="22">
        <f t="shared" si="28"/>
        <v>0</v>
      </c>
      <c r="S164" s="22">
        <f t="shared" si="29"/>
        <v>0</v>
      </c>
      <c r="T164" s="22">
        <f>'2022-23 Salary &amp; Benefits'!$G$6</f>
        <v>12558.24</v>
      </c>
      <c r="U164" s="23">
        <f>'2022-23 Salary &amp; Benefits'!$H$6</f>
        <v>0.2298</v>
      </c>
      <c r="V164" s="23">
        <f>'2022-23 Salary &amp; Benefits'!$I$6</f>
        <v>0.22339999999999999</v>
      </c>
      <c r="W164" s="22">
        <f t="shared" si="30"/>
        <v>0</v>
      </c>
      <c r="X164" s="22">
        <f t="shared" si="31"/>
        <v>0</v>
      </c>
      <c r="Y164" s="22">
        <f t="shared" si="32"/>
        <v>0</v>
      </c>
      <c r="Z164" s="22">
        <f t="shared" si="35"/>
        <v>0</v>
      </c>
      <c r="AA164" s="22">
        <f t="shared" si="36"/>
        <v>0</v>
      </c>
    </row>
    <row r="165" spans="1:27">
      <c r="A165" s="125" t="s">
        <v>2393</v>
      </c>
      <c r="B165" s="3" t="s">
        <v>1133</v>
      </c>
      <c r="C165" s="93">
        <f>IF(A165=Summary!$B$9,Summary!$G$9,0)</f>
        <v>0</v>
      </c>
      <c r="D165" s="134">
        <f>VLOOKUP(A165,AAFTE!$A:$S,3,0)</f>
        <v>769.52</v>
      </c>
      <c r="E165" s="20">
        <f>VLOOKUP($A165,'2022-23 Salary &amp; Benefits'!$A:$I,3,)</f>
        <v>1</v>
      </c>
      <c r="F165" s="20">
        <f>VLOOKUP($A165,'2022-23 Salary &amp; Benefits'!$A:$I,4,)</f>
        <v>1</v>
      </c>
      <c r="G165" s="34">
        <f>VLOOKUP(A165,'CEDARS District FRPL'!$A:$F,6,)</f>
        <v>4.450000000000004E-2</v>
      </c>
      <c r="H165" s="25">
        <f t="shared" si="25"/>
        <v>769.52</v>
      </c>
      <c r="I165" s="39">
        <f t="shared" si="26"/>
        <v>34.24</v>
      </c>
      <c r="J165" s="24">
        <v>15</v>
      </c>
      <c r="K165" s="26">
        <f t="shared" si="33"/>
        <v>2.2826666666666666</v>
      </c>
      <c r="L165" s="24">
        <v>2.3975</v>
      </c>
      <c r="M165" s="24">
        <v>36</v>
      </c>
      <c r="N165" s="27">
        <f t="shared" si="34"/>
        <v>197.01695999999998</v>
      </c>
      <c r="O165" s="102">
        <f t="shared" si="27"/>
        <v>0.219</v>
      </c>
      <c r="P165" s="21">
        <f>VLOOKUP(A165,'2022-23 Salary &amp; Benefits'!$A:$I,5,)</f>
        <v>68937</v>
      </c>
      <c r="Q165" s="21">
        <f>VLOOKUP(A165,'2022-23 Salary &amp; Benefits'!$A:$I,6,FALSE)</f>
        <v>72728</v>
      </c>
      <c r="R165" s="22">
        <f t="shared" si="28"/>
        <v>15097.2</v>
      </c>
      <c r="S165" s="22">
        <f t="shared" si="29"/>
        <v>830.23</v>
      </c>
      <c r="T165" s="22">
        <f>'2022-23 Salary &amp; Benefits'!$G$6</f>
        <v>12558.24</v>
      </c>
      <c r="U165" s="23">
        <f>'2022-23 Salary &amp; Benefits'!$H$6</f>
        <v>0.2298</v>
      </c>
      <c r="V165" s="23">
        <f>'2022-23 Salary &amp; Benefits'!$I$6</f>
        <v>0.22339999999999999</v>
      </c>
      <c r="W165" s="22">
        <f t="shared" si="30"/>
        <v>6405.06</v>
      </c>
      <c r="X165" s="22">
        <f t="shared" si="31"/>
        <v>265.45999999999998</v>
      </c>
      <c r="Y165" s="22">
        <f t="shared" si="32"/>
        <v>59.3</v>
      </c>
      <c r="Z165" s="22">
        <f t="shared" si="35"/>
        <v>324.76</v>
      </c>
      <c r="AA165" s="22">
        <f t="shared" si="36"/>
        <v>22657.25</v>
      </c>
    </row>
    <row r="166" spans="1:27">
      <c r="A166" s="125" t="s">
        <v>2432</v>
      </c>
      <c r="B166" s="3" t="s">
        <v>1272</v>
      </c>
      <c r="C166" s="93">
        <f>IF(A166=Summary!$B$9,Summary!$G$9,0)</f>
        <v>0</v>
      </c>
      <c r="D166" s="134">
        <f>VLOOKUP(A166,AAFTE!$A:$S,3,0)</f>
        <v>311.31</v>
      </c>
      <c r="E166" s="20">
        <f>VLOOKUP($A166,'2022-23 Salary &amp; Benefits'!$A:$I,3,)</f>
        <v>1</v>
      </c>
      <c r="F166" s="20">
        <f>VLOOKUP($A166,'2022-23 Salary &amp; Benefits'!$A:$I,4,)</f>
        <v>1.04</v>
      </c>
      <c r="G166" s="34">
        <f>VLOOKUP(A166,'CEDARS District FRPL'!$A:$F,6,)</f>
        <v>0</v>
      </c>
      <c r="H166" s="25">
        <f t="shared" si="25"/>
        <v>311.31</v>
      </c>
      <c r="I166" s="39">
        <f t="shared" si="26"/>
        <v>0</v>
      </c>
      <c r="J166" s="24">
        <v>15</v>
      </c>
      <c r="K166" s="26">
        <f t="shared" si="33"/>
        <v>0</v>
      </c>
      <c r="L166" s="24">
        <v>2.3975</v>
      </c>
      <c r="M166" s="24">
        <v>36</v>
      </c>
      <c r="N166" s="27">
        <f t="shared" si="34"/>
        <v>0</v>
      </c>
      <c r="O166" s="102">
        <f t="shared" si="27"/>
        <v>0</v>
      </c>
      <c r="P166" s="21">
        <f>VLOOKUP(A166,'2022-23 Salary &amp; Benefits'!$A:$I,5,)</f>
        <v>68937</v>
      </c>
      <c r="Q166" s="21">
        <f>VLOOKUP(A166,'2022-23 Salary &amp; Benefits'!$A:$I,6,FALSE)</f>
        <v>72728</v>
      </c>
      <c r="R166" s="22">
        <f t="shared" si="28"/>
        <v>0</v>
      </c>
      <c r="S166" s="22">
        <f t="shared" si="29"/>
        <v>0</v>
      </c>
      <c r="T166" s="22">
        <f>'2022-23 Salary &amp; Benefits'!$G$6</f>
        <v>12558.24</v>
      </c>
      <c r="U166" s="23">
        <f>'2022-23 Salary &amp; Benefits'!$H$6</f>
        <v>0.2298</v>
      </c>
      <c r="V166" s="23">
        <f>'2022-23 Salary &amp; Benefits'!$I$6</f>
        <v>0.22339999999999999</v>
      </c>
      <c r="W166" s="22">
        <f t="shared" si="30"/>
        <v>0</v>
      </c>
      <c r="X166" s="22">
        <f t="shared" si="31"/>
        <v>0</v>
      </c>
      <c r="Y166" s="22">
        <f t="shared" si="32"/>
        <v>0</v>
      </c>
      <c r="Z166" s="22">
        <f t="shared" si="35"/>
        <v>0</v>
      </c>
      <c r="AA166" s="22">
        <f t="shared" si="36"/>
        <v>0</v>
      </c>
    </row>
    <row r="167" spans="1:27">
      <c r="A167" s="125" t="s">
        <v>2421</v>
      </c>
      <c r="B167" s="96" t="s">
        <v>2765</v>
      </c>
      <c r="C167" s="93">
        <f>IF(A167=Summary!$B$9,Summary!$G$9,0)</f>
        <v>0</v>
      </c>
      <c r="D167" s="134">
        <f>VLOOKUP(A167,AAFTE!$A:$S,3,0)</f>
        <v>128.28</v>
      </c>
      <c r="E167" s="20">
        <f>VLOOKUP($A167,'2022-23 Salary &amp; Benefits'!$A:$I,3,)</f>
        <v>1</v>
      </c>
      <c r="F167" s="20">
        <f>VLOOKUP($A167,'2022-23 Salary &amp; Benefits'!$A:$I,4,)</f>
        <v>1</v>
      </c>
      <c r="G167" s="34">
        <f>VLOOKUP(A167,'CEDARS District FRPL'!$A:$F,6,)</f>
        <v>0</v>
      </c>
      <c r="H167" s="25">
        <f t="shared" si="25"/>
        <v>128.28</v>
      </c>
      <c r="I167" s="39">
        <f t="shared" si="26"/>
        <v>0</v>
      </c>
      <c r="J167" s="24">
        <v>15</v>
      </c>
      <c r="K167" s="26">
        <f t="shared" si="33"/>
        <v>0</v>
      </c>
      <c r="L167" s="24">
        <v>2.3975</v>
      </c>
      <c r="M167" s="24">
        <v>36</v>
      </c>
      <c r="N167" s="27">
        <f t="shared" si="34"/>
        <v>0</v>
      </c>
      <c r="O167" s="102">
        <f t="shared" si="27"/>
        <v>0</v>
      </c>
      <c r="P167" s="21">
        <f>VLOOKUP(A167,'2022-23 Salary &amp; Benefits'!$A:$I,5,)</f>
        <v>68937</v>
      </c>
      <c r="Q167" s="21">
        <f>VLOOKUP(A167,'2022-23 Salary &amp; Benefits'!$A:$I,6,FALSE)</f>
        <v>72728</v>
      </c>
      <c r="R167" s="22">
        <f t="shared" si="28"/>
        <v>0</v>
      </c>
      <c r="S167" s="22">
        <f t="shared" si="29"/>
        <v>0</v>
      </c>
      <c r="T167" s="22">
        <f>'2022-23 Salary &amp; Benefits'!$G$6</f>
        <v>12558.24</v>
      </c>
      <c r="U167" s="23">
        <f>'2022-23 Salary &amp; Benefits'!$H$6</f>
        <v>0.2298</v>
      </c>
      <c r="V167" s="23">
        <f>'2022-23 Salary &amp; Benefits'!$I$6</f>
        <v>0.22339999999999999</v>
      </c>
      <c r="W167" s="22">
        <f t="shared" si="30"/>
        <v>0</v>
      </c>
      <c r="X167" s="22">
        <f t="shared" si="31"/>
        <v>0</v>
      </c>
      <c r="Y167" s="22">
        <f t="shared" si="32"/>
        <v>0</v>
      </c>
      <c r="Z167" s="22">
        <f t="shared" si="35"/>
        <v>0</v>
      </c>
      <c r="AA167" s="22">
        <f t="shared" si="36"/>
        <v>0</v>
      </c>
    </row>
    <row r="168" spans="1:27">
      <c r="A168" s="125" t="s">
        <v>2435</v>
      </c>
      <c r="B168" s="3" t="s">
        <v>1280</v>
      </c>
      <c r="C168" s="93">
        <f>IF(A168=Summary!$B$9,Summary!$G$9,0)</f>
        <v>0</v>
      </c>
      <c r="D168" s="134">
        <f>VLOOKUP(A168,AAFTE!$A:$S,3,0)</f>
        <v>1027.5999999999999</v>
      </c>
      <c r="E168" s="20">
        <f>VLOOKUP($A168,'2022-23 Salary &amp; Benefits'!$A:$I,3,)</f>
        <v>1</v>
      </c>
      <c r="F168" s="20">
        <f>VLOOKUP($A168,'2022-23 Salary &amp; Benefits'!$A:$I,4,)</f>
        <v>1</v>
      </c>
      <c r="G168" s="34">
        <f>VLOOKUP(A168,'CEDARS District FRPL'!$A:$F,6,)</f>
        <v>4.8000000000000265E-3</v>
      </c>
      <c r="H168" s="25">
        <f t="shared" si="25"/>
        <v>1027.5999999999999</v>
      </c>
      <c r="I168" s="39">
        <f t="shared" si="26"/>
        <v>4.93</v>
      </c>
      <c r="J168" s="24">
        <v>15</v>
      </c>
      <c r="K168" s="26">
        <f t="shared" si="33"/>
        <v>0.32866666666666666</v>
      </c>
      <c r="L168" s="24">
        <v>2.3975</v>
      </c>
      <c r="M168" s="24">
        <v>36</v>
      </c>
      <c r="N168" s="27">
        <f t="shared" si="34"/>
        <v>28.36722</v>
      </c>
      <c r="O168" s="102">
        <f t="shared" si="27"/>
        <v>3.2000000000000001E-2</v>
      </c>
      <c r="P168" s="21">
        <f>VLOOKUP(A168,'2022-23 Salary &amp; Benefits'!$A:$I,5,)</f>
        <v>68937</v>
      </c>
      <c r="Q168" s="21">
        <f>VLOOKUP(A168,'2022-23 Salary &amp; Benefits'!$A:$I,6,FALSE)</f>
        <v>72728</v>
      </c>
      <c r="R168" s="22">
        <f t="shared" si="28"/>
        <v>2205.98</v>
      </c>
      <c r="S168" s="22">
        <f t="shared" si="29"/>
        <v>121.32</v>
      </c>
      <c r="T168" s="22">
        <f>'2022-23 Salary &amp; Benefits'!$G$6</f>
        <v>12558.24</v>
      </c>
      <c r="U168" s="23">
        <f>'2022-23 Salary &amp; Benefits'!$H$6</f>
        <v>0.2298</v>
      </c>
      <c r="V168" s="23">
        <f>'2022-23 Salary &amp; Benefits'!$I$6</f>
        <v>0.22339999999999999</v>
      </c>
      <c r="W168" s="22">
        <f t="shared" si="30"/>
        <v>935.9</v>
      </c>
      <c r="X168" s="22">
        <f t="shared" si="31"/>
        <v>38.79</v>
      </c>
      <c r="Y168" s="22">
        <f t="shared" si="32"/>
        <v>8.67</v>
      </c>
      <c r="Z168" s="22">
        <f t="shared" si="35"/>
        <v>47.46</v>
      </c>
      <c r="AA168" s="22">
        <f t="shared" si="36"/>
        <v>3310.6600000000003</v>
      </c>
    </row>
    <row r="169" spans="1:27">
      <c r="A169" s="125" t="s">
        <v>2489</v>
      </c>
      <c r="B169" s="3" t="s">
        <v>1826</v>
      </c>
      <c r="C169" s="93">
        <f>IF(A169=Summary!$B$9,Summary!$G$9,0)</f>
        <v>0</v>
      </c>
      <c r="D169" s="134">
        <f>VLOOKUP(A169,AAFTE!$A:$S,3,0)</f>
        <v>1387.24</v>
      </c>
      <c r="E169" s="20">
        <f>VLOOKUP($A169,'2022-23 Salary &amp; Benefits'!$A:$I,3,)</f>
        <v>1</v>
      </c>
      <c r="F169" s="20">
        <f>VLOOKUP($A169,'2022-23 Salary &amp; Benefits'!$A:$I,4,)</f>
        <v>1</v>
      </c>
      <c r="G169" s="34">
        <f>VLOOKUP(A169,'CEDARS District FRPL'!$A:$F,6,)</f>
        <v>2.4199999999999999E-2</v>
      </c>
      <c r="H169" s="25">
        <f t="shared" si="25"/>
        <v>1387.24</v>
      </c>
      <c r="I169" s="39">
        <f t="shared" si="26"/>
        <v>33.57</v>
      </c>
      <c r="J169" s="24">
        <v>15</v>
      </c>
      <c r="K169" s="26">
        <f t="shared" si="33"/>
        <v>2.238</v>
      </c>
      <c r="L169" s="24">
        <v>2.3975</v>
      </c>
      <c r="M169" s="24">
        <v>36</v>
      </c>
      <c r="N169" s="27">
        <f t="shared" si="34"/>
        <v>193.16177999999999</v>
      </c>
      <c r="O169" s="102">
        <f t="shared" si="27"/>
        <v>0.215</v>
      </c>
      <c r="P169" s="21">
        <f>VLOOKUP(A169,'2022-23 Salary &amp; Benefits'!$A:$I,5,)</f>
        <v>68937</v>
      </c>
      <c r="Q169" s="21">
        <f>VLOOKUP(A169,'2022-23 Salary &amp; Benefits'!$A:$I,6,FALSE)</f>
        <v>72728</v>
      </c>
      <c r="R169" s="22">
        <f t="shared" si="28"/>
        <v>14821.46</v>
      </c>
      <c r="S169" s="22">
        <f t="shared" si="29"/>
        <v>815.06</v>
      </c>
      <c r="T169" s="22">
        <f>'2022-23 Salary &amp; Benefits'!$G$6</f>
        <v>12558.24</v>
      </c>
      <c r="U169" s="23">
        <f>'2022-23 Salary &amp; Benefits'!$H$6</f>
        <v>0.2298</v>
      </c>
      <c r="V169" s="23">
        <f>'2022-23 Salary &amp; Benefits'!$I$6</f>
        <v>0.22339999999999999</v>
      </c>
      <c r="W169" s="22">
        <f t="shared" si="30"/>
        <v>6288.08</v>
      </c>
      <c r="X169" s="22">
        <f t="shared" si="31"/>
        <v>260.61</v>
      </c>
      <c r="Y169" s="22">
        <f t="shared" si="32"/>
        <v>58.22</v>
      </c>
      <c r="Z169" s="22">
        <f t="shared" si="35"/>
        <v>318.83000000000004</v>
      </c>
      <c r="AA169" s="22">
        <f t="shared" si="36"/>
        <v>22243.430000000004</v>
      </c>
    </row>
    <row r="170" spans="1:27">
      <c r="A170" s="125" t="s">
        <v>2537</v>
      </c>
      <c r="B170" s="3" t="s">
        <v>2115</v>
      </c>
      <c r="C170" s="93">
        <f>IF(A170=Summary!$B$9,Summary!$G$9,0)</f>
        <v>0</v>
      </c>
      <c r="D170" s="134">
        <f>VLOOKUP(A170,AAFTE!$A:$S,3,0)</f>
        <v>1798.69</v>
      </c>
      <c r="E170" s="20">
        <f>VLOOKUP($A170,'2022-23 Salary &amp; Benefits'!$A:$I,3,)</f>
        <v>1.06</v>
      </c>
      <c r="F170" s="20">
        <f>VLOOKUP($A170,'2022-23 Salary &amp; Benefits'!$A:$I,4,)</f>
        <v>1.06</v>
      </c>
      <c r="G170" s="34">
        <f>VLOOKUP(A170,'CEDARS District FRPL'!$A:$F,6,)</f>
        <v>3.9100000000000024E-2</v>
      </c>
      <c r="H170" s="25">
        <f t="shared" si="25"/>
        <v>1798.69</v>
      </c>
      <c r="I170" s="39">
        <f t="shared" si="26"/>
        <v>70.33</v>
      </c>
      <c r="J170" s="24">
        <v>15</v>
      </c>
      <c r="K170" s="26">
        <f t="shared" si="33"/>
        <v>4.6886666666666663</v>
      </c>
      <c r="L170" s="24">
        <v>2.3975</v>
      </c>
      <c r="M170" s="24">
        <v>36</v>
      </c>
      <c r="N170" s="27">
        <f t="shared" si="34"/>
        <v>404.67881999999997</v>
      </c>
      <c r="O170" s="102">
        <f t="shared" si="27"/>
        <v>0.45</v>
      </c>
      <c r="P170" s="21">
        <f>VLOOKUP(A170,'2022-23 Salary &amp; Benefits'!$A:$I,5,)</f>
        <v>68937</v>
      </c>
      <c r="Q170" s="21">
        <f>VLOOKUP(A170,'2022-23 Salary &amp; Benefits'!$A:$I,6,FALSE)</f>
        <v>72728</v>
      </c>
      <c r="R170" s="22">
        <f t="shared" si="28"/>
        <v>32882.949999999997</v>
      </c>
      <c r="S170" s="22">
        <f t="shared" si="29"/>
        <v>1808.31</v>
      </c>
      <c r="T170" s="22">
        <f>'2022-23 Salary &amp; Benefits'!$G$6</f>
        <v>12558.24</v>
      </c>
      <c r="U170" s="23">
        <f>'2022-23 Salary &amp; Benefits'!$H$6</f>
        <v>0.2298</v>
      </c>
      <c r="V170" s="23">
        <f>'2022-23 Salary &amp; Benefits'!$I$6</f>
        <v>0.22339999999999999</v>
      </c>
      <c r="W170" s="22">
        <f t="shared" si="30"/>
        <v>13611.69</v>
      </c>
      <c r="X170" s="22">
        <f t="shared" si="31"/>
        <v>578.19000000000005</v>
      </c>
      <c r="Y170" s="22">
        <f t="shared" si="32"/>
        <v>129.16999999999999</v>
      </c>
      <c r="Z170" s="22">
        <f t="shared" si="35"/>
        <v>707.36</v>
      </c>
      <c r="AA170" s="22">
        <f t="shared" si="36"/>
        <v>49010.31</v>
      </c>
    </row>
    <row r="171" spans="1:27">
      <c r="A171" s="125" t="s">
        <v>2329</v>
      </c>
      <c r="B171" s="3" t="s">
        <v>480</v>
      </c>
      <c r="C171" s="93">
        <f>IF(A171=Summary!$B$9,Summary!$G$9,0)</f>
        <v>0</v>
      </c>
      <c r="D171" s="134">
        <f>VLOOKUP(A171,AAFTE!$A:$S,3,0)</f>
        <v>718.6</v>
      </c>
      <c r="E171" s="20">
        <f>VLOOKUP($A171,'2022-23 Salary &amp; Benefits'!$A:$I,3,)</f>
        <v>1</v>
      </c>
      <c r="F171" s="20">
        <f>VLOOKUP($A171,'2022-23 Salary &amp; Benefits'!$A:$I,4,)</f>
        <v>1</v>
      </c>
      <c r="G171" s="34">
        <f>VLOOKUP(A171,'CEDARS District FRPL'!$A:$F,6,)</f>
        <v>0</v>
      </c>
      <c r="H171" s="25">
        <f t="shared" si="25"/>
        <v>718.6</v>
      </c>
      <c r="I171" s="39">
        <f t="shared" si="26"/>
        <v>0</v>
      </c>
      <c r="J171" s="24">
        <v>15</v>
      </c>
      <c r="K171" s="26">
        <f t="shared" si="33"/>
        <v>0</v>
      </c>
      <c r="L171" s="24">
        <v>2.3975</v>
      </c>
      <c r="M171" s="24">
        <v>36</v>
      </c>
      <c r="N171" s="27">
        <f t="shared" si="34"/>
        <v>0</v>
      </c>
      <c r="O171" s="102">
        <f t="shared" si="27"/>
        <v>0</v>
      </c>
      <c r="P171" s="21">
        <f>VLOOKUP(A171,'2022-23 Salary &amp; Benefits'!$A:$I,5,)</f>
        <v>68937</v>
      </c>
      <c r="Q171" s="21">
        <f>VLOOKUP(A171,'2022-23 Salary &amp; Benefits'!$A:$I,6,FALSE)</f>
        <v>72728</v>
      </c>
      <c r="R171" s="22">
        <f t="shared" si="28"/>
        <v>0</v>
      </c>
      <c r="S171" s="22">
        <f t="shared" si="29"/>
        <v>0</v>
      </c>
      <c r="T171" s="22">
        <f>'2022-23 Salary &amp; Benefits'!$G$6</f>
        <v>12558.24</v>
      </c>
      <c r="U171" s="23">
        <f>'2022-23 Salary &amp; Benefits'!$H$6</f>
        <v>0.2298</v>
      </c>
      <c r="V171" s="23">
        <f>'2022-23 Salary &amp; Benefits'!$I$6</f>
        <v>0.22339999999999999</v>
      </c>
      <c r="W171" s="22">
        <f t="shared" si="30"/>
        <v>0</v>
      </c>
      <c r="X171" s="22">
        <f t="shared" si="31"/>
        <v>0</v>
      </c>
      <c r="Y171" s="22">
        <f t="shared" si="32"/>
        <v>0</v>
      </c>
      <c r="Z171" s="22">
        <f t="shared" si="35"/>
        <v>0</v>
      </c>
      <c r="AA171" s="22">
        <f t="shared" si="36"/>
        <v>0</v>
      </c>
    </row>
    <row r="172" spans="1:27">
      <c r="A172" s="125" t="s">
        <v>2313</v>
      </c>
      <c r="B172" s="3" t="s">
        <v>393</v>
      </c>
      <c r="C172" s="93">
        <f>IF(A172=Summary!$B$9,Summary!$G$9,0)</f>
        <v>0</v>
      </c>
      <c r="D172" s="134">
        <f>VLOOKUP(A172,AAFTE!$A:$S,3,0)</f>
        <v>2036.29</v>
      </c>
      <c r="E172" s="20">
        <f>VLOOKUP($A172,'2022-23 Salary &amp; Benefits'!$A:$I,3,)</f>
        <v>1</v>
      </c>
      <c r="F172" s="20">
        <f>VLOOKUP($A172,'2022-23 Salary &amp; Benefits'!$A:$I,4,)</f>
        <v>1</v>
      </c>
      <c r="G172" s="34">
        <f>VLOOKUP(A172,'CEDARS District FRPL'!$A:$F,6,)</f>
        <v>0</v>
      </c>
      <c r="H172" s="25">
        <f t="shared" si="25"/>
        <v>2036.29</v>
      </c>
      <c r="I172" s="39">
        <f t="shared" si="26"/>
        <v>0</v>
      </c>
      <c r="J172" s="24">
        <v>15</v>
      </c>
      <c r="K172" s="26">
        <f t="shared" si="33"/>
        <v>0</v>
      </c>
      <c r="L172" s="24">
        <v>2.3975</v>
      </c>
      <c r="M172" s="24">
        <v>36</v>
      </c>
      <c r="N172" s="27">
        <f t="shared" si="34"/>
        <v>0</v>
      </c>
      <c r="O172" s="102">
        <f t="shared" si="27"/>
        <v>0</v>
      </c>
      <c r="P172" s="21">
        <f>VLOOKUP(A172,'2022-23 Salary &amp; Benefits'!$A:$I,5,)</f>
        <v>68937</v>
      </c>
      <c r="Q172" s="21">
        <f>VLOOKUP(A172,'2022-23 Salary &amp; Benefits'!$A:$I,6,FALSE)</f>
        <v>72728</v>
      </c>
      <c r="R172" s="22">
        <f t="shared" si="28"/>
        <v>0</v>
      </c>
      <c r="S172" s="22">
        <f t="shared" si="29"/>
        <v>0</v>
      </c>
      <c r="T172" s="22">
        <f>'2022-23 Salary &amp; Benefits'!$G$6</f>
        <v>12558.24</v>
      </c>
      <c r="U172" s="23">
        <f>'2022-23 Salary &amp; Benefits'!$H$6</f>
        <v>0.2298</v>
      </c>
      <c r="V172" s="23">
        <f>'2022-23 Salary &amp; Benefits'!$I$6</f>
        <v>0.22339999999999999</v>
      </c>
      <c r="W172" s="22">
        <f t="shared" si="30"/>
        <v>0</v>
      </c>
      <c r="X172" s="22">
        <f t="shared" si="31"/>
        <v>0</v>
      </c>
      <c r="Y172" s="22">
        <f t="shared" si="32"/>
        <v>0</v>
      </c>
      <c r="Z172" s="22">
        <f t="shared" si="35"/>
        <v>0</v>
      </c>
      <c r="AA172" s="22">
        <f t="shared" si="36"/>
        <v>0</v>
      </c>
    </row>
    <row r="173" spans="1:27">
      <c r="A173" s="125" t="s">
        <v>2373</v>
      </c>
      <c r="B173" s="3" t="s">
        <v>1039</v>
      </c>
      <c r="C173" s="93">
        <f>IF(A173=Summary!$B$9,Summary!$G$9,0)</f>
        <v>0</v>
      </c>
      <c r="D173" s="134">
        <f>VLOOKUP(A173,AAFTE!$A:$S,3,0)</f>
        <v>5418.17</v>
      </c>
      <c r="E173" s="20">
        <f>VLOOKUP($A173,'2022-23 Salary &amp; Benefits'!$A:$I,3,)</f>
        <v>1.18</v>
      </c>
      <c r="F173" s="20">
        <f>VLOOKUP($A173,'2022-23 Salary &amp; Benefits'!$A:$I,4,)</f>
        <v>1.18</v>
      </c>
      <c r="G173" s="34">
        <f>VLOOKUP(A173,'CEDARS District FRPL'!$A:$F,6,)</f>
        <v>7.5000000000000067E-3</v>
      </c>
      <c r="H173" s="25">
        <f t="shared" si="25"/>
        <v>5418.17</v>
      </c>
      <c r="I173" s="39">
        <f t="shared" si="26"/>
        <v>40.64</v>
      </c>
      <c r="J173" s="24">
        <v>15</v>
      </c>
      <c r="K173" s="26">
        <f t="shared" si="33"/>
        <v>2.7093333333333334</v>
      </c>
      <c r="L173" s="24">
        <v>2.3975</v>
      </c>
      <c r="M173" s="24">
        <v>36</v>
      </c>
      <c r="N173" s="27">
        <f t="shared" si="34"/>
        <v>233.84255999999999</v>
      </c>
      <c r="O173" s="102">
        <f t="shared" si="27"/>
        <v>0.26</v>
      </c>
      <c r="P173" s="21">
        <f>VLOOKUP(A173,'2022-23 Salary &amp; Benefits'!$A:$I,5,)</f>
        <v>68937</v>
      </c>
      <c r="Q173" s="21">
        <f>VLOOKUP(A173,'2022-23 Salary &amp; Benefits'!$A:$I,6,FALSE)</f>
        <v>72728</v>
      </c>
      <c r="R173" s="22">
        <f t="shared" si="28"/>
        <v>21149.87</v>
      </c>
      <c r="S173" s="22">
        <f t="shared" si="29"/>
        <v>1163.08</v>
      </c>
      <c r="T173" s="22">
        <f>'2022-23 Salary &amp; Benefits'!$G$6</f>
        <v>12558.24</v>
      </c>
      <c r="U173" s="23">
        <f>'2022-23 Salary &amp; Benefits'!$H$6</f>
        <v>0.2298</v>
      </c>
      <c r="V173" s="23">
        <f>'2022-23 Salary &amp; Benefits'!$I$6</f>
        <v>0.22339999999999999</v>
      </c>
      <c r="W173" s="22">
        <f t="shared" si="30"/>
        <v>8385.2099999999991</v>
      </c>
      <c r="X173" s="22">
        <f t="shared" si="31"/>
        <v>371.88</v>
      </c>
      <c r="Y173" s="22">
        <f t="shared" si="32"/>
        <v>83.08</v>
      </c>
      <c r="Z173" s="22">
        <f t="shared" si="35"/>
        <v>454.96</v>
      </c>
      <c r="AA173" s="22">
        <f t="shared" si="36"/>
        <v>31153.119999999995</v>
      </c>
    </row>
    <row r="174" spans="1:27">
      <c r="A174" s="125" t="s">
        <v>2419</v>
      </c>
      <c r="B174" s="3" t="s">
        <v>1217</v>
      </c>
      <c r="C174" s="93">
        <f>IF(A174=Summary!$B$9,Summary!$G$9,0)</f>
        <v>0</v>
      </c>
      <c r="D174" s="134">
        <f>VLOOKUP(A174,AAFTE!$A:$S,3,0)</f>
        <v>2258.29</v>
      </c>
      <c r="E174" s="20">
        <f>VLOOKUP($A174,'2022-23 Salary &amp; Benefits'!$A:$I,3,)</f>
        <v>1.06</v>
      </c>
      <c r="F174" s="20">
        <f>VLOOKUP($A174,'2022-23 Salary &amp; Benefits'!$A:$I,4,)</f>
        <v>1.06</v>
      </c>
      <c r="G174" s="34">
        <f>VLOOKUP(A174,'CEDARS District FRPL'!$A:$F,6,)</f>
        <v>0</v>
      </c>
      <c r="H174" s="25">
        <f t="shared" si="25"/>
        <v>2258.29</v>
      </c>
      <c r="I174" s="39">
        <f t="shared" si="26"/>
        <v>0</v>
      </c>
      <c r="J174" s="24">
        <v>15</v>
      </c>
      <c r="K174" s="26">
        <f t="shared" si="33"/>
        <v>0</v>
      </c>
      <c r="L174" s="24">
        <v>2.3975</v>
      </c>
      <c r="M174" s="24">
        <v>36</v>
      </c>
      <c r="N174" s="27">
        <f t="shared" si="34"/>
        <v>0</v>
      </c>
      <c r="O174" s="102">
        <f t="shared" si="27"/>
        <v>0</v>
      </c>
      <c r="P174" s="21">
        <f>VLOOKUP(A174,'2022-23 Salary &amp; Benefits'!$A:$I,5,)</f>
        <v>68937</v>
      </c>
      <c r="Q174" s="21">
        <f>VLOOKUP(A174,'2022-23 Salary &amp; Benefits'!$A:$I,6,FALSE)</f>
        <v>72728</v>
      </c>
      <c r="R174" s="22">
        <f t="shared" si="28"/>
        <v>0</v>
      </c>
      <c r="S174" s="22">
        <f t="shared" si="29"/>
        <v>0</v>
      </c>
      <c r="T174" s="22">
        <f>'2022-23 Salary &amp; Benefits'!$G$6</f>
        <v>12558.24</v>
      </c>
      <c r="U174" s="23">
        <f>'2022-23 Salary &amp; Benefits'!$H$6</f>
        <v>0.2298</v>
      </c>
      <c r="V174" s="23">
        <f>'2022-23 Salary &amp; Benefits'!$I$6</f>
        <v>0.22339999999999999</v>
      </c>
      <c r="W174" s="22">
        <f t="shared" si="30"/>
        <v>0</v>
      </c>
      <c r="X174" s="22">
        <f t="shared" si="31"/>
        <v>0</v>
      </c>
      <c r="Y174" s="22">
        <f t="shared" si="32"/>
        <v>0</v>
      </c>
      <c r="Z174" s="22">
        <f t="shared" si="35"/>
        <v>0</v>
      </c>
      <c r="AA174" s="22">
        <f t="shared" si="36"/>
        <v>0</v>
      </c>
    </row>
    <row r="175" spans="1:27">
      <c r="A175" s="125" t="s">
        <v>2434</v>
      </c>
      <c r="B175" s="3" t="s">
        <v>1278</v>
      </c>
      <c r="C175" s="93">
        <f>IF(A175=Summary!$B$9,Summary!$G$9,0)</f>
        <v>0</v>
      </c>
      <c r="D175" s="134">
        <f>VLOOKUP(A175,AAFTE!$A:$S,3,0)</f>
        <v>85.16</v>
      </c>
      <c r="E175" s="20">
        <f>VLOOKUP($A175,'2022-23 Salary &amp; Benefits'!$A:$I,3,)</f>
        <v>1</v>
      </c>
      <c r="F175" s="20">
        <f>VLOOKUP($A175,'2022-23 Salary &amp; Benefits'!$A:$I,4,)</f>
        <v>1</v>
      </c>
      <c r="G175" s="34">
        <f>VLOOKUP(A175,'CEDARS District FRPL'!$A:$F,6,)</f>
        <v>6.9500000000000006E-2</v>
      </c>
      <c r="H175" s="25">
        <f t="shared" si="25"/>
        <v>85.16</v>
      </c>
      <c r="I175" s="39">
        <f t="shared" si="26"/>
        <v>5.92</v>
      </c>
      <c r="J175" s="24">
        <v>15</v>
      </c>
      <c r="K175" s="26">
        <f t="shared" si="33"/>
        <v>0.39466666666666667</v>
      </c>
      <c r="L175" s="24">
        <v>2.3975</v>
      </c>
      <c r="M175" s="24">
        <v>36</v>
      </c>
      <c r="N175" s="27">
        <f t="shared" si="34"/>
        <v>34.063679999999998</v>
      </c>
      <c r="O175" s="102">
        <f t="shared" si="27"/>
        <v>3.7999999999999999E-2</v>
      </c>
      <c r="P175" s="21">
        <f>VLOOKUP(A175,'2022-23 Salary &amp; Benefits'!$A:$I,5,)</f>
        <v>68937</v>
      </c>
      <c r="Q175" s="21">
        <f>VLOOKUP(A175,'2022-23 Salary &amp; Benefits'!$A:$I,6,FALSE)</f>
        <v>72728</v>
      </c>
      <c r="R175" s="22">
        <f t="shared" si="28"/>
        <v>2619.61</v>
      </c>
      <c r="S175" s="22">
        <f t="shared" si="29"/>
        <v>144.05000000000001</v>
      </c>
      <c r="T175" s="22">
        <f>'2022-23 Salary &amp; Benefits'!$G$6</f>
        <v>12558.24</v>
      </c>
      <c r="U175" s="23">
        <f>'2022-23 Salary &amp; Benefits'!$H$6</f>
        <v>0.2298</v>
      </c>
      <c r="V175" s="23">
        <f>'2022-23 Salary &amp; Benefits'!$I$6</f>
        <v>0.22339999999999999</v>
      </c>
      <c r="W175" s="22">
        <f t="shared" si="30"/>
        <v>1111.3800000000001</v>
      </c>
      <c r="X175" s="22">
        <f t="shared" si="31"/>
        <v>46.06</v>
      </c>
      <c r="Y175" s="22">
        <f t="shared" si="32"/>
        <v>10.29</v>
      </c>
      <c r="Z175" s="22">
        <f t="shared" si="35"/>
        <v>56.35</v>
      </c>
      <c r="AA175" s="22">
        <f t="shared" si="36"/>
        <v>3931.3900000000003</v>
      </c>
    </row>
    <row r="176" spans="1:27">
      <c r="A176" s="125" t="s">
        <v>2516</v>
      </c>
      <c r="B176" s="3" t="s">
        <v>1975</v>
      </c>
      <c r="C176" s="93">
        <f>IF(A176=Summary!$B$9,Summary!$G$9,0)</f>
        <v>0</v>
      </c>
      <c r="D176" s="134">
        <f>VLOOKUP(A176,AAFTE!$A:$S,3,0)</f>
        <v>14807.74</v>
      </c>
      <c r="E176" s="20">
        <f>VLOOKUP($A176,'2022-23 Salary &amp; Benefits'!$A:$I,3,)</f>
        <v>1.03</v>
      </c>
      <c r="F176" s="20">
        <f>VLOOKUP($A176,'2022-23 Salary &amp; Benefits'!$A:$I,4,)</f>
        <v>1.03</v>
      </c>
      <c r="G176" s="34">
        <f>VLOOKUP(A176,'CEDARS District FRPL'!$A:$F,6,)</f>
        <v>0</v>
      </c>
      <c r="H176" s="25">
        <f t="shared" si="25"/>
        <v>14807.74</v>
      </c>
      <c r="I176" s="39">
        <f t="shared" si="26"/>
        <v>0</v>
      </c>
      <c r="J176" s="24">
        <v>15</v>
      </c>
      <c r="K176" s="26">
        <f t="shared" si="33"/>
        <v>0</v>
      </c>
      <c r="L176" s="24">
        <v>2.3975</v>
      </c>
      <c r="M176" s="24">
        <v>36</v>
      </c>
      <c r="N176" s="27">
        <f t="shared" si="34"/>
        <v>0</v>
      </c>
      <c r="O176" s="102">
        <f t="shared" si="27"/>
        <v>0</v>
      </c>
      <c r="P176" s="21">
        <f>VLOOKUP(A176,'2022-23 Salary &amp; Benefits'!$A:$I,5,)</f>
        <v>68937</v>
      </c>
      <c r="Q176" s="21">
        <f>VLOOKUP(A176,'2022-23 Salary &amp; Benefits'!$A:$I,6,FALSE)</f>
        <v>72728</v>
      </c>
      <c r="R176" s="22">
        <f t="shared" si="28"/>
        <v>0</v>
      </c>
      <c r="S176" s="22">
        <f t="shared" si="29"/>
        <v>0</v>
      </c>
      <c r="T176" s="22">
        <f>'2022-23 Salary &amp; Benefits'!$G$6</f>
        <v>12558.24</v>
      </c>
      <c r="U176" s="23">
        <f>'2022-23 Salary &amp; Benefits'!$H$6</f>
        <v>0.2298</v>
      </c>
      <c r="V176" s="23">
        <f>'2022-23 Salary &amp; Benefits'!$I$6</f>
        <v>0.22339999999999999</v>
      </c>
      <c r="W176" s="22">
        <f t="shared" si="30"/>
        <v>0</v>
      </c>
      <c r="X176" s="22">
        <f t="shared" si="31"/>
        <v>0</v>
      </c>
      <c r="Y176" s="22">
        <f t="shared" si="32"/>
        <v>0</v>
      </c>
      <c r="Z176" s="22">
        <f t="shared" si="35"/>
        <v>0</v>
      </c>
      <c r="AA176" s="22">
        <f t="shared" si="36"/>
        <v>0</v>
      </c>
    </row>
    <row r="177" spans="1:27">
      <c r="A177" s="125" t="s">
        <v>2513</v>
      </c>
      <c r="B177" s="3" t="s">
        <v>1955</v>
      </c>
      <c r="C177" s="93">
        <f>IF(A177=Summary!$B$9,Summary!$G$9,0)</f>
        <v>0</v>
      </c>
      <c r="D177" s="134">
        <f>VLOOKUP(A177,AAFTE!$A:$S,3,0)</f>
        <v>251.71</v>
      </c>
      <c r="E177" s="20">
        <f>VLOOKUP($A177,'2022-23 Salary &amp; Benefits'!$A:$I,3,)</f>
        <v>1</v>
      </c>
      <c r="F177" s="20">
        <f>VLOOKUP($A177,'2022-23 Salary &amp; Benefits'!$A:$I,4,)</f>
        <v>1</v>
      </c>
      <c r="G177" s="34">
        <f>VLOOKUP(A177,'CEDARS District FRPL'!$A:$F,6,)</f>
        <v>3.3000000000000029E-2</v>
      </c>
      <c r="H177" s="25">
        <f t="shared" si="25"/>
        <v>251.71</v>
      </c>
      <c r="I177" s="39">
        <f t="shared" si="26"/>
        <v>8.31</v>
      </c>
      <c r="J177" s="24">
        <v>15</v>
      </c>
      <c r="K177" s="26">
        <f t="shared" si="33"/>
        <v>0.55400000000000005</v>
      </c>
      <c r="L177" s="24">
        <v>2.3975</v>
      </c>
      <c r="M177" s="24">
        <v>36</v>
      </c>
      <c r="N177" s="27">
        <f t="shared" si="34"/>
        <v>47.815740000000005</v>
      </c>
      <c r="O177" s="102">
        <f t="shared" si="27"/>
        <v>5.2999999999999999E-2</v>
      </c>
      <c r="P177" s="21">
        <f>VLOOKUP(A177,'2022-23 Salary &amp; Benefits'!$A:$I,5,)</f>
        <v>68937</v>
      </c>
      <c r="Q177" s="21">
        <f>VLOOKUP(A177,'2022-23 Salary &amp; Benefits'!$A:$I,6,FALSE)</f>
        <v>72728</v>
      </c>
      <c r="R177" s="22">
        <f t="shared" si="28"/>
        <v>3653.66</v>
      </c>
      <c r="S177" s="22">
        <f t="shared" si="29"/>
        <v>200.92</v>
      </c>
      <c r="T177" s="22">
        <f>'2022-23 Salary &amp; Benefits'!$G$6</f>
        <v>12558.24</v>
      </c>
      <c r="U177" s="23">
        <f>'2022-23 Salary &amp; Benefits'!$H$6</f>
        <v>0.2298</v>
      </c>
      <c r="V177" s="23">
        <f>'2022-23 Salary &amp; Benefits'!$I$6</f>
        <v>0.22339999999999999</v>
      </c>
      <c r="W177" s="22">
        <f t="shared" si="30"/>
        <v>1550.08</v>
      </c>
      <c r="X177" s="22">
        <f t="shared" si="31"/>
        <v>64.239999999999995</v>
      </c>
      <c r="Y177" s="22">
        <f t="shared" si="32"/>
        <v>14.35</v>
      </c>
      <c r="Z177" s="22">
        <f t="shared" si="35"/>
        <v>78.589999999999989</v>
      </c>
      <c r="AA177" s="22">
        <f t="shared" si="36"/>
        <v>5483.25</v>
      </c>
    </row>
    <row r="178" spans="1:27">
      <c r="A178" s="125" t="s">
        <v>2366</v>
      </c>
      <c r="B178" s="3" t="s">
        <v>979</v>
      </c>
      <c r="C178" s="93">
        <f>IF(A178=Summary!$B$9,Summary!$G$9,0)</f>
        <v>0</v>
      </c>
      <c r="D178" s="134">
        <f>VLOOKUP(A178,AAFTE!$A:$S,3,0)</f>
        <v>22447.67</v>
      </c>
      <c r="E178" s="20">
        <f>VLOOKUP($A178,'2022-23 Salary &amp; Benefits'!$A:$I,3,)</f>
        <v>1.18</v>
      </c>
      <c r="F178" s="20">
        <f>VLOOKUP($A178,'2022-23 Salary &amp; Benefits'!$A:$I,4,)</f>
        <v>1.18</v>
      </c>
      <c r="G178" s="34">
        <f>VLOOKUP(A178,'CEDARS District FRPL'!$A:$F,6,)</f>
        <v>0</v>
      </c>
      <c r="H178" s="25">
        <f t="shared" si="25"/>
        <v>22447.67</v>
      </c>
      <c r="I178" s="39">
        <f t="shared" si="26"/>
        <v>0</v>
      </c>
      <c r="J178" s="24">
        <v>15</v>
      </c>
      <c r="K178" s="26">
        <f t="shared" si="33"/>
        <v>0</v>
      </c>
      <c r="L178" s="24">
        <v>2.3975</v>
      </c>
      <c r="M178" s="24">
        <v>36</v>
      </c>
      <c r="N178" s="27">
        <f t="shared" si="34"/>
        <v>0</v>
      </c>
      <c r="O178" s="102">
        <f t="shared" si="27"/>
        <v>0</v>
      </c>
      <c r="P178" s="21">
        <f>VLOOKUP(A178,'2022-23 Salary &amp; Benefits'!$A:$I,5,)</f>
        <v>68937</v>
      </c>
      <c r="Q178" s="21">
        <f>VLOOKUP(A178,'2022-23 Salary &amp; Benefits'!$A:$I,6,FALSE)</f>
        <v>72728</v>
      </c>
      <c r="R178" s="22">
        <f t="shared" si="28"/>
        <v>0</v>
      </c>
      <c r="S178" s="22">
        <f t="shared" si="29"/>
        <v>0</v>
      </c>
      <c r="T178" s="22">
        <f>'2022-23 Salary &amp; Benefits'!$G$6</f>
        <v>12558.24</v>
      </c>
      <c r="U178" s="23">
        <f>'2022-23 Salary &amp; Benefits'!$H$6</f>
        <v>0.2298</v>
      </c>
      <c r="V178" s="23">
        <f>'2022-23 Salary &amp; Benefits'!$I$6</f>
        <v>0.22339999999999999</v>
      </c>
      <c r="W178" s="22">
        <f t="shared" si="30"/>
        <v>0</v>
      </c>
      <c r="X178" s="22">
        <f t="shared" si="31"/>
        <v>0</v>
      </c>
      <c r="Y178" s="22">
        <f t="shared" si="32"/>
        <v>0</v>
      </c>
      <c r="Z178" s="22">
        <f t="shared" si="35"/>
        <v>0</v>
      </c>
      <c r="AA178" s="22">
        <f t="shared" si="36"/>
        <v>0</v>
      </c>
    </row>
    <row r="179" spans="1:27">
      <c r="A179" s="125" t="s">
        <v>2340</v>
      </c>
      <c r="B179" s="3" t="s">
        <v>513</v>
      </c>
      <c r="C179" s="93">
        <f>IF(A179=Summary!$B$9,Summary!$G$9,0)</f>
        <v>0</v>
      </c>
      <c r="D179" s="134">
        <f>VLOOKUP(A179,AAFTE!$A:$S,3,0)</f>
        <v>5492.22</v>
      </c>
      <c r="E179" s="20">
        <f>VLOOKUP($A179,'2022-23 Salary &amp; Benefits'!$A:$I,3,)</f>
        <v>1.1200000000000001</v>
      </c>
      <c r="F179" s="20">
        <f>VLOOKUP($A179,'2022-23 Salary &amp; Benefits'!$A:$I,4,)</f>
        <v>1.1200000000000001</v>
      </c>
      <c r="G179" s="34">
        <f>VLOOKUP(A179,'CEDARS District FRPL'!$A:$F,6,)</f>
        <v>4.1999999999999815E-3</v>
      </c>
      <c r="H179" s="25">
        <f t="shared" si="25"/>
        <v>5492.22</v>
      </c>
      <c r="I179" s="39">
        <f t="shared" si="26"/>
        <v>23.07</v>
      </c>
      <c r="J179" s="24">
        <v>15</v>
      </c>
      <c r="K179" s="26">
        <f t="shared" si="33"/>
        <v>1.538</v>
      </c>
      <c r="L179" s="24">
        <v>2.3975</v>
      </c>
      <c r="M179" s="24">
        <v>36</v>
      </c>
      <c r="N179" s="27">
        <f t="shared" si="34"/>
        <v>132.74477999999999</v>
      </c>
      <c r="O179" s="102">
        <f t="shared" si="27"/>
        <v>0.14699999999999999</v>
      </c>
      <c r="P179" s="21">
        <f>VLOOKUP(A179,'2022-23 Salary &amp; Benefits'!$A:$I,5,)</f>
        <v>68937</v>
      </c>
      <c r="Q179" s="21">
        <f>VLOOKUP(A179,'2022-23 Salary &amp; Benefits'!$A:$I,6,FALSE)</f>
        <v>72728</v>
      </c>
      <c r="R179" s="22">
        <f t="shared" si="28"/>
        <v>11349.79</v>
      </c>
      <c r="S179" s="22">
        <f t="shared" si="29"/>
        <v>624.15</v>
      </c>
      <c r="T179" s="22">
        <f>'2022-23 Salary &amp; Benefits'!$G$6</f>
        <v>12558.24</v>
      </c>
      <c r="U179" s="23">
        <f>'2022-23 Salary &amp; Benefits'!$H$6</f>
        <v>0.2298</v>
      </c>
      <c r="V179" s="23">
        <f>'2022-23 Salary &amp; Benefits'!$I$6</f>
        <v>0.22339999999999999</v>
      </c>
      <c r="W179" s="22">
        <f t="shared" si="30"/>
        <v>4593.68</v>
      </c>
      <c r="X179" s="22">
        <f t="shared" si="31"/>
        <v>199.57</v>
      </c>
      <c r="Y179" s="22">
        <f t="shared" si="32"/>
        <v>44.58</v>
      </c>
      <c r="Z179" s="22">
        <f t="shared" si="35"/>
        <v>244.14999999999998</v>
      </c>
      <c r="AA179" s="22">
        <f t="shared" si="36"/>
        <v>16811.770000000004</v>
      </c>
    </row>
    <row r="180" spans="1:27">
      <c r="A180" s="125" t="s">
        <v>2552</v>
      </c>
      <c r="B180" s="3" t="s">
        <v>2161</v>
      </c>
      <c r="C180" s="93">
        <f>IF(A180=Summary!$B$9,Summary!$G$9,0)</f>
        <v>0</v>
      </c>
      <c r="D180" s="134">
        <f>VLOOKUP(A180,AAFTE!$A:$S,3,0)</f>
        <v>146.16999999999999</v>
      </c>
      <c r="E180" s="20">
        <f>VLOOKUP($A180,'2022-23 Salary &amp; Benefits'!$A:$I,3,)</f>
        <v>1</v>
      </c>
      <c r="F180" s="20">
        <f>VLOOKUP($A180,'2022-23 Salary &amp; Benefits'!$A:$I,4,)</f>
        <v>1.04</v>
      </c>
      <c r="G180" s="34">
        <f>VLOOKUP(A180,'CEDARS District FRPL'!$A:$F,6,)</f>
        <v>0</v>
      </c>
      <c r="H180" s="25">
        <f t="shared" si="25"/>
        <v>146.16999999999999</v>
      </c>
      <c r="I180" s="39">
        <f t="shared" si="26"/>
        <v>0</v>
      </c>
      <c r="J180" s="24">
        <v>15</v>
      </c>
      <c r="K180" s="26">
        <f t="shared" si="33"/>
        <v>0</v>
      </c>
      <c r="L180" s="24">
        <v>2.3975</v>
      </c>
      <c r="M180" s="24">
        <v>36</v>
      </c>
      <c r="N180" s="27">
        <f t="shared" si="34"/>
        <v>0</v>
      </c>
      <c r="O180" s="102">
        <f t="shared" si="27"/>
        <v>0</v>
      </c>
      <c r="P180" s="21">
        <f>VLOOKUP(A180,'2022-23 Salary &amp; Benefits'!$A:$I,5,)</f>
        <v>68937</v>
      </c>
      <c r="Q180" s="21">
        <f>VLOOKUP(A180,'2022-23 Salary &amp; Benefits'!$A:$I,6,FALSE)</f>
        <v>72728</v>
      </c>
      <c r="R180" s="22">
        <f t="shared" si="28"/>
        <v>0</v>
      </c>
      <c r="S180" s="22">
        <f t="shared" si="29"/>
        <v>0</v>
      </c>
      <c r="T180" s="22">
        <f>'2022-23 Salary &amp; Benefits'!$G$6</f>
        <v>12558.24</v>
      </c>
      <c r="U180" s="23">
        <f>'2022-23 Salary &amp; Benefits'!$H$6</f>
        <v>0.2298</v>
      </c>
      <c r="V180" s="23">
        <f>'2022-23 Salary &amp; Benefits'!$I$6</f>
        <v>0.22339999999999999</v>
      </c>
      <c r="W180" s="22">
        <f t="shared" si="30"/>
        <v>0</v>
      </c>
      <c r="X180" s="22">
        <f t="shared" si="31"/>
        <v>0</v>
      </c>
      <c r="Y180" s="22">
        <f t="shared" si="32"/>
        <v>0</v>
      </c>
      <c r="Z180" s="22">
        <f t="shared" si="35"/>
        <v>0</v>
      </c>
      <c r="AA180" s="22">
        <f t="shared" si="36"/>
        <v>0</v>
      </c>
    </row>
    <row r="181" spans="1:27">
      <c r="A181" s="125" t="s">
        <v>2339</v>
      </c>
      <c r="B181" s="3" t="s">
        <v>510</v>
      </c>
      <c r="C181" s="93">
        <f>IF(A181=Summary!$B$9,Summary!$G$9,0)</f>
        <v>0</v>
      </c>
      <c r="D181" s="134">
        <f>VLOOKUP(A181,AAFTE!$A:$S,3,0)</f>
        <v>328.29</v>
      </c>
      <c r="E181" s="20">
        <f>VLOOKUP($A181,'2022-23 Salary &amp; Benefits'!$A:$I,3,)</f>
        <v>1</v>
      </c>
      <c r="F181" s="20">
        <f>VLOOKUP($A181,'2022-23 Salary &amp; Benefits'!$A:$I,4,)</f>
        <v>1</v>
      </c>
      <c r="G181" s="34">
        <f>VLOOKUP(A181,'CEDARS District FRPL'!$A:$F,6,)</f>
        <v>0</v>
      </c>
      <c r="H181" s="25">
        <f t="shared" si="25"/>
        <v>328.29</v>
      </c>
      <c r="I181" s="39">
        <f t="shared" si="26"/>
        <v>0</v>
      </c>
      <c r="J181" s="24">
        <v>15</v>
      </c>
      <c r="K181" s="26">
        <f t="shared" si="33"/>
        <v>0</v>
      </c>
      <c r="L181" s="24">
        <v>2.3975</v>
      </c>
      <c r="M181" s="24">
        <v>36</v>
      </c>
      <c r="N181" s="27">
        <f t="shared" si="34"/>
        <v>0</v>
      </c>
      <c r="O181" s="102">
        <f t="shared" si="27"/>
        <v>0</v>
      </c>
      <c r="P181" s="21">
        <f>VLOOKUP(A181,'2022-23 Salary &amp; Benefits'!$A:$I,5,)</f>
        <v>68937</v>
      </c>
      <c r="Q181" s="21">
        <f>VLOOKUP(A181,'2022-23 Salary &amp; Benefits'!$A:$I,6,FALSE)</f>
        <v>72728</v>
      </c>
      <c r="R181" s="22">
        <f t="shared" si="28"/>
        <v>0</v>
      </c>
      <c r="S181" s="22">
        <f t="shared" si="29"/>
        <v>0</v>
      </c>
      <c r="T181" s="22">
        <f>'2022-23 Salary &amp; Benefits'!$G$6</f>
        <v>12558.24</v>
      </c>
      <c r="U181" s="23">
        <f>'2022-23 Salary &amp; Benefits'!$H$6</f>
        <v>0.2298</v>
      </c>
      <c r="V181" s="23">
        <f>'2022-23 Salary &amp; Benefits'!$I$6</f>
        <v>0.22339999999999999</v>
      </c>
      <c r="W181" s="22">
        <f t="shared" si="30"/>
        <v>0</v>
      </c>
      <c r="X181" s="22">
        <f t="shared" si="31"/>
        <v>0</v>
      </c>
      <c r="Y181" s="22">
        <f t="shared" si="32"/>
        <v>0</v>
      </c>
      <c r="Z181" s="22">
        <f t="shared" si="35"/>
        <v>0</v>
      </c>
      <c r="AA181" s="22">
        <f t="shared" si="36"/>
        <v>0</v>
      </c>
    </row>
    <row r="182" spans="1:27">
      <c r="A182" s="125" t="s">
        <v>2429</v>
      </c>
      <c r="B182" s="3" t="s">
        <v>1261</v>
      </c>
      <c r="C182" s="93">
        <f>IF(A182=Summary!$B$9,Summary!$G$9,0)</f>
        <v>0</v>
      </c>
      <c r="D182" s="134">
        <f>VLOOKUP(A182,AAFTE!$A:$S,3,0)</f>
        <v>1022.68</v>
      </c>
      <c r="E182" s="20">
        <f>VLOOKUP($A182,'2022-23 Salary &amp; Benefits'!$A:$I,3,)</f>
        <v>1</v>
      </c>
      <c r="F182" s="20">
        <f>VLOOKUP($A182,'2022-23 Salary &amp; Benefits'!$A:$I,4,)</f>
        <v>1</v>
      </c>
      <c r="G182" s="34">
        <f>VLOOKUP(A182,'CEDARS District FRPL'!$A:$F,6,)</f>
        <v>1.0699999999999932E-2</v>
      </c>
      <c r="H182" s="25">
        <f t="shared" si="25"/>
        <v>1022.68</v>
      </c>
      <c r="I182" s="39">
        <f t="shared" si="26"/>
        <v>10.94</v>
      </c>
      <c r="J182" s="24">
        <v>15</v>
      </c>
      <c r="K182" s="26">
        <f t="shared" si="33"/>
        <v>0.72933333333333328</v>
      </c>
      <c r="L182" s="24">
        <v>2.3975</v>
      </c>
      <c r="M182" s="24">
        <v>36</v>
      </c>
      <c r="N182" s="27">
        <f t="shared" si="34"/>
        <v>62.948759999999993</v>
      </c>
      <c r="O182" s="102">
        <f t="shared" si="27"/>
        <v>7.0000000000000007E-2</v>
      </c>
      <c r="P182" s="21">
        <f>VLOOKUP(A182,'2022-23 Salary &amp; Benefits'!$A:$I,5,)</f>
        <v>68937</v>
      </c>
      <c r="Q182" s="21">
        <f>VLOOKUP(A182,'2022-23 Salary &amp; Benefits'!$A:$I,6,FALSE)</f>
        <v>72728</v>
      </c>
      <c r="R182" s="22">
        <f t="shared" si="28"/>
        <v>4825.59</v>
      </c>
      <c r="S182" s="22">
        <f t="shared" si="29"/>
        <v>265.37</v>
      </c>
      <c r="T182" s="22">
        <f>'2022-23 Salary &amp; Benefits'!$G$6</f>
        <v>12558.24</v>
      </c>
      <c r="U182" s="23">
        <f>'2022-23 Salary &amp; Benefits'!$H$6</f>
        <v>0.2298</v>
      </c>
      <c r="V182" s="23">
        <f>'2022-23 Salary &amp; Benefits'!$I$6</f>
        <v>0.22339999999999999</v>
      </c>
      <c r="W182" s="22">
        <f t="shared" si="30"/>
        <v>2047.28</v>
      </c>
      <c r="X182" s="22">
        <f t="shared" si="31"/>
        <v>84.85</v>
      </c>
      <c r="Y182" s="22">
        <f t="shared" si="32"/>
        <v>18.96</v>
      </c>
      <c r="Z182" s="22">
        <f t="shared" si="35"/>
        <v>103.81</v>
      </c>
      <c r="AA182" s="22">
        <f t="shared" si="36"/>
        <v>7242.05</v>
      </c>
    </row>
    <row r="183" spans="1:27">
      <c r="A183" s="125" t="s">
        <v>2338</v>
      </c>
      <c r="B183" s="3" t="s">
        <v>507</v>
      </c>
      <c r="C183" s="93">
        <f>IF(A183=Summary!$B$9,Summary!$G$9,0)</f>
        <v>0</v>
      </c>
      <c r="D183" s="134">
        <f>VLOOKUP(A183,AAFTE!$A:$S,3,0)</f>
        <v>564.12</v>
      </c>
      <c r="E183" s="20">
        <f>VLOOKUP($A183,'2022-23 Salary &amp; Benefits'!$A:$I,3,)</f>
        <v>1</v>
      </c>
      <c r="F183" s="20">
        <f>VLOOKUP($A183,'2022-23 Salary &amp; Benefits'!$A:$I,4,)</f>
        <v>1</v>
      </c>
      <c r="G183" s="34">
        <f>VLOOKUP(A183,'CEDARS District FRPL'!$A:$F,6,)</f>
        <v>2.9100000000000015E-2</v>
      </c>
      <c r="H183" s="25">
        <f t="shared" si="25"/>
        <v>564.12</v>
      </c>
      <c r="I183" s="39">
        <f t="shared" si="26"/>
        <v>16.420000000000002</v>
      </c>
      <c r="J183" s="24">
        <v>15</v>
      </c>
      <c r="K183" s="26">
        <f t="shared" si="33"/>
        <v>1.0946666666666667</v>
      </c>
      <c r="L183" s="24">
        <v>2.3975</v>
      </c>
      <c r="M183" s="24">
        <v>36</v>
      </c>
      <c r="N183" s="27">
        <f t="shared" si="34"/>
        <v>94.480680000000007</v>
      </c>
      <c r="O183" s="102">
        <f t="shared" si="27"/>
        <v>0.105</v>
      </c>
      <c r="P183" s="21">
        <f>VLOOKUP(A183,'2022-23 Salary &amp; Benefits'!$A:$I,5,)</f>
        <v>68937</v>
      </c>
      <c r="Q183" s="21">
        <f>VLOOKUP(A183,'2022-23 Salary &amp; Benefits'!$A:$I,6,FALSE)</f>
        <v>72728</v>
      </c>
      <c r="R183" s="22">
        <f t="shared" si="28"/>
        <v>7238.39</v>
      </c>
      <c r="S183" s="22">
        <f t="shared" si="29"/>
        <v>398.05</v>
      </c>
      <c r="T183" s="22">
        <f>'2022-23 Salary &amp; Benefits'!$G$6</f>
        <v>12558.24</v>
      </c>
      <c r="U183" s="23">
        <f>'2022-23 Salary &amp; Benefits'!$H$6</f>
        <v>0.2298</v>
      </c>
      <c r="V183" s="23">
        <f>'2022-23 Salary &amp; Benefits'!$I$6</f>
        <v>0.22339999999999999</v>
      </c>
      <c r="W183" s="22">
        <f t="shared" si="30"/>
        <v>3070.92</v>
      </c>
      <c r="X183" s="22">
        <f t="shared" si="31"/>
        <v>127.27</v>
      </c>
      <c r="Y183" s="22">
        <f t="shared" si="32"/>
        <v>28.43</v>
      </c>
      <c r="Z183" s="22">
        <f t="shared" si="35"/>
        <v>155.69999999999999</v>
      </c>
      <c r="AA183" s="22">
        <f t="shared" si="36"/>
        <v>10863.060000000001</v>
      </c>
    </row>
    <row r="184" spans="1:27">
      <c r="A184" s="125" t="s">
        <v>2410</v>
      </c>
      <c r="B184" s="3" t="s">
        <v>1192</v>
      </c>
      <c r="C184" s="93">
        <f>IF(A184=Summary!$B$9,Summary!$G$9,0)</f>
        <v>0</v>
      </c>
      <c r="D184" s="134">
        <f>VLOOKUP(A184,AAFTE!$A:$S,3,0)</f>
        <v>217.6</v>
      </c>
      <c r="E184" s="20">
        <f>VLOOKUP($A184,'2022-23 Salary &amp; Benefits'!$A:$I,3,)</f>
        <v>1.03</v>
      </c>
      <c r="F184" s="20">
        <f>VLOOKUP($A184,'2022-23 Salary &amp; Benefits'!$A:$I,4,)</f>
        <v>1.07</v>
      </c>
      <c r="G184" s="34">
        <f>VLOOKUP(A184,'CEDARS District FRPL'!$A:$F,6,)</f>
        <v>0.12000000000000005</v>
      </c>
      <c r="H184" s="25">
        <f t="shared" si="25"/>
        <v>217.6</v>
      </c>
      <c r="I184" s="39">
        <f t="shared" si="26"/>
        <v>26.11</v>
      </c>
      <c r="J184" s="24">
        <v>15</v>
      </c>
      <c r="K184" s="26">
        <f t="shared" si="33"/>
        <v>1.7406666666666666</v>
      </c>
      <c r="L184" s="24">
        <v>2.3975</v>
      </c>
      <c r="M184" s="24">
        <v>36</v>
      </c>
      <c r="N184" s="27">
        <f t="shared" si="34"/>
        <v>150.23694</v>
      </c>
      <c r="O184" s="102">
        <f t="shared" si="27"/>
        <v>0.16700000000000001</v>
      </c>
      <c r="P184" s="21">
        <f>VLOOKUP(A184,'2022-23 Salary &amp; Benefits'!$A:$I,5,)</f>
        <v>68937</v>
      </c>
      <c r="Q184" s="21">
        <f>VLOOKUP(A184,'2022-23 Salary &amp; Benefits'!$A:$I,6,FALSE)</f>
        <v>72728</v>
      </c>
      <c r="R184" s="22">
        <f t="shared" si="28"/>
        <v>11857.85</v>
      </c>
      <c r="S184" s="22">
        <f t="shared" si="29"/>
        <v>1137.92</v>
      </c>
      <c r="T184" s="22">
        <f>'2022-23 Salary &amp; Benefits'!$G$6</f>
        <v>12558.24</v>
      </c>
      <c r="U184" s="23">
        <f>'2022-23 Salary &amp; Benefits'!$H$6</f>
        <v>0.2298</v>
      </c>
      <c r="V184" s="23">
        <f>'2022-23 Salary &amp; Benefits'!$I$6</f>
        <v>0.22339999999999999</v>
      </c>
      <c r="W184" s="22">
        <f t="shared" si="30"/>
        <v>5076.37</v>
      </c>
      <c r="X184" s="22">
        <f t="shared" si="31"/>
        <v>216.6</v>
      </c>
      <c r="Y184" s="22">
        <f t="shared" si="32"/>
        <v>48.39</v>
      </c>
      <c r="Z184" s="22">
        <f t="shared" si="35"/>
        <v>264.99</v>
      </c>
      <c r="AA184" s="22">
        <f t="shared" si="36"/>
        <v>18337.13</v>
      </c>
    </row>
    <row r="185" spans="1:27">
      <c r="A185" s="125" t="s">
        <v>2423</v>
      </c>
      <c r="B185" s="3" t="s">
        <v>1236</v>
      </c>
      <c r="C185" s="93">
        <f>IF(A185=Summary!$B$9,Summary!$G$9,0)</f>
        <v>0</v>
      </c>
      <c r="D185" s="134">
        <f>VLOOKUP(A185,AAFTE!$A:$S,3,0)</f>
        <v>1039.9100000000001</v>
      </c>
      <c r="E185" s="20">
        <f>VLOOKUP($A185,'2022-23 Salary &amp; Benefits'!$A:$I,3,)</f>
        <v>1</v>
      </c>
      <c r="F185" s="20">
        <f>VLOOKUP($A185,'2022-23 Salary &amp; Benefits'!$A:$I,4,)</f>
        <v>1.04</v>
      </c>
      <c r="G185" s="34">
        <f>VLOOKUP(A185,'CEDARS District FRPL'!$A:$F,6,)</f>
        <v>0</v>
      </c>
      <c r="H185" s="25">
        <f t="shared" si="25"/>
        <v>1039.9100000000001</v>
      </c>
      <c r="I185" s="39">
        <f t="shared" si="26"/>
        <v>0</v>
      </c>
      <c r="J185" s="24">
        <v>15</v>
      </c>
      <c r="K185" s="26">
        <f t="shared" si="33"/>
        <v>0</v>
      </c>
      <c r="L185" s="24">
        <v>2.3975</v>
      </c>
      <c r="M185" s="24">
        <v>36</v>
      </c>
      <c r="N185" s="27">
        <f t="shared" si="34"/>
        <v>0</v>
      </c>
      <c r="O185" s="102">
        <f t="shared" si="27"/>
        <v>0</v>
      </c>
      <c r="P185" s="21">
        <f>VLOOKUP(A185,'2022-23 Salary &amp; Benefits'!$A:$I,5,)</f>
        <v>68937</v>
      </c>
      <c r="Q185" s="21">
        <f>VLOOKUP(A185,'2022-23 Salary &amp; Benefits'!$A:$I,6,FALSE)</f>
        <v>72728</v>
      </c>
      <c r="R185" s="22">
        <f t="shared" si="28"/>
        <v>0</v>
      </c>
      <c r="S185" s="22">
        <f t="shared" si="29"/>
        <v>0</v>
      </c>
      <c r="T185" s="22">
        <f>'2022-23 Salary &amp; Benefits'!$G$6</f>
        <v>12558.24</v>
      </c>
      <c r="U185" s="23">
        <f>'2022-23 Salary &amp; Benefits'!$H$6</f>
        <v>0.2298</v>
      </c>
      <c r="V185" s="23">
        <f>'2022-23 Salary &amp; Benefits'!$I$6</f>
        <v>0.22339999999999999</v>
      </c>
      <c r="W185" s="22">
        <f t="shared" si="30"/>
        <v>0</v>
      </c>
      <c r="X185" s="22">
        <f t="shared" si="31"/>
        <v>0</v>
      </c>
      <c r="Y185" s="22">
        <f t="shared" si="32"/>
        <v>0</v>
      </c>
      <c r="Z185" s="22">
        <f t="shared" si="35"/>
        <v>0</v>
      </c>
      <c r="AA185" s="22">
        <f t="shared" si="36"/>
        <v>0</v>
      </c>
    </row>
    <row r="186" spans="1:27">
      <c r="A186" s="125" t="s">
        <v>2518</v>
      </c>
      <c r="B186" s="3" t="s">
        <v>2007</v>
      </c>
      <c r="C186" s="93">
        <f>IF(A186=Summary!$B$9,Summary!$G$9,0)</f>
        <v>0</v>
      </c>
      <c r="D186" s="134">
        <f>VLOOKUP(A186,AAFTE!$A:$S,3,0)</f>
        <v>9610.15</v>
      </c>
      <c r="E186" s="20">
        <f>VLOOKUP($A186,'2022-23 Salary &amp; Benefits'!$A:$I,3,)</f>
        <v>1</v>
      </c>
      <c r="F186" s="20">
        <f>VLOOKUP($A186,'2022-23 Salary &amp; Benefits'!$A:$I,4,)</f>
        <v>1.04</v>
      </c>
      <c r="G186" s="34">
        <f>VLOOKUP(A186,'CEDARS District FRPL'!$A:$F,6,)</f>
        <v>7.5000000000000067E-3</v>
      </c>
      <c r="H186" s="25">
        <f t="shared" si="25"/>
        <v>9610.15</v>
      </c>
      <c r="I186" s="39">
        <f t="shared" si="26"/>
        <v>72.08</v>
      </c>
      <c r="J186" s="24">
        <v>15</v>
      </c>
      <c r="K186" s="26">
        <f t="shared" si="33"/>
        <v>4.8053333333333335</v>
      </c>
      <c r="L186" s="24">
        <v>2.3975</v>
      </c>
      <c r="M186" s="24">
        <v>36</v>
      </c>
      <c r="N186" s="27">
        <f t="shared" si="34"/>
        <v>414.74831999999998</v>
      </c>
      <c r="O186" s="102">
        <f t="shared" si="27"/>
        <v>0.46100000000000002</v>
      </c>
      <c r="P186" s="21">
        <f>VLOOKUP(A186,'2022-23 Salary &amp; Benefits'!$A:$I,5,)</f>
        <v>68937</v>
      </c>
      <c r="Q186" s="21">
        <f>VLOOKUP(A186,'2022-23 Salary &amp; Benefits'!$A:$I,6,FALSE)</f>
        <v>72728</v>
      </c>
      <c r="R186" s="22">
        <f t="shared" si="28"/>
        <v>31779.96</v>
      </c>
      <c r="S186" s="22">
        <f t="shared" si="29"/>
        <v>3088.75</v>
      </c>
      <c r="T186" s="22">
        <f>'2022-23 Salary &amp; Benefits'!$G$6</f>
        <v>12558.24</v>
      </c>
      <c r="U186" s="23">
        <f>'2022-23 Salary &amp; Benefits'!$H$6</f>
        <v>0.2298</v>
      </c>
      <c r="V186" s="23">
        <f>'2022-23 Salary &amp; Benefits'!$I$6</f>
        <v>0.22339999999999999</v>
      </c>
      <c r="W186" s="22">
        <f t="shared" si="30"/>
        <v>13782.41</v>
      </c>
      <c r="X186" s="22">
        <f t="shared" si="31"/>
        <v>581.15</v>
      </c>
      <c r="Y186" s="22">
        <f t="shared" si="32"/>
        <v>129.83000000000001</v>
      </c>
      <c r="Z186" s="22">
        <f t="shared" si="35"/>
        <v>710.98</v>
      </c>
      <c r="AA186" s="22">
        <f t="shared" si="36"/>
        <v>49362.1</v>
      </c>
    </row>
    <row r="187" spans="1:27">
      <c r="A187" s="125" t="s">
        <v>2422</v>
      </c>
      <c r="B187" s="3" t="s">
        <v>1226</v>
      </c>
      <c r="C187" s="93">
        <f>IF(A187=Summary!$B$9,Summary!$G$9,0)</f>
        <v>0</v>
      </c>
      <c r="D187" s="134">
        <f>VLOOKUP(A187,AAFTE!$A:$S,3,0)</f>
        <v>6635.97</v>
      </c>
      <c r="E187" s="20">
        <f>VLOOKUP($A187,'2022-23 Salary &amp; Benefits'!$A:$I,3,)</f>
        <v>1</v>
      </c>
      <c r="F187" s="20">
        <f>VLOOKUP($A187,'2022-23 Salary &amp; Benefits'!$A:$I,4,)</f>
        <v>1</v>
      </c>
      <c r="G187" s="34">
        <f>VLOOKUP(A187,'CEDARS District FRPL'!$A:$F,6,)</f>
        <v>0</v>
      </c>
      <c r="H187" s="25">
        <f t="shared" si="25"/>
        <v>6635.97</v>
      </c>
      <c r="I187" s="39">
        <f t="shared" si="26"/>
        <v>0</v>
      </c>
      <c r="J187" s="24">
        <v>15</v>
      </c>
      <c r="K187" s="26">
        <f t="shared" si="33"/>
        <v>0</v>
      </c>
      <c r="L187" s="24">
        <v>2.3975</v>
      </c>
      <c r="M187" s="24">
        <v>36</v>
      </c>
      <c r="N187" s="27">
        <f t="shared" si="34"/>
        <v>0</v>
      </c>
      <c r="O187" s="102">
        <f t="shared" si="27"/>
        <v>0</v>
      </c>
      <c r="P187" s="21">
        <f>VLOOKUP(A187,'2022-23 Salary &amp; Benefits'!$A:$I,5,)</f>
        <v>68937</v>
      </c>
      <c r="Q187" s="21">
        <f>VLOOKUP(A187,'2022-23 Salary &amp; Benefits'!$A:$I,6,FALSE)</f>
        <v>72728</v>
      </c>
      <c r="R187" s="22">
        <f t="shared" si="28"/>
        <v>0</v>
      </c>
      <c r="S187" s="22">
        <f t="shared" si="29"/>
        <v>0</v>
      </c>
      <c r="T187" s="22">
        <f>'2022-23 Salary &amp; Benefits'!$G$6</f>
        <v>12558.24</v>
      </c>
      <c r="U187" s="23">
        <f>'2022-23 Salary &amp; Benefits'!$H$6</f>
        <v>0.2298</v>
      </c>
      <c r="V187" s="23">
        <f>'2022-23 Salary &amp; Benefits'!$I$6</f>
        <v>0.22339999999999999</v>
      </c>
      <c r="W187" s="22">
        <f t="shared" si="30"/>
        <v>0</v>
      </c>
      <c r="X187" s="22">
        <f t="shared" si="31"/>
        <v>0</v>
      </c>
      <c r="Y187" s="22">
        <f t="shared" si="32"/>
        <v>0</v>
      </c>
      <c r="Z187" s="22">
        <f t="shared" si="35"/>
        <v>0</v>
      </c>
      <c r="AA187" s="22">
        <f t="shared" si="36"/>
        <v>0</v>
      </c>
    </row>
    <row r="188" spans="1:27">
      <c r="A188" s="125" t="s">
        <v>2401</v>
      </c>
      <c r="B188" s="3" t="s">
        <v>1160</v>
      </c>
      <c r="C188" s="93">
        <f>IF(A188=Summary!$B$9,Summary!$G$9,0)</f>
        <v>0</v>
      </c>
      <c r="D188" s="134">
        <f>VLOOKUP(A188,AAFTE!$A:$S,3,0)</f>
        <v>790.86</v>
      </c>
      <c r="E188" s="20">
        <f>VLOOKUP($A188,'2022-23 Salary &amp; Benefits'!$A:$I,3,)</f>
        <v>1</v>
      </c>
      <c r="F188" s="20">
        <f>VLOOKUP($A188,'2022-23 Salary &amp; Benefits'!$A:$I,4,)</f>
        <v>1</v>
      </c>
      <c r="G188" s="34">
        <f>VLOOKUP(A188,'CEDARS District FRPL'!$A:$F,6,)</f>
        <v>1.650000000000007E-2</v>
      </c>
      <c r="H188" s="25">
        <f t="shared" si="25"/>
        <v>790.86</v>
      </c>
      <c r="I188" s="39">
        <f t="shared" si="26"/>
        <v>13.05</v>
      </c>
      <c r="J188" s="24">
        <v>15</v>
      </c>
      <c r="K188" s="26">
        <f t="shared" si="33"/>
        <v>0.87</v>
      </c>
      <c r="L188" s="24">
        <v>2.3975</v>
      </c>
      <c r="M188" s="24">
        <v>36</v>
      </c>
      <c r="N188" s="27">
        <f t="shared" si="34"/>
        <v>75.089699999999993</v>
      </c>
      <c r="O188" s="102">
        <f t="shared" si="27"/>
        <v>8.3000000000000004E-2</v>
      </c>
      <c r="P188" s="21">
        <f>VLOOKUP(A188,'2022-23 Salary &amp; Benefits'!$A:$I,5,)</f>
        <v>68937</v>
      </c>
      <c r="Q188" s="21">
        <f>VLOOKUP(A188,'2022-23 Salary &amp; Benefits'!$A:$I,6,FALSE)</f>
        <v>72728</v>
      </c>
      <c r="R188" s="22">
        <f t="shared" si="28"/>
        <v>5721.77</v>
      </c>
      <c r="S188" s="22">
        <f t="shared" si="29"/>
        <v>314.64999999999998</v>
      </c>
      <c r="T188" s="22">
        <f>'2022-23 Salary &amp; Benefits'!$G$6</f>
        <v>12558.24</v>
      </c>
      <c r="U188" s="23">
        <f>'2022-23 Salary &amp; Benefits'!$H$6</f>
        <v>0.2298</v>
      </c>
      <c r="V188" s="23">
        <f>'2022-23 Salary &amp; Benefits'!$I$6</f>
        <v>0.22339999999999999</v>
      </c>
      <c r="W188" s="22">
        <f t="shared" si="30"/>
        <v>2427.4899999999998</v>
      </c>
      <c r="X188" s="22">
        <f t="shared" si="31"/>
        <v>100.61</v>
      </c>
      <c r="Y188" s="22">
        <f t="shared" si="32"/>
        <v>22.48</v>
      </c>
      <c r="Z188" s="22">
        <f t="shared" si="35"/>
        <v>123.09</v>
      </c>
      <c r="AA188" s="22">
        <f t="shared" si="36"/>
        <v>8587</v>
      </c>
    </row>
    <row r="189" spans="1:27">
      <c r="A189" s="125" t="s">
        <v>2503</v>
      </c>
      <c r="B189" s="3" t="s">
        <v>1923</v>
      </c>
      <c r="C189" s="93">
        <f>IF(A189=Summary!$B$9,Summary!$G$9,0)</f>
        <v>0</v>
      </c>
      <c r="D189" s="134">
        <f>VLOOKUP(A189,AAFTE!$A:$S,3,0)</f>
        <v>48.43</v>
      </c>
      <c r="E189" s="20">
        <f>VLOOKUP($A189,'2022-23 Salary &amp; Benefits'!$A:$I,3,)</f>
        <v>1</v>
      </c>
      <c r="F189" s="20">
        <f>VLOOKUP($A189,'2022-23 Salary &amp; Benefits'!$A:$I,4,)</f>
        <v>1.04</v>
      </c>
      <c r="G189" s="34">
        <f>VLOOKUP(A189,'CEDARS District FRPL'!$A:$F,6,)</f>
        <v>0</v>
      </c>
      <c r="H189" s="25">
        <f t="shared" si="25"/>
        <v>48.43</v>
      </c>
      <c r="I189" s="39">
        <f t="shared" si="26"/>
        <v>0</v>
      </c>
      <c r="J189" s="24">
        <v>15</v>
      </c>
      <c r="K189" s="26">
        <f t="shared" si="33"/>
        <v>0</v>
      </c>
      <c r="L189" s="24">
        <v>2.3975</v>
      </c>
      <c r="M189" s="24">
        <v>36</v>
      </c>
      <c r="N189" s="27">
        <f t="shared" si="34"/>
        <v>0</v>
      </c>
      <c r="O189" s="102">
        <f t="shared" si="27"/>
        <v>0</v>
      </c>
      <c r="P189" s="21">
        <f>VLOOKUP(A189,'2022-23 Salary &amp; Benefits'!$A:$I,5,)</f>
        <v>68937</v>
      </c>
      <c r="Q189" s="21">
        <f>VLOOKUP(A189,'2022-23 Salary &amp; Benefits'!$A:$I,6,FALSE)</f>
        <v>72728</v>
      </c>
      <c r="R189" s="22">
        <f t="shared" si="28"/>
        <v>0</v>
      </c>
      <c r="S189" s="22">
        <f t="shared" si="29"/>
        <v>0</v>
      </c>
      <c r="T189" s="22">
        <f>'2022-23 Salary &amp; Benefits'!$G$6</f>
        <v>12558.24</v>
      </c>
      <c r="U189" s="23">
        <f>'2022-23 Salary &amp; Benefits'!$H$6</f>
        <v>0.2298</v>
      </c>
      <c r="V189" s="23">
        <f>'2022-23 Salary &amp; Benefits'!$I$6</f>
        <v>0.22339999999999999</v>
      </c>
      <c r="W189" s="22">
        <f t="shared" si="30"/>
        <v>0</v>
      </c>
      <c r="X189" s="22">
        <f t="shared" si="31"/>
        <v>0</v>
      </c>
      <c r="Y189" s="22">
        <f t="shared" si="32"/>
        <v>0</v>
      </c>
      <c r="Z189" s="22">
        <f t="shared" si="35"/>
        <v>0</v>
      </c>
      <c r="AA189" s="22">
        <f t="shared" si="36"/>
        <v>0</v>
      </c>
    </row>
    <row r="190" spans="1:27">
      <c r="A190" s="125" t="s">
        <v>2457</v>
      </c>
      <c r="B190" s="3" t="s">
        <v>1527</v>
      </c>
      <c r="C190" s="93">
        <f>IF(A190=Summary!$B$9,Summary!$G$9,0)</f>
        <v>0</v>
      </c>
      <c r="D190" s="134">
        <f>VLOOKUP(A190,AAFTE!$A:$S,3,0)</f>
        <v>724.55</v>
      </c>
      <c r="E190" s="20">
        <f>VLOOKUP($A190,'2022-23 Salary &amp; Benefits'!$A:$I,3,)</f>
        <v>1.1200000000000001</v>
      </c>
      <c r="F190" s="20">
        <f>VLOOKUP($A190,'2022-23 Salary &amp; Benefits'!$A:$I,4,)</f>
        <v>1.1200000000000001</v>
      </c>
      <c r="G190" s="34">
        <f>VLOOKUP(A190,'CEDARS District FRPL'!$A:$F,6,)</f>
        <v>2.1500000000000019E-2</v>
      </c>
      <c r="H190" s="25">
        <f t="shared" si="25"/>
        <v>724.55</v>
      </c>
      <c r="I190" s="39">
        <f t="shared" si="26"/>
        <v>15.58</v>
      </c>
      <c r="J190" s="24">
        <v>15</v>
      </c>
      <c r="K190" s="26">
        <f t="shared" si="33"/>
        <v>1.0386666666666666</v>
      </c>
      <c r="L190" s="24">
        <v>2.3975</v>
      </c>
      <c r="M190" s="24">
        <v>36</v>
      </c>
      <c r="N190" s="27">
        <f t="shared" si="34"/>
        <v>89.647319999999993</v>
      </c>
      <c r="O190" s="102">
        <f t="shared" si="27"/>
        <v>0.1</v>
      </c>
      <c r="P190" s="21">
        <f>VLOOKUP(A190,'2022-23 Salary &amp; Benefits'!$A:$I,5,)</f>
        <v>68937</v>
      </c>
      <c r="Q190" s="21">
        <f>VLOOKUP(A190,'2022-23 Salary &amp; Benefits'!$A:$I,6,FALSE)</f>
        <v>72728</v>
      </c>
      <c r="R190" s="22">
        <f t="shared" si="28"/>
        <v>7720.94</v>
      </c>
      <c r="S190" s="22">
        <f t="shared" si="29"/>
        <v>424.6</v>
      </c>
      <c r="T190" s="22">
        <f>'2022-23 Salary &amp; Benefits'!$G$6</f>
        <v>12558.24</v>
      </c>
      <c r="U190" s="23">
        <f>'2022-23 Salary &amp; Benefits'!$H$6</f>
        <v>0.2298</v>
      </c>
      <c r="V190" s="23">
        <f>'2022-23 Salary &amp; Benefits'!$I$6</f>
        <v>0.22339999999999999</v>
      </c>
      <c r="W190" s="22">
        <f t="shared" si="30"/>
        <v>3124.95</v>
      </c>
      <c r="X190" s="22">
        <f t="shared" si="31"/>
        <v>135.76</v>
      </c>
      <c r="Y190" s="22">
        <f t="shared" si="32"/>
        <v>30.33</v>
      </c>
      <c r="Z190" s="22">
        <f t="shared" si="35"/>
        <v>166.08999999999997</v>
      </c>
      <c r="AA190" s="22">
        <f t="shared" si="36"/>
        <v>11436.58</v>
      </c>
    </row>
    <row r="191" spans="1:27">
      <c r="A191" s="125" t="s">
        <v>2487</v>
      </c>
      <c r="B191" s="3" t="s">
        <v>1822</v>
      </c>
      <c r="C191" s="93">
        <f>IF(A191=Summary!$B$9,Summary!$G$9,0)</f>
        <v>0</v>
      </c>
      <c r="D191" s="134">
        <f>VLOOKUP(A191,AAFTE!$A:$S,3,0)</f>
        <v>67.7</v>
      </c>
      <c r="E191" s="20">
        <f>VLOOKUP($A191,'2022-23 Salary &amp; Benefits'!$A:$I,3,)</f>
        <v>1</v>
      </c>
      <c r="F191" s="20">
        <f>VLOOKUP($A191,'2022-23 Salary &amp; Benefits'!$A:$I,4,)</f>
        <v>1</v>
      </c>
      <c r="G191" s="34">
        <f>VLOOKUP(A191,'CEDARS District FRPL'!$A:$F,6,)</f>
        <v>4.469999999999999E-2</v>
      </c>
      <c r="H191" s="25">
        <f t="shared" si="25"/>
        <v>67.7</v>
      </c>
      <c r="I191" s="39">
        <f t="shared" si="26"/>
        <v>3.03</v>
      </c>
      <c r="J191" s="24">
        <v>15</v>
      </c>
      <c r="K191" s="26">
        <f t="shared" si="33"/>
        <v>0.20199999999999999</v>
      </c>
      <c r="L191" s="24">
        <v>2.3975</v>
      </c>
      <c r="M191" s="24">
        <v>36</v>
      </c>
      <c r="N191" s="27">
        <f t="shared" si="34"/>
        <v>17.434619999999999</v>
      </c>
      <c r="O191" s="102">
        <f t="shared" si="27"/>
        <v>1.9E-2</v>
      </c>
      <c r="P191" s="21">
        <f>VLOOKUP(A191,'2022-23 Salary &amp; Benefits'!$A:$I,5,)</f>
        <v>68937</v>
      </c>
      <c r="Q191" s="21">
        <f>VLOOKUP(A191,'2022-23 Salary &amp; Benefits'!$A:$I,6,FALSE)</f>
        <v>72728</v>
      </c>
      <c r="R191" s="22">
        <f t="shared" si="28"/>
        <v>1309.8</v>
      </c>
      <c r="S191" s="22">
        <f t="shared" si="29"/>
        <v>72.03</v>
      </c>
      <c r="T191" s="22">
        <f>'2022-23 Salary &amp; Benefits'!$G$6</f>
        <v>12558.24</v>
      </c>
      <c r="U191" s="23">
        <f>'2022-23 Salary &amp; Benefits'!$H$6</f>
        <v>0.2298</v>
      </c>
      <c r="V191" s="23">
        <f>'2022-23 Salary &amp; Benefits'!$I$6</f>
        <v>0.22339999999999999</v>
      </c>
      <c r="W191" s="22">
        <f t="shared" si="30"/>
        <v>555.69000000000005</v>
      </c>
      <c r="X191" s="22">
        <f t="shared" si="31"/>
        <v>23.03</v>
      </c>
      <c r="Y191" s="22">
        <f t="shared" si="32"/>
        <v>5.14</v>
      </c>
      <c r="Z191" s="22">
        <f t="shared" si="35"/>
        <v>28.17</v>
      </c>
      <c r="AA191" s="22">
        <f t="shared" si="36"/>
        <v>1965.69</v>
      </c>
    </row>
    <row r="192" spans="1:27">
      <c r="A192" s="125" t="s">
        <v>2309</v>
      </c>
      <c r="B192" s="3" t="s">
        <v>362</v>
      </c>
      <c r="C192" s="93">
        <f>IF(A192=Summary!$B$9,Summary!$G$9,0)</f>
        <v>0</v>
      </c>
      <c r="D192" s="134">
        <f>VLOOKUP(A192,AAFTE!$A:$S,3,0)</f>
        <v>33.57</v>
      </c>
      <c r="E192" s="20">
        <f>VLOOKUP($A192,'2022-23 Salary &amp; Benefits'!$A:$I,3,)</f>
        <v>1</v>
      </c>
      <c r="F192" s="20">
        <f>VLOOKUP($A192,'2022-23 Salary &amp; Benefits'!$A:$I,4,)</f>
        <v>1.04</v>
      </c>
      <c r="G192" s="34">
        <f>VLOOKUP(A192,'CEDARS District FRPL'!$A:$F,6,)</f>
        <v>0</v>
      </c>
      <c r="H192" s="25">
        <f t="shared" si="25"/>
        <v>33.57</v>
      </c>
      <c r="I192" s="39">
        <f t="shared" si="26"/>
        <v>0</v>
      </c>
      <c r="J192" s="24">
        <v>15</v>
      </c>
      <c r="K192" s="26">
        <f t="shared" si="33"/>
        <v>0</v>
      </c>
      <c r="L192" s="24">
        <v>2.3975</v>
      </c>
      <c r="M192" s="24">
        <v>36</v>
      </c>
      <c r="N192" s="27">
        <f t="shared" si="34"/>
        <v>0</v>
      </c>
      <c r="O192" s="102">
        <f t="shared" si="27"/>
        <v>0</v>
      </c>
      <c r="P192" s="21">
        <f>VLOOKUP(A192,'2022-23 Salary &amp; Benefits'!$A:$I,5,)</f>
        <v>68937</v>
      </c>
      <c r="Q192" s="21">
        <f>VLOOKUP(A192,'2022-23 Salary &amp; Benefits'!$A:$I,6,FALSE)</f>
        <v>72728</v>
      </c>
      <c r="R192" s="22">
        <f t="shared" si="28"/>
        <v>0</v>
      </c>
      <c r="S192" s="22">
        <f t="shared" si="29"/>
        <v>0</v>
      </c>
      <c r="T192" s="22">
        <f>'2022-23 Salary &amp; Benefits'!$G$6</f>
        <v>12558.24</v>
      </c>
      <c r="U192" s="23">
        <f>'2022-23 Salary &amp; Benefits'!$H$6</f>
        <v>0.2298</v>
      </c>
      <c r="V192" s="23">
        <f>'2022-23 Salary &amp; Benefits'!$I$6</f>
        <v>0.22339999999999999</v>
      </c>
      <c r="W192" s="22">
        <f t="shared" si="30"/>
        <v>0</v>
      </c>
      <c r="X192" s="22">
        <f t="shared" si="31"/>
        <v>0</v>
      </c>
      <c r="Y192" s="22">
        <f t="shared" si="32"/>
        <v>0</v>
      </c>
      <c r="Z192" s="22">
        <f t="shared" si="35"/>
        <v>0</v>
      </c>
      <c r="AA192" s="22">
        <f t="shared" si="36"/>
        <v>0</v>
      </c>
    </row>
    <row r="193" spans="1:27">
      <c r="A193" s="125" t="s">
        <v>2301</v>
      </c>
      <c r="B193" s="3" t="s">
        <v>337</v>
      </c>
      <c r="C193" s="93">
        <f>IF(A193=Summary!$B$9,Summary!$G$9,0)</f>
        <v>0</v>
      </c>
      <c r="D193" s="134">
        <f>VLOOKUP(A193,AAFTE!$A:$S,3,0)</f>
        <v>137.77000000000001</v>
      </c>
      <c r="E193" s="20">
        <f>VLOOKUP($A193,'2022-23 Salary &amp; Benefits'!$A:$I,3,)</f>
        <v>1</v>
      </c>
      <c r="F193" s="20">
        <f>VLOOKUP($A193,'2022-23 Salary &amp; Benefits'!$A:$I,4,)</f>
        <v>1</v>
      </c>
      <c r="G193" s="34">
        <f>VLOOKUP(A193,'CEDARS District FRPL'!$A:$F,6,)</f>
        <v>0</v>
      </c>
      <c r="H193" s="25">
        <f t="shared" si="25"/>
        <v>137.77000000000001</v>
      </c>
      <c r="I193" s="39">
        <f t="shared" si="26"/>
        <v>0</v>
      </c>
      <c r="J193" s="24">
        <v>15</v>
      </c>
      <c r="K193" s="26">
        <f t="shared" si="33"/>
        <v>0</v>
      </c>
      <c r="L193" s="24">
        <v>2.3975</v>
      </c>
      <c r="M193" s="24">
        <v>36</v>
      </c>
      <c r="N193" s="27">
        <f t="shared" si="34"/>
        <v>0</v>
      </c>
      <c r="O193" s="102">
        <f t="shared" si="27"/>
        <v>0</v>
      </c>
      <c r="P193" s="21">
        <f>VLOOKUP(A193,'2022-23 Salary &amp; Benefits'!$A:$I,5,)</f>
        <v>68937</v>
      </c>
      <c r="Q193" s="21">
        <f>VLOOKUP(A193,'2022-23 Salary &amp; Benefits'!$A:$I,6,FALSE)</f>
        <v>72728</v>
      </c>
      <c r="R193" s="22">
        <f t="shared" si="28"/>
        <v>0</v>
      </c>
      <c r="S193" s="22">
        <f t="shared" si="29"/>
        <v>0</v>
      </c>
      <c r="T193" s="22">
        <f>'2022-23 Salary &amp; Benefits'!$G$6</f>
        <v>12558.24</v>
      </c>
      <c r="U193" s="23">
        <f>'2022-23 Salary &amp; Benefits'!$H$6</f>
        <v>0.2298</v>
      </c>
      <c r="V193" s="23">
        <f>'2022-23 Salary &amp; Benefits'!$I$6</f>
        <v>0.22339999999999999</v>
      </c>
      <c r="W193" s="22">
        <f t="shared" si="30"/>
        <v>0</v>
      </c>
      <c r="X193" s="22">
        <f t="shared" si="31"/>
        <v>0</v>
      </c>
      <c r="Y193" s="22">
        <f t="shared" si="32"/>
        <v>0</v>
      </c>
      <c r="Z193" s="22">
        <f t="shared" si="35"/>
        <v>0</v>
      </c>
      <c r="AA193" s="22">
        <f t="shared" si="36"/>
        <v>0</v>
      </c>
    </row>
    <row r="194" spans="1:27">
      <c r="A194" s="125" t="s">
        <v>2428</v>
      </c>
      <c r="B194" s="3" t="s">
        <v>1258</v>
      </c>
      <c r="C194" s="93">
        <f>IF(A194=Summary!$B$9,Summary!$G$9,0)</f>
        <v>0</v>
      </c>
      <c r="D194" s="134">
        <f>VLOOKUP(A194,AAFTE!$A:$S,3,0)</f>
        <v>511.74</v>
      </c>
      <c r="E194" s="20">
        <f>VLOOKUP($A194,'2022-23 Salary &amp; Benefits'!$A:$I,3,)</f>
        <v>1</v>
      </c>
      <c r="F194" s="20">
        <f>VLOOKUP($A194,'2022-23 Salary &amp; Benefits'!$A:$I,4,)</f>
        <v>1</v>
      </c>
      <c r="G194" s="34">
        <f>VLOOKUP(A194,'CEDARS District FRPL'!$A:$F,6,)</f>
        <v>0</v>
      </c>
      <c r="H194" s="25">
        <f t="shared" si="25"/>
        <v>511.74</v>
      </c>
      <c r="I194" s="39">
        <f t="shared" si="26"/>
        <v>0</v>
      </c>
      <c r="J194" s="24">
        <v>15</v>
      </c>
      <c r="K194" s="26">
        <f t="shared" si="33"/>
        <v>0</v>
      </c>
      <c r="L194" s="24">
        <v>2.3975</v>
      </c>
      <c r="M194" s="24">
        <v>36</v>
      </c>
      <c r="N194" s="27">
        <f t="shared" si="34"/>
        <v>0</v>
      </c>
      <c r="O194" s="102">
        <f t="shared" si="27"/>
        <v>0</v>
      </c>
      <c r="P194" s="21">
        <f>VLOOKUP(A194,'2022-23 Salary &amp; Benefits'!$A:$I,5,)</f>
        <v>68937</v>
      </c>
      <c r="Q194" s="21">
        <f>VLOOKUP(A194,'2022-23 Salary &amp; Benefits'!$A:$I,6,FALSE)</f>
        <v>72728</v>
      </c>
      <c r="R194" s="22">
        <f t="shared" si="28"/>
        <v>0</v>
      </c>
      <c r="S194" s="22">
        <f t="shared" si="29"/>
        <v>0</v>
      </c>
      <c r="T194" s="22">
        <f>'2022-23 Salary &amp; Benefits'!$G$6</f>
        <v>12558.24</v>
      </c>
      <c r="U194" s="23">
        <f>'2022-23 Salary &amp; Benefits'!$H$6</f>
        <v>0.2298</v>
      </c>
      <c r="V194" s="23">
        <f>'2022-23 Salary &amp; Benefits'!$I$6</f>
        <v>0.22339999999999999</v>
      </c>
      <c r="W194" s="22">
        <f t="shared" si="30"/>
        <v>0</v>
      </c>
      <c r="X194" s="22">
        <f t="shared" si="31"/>
        <v>0</v>
      </c>
      <c r="Y194" s="22">
        <f t="shared" si="32"/>
        <v>0</v>
      </c>
      <c r="Z194" s="22">
        <f t="shared" si="35"/>
        <v>0</v>
      </c>
      <c r="AA194" s="22">
        <f t="shared" si="36"/>
        <v>0</v>
      </c>
    </row>
    <row r="195" spans="1:27">
      <c r="A195" s="125" t="s">
        <v>2445</v>
      </c>
      <c r="B195" s="3" t="s">
        <v>1413</v>
      </c>
      <c r="C195" s="93">
        <f>IF(A195=Summary!$B$9,Summary!$G$9,0)</f>
        <v>0</v>
      </c>
      <c r="D195" s="134">
        <f>VLOOKUP(A195,AAFTE!$A:$S,3,0)</f>
        <v>2596.65</v>
      </c>
      <c r="E195" s="20">
        <f>VLOOKUP($A195,'2022-23 Salary &amp; Benefits'!$A:$I,3,)</f>
        <v>1.06</v>
      </c>
      <c r="F195" s="20">
        <f>VLOOKUP($A195,'2022-23 Salary &amp; Benefits'!$A:$I,4,)</f>
        <v>1.06</v>
      </c>
      <c r="G195" s="34">
        <f>VLOOKUP(A195,'CEDARS District FRPL'!$A:$F,6,)</f>
        <v>3.3299999999999996E-2</v>
      </c>
      <c r="H195" s="25">
        <f t="shared" si="25"/>
        <v>2596.65</v>
      </c>
      <c r="I195" s="39">
        <f t="shared" si="26"/>
        <v>86.47</v>
      </c>
      <c r="J195" s="24">
        <v>15</v>
      </c>
      <c r="K195" s="26">
        <f t="shared" si="33"/>
        <v>5.7646666666666668</v>
      </c>
      <c r="L195" s="24">
        <v>2.3975</v>
      </c>
      <c r="M195" s="24">
        <v>36</v>
      </c>
      <c r="N195" s="27">
        <f t="shared" si="34"/>
        <v>497.54837999999995</v>
      </c>
      <c r="O195" s="102">
        <f t="shared" si="27"/>
        <v>0.55300000000000005</v>
      </c>
      <c r="P195" s="21">
        <f>VLOOKUP(A195,'2022-23 Salary &amp; Benefits'!$A:$I,5,)</f>
        <v>68937</v>
      </c>
      <c r="Q195" s="21">
        <f>VLOOKUP(A195,'2022-23 Salary &amp; Benefits'!$A:$I,6,FALSE)</f>
        <v>72728</v>
      </c>
      <c r="R195" s="22">
        <f t="shared" si="28"/>
        <v>40409.49</v>
      </c>
      <c r="S195" s="22">
        <f t="shared" si="29"/>
        <v>2222.21</v>
      </c>
      <c r="T195" s="22">
        <f>'2022-23 Salary &amp; Benefits'!$G$6</f>
        <v>12558.24</v>
      </c>
      <c r="U195" s="23">
        <f>'2022-23 Salary &amp; Benefits'!$H$6</f>
        <v>0.2298</v>
      </c>
      <c r="V195" s="23">
        <f>'2022-23 Salary &amp; Benefits'!$I$6</f>
        <v>0.22339999999999999</v>
      </c>
      <c r="W195" s="22">
        <f t="shared" si="30"/>
        <v>16727.25</v>
      </c>
      <c r="X195" s="22">
        <f t="shared" si="31"/>
        <v>710.53</v>
      </c>
      <c r="Y195" s="22">
        <f t="shared" si="32"/>
        <v>158.72999999999999</v>
      </c>
      <c r="Z195" s="22">
        <f t="shared" si="35"/>
        <v>869.26</v>
      </c>
      <c r="AA195" s="22">
        <f t="shared" si="36"/>
        <v>60228.21</v>
      </c>
    </row>
    <row r="196" spans="1:27">
      <c r="A196" s="125" t="s">
        <v>2259</v>
      </c>
      <c r="B196" s="3" t="s">
        <v>4</v>
      </c>
      <c r="C196" s="93">
        <f>IF(A196=Summary!$B$9,Summary!$G$9,0)</f>
        <v>0</v>
      </c>
      <c r="D196" s="134">
        <f>VLOOKUP(A196,AAFTE!$A:$S,3,0)</f>
        <v>4455.46</v>
      </c>
      <c r="E196" s="20">
        <f>VLOOKUP($A196,'2022-23 Salary &amp; Benefits'!$A:$I,3,)</f>
        <v>1</v>
      </c>
      <c r="F196" s="20">
        <f>VLOOKUP($A196,'2022-23 Salary &amp; Benefits'!$A:$I,4,)</f>
        <v>1</v>
      </c>
      <c r="G196" s="34">
        <f>VLOOKUP(A196,'CEDARS District FRPL'!$A:$F,6,)</f>
        <v>5.9999999999993392E-4</v>
      </c>
      <c r="H196" s="25">
        <f t="shared" si="25"/>
        <v>4455.46</v>
      </c>
      <c r="I196" s="39">
        <f t="shared" si="26"/>
        <v>2.67</v>
      </c>
      <c r="J196" s="24">
        <v>15</v>
      </c>
      <c r="K196" s="26">
        <f t="shared" si="33"/>
        <v>0.17799999999999999</v>
      </c>
      <c r="L196" s="24">
        <v>2.3975</v>
      </c>
      <c r="M196" s="24">
        <v>36</v>
      </c>
      <c r="N196" s="27">
        <f t="shared" si="34"/>
        <v>15.36318</v>
      </c>
      <c r="O196" s="102">
        <f t="shared" si="27"/>
        <v>1.7000000000000001E-2</v>
      </c>
      <c r="P196" s="21">
        <f>VLOOKUP(A196,'2022-23 Salary &amp; Benefits'!$A:$I,5,)</f>
        <v>68937</v>
      </c>
      <c r="Q196" s="21">
        <f>VLOOKUP(A196,'2022-23 Salary &amp; Benefits'!$A:$I,6,FALSE)</f>
        <v>72728</v>
      </c>
      <c r="R196" s="22">
        <f t="shared" si="28"/>
        <v>1171.93</v>
      </c>
      <c r="S196" s="22">
        <f t="shared" si="29"/>
        <v>64.45</v>
      </c>
      <c r="T196" s="22">
        <f>'2022-23 Salary &amp; Benefits'!$G$6</f>
        <v>12558.24</v>
      </c>
      <c r="U196" s="23">
        <f>'2022-23 Salary &amp; Benefits'!$H$6</f>
        <v>0.2298</v>
      </c>
      <c r="V196" s="23">
        <f>'2022-23 Salary &amp; Benefits'!$I$6</f>
        <v>0.22339999999999999</v>
      </c>
      <c r="W196" s="22">
        <f t="shared" si="30"/>
        <v>497.2</v>
      </c>
      <c r="X196" s="22">
        <f t="shared" si="31"/>
        <v>20.61</v>
      </c>
      <c r="Y196" s="22">
        <f t="shared" si="32"/>
        <v>4.5999999999999996</v>
      </c>
      <c r="Z196" s="22">
        <f t="shared" si="35"/>
        <v>25.21</v>
      </c>
      <c r="AA196" s="22">
        <f t="shared" si="36"/>
        <v>1758.7900000000002</v>
      </c>
    </row>
    <row r="197" spans="1:27">
      <c r="A197" s="125" t="s">
        <v>2303</v>
      </c>
      <c r="B197" s="3" t="s">
        <v>344</v>
      </c>
      <c r="C197" s="93">
        <f>IF(A197=Summary!$B$9,Summary!$G$9,0)</f>
        <v>0</v>
      </c>
      <c r="D197" s="134">
        <f>VLOOKUP(A197,AAFTE!$A:$S,3,0)</f>
        <v>22</v>
      </c>
      <c r="E197" s="20">
        <f>VLOOKUP($A197,'2022-23 Salary &amp; Benefits'!$A:$I,3,)</f>
        <v>1</v>
      </c>
      <c r="F197" s="20">
        <f>VLOOKUP($A197,'2022-23 Salary &amp; Benefits'!$A:$I,4,)</f>
        <v>1</v>
      </c>
      <c r="G197" s="34">
        <f>VLOOKUP(A197,'CEDARS District FRPL'!$A:$F,6,)</f>
        <v>0</v>
      </c>
      <c r="H197" s="25">
        <f t="shared" si="25"/>
        <v>22</v>
      </c>
      <c r="I197" s="39">
        <f t="shared" si="26"/>
        <v>0</v>
      </c>
      <c r="J197" s="24">
        <v>15</v>
      </c>
      <c r="K197" s="26">
        <f t="shared" si="33"/>
        <v>0</v>
      </c>
      <c r="L197" s="24">
        <v>2.3975</v>
      </c>
      <c r="M197" s="24">
        <v>36</v>
      </c>
      <c r="N197" s="27">
        <f t="shared" si="34"/>
        <v>0</v>
      </c>
      <c r="O197" s="102">
        <f t="shared" si="27"/>
        <v>0</v>
      </c>
      <c r="P197" s="21">
        <f>VLOOKUP(A197,'2022-23 Salary &amp; Benefits'!$A:$I,5,)</f>
        <v>68937</v>
      </c>
      <c r="Q197" s="21">
        <f>VLOOKUP(A197,'2022-23 Salary &amp; Benefits'!$A:$I,6,FALSE)</f>
        <v>72728</v>
      </c>
      <c r="R197" s="22">
        <f t="shared" si="28"/>
        <v>0</v>
      </c>
      <c r="S197" s="22">
        <f t="shared" si="29"/>
        <v>0</v>
      </c>
      <c r="T197" s="22">
        <f>'2022-23 Salary &amp; Benefits'!$G$6</f>
        <v>12558.24</v>
      </c>
      <c r="U197" s="23">
        <f>'2022-23 Salary &amp; Benefits'!$H$6</f>
        <v>0.2298</v>
      </c>
      <c r="V197" s="23">
        <f>'2022-23 Salary &amp; Benefits'!$I$6</f>
        <v>0.22339999999999999</v>
      </c>
      <c r="W197" s="22">
        <f t="shared" si="30"/>
        <v>0</v>
      </c>
      <c r="X197" s="22">
        <f t="shared" si="31"/>
        <v>0</v>
      </c>
      <c r="Y197" s="22">
        <f t="shared" si="32"/>
        <v>0</v>
      </c>
      <c r="Z197" s="22">
        <f t="shared" si="35"/>
        <v>0</v>
      </c>
      <c r="AA197" s="22">
        <f t="shared" si="36"/>
        <v>0</v>
      </c>
    </row>
    <row r="198" spans="1:27">
      <c r="A198" s="125" t="s">
        <v>2545</v>
      </c>
      <c r="B198" s="3" t="s">
        <v>2143</v>
      </c>
      <c r="C198" s="93">
        <f>IF(A198=Summary!$B$9,Summary!$G$9,0)</f>
        <v>0</v>
      </c>
      <c r="D198" s="134">
        <f>VLOOKUP(A198,AAFTE!$A:$S,3,0)</f>
        <v>154.13</v>
      </c>
      <c r="E198" s="20">
        <f>VLOOKUP($A198,'2022-23 Salary &amp; Benefits'!$A:$I,3,)</f>
        <v>1</v>
      </c>
      <c r="F198" s="20">
        <f>VLOOKUP($A198,'2022-23 Salary &amp; Benefits'!$A:$I,4,)</f>
        <v>1</v>
      </c>
      <c r="G198" s="34">
        <f>VLOOKUP(A198,'CEDARS District FRPL'!$A:$F,6,)</f>
        <v>0</v>
      </c>
      <c r="H198" s="25">
        <f t="shared" si="25"/>
        <v>154.13</v>
      </c>
      <c r="I198" s="39">
        <f t="shared" ref="I198:I261" si="37">ROUND(H198*G198,2)</f>
        <v>0</v>
      </c>
      <c r="J198" s="24">
        <v>15</v>
      </c>
      <c r="K198" s="26">
        <f t="shared" si="33"/>
        <v>0</v>
      </c>
      <c r="L198" s="24">
        <v>2.3975</v>
      </c>
      <c r="M198" s="24">
        <v>36</v>
      </c>
      <c r="N198" s="27">
        <f t="shared" si="34"/>
        <v>0</v>
      </c>
      <c r="O198" s="102">
        <f t="shared" ref="O198:O261" si="38">ROUND(N198/900,3)</f>
        <v>0</v>
      </c>
      <c r="P198" s="21">
        <f>VLOOKUP(A198,'2022-23 Salary &amp; Benefits'!$A:$I,5,)</f>
        <v>68937</v>
      </c>
      <c r="Q198" s="21">
        <f>VLOOKUP(A198,'2022-23 Salary &amp; Benefits'!$A:$I,6,FALSE)</f>
        <v>72728</v>
      </c>
      <c r="R198" s="22">
        <f t="shared" ref="R198:R261" si="39">ROUND($E198*$P198*$O198,2)</f>
        <v>0</v>
      </c>
      <c r="S198" s="22">
        <f t="shared" ref="S198:S261" si="40">ROUND(($Q198*$F198*$O198-$R198),2)</f>
        <v>0</v>
      </c>
      <c r="T198" s="22">
        <f>'2022-23 Salary &amp; Benefits'!$G$6</f>
        <v>12558.24</v>
      </c>
      <c r="U198" s="23">
        <f>'2022-23 Salary &amp; Benefits'!$H$6</f>
        <v>0.2298</v>
      </c>
      <c r="V198" s="23">
        <f>'2022-23 Salary &amp; Benefits'!$I$6</f>
        <v>0.22339999999999999</v>
      </c>
      <c r="W198" s="22">
        <f t="shared" ref="W198:W261" si="41">ROUND(R198*U198+S198*V198+O198*T198,2)</f>
        <v>0</v>
      </c>
      <c r="X198" s="22">
        <f t="shared" ref="X198:X261" si="42">ROUND(($Q198*$F198*$O198/180*3),2)</f>
        <v>0</v>
      </c>
      <c r="Y198" s="22">
        <f t="shared" ref="Y198:Y261" si="43">ROUND(X198*V198,2)</f>
        <v>0</v>
      </c>
      <c r="Z198" s="22">
        <f t="shared" si="35"/>
        <v>0</v>
      </c>
      <c r="AA198" s="22">
        <f t="shared" si="36"/>
        <v>0</v>
      </c>
    </row>
    <row r="199" spans="1:27">
      <c r="A199" s="125" t="s">
        <v>2312</v>
      </c>
      <c r="B199" s="3" t="s">
        <v>372</v>
      </c>
      <c r="C199" s="93">
        <f>IF(A199=Summary!$B$9,Summary!$G$9,0)</f>
        <v>0</v>
      </c>
      <c r="D199" s="134">
        <f>VLOOKUP(A199,AAFTE!$A:$S,3,0)</f>
        <v>18054.64</v>
      </c>
      <c r="E199" s="20">
        <f>VLOOKUP($A199,'2022-23 Salary &amp; Benefits'!$A:$I,3,)</f>
        <v>1</v>
      </c>
      <c r="F199" s="20">
        <f>VLOOKUP($A199,'2022-23 Salary &amp; Benefits'!$A:$I,4,)</f>
        <v>1</v>
      </c>
      <c r="G199" s="34">
        <f>VLOOKUP(A199,'CEDARS District FRPL'!$A:$F,6,)</f>
        <v>0</v>
      </c>
      <c r="H199" s="25">
        <f t="shared" ref="H199:H262" si="44">IF(C199&gt;0,C199,D199)</f>
        <v>18054.64</v>
      </c>
      <c r="I199" s="39">
        <f t="shared" si="37"/>
        <v>0</v>
      </c>
      <c r="J199" s="24">
        <v>15</v>
      </c>
      <c r="K199" s="26">
        <f t="shared" si="33"/>
        <v>0</v>
      </c>
      <c r="L199" s="24">
        <v>2.3975</v>
      </c>
      <c r="M199" s="24">
        <v>36</v>
      </c>
      <c r="N199" s="27">
        <f t="shared" si="34"/>
        <v>0</v>
      </c>
      <c r="O199" s="102">
        <f t="shared" si="38"/>
        <v>0</v>
      </c>
      <c r="P199" s="21">
        <f>VLOOKUP(A199,'2022-23 Salary &amp; Benefits'!$A:$I,5,)</f>
        <v>68937</v>
      </c>
      <c r="Q199" s="21">
        <f>VLOOKUP(A199,'2022-23 Salary &amp; Benefits'!$A:$I,6,FALSE)</f>
        <v>72728</v>
      </c>
      <c r="R199" s="22">
        <f t="shared" si="39"/>
        <v>0</v>
      </c>
      <c r="S199" s="22">
        <f t="shared" si="40"/>
        <v>0</v>
      </c>
      <c r="T199" s="22">
        <f>'2022-23 Salary &amp; Benefits'!$G$6</f>
        <v>12558.24</v>
      </c>
      <c r="U199" s="23">
        <f>'2022-23 Salary &amp; Benefits'!$H$6</f>
        <v>0.2298</v>
      </c>
      <c r="V199" s="23">
        <f>'2022-23 Salary &amp; Benefits'!$I$6</f>
        <v>0.22339999999999999</v>
      </c>
      <c r="W199" s="22">
        <f t="shared" si="41"/>
        <v>0</v>
      </c>
      <c r="X199" s="22">
        <f t="shared" si="42"/>
        <v>0</v>
      </c>
      <c r="Y199" s="22">
        <f t="shared" si="43"/>
        <v>0</v>
      </c>
      <c r="Z199" s="22">
        <f t="shared" si="35"/>
        <v>0</v>
      </c>
      <c r="AA199" s="22">
        <f t="shared" si="36"/>
        <v>0</v>
      </c>
    </row>
    <row r="200" spans="1:27">
      <c r="A200" s="125" t="s">
        <v>2425</v>
      </c>
      <c r="B200" s="3" t="s">
        <v>1247</v>
      </c>
      <c r="C200" s="93">
        <f>IF(A200=Summary!$B$9,Summary!$G$9,0)</f>
        <v>0</v>
      </c>
      <c r="D200" s="134">
        <f>VLOOKUP(A200,AAFTE!$A:$S,3,0)</f>
        <v>295.66000000000003</v>
      </c>
      <c r="E200" s="20">
        <f>VLOOKUP($A200,'2022-23 Salary &amp; Benefits'!$A:$I,3,)</f>
        <v>1</v>
      </c>
      <c r="F200" s="20">
        <f>VLOOKUP($A200,'2022-23 Salary &amp; Benefits'!$A:$I,4,)</f>
        <v>1.04</v>
      </c>
      <c r="G200" s="34">
        <f>VLOOKUP(A200,'CEDARS District FRPL'!$A:$F,6,)</f>
        <v>0</v>
      </c>
      <c r="H200" s="25">
        <f t="shared" si="44"/>
        <v>295.66000000000003</v>
      </c>
      <c r="I200" s="39">
        <f t="shared" si="37"/>
        <v>0</v>
      </c>
      <c r="J200" s="24">
        <v>15</v>
      </c>
      <c r="K200" s="26">
        <f t="shared" ref="K200:K263" si="45">I200/J200</f>
        <v>0</v>
      </c>
      <c r="L200" s="24">
        <v>2.3975</v>
      </c>
      <c r="M200" s="24">
        <v>36</v>
      </c>
      <c r="N200" s="27">
        <f t="shared" ref="N200:N263" si="46">K200*L200*M200</f>
        <v>0</v>
      </c>
      <c r="O200" s="102">
        <f t="shared" si="38"/>
        <v>0</v>
      </c>
      <c r="P200" s="21">
        <f>VLOOKUP(A200,'2022-23 Salary &amp; Benefits'!$A:$I,5,)</f>
        <v>68937</v>
      </c>
      <c r="Q200" s="21">
        <f>VLOOKUP(A200,'2022-23 Salary &amp; Benefits'!$A:$I,6,FALSE)</f>
        <v>72728</v>
      </c>
      <c r="R200" s="22">
        <f t="shared" si="39"/>
        <v>0</v>
      </c>
      <c r="S200" s="22">
        <f t="shared" si="40"/>
        <v>0</v>
      </c>
      <c r="T200" s="22">
        <f>'2022-23 Salary &amp; Benefits'!$G$6</f>
        <v>12558.24</v>
      </c>
      <c r="U200" s="23">
        <f>'2022-23 Salary &amp; Benefits'!$H$6</f>
        <v>0.2298</v>
      </c>
      <c r="V200" s="23">
        <f>'2022-23 Salary &amp; Benefits'!$I$6</f>
        <v>0.22339999999999999</v>
      </c>
      <c r="W200" s="22">
        <f t="shared" si="41"/>
        <v>0</v>
      </c>
      <c r="X200" s="22">
        <f t="shared" si="42"/>
        <v>0</v>
      </c>
      <c r="Y200" s="22">
        <f t="shared" si="43"/>
        <v>0</v>
      </c>
      <c r="Z200" s="22">
        <f t="shared" ref="Z200:Z262" si="47">SUM(X200:Y200)</f>
        <v>0</v>
      </c>
      <c r="AA200" s="22">
        <f t="shared" si="36"/>
        <v>0</v>
      </c>
    </row>
    <row r="201" spans="1:27">
      <c r="A201" s="125" t="s">
        <v>2265</v>
      </c>
      <c r="B201" s="3" t="s">
        <v>60</v>
      </c>
      <c r="C201" s="93">
        <f>IF(A201=Summary!$B$9,Summary!$G$9,0)</f>
        <v>0</v>
      </c>
      <c r="D201" s="134">
        <f>VLOOKUP(A201,AAFTE!$A:$S,3,0)</f>
        <v>141.01</v>
      </c>
      <c r="E201" s="20">
        <f>VLOOKUP($A201,'2022-23 Salary &amp; Benefits'!$A:$I,3,)</f>
        <v>1</v>
      </c>
      <c r="F201" s="20">
        <f>VLOOKUP($A201,'2022-23 Salary &amp; Benefits'!$A:$I,4,)</f>
        <v>1</v>
      </c>
      <c r="G201" s="34">
        <f>VLOOKUP(A201,'CEDARS District FRPL'!$A:$F,6,)</f>
        <v>0</v>
      </c>
      <c r="H201" s="25">
        <f t="shared" si="44"/>
        <v>141.01</v>
      </c>
      <c r="I201" s="39">
        <f t="shared" si="37"/>
        <v>0</v>
      </c>
      <c r="J201" s="24">
        <v>15</v>
      </c>
      <c r="K201" s="26">
        <f t="shared" si="45"/>
        <v>0</v>
      </c>
      <c r="L201" s="24">
        <v>2.3975</v>
      </c>
      <c r="M201" s="24">
        <v>36</v>
      </c>
      <c r="N201" s="27">
        <f t="shared" si="46"/>
        <v>0</v>
      </c>
      <c r="O201" s="102">
        <f t="shared" si="38"/>
        <v>0</v>
      </c>
      <c r="P201" s="21">
        <f>VLOOKUP(A201,'2022-23 Salary &amp; Benefits'!$A:$I,5,)</f>
        <v>68937</v>
      </c>
      <c r="Q201" s="21">
        <f>VLOOKUP(A201,'2022-23 Salary &amp; Benefits'!$A:$I,6,FALSE)</f>
        <v>72728</v>
      </c>
      <c r="R201" s="22">
        <f t="shared" si="39"/>
        <v>0</v>
      </c>
      <c r="S201" s="22">
        <f t="shared" si="40"/>
        <v>0</v>
      </c>
      <c r="T201" s="22">
        <f>'2022-23 Salary &amp; Benefits'!$G$6</f>
        <v>12558.24</v>
      </c>
      <c r="U201" s="23">
        <f>'2022-23 Salary &amp; Benefits'!$H$6</f>
        <v>0.2298</v>
      </c>
      <c r="V201" s="23">
        <f>'2022-23 Salary &amp; Benefits'!$I$6</f>
        <v>0.22339999999999999</v>
      </c>
      <c r="W201" s="22">
        <f t="shared" si="41"/>
        <v>0</v>
      </c>
      <c r="X201" s="22">
        <f t="shared" si="42"/>
        <v>0</v>
      </c>
      <c r="Y201" s="22">
        <f t="shared" si="43"/>
        <v>0</v>
      </c>
      <c r="Z201" s="22">
        <f t="shared" si="47"/>
        <v>0</v>
      </c>
      <c r="AA201" s="22">
        <f t="shared" si="36"/>
        <v>0</v>
      </c>
    </row>
    <row r="202" spans="1:27">
      <c r="A202" s="125" t="s">
        <v>2402</v>
      </c>
      <c r="B202" s="3" t="s">
        <v>1164</v>
      </c>
      <c r="C202" s="93">
        <f>IF(A202=Summary!$B$9,Summary!$G$9,0)</f>
        <v>0</v>
      </c>
      <c r="D202" s="134">
        <f>VLOOKUP(A202,AAFTE!$A:$S,3,0)</f>
        <v>246.78</v>
      </c>
      <c r="E202" s="20">
        <f>VLOOKUP($A202,'2022-23 Salary &amp; Benefits'!$A:$I,3,)</f>
        <v>1</v>
      </c>
      <c r="F202" s="20">
        <f>VLOOKUP($A202,'2022-23 Salary &amp; Benefits'!$A:$I,4,)</f>
        <v>1.04</v>
      </c>
      <c r="G202" s="34">
        <f>VLOOKUP(A202,'CEDARS District FRPL'!$A:$F,6,)</f>
        <v>0</v>
      </c>
      <c r="H202" s="25">
        <f t="shared" si="44"/>
        <v>246.78</v>
      </c>
      <c r="I202" s="39">
        <f t="shared" si="37"/>
        <v>0</v>
      </c>
      <c r="J202" s="24">
        <v>15</v>
      </c>
      <c r="K202" s="26">
        <f t="shared" si="45"/>
        <v>0</v>
      </c>
      <c r="L202" s="24">
        <v>2.3975</v>
      </c>
      <c r="M202" s="24">
        <v>36</v>
      </c>
      <c r="N202" s="27">
        <f t="shared" si="46"/>
        <v>0</v>
      </c>
      <c r="O202" s="102">
        <f t="shared" si="38"/>
        <v>0</v>
      </c>
      <c r="P202" s="21">
        <f>VLOOKUP(A202,'2022-23 Salary &amp; Benefits'!$A:$I,5,)</f>
        <v>68937</v>
      </c>
      <c r="Q202" s="21">
        <f>VLOOKUP(A202,'2022-23 Salary &amp; Benefits'!$A:$I,6,FALSE)</f>
        <v>72728</v>
      </c>
      <c r="R202" s="22">
        <f t="shared" si="39"/>
        <v>0</v>
      </c>
      <c r="S202" s="22">
        <f t="shared" si="40"/>
        <v>0</v>
      </c>
      <c r="T202" s="22">
        <f>'2022-23 Salary &amp; Benefits'!$G$6</f>
        <v>12558.24</v>
      </c>
      <c r="U202" s="23">
        <f>'2022-23 Salary &amp; Benefits'!$H$6</f>
        <v>0.2298</v>
      </c>
      <c r="V202" s="23">
        <f>'2022-23 Salary &amp; Benefits'!$I$6</f>
        <v>0.22339999999999999</v>
      </c>
      <c r="W202" s="22">
        <f t="shared" si="41"/>
        <v>0</v>
      </c>
      <c r="X202" s="22">
        <f t="shared" si="42"/>
        <v>0</v>
      </c>
      <c r="Y202" s="22">
        <f t="shared" si="43"/>
        <v>0</v>
      </c>
      <c r="Z202" s="22">
        <f t="shared" si="47"/>
        <v>0</v>
      </c>
      <c r="AA202" s="22">
        <f t="shared" ref="AA202:AA265" si="48">SUM(W202,R202:S202,Z202)</f>
        <v>0</v>
      </c>
    </row>
    <row r="203" spans="1:27">
      <c r="A203" s="125" t="s">
        <v>2447</v>
      </c>
      <c r="B203" s="3" t="s">
        <v>1443</v>
      </c>
      <c r="C203" s="93">
        <f>IF(A203=Summary!$B$9,Summary!$G$9,0)</f>
        <v>0</v>
      </c>
      <c r="D203" s="134">
        <f>VLOOKUP(A203,AAFTE!$A:$S,3,0)</f>
        <v>8600.41</v>
      </c>
      <c r="E203" s="20">
        <f>VLOOKUP($A203,'2022-23 Salary &amp; Benefits'!$A:$I,3,)</f>
        <v>1.1200000000000001</v>
      </c>
      <c r="F203" s="20">
        <f>VLOOKUP($A203,'2022-23 Salary &amp; Benefits'!$A:$I,4,)</f>
        <v>1.1600000000000001</v>
      </c>
      <c r="G203" s="34">
        <f>VLOOKUP(A203,'CEDARS District FRPL'!$A:$F,6,)</f>
        <v>3.0799999999999994E-2</v>
      </c>
      <c r="H203" s="25">
        <f t="shared" si="44"/>
        <v>8600.41</v>
      </c>
      <c r="I203" s="39">
        <f t="shared" si="37"/>
        <v>264.89</v>
      </c>
      <c r="J203" s="24">
        <v>15</v>
      </c>
      <c r="K203" s="26">
        <f t="shared" si="45"/>
        <v>17.659333333333333</v>
      </c>
      <c r="L203" s="24">
        <v>2.3975</v>
      </c>
      <c r="M203" s="24">
        <v>36</v>
      </c>
      <c r="N203" s="27">
        <f t="shared" si="46"/>
        <v>1524.17706</v>
      </c>
      <c r="O203" s="102">
        <f t="shared" si="38"/>
        <v>1.694</v>
      </c>
      <c r="P203" s="21">
        <f>VLOOKUP(A203,'2022-23 Salary &amp; Benefits'!$A:$I,5,)</f>
        <v>68937</v>
      </c>
      <c r="Q203" s="21">
        <f>VLOOKUP(A203,'2022-23 Salary &amp; Benefits'!$A:$I,6,FALSE)</f>
        <v>72728</v>
      </c>
      <c r="R203" s="22">
        <f t="shared" si="39"/>
        <v>130792.79</v>
      </c>
      <c r="S203" s="22">
        <f t="shared" si="40"/>
        <v>12120.64</v>
      </c>
      <c r="T203" s="22">
        <f>'2022-23 Salary &amp; Benefits'!$G$6</f>
        <v>12558.24</v>
      </c>
      <c r="U203" s="23">
        <f>'2022-23 Salary &amp; Benefits'!$H$6</f>
        <v>0.2298</v>
      </c>
      <c r="V203" s="23">
        <f>'2022-23 Salary &amp; Benefits'!$I$6</f>
        <v>0.22339999999999999</v>
      </c>
      <c r="W203" s="22">
        <f t="shared" si="41"/>
        <v>54037.59</v>
      </c>
      <c r="X203" s="22">
        <f t="shared" si="42"/>
        <v>2381.89</v>
      </c>
      <c r="Y203" s="22">
        <f t="shared" si="43"/>
        <v>532.11</v>
      </c>
      <c r="Z203" s="22">
        <f t="shared" si="47"/>
        <v>2914</v>
      </c>
      <c r="AA203" s="22">
        <f t="shared" si="48"/>
        <v>199865.02000000002</v>
      </c>
    </row>
    <row r="204" spans="1:27">
      <c r="A204" s="125" t="s">
        <v>2954</v>
      </c>
      <c r="B204" s="3" t="s">
        <v>2955</v>
      </c>
      <c r="C204" s="93">
        <f>IF(A204=Summary!$B$9,Summary!$G$9,0)</f>
        <v>0</v>
      </c>
      <c r="D204" s="134">
        <f>VLOOKUP(A204,AAFTE!$A:$S,3,0)</f>
        <v>111.34</v>
      </c>
      <c r="E204" s="20">
        <f>VLOOKUP($A204,'2022-23 Salary &amp; Benefits'!$A:$I,3,)</f>
        <v>1.03</v>
      </c>
      <c r="F204" s="20">
        <f>VLOOKUP($A204,'2022-23 Salary &amp; Benefits'!$A:$I,4,)</f>
        <v>1.03</v>
      </c>
      <c r="G204" s="34">
        <f>VLOOKUP(A204,'CEDARS District FRPL'!$A:$F,6,)</f>
        <v>0</v>
      </c>
      <c r="H204" s="25">
        <f t="shared" si="44"/>
        <v>111.34</v>
      </c>
      <c r="I204" s="39">
        <f t="shared" si="37"/>
        <v>0</v>
      </c>
      <c r="J204" s="24">
        <v>15</v>
      </c>
      <c r="K204" s="26">
        <f t="shared" si="45"/>
        <v>0</v>
      </c>
      <c r="L204" s="24">
        <v>2.3975</v>
      </c>
      <c r="M204" s="24">
        <v>36</v>
      </c>
      <c r="N204" s="27">
        <f t="shared" si="46"/>
        <v>0</v>
      </c>
      <c r="O204" s="102">
        <f t="shared" si="38"/>
        <v>0</v>
      </c>
      <c r="P204" s="21">
        <f>VLOOKUP(A204,'2022-23 Salary &amp; Benefits'!$A:$I,5,)</f>
        <v>68937</v>
      </c>
      <c r="Q204" s="21">
        <f>VLOOKUP(A204,'2022-23 Salary &amp; Benefits'!$A:$I,6,FALSE)</f>
        <v>72728</v>
      </c>
      <c r="R204" s="22">
        <f t="shared" si="39"/>
        <v>0</v>
      </c>
      <c r="S204" s="22">
        <f t="shared" si="40"/>
        <v>0</v>
      </c>
      <c r="T204" s="22">
        <f>'2022-23 Salary &amp; Benefits'!$G$6</f>
        <v>12558.24</v>
      </c>
      <c r="U204" s="23">
        <f>'2022-23 Salary &amp; Benefits'!$H$6</f>
        <v>0.2298</v>
      </c>
      <c r="V204" s="23">
        <f>'2022-23 Salary &amp; Benefits'!$I$6</f>
        <v>0.22339999999999999</v>
      </c>
      <c r="W204" s="22">
        <f t="shared" si="41"/>
        <v>0</v>
      </c>
      <c r="X204" s="22">
        <f t="shared" si="42"/>
        <v>0</v>
      </c>
      <c r="Y204" s="22">
        <f t="shared" si="43"/>
        <v>0</v>
      </c>
      <c r="Z204" s="22">
        <f t="shared" si="47"/>
        <v>0</v>
      </c>
      <c r="AA204" s="22">
        <f t="shared" si="48"/>
        <v>0</v>
      </c>
    </row>
    <row r="205" spans="1:27">
      <c r="A205" s="125" t="s">
        <v>2418</v>
      </c>
      <c r="B205" s="3" t="s">
        <v>1216</v>
      </c>
      <c r="C205" s="93">
        <f>IF(A205=Summary!$B$9,Summary!$G$9,0)</f>
        <v>0</v>
      </c>
      <c r="D205" s="134">
        <f>VLOOKUP(A205,AAFTE!$A:$S,3,0)</f>
        <v>691.18</v>
      </c>
      <c r="E205" s="20">
        <f>VLOOKUP($A205,'2022-23 Salary &amp; Benefits'!$A:$I,3,)</f>
        <v>1</v>
      </c>
      <c r="F205" s="20">
        <f>VLOOKUP($A205,'2022-23 Salary &amp; Benefits'!$A:$I,4,)</f>
        <v>1</v>
      </c>
      <c r="G205" s="34">
        <f>VLOOKUP(A205,'CEDARS District FRPL'!$A:$F,6,)</f>
        <v>0.11380000000000001</v>
      </c>
      <c r="H205" s="25">
        <f t="shared" si="44"/>
        <v>691.18</v>
      </c>
      <c r="I205" s="39">
        <f t="shared" si="37"/>
        <v>78.66</v>
      </c>
      <c r="J205" s="24">
        <v>15</v>
      </c>
      <c r="K205" s="26">
        <f t="shared" si="45"/>
        <v>5.2439999999999998</v>
      </c>
      <c r="L205" s="24">
        <v>2.3975</v>
      </c>
      <c r="M205" s="24">
        <v>36</v>
      </c>
      <c r="N205" s="27">
        <f t="shared" si="46"/>
        <v>452.60963999999996</v>
      </c>
      <c r="O205" s="102">
        <f t="shared" si="38"/>
        <v>0.503</v>
      </c>
      <c r="P205" s="21">
        <f>VLOOKUP(A205,'2022-23 Salary &amp; Benefits'!$A:$I,5,)</f>
        <v>68937</v>
      </c>
      <c r="Q205" s="21">
        <f>VLOOKUP(A205,'2022-23 Salary &amp; Benefits'!$A:$I,6,FALSE)</f>
        <v>72728</v>
      </c>
      <c r="R205" s="22">
        <f t="shared" si="39"/>
        <v>34675.31</v>
      </c>
      <c r="S205" s="22">
        <f t="shared" si="40"/>
        <v>1906.87</v>
      </c>
      <c r="T205" s="22">
        <f>'2022-23 Salary &amp; Benefits'!$G$6</f>
        <v>12558.24</v>
      </c>
      <c r="U205" s="23">
        <f>'2022-23 Salary &amp; Benefits'!$H$6</f>
        <v>0.2298</v>
      </c>
      <c r="V205" s="23">
        <f>'2022-23 Salary &amp; Benefits'!$I$6</f>
        <v>0.22339999999999999</v>
      </c>
      <c r="W205" s="22">
        <f t="shared" si="41"/>
        <v>14711.18</v>
      </c>
      <c r="X205" s="22">
        <f t="shared" si="42"/>
        <v>609.70000000000005</v>
      </c>
      <c r="Y205" s="22">
        <f t="shared" si="43"/>
        <v>136.21</v>
      </c>
      <c r="Z205" s="22">
        <f t="shared" si="47"/>
        <v>745.91000000000008</v>
      </c>
      <c r="AA205" s="22">
        <f t="shared" si="48"/>
        <v>52039.270000000004</v>
      </c>
    </row>
    <row r="206" spans="1:27">
      <c r="A206" s="125" t="s">
        <v>2316</v>
      </c>
      <c r="B206" s="3" t="s">
        <v>405</v>
      </c>
      <c r="C206" s="93">
        <f>IF(A206=Summary!$B$9,Summary!$G$9,0)</f>
        <v>0</v>
      </c>
      <c r="D206" s="134">
        <f>VLOOKUP(A206,AAFTE!$A:$S,3,0)</f>
        <v>352.37</v>
      </c>
      <c r="E206" s="20">
        <f>VLOOKUP($A206,'2022-23 Salary &amp; Benefits'!$A:$I,3,)</f>
        <v>1</v>
      </c>
      <c r="F206" s="20">
        <f>VLOOKUP($A206,'2022-23 Salary &amp; Benefits'!$A:$I,4,)</f>
        <v>1.04</v>
      </c>
      <c r="G206" s="34">
        <f>VLOOKUP(A206,'CEDARS District FRPL'!$A:$F,6,)</f>
        <v>1.0099999999999998E-2</v>
      </c>
      <c r="H206" s="25">
        <f t="shared" si="44"/>
        <v>352.37</v>
      </c>
      <c r="I206" s="39">
        <f t="shared" si="37"/>
        <v>3.56</v>
      </c>
      <c r="J206" s="24">
        <v>15</v>
      </c>
      <c r="K206" s="26">
        <f t="shared" si="45"/>
        <v>0.23733333333333334</v>
      </c>
      <c r="L206" s="24">
        <v>2.3975</v>
      </c>
      <c r="M206" s="24">
        <v>36</v>
      </c>
      <c r="N206" s="27">
        <f t="shared" si="46"/>
        <v>20.48424</v>
      </c>
      <c r="O206" s="102">
        <f t="shared" si="38"/>
        <v>2.3E-2</v>
      </c>
      <c r="P206" s="21">
        <f>VLOOKUP(A206,'2022-23 Salary &amp; Benefits'!$A:$I,5,)</f>
        <v>68937</v>
      </c>
      <c r="Q206" s="21">
        <f>VLOOKUP(A206,'2022-23 Salary &amp; Benefits'!$A:$I,6,FALSE)</f>
        <v>72728</v>
      </c>
      <c r="R206" s="22">
        <f t="shared" si="39"/>
        <v>1585.55</v>
      </c>
      <c r="S206" s="22">
        <f t="shared" si="40"/>
        <v>154.1</v>
      </c>
      <c r="T206" s="22">
        <f>'2022-23 Salary &amp; Benefits'!$G$6</f>
        <v>12558.24</v>
      </c>
      <c r="U206" s="23">
        <f>'2022-23 Salary &amp; Benefits'!$H$6</f>
        <v>0.2298</v>
      </c>
      <c r="V206" s="23">
        <f>'2022-23 Salary &amp; Benefits'!$I$6</f>
        <v>0.22339999999999999</v>
      </c>
      <c r="W206" s="22">
        <f t="shared" si="41"/>
        <v>687.62</v>
      </c>
      <c r="X206" s="22">
        <f t="shared" si="42"/>
        <v>28.99</v>
      </c>
      <c r="Y206" s="22">
        <f t="shared" si="43"/>
        <v>6.48</v>
      </c>
      <c r="Z206" s="22">
        <f t="shared" si="47"/>
        <v>35.47</v>
      </c>
      <c r="AA206" s="22">
        <f t="shared" si="48"/>
        <v>2462.7399999999998</v>
      </c>
    </row>
    <row r="207" spans="1:27">
      <c r="A207" s="125" t="s">
        <v>2277</v>
      </c>
      <c r="B207" s="3" t="s">
        <v>136</v>
      </c>
      <c r="C207" s="93">
        <f>IF(A207=Summary!$B$9,Summary!$G$9,0)</f>
        <v>0</v>
      </c>
      <c r="D207" s="134">
        <f>VLOOKUP(A207,AAFTE!$A:$S,3,0)</f>
        <v>3490.19</v>
      </c>
      <c r="E207" s="20">
        <f>VLOOKUP($A207,'2022-23 Salary &amp; Benefits'!$A:$I,3,)</f>
        <v>1.03</v>
      </c>
      <c r="F207" s="20">
        <f>VLOOKUP($A207,'2022-23 Salary &amp; Benefits'!$A:$I,4,)</f>
        <v>1.03</v>
      </c>
      <c r="G207" s="34">
        <f>VLOOKUP(A207,'CEDARS District FRPL'!$A:$F,6,)</f>
        <v>0</v>
      </c>
      <c r="H207" s="25">
        <f t="shared" si="44"/>
        <v>3490.19</v>
      </c>
      <c r="I207" s="39">
        <f t="shared" si="37"/>
        <v>0</v>
      </c>
      <c r="J207" s="24">
        <v>15</v>
      </c>
      <c r="K207" s="26">
        <f t="shared" si="45"/>
        <v>0</v>
      </c>
      <c r="L207" s="24">
        <v>2.3975</v>
      </c>
      <c r="M207" s="24">
        <v>36</v>
      </c>
      <c r="N207" s="27">
        <f t="shared" si="46"/>
        <v>0</v>
      </c>
      <c r="O207" s="102">
        <f t="shared" si="38"/>
        <v>0</v>
      </c>
      <c r="P207" s="21">
        <f>VLOOKUP(A207,'2022-23 Salary &amp; Benefits'!$A:$I,5,)</f>
        <v>68937</v>
      </c>
      <c r="Q207" s="21">
        <f>VLOOKUP(A207,'2022-23 Salary &amp; Benefits'!$A:$I,6,FALSE)</f>
        <v>72728</v>
      </c>
      <c r="R207" s="22">
        <f t="shared" si="39"/>
        <v>0</v>
      </c>
      <c r="S207" s="22">
        <f t="shared" si="40"/>
        <v>0</v>
      </c>
      <c r="T207" s="22">
        <f>'2022-23 Salary &amp; Benefits'!$G$6</f>
        <v>12558.24</v>
      </c>
      <c r="U207" s="23">
        <f>'2022-23 Salary &amp; Benefits'!$H$6</f>
        <v>0.2298</v>
      </c>
      <c r="V207" s="23">
        <f>'2022-23 Salary &amp; Benefits'!$I$6</f>
        <v>0.22339999999999999</v>
      </c>
      <c r="W207" s="22">
        <f t="shared" si="41"/>
        <v>0</v>
      </c>
      <c r="X207" s="22">
        <f t="shared" si="42"/>
        <v>0</v>
      </c>
      <c r="Y207" s="22">
        <f t="shared" si="43"/>
        <v>0</v>
      </c>
      <c r="Z207" s="22">
        <f t="shared" si="47"/>
        <v>0</v>
      </c>
      <c r="AA207" s="22">
        <f t="shared" si="48"/>
        <v>0</v>
      </c>
    </row>
    <row r="208" spans="1:27">
      <c r="A208" s="125" t="s">
        <v>2347</v>
      </c>
      <c r="B208" s="3" t="s">
        <v>543</v>
      </c>
      <c r="C208" s="93">
        <f>IF(A208=Summary!$B$9,Summary!$G$9,0)</f>
        <v>0</v>
      </c>
      <c r="D208" s="134">
        <f>VLOOKUP(A208,AAFTE!$A:$S,3,0)</f>
        <v>1174.0999999999999</v>
      </c>
      <c r="E208" s="20">
        <f>VLOOKUP($A208,'2022-23 Salary &amp; Benefits'!$A:$I,3,)</f>
        <v>1.06</v>
      </c>
      <c r="F208" s="20">
        <f>VLOOKUP($A208,'2022-23 Salary &amp; Benefits'!$A:$I,4,)</f>
        <v>1.1000000000000001</v>
      </c>
      <c r="G208" s="34">
        <f>VLOOKUP(A208,'CEDARS District FRPL'!$A:$F,6,)</f>
        <v>7.779999999999998E-2</v>
      </c>
      <c r="H208" s="25">
        <f t="shared" si="44"/>
        <v>1174.0999999999999</v>
      </c>
      <c r="I208" s="39">
        <f t="shared" si="37"/>
        <v>91.34</v>
      </c>
      <c r="J208" s="24">
        <v>15</v>
      </c>
      <c r="K208" s="26">
        <f t="shared" si="45"/>
        <v>6.0893333333333333</v>
      </c>
      <c r="L208" s="24">
        <v>2.3975</v>
      </c>
      <c r="M208" s="24">
        <v>36</v>
      </c>
      <c r="N208" s="27">
        <f t="shared" si="46"/>
        <v>525.57036000000005</v>
      </c>
      <c r="O208" s="102">
        <f t="shared" si="38"/>
        <v>0.58399999999999996</v>
      </c>
      <c r="P208" s="21">
        <f>VLOOKUP(A208,'2022-23 Salary &amp; Benefits'!$A:$I,5,)</f>
        <v>68937</v>
      </c>
      <c r="Q208" s="21">
        <f>VLOOKUP(A208,'2022-23 Salary &amp; Benefits'!$A:$I,6,FALSE)</f>
        <v>72728</v>
      </c>
      <c r="R208" s="22">
        <f t="shared" si="39"/>
        <v>42674.76</v>
      </c>
      <c r="S208" s="22">
        <f t="shared" si="40"/>
        <v>4045.71</v>
      </c>
      <c r="T208" s="22">
        <f>'2022-23 Salary &amp; Benefits'!$G$6</f>
        <v>12558.24</v>
      </c>
      <c r="U208" s="23">
        <f>'2022-23 Salary &amp; Benefits'!$H$6</f>
        <v>0.2298</v>
      </c>
      <c r="V208" s="23">
        <f>'2022-23 Salary &amp; Benefits'!$I$6</f>
        <v>0.22339999999999999</v>
      </c>
      <c r="W208" s="22">
        <f t="shared" si="41"/>
        <v>18044.48</v>
      </c>
      <c r="X208" s="22">
        <f t="shared" si="42"/>
        <v>778.67</v>
      </c>
      <c r="Y208" s="22">
        <f t="shared" si="43"/>
        <v>173.95</v>
      </c>
      <c r="Z208" s="22">
        <f t="shared" si="47"/>
        <v>952.61999999999989</v>
      </c>
      <c r="AA208" s="22">
        <f t="shared" si="48"/>
        <v>65717.570000000007</v>
      </c>
    </row>
    <row r="209" spans="1:27">
      <c r="A209" s="125" t="s">
        <v>2531</v>
      </c>
      <c r="B209" s="3" t="s">
        <v>2061</v>
      </c>
      <c r="C209" s="93">
        <f>IF(A209=Summary!$B$9,Summary!$G$9,0)</f>
        <v>0</v>
      </c>
      <c r="D209" s="134">
        <f>VLOOKUP(A209,AAFTE!$A:$S,3,0)</f>
        <v>250.01</v>
      </c>
      <c r="E209" s="20">
        <f>VLOOKUP($A209,'2022-23 Salary &amp; Benefits'!$A:$I,3,)</f>
        <v>1</v>
      </c>
      <c r="F209" s="20">
        <f>VLOOKUP($A209,'2022-23 Salary &amp; Benefits'!$A:$I,4,)</f>
        <v>1</v>
      </c>
      <c r="G209" s="34">
        <f>VLOOKUP(A209,'CEDARS District FRPL'!$A:$F,6,)</f>
        <v>0.10770000000000002</v>
      </c>
      <c r="H209" s="25">
        <f t="shared" si="44"/>
        <v>250.01</v>
      </c>
      <c r="I209" s="39">
        <f t="shared" si="37"/>
        <v>26.93</v>
      </c>
      <c r="J209" s="24">
        <v>15</v>
      </c>
      <c r="K209" s="26">
        <f t="shared" si="45"/>
        <v>1.7953333333333332</v>
      </c>
      <c r="L209" s="24">
        <v>2.3975</v>
      </c>
      <c r="M209" s="24">
        <v>36</v>
      </c>
      <c r="N209" s="27">
        <f t="shared" si="46"/>
        <v>154.95521999999997</v>
      </c>
      <c r="O209" s="102">
        <f t="shared" si="38"/>
        <v>0.17199999999999999</v>
      </c>
      <c r="P209" s="21">
        <f>VLOOKUP(A209,'2022-23 Salary &amp; Benefits'!$A:$I,5,)</f>
        <v>68937</v>
      </c>
      <c r="Q209" s="21">
        <f>VLOOKUP(A209,'2022-23 Salary &amp; Benefits'!$A:$I,6,FALSE)</f>
        <v>72728</v>
      </c>
      <c r="R209" s="22">
        <f t="shared" si="39"/>
        <v>11857.16</v>
      </c>
      <c r="S209" s="22">
        <f t="shared" si="40"/>
        <v>652.05999999999995</v>
      </c>
      <c r="T209" s="22">
        <f>'2022-23 Salary &amp; Benefits'!$G$6</f>
        <v>12558.24</v>
      </c>
      <c r="U209" s="23">
        <f>'2022-23 Salary &amp; Benefits'!$H$6</f>
        <v>0.2298</v>
      </c>
      <c r="V209" s="23">
        <f>'2022-23 Salary &amp; Benefits'!$I$6</f>
        <v>0.22339999999999999</v>
      </c>
      <c r="W209" s="22">
        <f t="shared" si="41"/>
        <v>5030.46</v>
      </c>
      <c r="X209" s="22">
        <f t="shared" si="42"/>
        <v>208.49</v>
      </c>
      <c r="Y209" s="22">
        <f t="shared" si="43"/>
        <v>46.58</v>
      </c>
      <c r="Z209" s="22">
        <f t="shared" si="47"/>
        <v>255.07</v>
      </c>
      <c r="AA209" s="22">
        <f t="shared" si="48"/>
        <v>17794.75</v>
      </c>
    </row>
    <row r="210" spans="1:27">
      <c r="A210" s="125" t="s">
        <v>2502</v>
      </c>
      <c r="B210" s="3" t="s">
        <v>1922</v>
      </c>
      <c r="C210" s="93">
        <f>IF(A210=Summary!$B$9,Summary!$G$9,0)</f>
        <v>0</v>
      </c>
      <c r="D210" s="134">
        <f>VLOOKUP(A210,AAFTE!$A:$S,3,0)</f>
        <v>632.5</v>
      </c>
      <c r="E210" s="20">
        <f>VLOOKUP($A210,'2022-23 Salary &amp; Benefits'!$A:$I,3,)</f>
        <v>1.03</v>
      </c>
      <c r="F210" s="20">
        <f>VLOOKUP($A210,'2022-23 Salary &amp; Benefits'!$A:$I,4,)</f>
        <v>1.03</v>
      </c>
      <c r="G210" s="34">
        <f>VLOOKUP(A210,'CEDARS District FRPL'!$A:$F,6,)</f>
        <v>0</v>
      </c>
      <c r="H210" s="25">
        <f t="shared" si="44"/>
        <v>632.5</v>
      </c>
      <c r="I210" s="39">
        <f t="shared" si="37"/>
        <v>0</v>
      </c>
      <c r="J210" s="24">
        <v>15</v>
      </c>
      <c r="K210" s="26">
        <f t="shared" si="45"/>
        <v>0</v>
      </c>
      <c r="L210" s="24">
        <v>2.3975</v>
      </c>
      <c r="M210" s="24">
        <v>36</v>
      </c>
      <c r="N210" s="27">
        <f t="shared" si="46"/>
        <v>0</v>
      </c>
      <c r="O210" s="102">
        <f t="shared" si="38"/>
        <v>0</v>
      </c>
      <c r="P210" s="21">
        <f>VLOOKUP(A210,'2022-23 Salary &amp; Benefits'!$A:$I,5,)</f>
        <v>68937</v>
      </c>
      <c r="Q210" s="21">
        <f>VLOOKUP(A210,'2022-23 Salary &amp; Benefits'!$A:$I,6,FALSE)</f>
        <v>72728</v>
      </c>
      <c r="R210" s="22">
        <f t="shared" si="39"/>
        <v>0</v>
      </c>
      <c r="S210" s="22">
        <f t="shared" si="40"/>
        <v>0</v>
      </c>
      <c r="T210" s="22">
        <f>'2022-23 Salary &amp; Benefits'!$G$6</f>
        <v>12558.24</v>
      </c>
      <c r="U210" s="23">
        <f>'2022-23 Salary &amp; Benefits'!$H$6</f>
        <v>0.2298</v>
      </c>
      <c r="V210" s="23">
        <f>'2022-23 Salary &amp; Benefits'!$I$6</f>
        <v>0.22339999999999999</v>
      </c>
      <c r="W210" s="22">
        <f t="shared" si="41"/>
        <v>0</v>
      </c>
      <c r="X210" s="22">
        <f t="shared" si="42"/>
        <v>0</v>
      </c>
      <c r="Y210" s="22">
        <f t="shared" si="43"/>
        <v>0</v>
      </c>
      <c r="Z210" s="22">
        <f t="shared" si="47"/>
        <v>0</v>
      </c>
      <c r="AA210" s="22">
        <f t="shared" si="48"/>
        <v>0</v>
      </c>
    </row>
    <row r="211" spans="1:27">
      <c r="A211" s="125" t="s">
        <v>2268</v>
      </c>
      <c r="B211" s="3" t="s">
        <v>71</v>
      </c>
      <c r="C211" s="93">
        <f>IF(A211=Summary!$B$9,Summary!$G$9,0)</f>
        <v>0</v>
      </c>
      <c r="D211" s="134">
        <f>VLOOKUP(A211,AAFTE!$A:$S,3,0)</f>
        <v>2451.6799999999998</v>
      </c>
      <c r="E211" s="20">
        <f>VLOOKUP($A211,'2022-23 Salary &amp; Benefits'!$A:$I,3,)</f>
        <v>1</v>
      </c>
      <c r="F211" s="20">
        <f>VLOOKUP($A211,'2022-23 Salary &amp; Benefits'!$A:$I,4,)</f>
        <v>1</v>
      </c>
      <c r="G211" s="34">
        <f>VLOOKUP(A211,'CEDARS District FRPL'!$A:$F,6,)</f>
        <v>0</v>
      </c>
      <c r="H211" s="25">
        <f t="shared" si="44"/>
        <v>2451.6799999999998</v>
      </c>
      <c r="I211" s="39">
        <f t="shared" si="37"/>
        <v>0</v>
      </c>
      <c r="J211" s="24">
        <v>15</v>
      </c>
      <c r="K211" s="26">
        <f t="shared" si="45"/>
        <v>0</v>
      </c>
      <c r="L211" s="24">
        <v>2.3975</v>
      </c>
      <c r="M211" s="24">
        <v>36</v>
      </c>
      <c r="N211" s="27">
        <f t="shared" si="46"/>
        <v>0</v>
      </c>
      <c r="O211" s="102">
        <f t="shared" si="38"/>
        <v>0</v>
      </c>
      <c r="P211" s="21">
        <f>VLOOKUP(A211,'2022-23 Salary &amp; Benefits'!$A:$I,5,)</f>
        <v>68937</v>
      </c>
      <c r="Q211" s="21">
        <f>VLOOKUP(A211,'2022-23 Salary &amp; Benefits'!$A:$I,6,FALSE)</f>
        <v>72728</v>
      </c>
      <c r="R211" s="22">
        <f t="shared" si="39"/>
        <v>0</v>
      </c>
      <c r="S211" s="22">
        <f t="shared" si="40"/>
        <v>0</v>
      </c>
      <c r="T211" s="22">
        <f>'2022-23 Salary &amp; Benefits'!$G$6</f>
        <v>12558.24</v>
      </c>
      <c r="U211" s="23">
        <f>'2022-23 Salary &amp; Benefits'!$H$6</f>
        <v>0.2298</v>
      </c>
      <c r="V211" s="23">
        <f>'2022-23 Salary &amp; Benefits'!$I$6</f>
        <v>0.22339999999999999</v>
      </c>
      <c r="W211" s="22">
        <f t="shared" si="41"/>
        <v>0</v>
      </c>
      <c r="X211" s="22">
        <f t="shared" si="42"/>
        <v>0</v>
      </c>
      <c r="Y211" s="22">
        <f t="shared" si="43"/>
        <v>0</v>
      </c>
      <c r="Z211" s="22">
        <f t="shared" si="47"/>
        <v>0</v>
      </c>
      <c r="AA211" s="22">
        <f t="shared" si="48"/>
        <v>0</v>
      </c>
    </row>
    <row r="212" spans="1:27">
      <c r="A212" s="125" t="s">
        <v>2951</v>
      </c>
      <c r="B212" s="3" t="s">
        <v>2952</v>
      </c>
      <c r="C212" s="93">
        <f>IF(A212=Summary!$B$9,Summary!$G$9,0)</f>
        <v>0</v>
      </c>
      <c r="D212" s="134">
        <f>VLOOKUP(A212,AAFTE!$A:$S,3,0)</f>
        <v>77</v>
      </c>
      <c r="E212" s="20">
        <f>VLOOKUP($A212,'2022-23 Salary &amp; Benefits'!$A:$I,3,)</f>
        <v>1</v>
      </c>
      <c r="F212" s="20">
        <f>VLOOKUP($A212,'2022-23 Salary &amp; Benefits'!$A:$I,4,)</f>
        <v>1</v>
      </c>
      <c r="G212" s="34">
        <f>VLOOKUP(A212,'CEDARS District FRPL'!$A:$F,6,)</f>
        <v>0</v>
      </c>
      <c r="H212" s="25">
        <f t="shared" si="44"/>
        <v>77</v>
      </c>
      <c r="I212" s="39">
        <f t="shared" si="37"/>
        <v>0</v>
      </c>
      <c r="J212" s="24">
        <v>15</v>
      </c>
      <c r="K212" s="26">
        <f t="shared" si="45"/>
        <v>0</v>
      </c>
      <c r="L212" s="24">
        <v>2.3975</v>
      </c>
      <c r="M212" s="24">
        <v>36</v>
      </c>
      <c r="N212" s="27">
        <f t="shared" si="46"/>
        <v>0</v>
      </c>
      <c r="O212" s="102">
        <f t="shared" si="38"/>
        <v>0</v>
      </c>
      <c r="P212" s="21">
        <f>VLOOKUP(A212,'2022-23 Salary &amp; Benefits'!$A:$I,5,)</f>
        <v>68937</v>
      </c>
      <c r="Q212" s="21">
        <f>VLOOKUP(A212,'2022-23 Salary &amp; Benefits'!$A:$I,6,FALSE)</f>
        <v>72728</v>
      </c>
      <c r="R212" s="22">
        <f t="shared" si="39"/>
        <v>0</v>
      </c>
      <c r="S212" s="22">
        <f t="shared" si="40"/>
        <v>0</v>
      </c>
      <c r="T212" s="22">
        <f>'2022-23 Salary &amp; Benefits'!$G$6</f>
        <v>12558.24</v>
      </c>
      <c r="U212" s="23">
        <f>'2022-23 Salary &amp; Benefits'!$H$6</f>
        <v>0.2298</v>
      </c>
      <c r="V212" s="23">
        <f>'2022-23 Salary &amp; Benefits'!$I$6</f>
        <v>0.22339999999999999</v>
      </c>
      <c r="W212" s="22">
        <f t="shared" si="41"/>
        <v>0</v>
      </c>
      <c r="X212" s="22">
        <f t="shared" si="42"/>
        <v>0</v>
      </c>
      <c r="Y212" s="22">
        <f t="shared" si="43"/>
        <v>0</v>
      </c>
      <c r="Z212" s="22">
        <f t="shared" si="47"/>
        <v>0</v>
      </c>
      <c r="AA212" s="22">
        <f t="shared" si="48"/>
        <v>0</v>
      </c>
    </row>
    <row r="213" spans="1:27">
      <c r="A213" s="125" t="s">
        <v>2543</v>
      </c>
      <c r="B213" s="3" t="s">
        <v>2138</v>
      </c>
      <c r="C213" s="93">
        <f>IF(A213=Summary!$B$9,Summary!$G$9,0)</f>
        <v>0</v>
      </c>
      <c r="D213" s="134">
        <f>VLOOKUP(A213,AAFTE!$A:$S,3,0)</f>
        <v>2608.5</v>
      </c>
      <c r="E213" s="20">
        <f>VLOOKUP($A213,'2022-23 Salary &amp; Benefits'!$A:$I,3,)</f>
        <v>1</v>
      </c>
      <c r="F213" s="20">
        <f>VLOOKUP($A213,'2022-23 Salary &amp; Benefits'!$A:$I,4,)</f>
        <v>1</v>
      </c>
      <c r="G213" s="34">
        <f>VLOOKUP(A213,'CEDARS District FRPL'!$A:$F,6,)</f>
        <v>3.9000000000000146E-3</v>
      </c>
      <c r="H213" s="25">
        <f t="shared" si="44"/>
        <v>2608.5</v>
      </c>
      <c r="I213" s="39">
        <f t="shared" si="37"/>
        <v>10.17</v>
      </c>
      <c r="J213" s="24">
        <v>15</v>
      </c>
      <c r="K213" s="26">
        <f t="shared" si="45"/>
        <v>0.67800000000000005</v>
      </c>
      <c r="L213" s="24">
        <v>2.3975</v>
      </c>
      <c r="M213" s="24">
        <v>36</v>
      </c>
      <c r="N213" s="27">
        <f t="shared" si="46"/>
        <v>58.518180000000008</v>
      </c>
      <c r="O213" s="102">
        <f t="shared" si="38"/>
        <v>6.5000000000000002E-2</v>
      </c>
      <c r="P213" s="21">
        <f>VLOOKUP(A213,'2022-23 Salary &amp; Benefits'!$A:$I,5,)</f>
        <v>68937</v>
      </c>
      <c r="Q213" s="21">
        <f>VLOOKUP(A213,'2022-23 Salary &amp; Benefits'!$A:$I,6,FALSE)</f>
        <v>72728</v>
      </c>
      <c r="R213" s="22">
        <f t="shared" si="39"/>
        <v>4480.91</v>
      </c>
      <c r="S213" s="22">
        <f t="shared" si="40"/>
        <v>246.41</v>
      </c>
      <c r="T213" s="22">
        <f>'2022-23 Salary &amp; Benefits'!$G$6</f>
        <v>12558.24</v>
      </c>
      <c r="U213" s="23">
        <f>'2022-23 Salary &amp; Benefits'!$H$6</f>
        <v>0.2298</v>
      </c>
      <c r="V213" s="23">
        <f>'2022-23 Salary &amp; Benefits'!$I$6</f>
        <v>0.22339999999999999</v>
      </c>
      <c r="W213" s="22">
        <f t="shared" si="41"/>
        <v>1901.05</v>
      </c>
      <c r="X213" s="22">
        <f t="shared" si="42"/>
        <v>78.790000000000006</v>
      </c>
      <c r="Y213" s="22">
        <f t="shared" si="43"/>
        <v>17.600000000000001</v>
      </c>
      <c r="Z213" s="22">
        <f t="shared" si="47"/>
        <v>96.390000000000015</v>
      </c>
      <c r="AA213" s="22">
        <f t="shared" si="48"/>
        <v>6724.76</v>
      </c>
    </row>
    <row r="214" spans="1:27">
      <c r="A214" s="125" t="s">
        <v>2439</v>
      </c>
      <c r="B214" s="3" t="s">
        <v>1299</v>
      </c>
      <c r="C214" s="93">
        <f>IF(A214=Summary!$B$9,Summary!$G$9,0)</f>
        <v>0</v>
      </c>
      <c r="D214" s="134">
        <f>VLOOKUP(A214,AAFTE!$A:$S,3,0)</f>
        <v>22405.7</v>
      </c>
      <c r="E214" s="20">
        <f>VLOOKUP($A214,'2022-23 Salary &amp; Benefits'!$A:$I,3,)</f>
        <v>1.06</v>
      </c>
      <c r="F214" s="20">
        <f>VLOOKUP($A214,'2022-23 Salary &amp; Benefits'!$A:$I,4,)</f>
        <v>1.06</v>
      </c>
      <c r="G214" s="34">
        <f>VLOOKUP(A214,'CEDARS District FRPL'!$A:$F,6,)</f>
        <v>0</v>
      </c>
      <c r="H214" s="25">
        <f t="shared" si="44"/>
        <v>22405.7</v>
      </c>
      <c r="I214" s="39">
        <f t="shared" si="37"/>
        <v>0</v>
      </c>
      <c r="J214" s="24">
        <v>15</v>
      </c>
      <c r="K214" s="26">
        <f t="shared" si="45"/>
        <v>0</v>
      </c>
      <c r="L214" s="24">
        <v>2.3975</v>
      </c>
      <c r="M214" s="24">
        <v>36</v>
      </c>
      <c r="N214" s="27">
        <f t="shared" si="46"/>
        <v>0</v>
      </c>
      <c r="O214" s="102">
        <f t="shared" si="38"/>
        <v>0</v>
      </c>
      <c r="P214" s="21">
        <f>VLOOKUP(A214,'2022-23 Salary &amp; Benefits'!$A:$I,5,)</f>
        <v>68937</v>
      </c>
      <c r="Q214" s="21">
        <f>VLOOKUP(A214,'2022-23 Salary &amp; Benefits'!$A:$I,6,FALSE)</f>
        <v>72728</v>
      </c>
      <c r="R214" s="22">
        <f t="shared" si="39"/>
        <v>0</v>
      </c>
      <c r="S214" s="22">
        <f t="shared" si="40"/>
        <v>0</v>
      </c>
      <c r="T214" s="22">
        <f>'2022-23 Salary &amp; Benefits'!$G$6</f>
        <v>12558.24</v>
      </c>
      <c r="U214" s="23">
        <f>'2022-23 Salary &amp; Benefits'!$H$6</f>
        <v>0.2298</v>
      </c>
      <c r="V214" s="23">
        <f>'2022-23 Salary &amp; Benefits'!$I$6</f>
        <v>0.22339999999999999</v>
      </c>
      <c r="W214" s="22">
        <f t="shared" si="41"/>
        <v>0</v>
      </c>
      <c r="X214" s="22">
        <f t="shared" si="42"/>
        <v>0</v>
      </c>
      <c r="Y214" s="22">
        <f t="shared" si="43"/>
        <v>0</v>
      </c>
      <c r="Z214" s="22">
        <f t="shared" si="47"/>
        <v>0</v>
      </c>
      <c r="AA214" s="22">
        <f t="shared" si="48"/>
        <v>0</v>
      </c>
    </row>
    <row r="215" spans="1:27">
      <c r="A215" s="125" t="s">
        <v>2343</v>
      </c>
      <c r="B215" s="3" t="s">
        <v>532</v>
      </c>
      <c r="C215" s="93">
        <f>IF(A215=Summary!$B$9,Summary!$G$9,0)</f>
        <v>0</v>
      </c>
      <c r="D215" s="134">
        <f>VLOOKUP(A215,AAFTE!$A:$S,3,0)</f>
        <v>50.84</v>
      </c>
      <c r="E215" s="20">
        <f>VLOOKUP($A215,'2022-23 Salary &amp; Benefits'!$A:$I,3,)</f>
        <v>1</v>
      </c>
      <c r="F215" s="20">
        <f>VLOOKUP($A215,'2022-23 Salary &amp; Benefits'!$A:$I,4,)</f>
        <v>1</v>
      </c>
      <c r="G215" s="34">
        <f>VLOOKUP(A215,'CEDARS District FRPL'!$A:$F,6,)</f>
        <v>0</v>
      </c>
      <c r="H215" s="25">
        <f t="shared" si="44"/>
        <v>50.84</v>
      </c>
      <c r="I215" s="39">
        <f t="shared" si="37"/>
        <v>0</v>
      </c>
      <c r="J215" s="24">
        <v>15</v>
      </c>
      <c r="K215" s="26">
        <f t="shared" si="45"/>
        <v>0</v>
      </c>
      <c r="L215" s="24">
        <v>2.3975</v>
      </c>
      <c r="M215" s="24">
        <v>36</v>
      </c>
      <c r="N215" s="27">
        <f t="shared" si="46"/>
        <v>0</v>
      </c>
      <c r="O215" s="102">
        <f t="shared" si="38"/>
        <v>0</v>
      </c>
      <c r="P215" s="21">
        <f>VLOOKUP(A215,'2022-23 Salary &amp; Benefits'!$A:$I,5,)</f>
        <v>68937</v>
      </c>
      <c r="Q215" s="21">
        <f>VLOOKUP(A215,'2022-23 Salary &amp; Benefits'!$A:$I,6,FALSE)</f>
        <v>72728</v>
      </c>
      <c r="R215" s="22">
        <f t="shared" si="39"/>
        <v>0</v>
      </c>
      <c r="S215" s="22">
        <f t="shared" si="40"/>
        <v>0</v>
      </c>
      <c r="T215" s="22">
        <f>'2022-23 Salary &amp; Benefits'!$G$6</f>
        <v>12558.24</v>
      </c>
      <c r="U215" s="23">
        <f>'2022-23 Salary &amp; Benefits'!$H$6</f>
        <v>0.2298</v>
      </c>
      <c r="V215" s="23">
        <f>'2022-23 Salary &amp; Benefits'!$I$6</f>
        <v>0.22339999999999999</v>
      </c>
      <c r="W215" s="22">
        <f t="shared" si="41"/>
        <v>0</v>
      </c>
      <c r="X215" s="22">
        <f t="shared" si="42"/>
        <v>0</v>
      </c>
      <c r="Y215" s="22">
        <f t="shared" si="43"/>
        <v>0</v>
      </c>
      <c r="Z215" s="22">
        <f t="shared" si="47"/>
        <v>0</v>
      </c>
      <c r="AA215" s="22">
        <f t="shared" si="48"/>
        <v>0</v>
      </c>
    </row>
    <row r="216" spans="1:27">
      <c r="A216" s="125" t="s">
        <v>2345</v>
      </c>
      <c r="B216" s="3" t="s">
        <v>536</v>
      </c>
      <c r="C216" s="93">
        <f>IF(A216=Summary!$B$9,Summary!$G$9,0)</f>
        <v>0</v>
      </c>
      <c r="D216" s="134">
        <f>VLOOKUP(A216,AAFTE!$A:$S,3,0)</f>
        <v>646.15</v>
      </c>
      <c r="E216" s="20">
        <f>VLOOKUP($A216,'2022-23 Salary &amp; Benefits'!$A:$I,3,)</f>
        <v>1.06</v>
      </c>
      <c r="F216" s="20">
        <f>VLOOKUP($A216,'2022-23 Salary &amp; Benefits'!$A:$I,4,)</f>
        <v>1.06</v>
      </c>
      <c r="G216" s="34">
        <f>VLOOKUP(A216,'CEDARS District FRPL'!$A:$F,6,)</f>
        <v>0</v>
      </c>
      <c r="H216" s="25">
        <f t="shared" si="44"/>
        <v>646.15</v>
      </c>
      <c r="I216" s="39">
        <f t="shared" si="37"/>
        <v>0</v>
      </c>
      <c r="J216" s="24">
        <v>15</v>
      </c>
      <c r="K216" s="26">
        <f t="shared" si="45"/>
        <v>0</v>
      </c>
      <c r="L216" s="24">
        <v>2.3975</v>
      </c>
      <c r="M216" s="24">
        <v>36</v>
      </c>
      <c r="N216" s="27">
        <f t="shared" si="46"/>
        <v>0</v>
      </c>
      <c r="O216" s="102">
        <f t="shared" si="38"/>
        <v>0</v>
      </c>
      <c r="P216" s="21">
        <f>VLOOKUP(A216,'2022-23 Salary &amp; Benefits'!$A:$I,5,)</f>
        <v>68937</v>
      </c>
      <c r="Q216" s="21">
        <f>VLOOKUP(A216,'2022-23 Salary &amp; Benefits'!$A:$I,6,FALSE)</f>
        <v>72728</v>
      </c>
      <c r="R216" s="22">
        <f t="shared" si="39"/>
        <v>0</v>
      </c>
      <c r="S216" s="22">
        <f t="shared" si="40"/>
        <v>0</v>
      </c>
      <c r="T216" s="22">
        <f>'2022-23 Salary &amp; Benefits'!$G$6</f>
        <v>12558.24</v>
      </c>
      <c r="U216" s="23">
        <f>'2022-23 Salary &amp; Benefits'!$H$6</f>
        <v>0.2298</v>
      </c>
      <c r="V216" s="23">
        <f>'2022-23 Salary &amp; Benefits'!$I$6</f>
        <v>0.22339999999999999</v>
      </c>
      <c r="W216" s="22">
        <f t="shared" si="41"/>
        <v>0</v>
      </c>
      <c r="X216" s="22">
        <f t="shared" si="42"/>
        <v>0</v>
      </c>
      <c r="Y216" s="22">
        <f t="shared" si="43"/>
        <v>0</v>
      </c>
      <c r="Z216" s="22">
        <f t="shared" si="47"/>
        <v>0</v>
      </c>
      <c r="AA216" s="22">
        <f t="shared" si="48"/>
        <v>0</v>
      </c>
    </row>
    <row r="217" spans="1:27">
      <c r="A217" s="125" t="s">
        <v>2282</v>
      </c>
      <c r="B217" s="3" t="s">
        <v>162</v>
      </c>
      <c r="C217" s="93">
        <f>IF(A217=Summary!$B$9,Summary!$G$9,0)</f>
        <v>0</v>
      </c>
      <c r="D217" s="134">
        <f>VLOOKUP(A217,AAFTE!$A:$S,3,0)</f>
        <v>115.57</v>
      </c>
      <c r="E217" s="20">
        <f>VLOOKUP($A217,'2022-23 Salary &amp; Benefits'!$A:$I,3,)</f>
        <v>1</v>
      </c>
      <c r="F217" s="20">
        <f>VLOOKUP($A217,'2022-23 Salary &amp; Benefits'!$A:$I,4,)</f>
        <v>1</v>
      </c>
      <c r="G217" s="34">
        <f>VLOOKUP(A217,'CEDARS District FRPL'!$A:$F,6,)</f>
        <v>0</v>
      </c>
      <c r="H217" s="25">
        <f t="shared" si="44"/>
        <v>115.57</v>
      </c>
      <c r="I217" s="39">
        <f t="shared" si="37"/>
        <v>0</v>
      </c>
      <c r="J217" s="24">
        <v>15</v>
      </c>
      <c r="K217" s="26">
        <f t="shared" si="45"/>
        <v>0</v>
      </c>
      <c r="L217" s="24">
        <v>2.3975</v>
      </c>
      <c r="M217" s="24">
        <v>36</v>
      </c>
      <c r="N217" s="27">
        <f t="shared" si="46"/>
        <v>0</v>
      </c>
      <c r="O217" s="102">
        <f t="shared" si="38"/>
        <v>0</v>
      </c>
      <c r="P217" s="21">
        <f>VLOOKUP(A217,'2022-23 Salary &amp; Benefits'!$A:$I,5,)</f>
        <v>68937</v>
      </c>
      <c r="Q217" s="21">
        <f>VLOOKUP(A217,'2022-23 Salary &amp; Benefits'!$A:$I,6,FALSE)</f>
        <v>72728</v>
      </c>
      <c r="R217" s="22">
        <f t="shared" si="39"/>
        <v>0</v>
      </c>
      <c r="S217" s="22">
        <f t="shared" si="40"/>
        <v>0</v>
      </c>
      <c r="T217" s="22">
        <f>'2022-23 Salary &amp; Benefits'!$G$6</f>
        <v>12558.24</v>
      </c>
      <c r="U217" s="23">
        <f>'2022-23 Salary &amp; Benefits'!$H$6</f>
        <v>0.2298</v>
      </c>
      <c r="V217" s="23">
        <f>'2022-23 Salary &amp; Benefits'!$I$6</f>
        <v>0.22339999999999999</v>
      </c>
      <c r="W217" s="22">
        <f t="shared" si="41"/>
        <v>0</v>
      </c>
      <c r="X217" s="22">
        <f t="shared" si="42"/>
        <v>0</v>
      </c>
      <c r="Y217" s="22">
        <f t="shared" si="43"/>
        <v>0</v>
      </c>
      <c r="Z217" s="22">
        <f t="shared" si="47"/>
        <v>0</v>
      </c>
      <c r="AA217" s="22">
        <f t="shared" si="48"/>
        <v>0</v>
      </c>
    </row>
    <row r="218" spans="1:27">
      <c r="A218" s="125" t="s">
        <v>2281</v>
      </c>
      <c r="B218" s="3" t="s">
        <v>157</v>
      </c>
      <c r="C218" s="93">
        <f>IF(A218=Summary!$B$9,Summary!$G$9,0)</f>
        <v>0</v>
      </c>
      <c r="D218" s="134">
        <f>VLOOKUP(A218,AAFTE!$A:$S,3,0)</f>
        <v>3417.72</v>
      </c>
      <c r="E218" s="20">
        <f>VLOOKUP($A218,'2022-23 Salary &amp; Benefits'!$A:$I,3,)</f>
        <v>1</v>
      </c>
      <c r="F218" s="20">
        <f>VLOOKUP($A218,'2022-23 Salary &amp; Benefits'!$A:$I,4,)</f>
        <v>1</v>
      </c>
      <c r="G218" s="34">
        <f>VLOOKUP(A218,'CEDARS District FRPL'!$A:$F,6,)</f>
        <v>0</v>
      </c>
      <c r="H218" s="25">
        <f t="shared" si="44"/>
        <v>3417.72</v>
      </c>
      <c r="I218" s="39">
        <f t="shared" si="37"/>
        <v>0</v>
      </c>
      <c r="J218" s="24">
        <v>15</v>
      </c>
      <c r="K218" s="26">
        <f t="shared" si="45"/>
        <v>0</v>
      </c>
      <c r="L218" s="24">
        <v>2.3975</v>
      </c>
      <c r="M218" s="24">
        <v>36</v>
      </c>
      <c r="N218" s="27">
        <f t="shared" si="46"/>
        <v>0</v>
      </c>
      <c r="O218" s="102">
        <f t="shared" si="38"/>
        <v>0</v>
      </c>
      <c r="P218" s="21">
        <f>VLOOKUP(A218,'2022-23 Salary &amp; Benefits'!$A:$I,5,)</f>
        <v>68937</v>
      </c>
      <c r="Q218" s="21">
        <f>VLOOKUP(A218,'2022-23 Salary &amp; Benefits'!$A:$I,6,FALSE)</f>
        <v>72728</v>
      </c>
      <c r="R218" s="22">
        <f t="shared" si="39"/>
        <v>0</v>
      </c>
      <c r="S218" s="22">
        <f t="shared" si="40"/>
        <v>0</v>
      </c>
      <c r="T218" s="22">
        <f>'2022-23 Salary &amp; Benefits'!$G$6</f>
        <v>12558.24</v>
      </c>
      <c r="U218" s="23">
        <f>'2022-23 Salary &amp; Benefits'!$H$6</f>
        <v>0.2298</v>
      </c>
      <c r="V218" s="23">
        <f>'2022-23 Salary &amp; Benefits'!$I$6</f>
        <v>0.22339999999999999</v>
      </c>
      <c r="W218" s="22">
        <f t="shared" si="41"/>
        <v>0</v>
      </c>
      <c r="X218" s="22">
        <f t="shared" si="42"/>
        <v>0</v>
      </c>
      <c r="Y218" s="22">
        <f t="shared" si="43"/>
        <v>0</v>
      </c>
      <c r="Z218" s="22">
        <f t="shared" si="47"/>
        <v>0</v>
      </c>
      <c r="AA218" s="22">
        <f t="shared" si="48"/>
        <v>0</v>
      </c>
    </row>
    <row r="219" spans="1:27">
      <c r="A219" s="125" t="s">
        <v>2318</v>
      </c>
      <c r="B219" s="3" t="s">
        <v>415</v>
      </c>
      <c r="C219" s="93">
        <f>IF(A219=Summary!$B$9,Summary!$G$9,0)</f>
        <v>0</v>
      </c>
      <c r="D219" s="134">
        <f>VLOOKUP(A219,AAFTE!$A:$S,3,0)</f>
        <v>3147.02</v>
      </c>
      <c r="E219" s="20">
        <f>VLOOKUP($A219,'2022-23 Salary &amp; Benefits'!$A:$I,3,)</f>
        <v>1</v>
      </c>
      <c r="F219" s="20">
        <f>VLOOKUP($A219,'2022-23 Salary &amp; Benefits'!$A:$I,4,)</f>
        <v>1</v>
      </c>
      <c r="G219" s="34">
        <f>VLOOKUP(A219,'CEDARS District FRPL'!$A:$F,6,)</f>
        <v>1.969999999999994E-2</v>
      </c>
      <c r="H219" s="25">
        <f t="shared" si="44"/>
        <v>3147.02</v>
      </c>
      <c r="I219" s="39">
        <f t="shared" si="37"/>
        <v>62</v>
      </c>
      <c r="J219" s="24">
        <v>15</v>
      </c>
      <c r="K219" s="26">
        <f t="shared" si="45"/>
        <v>4.1333333333333337</v>
      </c>
      <c r="L219" s="24">
        <v>2.3975</v>
      </c>
      <c r="M219" s="24">
        <v>36</v>
      </c>
      <c r="N219" s="27">
        <f t="shared" si="46"/>
        <v>356.74800000000005</v>
      </c>
      <c r="O219" s="102">
        <f t="shared" si="38"/>
        <v>0.39600000000000002</v>
      </c>
      <c r="P219" s="21">
        <f>VLOOKUP(A219,'2022-23 Salary &amp; Benefits'!$A:$I,5,)</f>
        <v>68937</v>
      </c>
      <c r="Q219" s="21">
        <f>VLOOKUP(A219,'2022-23 Salary &amp; Benefits'!$A:$I,6,FALSE)</f>
        <v>72728</v>
      </c>
      <c r="R219" s="22">
        <f t="shared" si="39"/>
        <v>27299.05</v>
      </c>
      <c r="S219" s="22">
        <f t="shared" si="40"/>
        <v>1501.24</v>
      </c>
      <c r="T219" s="22">
        <f>'2022-23 Salary &amp; Benefits'!$G$6</f>
        <v>12558.24</v>
      </c>
      <c r="U219" s="23">
        <f>'2022-23 Salary &amp; Benefits'!$H$6</f>
        <v>0.2298</v>
      </c>
      <c r="V219" s="23">
        <f>'2022-23 Salary &amp; Benefits'!$I$6</f>
        <v>0.22339999999999999</v>
      </c>
      <c r="W219" s="22">
        <f t="shared" si="41"/>
        <v>11581.76</v>
      </c>
      <c r="X219" s="22">
        <f t="shared" si="42"/>
        <v>480</v>
      </c>
      <c r="Y219" s="22">
        <f t="shared" si="43"/>
        <v>107.23</v>
      </c>
      <c r="Z219" s="22">
        <f t="shared" si="47"/>
        <v>587.23</v>
      </c>
      <c r="AA219" s="22">
        <f t="shared" si="48"/>
        <v>40969.279999999999</v>
      </c>
    </row>
    <row r="220" spans="1:27">
      <c r="A220" s="125" t="s">
        <v>2369</v>
      </c>
      <c r="B220" s="3" t="s">
        <v>1014</v>
      </c>
      <c r="C220" s="93">
        <f>IF(A220=Summary!$B$9,Summary!$G$9,0)</f>
        <v>0</v>
      </c>
      <c r="D220" s="134">
        <f>VLOOKUP(A220,AAFTE!$A:$S,3,0)</f>
        <v>328.86</v>
      </c>
      <c r="E220" s="20">
        <f>VLOOKUP($A220,'2022-23 Salary &amp; Benefits'!$A:$I,3,)</f>
        <v>1.18</v>
      </c>
      <c r="F220" s="20">
        <f>VLOOKUP($A220,'2022-23 Salary &amp; Benefits'!$A:$I,4,)</f>
        <v>1.18</v>
      </c>
      <c r="G220" s="34">
        <f>VLOOKUP(A220,'CEDARS District FRPL'!$A:$F,6,)</f>
        <v>0</v>
      </c>
      <c r="H220" s="25">
        <f t="shared" si="44"/>
        <v>328.86</v>
      </c>
      <c r="I220" s="39">
        <f t="shared" si="37"/>
        <v>0</v>
      </c>
      <c r="J220" s="24">
        <v>15</v>
      </c>
      <c r="K220" s="26">
        <f t="shared" si="45"/>
        <v>0</v>
      </c>
      <c r="L220" s="24">
        <v>2.3975</v>
      </c>
      <c r="M220" s="24">
        <v>36</v>
      </c>
      <c r="N220" s="27">
        <f t="shared" si="46"/>
        <v>0</v>
      </c>
      <c r="O220" s="102">
        <f t="shared" si="38"/>
        <v>0</v>
      </c>
      <c r="P220" s="21">
        <f>VLOOKUP(A220,'2022-23 Salary &amp; Benefits'!$A:$I,5,)</f>
        <v>68937</v>
      </c>
      <c r="Q220" s="21">
        <f>VLOOKUP(A220,'2022-23 Salary &amp; Benefits'!$A:$I,6,FALSE)</f>
        <v>72728</v>
      </c>
      <c r="R220" s="22">
        <f t="shared" si="39"/>
        <v>0</v>
      </c>
      <c r="S220" s="22">
        <f t="shared" si="40"/>
        <v>0</v>
      </c>
      <c r="T220" s="22">
        <f>'2022-23 Salary &amp; Benefits'!$G$6</f>
        <v>12558.24</v>
      </c>
      <c r="U220" s="23">
        <f>'2022-23 Salary &amp; Benefits'!$H$6</f>
        <v>0.2298</v>
      </c>
      <c r="V220" s="23">
        <f>'2022-23 Salary &amp; Benefits'!$I$6</f>
        <v>0.22339999999999999</v>
      </c>
      <c r="W220" s="22">
        <f t="shared" si="41"/>
        <v>0</v>
      </c>
      <c r="X220" s="22">
        <f t="shared" si="42"/>
        <v>0</v>
      </c>
      <c r="Y220" s="22">
        <f t="shared" si="43"/>
        <v>0</v>
      </c>
      <c r="Z220" s="22">
        <f t="shared" si="47"/>
        <v>0</v>
      </c>
      <c r="AA220" s="22">
        <f t="shared" si="48"/>
        <v>0</v>
      </c>
    </row>
    <row r="221" spans="1:27">
      <c r="A221" s="125" t="s">
        <v>2519</v>
      </c>
      <c r="B221" s="3" t="s">
        <v>2021</v>
      </c>
      <c r="C221" s="93">
        <f>IF(A221=Summary!$B$9,Summary!$G$9,0)</f>
        <v>0</v>
      </c>
      <c r="D221" s="134">
        <f>VLOOKUP(A221,AAFTE!$A:$S,3,0)</f>
        <v>881.61</v>
      </c>
      <c r="E221" s="20">
        <f>VLOOKUP($A221,'2022-23 Salary &amp; Benefits'!$A:$I,3,)</f>
        <v>1</v>
      </c>
      <c r="F221" s="20">
        <f>VLOOKUP($A221,'2022-23 Salary &amp; Benefits'!$A:$I,4,)</f>
        <v>1</v>
      </c>
      <c r="G221" s="34">
        <f>VLOOKUP(A221,'CEDARS District FRPL'!$A:$F,6,)</f>
        <v>3.2399999999999984E-2</v>
      </c>
      <c r="H221" s="25">
        <f t="shared" si="44"/>
        <v>881.61</v>
      </c>
      <c r="I221" s="39">
        <f t="shared" si="37"/>
        <v>28.56</v>
      </c>
      <c r="J221" s="24">
        <v>15</v>
      </c>
      <c r="K221" s="26">
        <f t="shared" si="45"/>
        <v>1.9039999999999999</v>
      </c>
      <c r="L221" s="24">
        <v>2.3975</v>
      </c>
      <c r="M221" s="24">
        <v>36</v>
      </c>
      <c r="N221" s="27">
        <f t="shared" si="46"/>
        <v>164.33423999999997</v>
      </c>
      <c r="O221" s="102">
        <f t="shared" si="38"/>
        <v>0.183</v>
      </c>
      <c r="P221" s="21">
        <f>VLOOKUP(A221,'2022-23 Salary &amp; Benefits'!$A:$I,5,)</f>
        <v>68937</v>
      </c>
      <c r="Q221" s="21">
        <f>VLOOKUP(A221,'2022-23 Salary &amp; Benefits'!$A:$I,6,FALSE)</f>
        <v>72728</v>
      </c>
      <c r="R221" s="22">
        <f t="shared" si="39"/>
        <v>12615.47</v>
      </c>
      <c r="S221" s="22">
        <f t="shared" si="40"/>
        <v>693.75</v>
      </c>
      <c r="T221" s="22">
        <f>'2022-23 Salary &amp; Benefits'!$G$6</f>
        <v>12558.24</v>
      </c>
      <c r="U221" s="23">
        <f>'2022-23 Salary &amp; Benefits'!$H$6</f>
        <v>0.2298</v>
      </c>
      <c r="V221" s="23">
        <f>'2022-23 Salary &amp; Benefits'!$I$6</f>
        <v>0.22339999999999999</v>
      </c>
      <c r="W221" s="22">
        <f t="shared" si="41"/>
        <v>5352.18</v>
      </c>
      <c r="X221" s="22">
        <f t="shared" si="42"/>
        <v>221.82</v>
      </c>
      <c r="Y221" s="22">
        <f t="shared" si="43"/>
        <v>49.55</v>
      </c>
      <c r="Z221" s="22">
        <f t="shared" si="47"/>
        <v>271.37</v>
      </c>
      <c r="AA221" s="22">
        <f t="shared" si="48"/>
        <v>18932.77</v>
      </c>
    </row>
    <row r="222" spans="1:27">
      <c r="A222" s="125" t="s">
        <v>2587</v>
      </c>
      <c r="B222" s="3" t="s">
        <v>2959</v>
      </c>
      <c r="C222" s="93">
        <f>IF(A222=Summary!$B$9,Summary!$G$9,0)</f>
        <v>0</v>
      </c>
      <c r="D222" s="134">
        <f>VLOOKUP(A222,AAFTE!$A:$S,3,0)</f>
        <v>159</v>
      </c>
      <c r="E222" s="20">
        <f>VLOOKUP($A222,'2022-23 Salary &amp; Benefits'!$A:$I,3,)</f>
        <v>1.18</v>
      </c>
      <c r="F222" s="20">
        <f>VLOOKUP($A222,'2022-23 Salary &amp; Benefits'!$A:$I,4,)</f>
        <v>1.18</v>
      </c>
      <c r="G222" s="34">
        <f>VLOOKUP(A222,'CEDARS District FRPL'!$A:$F,6,)</f>
        <v>0</v>
      </c>
      <c r="H222" s="25">
        <f t="shared" si="44"/>
        <v>159</v>
      </c>
      <c r="I222" s="39">
        <f t="shared" si="37"/>
        <v>0</v>
      </c>
      <c r="J222" s="24">
        <v>15</v>
      </c>
      <c r="K222" s="26">
        <f t="shared" si="45"/>
        <v>0</v>
      </c>
      <c r="L222" s="24">
        <v>2.3975</v>
      </c>
      <c r="M222" s="24">
        <v>36</v>
      </c>
      <c r="N222" s="27">
        <f t="shared" si="46"/>
        <v>0</v>
      </c>
      <c r="O222" s="102">
        <f t="shared" si="38"/>
        <v>0</v>
      </c>
      <c r="P222" s="21">
        <f>VLOOKUP(A222,'2022-23 Salary &amp; Benefits'!$A:$I,5,)</f>
        <v>68937</v>
      </c>
      <c r="Q222" s="21">
        <f>VLOOKUP(A222,'2022-23 Salary &amp; Benefits'!$A:$I,6,FALSE)</f>
        <v>72728</v>
      </c>
      <c r="R222" s="22">
        <f t="shared" si="39"/>
        <v>0</v>
      </c>
      <c r="S222" s="22">
        <f t="shared" si="40"/>
        <v>0</v>
      </c>
      <c r="T222" s="22">
        <f>'2022-23 Salary &amp; Benefits'!$G$6</f>
        <v>12558.24</v>
      </c>
      <c r="U222" s="23">
        <f>'2022-23 Salary &amp; Benefits'!$H$6</f>
        <v>0.2298</v>
      </c>
      <c r="V222" s="23">
        <f>'2022-23 Salary &amp; Benefits'!$I$6</f>
        <v>0.22339999999999999</v>
      </c>
      <c r="W222" s="22">
        <f t="shared" si="41"/>
        <v>0</v>
      </c>
      <c r="X222" s="22">
        <f t="shared" si="42"/>
        <v>0</v>
      </c>
      <c r="Y222" s="22">
        <f t="shared" si="43"/>
        <v>0</v>
      </c>
      <c r="Z222" s="22">
        <f t="shared" si="47"/>
        <v>0</v>
      </c>
      <c r="AA222" s="22">
        <f t="shared" si="48"/>
        <v>0</v>
      </c>
    </row>
    <row r="223" spans="1:27">
      <c r="A223" s="125" t="s">
        <v>2430</v>
      </c>
      <c r="B223" s="3" t="s">
        <v>1267</v>
      </c>
      <c r="C223" s="93">
        <f>IF(A223=Summary!$B$9,Summary!$G$9,0)</f>
        <v>0</v>
      </c>
      <c r="D223" s="134">
        <f>VLOOKUP(A223,AAFTE!$A:$S,3,0)</f>
        <v>520.94000000000005</v>
      </c>
      <c r="E223" s="20">
        <f>VLOOKUP($A223,'2022-23 Salary &amp; Benefits'!$A:$I,3,)</f>
        <v>1</v>
      </c>
      <c r="F223" s="20">
        <f>VLOOKUP($A223,'2022-23 Salary &amp; Benefits'!$A:$I,4,)</f>
        <v>1</v>
      </c>
      <c r="G223" s="34">
        <f>VLOOKUP(A223,'CEDARS District FRPL'!$A:$F,6,)</f>
        <v>0</v>
      </c>
      <c r="H223" s="25">
        <f t="shared" si="44"/>
        <v>520.94000000000005</v>
      </c>
      <c r="I223" s="39">
        <f t="shared" si="37"/>
        <v>0</v>
      </c>
      <c r="J223" s="24">
        <v>15</v>
      </c>
      <c r="K223" s="26">
        <f t="shared" si="45"/>
        <v>0</v>
      </c>
      <c r="L223" s="24">
        <v>2.3975</v>
      </c>
      <c r="M223" s="24">
        <v>36</v>
      </c>
      <c r="N223" s="27">
        <f t="shared" si="46"/>
        <v>0</v>
      </c>
      <c r="O223" s="102">
        <f t="shared" si="38"/>
        <v>0</v>
      </c>
      <c r="P223" s="21">
        <f>VLOOKUP(A223,'2022-23 Salary &amp; Benefits'!$A:$I,5,)</f>
        <v>68937</v>
      </c>
      <c r="Q223" s="21">
        <f>VLOOKUP(A223,'2022-23 Salary &amp; Benefits'!$A:$I,6,FALSE)</f>
        <v>72728</v>
      </c>
      <c r="R223" s="22">
        <f t="shared" si="39"/>
        <v>0</v>
      </c>
      <c r="S223" s="22">
        <f t="shared" si="40"/>
        <v>0</v>
      </c>
      <c r="T223" s="22">
        <f>'2022-23 Salary &amp; Benefits'!$G$6</f>
        <v>12558.24</v>
      </c>
      <c r="U223" s="23">
        <f>'2022-23 Salary &amp; Benefits'!$H$6</f>
        <v>0.2298</v>
      </c>
      <c r="V223" s="23">
        <f>'2022-23 Salary &amp; Benefits'!$I$6</f>
        <v>0.22339999999999999</v>
      </c>
      <c r="W223" s="22">
        <f t="shared" si="41"/>
        <v>0</v>
      </c>
      <c r="X223" s="22">
        <f t="shared" si="42"/>
        <v>0</v>
      </c>
      <c r="Y223" s="22">
        <f t="shared" si="43"/>
        <v>0</v>
      </c>
      <c r="Z223" s="22">
        <f t="shared" si="47"/>
        <v>0</v>
      </c>
      <c r="AA223" s="22">
        <f t="shared" si="48"/>
        <v>0</v>
      </c>
    </row>
    <row r="224" spans="1:27">
      <c r="A224" s="125" t="s">
        <v>2407</v>
      </c>
      <c r="B224" s="3" t="s">
        <v>1184</v>
      </c>
      <c r="C224" s="93">
        <f>IF(A224=Summary!$B$9,Summary!$G$9,0)</f>
        <v>0</v>
      </c>
      <c r="D224" s="134">
        <f>VLOOKUP(A224,AAFTE!$A:$S,3,0)</f>
        <v>722.92</v>
      </c>
      <c r="E224" s="20">
        <f>VLOOKUP($A224,'2022-23 Salary &amp; Benefits'!$A:$I,3,)</f>
        <v>1</v>
      </c>
      <c r="F224" s="20">
        <f>VLOOKUP($A224,'2022-23 Salary &amp; Benefits'!$A:$I,4,)</f>
        <v>1</v>
      </c>
      <c r="G224" s="34">
        <f>VLOOKUP(A224,'CEDARS District FRPL'!$A:$F,6,)</f>
        <v>0</v>
      </c>
      <c r="H224" s="25">
        <f t="shared" si="44"/>
        <v>722.92</v>
      </c>
      <c r="I224" s="39">
        <f t="shared" si="37"/>
        <v>0</v>
      </c>
      <c r="J224" s="24">
        <v>15</v>
      </c>
      <c r="K224" s="26">
        <f t="shared" si="45"/>
        <v>0</v>
      </c>
      <c r="L224" s="24">
        <v>2.3975</v>
      </c>
      <c r="M224" s="24">
        <v>36</v>
      </c>
      <c r="N224" s="27">
        <f t="shared" si="46"/>
        <v>0</v>
      </c>
      <c r="O224" s="102">
        <f t="shared" si="38"/>
        <v>0</v>
      </c>
      <c r="P224" s="21">
        <f>VLOOKUP(A224,'2022-23 Salary &amp; Benefits'!$A:$I,5,)</f>
        <v>68937</v>
      </c>
      <c r="Q224" s="21">
        <f>VLOOKUP(A224,'2022-23 Salary &amp; Benefits'!$A:$I,6,FALSE)</f>
        <v>72728</v>
      </c>
      <c r="R224" s="22">
        <f t="shared" si="39"/>
        <v>0</v>
      </c>
      <c r="S224" s="22">
        <f t="shared" si="40"/>
        <v>0</v>
      </c>
      <c r="T224" s="22">
        <f>'2022-23 Salary &amp; Benefits'!$G$6</f>
        <v>12558.24</v>
      </c>
      <c r="U224" s="23">
        <f>'2022-23 Salary &amp; Benefits'!$H$6</f>
        <v>0.2298</v>
      </c>
      <c r="V224" s="23">
        <f>'2022-23 Salary &amp; Benefits'!$I$6</f>
        <v>0.22339999999999999</v>
      </c>
      <c r="W224" s="22">
        <f t="shared" si="41"/>
        <v>0</v>
      </c>
      <c r="X224" s="22">
        <f t="shared" si="42"/>
        <v>0</v>
      </c>
      <c r="Y224" s="22">
        <f t="shared" si="43"/>
        <v>0</v>
      </c>
      <c r="Z224" s="22">
        <f t="shared" si="47"/>
        <v>0</v>
      </c>
      <c r="AA224" s="22">
        <f t="shared" si="48"/>
        <v>0</v>
      </c>
    </row>
    <row r="225" spans="1:27">
      <c r="A225" s="125" t="s">
        <v>2354</v>
      </c>
      <c r="B225" s="3" t="s">
        <v>736</v>
      </c>
      <c r="C225" s="93">
        <f>IF(A225=Summary!$B$9,Summary!$G$9,0)</f>
        <v>0</v>
      </c>
      <c r="D225" s="134">
        <f>VLOOKUP(A225,AAFTE!$A:$S,3,0)</f>
        <v>14713.81</v>
      </c>
      <c r="E225" s="20">
        <f>VLOOKUP($A225,'2022-23 Salary &amp; Benefits'!$A:$I,3,)</f>
        <v>1.18</v>
      </c>
      <c r="F225" s="20">
        <f>VLOOKUP($A225,'2022-23 Salary &amp; Benefits'!$A:$I,4,)</f>
        <v>1.18</v>
      </c>
      <c r="G225" s="34">
        <f>VLOOKUP(A225,'CEDARS District FRPL'!$A:$F,6,)</f>
        <v>0</v>
      </c>
      <c r="H225" s="25">
        <f t="shared" si="44"/>
        <v>14713.81</v>
      </c>
      <c r="I225" s="39">
        <f t="shared" si="37"/>
        <v>0</v>
      </c>
      <c r="J225" s="24">
        <v>15</v>
      </c>
      <c r="K225" s="26">
        <f t="shared" si="45"/>
        <v>0</v>
      </c>
      <c r="L225" s="24">
        <v>2.3975</v>
      </c>
      <c r="M225" s="24">
        <v>36</v>
      </c>
      <c r="N225" s="27">
        <f t="shared" si="46"/>
        <v>0</v>
      </c>
      <c r="O225" s="102">
        <f t="shared" si="38"/>
        <v>0</v>
      </c>
      <c r="P225" s="21">
        <f>VLOOKUP(A225,'2022-23 Salary &amp; Benefits'!$A:$I,5,)</f>
        <v>68937</v>
      </c>
      <c r="Q225" s="21">
        <f>VLOOKUP(A225,'2022-23 Salary &amp; Benefits'!$A:$I,6,FALSE)</f>
        <v>72728</v>
      </c>
      <c r="R225" s="22">
        <f t="shared" si="39"/>
        <v>0</v>
      </c>
      <c r="S225" s="22">
        <f t="shared" si="40"/>
        <v>0</v>
      </c>
      <c r="T225" s="22">
        <f>'2022-23 Salary &amp; Benefits'!$G$6</f>
        <v>12558.24</v>
      </c>
      <c r="U225" s="23">
        <f>'2022-23 Salary &amp; Benefits'!$H$6</f>
        <v>0.2298</v>
      </c>
      <c r="V225" s="23">
        <f>'2022-23 Salary &amp; Benefits'!$I$6</f>
        <v>0.22339999999999999</v>
      </c>
      <c r="W225" s="22">
        <f t="shared" si="41"/>
        <v>0</v>
      </c>
      <c r="X225" s="22">
        <f t="shared" si="42"/>
        <v>0</v>
      </c>
      <c r="Y225" s="22">
        <f t="shared" si="43"/>
        <v>0</v>
      </c>
      <c r="Z225" s="22">
        <f t="shared" si="47"/>
        <v>0</v>
      </c>
      <c r="AA225" s="22">
        <f t="shared" si="48"/>
        <v>0</v>
      </c>
    </row>
    <row r="226" spans="1:27">
      <c r="A226" s="125" t="s">
        <v>2311</v>
      </c>
      <c r="B226" s="3" t="s">
        <v>367</v>
      </c>
      <c r="C226" s="93">
        <f>IF(A226=Summary!$B$9,Summary!$G$9,0)</f>
        <v>0</v>
      </c>
      <c r="D226" s="134">
        <f>VLOOKUP(A226,AAFTE!$A:$S,3,0)</f>
        <v>362.73</v>
      </c>
      <c r="E226" s="20">
        <f>VLOOKUP($A226,'2022-23 Salary &amp; Benefits'!$A:$I,3,)</f>
        <v>1</v>
      </c>
      <c r="F226" s="20">
        <f>VLOOKUP($A226,'2022-23 Salary &amp; Benefits'!$A:$I,4,)</f>
        <v>1.04</v>
      </c>
      <c r="G226" s="34">
        <f>VLOOKUP(A226,'CEDARS District FRPL'!$A:$F,6,)</f>
        <v>0</v>
      </c>
      <c r="H226" s="25">
        <f t="shared" si="44"/>
        <v>362.73</v>
      </c>
      <c r="I226" s="39">
        <f t="shared" si="37"/>
        <v>0</v>
      </c>
      <c r="J226" s="24">
        <v>15</v>
      </c>
      <c r="K226" s="26">
        <f t="shared" si="45"/>
        <v>0</v>
      </c>
      <c r="L226" s="24">
        <v>2.3975</v>
      </c>
      <c r="M226" s="24">
        <v>36</v>
      </c>
      <c r="N226" s="27">
        <f t="shared" si="46"/>
        <v>0</v>
      </c>
      <c r="O226" s="102">
        <f t="shared" si="38"/>
        <v>0</v>
      </c>
      <c r="P226" s="21">
        <f>VLOOKUP(A226,'2022-23 Salary &amp; Benefits'!$A:$I,5,)</f>
        <v>68937</v>
      </c>
      <c r="Q226" s="21">
        <f>VLOOKUP(A226,'2022-23 Salary &amp; Benefits'!$A:$I,6,FALSE)</f>
        <v>72728</v>
      </c>
      <c r="R226" s="22">
        <f t="shared" si="39"/>
        <v>0</v>
      </c>
      <c r="S226" s="22">
        <f t="shared" si="40"/>
        <v>0</v>
      </c>
      <c r="T226" s="22">
        <f>'2022-23 Salary &amp; Benefits'!$G$6</f>
        <v>12558.24</v>
      </c>
      <c r="U226" s="23">
        <f>'2022-23 Salary &amp; Benefits'!$H$6</f>
        <v>0.2298</v>
      </c>
      <c r="V226" s="23">
        <f>'2022-23 Salary &amp; Benefits'!$I$6</f>
        <v>0.22339999999999999</v>
      </c>
      <c r="W226" s="22">
        <f t="shared" si="41"/>
        <v>0</v>
      </c>
      <c r="X226" s="22">
        <f t="shared" si="42"/>
        <v>0</v>
      </c>
      <c r="Y226" s="22">
        <f t="shared" si="43"/>
        <v>0</v>
      </c>
      <c r="Z226" s="22">
        <f t="shared" si="47"/>
        <v>0</v>
      </c>
      <c r="AA226" s="22">
        <f t="shared" si="48"/>
        <v>0</v>
      </c>
    </row>
    <row r="227" spans="1:27">
      <c r="A227" s="125" t="s">
        <v>2269</v>
      </c>
      <c r="B227" s="3" t="s">
        <v>77</v>
      </c>
      <c r="C227" s="93">
        <f>IF(A227=Summary!$B$9,Summary!$G$9,0)</f>
        <v>0</v>
      </c>
      <c r="D227" s="134">
        <f>VLOOKUP(A227,AAFTE!$A:$S,3,0)</f>
        <v>13409.18</v>
      </c>
      <c r="E227" s="20">
        <f>VLOOKUP($A227,'2022-23 Salary &amp; Benefits'!$A:$I,3,)</f>
        <v>1.03</v>
      </c>
      <c r="F227" s="20">
        <f>VLOOKUP($A227,'2022-23 Salary &amp; Benefits'!$A:$I,4,)</f>
        <v>1.03</v>
      </c>
      <c r="G227" s="34">
        <f>VLOOKUP(A227,'CEDARS District FRPL'!$A:$F,6,)</f>
        <v>9.3999999999999639E-3</v>
      </c>
      <c r="H227" s="25">
        <f t="shared" si="44"/>
        <v>13409.18</v>
      </c>
      <c r="I227" s="39">
        <f t="shared" si="37"/>
        <v>126.05</v>
      </c>
      <c r="J227" s="24">
        <v>15</v>
      </c>
      <c r="K227" s="26">
        <f t="shared" si="45"/>
        <v>8.4033333333333324</v>
      </c>
      <c r="L227" s="24">
        <v>2.3975</v>
      </c>
      <c r="M227" s="24">
        <v>36</v>
      </c>
      <c r="N227" s="27">
        <f t="shared" si="46"/>
        <v>725.29169999999999</v>
      </c>
      <c r="O227" s="102">
        <f t="shared" si="38"/>
        <v>0.80600000000000005</v>
      </c>
      <c r="P227" s="21">
        <f>VLOOKUP(A227,'2022-23 Salary &amp; Benefits'!$A:$I,5,)</f>
        <v>68937</v>
      </c>
      <c r="Q227" s="21">
        <f>VLOOKUP(A227,'2022-23 Salary &amp; Benefits'!$A:$I,6,FALSE)</f>
        <v>72728</v>
      </c>
      <c r="R227" s="22">
        <f t="shared" si="39"/>
        <v>57230.12</v>
      </c>
      <c r="S227" s="22">
        <f t="shared" si="40"/>
        <v>3147.21</v>
      </c>
      <c r="T227" s="22">
        <f>'2022-23 Salary &amp; Benefits'!$G$6</f>
        <v>12558.24</v>
      </c>
      <c r="U227" s="23">
        <f>'2022-23 Salary &amp; Benefits'!$H$6</f>
        <v>0.2298</v>
      </c>
      <c r="V227" s="23">
        <f>'2022-23 Salary &amp; Benefits'!$I$6</f>
        <v>0.22339999999999999</v>
      </c>
      <c r="W227" s="22">
        <f t="shared" si="41"/>
        <v>23976.51</v>
      </c>
      <c r="X227" s="22">
        <f t="shared" si="42"/>
        <v>1006.29</v>
      </c>
      <c r="Y227" s="22">
        <f t="shared" si="43"/>
        <v>224.81</v>
      </c>
      <c r="Z227" s="22">
        <f t="shared" si="47"/>
        <v>1231.0999999999999</v>
      </c>
      <c r="AA227" s="22">
        <f t="shared" si="48"/>
        <v>85584.940000000017</v>
      </c>
    </row>
    <row r="228" spans="1:27">
      <c r="A228" s="125" t="s">
        <v>2291</v>
      </c>
      <c r="B228" s="3" t="s">
        <v>284</v>
      </c>
      <c r="C228" s="93">
        <f>IF(A228=Summary!$B$9,Summary!$G$9,0)</f>
        <v>0</v>
      </c>
      <c r="D228" s="134">
        <f>VLOOKUP(A228,AAFTE!$A:$S,3,0)</f>
        <v>3724.03</v>
      </c>
      <c r="E228" s="20">
        <f>VLOOKUP($A228,'2022-23 Salary &amp; Benefits'!$A:$I,3,)</f>
        <v>1.06</v>
      </c>
      <c r="F228" s="20">
        <f>VLOOKUP($A228,'2022-23 Salary &amp; Benefits'!$A:$I,4,)</f>
        <v>1.06</v>
      </c>
      <c r="G228" s="34">
        <f>VLOOKUP(A228,'CEDARS District FRPL'!$A:$F,6,)</f>
        <v>0</v>
      </c>
      <c r="H228" s="25">
        <f t="shared" si="44"/>
        <v>3724.03</v>
      </c>
      <c r="I228" s="39">
        <f t="shared" si="37"/>
        <v>0</v>
      </c>
      <c r="J228" s="24">
        <v>15</v>
      </c>
      <c r="K228" s="26">
        <f t="shared" si="45"/>
        <v>0</v>
      </c>
      <c r="L228" s="24">
        <v>2.3975</v>
      </c>
      <c r="M228" s="24">
        <v>36</v>
      </c>
      <c r="N228" s="27">
        <f t="shared" si="46"/>
        <v>0</v>
      </c>
      <c r="O228" s="102">
        <f t="shared" si="38"/>
        <v>0</v>
      </c>
      <c r="P228" s="21">
        <f>VLOOKUP(A228,'2022-23 Salary &amp; Benefits'!$A:$I,5,)</f>
        <v>68937</v>
      </c>
      <c r="Q228" s="21">
        <f>VLOOKUP(A228,'2022-23 Salary &amp; Benefits'!$A:$I,6,FALSE)</f>
        <v>72728</v>
      </c>
      <c r="R228" s="22">
        <f t="shared" si="39"/>
        <v>0</v>
      </c>
      <c r="S228" s="22">
        <f t="shared" si="40"/>
        <v>0</v>
      </c>
      <c r="T228" s="22">
        <f>'2022-23 Salary &amp; Benefits'!$G$6</f>
        <v>12558.24</v>
      </c>
      <c r="U228" s="23">
        <f>'2022-23 Salary &amp; Benefits'!$H$6</f>
        <v>0.2298</v>
      </c>
      <c r="V228" s="23">
        <f>'2022-23 Salary &amp; Benefits'!$I$6</f>
        <v>0.22339999999999999</v>
      </c>
      <c r="W228" s="22">
        <f t="shared" si="41"/>
        <v>0</v>
      </c>
      <c r="X228" s="22">
        <f t="shared" si="42"/>
        <v>0</v>
      </c>
      <c r="Y228" s="22">
        <f t="shared" si="43"/>
        <v>0</v>
      </c>
      <c r="Z228" s="22">
        <f t="shared" si="47"/>
        <v>0</v>
      </c>
      <c r="AA228" s="22">
        <f t="shared" si="48"/>
        <v>0</v>
      </c>
    </row>
    <row r="229" spans="1:27">
      <c r="A229" s="125" t="s">
        <v>2261</v>
      </c>
      <c r="B229" s="3" t="s">
        <v>16</v>
      </c>
      <c r="C229" s="93">
        <f>IF(A229=Summary!$B$9,Summary!$G$9,0)</f>
        <v>0</v>
      </c>
      <c r="D229" s="134">
        <f>VLOOKUP(A229,AAFTE!$A:$S,3,0)</f>
        <v>350.45</v>
      </c>
      <c r="E229" s="20">
        <f>VLOOKUP($A229,'2022-23 Salary &amp; Benefits'!$A:$I,3,)</f>
        <v>1</v>
      </c>
      <c r="F229" s="20">
        <f>VLOOKUP($A229,'2022-23 Salary &amp; Benefits'!$A:$I,4,)</f>
        <v>1.04</v>
      </c>
      <c r="G229" s="34">
        <f>VLOOKUP(A229,'CEDARS District FRPL'!$A:$F,6,)</f>
        <v>0</v>
      </c>
      <c r="H229" s="25">
        <f t="shared" si="44"/>
        <v>350.45</v>
      </c>
      <c r="I229" s="39">
        <f t="shared" si="37"/>
        <v>0</v>
      </c>
      <c r="J229" s="24">
        <v>15</v>
      </c>
      <c r="K229" s="26">
        <f t="shared" si="45"/>
        <v>0</v>
      </c>
      <c r="L229" s="24">
        <v>2.3975</v>
      </c>
      <c r="M229" s="24">
        <v>36</v>
      </c>
      <c r="N229" s="27">
        <f t="shared" si="46"/>
        <v>0</v>
      </c>
      <c r="O229" s="102">
        <f t="shared" si="38"/>
        <v>0</v>
      </c>
      <c r="P229" s="21">
        <f>VLOOKUP(A229,'2022-23 Salary &amp; Benefits'!$A:$I,5,)</f>
        <v>68937</v>
      </c>
      <c r="Q229" s="21">
        <f>VLOOKUP(A229,'2022-23 Salary &amp; Benefits'!$A:$I,6,FALSE)</f>
        <v>72728</v>
      </c>
      <c r="R229" s="22">
        <f t="shared" si="39"/>
        <v>0</v>
      </c>
      <c r="S229" s="22">
        <f t="shared" si="40"/>
        <v>0</v>
      </c>
      <c r="T229" s="22">
        <f>'2022-23 Salary &amp; Benefits'!$G$6</f>
        <v>12558.24</v>
      </c>
      <c r="U229" s="23">
        <f>'2022-23 Salary &amp; Benefits'!$H$6</f>
        <v>0.2298</v>
      </c>
      <c r="V229" s="23">
        <f>'2022-23 Salary &amp; Benefits'!$I$6</f>
        <v>0.22339999999999999</v>
      </c>
      <c r="W229" s="22">
        <f t="shared" si="41"/>
        <v>0</v>
      </c>
      <c r="X229" s="22">
        <f t="shared" si="42"/>
        <v>0</v>
      </c>
      <c r="Y229" s="22">
        <f t="shared" si="43"/>
        <v>0</v>
      </c>
      <c r="Z229" s="22">
        <f t="shared" si="47"/>
        <v>0</v>
      </c>
      <c r="AA229" s="22">
        <f t="shared" si="48"/>
        <v>0</v>
      </c>
    </row>
    <row r="230" spans="1:27">
      <c r="A230" s="125" t="s">
        <v>2499</v>
      </c>
      <c r="B230" s="3" t="s">
        <v>1914</v>
      </c>
      <c r="C230" s="93">
        <f>IF(A230=Summary!$B$9,Summary!$G$9,0)</f>
        <v>0</v>
      </c>
      <c r="D230" s="134">
        <f>VLOOKUP(A230,AAFTE!$A:$S,3,0)</f>
        <v>1434.33</v>
      </c>
      <c r="E230" s="20">
        <f>VLOOKUP($A230,'2022-23 Salary &amp; Benefits'!$A:$I,3,)</f>
        <v>1</v>
      </c>
      <c r="F230" s="20">
        <f>VLOOKUP($A230,'2022-23 Salary &amp; Benefits'!$A:$I,4,)</f>
        <v>1</v>
      </c>
      <c r="G230" s="34">
        <f>VLOOKUP(A230,'CEDARS District FRPL'!$A:$F,6,)</f>
        <v>1.6800000000000037E-2</v>
      </c>
      <c r="H230" s="25">
        <f t="shared" si="44"/>
        <v>1434.33</v>
      </c>
      <c r="I230" s="39">
        <f t="shared" si="37"/>
        <v>24.1</v>
      </c>
      <c r="J230" s="24">
        <v>15</v>
      </c>
      <c r="K230" s="26">
        <f t="shared" si="45"/>
        <v>1.6066666666666667</v>
      </c>
      <c r="L230" s="24">
        <v>2.3975</v>
      </c>
      <c r="M230" s="24">
        <v>36</v>
      </c>
      <c r="N230" s="27">
        <f t="shared" si="46"/>
        <v>138.67140000000001</v>
      </c>
      <c r="O230" s="102">
        <f t="shared" si="38"/>
        <v>0.154</v>
      </c>
      <c r="P230" s="21">
        <f>VLOOKUP(A230,'2022-23 Salary &amp; Benefits'!$A:$I,5,)</f>
        <v>68937</v>
      </c>
      <c r="Q230" s="21">
        <f>VLOOKUP(A230,'2022-23 Salary &amp; Benefits'!$A:$I,6,FALSE)</f>
        <v>72728</v>
      </c>
      <c r="R230" s="22">
        <f t="shared" si="39"/>
        <v>10616.3</v>
      </c>
      <c r="S230" s="22">
        <f t="shared" si="40"/>
        <v>583.80999999999995</v>
      </c>
      <c r="T230" s="22">
        <f>'2022-23 Salary &amp; Benefits'!$G$6</f>
        <v>12558.24</v>
      </c>
      <c r="U230" s="23">
        <f>'2022-23 Salary &amp; Benefits'!$H$6</f>
        <v>0.2298</v>
      </c>
      <c r="V230" s="23">
        <f>'2022-23 Salary &amp; Benefits'!$I$6</f>
        <v>0.22339999999999999</v>
      </c>
      <c r="W230" s="22">
        <f t="shared" si="41"/>
        <v>4504.0200000000004</v>
      </c>
      <c r="X230" s="22">
        <f t="shared" si="42"/>
        <v>186.67</v>
      </c>
      <c r="Y230" s="22">
        <f t="shared" si="43"/>
        <v>41.7</v>
      </c>
      <c r="Z230" s="22">
        <f t="shared" si="47"/>
        <v>228.37</v>
      </c>
      <c r="AA230" s="22">
        <f t="shared" si="48"/>
        <v>15932.5</v>
      </c>
    </row>
    <row r="231" spans="1:27">
      <c r="A231" s="125" t="s">
        <v>2358</v>
      </c>
      <c r="B231" s="3" t="s">
        <v>798</v>
      </c>
      <c r="C231" s="93">
        <f>IF(A231=Summary!$B$9,Summary!$G$9,0)</f>
        <v>0</v>
      </c>
      <c r="D231" s="134">
        <f>VLOOKUP(A231,AAFTE!$A:$S,3,0)</f>
        <v>3033.11</v>
      </c>
      <c r="E231" s="20">
        <f>VLOOKUP($A231,'2022-23 Salary &amp; Benefits'!$A:$I,3,)</f>
        <v>1.18</v>
      </c>
      <c r="F231" s="20">
        <f>VLOOKUP($A231,'2022-23 Salary &amp; Benefits'!$A:$I,4,)</f>
        <v>1.18</v>
      </c>
      <c r="G231" s="34">
        <f>VLOOKUP(A231,'CEDARS District FRPL'!$A:$F,6,)</f>
        <v>5.400000000000002E-3</v>
      </c>
      <c r="H231" s="25">
        <f t="shared" si="44"/>
        <v>3033.11</v>
      </c>
      <c r="I231" s="39">
        <f t="shared" si="37"/>
        <v>16.38</v>
      </c>
      <c r="J231" s="24">
        <v>15</v>
      </c>
      <c r="K231" s="26">
        <f t="shared" si="45"/>
        <v>1.0919999999999999</v>
      </c>
      <c r="L231" s="24">
        <v>2.3975</v>
      </c>
      <c r="M231" s="24">
        <v>36</v>
      </c>
      <c r="N231" s="27">
        <f t="shared" si="46"/>
        <v>94.25051999999998</v>
      </c>
      <c r="O231" s="102">
        <f t="shared" si="38"/>
        <v>0.105</v>
      </c>
      <c r="P231" s="21">
        <f>VLOOKUP(A231,'2022-23 Salary &amp; Benefits'!$A:$I,5,)</f>
        <v>68937</v>
      </c>
      <c r="Q231" s="21">
        <f>VLOOKUP(A231,'2022-23 Salary &amp; Benefits'!$A:$I,6,FALSE)</f>
        <v>72728</v>
      </c>
      <c r="R231" s="22">
        <f t="shared" si="39"/>
        <v>8541.2900000000009</v>
      </c>
      <c r="S231" s="22">
        <f t="shared" si="40"/>
        <v>469.71</v>
      </c>
      <c r="T231" s="22">
        <f>'2022-23 Salary &amp; Benefits'!$G$6</f>
        <v>12558.24</v>
      </c>
      <c r="U231" s="23">
        <f>'2022-23 Salary &amp; Benefits'!$H$6</f>
        <v>0.2298</v>
      </c>
      <c r="V231" s="23">
        <f>'2022-23 Salary &amp; Benefits'!$I$6</f>
        <v>0.22339999999999999</v>
      </c>
      <c r="W231" s="22">
        <f t="shared" si="41"/>
        <v>3386.34</v>
      </c>
      <c r="X231" s="22">
        <f t="shared" si="42"/>
        <v>150.18</v>
      </c>
      <c r="Y231" s="22">
        <f t="shared" si="43"/>
        <v>33.549999999999997</v>
      </c>
      <c r="Z231" s="22">
        <f t="shared" si="47"/>
        <v>183.73000000000002</v>
      </c>
      <c r="AA231" s="22">
        <f t="shared" si="48"/>
        <v>12581.07</v>
      </c>
    </row>
    <row r="232" spans="1:27">
      <c r="A232" s="125" t="s">
        <v>2521</v>
      </c>
      <c r="B232" s="3" t="s">
        <v>2025</v>
      </c>
      <c r="C232" s="93">
        <f>IF(A232=Summary!$B$9,Summary!$G$9,0)</f>
        <v>0</v>
      </c>
      <c r="D232" s="134">
        <f>VLOOKUP(A232,AAFTE!$A:$S,3,0)</f>
        <v>2082.7600000000002</v>
      </c>
      <c r="E232" s="20">
        <f>VLOOKUP($A232,'2022-23 Salary &amp; Benefits'!$A:$I,3,)</f>
        <v>1</v>
      </c>
      <c r="F232" s="20">
        <f>VLOOKUP($A232,'2022-23 Salary &amp; Benefits'!$A:$I,4,)</f>
        <v>1</v>
      </c>
      <c r="G232" s="34">
        <f>VLOOKUP(A232,'CEDARS District FRPL'!$A:$F,6,)</f>
        <v>2.9100000000000015E-2</v>
      </c>
      <c r="H232" s="25">
        <f t="shared" si="44"/>
        <v>2082.7600000000002</v>
      </c>
      <c r="I232" s="39">
        <f t="shared" si="37"/>
        <v>60.61</v>
      </c>
      <c r="J232" s="24">
        <v>15</v>
      </c>
      <c r="K232" s="26">
        <f t="shared" si="45"/>
        <v>4.0406666666666666</v>
      </c>
      <c r="L232" s="24">
        <v>2.3975</v>
      </c>
      <c r="M232" s="24">
        <v>36</v>
      </c>
      <c r="N232" s="27">
        <f t="shared" si="46"/>
        <v>348.74993999999998</v>
      </c>
      <c r="O232" s="102">
        <f t="shared" si="38"/>
        <v>0.38700000000000001</v>
      </c>
      <c r="P232" s="21">
        <f>VLOOKUP(A232,'2022-23 Salary &amp; Benefits'!$A:$I,5,)</f>
        <v>68937</v>
      </c>
      <c r="Q232" s="21">
        <f>VLOOKUP(A232,'2022-23 Salary &amp; Benefits'!$A:$I,6,FALSE)</f>
        <v>72728</v>
      </c>
      <c r="R232" s="22">
        <f t="shared" si="39"/>
        <v>26678.62</v>
      </c>
      <c r="S232" s="22">
        <f t="shared" si="40"/>
        <v>1467.12</v>
      </c>
      <c r="T232" s="22">
        <f>'2022-23 Salary &amp; Benefits'!$G$6</f>
        <v>12558.24</v>
      </c>
      <c r="U232" s="23">
        <f>'2022-23 Salary &amp; Benefits'!$H$6</f>
        <v>0.2298</v>
      </c>
      <c r="V232" s="23">
        <f>'2022-23 Salary &amp; Benefits'!$I$6</f>
        <v>0.22339999999999999</v>
      </c>
      <c r="W232" s="22">
        <f t="shared" si="41"/>
        <v>11318.54</v>
      </c>
      <c r="X232" s="22">
        <f t="shared" si="42"/>
        <v>469.1</v>
      </c>
      <c r="Y232" s="22">
        <f t="shared" si="43"/>
        <v>104.8</v>
      </c>
      <c r="Z232" s="22">
        <f t="shared" si="47"/>
        <v>573.9</v>
      </c>
      <c r="AA232" s="22">
        <f t="shared" si="48"/>
        <v>40038.180000000008</v>
      </c>
    </row>
    <row r="233" spans="1:27">
      <c r="A233" s="125" t="s">
        <v>2389</v>
      </c>
      <c r="B233" s="3" t="s">
        <v>1118</v>
      </c>
      <c r="C233" s="93">
        <f>IF(A233=Summary!$B$9,Summary!$G$9,0)</f>
        <v>0</v>
      </c>
      <c r="D233" s="134">
        <f>VLOOKUP(A233,AAFTE!$A:$S,3,0)</f>
        <v>34.57</v>
      </c>
      <c r="E233" s="20">
        <f>VLOOKUP($A233,'2022-23 Salary &amp; Benefits'!$A:$I,3,)</f>
        <v>1</v>
      </c>
      <c r="F233" s="20">
        <f>VLOOKUP($A233,'2022-23 Salary &amp; Benefits'!$A:$I,4,)</f>
        <v>1</v>
      </c>
      <c r="G233" s="34">
        <f>VLOOKUP(A233,'CEDARS District FRPL'!$A:$F,6,)</f>
        <v>0</v>
      </c>
      <c r="H233" s="25">
        <f t="shared" si="44"/>
        <v>34.57</v>
      </c>
      <c r="I233" s="39">
        <f t="shared" si="37"/>
        <v>0</v>
      </c>
      <c r="J233" s="24">
        <v>15</v>
      </c>
      <c r="K233" s="26">
        <f t="shared" si="45"/>
        <v>0</v>
      </c>
      <c r="L233" s="24">
        <v>2.3975</v>
      </c>
      <c r="M233" s="24">
        <v>36</v>
      </c>
      <c r="N233" s="27">
        <f t="shared" si="46"/>
        <v>0</v>
      </c>
      <c r="O233" s="102">
        <f t="shared" si="38"/>
        <v>0</v>
      </c>
      <c r="P233" s="21">
        <f>VLOOKUP(A233,'2022-23 Salary &amp; Benefits'!$A:$I,5,)</f>
        <v>68937</v>
      </c>
      <c r="Q233" s="21">
        <f>VLOOKUP(A233,'2022-23 Salary &amp; Benefits'!$A:$I,6,FALSE)</f>
        <v>72728</v>
      </c>
      <c r="R233" s="22">
        <f t="shared" si="39"/>
        <v>0</v>
      </c>
      <c r="S233" s="22">
        <f t="shared" si="40"/>
        <v>0</v>
      </c>
      <c r="T233" s="22">
        <f>'2022-23 Salary &amp; Benefits'!$G$6</f>
        <v>12558.24</v>
      </c>
      <c r="U233" s="23">
        <f>'2022-23 Salary &amp; Benefits'!$H$6</f>
        <v>0.2298</v>
      </c>
      <c r="V233" s="23">
        <f>'2022-23 Salary &amp; Benefits'!$I$6</f>
        <v>0.22339999999999999</v>
      </c>
      <c r="W233" s="22">
        <f t="shared" si="41"/>
        <v>0</v>
      </c>
      <c r="X233" s="22">
        <f t="shared" si="42"/>
        <v>0</v>
      </c>
      <c r="Y233" s="22">
        <f t="shared" si="43"/>
        <v>0</v>
      </c>
      <c r="Z233" s="22">
        <f t="shared" si="47"/>
        <v>0</v>
      </c>
      <c r="AA233" s="22">
        <f t="shared" si="48"/>
        <v>0</v>
      </c>
    </row>
    <row r="234" spans="1:27">
      <c r="A234" s="125" t="s">
        <v>2550</v>
      </c>
      <c r="B234" s="3" t="s">
        <v>2156</v>
      </c>
      <c r="C234" s="93">
        <f>IF(A234=Summary!$B$9,Summary!$G$9,0)</f>
        <v>0</v>
      </c>
      <c r="D234" s="134">
        <f>VLOOKUP(A234,AAFTE!$A:$S,3,0)</f>
        <v>152.57</v>
      </c>
      <c r="E234" s="20">
        <f>VLOOKUP($A234,'2022-23 Salary &amp; Benefits'!$A:$I,3,)</f>
        <v>1</v>
      </c>
      <c r="F234" s="20">
        <f>VLOOKUP($A234,'2022-23 Salary &amp; Benefits'!$A:$I,4,)</f>
        <v>1.04</v>
      </c>
      <c r="G234" s="34">
        <f>VLOOKUP(A234,'CEDARS District FRPL'!$A:$F,6,)</f>
        <v>0</v>
      </c>
      <c r="H234" s="25">
        <f t="shared" si="44"/>
        <v>152.57</v>
      </c>
      <c r="I234" s="39">
        <f t="shared" si="37"/>
        <v>0</v>
      </c>
      <c r="J234" s="24">
        <v>15</v>
      </c>
      <c r="K234" s="26">
        <f t="shared" si="45"/>
        <v>0</v>
      </c>
      <c r="L234" s="24">
        <v>2.3975</v>
      </c>
      <c r="M234" s="24">
        <v>36</v>
      </c>
      <c r="N234" s="27">
        <f t="shared" si="46"/>
        <v>0</v>
      </c>
      <c r="O234" s="102">
        <f t="shared" si="38"/>
        <v>0</v>
      </c>
      <c r="P234" s="21">
        <f>VLOOKUP(A234,'2022-23 Salary &amp; Benefits'!$A:$I,5,)</f>
        <v>68937</v>
      </c>
      <c r="Q234" s="21">
        <f>VLOOKUP(A234,'2022-23 Salary &amp; Benefits'!$A:$I,6,FALSE)</f>
        <v>72728</v>
      </c>
      <c r="R234" s="22">
        <f t="shared" si="39"/>
        <v>0</v>
      </c>
      <c r="S234" s="22">
        <f t="shared" si="40"/>
        <v>0</v>
      </c>
      <c r="T234" s="22">
        <f>'2022-23 Salary &amp; Benefits'!$G$6</f>
        <v>12558.24</v>
      </c>
      <c r="U234" s="23">
        <f>'2022-23 Salary &amp; Benefits'!$H$6</f>
        <v>0.2298</v>
      </c>
      <c r="V234" s="23">
        <f>'2022-23 Salary &amp; Benefits'!$I$6</f>
        <v>0.22339999999999999</v>
      </c>
      <c r="W234" s="22">
        <f t="shared" si="41"/>
        <v>0</v>
      </c>
      <c r="X234" s="22">
        <f t="shared" si="42"/>
        <v>0</v>
      </c>
      <c r="Y234" s="22">
        <f t="shared" si="43"/>
        <v>0</v>
      </c>
      <c r="Z234" s="22">
        <f t="shared" si="47"/>
        <v>0</v>
      </c>
      <c r="AA234" s="22">
        <f t="shared" si="48"/>
        <v>0</v>
      </c>
    </row>
    <row r="235" spans="1:27">
      <c r="A235" s="125" t="s">
        <v>2322</v>
      </c>
      <c r="B235" s="3" t="s">
        <v>431</v>
      </c>
      <c r="C235" s="93">
        <f>IF(A235=Summary!$B$9,Summary!$G$9,0)</f>
        <v>0</v>
      </c>
      <c r="D235" s="134">
        <f>VLOOKUP(A235,AAFTE!$A:$S,3,0)</f>
        <v>1753.41</v>
      </c>
      <c r="E235" s="20">
        <f>VLOOKUP($A235,'2022-23 Salary &amp; Benefits'!$A:$I,3,)</f>
        <v>1</v>
      </c>
      <c r="F235" s="20">
        <f>VLOOKUP($A235,'2022-23 Salary &amp; Benefits'!$A:$I,4,)</f>
        <v>1</v>
      </c>
      <c r="G235" s="34">
        <f>VLOOKUP(A235,'CEDARS District FRPL'!$A:$F,6,)</f>
        <v>1.4699999999999935E-2</v>
      </c>
      <c r="H235" s="25">
        <f t="shared" si="44"/>
        <v>1753.41</v>
      </c>
      <c r="I235" s="39">
        <f t="shared" si="37"/>
        <v>25.78</v>
      </c>
      <c r="J235" s="24">
        <v>15</v>
      </c>
      <c r="K235" s="26">
        <f t="shared" si="45"/>
        <v>1.7186666666666668</v>
      </c>
      <c r="L235" s="24">
        <v>2.3975</v>
      </c>
      <c r="M235" s="24">
        <v>36</v>
      </c>
      <c r="N235" s="27">
        <f t="shared" si="46"/>
        <v>148.33812</v>
      </c>
      <c r="O235" s="102">
        <f t="shared" si="38"/>
        <v>0.16500000000000001</v>
      </c>
      <c r="P235" s="21">
        <f>VLOOKUP(A235,'2022-23 Salary &amp; Benefits'!$A:$I,5,)</f>
        <v>68937</v>
      </c>
      <c r="Q235" s="21">
        <f>VLOOKUP(A235,'2022-23 Salary &amp; Benefits'!$A:$I,6,FALSE)</f>
        <v>72728</v>
      </c>
      <c r="R235" s="22">
        <f t="shared" si="39"/>
        <v>11374.61</v>
      </c>
      <c r="S235" s="22">
        <f t="shared" si="40"/>
        <v>625.51</v>
      </c>
      <c r="T235" s="22">
        <f>'2022-23 Salary &amp; Benefits'!$G$6</f>
        <v>12558.24</v>
      </c>
      <c r="U235" s="23">
        <f>'2022-23 Salary &amp; Benefits'!$H$6</f>
        <v>0.2298</v>
      </c>
      <c r="V235" s="23">
        <f>'2022-23 Salary &amp; Benefits'!$I$6</f>
        <v>0.22339999999999999</v>
      </c>
      <c r="W235" s="22">
        <f t="shared" si="41"/>
        <v>4825.7299999999996</v>
      </c>
      <c r="X235" s="22">
        <f t="shared" si="42"/>
        <v>200</v>
      </c>
      <c r="Y235" s="22">
        <f t="shared" si="43"/>
        <v>44.68</v>
      </c>
      <c r="Z235" s="22">
        <f t="shared" si="47"/>
        <v>244.68</v>
      </c>
      <c r="AA235" s="22">
        <f t="shared" si="48"/>
        <v>17070.53</v>
      </c>
    </row>
    <row r="236" spans="1:27">
      <c r="A236" s="125" t="s">
        <v>2459</v>
      </c>
      <c r="B236" s="3" t="s">
        <v>1537</v>
      </c>
      <c r="C236" s="93">
        <f>IF(A236=Summary!$B$9,Summary!$G$9,0)</f>
        <v>0</v>
      </c>
      <c r="D236" s="134">
        <f>VLOOKUP(A236,AAFTE!$A:$S,3,0)</f>
        <v>776.57</v>
      </c>
      <c r="E236" s="20">
        <f>VLOOKUP($A236,'2022-23 Salary &amp; Benefits'!$A:$I,3,)</f>
        <v>1.1200000000000001</v>
      </c>
      <c r="F236" s="20">
        <f>VLOOKUP($A236,'2022-23 Salary &amp; Benefits'!$A:$I,4,)</f>
        <v>1.1200000000000001</v>
      </c>
      <c r="G236" s="34">
        <f>VLOOKUP(A236,'CEDARS District FRPL'!$A:$F,6,)</f>
        <v>4.5300000000000007E-2</v>
      </c>
      <c r="H236" s="25">
        <f t="shared" si="44"/>
        <v>776.57</v>
      </c>
      <c r="I236" s="39">
        <f t="shared" si="37"/>
        <v>35.18</v>
      </c>
      <c r="J236" s="24">
        <v>15</v>
      </c>
      <c r="K236" s="26">
        <f t="shared" si="45"/>
        <v>2.3453333333333335</v>
      </c>
      <c r="L236" s="24">
        <v>2.3975</v>
      </c>
      <c r="M236" s="24">
        <v>36</v>
      </c>
      <c r="N236" s="27">
        <f t="shared" si="46"/>
        <v>202.42572000000001</v>
      </c>
      <c r="O236" s="102">
        <f t="shared" si="38"/>
        <v>0.22500000000000001</v>
      </c>
      <c r="P236" s="21">
        <f>VLOOKUP(A236,'2022-23 Salary &amp; Benefits'!$A:$I,5,)</f>
        <v>68937</v>
      </c>
      <c r="Q236" s="21">
        <f>VLOOKUP(A236,'2022-23 Salary &amp; Benefits'!$A:$I,6,FALSE)</f>
        <v>72728</v>
      </c>
      <c r="R236" s="22">
        <f t="shared" si="39"/>
        <v>17372.12</v>
      </c>
      <c r="S236" s="22">
        <f t="shared" si="40"/>
        <v>955.34</v>
      </c>
      <c r="T236" s="22">
        <f>'2022-23 Salary &amp; Benefits'!$G$6</f>
        <v>12558.24</v>
      </c>
      <c r="U236" s="23">
        <f>'2022-23 Salary &amp; Benefits'!$H$6</f>
        <v>0.2298</v>
      </c>
      <c r="V236" s="23">
        <f>'2022-23 Salary &amp; Benefits'!$I$6</f>
        <v>0.22339999999999999</v>
      </c>
      <c r="W236" s="22">
        <f t="shared" si="41"/>
        <v>7031.14</v>
      </c>
      <c r="X236" s="22">
        <f t="shared" si="42"/>
        <v>305.45999999999998</v>
      </c>
      <c r="Y236" s="22">
        <f t="shared" si="43"/>
        <v>68.239999999999995</v>
      </c>
      <c r="Z236" s="22">
        <f t="shared" si="47"/>
        <v>373.7</v>
      </c>
      <c r="AA236" s="22">
        <f t="shared" si="48"/>
        <v>25732.3</v>
      </c>
    </row>
    <row r="237" spans="1:27">
      <c r="A237" s="125" t="s">
        <v>2336</v>
      </c>
      <c r="B237" s="3" t="s">
        <v>503</v>
      </c>
      <c r="C237" s="93">
        <f>IF(A237=Summary!$B$9,Summary!$G$9,0)</f>
        <v>0</v>
      </c>
      <c r="D237" s="134">
        <f>VLOOKUP(A237,AAFTE!$A:$S,3,0)</f>
        <v>54.29</v>
      </c>
      <c r="E237" s="20">
        <f>VLOOKUP($A237,'2022-23 Salary &amp; Benefits'!$A:$I,3,)</f>
        <v>1</v>
      </c>
      <c r="F237" s="20">
        <f>VLOOKUP($A237,'2022-23 Salary &amp; Benefits'!$A:$I,4,)</f>
        <v>1</v>
      </c>
      <c r="G237" s="34">
        <f>VLOOKUP(A237,'CEDARS District FRPL'!$A:$F,6,)</f>
        <v>0</v>
      </c>
      <c r="H237" s="25">
        <f t="shared" si="44"/>
        <v>54.29</v>
      </c>
      <c r="I237" s="39">
        <f t="shared" si="37"/>
        <v>0</v>
      </c>
      <c r="J237" s="24">
        <v>15</v>
      </c>
      <c r="K237" s="26">
        <f t="shared" si="45"/>
        <v>0</v>
      </c>
      <c r="L237" s="24">
        <v>2.3975</v>
      </c>
      <c r="M237" s="24">
        <v>36</v>
      </c>
      <c r="N237" s="27">
        <f t="shared" si="46"/>
        <v>0</v>
      </c>
      <c r="O237" s="102">
        <f t="shared" si="38"/>
        <v>0</v>
      </c>
      <c r="P237" s="21">
        <f>VLOOKUP(A237,'2022-23 Salary &amp; Benefits'!$A:$I,5,)</f>
        <v>68937</v>
      </c>
      <c r="Q237" s="21">
        <f>VLOOKUP(A237,'2022-23 Salary &amp; Benefits'!$A:$I,6,FALSE)</f>
        <v>72728</v>
      </c>
      <c r="R237" s="22">
        <f t="shared" si="39"/>
        <v>0</v>
      </c>
      <c r="S237" s="22">
        <f t="shared" si="40"/>
        <v>0</v>
      </c>
      <c r="T237" s="22">
        <f>'2022-23 Salary &amp; Benefits'!$G$6</f>
        <v>12558.24</v>
      </c>
      <c r="U237" s="23">
        <f>'2022-23 Salary &amp; Benefits'!$H$6</f>
        <v>0.2298</v>
      </c>
      <c r="V237" s="23">
        <f>'2022-23 Salary &amp; Benefits'!$I$6</f>
        <v>0.22339999999999999</v>
      </c>
      <c r="W237" s="22">
        <f t="shared" si="41"/>
        <v>0</v>
      </c>
      <c r="X237" s="22">
        <f t="shared" si="42"/>
        <v>0</v>
      </c>
      <c r="Y237" s="22">
        <f t="shared" si="43"/>
        <v>0</v>
      </c>
      <c r="Z237" s="22">
        <f t="shared" si="47"/>
        <v>0</v>
      </c>
      <c r="AA237" s="22">
        <f t="shared" si="48"/>
        <v>0</v>
      </c>
    </row>
    <row r="238" spans="1:27">
      <c r="A238" s="125" t="s">
        <v>2348</v>
      </c>
      <c r="B238" s="3" t="s">
        <v>547</v>
      </c>
      <c r="C238" s="93">
        <f>IF(A238=Summary!$B$9,Summary!$G$9,0)</f>
        <v>0</v>
      </c>
      <c r="D238" s="134">
        <f>VLOOKUP(A238,AAFTE!$A:$S,3,0)</f>
        <v>50543.58</v>
      </c>
      <c r="E238" s="20">
        <f>VLOOKUP($A238,'2022-23 Salary &amp; Benefits'!$A:$I,3,)</f>
        <v>1.18</v>
      </c>
      <c r="F238" s="20">
        <f>VLOOKUP($A238,'2022-23 Salary &amp; Benefits'!$A:$I,4,)</f>
        <v>1.18</v>
      </c>
      <c r="G238" s="34">
        <f>VLOOKUP(A238,'CEDARS District FRPL'!$A:$F,6,)</f>
        <v>0</v>
      </c>
      <c r="H238" s="25">
        <f t="shared" si="44"/>
        <v>50543.58</v>
      </c>
      <c r="I238" s="39">
        <f t="shared" si="37"/>
        <v>0</v>
      </c>
      <c r="J238" s="24">
        <v>15</v>
      </c>
      <c r="K238" s="26">
        <f t="shared" si="45"/>
        <v>0</v>
      </c>
      <c r="L238" s="24">
        <v>2.3975</v>
      </c>
      <c r="M238" s="24">
        <v>36</v>
      </c>
      <c r="N238" s="27">
        <f t="shared" si="46"/>
        <v>0</v>
      </c>
      <c r="O238" s="102">
        <f t="shared" si="38"/>
        <v>0</v>
      </c>
      <c r="P238" s="21">
        <f>VLOOKUP(A238,'2022-23 Salary &amp; Benefits'!$A:$I,5,)</f>
        <v>68937</v>
      </c>
      <c r="Q238" s="21">
        <f>VLOOKUP(A238,'2022-23 Salary &amp; Benefits'!$A:$I,6,FALSE)</f>
        <v>72728</v>
      </c>
      <c r="R238" s="22">
        <f t="shared" si="39"/>
        <v>0</v>
      </c>
      <c r="S238" s="22">
        <f t="shared" si="40"/>
        <v>0</v>
      </c>
      <c r="T238" s="22">
        <f>'2022-23 Salary &amp; Benefits'!$G$6</f>
        <v>12558.24</v>
      </c>
      <c r="U238" s="23">
        <f>'2022-23 Salary &amp; Benefits'!$H$6</f>
        <v>0.2298</v>
      </c>
      <c r="V238" s="23">
        <f>'2022-23 Salary &amp; Benefits'!$I$6</f>
        <v>0.22339999999999999</v>
      </c>
      <c r="W238" s="22">
        <f t="shared" si="41"/>
        <v>0</v>
      </c>
      <c r="X238" s="22">
        <f t="shared" si="42"/>
        <v>0</v>
      </c>
      <c r="Y238" s="22">
        <f t="shared" si="43"/>
        <v>0</v>
      </c>
      <c r="Z238" s="22">
        <f t="shared" si="47"/>
        <v>0</v>
      </c>
      <c r="AA238" s="22">
        <f t="shared" si="48"/>
        <v>0</v>
      </c>
    </row>
    <row r="239" spans="1:27">
      <c r="A239" s="125" t="s">
        <v>2462</v>
      </c>
      <c r="B239" s="3" t="s">
        <v>1554</v>
      </c>
      <c r="C239" s="93">
        <f>IF(A239=Summary!$B$9,Summary!$G$9,0)</f>
        <v>0</v>
      </c>
      <c r="D239" s="134">
        <f>VLOOKUP(A239,AAFTE!$A:$S,3,0)</f>
        <v>4296.6899999999996</v>
      </c>
      <c r="E239" s="20">
        <f>VLOOKUP($A239,'2022-23 Salary &amp; Benefits'!$A:$I,3,)</f>
        <v>1.1200000000000001</v>
      </c>
      <c r="F239" s="20">
        <f>VLOOKUP($A239,'2022-23 Salary &amp; Benefits'!$A:$I,4,)</f>
        <v>1.1200000000000001</v>
      </c>
      <c r="G239" s="34">
        <f>VLOOKUP(A239,'CEDARS District FRPL'!$A:$F,6,)</f>
        <v>0</v>
      </c>
      <c r="H239" s="25">
        <f t="shared" si="44"/>
        <v>4296.6899999999996</v>
      </c>
      <c r="I239" s="39">
        <f t="shared" si="37"/>
        <v>0</v>
      </c>
      <c r="J239" s="24">
        <v>15</v>
      </c>
      <c r="K239" s="26">
        <f t="shared" si="45"/>
        <v>0</v>
      </c>
      <c r="L239" s="24">
        <v>2.3975</v>
      </c>
      <c r="M239" s="24">
        <v>36</v>
      </c>
      <c r="N239" s="27">
        <f t="shared" si="46"/>
        <v>0</v>
      </c>
      <c r="O239" s="102">
        <f t="shared" si="38"/>
        <v>0</v>
      </c>
      <c r="P239" s="21">
        <f>VLOOKUP(A239,'2022-23 Salary &amp; Benefits'!$A:$I,5,)</f>
        <v>68937</v>
      </c>
      <c r="Q239" s="21">
        <f>VLOOKUP(A239,'2022-23 Salary &amp; Benefits'!$A:$I,6,FALSE)</f>
        <v>72728</v>
      </c>
      <c r="R239" s="22">
        <f t="shared" si="39"/>
        <v>0</v>
      </c>
      <c r="S239" s="22">
        <f t="shared" si="40"/>
        <v>0</v>
      </c>
      <c r="T239" s="22">
        <f>'2022-23 Salary &amp; Benefits'!$G$6</f>
        <v>12558.24</v>
      </c>
      <c r="U239" s="23">
        <f>'2022-23 Salary &amp; Benefits'!$H$6</f>
        <v>0.2298</v>
      </c>
      <c r="V239" s="23">
        <f>'2022-23 Salary &amp; Benefits'!$I$6</f>
        <v>0.22339999999999999</v>
      </c>
      <c r="W239" s="22">
        <f t="shared" si="41"/>
        <v>0</v>
      </c>
      <c r="X239" s="22">
        <f t="shared" si="42"/>
        <v>0</v>
      </c>
      <c r="Y239" s="22">
        <f t="shared" si="43"/>
        <v>0</v>
      </c>
      <c r="Z239" s="22">
        <f t="shared" si="47"/>
        <v>0</v>
      </c>
      <c r="AA239" s="22">
        <f t="shared" si="48"/>
        <v>0</v>
      </c>
    </row>
    <row r="240" spans="1:27">
      <c r="A240" s="125" t="s">
        <v>2557</v>
      </c>
      <c r="B240" s="3" t="s">
        <v>2195</v>
      </c>
      <c r="C240" s="93">
        <f>IF(A240=Summary!$B$9,Summary!$G$9,0)</f>
        <v>0</v>
      </c>
      <c r="D240" s="134">
        <f>VLOOKUP(A240,AAFTE!$A:$S,3,0)</f>
        <v>3620.58</v>
      </c>
      <c r="E240" s="20">
        <f>VLOOKUP($A240,'2022-23 Salary &amp; Benefits'!$A:$I,3,)</f>
        <v>1</v>
      </c>
      <c r="F240" s="20">
        <f>VLOOKUP($A240,'2022-23 Salary &amp; Benefits'!$A:$I,4,)</f>
        <v>1</v>
      </c>
      <c r="G240" s="34">
        <f>VLOOKUP(A240,'CEDARS District FRPL'!$A:$F,6,)</f>
        <v>0</v>
      </c>
      <c r="H240" s="25">
        <f t="shared" si="44"/>
        <v>3620.58</v>
      </c>
      <c r="I240" s="39">
        <f t="shared" si="37"/>
        <v>0</v>
      </c>
      <c r="J240" s="24">
        <v>15</v>
      </c>
      <c r="K240" s="26">
        <f t="shared" si="45"/>
        <v>0</v>
      </c>
      <c r="L240" s="24">
        <v>2.3975</v>
      </c>
      <c r="M240" s="24">
        <v>36</v>
      </c>
      <c r="N240" s="27">
        <f t="shared" si="46"/>
        <v>0</v>
      </c>
      <c r="O240" s="102">
        <f t="shared" si="38"/>
        <v>0</v>
      </c>
      <c r="P240" s="21">
        <f>VLOOKUP(A240,'2022-23 Salary &amp; Benefits'!$A:$I,5,)</f>
        <v>68937</v>
      </c>
      <c r="Q240" s="21">
        <f>VLOOKUP(A240,'2022-23 Salary &amp; Benefits'!$A:$I,6,FALSE)</f>
        <v>72728</v>
      </c>
      <c r="R240" s="22">
        <f t="shared" si="39"/>
        <v>0</v>
      </c>
      <c r="S240" s="22">
        <f t="shared" si="40"/>
        <v>0</v>
      </c>
      <c r="T240" s="22">
        <f>'2022-23 Salary &amp; Benefits'!$G$6</f>
        <v>12558.24</v>
      </c>
      <c r="U240" s="23">
        <f>'2022-23 Salary &amp; Benefits'!$H$6</f>
        <v>0.2298</v>
      </c>
      <c r="V240" s="23">
        <f>'2022-23 Salary &amp; Benefits'!$I$6</f>
        <v>0.22339999999999999</v>
      </c>
      <c r="W240" s="22">
        <f t="shared" si="41"/>
        <v>0</v>
      </c>
      <c r="X240" s="22">
        <f t="shared" si="42"/>
        <v>0</v>
      </c>
      <c r="Y240" s="22">
        <f t="shared" si="43"/>
        <v>0</v>
      </c>
      <c r="Z240" s="22">
        <f t="shared" si="47"/>
        <v>0</v>
      </c>
      <c r="AA240" s="22">
        <f t="shared" si="48"/>
        <v>0</v>
      </c>
    </row>
    <row r="241" spans="1:27">
      <c r="A241" s="125" t="s">
        <v>2437</v>
      </c>
      <c r="B241" s="3" t="s">
        <v>1288</v>
      </c>
      <c r="C241" s="93">
        <f>IF(A241=Summary!$B$9,Summary!$G$9,0)</f>
        <v>0</v>
      </c>
      <c r="D241" s="134">
        <f>VLOOKUP(A241,AAFTE!$A:$S,3,0)</f>
        <v>235.19</v>
      </c>
      <c r="E241" s="20">
        <f>VLOOKUP($A241,'2022-23 Salary &amp; Benefits'!$A:$I,3,)</f>
        <v>1</v>
      </c>
      <c r="F241" s="20">
        <f>VLOOKUP($A241,'2022-23 Salary &amp; Benefits'!$A:$I,4,)</f>
        <v>1</v>
      </c>
      <c r="G241" s="34">
        <f>VLOOKUP(A241,'CEDARS District FRPL'!$A:$F,6,)</f>
        <v>0</v>
      </c>
      <c r="H241" s="25">
        <f t="shared" si="44"/>
        <v>235.19</v>
      </c>
      <c r="I241" s="39">
        <f t="shared" si="37"/>
        <v>0</v>
      </c>
      <c r="J241" s="24">
        <v>15</v>
      </c>
      <c r="K241" s="26">
        <f t="shared" si="45"/>
        <v>0</v>
      </c>
      <c r="L241" s="24">
        <v>2.3975</v>
      </c>
      <c r="M241" s="24">
        <v>36</v>
      </c>
      <c r="N241" s="27">
        <f t="shared" si="46"/>
        <v>0</v>
      </c>
      <c r="O241" s="102">
        <f t="shared" si="38"/>
        <v>0</v>
      </c>
      <c r="P241" s="21">
        <f>VLOOKUP(A241,'2022-23 Salary &amp; Benefits'!$A:$I,5,)</f>
        <v>68937</v>
      </c>
      <c r="Q241" s="21">
        <f>VLOOKUP(A241,'2022-23 Salary &amp; Benefits'!$A:$I,6,FALSE)</f>
        <v>72728</v>
      </c>
      <c r="R241" s="22">
        <f t="shared" si="39"/>
        <v>0</v>
      </c>
      <c r="S241" s="22">
        <f t="shared" si="40"/>
        <v>0</v>
      </c>
      <c r="T241" s="22">
        <f>'2022-23 Salary &amp; Benefits'!$G$6</f>
        <v>12558.24</v>
      </c>
      <c r="U241" s="23">
        <f>'2022-23 Salary &amp; Benefits'!$H$6</f>
        <v>0.2298</v>
      </c>
      <c r="V241" s="23">
        <f>'2022-23 Salary &amp; Benefits'!$I$6</f>
        <v>0.22339999999999999</v>
      </c>
      <c r="W241" s="22">
        <f t="shared" si="41"/>
        <v>0</v>
      </c>
      <c r="X241" s="22">
        <f t="shared" si="42"/>
        <v>0</v>
      </c>
      <c r="Y241" s="22">
        <f t="shared" si="43"/>
        <v>0</v>
      </c>
      <c r="Z241" s="22">
        <f t="shared" si="47"/>
        <v>0</v>
      </c>
      <c r="AA241" s="22">
        <f t="shared" si="48"/>
        <v>0</v>
      </c>
    </row>
    <row r="242" spans="1:27">
      <c r="A242" s="125" t="s">
        <v>2279</v>
      </c>
      <c r="B242" s="3" t="s">
        <v>148</v>
      </c>
      <c r="C242" s="93">
        <f>IF(A242=Summary!$B$9,Summary!$G$9,0)</f>
        <v>0</v>
      </c>
      <c r="D242" s="134">
        <f>VLOOKUP(A242,AAFTE!$A:$S,3,0)</f>
        <v>2537.46</v>
      </c>
      <c r="E242" s="20">
        <f>VLOOKUP($A242,'2022-23 Salary &amp; Benefits'!$A:$I,3,)</f>
        <v>1.06</v>
      </c>
      <c r="F242" s="20">
        <f>VLOOKUP($A242,'2022-23 Salary &amp; Benefits'!$A:$I,4,)</f>
        <v>1.06</v>
      </c>
      <c r="G242" s="34">
        <f>VLOOKUP(A242,'CEDARS District FRPL'!$A:$F,6,)</f>
        <v>0</v>
      </c>
      <c r="H242" s="25">
        <f t="shared" si="44"/>
        <v>2537.46</v>
      </c>
      <c r="I242" s="39">
        <f t="shared" si="37"/>
        <v>0</v>
      </c>
      <c r="J242" s="24">
        <v>15</v>
      </c>
      <c r="K242" s="26">
        <f t="shared" si="45"/>
        <v>0</v>
      </c>
      <c r="L242" s="24">
        <v>2.3975</v>
      </c>
      <c r="M242" s="24">
        <v>36</v>
      </c>
      <c r="N242" s="27">
        <f t="shared" si="46"/>
        <v>0</v>
      </c>
      <c r="O242" s="102">
        <f t="shared" si="38"/>
        <v>0</v>
      </c>
      <c r="P242" s="21">
        <f>VLOOKUP(A242,'2022-23 Salary &amp; Benefits'!$A:$I,5,)</f>
        <v>68937</v>
      </c>
      <c r="Q242" s="21">
        <f>VLOOKUP(A242,'2022-23 Salary &amp; Benefits'!$A:$I,6,FALSE)</f>
        <v>72728</v>
      </c>
      <c r="R242" s="22">
        <f t="shared" si="39"/>
        <v>0</v>
      </c>
      <c r="S242" s="22">
        <f t="shared" si="40"/>
        <v>0</v>
      </c>
      <c r="T242" s="22">
        <f>'2022-23 Salary &amp; Benefits'!$G$6</f>
        <v>12558.24</v>
      </c>
      <c r="U242" s="23">
        <f>'2022-23 Salary &amp; Benefits'!$H$6</f>
        <v>0.2298</v>
      </c>
      <c r="V242" s="23">
        <f>'2022-23 Salary &amp; Benefits'!$I$6</f>
        <v>0.22339999999999999</v>
      </c>
      <c r="W242" s="22">
        <f t="shared" si="41"/>
        <v>0</v>
      </c>
      <c r="X242" s="22">
        <f t="shared" si="42"/>
        <v>0</v>
      </c>
      <c r="Y242" s="22">
        <f t="shared" si="43"/>
        <v>0</v>
      </c>
      <c r="Z242" s="22">
        <f t="shared" si="47"/>
        <v>0</v>
      </c>
      <c r="AA242" s="22">
        <f t="shared" si="48"/>
        <v>0</v>
      </c>
    </row>
    <row r="243" spans="1:27">
      <c r="A243" s="125" t="s">
        <v>2456</v>
      </c>
      <c r="B243" s="3" t="s">
        <v>1525</v>
      </c>
      <c r="C243" s="93">
        <f>IF(A243=Summary!$B$9,Summary!$G$9,0)</f>
        <v>0</v>
      </c>
      <c r="D243" s="134">
        <f>VLOOKUP(A243,AAFTE!$A:$S,3,0)</f>
        <v>9.57</v>
      </c>
      <c r="E243" s="20">
        <f>VLOOKUP($A243,'2022-23 Salary &amp; Benefits'!$A:$I,3,)</f>
        <v>1.1200000000000001</v>
      </c>
      <c r="F243" s="20">
        <f>VLOOKUP($A243,'2022-23 Salary &amp; Benefits'!$A:$I,4,)</f>
        <v>1.1200000000000001</v>
      </c>
      <c r="G243" s="34">
        <f>VLOOKUP(A243,'CEDARS District FRPL'!$A:$F,6,)</f>
        <v>0</v>
      </c>
      <c r="H243" s="25">
        <f t="shared" si="44"/>
        <v>9.57</v>
      </c>
      <c r="I243" s="39">
        <f t="shared" si="37"/>
        <v>0</v>
      </c>
      <c r="J243" s="24">
        <v>15</v>
      </c>
      <c r="K243" s="26">
        <f t="shared" si="45"/>
        <v>0</v>
      </c>
      <c r="L243" s="24">
        <v>2.3975</v>
      </c>
      <c r="M243" s="24">
        <v>36</v>
      </c>
      <c r="N243" s="27">
        <f t="shared" si="46"/>
        <v>0</v>
      </c>
      <c r="O243" s="102">
        <f t="shared" si="38"/>
        <v>0</v>
      </c>
      <c r="P243" s="21">
        <f>VLOOKUP(A243,'2022-23 Salary &amp; Benefits'!$A:$I,5,)</f>
        <v>68937</v>
      </c>
      <c r="Q243" s="21">
        <f>VLOOKUP(A243,'2022-23 Salary &amp; Benefits'!$A:$I,6,FALSE)</f>
        <v>72728</v>
      </c>
      <c r="R243" s="22">
        <f t="shared" si="39"/>
        <v>0</v>
      </c>
      <c r="S243" s="22">
        <f t="shared" si="40"/>
        <v>0</v>
      </c>
      <c r="T243" s="22">
        <f>'2022-23 Salary &amp; Benefits'!$G$6</f>
        <v>12558.24</v>
      </c>
      <c r="U243" s="23">
        <f>'2022-23 Salary &amp; Benefits'!$H$6</f>
        <v>0.2298</v>
      </c>
      <c r="V243" s="23">
        <f>'2022-23 Salary &amp; Benefits'!$I$6</f>
        <v>0.22339999999999999</v>
      </c>
      <c r="W243" s="22">
        <f t="shared" si="41"/>
        <v>0</v>
      </c>
      <c r="X243" s="22">
        <f t="shared" si="42"/>
        <v>0</v>
      </c>
      <c r="Y243" s="22">
        <f t="shared" si="43"/>
        <v>0</v>
      </c>
      <c r="Z243" s="22">
        <f t="shared" si="47"/>
        <v>0</v>
      </c>
      <c r="AA243" s="22">
        <f t="shared" si="48"/>
        <v>0</v>
      </c>
    </row>
    <row r="244" spans="1:27">
      <c r="A244" s="125" t="s">
        <v>2416</v>
      </c>
      <c r="B244" s="3" t="s">
        <v>1208</v>
      </c>
      <c r="C244" s="93">
        <f>IF(A244=Summary!$B$9,Summary!$G$9,0)</f>
        <v>0</v>
      </c>
      <c r="D244" s="134">
        <f>VLOOKUP(A244,AAFTE!$A:$S,3,0)</f>
        <v>4261.09</v>
      </c>
      <c r="E244" s="20">
        <f>VLOOKUP($A244,'2022-23 Salary &amp; Benefits'!$A:$I,3,)</f>
        <v>1</v>
      </c>
      <c r="F244" s="20">
        <f>VLOOKUP($A244,'2022-23 Salary &amp; Benefits'!$A:$I,4,)</f>
        <v>1</v>
      </c>
      <c r="G244" s="34">
        <f>VLOOKUP(A244,'CEDARS District FRPL'!$A:$F,6,)</f>
        <v>3.9000000000000146E-3</v>
      </c>
      <c r="H244" s="25">
        <f t="shared" si="44"/>
        <v>4261.09</v>
      </c>
      <c r="I244" s="39">
        <f t="shared" si="37"/>
        <v>16.62</v>
      </c>
      <c r="J244" s="24">
        <v>15</v>
      </c>
      <c r="K244" s="26">
        <f t="shared" si="45"/>
        <v>1.1080000000000001</v>
      </c>
      <c r="L244" s="24">
        <v>2.3975</v>
      </c>
      <c r="M244" s="24">
        <v>36</v>
      </c>
      <c r="N244" s="27">
        <f t="shared" si="46"/>
        <v>95.63148000000001</v>
      </c>
      <c r="O244" s="102">
        <f t="shared" si="38"/>
        <v>0.106</v>
      </c>
      <c r="P244" s="21">
        <f>VLOOKUP(A244,'2022-23 Salary &amp; Benefits'!$A:$I,5,)</f>
        <v>68937</v>
      </c>
      <c r="Q244" s="21">
        <f>VLOOKUP(A244,'2022-23 Salary &amp; Benefits'!$A:$I,6,FALSE)</f>
        <v>72728</v>
      </c>
      <c r="R244" s="22">
        <f t="shared" si="39"/>
        <v>7307.32</v>
      </c>
      <c r="S244" s="22">
        <f t="shared" si="40"/>
        <v>401.85</v>
      </c>
      <c r="T244" s="22">
        <f>'2022-23 Salary &amp; Benefits'!$G$6</f>
        <v>12558.24</v>
      </c>
      <c r="U244" s="23">
        <f>'2022-23 Salary &amp; Benefits'!$H$6</f>
        <v>0.2298</v>
      </c>
      <c r="V244" s="23">
        <f>'2022-23 Salary &amp; Benefits'!$I$6</f>
        <v>0.22339999999999999</v>
      </c>
      <c r="W244" s="22">
        <f t="shared" si="41"/>
        <v>3100.17</v>
      </c>
      <c r="X244" s="22">
        <f t="shared" si="42"/>
        <v>128.49</v>
      </c>
      <c r="Y244" s="22">
        <f t="shared" si="43"/>
        <v>28.7</v>
      </c>
      <c r="Z244" s="22">
        <f t="shared" si="47"/>
        <v>157.19</v>
      </c>
      <c r="AA244" s="22">
        <f t="shared" si="48"/>
        <v>10966.53</v>
      </c>
    </row>
    <row r="245" spans="1:27">
      <c r="A245" s="125" t="s">
        <v>2363</v>
      </c>
      <c r="B245" s="3" t="s">
        <v>871</v>
      </c>
      <c r="C245" s="93">
        <f>IF(A245=Summary!$B$9,Summary!$G$9,0)</f>
        <v>0</v>
      </c>
      <c r="D245" s="134">
        <f>VLOOKUP(A245,AAFTE!$A:$S,3,0)</f>
        <v>9090.84</v>
      </c>
      <c r="E245" s="20">
        <f>VLOOKUP($A245,'2022-23 Salary &amp; Benefits'!$A:$I,3,)</f>
        <v>1.18</v>
      </c>
      <c r="F245" s="20">
        <f>VLOOKUP($A245,'2022-23 Salary &amp; Benefits'!$A:$I,4,)</f>
        <v>1.18</v>
      </c>
      <c r="G245" s="34">
        <f>VLOOKUP(A245,'CEDARS District FRPL'!$A:$F,6,)</f>
        <v>1.0699999999999987E-2</v>
      </c>
      <c r="H245" s="25">
        <f t="shared" si="44"/>
        <v>9090.84</v>
      </c>
      <c r="I245" s="39">
        <f t="shared" si="37"/>
        <v>97.27</v>
      </c>
      <c r="J245" s="24">
        <v>15</v>
      </c>
      <c r="K245" s="26">
        <f t="shared" si="45"/>
        <v>6.4846666666666666</v>
      </c>
      <c r="L245" s="24">
        <v>2.3975</v>
      </c>
      <c r="M245" s="24">
        <v>36</v>
      </c>
      <c r="N245" s="27">
        <f t="shared" si="46"/>
        <v>559.69158000000004</v>
      </c>
      <c r="O245" s="102">
        <f t="shared" si="38"/>
        <v>0.622</v>
      </c>
      <c r="P245" s="21">
        <f>VLOOKUP(A245,'2022-23 Salary &amp; Benefits'!$A:$I,5,)</f>
        <v>68937</v>
      </c>
      <c r="Q245" s="21">
        <f>VLOOKUP(A245,'2022-23 Salary &amp; Benefits'!$A:$I,6,FALSE)</f>
        <v>72728</v>
      </c>
      <c r="R245" s="22">
        <f t="shared" si="39"/>
        <v>50597</v>
      </c>
      <c r="S245" s="22">
        <f t="shared" si="40"/>
        <v>2782.44</v>
      </c>
      <c r="T245" s="22">
        <f>'2022-23 Salary &amp; Benefits'!$G$6</f>
        <v>12558.24</v>
      </c>
      <c r="U245" s="23">
        <f>'2022-23 Salary &amp; Benefits'!$H$6</f>
        <v>0.2298</v>
      </c>
      <c r="V245" s="23">
        <f>'2022-23 Salary &amp; Benefits'!$I$6</f>
        <v>0.22339999999999999</v>
      </c>
      <c r="W245" s="22">
        <f t="shared" si="41"/>
        <v>20060.009999999998</v>
      </c>
      <c r="X245" s="22">
        <f t="shared" si="42"/>
        <v>889.66</v>
      </c>
      <c r="Y245" s="22">
        <f t="shared" si="43"/>
        <v>198.75</v>
      </c>
      <c r="Z245" s="22">
        <f t="shared" si="47"/>
        <v>1088.4099999999999</v>
      </c>
      <c r="AA245" s="22">
        <f t="shared" si="48"/>
        <v>74527.86</v>
      </c>
    </row>
    <row r="246" spans="1:27">
      <c r="A246" s="125" t="s">
        <v>2468</v>
      </c>
      <c r="B246" s="3" t="s">
        <v>1585</v>
      </c>
      <c r="C246" s="93">
        <f>IF(A246=Summary!$B$9,Summary!$G$9,0)</f>
        <v>0</v>
      </c>
      <c r="D246" s="134">
        <f>VLOOKUP(A246,AAFTE!$A:$S,3,0)</f>
        <v>63.86</v>
      </c>
      <c r="E246" s="20">
        <f>VLOOKUP($A246,'2022-23 Salary &amp; Benefits'!$A:$I,3,)</f>
        <v>1</v>
      </c>
      <c r="F246" s="20">
        <f>VLOOKUP($A246,'2022-23 Salary &amp; Benefits'!$A:$I,4,)</f>
        <v>1</v>
      </c>
      <c r="G246" s="34">
        <f>VLOOKUP(A246,'CEDARS District FRPL'!$A:$F,6,)</f>
        <v>0.29129999999999995</v>
      </c>
      <c r="H246" s="25">
        <f t="shared" si="44"/>
        <v>63.86</v>
      </c>
      <c r="I246" s="39">
        <f t="shared" si="37"/>
        <v>18.600000000000001</v>
      </c>
      <c r="J246" s="24">
        <v>15</v>
      </c>
      <c r="K246" s="26">
        <f t="shared" si="45"/>
        <v>1.24</v>
      </c>
      <c r="L246" s="24">
        <v>2.3975</v>
      </c>
      <c r="M246" s="24">
        <v>36</v>
      </c>
      <c r="N246" s="27">
        <f t="shared" si="46"/>
        <v>107.0244</v>
      </c>
      <c r="O246" s="102">
        <f t="shared" si="38"/>
        <v>0.11899999999999999</v>
      </c>
      <c r="P246" s="21">
        <f>VLOOKUP(A246,'2022-23 Salary &amp; Benefits'!$A:$I,5,)</f>
        <v>68937</v>
      </c>
      <c r="Q246" s="21">
        <f>VLOOKUP(A246,'2022-23 Salary &amp; Benefits'!$A:$I,6,FALSE)</f>
        <v>72728</v>
      </c>
      <c r="R246" s="22">
        <f t="shared" si="39"/>
        <v>8203.5</v>
      </c>
      <c r="S246" s="22">
        <f t="shared" si="40"/>
        <v>451.13</v>
      </c>
      <c r="T246" s="22">
        <f>'2022-23 Salary &amp; Benefits'!$G$6</f>
        <v>12558.24</v>
      </c>
      <c r="U246" s="23">
        <f>'2022-23 Salary &amp; Benefits'!$H$6</f>
        <v>0.2298</v>
      </c>
      <c r="V246" s="23">
        <f>'2022-23 Salary &amp; Benefits'!$I$6</f>
        <v>0.22339999999999999</v>
      </c>
      <c r="W246" s="22">
        <f t="shared" si="41"/>
        <v>3480.38</v>
      </c>
      <c r="X246" s="22">
        <f t="shared" si="42"/>
        <v>144.24</v>
      </c>
      <c r="Y246" s="22">
        <f t="shared" si="43"/>
        <v>32.22</v>
      </c>
      <c r="Z246" s="22">
        <f t="shared" si="47"/>
        <v>176.46</v>
      </c>
      <c r="AA246" s="22">
        <f t="shared" si="48"/>
        <v>12311.47</v>
      </c>
    </row>
    <row r="247" spans="1:27">
      <c r="A247" s="125" t="s">
        <v>2355</v>
      </c>
      <c r="B247" s="3" t="s">
        <v>760</v>
      </c>
      <c r="C247" s="93">
        <f>IF(A247=Summary!$B$9,Summary!$G$9,0)</f>
        <v>0</v>
      </c>
      <c r="D247" s="134">
        <f>VLOOKUP(A247,AAFTE!$A:$S,3,0)</f>
        <v>34.909999999999997</v>
      </c>
      <c r="E247" s="20">
        <f>VLOOKUP($A247,'2022-23 Salary &amp; Benefits'!$A:$I,3,)</f>
        <v>1.18</v>
      </c>
      <c r="F247" s="20">
        <f>VLOOKUP($A247,'2022-23 Salary &amp; Benefits'!$A:$I,4,)</f>
        <v>1.18</v>
      </c>
      <c r="G247" s="34">
        <f>VLOOKUP(A247,'CEDARS District FRPL'!$A:$F,6,)</f>
        <v>0.11570000000000003</v>
      </c>
      <c r="H247" s="25">
        <f t="shared" si="44"/>
        <v>34.909999999999997</v>
      </c>
      <c r="I247" s="39">
        <f t="shared" si="37"/>
        <v>4.04</v>
      </c>
      <c r="J247" s="24">
        <v>15</v>
      </c>
      <c r="K247" s="26">
        <f t="shared" si="45"/>
        <v>0.26933333333333331</v>
      </c>
      <c r="L247" s="24">
        <v>2.3975</v>
      </c>
      <c r="M247" s="24">
        <v>36</v>
      </c>
      <c r="N247" s="27">
        <f t="shared" si="46"/>
        <v>23.246159999999996</v>
      </c>
      <c r="O247" s="102">
        <f t="shared" si="38"/>
        <v>2.5999999999999999E-2</v>
      </c>
      <c r="P247" s="21">
        <f>VLOOKUP(A247,'2022-23 Salary &amp; Benefits'!$A:$I,5,)</f>
        <v>68937</v>
      </c>
      <c r="Q247" s="21">
        <f>VLOOKUP(A247,'2022-23 Salary &amp; Benefits'!$A:$I,6,FALSE)</f>
        <v>72728</v>
      </c>
      <c r="R247" s="22">
        <f t="shared" si="39"/>
        <v>2114.9899999999998</v>
      </c>
      <c r="S247" s="22">
        <f t="shared" si="40"/>
        <v>116.31</v>
      </c>
      <c r="T247" s="22">
        <f>'2022-23 Salary &amp; Benefits'!$G$6</f>
        <v>12558.24</v>
      </c>
      <c r="U247" s="23">
        <f>'2022-23 Salary &amp; Benefits'!$H$6</f>
        <v>0.2298</v>
      </c>
      <c r="V247" s="23">
        <f>'2022-23 Salary &amp; Benefits'!$I$6</f>
        <v>0.22339999999999999</v>
      </c>
      <c r="W247" s="22">
        <f t="shared" si="41"/>
        <v>838.52</v>
      </c>
      <c r="X247" s="22">
        <f t="shared" si="42"/>
        <v>37.19</v>
      </c>
      <c r="Y247" s="22">
        <f t="shared" si="43"/>
        <v>8.31</v>
      </c>
      <c r="Z247" s="22">
        <f t="shared" si="47"/>
        <v>45.5</v>
      </c>
      <c r="AA247" s="22">
        <f t="shared" si="48"/>
        <v>3115.3199999999997</v>
      </c>
    </row>
    <row r="248" spans="1:27">
      <c r="A248" s="125" t="s">
        <v>2480</v>
      </c>
      <c r="B248" s="3" t="s">
        <v>1724</v>
      </c>
      <c r="C248" s="93">
        <f>IF(A248=Summary!$B$9,Summary!$G$9,0)</f>
        <v>0</v>
      </c>
      <c r="D248" s="134">
        <f>VLOOKUP(A248,AAFTE!$A:$S,3,0)</f>
        <v>9239.76</v>
      </c>
      <c r="E248" s="20">
        <f>VLOOKUP($A248,'2022-23 Salary &amp; Benefits'!$A:$I,3,)</f>
        <v>1.18</v>
      </c>
      <c r="F248" s="20">
        <f>VLOOKUP($A248,'2022-23 Salary &amp; Benefits'!$A:$I,4,)</f>
        <v>1.18</v>
      </c>
      <c r="G248" s="34">
        <f>VLOOKUP(A248,'CEDARS District FRPL'!$A:$F,6,)</f>
        <v>0</v>
      </c>
      <c r="H248" s="25">
        <f t="shared" si="44"/>
        <v>9239.76</v>
      </c>
      <c r="I248" s="39">
        <f t="shared" si="37"/>
        <v>0</v>
      </c>
      <c r="J248" s="24">
        <v>15</v>
      </c>
      <c r="K248" s="26">
        <f t="shared" si="45"/>
        <v>0</v>
      </c>
      <c r="L248" s="24">
        <v>2.3975</v>
      </c>
      <c r="M248" s="24">
        <v>36</v>
      </c>
      <c r="N248" s="27">
        <f t="shared" si="46"/>
        <v>0</v>
      </c>
      <c r="O248" s="102">
        <f t="shared" si="38"/>
        <v>0</v>
      </c>
      <c r="P248" s="21">
        <f>VLOOKUP(A248,'2022-23 Salary &amp; Benefits'!$A:$I,5,)</f>
        <v>68937</v>
      </c>
      <c r="Q248" s="21">
        <f>VLOOKUP(A248,'2022-23 Salary &amp; Benefits'!$A:$I,6,FALSE)</f>
        <v>72728</v>
      </c>
      <c r="R248" s="22">
        <f t="shared" si="39"/>
        <v>0</v>
      </c>
      <c r="S248" s="22">
        <f t="shared" si="40"/>
        <v>0</v>
      </c>
      <c r="T248" s="22">
        <f>'2022-23 Salary &amp; Benefits'!$G$6</f>
        <v>12558.24</v>
      </c>
      <c r="U248" s="23">
        <f>'2022-23 Salary &amp; Benefits'!$H$6</f>
        <v>0.2298</v>
      </c>
      <c r="V248" s="23">
        <f>'2022-23 Salary &amp; Benefits'!$I$6</f>
        <v>0.22339999999999999</v>
      </c>
      <c r="W248" s="22">
        <f t="shared" si="41"/>
        <v>0</v>
      </c>
      <c r="X248" s="22">
        <f t="shared" si="42"/>
        <v>0</v>
      </c>
      <c r="Y248" s="22">
        <f t="shared" si="43"/>
        <v>0</v>
      </c>
      <c r="Z248" s="22">
        <f t="shared" si="47"/>
        <v>0</v>
      </c>
      <c r="AA248" s="22">
        <f t="shared" si="48"/>
        <v>0</v>
      </c>
    </row>
    <row r="249" spans="1:27">
      <c r="A249" s="125" t="s">
        <v>2361</v>
      </c>
      <c r="B249" s="3" t="s">
        <v>832</v>
      </c>
      <c r="C249" s="93">
        <f>IF(A249=Summary!$B$9,Summary!$G$9,0)</f>
        <v>0</v>
      </c>
      <c r="D249" s="134">
        <f>VLOOKUP(A249,AAFTE!$A:$S,3,0)</f>
        <v>7071.62</v>
      </c>
      <c r="E249" s="20">
        <f>VLOOKUP($A249,'2022-23 Salary &amp; Benefits'!$A:$I,3,)</f>
        <v>1.18</v>
      </c>
      <c r="F249" s="20">
        <f>VLOOKUP($A249,'2022-23 Salary &amp; Benefits'!$A:$I,4,)</f>
        <v>1.18</v>
      </c>
      <c r="G249" s="34">
        <f>VLOOKUP(A249,'CEDARS District FRPL'!$A:$F,6,)</f>
        <v>0</v>
      </c>
      <c r="H249" s="25">
        <f t="shared" si="44"/>
        <v>7071.62</v>
      </c>
      <c r="I249" s="39">
        <f t="shared" si="37"/>
        <v>0</v>
      </c>
      <c r="J249" s="24">
        <v>15</v>
      </c>
      <c r="K249" s="26">
        <f t="shared" si="45"/>
        <v>0</v>
      </c>
      <c r="L249" s="24">
        <v>2.3975</v>
      </c>
      <c r="M249" s="24">
        <v>36</v>
      </c>
      <c r="N249" s="27">
        <f t="shared" si="46"/>
        <v>0</v>
      </c>
      <c r="O249" s="102">
        <f t="shared" si="38"/>
        <v>0</v>
      </c>
      <c r="P249" s="21">
        <f>VLOOKUP(A249,'2022-23 Salary &amp; Benefits'!$A:$I,5,)</f>
        <v>68937</v>
      </c>
      <c r="Q249" s="21">
        <f>VLOOKUP(A249,'2022-23 Salary &amp; Benefits'!$A:$I,6,FALSE)</f>
        <v>72728</v>
      </c>
      <c r="R249" s="22">
        <f t="shared" si="39"/>
        <v>0</v>
      </c>
      <c r="S249" s="22">
        <f t="shared" si="40"/>
        <v>0</v>
      </c>
      <c r="T249" s="22">
        <f>'2022-23 Salary &amp; Benefits'!$G$6</f>
        <v>12558.24</v>
      </c>
      <c r="U249" s="23">
        <f>'2022-23 Salary &amp; Benefits'!$H$6</f>
        <v>0.2298</v>
      </c>
      <c r="V249" s="23">
        <f>'2022-23 Salary &amp; Benefits'!$I$6</f>
        <v>0.22339999999999999</v>
      </c>
      <c r="W249" s="22">
        <f t="shared" si="41"/>
        <v>0</v>
      </c>
      <c r="X249" s="22">
        <f t="shared" si="42"/>
        <v>0</v>
      </c>
      <c r="Y249" s="22">
        <f t="shared" si="43"/>
        <v>0</v>
      </c>
      <c r="Z249" s="22">
        <f t="shared" si="47"/>
        <v>0</v>
      </c>
      <c r="AA249" s="22">
        <f t="shared" si="48"/>
        <v>0</v>
      </c>
    </row>
    <row r="250" spans="1:27">
      <c r="A250" s="125" t="s">
        <v>2321</v>
      </c>
      <c r="B250" s="3" t="s">
        <v>428</v>
      </c>
      <c r="C250" s="93">
        <f>IF(A250=Summary!$B$9,Summary!$G$9,0)</f>
        <v>0</v>
      </c>
      <c r="D250" s="134">
        <f>VLOOKUP(A250,AAFTE!$A:$S,3,0)</f>
        <v>554.25</v>
      </c>
      <c r="E250" s="20">
        <f>VLOOKUP($A250,'2022-23 Salary &amp; Benefits'!$A:$I,3,)</f>
        <v>1</v>
      </c>
      <c r="F250" s="20">
        <f>VLOOKUP($A250,'2022-23 Salary &amp; Benefits'!$A:$I,4,)</f>
        <v>1</v>
      </c>
      <c r="G250" s="34">
        <f>VLOOKUP(A250,'CEDARS District FRPL'!$A:$F,6,)</f>
        <v>0</v>
      </c>
      <c r="H250" s="25">
        <f t="shared" si="44"/>
        <v>554.25</v>
      </c>
      <c r="I250" s="39">
        <f t="shared" si="37"/>
        <v>0</v>
      </c>
      <c r="J250" s="24">
        <v>15</v>
      </c>
      <c r="K250" s="26">
        <f t="shared" si="45"/>
        <v>0</v>
      </c>
      <c r="L250" s="24">
        <v>2.3975</v>
      </c>
      <c r="M250" s="24">
        <v>36</v>
      </c>
      <c r="N250" s="27">
        <f t="shared" si="46"/>
        <v>0</v>
      </c>
      <c r="O250" s="102">
        <f t="shared" si="38"/>
        <v>0</v>
      </c>
      <c r="P250" s="21">
        <f>VLOOKUP(A250,'2022-23 Salary &amp; Benefits'!$A:$I,5,)</f>
        <v>68937</v>
      </c>
      <c r="Q250" s="21">
        <f>VLOOKUP(A250,'2022-23 Salary &amp; Benefits'!$A:$I,6,FALSE)</f>
        <v>72728</v>
      </c>
      <c r="R250" s="22">
        <f t="shared" si="39"/>
        <v>0</v>
      </c>
      <c r="S250" s="22">
        <f t="shared" si="40"/>
        <v>0</v>
      </c>
      <c r="T250" s="22">
        <f>'2022-23 Salary &amp; Benefits'!$G$6</f>
        <v>12558.24</v>
      </c>
      <c r="U250" s="23">
        <f>'2022-23 Salary &amp; Benefits'!$H$6</f>
        <v>0.2298</v>
      </c>
      <c r="V250" s="23">
        <f>'2022-23 Salary &amp; Benefits'!$I$6</f>
        <v>0.22339999999999999</v>
      </c>
      <c r="W250" s="22">
        <f t="shared" si="41"/>
        <v>0</v>
      </c>
      <c r="X250" s="22">
        <f t="shared" si="42"/>
        <v>0</v>
      </c>
      <c r="Y250" s="22">
        <f t="shared" si="43"/>
        <v>0</v>
      </c>
      <c r="Z250" s="22">
        <f t="shared" si="47"/>
        <v>0</v>
      </c>
      <c r="AA250" s="22">
        <f t="shared" si="48"/>
        <v>0</v>
      </c>
    </row>
    <row r="251" spans="1:27">
      <c r="A251" s="125" t="s">
        <v>2431</v>
      </c>
      <c r="B251" s="3" t="s">
        <v>1270</v>
      </c>
      <c r="C251" s="93">
        <f>IF(A251=Summary!$B$9,Summary!$G$9,0)</f>
        <v>0</v>
      </c>
      <c r="D251" s="134">
        <f>VLOOKUP(A251,AAFTE!$A:$S,3,0)</f>
        <v>551.75</v>
      </c>
      <c r="E251" s="20">
        <f>VLOOKUP($A251,'2022-23 Salary &amp; Benefits'!$A:$I,3,)</f>
        <v>1</v>
      </c>
      <c r="F251" s="20">
        <f>VLOOKUP($A251,'2022-23 Salary &amp; Benefits'!$A:$I,4,)</f>
        <v>1</v>
      </c>
      <c r="G251" s="34">
        <f>VLOOKUP(A251,'CEDARS District FRPL'!$A:$F,6,)</f>
        <v>2.8999999999999027E-3</v>
      </c>
      <c r="H251" s="25">
        <f t="shared" si="44"/>
        <v>551.75</v>
      </c>
      <c r="I251" s="39">
        <f t="shared" si="37"/>
        <v>1.6</v>
      </c>
      <c r="J251" s="24">
        <v>15</v>
      </c>
      <c r="K251" s="26">
        <f t="shared" si="45"/>
        <v>0.10666666666666667</v>
      </c>
      <c r="L251" s="24">
        <v>2.3975</v>
      </c>
      <c r="M251" s="24">
        <v>36</v>
      </c>
      <c r="N251" s="27">
        <f t="shared" si="46"/>
        <v>9.2064000000000021</v>
      </c>
      <c r="O251" s="102">
        <f t="shared" si="38"/>
        <v>0.01</v>
      </c>
      <c r="P251" s="21">
        <f>VLOOKUP(A251,'2022-23 Salary &amp; Benefits'!$A:$I,5,)</f>
        <v>68937</v>
      </c>
      <c r="Q251" s="21">
        <f>VLOOKUP(A251,'2022-23 Salary &amp; Benefits'!$A:$I,6,FALSE)</f>
        <v>72728</v>
      </c>
      <c r="R251" s="22">
        <f t="shared" si="39"/>
        <v>689.37</v>
      </c>
      <c r="S251" s="22">
        <f t="shared" si="40"/>
        <v>37.909999999999997</v>
      </c>
      <c r="T251" s="22">
        <f>'2022-23 Salary &amp; Benefits'!$G$6</f>
        <v>12558.24</v>
      </c>
      <c r="U251" s="23">
        <f>'2022-23 Salary &amp; Benefits'!$H$6</f>
        <v>0.2298</v>
      </c>
      <c r="V251" s="23">
        <f>'2022-23 Salary &amp; Benefits'!$I$6</f>
        <v>0.22339999999999999</v>
      </c>
      <c r="W251" s="22">
        <f t="shared" si="41"/>
        <v>292.47000000000003</v>
      </c>
      <c r="X251" s="22">
        <f t="shared" si="42"/>
        <v>12.12</v>
      </c>
      <c r="Y251" s="22">
        <f t="shared" si="43"/>
        <v>2.71</v>
      </c>
      <c r="Z251" s="22">
        <f t="shared" si="47"/>
        <v>14.829999999999998</v>
      </c>
      <c r="AA251" s="22">
        <f t="shared" si="48"/>
        <v>1034.58</v>
      </c>
    </row>
    <row r="252" spans="1:27">
      <c r="A252" s="125" t="s">
        <v>2375</v>
      </c>
      <c r="B252" s="3" t="s">
        <v>1068</v>
      </c>
      <c r="C252" s="93">
        <f>IF(A252=Summary!$B$9,Summary!$G$9,0)</f>
        <v>0</v>
      </c>
      <c r="D252" s="134">
        <f>VLOOKUP(A252,AAFTE!$A:$S,3,0)</f>
        <v>9640.25</v>
      </c>
      <c r="E252" s="20">
        <f>VLOOKUP($A252,'2022-23 Salary &amp; Benefits'!$A:$I,3,)</f>
        <v>1.18</v>
      </c>
      <c r="F252" s="20">
        <f>VLOOKUP($A252,'2022-23 Salary &amp; Benefits'!$A:$I,4,)</f>
        <v>1.18</v>
      </c>
      <c r="G252" s="34">
        <f>VLOOKUP(A252,'CEDARS District FRPL'!$A:$F,6,)</f>
        <v>4.3300000000000005E-2</v>
      </c>
      <c r="H252" s="25">
        <f t="shared" si="44"/>
        <v>9640.25</v>
      </c>
      <c r="I252" s="39">
        <f t="shared" si="37"/>
        <v>417.42</v>
      </c>
      <c r="J252" s="24">
        <v>15</v>
      </c>
      <c r="K252" s="26">
        <f t="shared" si="45"/>
        <v>27.827999999999999</v>
      </c>
      <c r="L252" s="24">
        <v>2.3975</v>
      </c>
      <c r="M252" s="24">
        <v>36</v>
      </c>
      <c r="N252" s="27">
        <f t="shared" si="46"/>
        <v>2401.8346799999999</v>
      </c>
      <c r="O252" s="102">
        <f t="shared" si="38"/>
        <v>2.669</v>
      </c>
      <c r="P252" s="21">
        <f>VLOOKUP(A252,'2022-23 Salary &amp; Benefits'!$A:$I,5,)</f>
        <v>68937</v>
      </c>
      <c r="Q252" s="21">
        <f>VLOOKUP(A252,'2022-23 Salary &amp; Benefits'!$A:$I,6,FALSE)</f>
        <v>72728</v>
      </c>
      <c r="R252" s="22">
        <f t="shared" si="39"/>
        <v>217111.57</v>
      </c>
      <c r="S252" s="22">
        <f t="shared" si="40"/>
        <v>11939.45</v>
      </c>
      <c r="T252" s="22">
        <f>'2022-23 Salary &amp; Benefits'!$G$6</f>
        <v>12558.24</v>
      </c>
      <c r="U252" s="23">
        <f>'2022-23 Salary &amp; Benefits'!$H$6</f>
        <v>0.2298</v>
      </c>
      <c r="V252" s="23">
        <f>'2022-23 Salary &amp; Benefits'!$I$6</f>
        <v>0.22339999999999999</v>
      </c>
      <c r="W252" s="22">
        <f t="shared" si="41"/>
        <v>86077.45</v>
      </c>
      <c r="X252" s="22">
        <f t="shared" si="42"/>
        <v>3817.52</v>
      </c>
      <c r="Y252" s="22">
        <f t="shared" si="43"/>
        <v>852.83</v>
      </c>
      <c r="Z252" s="22">
        <f t="shared" si="47"/>
        <v>4670.3500000000004</v>
      </c>
      <c r="AA252" s="22">
        <f t="shared" si="48"/>
        <v>319798.82</v>
      </c>
    </row>
    <row r="253" spans="1:27">
      <c r="A253" s="125" t="s">
        <v>2342</v>
      </c>
      <c r="B253" s="3" t="s">
        <v>527</v>
      </c>
      <c r="C253" s="93">
        <f>IF(A253=Summary!$B$9,Summary!$G$9,0)</f>
        <v>0</v>
      </c>
      <c r="D253" s="134">
        <f>VLOOKUP(A253,AAFTE!$A:$S,3,0)</f>
        <v>1188.1099999999999</v>
      </c>
      <c r="E253" s="20">
        <f>VLOOKUP($A253,'2022-23 Salary &amp; Benefits'!$A:$I,3,)</f>
        <v>1.18</v>
      </c>
      <c r="F253" s="20">
        <f>VLOOKUP($A253,'2022-23 Salary &amp; Benefits'!$A:$I,4,)</f>
        <v>1.22</v>
      </c>
      <c r="G253" s="34">
        <f>VLOOKUP(A253,'CEDARS District FRPL'!$A:$F,6,)</f>
        <v>8.5000000000000075E-3</v>
      </c>
      <c r="H253" s="25">
        <f t="shared" si="44"/>
        <v>1188.1099999999999</v>
      </c>
      <c r="I253" s="39">
        <f t="shared" si="37"/>
        <v>10.1</v>
      </c>
      <c r="J253" s="24">
        <v>15</v>
      </c>
      <c r="K253" s="26">
        <f t="shared" si="45"/>
        <v>0.67333333333333334</v>
      </c>
      <c r="L253" s="24">
        <v>2.3975</v>
      </c>
      <c r="M253" s="24">
        <v>36</v>
      </c>
      <c r="N253" s="27">
        <f t="shared" si="46"/>
        <v>58.115400000000001</v>
      </c>
      <c r="O253" s="102">
        <f t="shared" si="38"/>
        <v>6.5000000000000002E-2</v>
      </c>
      <c r="P253" s="21">
        <f>VLOOKUP(A253,'2022-23 Salary &amp; Benefits'!$A:$I,5,)</f>
        <v>68937</v>
      </c>
      <c r="Q253" s="21">
        <f>VLOOKUP(A253,'2022-23 Salary &amp; Benefits'!$A:$I,6,FALSE)</f>
        <v>72728</v>
      </c>
      <c r="R253" s="22">
        <f t="shared" si="39"/>
        <v>5287.47</v>
      </c>
      <c r="S253" s="22">
        <f t="shared" si="40"/>
        <v>479.86</v>
      </c>
      <c r="T253" s="22">
        <f>'2022-23 Salary &amp; Benefits'!$G$6</f>
        <v>12558.24</v>
      </c>
      <c r="U253" s="23">
        <f>'2022-23 Salary &amp; Benefits'!$H$6</f>
        <v>0.2298</v>
      </c>
      <c r="V253" s="23">
        <f>'2022-23 Salary &amp; Benefits'!$I$6</f>
        <v>0.22339999999999999</v>
      </c>
      <c r="W253" s="22">
        <f t="shared" si="41"/>
        <v>2138.5500000000002</v>
      </c>
      <c r="X253" s="22">
        <f t="shared" si="42"/>
        <v>96.12</v>
      </c>
      <c r="Y253" s="22">
        <f t="shared" si="43"/>
        <v>21.47</v>
      </c>
      <c r="Z253" s="22">
        <f t="shared" si="47"/>
        <v>117.59</v>
      </c>
      <c r="AA253" s="22">
        <f t="shared" si="48"/>
        <v>8023.47</v>
      </c>
    </row>
    <row r="254" spans="1:27">
      <c r="A254" s="125" t="s">
        <v>2414</v>
      </c>
      <c r="B254" s="3" t="s">
        <v>1204</v>
      </c>
      <c r="C254" s="93">
        <f>IF(A254=Summary!$B$9,Summary!$G$9,0)</f>
        <v>0</v>
      </c>
      <c r="D254" s="134">
        <f>VLOOKUP(A254,AAFTE!$A:$S,3,0)</f>
        <v>199.28</v>
      </c>
      <c r="E254" s="20">
        <f>VLOOKUP($A254,'2022-23 Salary &amp; Benefits'!$A:$I,3,)</f>
        <v>1</v>
      </c>
      <c r="F254" s="20">
        <f>VLOOKUP($A254,'2022-23 Salary &amp; Benefits'!$A:$I,4,)</f>
        <v>1</v>
      </c>
      <c r="G254" s="34">
        <f>VLOOKUP(A254,'CEDARS District FRPL'!$A:$F,6,)</f>
        <v>1.5000000000000013E-2</v>
      </c>
      <c r="H254" s="25">
        <f t="shared" si="44"/>
        <v>199.28</v>
      </c>
      <c r="I254" s="39">
        <f t="shared" si="37"/>
        <v>2.99</v>
      </c>
      <c r="J254" s="24">
        <v>15</v>
      </c>
      <c r="K254" s="26">
        <f t="shared" si="45"/>
        <v>0.19933333333333333</v>
      </c>
      <c r="L254" s="24">
        <v>2.3975</v>
      </c>
      <c r="M254" s="24">
        <v>36</v>
      </c>
      <c r="N254" s="27">
        <f t="shared" si="46"/>
        <v>17.204460000000001</v>
      </c>
      <c r="O254" s="102">
        <f t="shared" si="38"/>
        <v>1.9E-2</v>
      </c>
      <c r="P254" s="21">
        <f>VLOOKUP(A254,'2022-23 Salary &amp; Benefits'!$A:$I,5,)</f>
        <v>68937</v>
      </c>
      <c r="Q254" s="21">
        <f>VLOOKUP(A254,'2022-23 Salary &amp; Benefits'!$A:$I,6,FALSE)</f>
        <v>72728</v>
      </c>
      <c r="R254" s="22">
        <f t="shared" si="39"/>
        <v>1309.8</v>
      </c>
      <c r="S254" s="22">
        <f t="shared" si="40"/>
        <v>72.03</v>
      </c>
      <c r="T254" s="22">
        <f>'2022-23 Salary &amp; Benefits'!$G$6</f>
        <v>12558.24</v>
      </c>
      <c r="U254" s="23">
        <f>'2022-23 Salary &amp; Benefits'!$H$6</f>
        <v>0.2298</v>
      </c>
      <c r="V254" s="23">
        <f>'2022-23 Salary &amp; Benefits'!$I$6</f>
        <v>0.22339999999999999</v>
      </c>
      <c r="W254" s="22">
        <f t="shared" si="41"/>
        <v>555.69000000000005</v>
      </c>
      <c r="X254" s="22">
        <f t="shared" si="42"/>
        <v>23.03</v>
      </c>
      <c r="Y254" s="22">
        <f t="shared" si="43"/>
        <v>5.14</v>
      </c>
      <c r="Z254" s="22">
        <f t="shared" si="47"/>
        <v>28.17</v>
      </c>
      <c r="AA254" s="22">
        <f t="shared" si="48"/>
        <v>1965.69</v>
      </c>
    </row>
    <row r="255" spans="1:27">
      <c r="A255" s="125" t="s">
        <v>2501</v>
      </c>
      <c r="B255" s="3" t="s">
        <v>1921</v>
      </c>
      <c r="C255" s="93">
        <f>IF(A255=Summary!$B$9,Summary!$G$9,0)</f>
        <v>0</v>
      </c>
      <c r="D255" s="134">
        <f>VLOOKUP(A255,AAFTE!$A:$S,3,0)</f>
        <v>677.85</v>
      </c>
      <c r="E255" s="20">
        <f>VLOOKUP($A255,'2022-23 Salary &amp; Benefits'!$A:$I,3,)</f>
        <v>1.03</v>
      </c>
      <c r="F255" s="20">
        <f>VLOOKUP($A255,'2022-23 Salary &amp; Benefits'!$A:$I,4,)</f>
        <v>1.03</v>
      </c>
      <c r="G255" s="34">
        <f>VLOOKUP(A255,'CEDARS District FRPL'!$A:$F,6,)</f>
        <v>0</v>
      </c>
      <c r="H255" s="25">
        <f t="shared" si="44"/>
        <v>677.85</v>
      </c>
      <c r="I255" s="39">
        <f t="shared" si="37"/>
        <v>0</v>
      </c>
      <c r="J255" s="24">
        <v>15</v>
      </c>
      <c r="K255" s="26">
        <f t="shared" si="45"/>
        <v>0</v>
      </c>
      <c r="L255" s="24">
        <v>2.3975</v>
      </c>
      <c r="M255" s="24">
        <v>36</v>
      </c>
      <c r="N255" s="27">
        <f t="shared" si="46"/>
        <v>0</v>
      </c>
      <c r="O255" s="102">
        <f t="shared" si="38"/>
        <v>0</v>
      </c>
      <c r="P255" s="21">
        <f>VLOOKUP(A255,'2022-23 Salary &amp; Benefits'!$A:$I,5,)</f>
        <v>68937</v>
      </c>
      <c r="Q255" s="21">
        <f>VLOOKUP(A255,'2022-23 Salary &amp; Benefits'!$A:$I,6,FALSE)</f>
        <v>72728</v>
      </c>
      <c r="R255" s="22">
        <f t="shared" si="39"/>
        <v>0</v>
      </c>
      <c r="S255" s="22">
        <f t="shared" si="40"/>
        <v>0</v>
      </c>
      <c r="T255" s="22">
        <f>'2022-23 Salary &amp; Benefits'!$G$6</f>
        <v>12558.24</v>
      </c>
      <c r="U255" s="23">
        <f>'2022-23 Salary &amp; Benefits'!$H$6</f>
        <v>0.2298</v>
      </c>
      <c r="V255" s="23">
        <f>'2022-23 Salary &amp; Benefits'!$I$6</f>
        <v>0.22339999999999999</v>
      </c>
      <c r="W255" s="22">
        <f t="shared" si="41"/>
        <v>0</v>
      </c>
      <c r="X255" s="22">
        <f t="shared" si="42"/>
        <v>0</v>
      </c>
      <c r="Y255" s="22">
        <f t="shared" si="43"/>
        <v>0</v>
      </c>
      <c r="Z255" s="22">
        <f t="shared" si="47"/>
        <v>0</v>
      </c>
      <c r="AA255" s="22">
        <f t="shared" si="48"/>
        <v>0</v>
      </c>
    </row>
    <row r="256" spans="1:27">
      <c r="A256" s="125" t="s">
        <v>2486</v>
      </c>
      <c r="B256" s="3" t="s">
        <v>1773</v>
      </c>
      <c r="C256" s="93">
        <f>IF(A256=Summary!$B$9,Summary!$G$9,0)</f>
        <v>0</v>
      </c>
      <c r="D256" s="134">
        <f>VLOOKUP(A256,AAFTE!$A:$S,3,0)</f>
        <v>28349.08</v>
      </c>
      <c r="E256" s="20">
        <f>VLOOKUP($A256,'2022-23 Salary &amp; Benefits'!$A:$I,3,)</f>
        <v>1.03</v>
      </c>
      <c r="F256" s="20">
        <f>VLOOKUP($A256,'2022-23 Salary &amp; Benefits'!$A:$I,4,)</f>
        <v>1.03</v>
      </c>
      <c r="G256" s="34">
        <f>VLOOKUP(A256,'CEDARS District FRPL'!$A:$F,6,)</f>
        <v>0</v>
      </c>
      <c r="H256" s="25">
        <f t="shared" si="44"/>
        <v>28349.08</v>
      </c>
      <c r="I256" s="39">
        <f t="shared" si="37"/>
        <v>0</v>
      </c>
      <c r="J256" s="24">
        <v>15</v>
      </c>
      <c r="K256" s="26">
        <f t="shared" si="45"/>
        <v>0</v>
      </c>
      <c r="L256" s="24">
        <v>2.3975</v>
      </c>
      <c r="M256" s="24">
        <v>36</v>
      </c>
      <c r="N256" s="27">
        <f t="shared" si="46"/>
        <v>0</v>
      </c>
      <c r="O256" s="102">
        <f t="shared" si="38"/>
        <v>0</v>
      </c>
      <c r="P256" s="21">
        <f>VLOOKUP(A256,'2022-23 Salary &amp; Benefits'!$A:$I,5,)</f>
        <v>68937</v>
      </c>
      <c r="Q256" s="21">
        <f>VLOOKUP(A256,'2022-23 Salary &amp; Benefits'!$A:$I,6,FALSE)</f>
        <v>72728</v>
      </c>
      <c r="R256" s="22">
        <f t="shared" si="39"/>
        <v>0</v>
      </c>
      <c r="S256" s="22">
        <f t="shared" si="40"/>
        <v>0</v>
      </c>
      <c r="T256" s="22">
        <f>'2022-23 Salary &amp; Benefits'!$G$6</f>
        <v>12558.24</v>
      </c>
      <c r="U256" s="23">
        <f>'2022-23 Salary &amp; Benefits'!$H$6</f>
        <v>0.2298</v>
      </c>
      <c r="V256" s="23">
        <f>'2022-23 Salary &amp; Benefits'!$I$6</f>
        <v>0.22339999999999999</v>
      </c>
      <c r="W256" s="22">
        <f t="shared" si="41"/>
        <v>0</v>
      </c>
      <c r="X256" s="22">
        <f t="shared" si="42"/>
        <v>0</v>
      </c>
      <c r="Y256" s="22">
        <f t="shared" si="43"/>
        <v>0</v>
      </c>
      <c r="Z256" s="22">
        <f t="shared" si="47"/>
        <v>0</v>
      </c>
      <c r="AA256" s="22">
        <f t="shared" si="48"/>
        <v>0</v>
      </c>
    </row>
    <row r="257" spans="1:27">
      <c r="A257" s="125" t="s">
        <v>2406</v>
      </c>
      <c r="B257" s="3" t="s">
        <v>1181</v>
      </c>
      <c r="C257" s="93">
        <f>IF(A257=Summary!$B$9,Summary!$G$9,0)</f>
        <v>0</v>
      </c>
      <c r="D257" s="134">
        <f>VLOOKUP(A257,AAFTE!$A:$S,3,0)</f>
        <v>71.42</v>
      </c>
      <c r="E257" s="20">
        <f>VLOOKUP($A257,'2022-23 Salary &amp; Benefits'!$A:$I,3,)</f>
        <v>1</v>
      </c>
      <c r="F257" s="20">
        <f>VLOOKUP($A257,'2022-23 Salary &amp; Benefits'!$A:$I,4,)</f>
        <v>1</v>
      </c>
      <c r="G257" s="34">
        <f>VLOOKUP(A257,'CEDARS District FRPL'!$A:$F,6,)</f>
        <v>2.2400000000000087E-2</v>
      </c>
      <c r="H257" s="25">
        <f t="shared" si="44"/>
        <v>71.42</v>
      </c>
      <c r="I257" s="39">
        <f t="shared" si="37"/>
        <v>1.6</v>
      </c>
      <c r="J257" s="24">
        <v>15</v>
      </c>
      <c r="K257" s="26">
        <f t="shared" si="45"/>
        <v>0.10666666666666667</v>
      </c>
      <c r="L257" s="24">
        <v>2.3975</v>
      </c>
      <c r="M257" s="24">
        <v>36</v>
      </c>
      <c r="N257" s="27">
        <f t="shared" si="46"/>
        <v>9.2064000000000021</v>
      </c>
      <c r="O257" s="102">
        <f t="shared" si="38"/>
        <v>0.01</v>
      </c>
      <c r="P257" s="21">
        <f>VLOOKUP(A257,'2022-23 Salary &amp; Benefits'!$A:$I,5,)</f>
        <v>68937</v>
      </c>
      <c r="Q257" s="21">
        <f>VLOOKUP(A257,'2022-23 Salary &amp; Benefits'!$A:$I,6,FALSE)</f>
        <v>72728</v>
      </c>
      <c r="R257" s="22">
        <f t="shared" si="39"/>
        <v>689.37</v>
      </c>
      <c r="S257" s="22">
        <f t="shared" si="40"/>
        <v>37.909999999999997</v>
      </c>
      <c r="T257" s="22">
        <f>'2022-23 Salary &amp; Benefits'!$G$6</f>
        <v>12558.24</v>
      </c>
      <c r="U257" s="23">
        <f>'2022-23 Salary &amp; Benefits'!$H$6</f>
        <v>0.2298</v>
      </c>
      <c r="V257" s="23">
        <f>'2022-23 Salary &amp; Benefits'!$I$6</f>
        <v>0.22339999999999999</v>
      </c>
      <c r="W257" s="22">
        <f t="shared" si="41"/>
        <v>292.47000000000003</v>
      </c>
      <c r="X257" s="22">
        <f t="shared" si="42"/>
        <v>12.12</v>
      </c>
      <c r="Y257" s="22">
        <f t="shared" si="43"/>
        <v>2.71</v>
      </c>
      <c r="Z257" s="22">
        <f t="shared" si="47"/>
        <v>14.829999999999998</v>
      </c>
      <c r="AA257" s="22">
        <f t="shared" si="48"/>
        <v>1034.58</v>
      </c>
    </row>
    <row r="258" spans="1:27">
      <c r="A258" s="125" t="s">
        <v>2551</v>
      </c>
      <c r="B258" s="3" t="s">
        <v>2158</v>
      </c>
      <c r="C258" s="93">
        <f>IF(A258=Summary!$B$9,Summary!$G$9,0)</f>
        <v>0</v>
      </c>
      <c r="D258" s="134">
        <f>VLOOKUP(A258,AAFTE!$A:$S,3,0)</f>
        <v>125.01</v>
      </c>
      <c r="E258" s="20">
        <f>VLOOKUP($A258,'2022-23 Salary &amp; Benefits'!$A:$I,3,)</f>
        <v>1</v>
      </c>
      <c r="F258" s="20">
        <f>VLOOKUP($A258,'2022-23 Salary &amp; Benefits'!$A:$I,4,)</f>
        <v>1</v>
      </c>
      <c r="G258" s="34">
        <f>VLOOKUP(A258,'CEDARS District FRPL'!$A:$F,6,)</f>
        <v>0</v>
      </c>
      <c r="H258" s="25">
        <f t="shared" si="44"/>
        <v>125.01</v>
      </c>
      <c r="I258" s="39">
        <f t="shared" si="37"/>
        <v>0</v>
      </c>
      <c r="J258" s="24">
        <v>15</v>
      </c>
      <c r="K258" s="26">
        <f t="shared" si="45"/>
        <v>0</v>
      </c>
      <c r="L258" s="24">
        <v>2.3975</v>
      </c>
      <c r="M258" s="24">
        <v>36</v>
      </c>
      <c r="N258" s="27">
        <f t="shared" si="46"/>
        <v>0</v>
      </c>
      <c r="O258" s="102">
        <f t="shared" si="38"/>
        <v>0</v>
      </c>
      <c r="P258" s="21">
        <f>VLOOKUP(A258,'2022-23 Salary &amp; Benefits'!$A:$I,5,)</f>
        <v>68937</v>
      </c>
      <c r="Q258" s="21">
        <f>VLOOKUP(A258,'2022-23 Salary &amp; Benefits'!$A:$I,6,FALSE)</f>
        <v>72728</v>
      </c>
      <c r="R258" s="22">
        <f t="shared" si="39"/>
        <v>0</v>
      </c>
      <c r="S258" s="22">
        <f t="shared" si="40"/>
        <v>0</v>
      </c>
      <c r="T258" s="22">
        <f>'2022-23 Salary &amp; Benefits'!$G$6</f>
        <v>12558.24</v>
      </c>
      <c r="U258" s="23">
        <f>'2022-23 Salary &amp; Benefits'!$H$6</f>
        <v>0.2298</v>
      </c>
      <c r="V258" s="23">
        <f>'2022-23 Salary &amp; Benefits'!$I$6</f>
        <v>0.22339999999999999</v>
      </c>
      <c r="W258" s="22">
        <f t="shared" si="41"/>
        <v>0</v>
      </c>
      <c r="X258" s="22">
        <f t="shared" si="42"/>
        <v>0</v>
      </c>
      <c r="Y258" s="22">
        <f t="shared" si="43"/>
        <v>0</v>
      </c>
      <c r="Z258" s="22">
        <f t="shared" si="47"/>
        <v>0</v>
      </c>
      <c r="AA258" s="22">
        <f t="shared" si="48"/>
        <v>0</v>
      </c>
    </row>
    <row r="259" spans="1:27">
      <c r="A259" s="125" t="s">
        <v>2485</v>
      </c>
      <c r="B259" s="3" t="s">
        <v>1761</v>
      </c>
      <c r="C259" s="93">
        <f>IF(A259=Summary!$B$9,Summary!$G$9,0)</f>
        <v>0</v>
      </c>
      <c r="D259" s="134">
        <f>VLOOKUP(A259,AAFTE!$A:$S,3,0)</f>
        <v>4575.5</v>
      </c>
      <c r="E259" s="20">
        <f>VLOOKUP($A259,'2022-23 Salary &amp; Benefits'!$A:$I,3,)</f>
        <v>1.1499999999999999</v>
      </c>
      <c r="F259" s="20">
        <f>VLOOKUP($A259,'2022-23 Salary &amp; Benefits'!$A:$I,4,)</f>
        <v>1.19</v>
      </c>
      <c r="G259" s="34">
        <f>VLOOKUP(A259,'CEDARS District FRPL'!$A:$F,6,)</f>
        <v>0</v>
      </c>
      <c r="H259" s="25">
        <f t="shared" si="44"/>
        <v>4575.5</v>
      </c>
      <c r="I259" s="39">
        <f t="shared" si="37"/>
        <v>0</v>
      </c>
      <c r="J259" s="24">
        <v>15</v>
      </c>
      <c r="K259" s="26">
        <f t="shared" si="45"/>
        <v>0</v>
      </c>
      <c r="L259" s="24">
        <v>2.3975</v>
      </c>
      <c r="M259" s="24">
        <v>36</v>
      </c>
      <c r="N259" s="27">
        <f t="shared" si="46"/>
        <v>0</v>
      </c>
      <c r="O259" s="102">
        <f t="shared" si="38"/>
        <v>0</v>
      </c>
      <c r="P259" s="21">
        <f>VLOOKUP(A259,'2022-23 Salary &amp; Benefits'!$A:$I,5,)</f>
        <v>68937</v>
      </c>
      <c r="Q259" s="21">
        <f>VLOOKUP(A259,'2022-23 Salary &amp; Benefits'!$A:$I,6,FALSE)</f>
        <v>72728</v>
      </c>
      <c r="R259" s="22">
        <f t="shared" si="39"/>
        <v>0</v>
      </c>
      <c r="S259" s="22">
        <f t="shared" si="40"/>
        <v>0</v>
      </c>
      <c r="T259" s="22">
        <f>'2022-23 Salary &amp; Benefits'!$G$6</f>
        <v>12558.24</v>
      </c>
      <c r="U259" s="23">
        <f>'2022-23 Salary &amp; Benefits'!$H$6</f>
        <v>0.2298</v>
      </c>
      <c r="V259" s="23">
        <f>'2022-23 Salary &amp; Benefits'!$I$6</f>
        <v>0.22339999999999999</v>
      </c>
      <c r="W259" s="22">
        <f t="shared" si="41"/>
        <v>0</v>
      </c>
      <c r="X259" s="22">
        <f t="shared" si="42"/>
        <v>0</v>
      </c>
      <c r="Y259" s="22">
        <f t="shared" si="43"/>
        <v>0</v>
      </c>
      <c r="Z259" s="22">
        <f t="shared" si="47"/>
        <v>0</v>
      </c>
      <c r="AA259" s="22">
        <f t="shared" si="48"/>
        <v>0</v>
      </c>
    </row>
    <row r="260" spans="1:27">
      <c r="A260" s="125" t="s">
        <v>2314</v>
      </c>
      <c r="B260" s="3" t="s">
        <v>401</v>
      </c>
      <c r="C260" s="93">
        <f>IF(A260=Summary!$B$9,Summary!$G$9,0)</f>
        <v>0</v>
      </c>
      <c r="D260" s="134">
        <f>VLOOKUP(A260,AAFTE!$A:$S,3,0)</f>
        <v>12.43</v>
      </c>
      <c r="E260" s="20">
        <f>VLOOKUP($A260,'2022-23 Salary &amp; Benefits'!$A:$I,3,)</f>
        <v>1</v>
      </c>
      <c r="F260" s="20">
        <f>VLOOKUP($A260,'2022-23 Salary &amp; Benefits'!$A:$I,4,)</f>
        <v>1</v>
      </c>
      <c r="G260" s="34">
        <f>VLOOKUP(A260,'CEDARS District FRPL'!$A:$F,6,)</f>
        <v>0</v>
      </c>
      <c r="H260" s="25">
        <f t="shared" si="44"/>
        <v>12.43</v>
      </c>
      <c r="I260" s="39">
        <f t="shared" si="37"/>
        <v>0</v>
      </c>
      <c r="J260" s="24">
        <v>15</v>
      </c>
      <c r="K260" s="26">
        <f t="shared" si="45"/>
        <v>0</v>
      </c>
      <c r="L260" s="24">
        <v>2.3975</v>
      </c>
      <c r="M260" s="24">
        <v>36</v>
      </c>
      <c r="N260" s="27">
        <f t="shared" si="46"/>
        <v>0</v>
      </c>
      <c r="O260" s="102">
        <f t="shared" si="38"/>
        <v>0</v>
      </c>
      <c r="P260" s="21">
        <f>VLOOKUP(A260,'2022-23 Salary &amp; Benefits'!$A:$I,5,)</f>
        <v>68937</v>
      </c>
      <c r="Q260" s="21">
        <f>VLOOKUP(A260,'2022-23 Salary &amp; Benefits'!$A:$I,6,FALSE)</f>
        <v>72728</v>
      </c>
      <c r="R260" s="22">
        <f t="shared" si="39"/>
        <v>0</v>
      </c>
      <c r="S260" s="22">
        <f t="shared" si="40"/>
        <v>0</v>
      </c>
      <c r="T260" s="22">
        <f>'2022-23 Salary &amp; Benefits'!$G$6</f>
        <v>12558.24</v>
      </c>
      <c r="U260" s="23">
        <f>'2022-23 Salary &amp; Benefits'!$H$6</f>
        <v>0.2298</v>
      </c>
      <c r="V260" s="23">
        <f>'2022-23 Salary &amp; Benefits'!$I$6</f>
        <v>0.22339999999999999</v>
      </c>
      <c r="W260" s="22">
        <f t="shared" si="41"/>
        <v>0</v>
      </c>
      <c r="X260" s="22">
        <f t="shared" si="42"/>
        <v>0</v>
      </c>
      <c r="Y260" s="22">
        <f t="shared" si="43"/>
        <v>0</v>
      </c>
      <c r="Z260" s="22">
        <f t="shared" si="47"/>
        <v>0</v>
      </c>
      <c r="AA260" s="22">
        <f t="shared" si="48"/>
        <v>0</v>
      </c>
    </row>
    <row r="261" spans="1:27">
      <c r="A261" s="125" t="s">
        <v>2294</v>
      </c>
      <c r="B261" s="3" t="s">
        <v>294</v>
      </c>
      <c r="C261" s="93">
        <f>IF(A261=Summary!$B$9,Summary!$G$9,0)</f>
        <v>0</v>
      </c>
      <c r="D261" s="134">
        <f>VLOOKUP(A261,AAFTE!$A:$S,3,0)</f>
        <v>303.87</v>
      </c>
      <c r="E261" s="20">
        <f>VLOOKUP($A261,'2022-23 Salary &amp; Benefits'!$A:$I,3,)</f>
        <v>1</v>
      </c>
      <c r="F261" s="20">
        <f>VLOOKUP($A261,'2022-23 Salary &amp; Benefits'!$A:$I,4,)</f>
        <v>1</v>
      </c>
      <c r="G261" s="34">
        <f>VLOOKUP(A261,'CEDARS District FRPL'!$A:$F,6,)</f>
        <v>0</v>
      </c>
      <c r="H261" s="25">
        <f t="shared" si="44"/>
        <v>303.87</v>
      </c>
      <c r="I261" s="39">
        <f t="shared" si="37"/>
        <v>0</v>
      </c>
      <c r="J261" s="24">
        <v>15</v>
      </c>
      <c r="K261" s="26">
        <f t="shared" si="45"/>
        <v>0</v>
      </c>
      <c r="L261" s="24">
        <v>2.3975</v>
      </c>
      <c r="M261" s="24">
        <v>36</v>
      </c>
      <c r="N261" s="27">
        <f t="shared" si="46"/>
        <v>0</v>
      </c>
      <c r="O261" s="102">
        <f t="shared" si="38"/>
        <v>0</v>
      </c>
      <c r="P261" s="21">
        <f>VLOOKUP(A261,'2022-23 Salary &amp; Benefits'!$A:$I,5,)</f>
        <v>68937</v>
      </c>
      <c r="Q261" s="21">
        <f>VLOOKUP(A261,'2022-23 Salary &amp; Benefits'!$A:$I,6,FALSE)</f>
        <v>72728</v>
      </c>
      <c r="R261" s="22">
        <f t="shared" si="39"/>
        <v>0</v>
      </c>
      <c r="S261" s="22">
        <f t="shared" si="40"/>
        <v>0</v>
      </c>
      <c r="T261" s="22">
        <f>'2022-23 Salary &amp; Benefits'!$G$6</f>
        <v>12558.24</v>
      </c>
      <c r="U261" s="23">
        <f>'2022-23 Salary &amp; Benefits'!$H$6</f>
        <v>0.2298</v>
      </c>
      <c r="V261" s="23">
        <f>'2022-23 Salary &amp; Benefits'!$I$6</f>
        <v>0.22339999999999999</v>
      </c>
      <c r="W261" s="22">
        <f t="shared" si="41"/>
        <v>0</v>
      </c>
      <c r="X261" s="22">
        <f t="shared" si="42"/>
        <v>0</v>
      </c>
      <c r="Y261" s="22">
        <f t="shared" si="43"/>
        <v>0</v>
      </c>
      <c r="Z261" s="22">
        <f t="shared" si="47"/>
        <v>0</v>
      </c>
      <c r="AA261" s="22">
        <f t="shared" si="48"/>
        <v>0</v>
      </c>
    </row>
    <row r="262" spans="1:27">
      <c r="A262" s="125" t="s">
        <v>2271</v>
      </c>
      <c r="B262" s="3" t="s">
        <v>100</v>
      </c>
      <c r="C262" s="93">
        <f>IF(A262=Summary!$B$9,Summary!$G$9,0)</f>
        <v>0</v>
      </c>
      <c r="D262" s="134">
        <f>VLOOKUP(A262,AAFTE!$A:$S,3,0)</f>
        <v>11</v>
      </c>
      <c r="E262" s="20">
        <f>VLOOKUP($A262,'2022-23 Salary &amp; Benefits'!$A:$I,3,)</f>
        <v>1.03</v>
      </c>
      <c r="F262" s="20">
        <f>VLOOKUP($A262,'2022-23 Salary &amp; Benefits'!$A:$I,4,)</f>
        <v>1.03</v>
      </c>
      <c r="G262" s="34">
        <f>VLOOKUP(A262,'CEDARS District FRPL'!$A:$F,6,)</f>
        <v>0</v>
      </c>
      <c r="H262" s="25">
        <f t="shared" si="44"/>
        <v>11</v>
      </c>
      <c r="I262" s="39">
        <f t="shared" ref="I262:I322" si="49">ROUND(H262*G262,2)</f>
        <v>0</v>
      </c>
      <c r="J262" s="24">
        <v>15</v>
      </c>
      <c r="K262" s="26">
        <f t="shared" si="45"/>
        <v>0</v>
      </c>
      <c r="L262" s="24">
        <v>2.3975</v>
      </c>
      <c r="M262" s="24">
        <v>36</v>
      </c>
      <c r="N262" s="27">
        <f t="shared" si="46"/>
        <v>0</v>
      </c>
      <c r="O262" s="102">
        <f t="shared" ref="O262:O322" si="50">ROUND(N262/900,3)</f>
        <v>0</v>
      </c>
      <c r="P262" s="21">
        <f>VLOOKUP(A262,'2022-23 Salary &amp; Benefits'!$A:$I,5,)</f>
        <v>68937</v>
      </c>
      <c r="Q262" s="21">
        <f>VLOOKUP(A262,'2022-23 Salary &amp; Benefits'!$A:$I,6,FALSE)</f>
        <v>72728</v>
      </c>
      <c r="R262" s="22">
        <f t="shared" ref="R262:R322" si="51">ROUND($E262*$P262*$O262,2)</f>
        <v>0</v>
      </c>
      <c r="S262" s="22">
        <f t="shared" ref="S262:S322" si="52">ROUND(($Q262*$F262*$O262-$R262),2)</f>
        <v>0</v>
      </c>
      <c r="T262" s="22">
        <f>'2022-23 Salary &amp; Benefits'!$G$6</f>
        <v>12558.24</v>
      </c>
      <c r="U262" s="23">
        <f>'2022-23 Salary &amp; Benefits'!$H$6</f>
        <v>0.2298</v>
      </c>
      <c r="V262" s="23">
        <f>'2022-23 Salary &amp; Benefits'!$I$6</f>
        <v>0.22339999999999999</v>
      </c>
      <c r="W262" s="22">
        <f t="shared" ref="W262:W322" si="53">ROUND(R262*U262+S262*V262+O262*T262,2)</f>
        <v>0</v>
      </c>
      <c r="X262" s="22">
        <f t="shared" ref="X262:X322" si="54">ROUND(($Q262*$F262*$O262/180*3),2)</f>
        <v>0</v>
      </c>
      <c r="Y262" s="22">
        <f t="shared" ref="Y262:Y322" si="55">ROUND(X262*V262,2)</f>
        <v>0</v>
      </c>
      <c r="Z262" s="22">
        <f t="shared" si="47"/>
        <v>0</v>
      </c>
      <c r="AA262" s="22">
        <f t="shared" si="48"/>
        <v>0</v>
      </c>
    </row>
    <row r="263" spans="1:27">
      <c r="A263" s="125" t="s">
        <v>2438</v>
      </c>
      <c r="B263" s="3" t="s">
        <v>1292</v>
      </c>
      <c r="C263" s="93">
        <f>IF(A263=Summary!$B$9,Summary!$G$9,0)</f>
        <v>0</v>
      </c>
      <c r="D263" s="134">
        <f>VLOOKUP(A263,AAFTE!$A:$S,3,0)</f>
        <v>3124.52</v>
      </c>
      <c r="E263" s="20">
        <f>VLOOKUP($A263,'2022-23 Salary &amp; Benefits'!$A:$I,3,)</f>
        <v>1.03</v>
      </c>
      <c r="F263" s="20">
        <f>VLOOKUP($A263,'2022-23 Salary &amp; Benefits'!$A:$I,4,)</f>
        <v>1.03</v>
      </c>
      <c r="G263" s="34">
        <f>VLOOKUP(A263,'CEDARS District FRPL'!$A:$F,6,)</f>
        <v>0</v>
      </c>
      <c r="H263" s="25">
        <f t="shared" ref="H263:H322" si="56">IF(C263&gt;0,C263,D263)</f>
        <v>3124.52</v>
      </c>
      <c r="I263" s="39">
        <f t="shared" si="49"/>
        <v>0</v>
      </c>
      <c r="J263" s="24">
        <v>15</v>
      </c>
      <c r="K263" s="26">
        <f t="shared" si="45"/>
        <v>0</v>
      </c>
      <c r="L263" s="24">
        <v>2.3975</v>
      </c>
      <c r="M263" s="24">
        <v>36</v>
      </c>
      <c r="N263" s="27">
        <f t="shared" si="46"/>
        <v>0</v>
      </c>
      <c r="O263" s="102">
        <f t="shared" si="50"/>
        <v>0</v>
      </c>
      <c r="P263" s="21">
        <f>VLOOKUP(A263,'2022-23 Salary &amp; Benefits'!$A:$I,5,)</f>
        <v>68937</v>
      </c>
      <c r="Q263" s="21">
        <f>VLOOKUP(A263,'2022-23 Salary &amp; Benefits'!$A:$I,6,FALSE)</f>
        <v>72728</v>
      </c>
      <c r="R263" s="22">
        <f t="shared" si="51"/>
        <v>0</v>
      </c>
      <c r="S263" s="22">
        <f t="shared" si="52"/>
        <v>0</v>
      </c>
      <c r="T263" s="22">
        <f>'2022-23 Salary &amp; Benefits'!$G$6</f>
        <v>12558.24</v>
      </c>
      <c r="U263" s="23">
        <f>'2022-23 Salary &amp; Benefits'!$H$6</f>
        <v>0.2298</v>
      </c>
      <c r="V263" s="23">
        <f>'2022-23 Salary &amp; Benefits'!$I$6</f>
        <v>0.22339999999999999</v>
      </c>
      <c r="W263" s="22">
        <f t="shared" si="53"/>
        <v>0</v>
      </c>
      <c r="X263" s="22">
        <f t="shared" si="54"/>
        <v>0</v>
      </c>
      <c r="Y263" s="22">
        <f t="shared" si="55"/>
        <v>0</v>
      </c>
      <c r="Z263" s="22">
        <f t="shared" ref="Z263:Z319" si="57">SUM(X263:Y263)</f>
        <v>0</v>
      </c>
      <c r="AA263" s="22">
        <f t="shared" si="48"/>
        <v>0</v>
      </c>
    </row>
    <row r="264" spans="1:27">
      <c r="A264" s="125" t="s">
        <v>2547</v>
      </c>
      <c r="B264" s="3" t="s">
        <v>2150</v>
      </c>
      <c r="C264" s="93">
        <f>IF(A264=Summary!$B$9,Summary!$G$9,0)</f>
        <v>0</v>
      </c>
      <c r="D264" s="134">
        <f>VLOOKUP(A264,AAFTE!$A:$S,3,0)</f>
        <v>38.71</v>
      </c>
      <c r="E264" s="20">
        <f>VLOOKUP($A264,'2022-23 Salary &amp; Benefits'!$A:$I,3,)</f>
        <v>1</v>
      </c>
      <c r="F264" s="20">
        <f>VLOOKUP($A264,'2022-23 Salary &amp; Benefits'!$A:$I,4,)</f>
        <v>1</v>
      </c>
      <c r="G264" s="34">
        <f>VLOOKUP(A264,'CEDARS District FRPL'!$A:$F,6,)</f>
        <v>0</v>
      </c>
      <c r="H264" s="25">
        <f t="shared" si="56"/>
        <v>38.71</v>
      </c>
      <c r="I264" s="39">
        <f t="shared" si="49"/>
        <v>0</v>
      </c>
      <c r="J264" s="24">
        <v>15</v>
      </c>
      <c r="K264" s="26">
        <f t="shared" ref="K264:K322" si="58">I264/J264</f>
        <v>0</v>
      </c>
      <c r="L264" s="24">
        <v>2.3975</v>
      </c>
      <c r="M264" s="24">
        <v>36</v>
      </c>
      <c r="N264" s="27">
        <f t="shared" ref="N264:N322" si="59">K264*L264*M264</f>
        <v>0</v>
      </c>
      <c r="O264" s="102">
        <f t="shared" si="50"/>
        <v>0</v>
      </c>
      <c r="P264" s="21">
        <f>VLOOKUP(A264,'2022-23 Salary &amp; Benefits'!$A:$I,5,)</f>
        <v>68937</v>
      </c>
      <c r="Q264" s="21">
        <f>VLOOKUP(A264,'2022-23 Salary &amp; Benefits'!$A:$I,6,FALSE)</f>
        <v>72728</v>
      </c>
      <c r="R264" s="22">
        <f t="shared" si="51"/>
        <v>0</v>
      </c>
      <c r="S264" s="22">
        <f t="shared" si="52"/>
        <v>0</v>
      </c>
      <c r="T264" s="22">
        <f>'2022-23 Salary &amp; Benefits'!$G$6</f>
        <v>12558.24</v>
      </c>
      <c r="U264" s="23">
        <f>'2022-23 Salary &amp; Benefits'!$H$6</f>
        <v>0.2298</v>
      </c>
      <c r="V264" s="23">
        <f>'2022-23 Salary &amp; Benefits'!$I$6</f>
        <v>0.22339999999999999</v>
      </c>
      <c r="W264" s="22">
        <f t="shared" si="53"/>
        <v>0</v>
      </c>
      <c r="X264" s="22">
        <f t="shared" si="54"/>
        <v>0</v>
      </c>
      <c r="Y264" s="22">
        <f t="shared" si="55"/>
        <v>0</v>
      </c>
      <c r="Z264" s="22">
        <f t="shared" si="57"/>
        <v>0</v>
      </c>
      <c r="AA264" s="22">
        <f t="shared" si="48"/>
        <v>0</v>
      </c>
    </row>
    <row r="265" spans="1:27">
      <c r="A265" s="125" t="s">
        <v>2471</v>
      </c>
      <c r="B265" s="3" t="s">
        <v>1591</v>
      </c>
      <c r="C265" s="93">
        <f>IF(A265=Summary!$B$9,Summary!$G$9,0)</f>
        <v>0</v>
      </c>
      <c r="D265" s="134">
        <f>VLOOKUP(A265,AAFTE!$A:$S,3,0)</f>
        <v>781.44</v>
      </c>
      <c r="E265" s="20">
        <f>VLOOKUP($A265,'2022-23 Salary &amp; Benefits'!$A:$I,3,)</f>
        <v>1</v>
      </c>
      <c r="F265" s="20">
        <f>VLOOKUP($A265,'2022-23 Salary &amp; Benefits'!$A:$I,4,)</f>
        <v>1</v>
      </c>
      <c r="G265" s="34">
        <f>VLOOKUP(A265,'CEDARS District FRPL'!$A:$F,6,)</f>
        <v>0</v>
      </c>
      <c r="H265" s="25">
        <f t="shared" si="56"/>
        <v>781.44</v>
      </c>
      <c r="I265" s="39">
        <f t="shared" si="49"/>
        <v>0</v>
      </c>
      <c r="J265" s="24">
        <v>15</v>
      </c>
      <c r="K265" s="26">
        <f t="shared" si="58"/>
        <v>0</v>
      </c>
      <c r="L265" s="24">
        <v>2.3975</v>
      </c>
      <c r="M265" s="24">
        <v>36</v>
      </c>
      <c r="N265" s="27">
        <f t="shared" si="59"/>
        <v>0</v>
      </c>
      <c r="O265" s="102">
        <f t="shared" si="50"/>
        <v>0</v>
      </c>
      <c r="P265" s="21">
        <f>VLOOKUP(A265,'2022-23 Salary &amp; Benefits'!$A:$I,5,)</f>
        <v>68937</v>
      </c>
      <c r="Q265" s="21">
        <f>VLOOKUP(A265,'2022-23 Salary &amp; Benefits'!$A:$I,6,FALSE)</f>
        <v>72728</v>
      </c>
      <c r="R265" s="22">
        <f t="shared" si="51"/>
        <v>0</v>
      </c>
      <c r="S265" s="22">
        <f t="shared" si="52"/>
        <v>0</v>
      </c>
      <c r="T265" s="22">
        <f>'2022-23 Salary &amp; Benefits'!$G$6</f>
        <v>12558.24</v>
      </c>
      <c r="U265" s="23">
        <f>'2022-23 Salary &amp; Benefits'!$H$6</f>
        <v>0.2298</v>
      </c>
      <c r="V265" s="23">
        <f>'2022-23 Salary &amp; Benefits'!$I$6</f>
        <v>0.22339999999999999</v>
      </c>
      <c r="W265" s="22">
        <f t="shared" si="53"/>
        <v>0</v>
      </c>
      <c r="X265" s="22">
        <f t="shared" si="54"/>
        <v>0</v>
      </c>
      <c r="Y265" s="22">
        <f t="shared" si="55"/>
        <v>0</v>
      </c>
      <c r="Z265" s="22">
        <f t="shared" si="57"/>
        <v>0</v>
      </c>
      <c r="AA265" s="22">
        <f t="shared" si="48"/>
        <v>0</v>
      </c>
    </row>
    <row r="266" spans="1:27">
      <c r="A266" s="126" t="s">
        <v>2482</v>
      </c>
      <c r="B266" s="3" t="s">
        <v>1746</v>
      </c>
      <c r="C266" s="93">
        <f>IF(A266=Summary!$B$9,Summary!$G$9,0)</f>
        <v>0</v>
      </c>
      <c r="D266" s="134">
        <f>VLOOKUP(A266,AAFTE!$A:$S,3,0)</f>
        <v>1936.74</v>
      </c>
      <c r="E266" s="20">
        <f>VLOOKUP($A266,'2022-23 Salary &amp; Benefits'!$A:$I,3,)</f>
        <v>1.18</v>
      </c>
      <c r="F266" s="20">
        <f>VLOOKUP($A266,'2022-23 Salary &amp; Benefits'!$A:$I,4,)</f>
        <v>1.18</v>
      </c>
      <c r="G266" s="34">
        <f>VLOOKUP(A266,'CEDARS District FRPL'!$A:$F,6,)</f>
        <v>4.4999999999999485E-3</v>
      </c>
      <c r="H266" s="25">
        <f t="shared" si="56"/>
        <v>1936.74</v>
      </c>
      <c r="I266" s="39">
        <f t="shared" si="49"/>
        <v>8.7200000000000006</v>
      </c>
      <c r="J266" s="24">
        <v>15</v>
      </c>
      <c r="K266" s="26">
        <f t="shared" si="58"/>
        <v>0.58133333333333337</v>
      </c>
      <c r="L266" s="24">
        <v>2.3975</v>
      </c>
      <c r="M266" s="24">
        <v>36</v>
      </c>
      <c r="N266" s="27">
        <f t="shared" si="59"/>
        <v>50.174880000000002</v>
      </c>
      <c r="O266" s="102">
        <f t="shared" si="50"/>
        <v>5.6000000000000001E-2</v>
      </c>
      <c r="P266" s="21">
        <f>VLOOKUP(A266,'2022-23 Salary &amp; Benefits'!$A:$I,5,)</f>
        <v>68937</v>
      </c>
      <c r="Q266" s="21">
        <f>VLOOKUP(A266,'2022-23 Salary &amp; Benefits'!$A:$I,6,FALSE)</f>
        <v>72728</v>
      </c>
      <c r="R266" s="22">
        <f t="shared" si="51"/>
        <v>4555.3599999999997</v>
      </c>
      <c r="S266" s="22">
        <f t="shared" si="52"/>
        <v>250.51</v>
      </c>
      <c r="T266" s="22">
        <f>'2022-23 Salary &amp; Benefits'!$G$6</f>
        <v>12558.24</v>
      </c>
      <c r="U266" s="23">
        <f>'2022-23 Salary &amp; Benefits'!$H$6</f>
        <v>0.2298</v>
      </c>
      <c r="V266" s="23">
        <f>'2022-23 Salary &amp; Benefits'!$I$6</f>
        <v>0.22339999999999999</v>
      </c>
      <c r="W266" s="22">
        <f t="shared" si="53"/>
        <v>1806.05</v>
      </c>
      <c r="X266" s="22">
        <f t="shared" si="54"/>
        <v>80.099999999999994</v>
      </c>
      <c r="Y266" s="22">
        <f t="shared" si="55"/>
        <v>17.89</v>
      </c>
      <c r="Z266" s="22">
        <f t="shared" si="57"/>
        <v>97.99</v>
      </c>
      <c r="AA266" s="22">
        <f t="shared" ref="AA266:AA322" si="60">SUM(W266,R266:S266,Z266)</f>
        <v>6709.91</v>
      </c>
    </row>
    <row r="267" spans="1:27">
      <c r="A267" s="125" t="s">
        <v>2586</v>
      </c>
      <c r="B267" s="3" t="s">
        <v>2709</v>
      </c>
      <c r="C267" s="93">
        <f>IF(A267=Summary!$B$9,Summary!$G$9,0)</f>
        <v>0</v>
      </c>
      <c r="D267" s="134">
        <f>VLOOKUP(A267,AAFTE!$A:$S,3,0)</f>
        <v>460.91</v>
      </c>
      <c r="E267" s="20">
        <f>VLOOKUP($A267,'2022-23 Salary &amp; Benefits'!$A:$I,3,)</f>
        <v>1.18</v>
      </c>
      <c r="F267" s="20">
        <f>VLOOKUP($A267,'2022-23 Salary &amp; Benefits'!$A:$I,4,)</f>
        <v>1.18</v>
      </c>
      <c r="G267" s="34">
        <f>VLOOKUP(A267,'CEDARS District FRPL'!$A:$F,6,)</f>
        <v>0.15050000000000002</v>
      </c>
      <c r="H267" s="25">
        <f t="shared" si="56"/>
        <v>460.91</v>
      </c>
      <c r="I267" s="39">
        <f t="shared" si="49"/>
        <v>69.37</v>
      </c>
      <c r="J267" s="24">
        <v>15</v>
      </c>
      <c r="K267" s="26">
        <f t="shared" si="58"/>
        <v>4.6246666666666671</v>
      </c>
      <c r="L267" s="24">
        <v>2.3975</v>
      </c>
      <c r="M267" s="24">
        <v>36</v>
      </c>
      <c r="N267" s="27">
        <f t="shared" si="59"/>
        <v>399.15498000000002</v>
      </c>
      <c r="O267" s="102">
        <f t="shared" si="50"/>
        <v>0.44400000000000001</v>
      </c>
      <c r="P267" s="21">
        <f>VLOOKUP(A267,'2022-23 Salary &amp; Benefits'!$A:$I,5,)</f>
        <v>68937</v>
      </c>
      <c r="Q267" s="21">
        <f>VLOOKUP(A267,'2022-23 Salary &amp; Benefits'!$A:$I,6,FALSE)</f>
        <v>72728</v>
      </c>
      <c r="R267" s="22">
        <f t="shared" si="51"/>
        <v>36117.47</v>
      </c>
      <c r="S267" s="22">
        <f t="shared" si="52"/>
        <v>1986.18</v>
      </c>
      <c r="T267" s="22">
        <f>'2022-23 Salary &amp; Benefits'!$G$6</f>
        <v>12558.24</v>
      </c>
      <c r="U267" s="23">
        <f>'2022-23 Salary &amp; Benefits'!$H$6</f>
        <v>0.2298</v>
      </c>
      <c r="V267" s="23">
        <f>'2022-23 Salary &amp; Benefits'!$I$6</f>
        <v>0.22339999999999999</v>
      </c>
      <c r="W267" s="22">
        <f t="shared" si="53"/>
        <v>14319.37</v>
      </c>
      <c r="X267" s="22">
        <f t="shared" si="54"/>
        <v>635.05999999999995</v>
      </c>
      <c r="Y267" s="22">
        <f t="shared" si="55"/>
        <v>141.87</v>
      </c>
      <c r="Z267" s="22">
        <f t="shared" si="57"/>
        <v>776.93</v>
      </c>
      <c r="AA267" s="22">
        <f t="shared" si="60"/>
        <v>53199.950000000004</v>
      </c>
    </row>
    <row r="268" spans="1:27">
      <c r="A268" s="125" t="s">
        <v>2509</v>
      </c>
      <c r="B268" s="3" t="s">
        <v>1945</v>
      </c>
      <c r="C268" s="93">
        <f>IF(A268=Summary!$B$9,Summary!$G$9,0)</f>
        <v>0</v>
      </c>
      <c r="D268" s="134">
        <f>VLOOKUP(A268,AAFTE!$A:$S,3,0)</f>
        <v>71</v>
      </c>
      <c r="E268" s="20">
        <f>VLOOKUP($A268,'2022-23 Salary &amp; Benefits'!$A:$I,3,)</f>
        <v>1</v>
      </c>
      <c r="F268" s="20">
        <f>VLOOKUP($A268,'2022-23 Salary &amp; Benefits'!$A:$I,4,)</f>
        <v>1</v>
      </c>
      <c r="G268" s="34">
        <f>VLOOKUP(A268,'CEDARS District FRPL'!$A:$F,6,)</f>
        <v>0</v>
      </c>
      <c r="H268" s="25">
        <f t="shared" si="56"/>
        <v>71</v>
      </c>
      <c r="I268" s="39">
        <f t="shared" si="49"/>
        <v>0</v>
      </c>
      <c r="J268" s="24">
        <v>15</v>
      </c>
      <c r="K268" s="26">
        <f t="shared" si="58"/>
        <v>0</v>
      </c>
      <c r="L268" s="24">
        <v>2.3975</v>
      </c>
      <c r="M268" s="24">
        <v>36</v>
      </c>
      <c r="N268" s="27">
        <f t="shared" si="59"/>
        <v>0</v>
      </c>
      <c r="O268" s="102">
        <f t="shared" si="50"/>
        <v>0</v>
      </c>
      <c r="P268" s="21">
        <f>VLOOKUP(A268,'2022-23 Salary &amp; Benefits'!$A:$I,5,)</f>
        <v>68937</v>
      </c>
      <c r="Q268" s="21">
        <f>VLOOKUP(A268,'2022-23 Salary &amp; Benefits'!$A:$I,6,FALSE)</f>
        <v>72728</v>
      </c>
      <c r="R268" s="22">
        <f t="shared" si="51"/>
        <v>0</v>
      </c>
      <c r="S268" s="22">
        <f t="shared" si="52"/>
        <v>0</v>
      </c>
      <c r="T268" s="22">
        <f>'2022-23 Salary &amp; Benefits'!$G$6</f>
        <v>12558.24</v>
      </c>
      <c r="U268" s="23">
        <f>'2022-23 Salary &amp; Benefits'!$H$6</f>
        <v>0.2298</v>
      </c>
      <c r="V268" s="23">
        <f>'2022-23 Salary &amp; Benefits'!$I$6</f>
        <v>0.22339999999999999</v>
      </c>
      <c r="W268" s="22">
        <f t="shared" si="53"/>
        <v>0</v>
      </c>
      <c r="X268" s="22">
        <f t="shared" si="54"/>
        <v>0</v>
      </c>
      <c r="Y268" s="22">
        <f t="shared" si="55"/>
        <v>0</v>
      </c>
      <c r="Z268" s="22">
        <f t="shared" si="57"/>
        <v>0</v>
      </c>
      <c r="AA268" s="22">
        <f t="shared" si="60"/>
        <v>0</v>
      </c>
    </row>
    <row r="269" spans="1:27">
      <c r="A269" s="125" t="s">
        <v>2453</v>
      </c>
      <c r="B269" s="3" t="s">
        <v>1522</v>
      </c>
      <c r="C269" s="93">
        <f>IF(A269=Summary!$B$9,Summary!$G$9,0)</f>
        <v>0</v>
      </c>
      <c r="D269" s="134">
        <f>VLOOKUP(A269,AAFTE!$A:$S,3,0)</f>
        <v>177.43</v>
      </c>
      <c r="E269" s="20">
        <f>VLOOKUP($A269,'2022-23 Salary &amp; Benefits'!$A:$I,3,)</f>
        <v>1.1200000000000001</v>
      </c>
      <c r="F269" s="20">
        <f>VLOOKUP($A269,'2022-23 Salary &amp; Benefits'!$A:$I,4,)</f>
        <v>1.1200000000000001</v>
      </c>
      <c r="G269" s="34">
        <f>VLOOKUP(A269,'CEDARS District FRPL'!$A:$F,6,)</f>
        <v>7.3700000000000099E-2</v>
      </c>
      <c r="H269" s="25">
        <f t="shared" si="56"/>
        <v>177.43</v>
      </c>
      <c r="I269" s="39">
        <f t="shared" si="49"/>
        <v>13.08</v>
      </c>
      <c r="J269" s="24">
        <v>15</v>
      </c>
      <c r="K269" s="26">
        <f t="shared" si="58"/>
        <v>0.872</v>
      </c>
      <c r="L269" s="24">
        <v>2.3975</v>
      </c>
      <c r="M269" s="24">
        <v>36</v>
      </c>
      <c r="N269" s="27">
        <f t="shared" si="59"/>
        <v>75.262320000000003</v>
      </c>
      <c r="O269" s="102">
        <f t="shared" si="50"/>
        <v>8.4000000000000005E-2</v>
      </c>
      <c r="P269" s="21">
        <f>VLOOKUP(A269,'2022-23 Salary &amp; Benefits'!$A:$I,5,)</f>
        <v>68937</v>
      </c>
      <c r="Q269" s="21">
        <f>VLOOKUP(A269,'2022-23 Salary &amp; Benefits'!$A:$I,6,FALSE)</f>
        <v>72728</v>
      </c>
      <c r="R269" s="22">
        <f t="shared" si="51"/>
        <v>6485.59</v>
      </c>
      <c r="S269" s="22">
        <f t="shared" si="52"/>
        <v>356.66</v>
      </c>
      <c r="T269" s="22">
        <f>'2022-23 Salary &amp; Benefits'!$G$6</f>
        <v>12558.24</v>
      </c>
      <c r="U269" s="23">
        <f>'2022-23 Salary &amp; Benefits'!$H$6</f>
        <v>0.2298</v>
      </c>
      <c r="V269" s="23">
        <f>'2022-23 Salary &amp; Benefits'!$I$6</f>
        <v>0.22339999999999999</v>
      </c>
      <c r="W269" s="22">
        <f t="shared" si="53"/>
        <v>2624.96</v>
      </c>
      <c r="X269" s="22">
        <f t="shared" si="54"/>
        <v>114.04</v>
      </c>
      <c r="Y269" s="22">
        <f t="shared" si="55"/>
        <v>25.48</v>
      </c>
      <c r="Z269" s="22">
        <f t="shared" si="57"/>
        <v>139.52000000000001</v>
      </c>
      <c r="AA269" s="22">
        <f t="shared" si="60"/>
        <v>9606.73</v>
      </c>
    </row>
    <row r="270" spans="1:27">
      <c r="A270" s="125" t="s">
        <v>2367</v>
      </c>
      <c r="B270" s="3" t="s">
        <v>1011</v>
      </c>
      <c r="C270" s="93">
        <f>IF(A270=Summary!$B$9,Summary!$G$9,0)</f>
        <v>0</v>
      </c>
      <c r="D270" s="134">
        <f>VLOOKUP(A270,AAFTE!$A:$S,3,0)</f>
        <v>304.95</v>
      </c>
      <c r="E270" s="20">
        <f>VLOOKUP($A270,'2022-23 Salary &amp; Benefits'!$A:$I,3,)</f>
        <v>1.18</v>
      </c>
      <c r="F270" s="20">
        <f>VLOOKUP($A270,'2022-23 Salary &amp; Benefits'!$A:$I,4,)</f>
        <v>1.18</v>
      </c>
      <c r="G270" s="34">
        <f>VLOOKUP(A270,'CEDARS District FRPL'!$A:$F,6,)</f>
        <v>5.8300000000000018E-2</v>
      </c>
      <c r="H270" s="25">
        <f t="shared" si="56"/>
        <v>304.95</v>
      </c>
      <c r="I270" s="39">
        <f t="shared" si="49"/>
        <v>17.78</v>
      </c>
      <c r="J270" s="24">
        <v>15</v>
      </c>
      <c r="K270" s="26">
        <f t="shared" si="58"/>
        <v>1.1853333333333333</v>
      </c>
      <c r="L270" s="24">
        <v>2.3975</v>
      </c>
      <c r="M270" s="24">
        <v>36</v>
      </c>
      <c r="N270" s="27">
        <f t="shared" si="59"/>
        <v>102.30611999999999</v>
      </c>
      <c r="O270" s="102">
        <f t="shared" si="50"/>
        <v>0.114</v>
      </c>
      <c r="P270" s="21">
        <f>VLOOKUP(A270,'2022-23 Salary &amp; Benefits'!$A:$I,5,)</f>
        <v>68937</v>
      </c>
      <c r="Q270" s="21">
        <f>VLOOKUP(A270,'2022-23 Salary &amp; Benefits'!$A:$I,6,FALSE)</f>
        <v>72728</v>
      </c>
      <c r="R270" s="22">
        <f t="shared" si="51"/>
        <v>9273.41</v>
      </c>
      <c r="S270" s="22">
        <f t="shared" si="52"/>
        <v>509.96</v>
      </c>
      <c r="T270" s="22">
        <f>'2022-23 Salary &amp; Benefits'!$G$6</f>
        <v>12558.24</v>
      </c>
      <c r="U270" s="23">
        <f>'2022-23 Salary &amp; Benefits'!$H$6</f>
        <v>0.2298</v>
      </c>
      <c r="V270" s="23">
        <f>'2022-23 Salary &amp; Benefits'!$I$6</f>
        <v>0.22339999999999999</v>
      </c>
      <c r="W270" s="22">
        <f t="shared" si="53"/>
        <v>3676.59</v>
      </c>
      <c r="X270" s="22">
        <f t="shared" si="54"/>
        <v>163.06</v>
      </c>
      <c r="Y270" s="22">
        <f t="shared" si="55"/>
        <v>36.43</v>
      </c>
      <c r="Z270" s="22">
        <f t="shared" si="57"/>
        <v>199.49</v>
      </c>
      <c r="AA270" s="22">
        <f t="shared" si="60"/>
        <v>13659.449999999999</v>
      </c>
    </row>
    <row r="271" spans="1:27">
      <c r="A271" s="125" t="s">
        <v>2443</v>
      </c>
      <c r="B271" s="3" t="s">
        <v>1396</v>
      </c>
      <c r="C271" s="93">
        <f>IF(A271=Summary!$B$9,Summary!$G$9,0)</f>
        <v>0</v>
      </c>
      <c r="D271" s="134">
        <f>VLOOKUP(A271,AAFTE!$A:$S,3,0)</f>
        <v>9874.57</v>
      </c>
      <c r="E271" s="20">
        <f>VLOOKUP($A271,'2022-23 Salary &amp; Benefits'!$A:$I,3,)</f>
        <v>1.1200000000000001</v>
      </c>
      <c r="F271" s="20">
        <f>VLOOKUP($A271,'2022-23 Salary &amp; Benefits'!$A:$I,4,)</f>
        <v>1.1200000000000001</v>
      </c>
      <c r="G271" s="34">
        <f>VLOOKUP(A271,'CEDARS District FRPL'!$A:$F,6,)</f>
        <v>2.9000000000000137E-3</v>
      </c>
      <c r="H271" s="25">
        <f t="shared" si="56"/>
        <v>9874.57</v>
      </c>
      <c r="I271" s="39">
        <f t="shared" si="49"/>
        <v>28.64</v>
      </c>
      <c r="J271" s="24">
        <v>15</v>
      </c>
      <c r="K271" s="26">
        <f t="shared" si="58"/>
        <v>1.9093333333333333</v>
      </c>
      <c r="L271" s="24">
        <v>2.3975</v>
      </c>
      <c r="M271" s="24">
        <v>36</v>
      </c>
      <c r="N271" s="27">
        <f t="shared" si="59"/>
        <v>164.79455999999999</v>
      </c>
      <c r="O271" s="102">
        <f t="shared" si="50"/>
        <v>0.183</v>
      </c>
      <c r="P271" s="21">
        <f>VLOOKUP(A271,'2022-23 Salary &amp; Benefits'!$A:$I,5,)</f>
        <v>68937</v>
      </c>
      <c r="Q271" s="21">
        <f>VLOOKUP(A271,'2022-23 Salary &amp; Benefits'!$A:$I,6,FALSE)</f>
        <v>72728</v>
      </c>
      <c r="R271" s="22">
        <f t="shared" si="51"/>
        <v>14129.33</v>
      </c>
      <c r="S271" s="22">
        <f t="shared" si="52"/>
        <v>777</v>
      </c>
      <c r="T271" s="22">
        <f>'2022-23 Salary &amp; Benefits'!$G$6</f>
        <v>12558.24</v>
      </c>
      <c r="U271" s="23">
        <f>'2022-23 Salary &amp; Benefits'!$H$6</f>
        <v>0.2298</v>
      </c>
      <c r="V271" s="23">
        <f>'2022-23 Salary &amp; Benefits'!$I$6</f>
        <v>0.22339999999999999</v>
      </c>
      <c r="W271" s="22">
        <f t="shared" si="53"/>
        <v>5718.66</v>
      </c>
      <c r="X271" s="22">
        <f t="shared" si="54"/>
        <v>248.44</v>
      </c>
      <c r="Y271" s="22">
        <f t="shared" si="55"/>
        <v>55.5</v>
      </c>
      <c r="Z271" s="22">
        <f t="shared" si="57"/>
        <v>303.94</v>
      </c>
      <c r="AA271" s="22">
        <f t="shared" si="60"/>
        <v>20928.929999999997</v>
      </c>
    </row>
    <row r="272" spans="1:27">
      <c r="A272" s="125" t="s">
        <v>2560</v>
      </c>
      <c r="B272" s="3" t="s">
        <v>2212</v>
      </c>
      <c r="C272" s="93">
        <f>IF(A272=Summary!$B$9,Summary!$G$9,0)</f>
        <v>0</v>
      </c>
      <c r="D272" s="134">
        <f>VLOOKUP(A272,AAFTE!$A:$S,3,0)</f>
        <v>6442.5</v>
      </c>
      <c r="E272" s="20">
        <f>VLOOKUP($A272,'2022-23 Salary &amp; Benefits'!$A:$I,3,)</f>
        <v>1</v>
      </c>
      <c r="F272" s="20">
        <f>VLOOKUP($A272,'2022-23 Salary &amp; Benefits'!$A:$I,4,)</f>
        <v>1</v>
      </c>
      <c r="G272" s="34">
        <f>VLOOKUP(A272,'CEDARS District FRPL'!$A:$F,6,)</f>
        <v>0</v>
      </c>
      <c r="H272" s="25">
        <f t="shared" si="56"/>
        <v>6442.5</v>
      </c>
      <c r="I272" s="39">
        <f t="shared" si="49"/>
        <v>0</v>
      </c>
      <c r="J272" s="24">
        <v>15</v>
      </c>
      <c r="K272" s="26">
        <f t="shared" si="58"/>
        <v>0</v>
      </c>
      <c r="L272" s="24">
        <v>2.3975</v>
      </c>
      <c r="M272" s="24">
        <v>36</v>
      </c>
      <c r="N272" s="27">
        <f t="shared" si="59"/>
        <v>0</v>
      </c>
      <c r="O272" s="102">
        <f t="shared" si="50"/>
        <v>0</v>
      </c>
      <c r="P272" s="21">
        <f>VLOOKUP(A272,'2022-23 Salary &amp; Benefits'!$A:$I,5,)</f>
        <v>68937</v>
      </c>
      <c r="Q272" s="21">
        <f>VLOOKUP(A272,'2022-23 Salary &amp; Benefits'!$A:$I,6,FALSE)</f>
        <v>72728</v>
      </c>
      <c r="R272" s="22">
        <f t="shared" si="51"/>
        <v>0</v>
      </c>
      <c r="S272" s="22">
        <f t="shared" si="52"/>
        <v>0</v>
      </c>
      <c r="T272" s="22">
        <f>'2022-23 Salary &amp; Benefits'!$G$6</f>
        <v>12558.24</v>
      </c>
      <c r="U272" s="23">
        <f>'2022-23 Salary &amp; Benefits'!$H$6</f>
        <v>0.2298</v>
      </c>
      <c r="V272" s="23">
        <f>'2022-23 Salary &amp; Benefits'!$I$6</f>
        <v>0.22339999999999999</v>
      </c>
      <c r="W272" s="22">
        <f t="shared" si="53"/>
        <v>0</v>
      </c>
      <c r="X272" s="22">
        <f t="shared" si="54"/>
        <v>0</v>
      </c>
      <c r="Y272" s="22">
        <f t="shared" si="55"/>
        <v>0</v>
      </c>
      <c r="Z272" s="22">
        <f t="shared" si="57"/>
        <v>0</v>
      </c>
      <c r="AA272" s="22">
        <f t="shared" si="60"/>
        <v>0</v>
      </c>
    </row>
    <row r="273" spans="1:27">
      <c r="A273" s="125" t="s">
        <v>2376</v>
      </c>
      <c r="B273" s="3" t="s">
        <v>1081</v>
      </c>
      <c r="C273" s="93">
        <f>IF(A273=Summary!$B$9,Summary!$G$9,0)</f>
        <v>0</v>
      </c>
      <c r="D273" s="134">
        <f>VLOOKUP(A273,AAFTE!$A:$S,3,0)</f>
        <v>85.99</v>
      </c>
      <c r="E273" s="20">
        <f>VLOOKUP($A273,'2022-23 Salary &amp; Benefits'!$A:$I,3,)</f>
        <v>1.18</v>
      </c>
      <c r="F273" s="20">
        <f>VLOOKUP($A273,'2022-23 Salary &amp; Benefits'!$A:$I,4,)</f>
        <v>1.18</v>
      </c>
      <c r="G273" s="34">
        <f>VLOOKUP(A273,'CEDARS District FRPL'!$A:$F,6,)</f>
        <v>0</v>
      </c>
      <c r="H273" s="25">
        <f t="shared" si="56"/>
        <v>85.99</v>
      </c>
      <c r="I273" s="39">
        <f t="shared" si="49"/>
        <v>0</v>
      </c>
      <c r="J273" s="24">
        <v>15</v>
      </c>
      <c r="K273" s="26">
        <f t="shared" si="58"/>
        <v>0</v>
      </c>
      <c r="L273" s="24">
        <v>2.3975</v>
      </c>
      <c r="M273" s="24">
        <v>36</v>
      </c>
      <c r="N273" s="27">
        <f t="shared" si="59"/>
        <v>0</v>
      </c>
      <c r="O273" s="102">
        <f t="shared" si="50"/>
        <v>0</v>
      </c>
      <c r="P273" s="21">
        <f>VLOOKUP(A273,'2022-23 Salary &amp; Benefits'!$A:$I,5,)</f>
        <v>68937</v>
      </c>
      <c r="Q273" s="21">
        <f>VLOOKUP(A273,'2022-23 Salary &amp; Benefits'!$A:$I,6,FALSE)</f>
        <v>72728</v>
      </c>
      <c r="R273" s="22">
        <f t="shared" si="51"/>
        <v>0</v>
      </c>
      <c r="S273" s="22">
        <f t="shared" si="52"/>
        <v>0</v>
      </c>
      <c r="T273" s="22">
        <f>'2022-23 Salary &amp; Benefits'!$G$6</f>
        <v>12558.24</v>
      </c>
      <c r="U273" s="23">
        <f>'2022-23 Salary &amp; Benefits'!$H$6</f>
        <v>0.2298</v>
      </c>
      <c r="V273" s="23">
        <f>'2022-23 Salary &amp; Benefits'!$I$6</f>
        <v>0.22339999999999999</v>
      </c>
      <c r="W273" s="22">
        <f t="shared" si="53"/>
        <v>0</v>
      </c>
      <c r="X273" s="22">
        <f t="shared" si="54"/>
        <v>0</v>
      </c>
      <c r="Y273" s="22">
        <f t="shared" si="55"/>
        <v>0</v>
      </c>
      <c r="Z273" s="22">
        <f t="shared" si="57"/>
        <v>0</v>
      </c>
      <c r="AA273" s="22">
        <f t="shared" si="60"/>
        <v>0</v>
      </c>
    </row>
    <row r="274" spans="1:27">
      <c r="A274" s="125" t="s">
        <v>2440</v>
      </c>
      <c r="B274" s="3" t="s">
        <v>1330</v>
      </c>
      <c r="C274" s="93">
        <f>IF(A274=Summary!$B$9,Summary!$G$9,0)</f>
        <v>0</v>
      </c>
      <c r="D274" s="134">
        <f>VLOOKUP(A274,AAFTE!$A:$S,3,0)</f>
        <v>27226.67</v>
      </c>
      <c r="E274" s="20">
        <f>VLOOKUP($A274,'2022-23 Salary &amp; Benefits'!$A:$I,3,)</f>
        <v>1.1200000000000001</v>
      </c>
      <c r="F274" s="20">
        <f>VLOOKUP($A274,'2022-23 Salary &amp; Benefits'!$A:$I,4,)</f>
        <v>1.1200000000000001</v>
      </c>
      <c r="G274" s="34">
        <f>VLOOKUP(A274,'CEDARS District FRPL'!$A:$F,6,)</f>
        <v>1.9000000000000128E-3</v>
      </c>
      <c r="H274" s="25">
        <f t="shared" si="56"/>
        <v>27226.67</v>
      </c>
      <c r="I274" s="39">
        <f t="shared" si="49"/>
        <v>51.73</v>
      </c>
      <c r="J274" s="24">
        <v>15</v>
      </c>
      <c r="K274" s="26">
        <f t="shared" si="58"/>
        <v>3.4486666666666665</v>
      </c>
      <c r="L274" s="24">
        <v>2.3975</v>
      </c>
      <c r="M274" s="24">
        <v>36</v>
      </c>
      <c r="N274" s="27">
        <f t="shared" si="59"/>
        <v>297.65442000000002</v>
      </c>
      <c r="O274" s="102">
        <f t="shared" si="50"/>
        <v>0.33100000000000002</v>
      </c>
      <c r="P274" s="21">
        <f>VLOOKUP(A274,'2022-23 Salary &amp; Benefits'!$A:$I,5,)</f>
        <v>68937</v>
      </c>
      <c r="Q274" s="21">
        <f>VLOOKUP(A274,'2022-23 Salary &amp; Benefits'!$A:$I,6,FALSE)</f>
        <v>72728</v>
      </c>
      <c r="R274" s="22">
        <f t="shared" si="51"/>
        <v>25556.32</v>
      </c>
      <c r="S274" s="22">
        <f t="shared" si="52"/>
        <v>1405.4</v>
      </c>
      <c r="T274" s="22">
        <f>'2022-23 Salary &amp; Benefits'!$G$6</f>
        <v>12558.24</v>
      </c>
      <c r="U274" s="23">
        <f>'2022-23 Salary &amp; Benefits'!$H$6</f>
        <v>0.2298</v>
      </c>
      <c r="V274" s="23">
        <f>'2022-23 Salary &amp; Benefits'!$I$6</f>
        <v>0.22339999999999999</v>
      </c>
      <c r="W274" s="22">
        <f t="shared" si="53"/>
        <v>10343.59</v>
      </c>
      <c r="X274" s="22">
        <f t="shared" si="54"/>
        <v>449.36</v>
      </c>
      <c r="Y274" s="22">
        <f t="shared" si="55"/>
        <v>100.39</v>
      </c>
      <c r="Z274" s="22">
        <f t="shared" si="57"/>
        <v>549.75</v>
      </c>
      <c r="AA274" s="22">
        <f t="shared" si="60"/>
        <v>37855.060000000005</v>
      </c>
    </row>
    <row r="275" spans="1:27">
      <c r="A275" s="125" t="s">
        <v>2333</v>
      </c>
      <c r="B275" s="3" t="s">
        <v>497</v>
      </c>
      <c r="C275" s="93">
        <f>IF(A275=Summary!$B$9,Summary!$G$9,0)</f>
        <v>0</v>
      </c>
      <c r="D275" s="134">
        <f>VLOOKUP(A275,AAFTE!$A:$S,3,0)</f>
        <v>157.58000000000001</v>
      </c>
      <c r="E275" s="20">
        <f>VLOOKUP($A275,'2022-23 Salary &amp; Benefits'!$A:$I,3,)</f>
        <v>1</v>
      </c>
      <c r="F275" s="20">
        <f>VLOOKUP($A275,'2022-23 Salary &amp; Benefits'!$A:$I,4,)</f>
        <v>1</v>
      </c>
      <c r="G275" s="34">
        <f>VLOOKUP(A275,'CEDARS District FRPL'!$A:$F,6,)</f>
        <v>0</v>
      </c>
      <c r="H275" s="25">
        <f t="shared" si="56"/>
        <v>157.58000000000001</v>
      </c>
      <c r="I275" s="39">
        <f t="shared" si="49"/>
        <v>0</v>
      </c>
      <c r="J275" s="24">
        <v>15</v>
      </c>
      <c r="K275" s="26">
        <f t="shared" si="58"/>
        <v>0</v>
      </c>
      <c r="L275" s="24">
        <v>2.3975</v>
      </c>
      <c r="M275" s="24">
        <v>36</v>
      </c>
      <c r="N275" s="27">
        <f t="shared" si="59"/>
        <v>0</v>
      </c>
      <c r="O275" s="102">
        <f t="shared" si="50"/>
        <v>0</v>
      </c>
      <c r="P275" s="21">
        <f>VLOOKUP(A275,'2022-23 Salary &amp; Benefits'!$A:$I,5,)</f>
        <v>68937</v>
      </c>
      <c r="Q275" s="21">
        <f>VLOOKUP(A275,'2022-23 Salary &amp; Benefits'!$A:$I,6,FALSE)</f>
        <v>72728</v>
      </c>
      <c r="R275" s="22">
        <f t="shared" si="51"/>
        <v>0</v>
      </c>
      <c r="S275" s="22">
        <f t="shared" si="52"/>
        <v>0</v>
      </c>
      <c r="T275" s="22">
        <f>'2022-23 Salary &amp; Benefits'!$G$6</f>
        <v>12558.24</v>
      </c>
      <c r="U275" s="23">
        <f>'2022-23 Salary &amp; Benefits'!$H$6</f>
        <v>0.2298</v>
      </c>
      <c r="V275" s="23">
        <f>'2022-23 Salary &amp; Benefits'!$I$6</f>
        <v>0.22339999999999999</v>
      </c>
      <c r="W275" s="22">
        <f t="shared" si="53"/>
        <v>0</v>
      </c>
      <c r="X275" s="22">
        <f t="shared" si="54"/>
        <v>0</v>
      </c>
      <c r="Y275" s="22">
        <f t="shared" si="55"/>
        <v>0</v>
      </c>
      <c r="Z275" s="22">
        <f t="shared" si="57"/>
        <v>0</v>
      </c>
      <c r="AA275" s="22">
        <f t="shared" si="60"/>
        <v>0</v>
      </c>
    </row>
    <row r="276" spans="1:27">
      <c r="A276" s="125" t="s">
        <v>2360</v>
      </c>
      <c r="B276" s="3" t="s">
        <v>826</v>
      </c>
      <c r="C276" s="93">
        <f>IF(A276=Summary!$B$9,Summary!$G$9,0)</f>
        <v>0</v>
      </c>
      <c r="D276" s="134">
        <f>VLOOKUP(A276,AAFTE!$A:$S,3,0)</f>
        <v>8671.42</v>
      </c>
      <c r="E276" s="20">
        <f>VLOOKUP($A276,'2022-23 Salary &amp; Benefits'!$A:$I,3,)</f>
        <v>1.18</v>
      </c>
      <c r="F276" s="20">
        <f>VLOOKUP($A276,'2022-23 Salary &amp; Benefits'!$A:$I,4,)</f>
        <v>1.22</v>
      </c>
      <c r="G276" s="34">
        <f>VLOOKUP(A276,'CEDARS District FRPL'!$A:$F,6,)</f>
        <v>0</v>
      </c>
      <c r="H276" s="25">
        <f t="shared" si="56"/>
        <v>8671.42</v>
      </c>
      <c r="I276" s="39">
        <f t="shared" si="49"/>
        <v>0</v>
      </c>
      <c r="J276" s="24">
        <v>15</v>
      </c>
      <c r="K276" s="26">
        <f t="shared" si="58"/>
        <v>0</v>
      </c>
      <c r="L276" s="24">
        <v>2.3975</v>
      </c>
      <c r="M276" s="24">
        <v>36</v>
      </c>
      <c r="N276" s="27">
        <f t="shared" si="59"/>
        <v>0</v>
      </c>
      <c r="O276" s="102">
        <f t="shared" si="50"/>
        <v>0</v>
      </c>
      <c r="P276" s="21">
        <f>VLOOKUP(A276,'2022-23 Salary &amp; Benefits'!$A:$I,5,)</f>
        <v>68937</v>
      </c>
      <c r="Q276" s="21">
        <f>VLOOKUP(A276,'2022-23 Salary &amp; Benefits'!$A:$I,6,FALSE)</f>
        <v>72728</v>
      </c>
      <c r="R276" s="22">
        <f t="shared" si="51"/>
        <v>0</v>
      </c>
      <c r="S276" s="22">
        <f t="shared" si="52"/>
        <v>0</v>
      </c>
      <c r="T276" s="22">
        <f>'2022-23 Salary &amp; Benefits'!$G$6</f>
        <v>12558.24</v>
      </c>
      <c r="U276" s="23">
        <f>'2022-23 Salary &amp; Benefits'!$H$6</f>
        <v>0.2298</v>
      </c>
      <c r="V276" s="23">
        <f>'2022-23 Salary &amp; Benefits'!$I$6</f>
        <v>0.22339999999999999</v>
      </c>
      <c r="W276" s="22">
        <f t="shared" si="53"/>
        <v>0</v>
      </c>
      <c r="X276" s="22">
        <f t="shared" si="54"/>
        <v>0</v>
      </c>
      <c r="Y276" s="22">
        <f t="shared" si="55"/>
        <v>0</v>
      </c>
      <c r="Z276" s="22">
        <f t="shared" si="57"/>
        <v>0</v>
      </c>
      <c r="AA276" s="22">
        <f t="shared" si="60"/>
        <v>0</v>
      </c>
    </row>
    <row r="277" spans="1:27">
      <c r="A277" s="125" t="s">
        <v>2542</v>
      </c>
      <c r="B277" s="3" t="s">
        <v>2135</v>
      </c>
      <c r="C277" s="93">
        <f>IF(A277=Summary!$B$9,Summary!$G$9,0)</f>
        <v>0</v>
      </c>
      <c r="D277" s="134">
        <f>VLOOKUP(A277,AAFTE!$A:$S,3,0)</f>
        <v>191.08</v>
      </c>
      <c r="E277" s="20">
        <f>VLOOKUP($A277,'2022-23 Salary &amp; Benefits'!$A:$I,3,)</f>
        <v>1</v>
      </c>
      <c r="F277" s="20">
        <f>VLOOKUP($A277,'2022-23 Salary &amp; Benefits'!$A:$I,4,)</f>
        <v>1.04</v>
      </c>
      <c r="G277" s="34">
        <f>VLOOKUP(A277,'CEDARS District FRPL'!$A:$F,6,)</f>
        <v>0</v>
      </c>
      <c r="H277" s="25">
        <f t="shared" si="56"/>
        <v>191.08</v>
      </c>
      <c r="I277" s="39">
        <f t="shared" si="49"/>
        <v>0</v>
      </c>
      <c r="J277" s="24">
        <v>15</v>
      </c>
      <c r="K277" s="26">
        <f t="shared" si="58"/>
        <v>0</v>
      </c>
      <c r="L277" s="24">
        <v>2.3975</v>
      </c>
      <c r="M277" s="24">
        <v>36</v>
      </c>
      <c r="N277" s="27">
        <f t="shared" si="59"/>
        <v>0</v>
      </c>
      <c r="O277" s="102">
        <f t="shared" si="50"/>
        <v>0</v>
      </c>
      <c r="P277" s="21">
        <f>VLOOKUP(A277,'2022-23 Salary &amp; Benefits'!$A:$I,5,)</f>
        <v>68937</v>
      </c>
      <c r="Q277" s="21">
        <f>VLOOKUP(A277,'2022-23 Salary &amp; Benefits'!$A:$I,6,FALSE)</f>
        <v>72728</v>
      </c>
      <c r="R277" s="22">
        <f t="shared" si="51"/>
        <v>0</v>
      </c>
      <c r="S277" s="22">
        <f t="shared" si="52"/>
        <v>0</v>
      </c>
      <c r="T277" s="22">
        <f>'2022-23 Salary &amp; Benefits'!$G$6</f>
        <v>12558.24</v>
      </c>
      <c r="U277" s="23">
        <f>'2022-23 Salary &amp; Benefits'!$H$6</f>
        <v>0.2298</v>
      </c>
      <c r="V277" s="23">
        <f>'2022-23 Salary &amp; Benefits'!$I$6</f>
        <v>0.22339999999999999</v>
      </c>
      <c r="W277" s="22">
        <f t="shared" si="53"/>
        <v>0</v>
      </c>
      <c r="X277" s="22">
        <f t="shared" si="54"/>
        <v>0</v>
      </c>
      <c r="Y277" s="22">
        <f t="shared" si="55"/>
        <v>0</v>
      </c>
      <c r="Z277" s="22">
        <f t="shared" si="57"/>
        <v>0</v>
      </c>
      <c r="AA277" s="22">
        <f t="shared" si="60"/>
        <v>0</v>
      </c>
    </row>
    <row r="278" spans="1:27">
      <c r="A278" s="125" t="s">
        <v>2522</v>
      </c>
      <c r="B278" s="3" t="s">
        <v>2031</v>
      </c>
      <c r="C278" s="93">
        <f>IF(A278=Summary!$B$9,Summary!$G$9,0)</f>
        <v>0</v>
      </c>
      <c r="D278" s="134">
        <f>VLOOKUP(A278,AAFTE!$A:$S,3,0)</f>
        <v>1226.24</v>
      </c>
      <c r="E278" s="20">
        <f>VLOOKUP($A278,'2022-23 Salary &amp; Benefits'!$A:$I,3,)</f>
        <v>1</v>
      </c>
      <c r="F278" s="20">
        <f>VLOOKUP($A278,'2022-23 Salary &amp; Benefits'!$A:$I,4,)</f>
        <v>1</v>
      </c>
      <c r="G278" s="34">
        <f>VLOOKUP(A278,'CEDARS District FRPL'!$A:$F,6,)</f>
        <v>5.4000000000000159E-3</v>
      </c>
      <c r="H278" s="25">
        <f t="shared" si="56"/>
        <v>1226.24</v>
      </c>
      <c r="I278" s="39">
        <f t="shared" si="49"/>
        <v>6.62</v>
      </c>
      <c r="J278" s="24">
        <v>15</v>
      </c>
      <c r="K278" s="26">
        <f t="shared" si="58"/>
        <v>0.44133333333333336</v>
      </c>
      <c r="L278" s="24">
        <v>2.3975</v>
      </c>
      <c r="M278" s="24">
        <v>36</v>
      </c>
      <c r="N278" s="27">
        <f t="shared" si="59"/>
        <v>38.091480000000004</v>
      </c>
      <c r="O278" s="102">
        <f t="shared" si="50"/>
        <v>4.2000000000000003E-2</v>
      </c>
      <c r="P278" s="21">
        <f>VLOOKUP(A278,'2022-23 Salary &amp; Benefits'!$A:$I,5,)</f>
        <v>68937</v>
      </c>
      <c r="Q278" s="21">
        <f>VLOOKUP(A278,'2022-23 Salary &amp; Benefits'!$A:$I,6,FALSE)</f>
        <v>72728</v>
      </c>
      <c r="R278" s="22">
        <f t="shared" si="51"/>
        <v>2895.35</v>
      </c>
      <c r="S278" s="22">
        <f t="shared" si="52"/>
        <v>159.22999999999999</v>
      </c>
      <c r="T278" s="22">
        <f>'2022-23 Salary &amp; Benefits'!$G$6</f>
        <v>12558.24</v>
      </c>
      <c r="U278" s="23">
        <f>'2022-23 Salary &amp; Benefits'!$H$6</f>
        <v>0.2298</v>
      </c>
      <c r="V278" s="23">
        <f>'2022-23 Salary &amp; Benefits'!$I$6</f>
        <v>0.22339999999999999</v>
      </c>
      <c r="W278" s="22">
        <f t="shared" si="53"/>
        <v>1228.3699999999999</v>
      </c>
      <c r="X278" s="22">
        <f t="shared" si="54"/>
        <v>50.91</v>
      </c>
      <c r="Y278" s="22">
        <f t="shared" si="55"/>
        <v>11.37</v>
      </c>
      <c r="Z278" s="22">
        <f t="shared" si="57"/>
        <v>62.279999999999994</v>
      </c>
      <c r="AA278" s="22">
        <f t="shared" si="60"/>
        <v>4345.2299999999987</v>
      </c>
    </row>
    <row r="279" spans="1:27">
      <c r="A279" s="125" t="s">
        <v>2379</v>
      </c>
      <c r="B279" s="3" t="s">
        <v>1087</v>
      </c>
      <c r="C279" s="93">
        <f>IF(A279=Summary!$B$9,Summary!$G$9,0)</f>
        <v>0</v>
      </c>
      <c r="D279" s="134">
        <f>VLOOKUP(A279,AAFTE!$A:$S,3,0)</f>
        <v>221.03</v>
      </c>
      <c r="E279" s="20">
        <f>VLOOKUP($A279,'2022-23 Salary &amp; Benefits'!$A:$I,3,)</f>
        <v>1</v>
      </c>
      <c r="F279" s="20">
        <f>VLOOKUP($A279,'2022-23 Salary &amp; Benefits'!$A:$I,4,)</f>
        <v>1</v>
      </c>
      <c r="G279" s="34">
        <f>VLOOKUP(A279,'CEDARS District FRPL'!$A:$F,6,)</f>
        <v>8.9200000000000002E-2</v>
      </c>
      <c r="H279" s="25">
        <f t="shared" si="56"/>
        <v>221.03</v>
      </c>
      <c r="I279" s="39">
        <f t="shared" si="49"/>
        <v>19.72</v>
      </c>
      <c r="J279" s="24">
        <v>15</v>
      </c>
      <c r="K279" s="26">
        <f t="shared" si="58"/>
        <v>1.3146666666666667</v>
      </c>
      <c r="L279" s="24">
        <v>2.3975</v>
      </c>
      <c r="M279" s="24">
        <v>36</v>
      </c>
      <c r="N279" s="27">
        <f t="shared" si="59"/>
        <v>113.46888</v>
      </c>
      <c r="O279" s="102">
        <f t="shared" si="50"/>
        <v>0.126</v>
      </c>
      <c r="P279" s="21">
        <f>VLOOKUP(A279,'2022-23 Salary &amp; Benefits'!$A:$I,5,)</f>
        <v>68937</v>
      </c>
      <c r="Q279" s="21">
        <f>VLOOKUP(A279,'2022-23 Salary &amp; Benefits'!$A:$I,6,FALSE)</f>
        <v>72728</v>
      </c>
      <c r="R279" s="22">
        <f t="shared" si="51"/>
        <v>8686.06</v>
      </c>
      <c r="S279" s="22">
        <f t="shared" si="52"/>
        <v>477.67</v>
      </c>
      <c r="T279" s="22">
        <f>'2022-23 Salary &amp; Benefits'!$G$6</f>
        <v>12558.24</v>
      </c>
      <c r="U279" s="23">
        <f>'2022-23 Salary &amp; Benefits'!$H$6</f>
        <v>0.2298</v>
      </c>
      <c r="V279" s="23">
        <f>'2022-23 Salary &amp; Benefits'!$I$6</f>
        <v>0.22339999999999999</v>
      </c>
      <c r="W279" s="22">
        <f t="shared" si="53"/>
        <v>3685.11</v>
      </c>
      <c r="X279" s="22">
        <f t="shared" si="54"/>
        <v>152.72999999999999</v>
      </c>
      <c r="Y279" s="22">
        <f t="shared" si="55"/>
        <v>34.119999999999997</v>
      </c>
      <c r="Z279" s="22">
        <f t="shared" si="57"/>
        <v>186.85</v>
      </c>
      <c r="AA279" s="22">
        <f t="shared" si="60"/>
        <v>13035.69</v>
      </c>
    </row>
    <row r="280" spans="1:27">
      <c r="A280" s="125" t="s">
        <v>2400</v>
      </c>
      <c r="B280" s="3" t="s">
        <v>1155</v>
      </c>
      <c r="C280" s="93">
        <f>IF(A280=Summary!$B$9,Summary!$G$9,0)</f>
        <v>0</v>
      </c>
      <c r="D280" s="134">
        <f>VLOOKUP(A280,AAFTE!$A:$S,3,0)</f>
        <v>799.67</v>
      </c>
      <c r="E280" s="20">
        <f>VLOOKUP($A280,'2022-23 Salary &amp; Benefits'!$A:$I,3,)</f>
        <v>1</v>
      </c>
      <c r="F280" s="20">
        <f>VLOOKUP($A280,'2022-23 Salary &amp; Benefits'!$A:$I,4,)</f>
        <v>1.04</v>
      </c>
      <c r="G280" s="34">
        <f>VLOOKUP(A280,'CEDARS District FRPL'!$A:$F,6,)</f>
        <v>6.3800000000000023E-2</v>
      </c>
      <c r="H280" s="25">
        <f t="shared" si="56"/>
        <v>799.67</v>
      </c>
      <c r="I280" s="39">
        <f t="shared" si="49"/>
        <v>51.02</v>
      </c>
      <c r="J280" s="24">
        <v>15</v>
      </c>
      <c r="K280" s="26">
        <f t="shared" si="58"/>
        <v>3.4013333333333335</v>
      </c>
      <c r="L280" s="24">
        <v>2.3975</v>
      </c>
      <c r="M280" s="24">
        <v>36</v>
      </c>
      <c r="N280" s="27">
        <f t="shared" si="59"/>
        <v>293.56907999999999</v>
      </c>
      <c r="O280" s="102">
        <f t="shared" si="50"/>
        <v>0.32600000000000001</v>
      </c>
      <c r="P280" s="21">
        <f>VLOOKUP(A280,'2022-23 Salary &amp; Benefits'!$A:$I,5,)</f>
        <v>68937</v>
      </c>
      <c r="Q280" s="21">
        <f>VLOOKUP(A280,'2022-23 Salary &amp; Benefits'!$A:$I,6,FALSE)</f>
        <v>72728</v>
      </c>
      <c r="R280" s="22">
        <f t="shared" si="51"/>
        <v>22473.46</v>
      </c>
      <c r="S280" s="22">
        <f t="shared" si="52"/>
        <v>2184.2399999999998</v>
      </c>
      <c r="T280" s="22">
        <f>'2022-23 Salary &amp; Benefits'!$G$6</f>
        <v>12558.24</v>
      </c>
      <c r="U280" s="23">
        <f>'2022-23 Salary &amp; Benefits'!$H$6</f>
        <v>0.2298</v>
      </c>
      <c r="V280" s="23">
        <f>'2022-23 Salary &amp; Benefits'!$I$6</f>
        <v>0.22339999999999999</v>
      </c>
      <c r="W280" s="22">
        <f t="shared" si="53"/>
        <v>9746.35</v>
      </c>
      <c r="X280" s="22">
        <f t="shared" si="54"/>
        <v>410.96</v>
      </c>
      <c r="Y280" s="22">
        <f t="shared" si="55"/>
        <v>91.81</v>
      </c>
      <c r="Z280" s="22">
        <f t="shared" si="57"/>
        <v>502.77</v>
      </c>
      <c r="AA280" s="22">
        <f t="shared" si="60"/>
        <v>34906.819999999992</v>
      </c>
    </row>
    <row r="281" spans="1:27">
      <c r="A281" s="125" t="s">
        <v>2427</v>
      </c>
      <c r="B281" s="3" t="s">
        <v>1254</v>
      </c>
      <c r="C281" s="93">
        <f>IF(A281=Summary!$B$9,Summary!$G$9,0)</f>
        <v>0</v>
      </c>
      <c r="D281" s="134">
        <f>VLOOKUP(A281,AAFTE!$A:$S,3,0)</f>
        <v>1135.78</v>
      </c>
      <c r="E281" s="20">
        <f>VLOOKUP($A281,'2022-23 Salary &amp; Benefits'!$A:$I,3,)</f>
        <v>1</v>
      </c>
      <c r="F281" s="20">
        <f>VLOOKUP($A281,'2022-23 Salary &amp; Benefits'!$A:$I,4,)</f>
        <v>1</v>
      </c>
      <c r="G281" s="34">
        <f>VLOOKUP(A281,'CEDARS District FRPL'!$A:$F,6,)</f>
        <v>0</v>
      </c>
      <c r="H281" s="25">
        <f t="shared" si="56"/>
        <v>1135.78</v>
      </c>
      <c r="I281" s="39">
        <f t="shared" si="49"/>
        <v>0</v>
      </c>
      <c r="J281" s="24">
        <v>15</v>
      </c>
      <c r="K281" s="26">
        <f t="shared" si="58"/>
        <v>0</v>
      </c>
      <c r="L281" s="24">
        <v>2.3975</v>
      </c>
      <c r="M281" s="24">
        <v>36</v>
      </c>
      <c r="N281" s="27">
        <f t="shared" si="59"/>
        <v>0</v>
      </c>
      <c r="O281" s="102">
        <f t="shared" si="50"/>
        <v>0</v>
      </c>
      <c r="P281" s="21">
        <f>VLOOKUP(A281,'2022-23 Salary &amp; Benefits'!$A:$I,5,)</f>
        <v>68937</v>
      </c>
      <c r="Q281" s="21">
        <f>VLOOKUP(A281,'2022-23 Salary &amp; Benefits'!$A:$I,6,FALSE)</f>
        <v>72728</v>
      </c>
      <c r="R281" s="22">
        <f t="shared" si="51"/>
        <v>0</v>
      </c>
      <c r="S281" s="22">
        <f t="shared" si="52"/>
        <v>0</v>
      </c>
      <c r="T281" s="22">
        <f>'2022-23 Salary &amp; Benefits'!$G$6</f>
        <v>12558.24</v>
      </c>
      <c r="U281" s="23">
        <f>'2022-23 Salary &amp; Benefits'!$H$6</f>
        <v>0.2298</v>
      </c>
      <c r="V281" s="23">
        <f>'2022-23 Salary &amp; Benefits'!$I$6</f>
        <v>0.22339999999999999</v>
      </c>
      <c r="W281" s="22">
        <f t="shared" si="53"/>
        <v>0</v>
      </c>
      <c r="X281" s="22">
        <f t="shared" si="54"/>
        <v>0</v>
      </c>
      <c r="Y281" s="22">
        <f t="shared" si="55"/>
        <v>0</v>
      </c>
      <c r="Z281" s="22">
        <f t="shared" si="57"/>
        <v>0</v>
      </c>
      <c r="AA281" s="22">
        <f t="shared" si="60"/>
        <v>0</v>
      </c>
    </row>
    <row r="282" spans="1:27">
      <c r="A282" s="125" t="s">
        <v>2561</v>
      </c>
      <c r="B282" s="3" t="s">
        <v>2220</v>
      </c>
      <c r="C282" s="93">
        <f>IF(A282=Summary!$B$9,Summary!$G$9,0)</f>
        <v>0</v>
      </c>
      <c r="D282" s="134">
        <f>VLOOKUP(A282,AAFTE!$A:$S,3,0)</f>
        <v>4284.12</v>
      </c>
      <c r="E282" s="20">
        <f>VLOOKUP($A282,'2022-23 Salary &amp; Benefits'!$A:$I,3,)</f>
        <v>1</v>
      </c>
      <c r="F282" s="20">
        <f>VLOOKUP($A282,'2022-23 Salary &amp; Benefits'!$A:$I,4,)</f>
        <v>1</v>
      </c>
      <c r="G282" s="34">
        <f>VLOOKUP(A282,'CEDARS District FRPL'!$A:$F,6,)</f>
        <v>0</v>
      </c>
      <c r="H282" s="25">
        <f t="shared" si="56"/>
        <v>4284.12</v>
      </c>
      <c r="I282" s="39">
        <f t="shared" si="49"/>
        <v>0</v>
      </c>
      <c r="J282" s="24">
        <v>15</v>
      </c>
      <c r="K282" s="26">
        <f t="shared" si="58"/>
        <v>0</v>
      </c>
      <c r="L282" s="24">
        <v>2.3975</v>
      </c>
      <c r="M282" s="24">
        <v>36</v>
      </c>
      <c r="N282" s="27">
        <f t="shared" si="59"/>
        <v>0</v>
      </c>
      <c r="O282" s="102">
        <f t="shared" si="50"/>
        <v>0</v>
      </c>
      <c r="P282" s="21">
        <f>VLOOKUP(A282,'2022-23 Salary &amp; Benefits'!$A:$I,5,)</f>
        <v>68937</v>
      </c>
      <c r="Q282" s="21">
        <f>VLOOKUP(A282,'2022-23 Salary &amp; Benefits'!$A:$I,6,FALSE)</f>
        <v>72728</v>
      </c>
      <c r="R282" s="22">
        <f t="shared" si="51"/>
        <v>0</v>
      </c>
      <c r="S282" s="22">
        <f t="shared" si="52"/>
        <v>0</v>
      </c>
      <c r="T282" s="22">
        <f>'2022-23 Salary &amp; Benefits'!$G$6</f>
        <v>12558.24</v>
      </c>
      <c r="U282" s="23">
        <f>'2022-23 Salary &amp; Benefits'!$H$6</f>
        <v>0.2298</v>
      </c>
      <c r="V282" s="23">
        <f>'2022-23 Salary &amp; Benefits'!$I$6</f>
        <v>0.22339999999999999</v>
      </c>
      <c r="W282" s="22">
        <f t="shared" si="53"/>
        <v>0</v>
      </c>
      <c r="X282" s="22">
        <f t="shared" si="54"/>
        <v>0</v>
      </c>
      <c r="Y282" s="22">
        <f t="shared" si="55"/>
        <v>0</v>
      </c>
      <c r="Z282" s="22">
        <f t="shared" si="57"/>
        <v>0</v>
      </c>
      <c r="AA282" s="22">
        <f t="shared" si="60"/>
        <v>0</v>
      </c>
    </row>
    <row r="283" spans="1:27">
      <c r="A283" s="125" t="s">
        <v>2528</v>
      </c>
      <c r="B283" s="3" t="s">
        <v>2053</v>
      </c>
      <c r="C283" s="93">
        <f>IF(A283=Summary!$B$9,Summary!$G$9,0)</f>
        <v>0</v>
      </c>
      <c r="D283" s="134">
        <f>VLOOKUP(A283,AAFTE!$A:$S,3,0)</f>
        <v>202.21</v>
      </c>
      <c r="E283" s="20">
        <f>VLOOKUP($A283,'2022-23 Salary &amp; Benefits'!$A:$I,3,)</f>
        <v>1</v>
      </c>
      <c r="F283" s="20">
        <f>VLOOKUP($A283,'2022-23 Salary &amp; Benefits'!$A:$I,4,)</f>
        <v>1</v>
      </c>
      <c r="G283" s="34">
        <f>VLOOKUP(A283,'CEDARS District FRPL'!$A:$F,6,)</f>
        <v>5.6400000000000061E-2</v>
      </c>
      <c r="H283" s="25">
        <f t="shared" si="56"/>
        <v>202.21</v>
      </c>
      <c r="I283" s="39">
        <f t="shared" si="49"/>
        <v>11.4</v>
      </c>
      <c r="J283" s="24">
        <v>15</v>
      </c>
      <c r="K283" s="26">
        <f t="shared" si="58"/>
        <v>0.76</v>
      </c>
      <c r="L283" s="24">
        <v>2.3975</v>
      </c>
      <c r="M283" s="24">
        <v>36</v>
      </c>
      <c r="N283" s="27">
        <f t="shared" si="59"/>
        <v>65.595600000000005</v>
      </c>
      <c r="O283" s="102">
        <f t="shared" si="50"/>
        <v>7.2999999999999995E-2</v>
      </c>
      <c r="P283" s="21">
        <f>VLOOKUP(A283,'2022-23 Salary &amp; Benefits'!$A:$I,5,)</f>
        <v>68937</v>
      </c>
      <c r="Q283" s="21">
        <f>VLOOKUP(A283,'2022-23 Salary &amp; Benefits'!$A:$I,6,FALSE)</f>
        <v>72728</v>
      </c>
      <c r="R283" s="22">
        <f t="shared" si="51"/>
        <v>5032.3999999999996</v>
      </c>
      <c r="S283" s="22">
        <f t="shared" si="52"/>
        <v>276.74</v>
      </c>
      <c r="T283" s="22">
        <f>'2022-23 Salary &amp; Benefits'!$G$6</f>
        <v>12558.24</v>
      </c>
      <c r="U283" s="23">
        <f>'2022-23 Salary &amp; Benefits'!$H$6</f>
        <v>0.2298</v>
      </c>
      <c r="V283" s="23">
        <f>'2022-23 Salary &amp; Benefits'!$I$6</f>
        <v>0.22339999999999999</v>
      </c>
      <c r="W283" s="22">
        <f t="shared" si="53"/>
        <v>2135.02</v>
      </c>
      <c r="X283" s="22">
        <f t="shared" si="54"/>
        <v>88.49</v>
      </c>
      <c r="Y283" s="22">
        <f t="shared" si="55"/>
        <v>19.77</v>
      </c>
      <c r="Z283" s="22">
        <f t="shared" si="57"/>
        <v>108.25999999999999</v>
      </c>
      <c r="AA283" s="22">
        <f t="shared" si="60"/>
        <v>7552.42</v>
      </c>
    </row>
    <row r="284" spans="1:27">
      <c r="A284" s="125" t="s">
        <v>2296</v>
      </c>
      <c r="B284" s="3" t="s">
        <v>311</v>
      </c>
      <c r="C284" s="93">
        <f>IF(A284=Summary!$B$9,Summary!$G$9,0)</f>
        <v>0</v>
      </c>
      <c r="D284" s="134">
        <f>VLOOKUP(A284,AAFTE!$A:$S,3,0)</f>
        <v>693.93</v>
      </c>
      <c r="E284" s="20">
        <f>VLOOKUP($A284,'2022-23 Salary &amp; Benefits'!$A:$I,3,)</f>
        <v>1</v>
      </c>
      <c r="F284" s="20">
        <f>VLOOKUP($A284,'2022-23 Salary &amp; Benefits'!$A:$I,4,)</f>
        <v>1.04</v>
      </c>
      <c r="G284" s="34">
        <f>VLOOKUP(A284,'CEDARS District FRPL'!$A:$F,6,)</f>
        <v>3.4399999999999986E-2</v>
      </c>
      <c r="H284" s="25">
        <f t="shared" si="56"/>
        <v>693.93</v>
      </c>
      <c r="I284" s="39">
        <f t="shared" si="49"/>
        <v>23.87</v>
      </c>
      <c r="J284" s="24">
        <v>15</v>
      </c>
      <c r="K284" s="26">
        <f t="shared" si="58"/>
        <v>1.5913333333333335</v>
      </c>
      <c r="L284" s="24">
        <v>2.3975</v>
      </c>
      <c r="M284" s="24">
        <v>36</v>
      </c>
      <c r="N284" s="27">
        <f t="shared" si="59"/>
        <v>137.34798000000001</v>
      </c>
      <c r="O284" s="102">
        <f t="shared" si="50"/>
        <v>0.153</v>
      </c>
      <c r="P284" s="21">
        <f>VLOOKUP(A284,'2022-23 Salary &amp; Benefits'!$A:$I,5,)</f>
        <v>68937</v>
      </c>
      <c r="Q284" s="21">
        <f>VLOOKUP(A284,'2022-23 Salary &amp; Benefits'!$A:$I,6,FALSE)</f>
        <v>72728</v>
      </c>
      <c r="R284" s="22">
        <f t="shared" si="51"/>
        <v>10547.36</v>
      </c>
      <c r="S284" s="22">
        <f t="shared" si="52"/>
        <v>1025.1199999999999</v>
      </c>
      <c r="T284" s="22">
        <f>'2022-23 Salary &amp; Benefits'!$G$6</f>
        <v>12558.24</v>
      </c>
      <c r="U284" s="23">
        <f>'2022-23 Salary &amp; Benefits'!$H$6</f>
        <v>0.2298</v>
      </c>
      <c r="V284" s="23">
        <f>'2022-23 Salary &amp; Benefits'!$I$6</f>
        <v>0.22339999999999999</v>
      </c>
      <c r="W284" s="22">
        <f t="shared" si="53"/>
        <v>4574.21</v>
      </c>
      <c r="X284" s="22">
        <f t="shared" si="54"/>
        <v>192.87</v>
      </c>
      <c r="Y284" s="22">
        <f t="shared" si="55"/>
        <v>43.09</v>
      </c>
      <c r="Z284" s="22">
        <f t="shared" si="57"/>
        <v>235.96</v>
      </c>
      <c r="AA284" s="22">
        <f t="shared" si="60"/>
        <v>16382.649999999998</v>
      </c>
    </row>
    <row r="285" spans="1:27">
      <c r="A285" s="125" t="s">
        <v>2386</v>
      </c>
      <c r="B285" s="3" t="s">
        <v>1110</v>
      </c>
      <c r="C285" s="93">
        <f>IF(A285=Summary!$B$9,Summary!$G$9,0)</f>
        <v>0</v>
      </c>
      <c r="D285" s="134">
        <f>VLOOKUP(A285,AAFTE!$A:$S,3,0)</f>
        <v>189.16</v>
      </c>
      <c r="E285" s="20">
        <f>VLOOKUP($A285,'2022-23 Salary &amp; Benefits'!$A:$I,3,)</f>
        <v>1</v>
      </c>
      <c r="F285" s="20">
        <f>VLOOKUP($A285,'2022-23 Salary &amp; Benefits'!$A:$I,4,)</f>
        <v>1</v>
      </c>
      <c r="G285" s="34">
        <f>VLOOKUP(A285,'CEDARS District FRPL'!$A:$F,6,)</f>
        <v>0</v>
      </c>
      <c r="H285" s="25">
        <f t="shared" si="56"/>
        <v>189.16</v>
      </c>
      <c r="I285" s="39">
        <f t="shared" si="49"/>
        <v>0</v>
      </c>
      <c r="J285" s="24">
        <v>15</v>
      </c>
      <c r="K285" s="26">
        <f t="shared" si="58"/>
        <v>0</v>
      </c>
      <c r="L285" s="24">
        <v>2.3975</v>
      </c>
      <c r="M285" s="24">
        <v>36</v>
      </c>
      <c r="N285" s="27">
        <f t="shared" si="59"/>
        <v>0</v>
      </c>
      <c r="O285" s="102">
        <f t="shared" si="50"/>
        <v>0</v>
      </c>
      <c r="P285" s="21">
        <f>VLOOKUP(A285,'2022-23 Salary &amp; Benefits'!$A:$I,5,)</f>
        <v>68937</v>
      </c>
      <c r="Q285" s="21">
        <f>VLOOKUP(A285,'2022-23 Salary &amp; Benefits'!$A:$I,6,FALSE)</f>
        <v>72728</v>
      </c>
      <c r="R285" s="22">
        <f t="shared" si="51"/>
        <v>0</v>
      </c>
      <c r="S285" s="22">
        <f t="shared" si="52"/>
        <v>0</v>
      </c>
      <c r="T285" s="22">
        <f>'2022-23 Salary &amp; Benefits'!$G$6</f>
        <v>12558.24</v>
      </c>
      <c r="U285" s="23">
        <f>'2022-23 Salary &amp; Benefits'!$H$6</f>
        <v>0.2298</v>
      </c>
      <c r="V285" s="23">
        <f>'2022-23 Salary &amp; Benefits'!$I$6</f>
        <v>0.22339999999999999</v>
      </c>
      <c r="W285" s="22">
        <f t="shared" si="53"/>
        <v>0</v>
      </c>
      <c r="X285" s="22">
        <f t="shared" si="54"/>
        <v>0</v>
      </c>
      <c r="Y285" s="22">
        <f t="shared" si="55"/>
        <v>0</v>
      </c>
      <c r="Z285" s="22">
        <f t="shared" si="57"/>
        <v>0</v>
      </c>
      <c r="AA285" s="22">
        <f t="shared" si="60"/>
        <v>0</v>
      </c>
    </row>
    <row r="286" spans="1:27">
      <c r="A286" s="125" t="s">
        <v>2357</v>
      </c>
      <c r="B286" s="3" t="s">
        <v>792</v>
      </c>
      <c r="C286" s="93">
        <f>IF(A286=Summary!$B$9,Summary!$G$9,0)</f>
        <v>0</v>
      </c>
      <c r="D286" s="134">
        <f>VLOOKUP(A286,AAFTE!$A:$S,3,0)</f>
        <v>2521.63</v>
      </c>
      <c r="E286" s="20">
        <f>VLOOKUP($A286,'2022-23 Salary &amp; Benefits'!$A:$I,3,)</f>
        <v>1.18</v>
      </c>
      <c r="F286" s="20">
        <f>VLOOKUP($A286,'2022-23 Salary &amp; Benefits'!$A:$I,4,)</f>
        <v>1.18</v>
      </c>
      <c r="G286" s="34">
        <f>VLOOKUP(A286,'CEDARS District FRPL'!$A:$F,6,)</f>
        <v>0</v>
      </c>
      <c r="H286" s="25">
        <f t="shared" si="56"/>
        <v>2521.63</v>
      </c>
      <c r="I286" s="39">
        <f t="shared" si="49"/>
        <v>0</v>
      </c>
      <c r="J286" s="24">
        <v>15</v>
      </c>
      <c r="K286" s="26">
        <f t="shared" si="58"/>
        <v>0</v>
      </c>
      <c r="L286" s="24">
        <v>2.3975</v>
      </c>
      <c r="M286" s="24">
        <v>36</v>
      </c>
      <c r="N286" s="27">
        <f t="shared" si="59"/>
        <v>0</v>
      </c>
      <c r="O286" s="102">
        <f t="shared" si="50"/>
        <v>0</v>
      </c>
      <c r="P286" s="21">
        <f>VLOOKUP(A286,'2022-23 Salary &amp; Benefits'!$A:$I,5,)</f>
        <v>68937</v>
      </c>
      <c r="Q286" s="21">
        <f>VLOOKUP(A286,'2022-23 Salary &amp; Benefits'!$A:$I,6,FALSE)</f>
        <v>72728</v>
      </c>
      <c r="R286" s="22">
        <f t="shared" si="51"/>
        <v>0</v>
      </c>
      <c r="S286" s="22">
        <f t="shared" si="52"/>
        <v>0</v>
      </c>
      <c r="T286" s="22">
        <f>'2022-23 Salary &amp; Benefits'!$G$6</f>
        <v>12558.24</v>
      </c>
      <c r="U286" s="23">
        <f>'2022-23 Salary &amp; Benefits'!$H$6</f>
        <v>0.2298</v>
      </c>
      <c r="V286" s="23">
        <f>'2022-23 Salary &amp; Benefits'!$I$6</f>
        <v>0.22339999999999999</v>
      </c>
      <c r="W286" s="22">
        <f t="shared" si="53"/>
        <v>0</v>
      </c>
      <c r="X286" s="22">
        <f t="shared" si="54"/>
        <v>0</v>
      </c>
      <c r="Y286" s="22">
        <f t="shared" si="55"/>
        <v>0</v>
      </c>
      <c r="Z286" s="22">
        <f t="shared" si="57"/>
        <v>0</v>
      </c>
      <c r="AA286" s="22">
        <f t="shared" si="60"/>
        <v>0</v>
      </c>
    </row>
    <row r="287" spans="1:27">
      <c r="A287" s="125" t="s">
        <v>2517</v>
      </c>
      <c r="B287" s="3" t="s">
        <v>1995</v>
      </c>
      <c r="C287" s="93">
        <f>IF(A287=Summary!$B$9,Summary!$G$9,0)</f>
        <v>0</v>
      </c>
      <c r="D287" s="134">
        <f>VLOOKUP(A287,AAFTE!$A:$S,3,0)</f>
        <v>6641.36</v>
      </c>
      <c r="E287" s="20">
        <f>VLOOKUP($A287,'2022-23 Salary &amp; Benefits'!$A:$I,3,)</f>
        <v>1</v>
      </c>
      <c r="F287" s="20">
        <f>VLOOKUP($A287,'2022-23 Salary &amp; Benefits'!$A:$I,4,)</f>
        <v>1</v>
      </c>
      <c r="G287" s="34">
        <f>VLOOKUP(A287,'CEDARS District FRPL'!$A:$F,6,)</f>
        <v>0</v>
      </c>
      <c r="H287" s="25">
        <f t="shared" si="56"/>
        <v>6641.36</v>
      </c>
      <c r="I287" s="39">
        <f t="shared" si="49"/>
        <v>0</v>
      </c>
      <c r="J287" s="24">
        <v>15</v>
      </c>
      <c r="K287" s="26">
        <f t="shared" si="58"/>
        <v>0</v>
      </c>
      <c r="L287" s="24">
        <v>2.3975</v>
      </c>
      <c r="M287" s="24">
        <v>36</v>
      </c>
      <c r="N287" s="27">
        <f t="shared" si="59"/>
        <v>0</v>
      </c>
      <c r="O287" s="102">
        <f t="shared" si="50"/>
        <v>0</v>
      </c>
      <c r="P287" s="21">
        <f>VLOOKUP(A287,'2022-23 Salary &amp; Benefits'!$A:$I,5,)</f>
        <v>68937</v>
      </c>
      <c r="Q287" s="21">
        <f>VLOOKUP(A287,'2022-23 Salary &amp; Benefits'!$A:$I,6,FALSE)</f>
        <v>72728</v>
      </c>
      <c r="R287" s="22">
        <f t="shared" si="51"/>
        <v>0</v>
      </c>
      <c r="S287" s="22">
        <f t="shared" si="52"/>
        <v>0</v>
      </c>
      <c r="T287" s="22">
        <f>'2022-23 Salary &amp; Benefits'!$G$6</f>
        <v>12558.24</v>
      </c>
      <c r="U287" s="23">
        <f>'2022-23 Salary &amp; Benefits'!$H$6</f>
        <v>0.2298</v>
      </c>
      <c r="V287" s="23">
        <f>'2022-23 Salary &amp; Benefits'!$I$6</f>
        <v>0.22339999999999999</v>
      </c>
      <c r="W287" s="22">
        <f t="shared" si="53"/>
        <v>0</v>
      </c>
      <c r="X287" s="22">
        <f t="shared" si="54"/>
        <v>0</v>
      </c>
      <c r="Y287" s="22">
        <f t="shared" si="55"/>
        <v>0</v>
      </c>
      <c r="Z287" s="22">
        <f t="shared" si="57"/>
        <v>0</v>
      </c>
      <c r="AA287" s="22">
        <f t="shared" si="60"/>
        <v>0</v>
      </c>
    </row>
    <row r="288" spans="1:27">
      <c r="A288" s="125" t="s">
        <v>2553</v>
      </c>
      <c r="B288" s="3" t="s">
        <v>2164</v>
      </c>
      <c r="C288" s="93">
        <f>IF(A288=Summary!$B$9,Summary!$G$9,0)</f>
        <v>0</v>
      </c>
      <c r="D288" s="134">
        <f>VLOOKUP(A288,AAFTE!$A:$S,3,0)</f>
        <v>571.30999999999995</v>
      </c>
      <c r="E288" s="20">
        <f>VLOOKUP($A288,'2022-23 Salary &amp; Benefits'!$A:$I,3,)</f>
        <v>1</v>
      </c>
      <c r="F288" s="20">
        <f>VLOOKUP($A288,'2022-23 Salary &amp; Benefits'!$A:$I,4,)</f>
        <v>1</v>
      </c>
      <c r="G288" s="34">
        <f>VLOOKUP(A288,'CEDARS District FRPL'!$A:$F,6,)</f>
        <v>7.2999999999999732E-3</v>
      </c>
      <c r="H288" s="25">
        <f t="shared" si="56"/>
        <v>571.30999999999995</v>
      </c>
      <c r="I288" s="39">
        <f t="shared" si="49"/>
        <v>4.17</v>
      </c>
      <c r="J288" s="24">
        <v>15</v>
      </c>
      <c r="K288" s="26">
        <f t="shared" si="58"/>
        <v>0.27799999999999997</v>
      </c>
      <c r="L288" s="24">
        <v>2.3975</v>
      </c>
      <c r="M288" s="24">
        <v>36</v>
      </c>
      <c r="N288" s="27">
        <f t="shared" si="59"/>
        <v>23.994179999999997</v>
      </c>
      <c r="O288" s="102">
        <f t="shared" si="50"/>
        <v>2.7E-2</v>
      </c>
      <c r="P288" s="21">
        <f>VLOOKUP(A288,'2022-23 Salary &amp; Benefits'!$A:$I,5,)</f>
        <v>68937</v>
      </c>
      <c r="Q288" s="21">
        <f>VLOOKUP(A288,'2022-23 Salary &amp; Benefits'!$A:$I,6,FALSE)</f>
        <v>72728</v>
      </c>
      <c r="R288" s="22">
        <f t="shared" si="51"/>
        <v>1861.3</v>
      </c>
      <c r="S288" s="22">
        <f t="shared" si="52"/>
        <v>102.36</v>
      </c>
      <c r="T288" s="22">
        <f>'2022-23 Salary &amp; Benefits'!$G$6</f>
        <v>12558.24</v>
      </c>
      <c r="U288" s="23">
        <f>'2022-23 Salary &amp; Benefits'!$H$6</f>
        <v>0.2298</v>
      </c>
      <c r="V288" s="23">
        <f>'2022-23 Salary &amp; Benefits'!$I$6</f>
        <v>0.22339999999999999</v>
      </c>
      <c r="W288" s="22">
        <f t="shared" si="53"/>
        <v>789.67</v>
      </c>
      <c r="X288" s="22">
        <f t="shared" si="54"/>
        <v>32.729999999999997</v>
      </c>
      <c r="Y288" s="22">
        <f t="shared" si="55"/>
        <v>7.31</v>
      </c>
      <c r="Z288" s="22">
        <f t="shared" si="57"/>
        <v>40.04</v>
      </c>
      <c r="AA288" s="22">
        <f t="shared" si="60"/>
        <v>2793.37</v>
      </c>
    </row>
    <row r="289" spans="1:27">
      <c r="A289" s="125" t="s">
        <v>2442</v>
      </c>
      <c r="B289" s="3" t="s">
        <v>1387</v>
      </c>
      <c r="C289" s="93">
        <f>IF(A289=Summary!$B$9,Summary!$G$9,0)</f>
        <v>0</v>
      </c>
      <c r="D289" s="134">
        <f>VLOOKUP(A289,AAFTE!$A:$S,3,0)</f>
        <v>5547.57</v>
      </c>
      <c r="E289" s="20">
        <f>VLOOKUP($A289,'2022-23 Salary &amp; Benefits'!$A:$I,3,)</f>
        <v>1.06</v>
      </c>
      <c r="F289" s="20">
        <f>VLOOKUP($A289,'2022-23 Salary &amp; Benefits'!$A:$I,4,)</f>
        <v>1.1000000000000001</v>
      </c>
      <c r="G289" s="34">
        <f>VLOOKUP(A289,'CEDARS District FRPL'!$A:$F,6,)</f>
        <v>0</v>
      </c>
      <c r="H289" s="25">
        <f t="shared" si="56"/>
        <v>5547.57</v>
      </c>
      <c r="I289" s="39">
        <f t="shared" si="49"/>
        <v>0</v>
      </c>
      <c r="J289" s="24">
        <v>15</v>
      </c>
      <c r="K289" s="26">
        <f t="shared" si="58"/>
        <v>0</v>
      </c>
      <c r="L289" s="24">
        <v>2.3975</v>
      </c>
      <c r="M289" s="24">
        <v>36</v>
      </c>
      <c r="N289" s="27">
        <f t="shared" si="59"/>
        <v>0</v>
      </c>
      <c r="O289" s="102">
        <f t="shared" si="50"/>
        <v>0</v>
      </c>
      <c r="P289" s="21">
        <f>VLOOKUP(A289,'2022-23 Salary &amp; Benefits'!$A:$I,5,)</f>
        <v>68937</v>
      </c>
      <c r="Q289" s="21">
        <f>VLOOKUP(A289,'2022-23 Salary &amp; Benefits'!$A:$I,6,FALSE)</f>
        <v>72728</v>
      </c>
      <c r="R289" s="22">
        <f t="shared" si="51"/>
        <v>0</v>
      </c>
      <c r="S289" s="22">
        <f t="shared" si="52"/>
        <v>0</v>
      </c>
      <c r="T289" s="22">
        <f>'2022-23 Salary &amp; Benefits'!$G$6</f>
        <v>12558.24</v>
      </c>
      <c r="U289" s="23">
        <f>'2022-23 Salary &amp; Benefits'!$H$6</f>
        <v>0.2298</v>
      </c>
      <c r="V289" s="23">
        <f>'2022-23 Salary &amp; Benefits'!$I$6</f>
        <v>0.22339999999999999</v>
      </c>
      <c r="W289" s="22">
        <f t="shared" si="53"/>
        <v>0</v>
      </c>
      <c r="X289" s="22">
        <f t="shared" si="54"/>
        <v>0</v>
      </c>
      <c r="Y289" s="22">
        <f t="shared" si="55"/>
        <v>0</v>
      </c>
      <c r="Z289" s="22">
        <f t="shared" si="57"/>
        <v>0</v>
      </c>
      <c r="AA289" s="22">
        <f t="shared" si="60"/>
        <v>0</v>
      </c>
    </row>
    <row r="290" spans="1:27">
      <c r="A290" s="125" t="s">
        <v>2506</v>
      </c>
      <c r="B290" s="3" t="s">
        <v>1932</v>
      </c>
      <c r="C290" s="93">
        <f>IF(A290=Summary!$B$9,Summary!$G$9,0)</f>
        <v>0</v>
      </c>
      <c r="D290" s="134">
        <f>VLOOKUP(A290,AAFTE!$A:$S,3,0)</f>
        <v>1127.56</v>
      </c>
      <c r="E290" s="20">
        <f>VLOOKUP($A290,'2022-23 Salary &amp; Benefits'!$A:$I,3,)</f>
        <v>1</v>
      </c>
      <c r="F290" s="20">
        <f>VLOOKUP($A290,'2022-23 Salary &amp; Benefits'!$A:$I,4,)</f>
        <v>1</v>
      </c>
      <c r="G290" s="34">
        <f>VLOOKUP(A290,'CEDARS District FRPL'!$A:$F,6,)</f>
        <v>0</v>
      </c>
      <c r="H290" s="25">
        <f t="shared" si="56"/>
        <v>1127.56</v>
      </c>
      <c r="I290" s="39">
        <f t="shared" si="49"/>
        <v>0</v>
      </c>
      <c r="J290" s="24">
        <v>15</v>
      </c>
      <c r="K290" s="26">
        <f t="shared" si="58"/>
        <v>0</v>
      </c>
      <c r="L290" s="24">
        <v>2.3975</v>
      </c>
      <c r="M290" s="24">
        <v>36</v>
      </c>
      <c r="N290" s="27">
        <f t="shared" si="59"/>
        <v>0</v>
      </c>
      <c r="O290" s="102">
        <f t="shared" si="50"/>
        <v>0</v>
      </c>
      <c r="P290" s="21">
        <f>VLOOKUP(A290,'2022-23 Salary &amp; Benefits'!$A:$I,5,)</f>
        <v>68937</v>
      </c>
      <c r="Q290" s="21">
        <f>VLOOKUP(A290,'2022-23 Salary &amp; Benefits'!$A:$I,6,FALSE)</f>
        <v>72728</v>
      </c>
      <c r="R290" s="22">
        <f t="shared" si="51"/>
        <v>0</v>
      </c>
      <c r="S290" s="22">
        <f t="shared" si="52"/>
        <v>0</v>
      </c>
      <c r="T290" s="22">
        <f>'2022-23 Salary &amp; Benefits'!$G$6</f>
        <v>12558.24</v>
      </c>
      <c r="U290" s="23">
        <f>'2022-23 Salary &amp; Benefits'!$H$6</f>
        <v>0.2298</v>
      </c>
      <c r="V290" s="23">
        <f>'2022-23 Salary &amp; Benefits'!$I$6</f>
        <v>0.22339999999999999</v>
      </c>
      <c r="W290" s="22">
        <f t="shared" si="53"/>
        <v>0</v>
      </c>
      <c r="X290" s="22">
        <f t="shared" si="54"/>
        <v>0</v>
      </c>
      <c r="Y290" s="22">
        <f t="shared" si="55"/>
        <v>0</v>
      </c>
      <c r="Z290" s="22">
        <f t="shared" si="57"/>
        <v>0</v>
      </c>
      <c r="AA290" s="22">
        <f t="shared" si="60"/>
        <v>0</v>
      </c>
    </row>
    <row r="291" spans="1:27">
      <c r="A291" s="125" t="s">
        <v>2283</v>
      </c>
      <c r="B291" s="3" t="s">
        <v>164</v>
      </c>
      <c r="C291" s="93">
        <f>IF(A291=Summary!$B$9,Summary!$G$9,0)</f>
        <v>0</v>
      </c>
      <c r="D291" s="134">
        <f>VLOOKUP(A291,AAFTE!$A:$S,3,0)</f>
        <v>21433.95</v>
      </c>
      <c r="E291" s="20">
        <f>VLOOKUP($A291,'2022-23 Salary &amp; Benefits'!$A:$I,3,)</f>
        <v>1.06</v>
      </c>
      <c r="F291" s="20">
        <f>VLOOKUP($A291,'2022-23 Salary &amp; Benefits'!$A:$I,4,)</f>
        <v>1.06</v>
      </c>
      <c r="G291" s="34">
        <f>VLOOKUP(A291,'CEDARS District FRPL'!$A:$F,6,)</f>
        <v>0</v>
      </c>
      <c r="H291" s="25">
        <f t="shared" si="56"/>
        <v>21433.95</v>
      </c>
      <c r="I291" s="39">
        <f t="shared" si="49"/>
        <v>0</v>
      </c>
      <c r="J291" s="24">
        <v>15</v>
      </c>
      <c r="K291" s="26">
        <f t="shared" si="58"/>
        <v>0</v>
      </c>
      <c r="L291" s="24">
        <v>2.3975</v>
      </c>
      <c r="M291" s="24">
        <v>36</v>
      </c>
      <c r="N291" s="27">
        <f t="shared" si="59"/>
        <v>0</v>
      </c>
      <c r="O291" s="102">
        <f t="shared" si="50"/>
        <v>0</v>
      </c>
      <c r="P291" s="21">
        <f>VLOOKUP(A291,'2022-23 Salary &amp; Benefits'!$A:$I,5,)</f>
        <v>68937</v>
      </c>
      <c r="Q291" s="21">
        <f>VLOOKUP(A291,'2022-23 Salary &amp; Benefits'!$A:$I,6,FALSE)</f>
        <v>72728</v>
      </c>
      <c r="R291" s="22">
        <f t="shared" si="51"/>
        <v>0</v>
      </c>
      <c r="S291" s="22">
        <f t="shared" si="52"/>
        <v>0</v>
      </c>
      <c r="T291" s="22">
        <f>'2022-23 Salary &amp; Benefits'!$G$6</f>
        <v>12558.24</v>
      </c>
      <c r="U291" s="23">
        <f>'2022-23 Salary &amp; Benefits'!$H$6</f>
        <v>0.2298</v>
      </c>
      <c r="V291" s="23">
        <f>'2022-23 Salary &amp; Benefits'!$I$6</f>
        <v>0.22339999999999999</v>
      </c>
      <c r="W291" s="22">
        <f t="shared" si="53"/>
        <v>0</v>
      </c>
      <c r="X291" s="22">
        <f t="shared" si="54"/>
        <v>0</v>
      </c>
      <c r="Y291" s="22">
        <f t="shared" si="55"/>
        <v>0</v>
      </c>
      <c r="Z291" s="22">
        <f t="shared" si="57"/>
        <v>0</v>
      </c>
      <c r="AA291" s="22">
        <f t="shared" si="60"/>
        <v>0</v>
      </c>
    </row>
    <row r="292" spans="1:27">
      <c r="A292" s="125" t="s">
        <v>2353</v>
      </c>
      <c r="B292" s="3" t="s">
        <v>730</v>
      </c>
      <c r="C292" s="93">
        <f>IF(A292=Summary!$B$9,Summary!$G$9,0)</f>
        <v>0</v>
      </c>
      <c r="D292" s="134">
        <f>VLOOKUP(A292,AAFTE!$A:$S,3,0)</f>
        <v>1479.32</v>
      </c>
      <c r="E292" s="20">
        <f>VLOOKUP($A292,'2022-23 Salary &amp; Benefits'!$A:$I,3,)</f>
        <v>1.1200000000000001</v>
      </c>
      <c r="F292" s="20">
        <f>VLOOKUP($A292,'2022-23 Salary &amp; Benefits'!$A:$I,4,)</f>
        <v>1.1200000000000001</v>
      </c>
      <c r="G292" s="34">
        <f>VLOOKUP(A292,'CEDARS District FRPL'!$A:$F,6,)</f>
        <v>0</v>
      </c>
      <c r="H292" s="25">
        <f t="shared" si="56"/>
        <v>1479.32</v>
      </c>
      <c r="I292" s="39">
        <f t="shared" si="49"/>
        <v>0</v>
      </c>
      <c r="J292" s="24">
        <v>15</v>
      </c>
      <c r="K292" s="26">
        <f t="shared" si="58"/>
        <v>0</v>
      </c>
      <c r="L292" s="24">
        <v>2.3975</v>
      </c>
      <c r="M292" s="24">
        <v>36</v>
      </c>
      <c r="N292" s="27">
        <f t="shared" si="59"/>
        <v>0</v>
      </c>
      <c r="O292" s="102">
        <f t="shared" si="50"/>
        <v>0</v>
      </c>
      <c r="P292" s="21">
        <f>VLOOKUP(A292,'2022-23 Salary &amp; Benefits'!$A:$I,5,)</f>
        <v>68937</v>
      </c>
      <c r="Q292" s="21">
        <f>VLOOKUP(A292,'2022-23 Salary &amp; Benefits'!$A:$I,6,FALSE)</f>
        <v>72728</v>
      </c>
      <c r="R292" s="22">
        <f t="shared" si="51"/>
        <v>0</v>
      </c>
      <c r="S292" s="22">
        <f t="shared" si="52"/>
        <v>0</v>
      </c>
      <c r="T292" s="22">
        <f>'2022-23 Salary &amp; Benefits'!$G$6</f>
        <v>12558.24</v>
      </c>
      <c r="U292" s="23">
        <f>'2022-23 Salary &amp; Benefits'!$H$6</f>
        <v>0.2298</v>
      </c>
      <c r="V292" s="23">
        <f>'2022-23 Salary &amp; Benefits'!$I$6</f>
        <v>0.22339999999999999</v>
      </c>
      <c r="W292" s="22">
        <f t="shared" si="53"/>
        <v>0</v>
      </c>
      <c r="X292" s="22">
        <f t="shared" si="54"/>
        <v>0</v>
      </c>
      <c r="Y292" s="22">
        <f t="shared" si="55"/>
        <v>0</v>
      </c>
      <c r="Z292" s="22">
        <f t="shared" si="57"/>
        <v>0</v>
      </c>
      <c r="AA292" s="22">
        <f t="shared" si="60"/>
        <v>0</v>
      </c>
    </row>
    <row r="293" spans="1:27">
      <c r="A293" s="125" t="s">
        <v>2710</v>
      </c>
      <c r="B293" s="3" t="s">
        <v>2820</v>
      </c>
      <c r="C293" s="93">
        <f>IF(A293=Summary!$B$9,Summary!$G$9,0)</f>
        <v>0</v>
      </c>
      <c r="D293" s="134">
        <f>VLOOKUP(A293,AAFTE!$A:$S,3,0)</f>
        <v>124.73</v>
      </c>
      <c r="E293" s="20">
        <f>VLOOKUP($A293,'2022-23 Salary &amp; Benefits'!$A:$I,3,)</f>
        <v>1.03</v>
      </c>
      <c r="F293" s="20">
        <f>VLOOKUP($A293,'2022-23 Salary &amp; Benefits'!$A:$I,4,)</f>
        <v>1.03</v>
      </c>
      <c r="G293" s="34">
        <f>VLOOKUP(A293,'CEDARS District FRPL'!$A:$F,6,)</f>
        <v>0</v>
      </c>
      <c r="H293" s="25">
        <f t="shared" si="56"/>
        <v>124.73</v>
      </c>
      <c r="I293" s="39">
        <f t="shared" si="49"/>
        <v>0</v>
      </c>
      <c r="J293" s="24">
        <v>15</v>
      </c>
      <c r="K293" s="26">
        <f t="shared" si="58"/>
        <v>0</v>
      </c>
      <c r="L293" s="24">
        <v>2.3975</v>
      </c>
      <c r="M293" s="24">
        <v>36</v>
      </c>
      <c r="N293" s="27">
        <f t="shared" si="59"/>
        <v>0</v>
      </c>
      <c r="O293" s="102">
        <f t="shared" si="50"/>
        <v>0</v>
      </c>
      <c r="P293" s="21">
        <f>VLOOKUP(A293,'2022-23 Salary &amp; Benefits'!$A:$I,5,)</f>
        <v>68937</v>
      </c>
      <c r="Q293" s="21">
        <f>VLOOKUP(A293,'2022-23 Salary &amp; Benefits'!$A:$I,6,FALSE)</f>
        <v>72728</v>
      </c>
      <c r="R293" s="22">
        <f t="shared" si="51"/>
        <v>0</v>
      </c>
      <c r="S293" s="22">
        <f t="shared" si="52"/>
        <v>0</v>
      </c>
      <c r="T293" s="22">
        <f>'2022-23 Salary &amp; Benefits'!$G$6</f>
        <v>12558.24</v>
      </c>
      <c r="U293" s="23">
        <f>'2022-23 Salary &amp; Benefits'!$H$6</f>
        <v>0.2298</v>
      </c>
      <c r="V293" s="23">
        <f>'2022-23 Salary &amp; Benefits'!$I$6</f>
        <v>0.22339999999999999</v>
      </c>
      <c r="W293" s="22">
        <f t="shared" si="53"/>
        <v>0</v>
      </c>
      <c r="X293" s="22">
        <f t="shared" si="54"/>
        <v>0</v>
      </c>
      <c r="Y293" s="22">
        <f t="shared" si="55"/>
        <v>0</v>
      </c>
      <c r="Z293" s="22">
        <f t="shared" si="57"/>
        <v>0</v>
      </c>
      <c r="AA293" s="22">
        <f t="shared" si="60"/>
        <v>0</v>
      </c>
    </row>
    <row r="294" spans="1:27">
      <c r="A294" s="125" t="s">
        <v>2524</v>
      </c>
      <c r="B294" s="3" t="s">
        <v>2036</v>
      </c>
      <c r="C294" s="93">
        <f>IF(A294=Summary!$B$9,Summary!$G$9,0)</f>
        <v>0</v>
      </c>
      <c r="D294" s="134">
        <f>VLOOKUP(A294,AAFTE!$A:$S,3,0)</f>
        <v>449.89</v>
      </c>
      <c r="E294" s="20">
        <f>VLOOKUP($A294,'2022-23 Salary &amp; Benefits'!$A:$I,3,)</f>
        <v>1</v>
      </c>
      <c r="F294" s="20">
        <f>VLOOKUP($A294,'2022-23 Salary &amp; Benefits'!$A:$I,4,)</f>
        <v>1.04</v>
      </c>
      <c r="G294" s="34">
        <f>VLOOKUP(A294,'CEDARS District FRPL'!$A:$F,6,)</f>
        <v>7.0699999999999985E-2</v>
      </c>
      <c r="H294" s="25">
        <f t="shared" si="56"/>
        <v>449.89</v>
      </c>
      <c r="I294" s="39">
        <f t="shared" si="49"/>
        <v>31.81</v>
      </c>
      <c r="J294" s="24">
        <v>15</v>
      </c>
      <c r="K294" s="26">
        <f t="shared" si="58"/>
        <v>2.1206666666666667</v>
      </c>
      <c r="L294" s="24">
        <v>2.3975</v>
      </c>
      <c r="M294" s="24">
        <v>36</v>
      </c>
      <c r="N294" s="27">
        <f t="shared" si="59"/>
        <v>183.03474</v>
      </c>
      <c r="O294" s="102">
        <f t="shared" si="50"/>
        <v>0.20300000000000001</v>
      </c>
      <c r="P294" s="21">
        <f>VLOOKUP(A294,'2022-23 Salary &amp; Benefits'!$A:$I,5,)</f>
        <v>68937</v>
      </c>
      <c r="Q294" s="21">
        <f>VLOOKUP(A294,'2022-23 Salary &amp; Benefits'!$A:$I,6,FALSE)</f>
        <v>72728</v>
      </c>
      <c r="R294" s="22">
        <f t="shared" si="51"/>
        <v>13994.21</v>
      </c>
      <c r="S294" s="22">
        <f t="shared" si="52"/>
        <v>1360.13</v>
      </c>
      <c r="T294" s="22">
        <f>'2022-23 Salary &amp; Benefits'!$G$6</f>
        <v>12558.24</v>
      </c>
      <c r="U294" s="23">
        <f>'2022-23 Salary &amp; Benefits'!$H$6</f>
        <v>0.2298</v>
      </c>
      <c r="V294" s="23">
        <f>'2022-23 Salary &amp; Benefits'!$I$6</f>
        <v>0.22339999999999999</v>
      </c>
      <c r="W294" s="22">
        <f t="shared" si="53"/>
        <v>6069.05</v>
      </c>
      <c r="X294" s="22">
        <f t="shared" si="54"/>
        <v>255.91</v>
      </c>
      <c r="Y294" s="22">
        <f t="shared" si="55"/>
        <v>57.17</v>
      </c>
      <c r="Z294" s="22">
        <f t="shared" si="57"/>
        <v>313.08</v>
      </c>
      <c r="AA294" s="22">
        <f t="shared" si="60"/>
        <v>21736.47</v>
      </c>
    </row>
    <row r="295" spans="1:27">
      <c r="A295" s="125" t="s">
        <v>2317</v>
      </c>
      <c r="B295" s="3" t="s">
        <v>408</v>
      </c>
      <c r="C295" s="93">
        <f>IF(A295=Summary!$B$9,Summary!$G$9,0)</f>
        <v>0</v>
      </c>
      <c r="D295" s="134">
        <f>VLOOKUP(A295,AAFTE!$A:$S,3,0)</f>
        <v>2394.15</v>
      </c>
      <c r="E295" s="20">
        <f>VLOOKUP($A295,'2022-23 Salary &amp; Benefits'!$A:$I,3,)</f>
        <v>1</v>
      </c>
      <c r="F295" s="20">
        <f>VLOOKUP($A295,'2022-23 Salary &amp; Benefits'!$A:$I,4,)</f>
        <v>1</v>
      </c>
      <c r="G295" s="34">
        <f>VLOOKUP(A295,'CEDARS District FRPL'!$A:$F,6,)</f>
        <v>0</v>
      </c>
      <c r="H295" s="25">
        <f t="shared" si="56"/>
        <v>2394.15</v>
      </c>
      <c r="I295" s="39">
        <f t="shared" si="49"/>
        <v>0</v>
      </c>
      <c r="J295" s="24">
        <v>15</v>
      </c>
      <c r="K295" s="26">
        <f t="shared" si="58"/>
        <v>0</v>
      </c>
      <c r="L295" s="24">
        <v>2.3975</v>
      </c>
      <c r="M295" s="24">
        <v>36</v>
      </c>
      <c r="N295" s="27">
        <f t="shared" si="59"/>
        <v>0</v>
      </c>
      <c r="O295" s="102">
        <f t="shared" si="50"/>
        <v>0</v>
      </c>
      <c r="P295" s="21">
        <f>VLOOKUP(A295,'2022-23 Salary &amp; Benefits'!$A:$I,5,)</f>
        <v>68937</v>
      </c>
      <c r="Q295" s="21">
        <f>VLOOKUP(A295,'2022-23 Salary &amp; Benefits'!$A:$I,6,FALSE)</f>
        <v>72728</v>
      </c>
      <c r="R295" s="22">
        <f t="shared" si="51"/>
        <v>0</v>
      </c>
      <c r="S295" s="22">
        <f t="shared" si="52"/>
        <v>0</v>
      </c>
      <c r="T295" s="22">
        <f>'2022-23 Salary &amp; Benefits'!$G$6</f>
        <v>12558.24</v>
      </c>
      <c r="U295" s="23">
        <f>'2022-23 Salary &amp; Benefits'!$H$6</f>
        <v>0.2298</v>
      </c>
      <c r="V295" s="23">
        <f>'2022-23 Salary &amp; Benefits'!$I$6</f>
        <v>0.22339999999999999</v>
      </c>
      <c r="W295" s="22">
        <f t="shared" si="53"/>
        <v>0</v>
      </c>
      <c r="X295" s="22">
        <f t="shared" si="54"/>
        <v>0</v>
      </c>
      <c r="Y295" s="22">
        <f t="shared" si="55"/>
        <v>0</v>
      </c>
      <c r="Z295" s="22">
        <f t="shared" si="57"/>
        <v>0</v>
      </c>
      <c r="AA295" s="22">
        <f t="shared" si="60"/>
        <v>0</v>
      </c>
    </row>
    <row r="296" spans="1:27">
      <c r="A296" s="125" t="s">
        <v>2530</v>
      </c>
      <c r="B296" s="3" t="s">
        <v>2057</v>
      </c>
      <c r="C296" s="93">
        <f>IF(A296=Summary!$B$9,Summary!$G$9,0)</f>
        <v>0</v>
      </c>
      <c r="D296" s="134">
        <f>VLOOKUP(A296,AAFTE!$A:$S,3,0)</f>
        <v>260.75</v>
      </c>
      <c r="E296" s="20">
        <f>VLOOKUP($A296,'2022-23 Salary &amp; Benefits'!$A:$I,3,)</f>
        <v>1</v>
      </c>
      <c r="F296" s="20">
        <f>VLOOKUP($A296,'2022-23 Salary &amp; Benefits'!$A:$I,4,)</f>
        <v>1</v>
      </c>
      <c r="G296" s="34">
        <f>VLOOKUP(A296,'CEDARS District FRPL'!$A:$F,6,)</f>
        <v>0</v>
      </c>
      <c r="H296" s="25">
        <f t="shared" si="56"/>
        <v>260.75</v>
      </c>
      <c r="I296" s="39">
        <f t="shared" si="49"/>
        <v>0</v>
      </c>
      <c r="J296" s="24">
        <v>15</v>
      </c>
      <c r="K296" s="26">
        <f t="shared" si="58"/>
        <v>0</v>
      </c>
      <c r="L296" s="24">
        <v>2.3975</v>
      </c>
      <c r="M296" s="24">
        <v>36</v>
      </c>
      <c r="N296" s="27">
        <f t="shared" si="59"/>
        <v>0</v>
      </c>
      <c r="O296" s="102">
        <f t="shared" si="50"/>
        <v>0</v>
      </c>
      <c r="P296" s="21">
        <f>VLOOKUP(A296,'2022-23 Salary &amp; Benefits'!$A:$I,5,)</f>
        <v>68937</v>
      </c>
      <c r="Q296" s="21">
        <f>VLOOKUP(A296,'2022-23 Salary &amp; Benefits'!$A:$I,6,FALSE)</f>
        <v>72728</v>
      </c>
      <c r="R296" s="22">
        <f t="shared" si="51"/>
        <v>0</v>
      </c>
      <c r="S296" s="22">
        <f t="shared" si="52"/>
        <v>0</v>
      </c>
      <c r="T296" s="22">
        <f>'2022-23 Salary &amp; Benefits'!$G$6</f>
        <v>12558.24</v>
      </c>
      <c r="U296" s="23">
        <f>'2022-23 Salary &amp; Benefits'!$H$6</f>
        <v>0.2298</v>
      </c>
      <c r="V296" s="23">
        <f>'2022-23 Salary &amp; Benefits'!$I$6</f>
        <v>0.22339999999999999</v>
      </c>
      <c r="W296" s="22">
        <f t="shared" si="53"/>
        <v>0</v>
      </c>
      <c r="X296" s="22">
        <f t="shared" si="54"/>
        <v>0</v>
      </c>
      <c r="Y296" s="22">
        <f t="shared" si="55"/>
        <v>0</v>
      </c>
      <c r="Z296" s="22">
        <f t="shared" si="57"/>
        <v>0</v>
      </c>
      <c r="AA296" s="22">
        <f t="shared" si="60"/>
        <v>0</v>
      </c>
    </row>
    <row r="297" spans="1:27">
      <c r="A297" s="125" t="s">
        <v>2526</v>
      </c>
      <c r="B297" s="3" t="s">
        <v>2041</v>
      </c>
      <c r="C297" s="93">
        <f>IF(A297=Summary!$B$9,Summary!$G$9,0)</f>
        <v>0</v>
      </c>
      <c r="D297" s="134">
        <f>VLOOKUP(A297,AAFTE!$A:$S,3,0)</f>
        <v>5481.82</v>
      </c>
      <c r="E297" s="20">
        <f>VLOOKUP($A297,'2022-23 Salary &amp; Benefits'!$A:$I,3,)</f>
        <v>1</v>
      </c>
      <c r="F297" s="20">
        <f>VLOOKUP($A297,'2022-23 Salary &amp; Benefits'!$A:$I,4,)</f>
        <v>1.04</v>
      </c>
      <c r="G297" s="34">
        <f>VLOOKUP(A297,'CEDARS District FRPL'!$A:$F,6,)</f>
        <v>3.4999999999999476E-3</v>
      </c>
      <c r="H297" s="25">
        <f t="shared" si="56"/>
        <v>5481.82</v>
      </c>
      <c r="I297" s="39">
        <f t="shared" si="49"/>
        <v>19.190000000000001</v>
      </c>
      <c r="J297" s="24">
        <v>15</v>
      </c>
      <c r="K297" s="26">
        <f t="shared" si="58"/>
        <v>1.2793333333333334</v>
      </c>
      <c r="L297" s="24">
        <v>2.3975</v>
      </c>
      <c r="M297" s="24">
        <v>36</v>
      </c>
      <c r="N297" s="27">
        <f t="shared" si="59"/>
        <v>110.41926000000001</v>
      </c>
      <c r="O297" s="102">
        <f t="shared" si="50"/>
        <v>0.123</v>
      </c>
      <c r="P297" s="21">
        <f>VLOOKUP(A297,'2022-23 Salary &amp; Benefits'!$A:$I,5,)</f>
        <v>68937</v>
      </c>
      <c r="Q297" s="21">
        <f>VLOOKUP(A297,'2022-23 Salary &amp; Benefits'!$A:$I,6,FALSE)</f>
        <v>72728</v>
      </c>
      <c r="R297" s="22">
        <f t="shared" si="51"/>
        <v>8479.25</v>
      </c>
      <c r="S297" s="22">
        <f t="shared" si="52"/>
        <v>824.12</v>
      </c>
      <c r="T297" s="22">
        <f>'2022-23 Salary &amp; Benefits'!$G$6</f>
        <v>12558.24</v>
      </c>
      <c r="U297" s="23">
        <f>'2022-23 Salary &amp; Benefits'!$H$6</f>
        <v>0.2298</v>
      </c>
      <c r="V297" s="23">
        <f>'2022-23 Salary &amp; Benefits'!$I$6</f>
        <v>0.22339999999999999</v>
      </c>
      <c r="W297" s="22">
        <f t="shared" si="53"/>
        <v>3677.3</v>
      </c>
      <c r="X297" s="22">
        <f t="shared" si="54"/>
        <v>155.06</v>
      </c>
      <c r="Y297" s="22">
        <f t="shared" si="55"/>
        <v>34.64</v>
      </c>
      <c r="Z297" s="22">
        <f t="shared" si="57"/>
        <v>189.7</v>
      </c>
      <c r="AA297" s="22">
        <f t="shared" si="60"/>
        <v>13170.37</v>
      </c>
    </row>
    <row r="298" spans="1:27">
      <c r="A298" s="125" t="s">
        <v>2565</v>
      </c>
      <c r="B298" s="3" t="s">
        <v>2240</v>
      </c>
      <c r="C298" s="93">
        <f>IF(A298=Summary!$B$9,Summary!$G$9,0)</f>
        <v>0</v>
      </c>
      <c r="D298" s="134">
        <f>VLOOKUP(A298,AAFTE!$A:$S,3,0)</f>
        <v>3068.07</v>
      </c>
      <c r="E298" s="20">
        <f>VLOOKUP($A298,'2022-23 Salary &amp; Benefits'!$A:$I,3,)</f>
        <v>1</v>
      </c>
      <c r="F298" s="20">
        <f>VLOOKUP($A298,'2022-23 Salary &amp; Benefits'!$A:$I,4,)</f>
        <v>1</v>
      </c>
      <c r="G298" s="34">
        <f>VLOOKUP(A298,'CEDARS District FRPL'!$A:$F,6,)</f>
        <v>0</v>
      </c>
      <c r="H298" s="25">
        <f t="shared" si="56"/>
        <v>3068.07</v>
      </c>
      <c r="I298" s="39">
        <f t="shared" si="49"/>
        <v>0</v>
      </c>
      <c r="J298" s="24">
        <v>15</v>
      </c>
      <c r="K298" s="26">
        <f t="shared" si="58"/>
        <v>0</v>
      </c>
      <c r="L298" s="24">
        <v>2.3975</v>
      </c>
      <c r="M298" s="24">
        <v>36</v>
      </c>
      <c r="N298" s="27">
        <f t="shared" si="59"/>
        <v>0</v>
      </c>
      <c r="O298" s="102">
        <f t="shared" si="50"/>
        <v>0</v>
      </c>
      <c r="P298" s="21">
        <f>VLOOKUP(A298,'2022-23 Salary &amp; Benefits'!$A:$I,5,)</f>
        <v>68937</v>
      </c>
      <c r="Q298" s="21">
        <f>VLOOKUP(A298,'2022-23 Salary &amp; Benefits'!$A:$I,6,FALSE)</f>
        <v>72728</v>
      </c>
      <c r="R298" s="22">
        <f t="shared" si="51"/>
        <v>0</v>
      </c>
      <c r="S298" s="22">
        <f t="shared" si="52"/>
        <v>0</v>
      </c>
      <c r="T298" s="22">
        <f>'2022-23 Salary &amp; Benefits'!$G$6</f>
        <v>12558.24</v>
      </c>
      <c r="U298" s="23">
        <f>'2022-23 Salary &amp; Benefits'!$H$6</f>
        <v>0.2298</v>
      </c>
      <c r="V298" s="23">
        <f>'2022-23 Salary &amp; Benefits'!$I$6</f>
        <v>0.22339999999999999</v>
      </c>
      <c r="W298" s="22">
        <f t="shared" si="53"/>
        <v>0</v>
      </c>
      <c r="X298" s="22">
        <f t="shared" si="54"/>
        <v>0</v>
      </c>
      <c r="Y298" s="22">
        <f t="shared" si="55"/>
        <v>0</v>
      </c>
      <c r="Z298" s="22">
        <f t="shared" si="57"/>
        <v>0</v>
      </c>
      <c r="AA298" s="22">
        <f t="shared" si="60"/>
        <v>0</v>
      </c>
    </row>
    <row r="299" spans="1:27">
      <c r="A299" s="125" t="s">
        <v>2319</v>
      </c>
      <c r="B299" s="3" t="s">
        <v>421</v>
      </c>
      <c r="C299" s="93">
        <f>IF(A299=Summary!$B$9,Summary!$G$9,0)</f>
        <v>0</v>
      </c>
      <c r="D299" s="134">
        <f>VLOOKUP(A299,AAFTE!$A:$S,3,0)</f>
        <v>883.85</v>
      </c>
      <c r="E299" s="20">
        <f>VLOOKUP($A299,'2022-23 Salary &amp; Benefits'!$A:$I,3,)</f>
        <v>1</v>
      </c>
      <c r="F299" s="20">
        <f>VLOOKUP($A299,'2022-23 Salary &amp; Benefits'!$A:$I,4,)</f>
        <v>1</v>
      </c>
      <c r="G299" s="34">
        <f>VLOOKUP(A299,'CEDARS District FRPL'!$A:$F,6,)</f>
        <v>3.0200000000000005E-2</v>
      </c>
      <c r="H299" s="25">
        <f t="shared" si="56"/>
        <v>883.85</v>
      </c>
      <c r="I299" s="39">
        <f t="shared" si="49"/>
        <v>26.69</v>
      </c>
      <c r="J299" s="24">
        <v>15</v>
      </c>
      <c r="K299" s="26">
        <f t="shared" si="58"/>
        <v>1.7793333333333334</v>
      </c>
      <c r="L299" s="24">
        <v>2.3975</v>
      </c>
      <c r="M299" s="24">
        <v>36</v>
      </c>
      <c r="N299" s="27">
        <f t="shared" si="59"/>
        <v>153.57426000000001</v>
      </c>
      <c r="O299" s="102">
        <f t="shared" si="50"/>
        <v>0.17100000000000001</v>
      </c>
      <c r="P299" s="21">
        <f>VLOOKUP(A299,'2022-23 Salary &amp; Benefits'!$A:$I,5,)</f>
        <v>68937</v>
      </c>
      <c r="Q299" s="21">
        <f>VLOOKUP(A299,'2022-23 Salary &amp; Benefits'!$A:$I,6,FALSE)</f>
        <v>72728</v>
      </c>
      <c r="R299" s="22">
        <f t="shared" si="51"/>
        <v>11788.23</v>
      </c>
      <c r="S299" s="22">
        <f t="shared" si="52"/>
        <v>648.26</v>
      </c>
      <c r="T299" s="22">
        <f>'2022-23 Salary &amp; Benefits'!$G$6</f>
        <v>12558.24</v>
      </c>
      <c r="U299" s="23">
        <f>'2022-23 Salary &amp; Benefits'!$H$6</f>
        <v>0.2298</v>
      </c>
      <c r="V299" s="23">
        <f>'2022-23 Salary &amp; Benefits'!$I$6</f>
        <v>0.22339999999999999</v>
      </c>
      <c r="W299" s="22">
        <f t="shared" si="53"/>
        <v>5001.22</v>
      </c>
      <c r="X299" s="22">
        <f t="shared" si="54"/>
        <v>207.27</v>
      </c>
      <c r="Y299" s="22">
        <f t="shared" si="55"/>
        <v>46.3</v>
      </c>
      <c r="Z299" s="22">
        <f t="shared" si="57"/>
        <v>253.57</v>
      </c>
      <c r="AA299" s="22">
        <f t="shared" si="60"/>
        <v>17691.28</v>
      </c>
    </row>
    <row r="300" spans="1:27">
      <c r="A300" s="125" t="s">
        <v>2287</v>
      </c>
      <c r="B300" s="3" t="s">
        <v>213</v>
      </c>
      <c r="C300" s="93">
        <f>IF(A300=Summary!$B$9,Summary!$G$9,0)</f>
        <v>0</v>
      </c>
      <c r="D300" s="134">
        <f>VLOOKUP(A300,AAFTE!$A:$S,3,0)</f>
        <v>2900.48</v>
      </c>
      <c r="E300" s="20">
        <f>VLOOKUP($A300,'2022-23 Salary &amp; Benefits'!$A:$I,3,)</f>
        <v>1.06</v>
      </c>
      <c r="F300" s="20">
        <f>VLOOKUP($A300,'2022-23 Salary &amp; Benefits'!$A:$I,4,)</f>
        <v>1.06</v>
      </c>
      <c r="G300" s="34">
        <f>VLOOKUP(A300,'CEDARS District FRPL'!$A:$F,6,)</f>
        <v>5.0000000000000044E-4</v>
      </c>
      <c r="H300" s="25">
        <f t="shared" si="56"/>
        <v>2900.48</v>
      </c>
      <c r="I300" s="39">
        <f t="shared" si="49"/>
        <v>1.45</v>
      </c>
      <c r="J300" s="24">
        <v>15</v>
      </c>
      <c r="K300" s="26">
        <f t="shared" si="58"/>
        <v>9.6666666666666665E-2</v>
      </c>
      <c r="L300" s="24">
        <v>2.3975</v>
      </c>
      <c r="M300" s="24">
        <v>36</v>
      </c>
      <c r="N300" s="27">
        <f t="shared" si="59"/>
        <v>8.3432999999999993</v>
      </c>
      <c r="O300" s="102">
        <f t="shared" si="50"/>
        <v>8.9999999999999993E-3</v>
      </c>
      <c r="P300" s="21">
        <f>VLOOKUP(A300,'2022-23 Salary &amp; Benefits'!$A:$I,5,)</f>
        <v>68937</v>
      </c>
      <c r="Q300" s="21">
        <f>VLOOKUP(A300,'2022-23 Salary &amp; Benefits'!$A:$I,6,FALSE)</f>
        <v>72728</v>
      </c>
      <c r="R300" s="22">
        <f t="shared" si="51"/>
        <v>657.66</v>
      </c>
      <c r="S300" s="22">
        <f t="shared" si="52"/>
        <v>36.17</v>
      </c>
      <c r="T300" s="22">
        <f>'2022-23 Salary &amp; Benefits'!$G$6</f>
        <v>12558.24</v>
      </c>
      <c r="U300" s="23">
        <f>'2022-23 Salary &amp; Benefits'!$H$6</f>
        <v>0.2298</v>
      </c>
      <c r="V300" s="23">
        <f>'2022-23 Salary &amp; Benefits'!$I$6</f>
        <v>0.22339999999999999</v>
      </c>
      <c r="W300" s="22">
        <f t="shared" si="53"/>
        <v>272.23</v>
      </c>
      <c r="X300" s="22">
        <f t="shared" si="54"/>
        <v>11.56</v>
      </c>
      <c r="Y300" s="22">
        <f t="shared" si="55"/>
        <v>2.58</v>
      </c>
      <c r="Z300" s="22">
        <f t="shared" si="57"/>
        <v>14.14</v>
      </c>
      <c r="AA300" s="22">
        <f t="shared" si="60"/>
        <v>980.19999999999993</v>
      </c>
    </row>
    <row r="301" spans="1:27">
      <c r="A301" s="125" t="s">
        <v>2257</v>
      </c>
      <c r="B301" s="3" t="s">
        <v>0</v>
      </c>
      <c r="C301" s="93">
        <f>IF(A301=Summary!$B$9,Summary!$G$9,0)</f>
        <v>0</v>
      </c>
      <c r="D301" s="134">
        <f>VLOOKUP(A301,AAFTE!$A:$S,3,0)</f>
        <v>79.62</v>
      </c>
      <c r="E301" s="20">
        <f>VLOOKUP($A301,'2022-23 Salary &amp; Benefits'!$A:$I,3,)</f>
        <v>1</v>
      </c>
      <c r="F301" s="20">
        <f>VLOOKUP($A301,'2022-23 Salary &amp; Benefits'!$A:$I,4,)</f>
        <v>1</v>
      </c>
      <c r="G301" s="34">
        <f>VLOOKUP(A301,'CEDARS District FRPL'!$A:$F,6,)</f>
        <v>0</v>
      </c>
      <c r="H301" s="25">
        <f t="shared" si="56"/>
        <v>79.62</v>
      </c>
      <c r="I301" s="39">
        <f t="shared" si="49"/>
        <v>0</v>
      </c>
      <c r="J301" s="24">
        <v>15</v>
      </c>
      <c r="K301" s="26">
        <f t="shared" si="58"/>
        <v>0</v>
      </c>
      <c r="L301" s="24">
        <v>2.3975</v>
      </c>
      <c r="M301" s="24">
        <v>36</v>
      </c>
      <c r="N301" s="27">
        <f t="shared" si="59"/>
        <v>0</v>
      </c>
      <c r="O301" s="102">
        <f t="shared" si="50"/>
        <v>0</v>
      </c>
      <c r="P301" s="21">
        <f>VLOOKUP(A301,'2022-23 Salary &amp; Benefits'!$A:$I,5,)</f>
        <v>68937</v>
      </c>
      <c r="Q301" s="21">
        <f>VLOOKUP(A301,'2022-23 Salary &amp; Benefits'!$A:$I,6,FALSE)</f>
        <v>72728</v>
      </c>
      <c r="R301" s="22">
        <f t="shared" si="51"/>
        <v>0</v>
      </c>
      <c r="S301" s="22">
        <f t="shared" si="52"/>
        <v>0</v>
      </c>
      <c r="T301" s="22">
        <f>'2022-23 Salary &amp; Benefits'!$G$6</f>
        <v>12558.24</v>
      </c>
      <c r="U301" s="23">
        <f>'2022-23 Salary &amp; Benefits'!$H$6</f>
        <v>0.2298</v>
      </c>
      <c r="V301" s="23">
        <f>'2022-23 Salary &amp; Benefits'!$I$6</f>
        <v>0.22339999999999999</v>
      </c>
      <c r="W301" s="22">
        <f t="shared" si="53"/>
        <v>0</v>
      </c>
      <c r="X301" s="22">
        <f t="shared" si="54"/>
        <v>0</v>
      </c>
      <c r="Y301" s="22">
        <f t="shared" si="55"/>
        <v>0</v>
      </c>
      <c r="Z301" s="22">
        <f t="shared" si="57"/>
        <v>0</v>
      </c>
      <c r="AA301" s="22">
        <f t="shared" si="60"/>
        <v>0</v>
      </c>
    </row>
    <row r="302" spans="1:27">
      <c r="A302" s="125" t="s">
        <v>2306</v>
      </c>
      <c r="B302" s="3" t="s">
        <v>355</v>
      </c>
      <c r="C302" s="93">
        <f>IF(A302=Summary!$B$9,Summary!$G$9,0)</f>
        <v>0</v>
      </c>
      <c r="D302" s="134">
        <f>VLOOKUP(A302,AAFTE!$A:$S,3,0)</f>
        <v>258.33</v>
      </c>
      <c r="E302" s="20">
        <f>VLOOKUP($A302,'2022-23 Salary &amp; Benefits'!$A:$I,3,)</f>
        <v>1</v>
      </c>
      <c r="F302" s="20">
        <f>VLOOKUP($A302,'2022-23 Salary &amp; Benefits'!$A:$I,4,)</f>
        <v>1</v>
      </c>
      <c r="G302" s="34">
        <f>VLOOKUP(A302,'CEDARS District FRPL'!$A:$F,6,)</f>
        <v>7.7499999999999958E-2</v>
      </c>
      <c r="H302" s="25">
        <f t="shared" si="56"/>
        <v>258.33</v>
      </c>
      <c r="I302" s="39">
        <f t="shared" si="49"/>
        <v>20.02</v>
      </c>
      <c r="J302" s="24">
        <v>15</v>
      </c>
      <c r="K302" s="26">
        <f t="shared" si="58"/>
        <v>1.3346666666666667</v>
      </c>
      <c r="L302" s="24">
        <v>2.3975</v>
      </c>
      <c r="M302" s="24">
        <v>36</v>
      </c>
      <c r="N302" s="27">
        <f t="shared" si="59"/>
        <v>115.19508</v>
      </c>
      <c r="O302" s="102">
        <f t="shared" si="50"/>
        <v>0.128</v>
      </c>
      <c r="P302" s="21">
        <f>VLOOKUP(A302,'2022-23 Salary &amp; Benefits'!$A:$I,5,)</f>
        <v>68937</v>
      </c>
      <c r="Q302" s="21">
        <f>VLOOKUP(A302,'2022-23 Salary &amp; Benefits'!$A:$I,6,FALSE)</f>
        <v>72728</v>
      </c>
      <c r="R302" s="22">
        <f t="shared" si="51"/>
        <v>8823.94</v>
      </c>
      <c r="S302" s="22">
        <f t="shared" si="52"/>
        <v>485.24</v>
      </c>
      <c r="T302" s="22">
        <f>'2022-23 Salary &amp; Benefits'!$G$6</f>
        <v>12558.24</v>
      </c>
      <c r="U302" s="23">
        <f>'2022-23 Salary &amp; Benefits'!$H$6</f>
        <v>0.2298</v>
      </c>
      <c r="V302" s="23">
        <f>'2022-23 Salary &amp; Benefits'!$I$6</f>
        <v>0.22339999999999999</v>
      </c>
      <c r="W302" s="22">
        <f t="shared" si="53"/>
        <v>3743.6</v>
      </c>
      <c r="X302" s="22">
        <f t="shared" si="54"/>
        <v>155.15</v>
      </c>
      <c r="Y302" s="22">
        <f t="shared" si="55"/>
        <v>34.659999999999997</v>
      </c>
      <c r="Z302" s="22">
        <f t="shared" si="57"/>
        <v>189.81</v>
      </c>
      <c r="AA302" s="22">
        <f t="shared" si="60"/>
        <v>13242.59</v>
      </c>
    </row>
    <row r="303" spans="1:27">
      <c r="A303" s="125" t="s">
        <v>2505</v>
      </c>
      <c r="B303" s="3" t="s">
        <v>1928</v>
      </c>
      <c r="C303" s="93">
        <f>IF(A303=Summary!$B$9,Summary!$G$9,0)</f>
        <v>0</v>
      </c>
      <c r="D303" s="134">
        <f>VLOOKUP(A303,AAFTE!$A:$S,3,0)</f>
        <v>387.37</v>
      </c>
      <c r="E303" s="20">
        <f>VLOOKUP($A303,'2022-23 Salary &amp; Benefits'!$A:$I,3,)</f>
        <v>1</v>
      </c>
      <c r="F303" s="20">
        <f>VLOOKUP($A303,'2022-23 Salary &amp; Benefits'!$A:$I,4,)</f>
        <v>1</v>
      </c>
      <c r="G303" s="34">
        <f>VLOOKUP(A303,'CEDARS District FRPL'!$A:$F,6,)</f>
        <v>0</v>
      </c>
      <c r="H303" s="25">
        <f t="shared" si="56"/>
        <v>387.37</v>
      </c>
      <c r="I303" s="39">
        <f t="shared" si="49"/>
        <v>0</v>
      </c>
      <c r="J303" s="24">
        <v>15</v>
      </c>
      <c r="K303" s="26">
        <f t="shared" si="58"/>
        <v>0</v>
      </c>
      <c r="L303" s="24">
        <v>2.3975</v>
      </c>
      <c r="M303" s="24">
        <v>36</v>
      </c>
      <c r="N303" s="27">
        <f t="shared" si="59"/>
        <v>0</v>
      </c>
      <c r="O303" s="102">
        <f t="shared" si="50"/>
        <v>0</v>
      </c>
      <c r="P303" s="21">
        <f>VLOOKUP(A303,'2022-23 Salary &amp; Benefits'!$A:$I,5,)</f>
        <v>68937</v>
      </c>
      <c r="Q303" s="21">
        <f>VLOOKUP(A303,'2022-23 Salary &amp; Benefits'!$A:$I,6,FALSE)</f>
        <v>72728</v>
      </c>
      <c r="R303" s="22">
        <f t="shared" si="51"/>
        <v>0</v>
      </c>
      <c r="S303" s="22">
        <f t="shared" si="52"/>
        <v>0</v>
      </c>
      <c r="T303" s="22">
        <f>'2022-23 Salary &amp; Benefits'!$G$6</f>
        <v>12558.24</v>
      </c>
      <c r="U303" s="23">
        <f>'2022-23 Salary &amp; Benefits'!$H$6</f>
        <v>0.2298</v>
      </c>
      <c r="V303" s="23">
        <f>'2022-23 Salary &amp; Benefits'!$I$6</f>
        <v>0.22339999999999999</v>
      </c>
      <c r="W303" s="22">
        <f t="shared" si="53"/>
        <v>0</v>
      </c>
      <c r="X303" s="22">
        <f t="shared" si="54"/>
        <v>0</v>
      </c>
      <c r="Y303" s="22">
        <f t="shared" si="55"/>
        <v>0</v>
      </c>
      <c r="Z303" s="22">
        <f t="shared" si="57"/>
        <v>0</v>
      </c>
      <c r="AA303" s="22">
        <f t="shared" si="60"/>
        <v>0</v>
      </c>
    </row>
    <row r="304" spans="1:27">
      <c r="A304" s="59" t="s">
        <v>2276</v>
      </c>
      <c r="B304" s="59" t="s">
        <v>121</v>
      </c>
      <c r="C304" s="93">
        <f>IF(A304=Summary!$B$9,Summary!$G$9,0)</f>
        <v>0</v>
      </c>
      <c r="D304" s="134">
        <f>VLOOKUP(A304,AAFTE!$A:$S,3,0)</f>
        <v>7287.31</v>
      </c>
      <c r="E304" s="20">
        <f>VLOOKUP($A304,'2022-23 Salary &amp; Benefits'!$A:$I,3,)</f>
        <v>1.03</v>
      </c>
      <c r="F304" s="20">
        <f>VLOOKUP($A304,'2022-23 Salary &amp; Benefits'!$A:$I,4,)</f>
        <v>1.03</v>
      </c>
      <c r="G304" s="34">
        <f>VLOOKUP(A304,'CEDARS District FRPL'!$A:$F,6,)</f>
        <v>3.0000000000000027E-3</v>
      </c>
      <c r="H304" s="25">
        <f t="shared" si="56"/>
        <v>7287.31</v>
      </c>
      <c r="I304" s="39">
        <f t="shared" si="49"/>
        <v>21.86</v>
      </c>
      <c r="J304" s="24">
        <v>15</v>
      </c>
      <c r="K304" s="26">
        <f t="shared" si="58"/>
        <v>1.4573333333333334</v>
      </c>
      <c r="L304" s="24">
        <v>2.3975</v>
      </c>
      <c r="M304" s="24">
        <v>36</v>
      </c>
      <c r="N304" s="27">
        <f t="shared" si="59"/>
        <v>125.78243999999999</v>
      </c>
      <c r="O304" s="102">
        <f t="shared" si="50"/>
        <v>0.14000000000000001</v>
      </c>
      <c r="P304" s="21">
        <f>VLOOKUP(A304,'2022-23 Salary &amp; Benefits'!$A:$I,5,)</f>
        <v>68937</v>
      </c>
      <c r="Q304" s="21">
        <f>VLOOKUP(A304,'2022-23 Salary &amp; Benefits'!$A:$I,6,FALSE)</f>
        <v>72728</v>
      </c>
      <c r="R304" s="22">
        <f t="shared" si="51"/>
        <v>9940.7199999999993</v>
      </c>
      <c r="S304" s="22">
        <f t="shared" si="52"/>
        <v>546.66</v>
      </c>
      <c r="T304" s="22">
        <f>'2022-23 Salary &amp; Benefits'!$G$6</f>
        <v>12558.24</v>
      </c>
      <c r="U304" s="23">
        <f>'2022-23 Salary &amp; Benefits'!$H$6</f>
        <v>0.2298</v>
      </c>
      <c r="V304" s="23">
        <f>'2022-23 Salary &amp; Benefits'!$I$6</f>
        <v>0.22339999999999999</v>
      </c>
      <c r="W304" s="22">
        <f t="shared" si="53"/>
        <v>4164.6499999999996</v>
      </c>
      <c r="X304" s="22">
        <f t="shared" si="54"/>
        <v>174.79</v>
      </c>
      <c r="Y304" s="22">
        <f t="shared" si="55"/>
        <v>39.049999999999997</v>
      </c>
      <c r="Z304" s="22">
        <f t="shared" ref="Z304" si="61">SUM(X304:Y304)</f>
        <v>213.83999999999997</v>
      </c>
      <c r="AA304" s="22">
        <f t="shared" si="60"/>
        <v>14865.869999999999</v>
      </c>
    </row>
    <row r="305" spans="1:27">
      <c r="A305" s="125" t="s">
        <v>2497</v>
      </c>
      <c r="B305" s="3" t="s">
        <v>1898</v>
      </c>
      <c r="C305" s="93">
        <f>IF(A305=Summary!$B$9,Summary!$G$9,0)</f>
        <v>0</v>
      </c>
      <c r="D305" s="134">
        <f>VLOOKUP(A305,AAFTE!$A:$S,3,0)</f>
        <v>3406.39</v>
      </c>
      <c r="E305" s="20">
        <f>VLOOKUP($A305,'2022-23 Salary &amp; Benefits'!$A:$I,3,)</f>
        <v>1</v>
      </c>
      <c r="F305" s="20">
        <f>VLOOKUP($A305,'2022-23 Salary &amp; Benefits'!$A:$I,4,)</f>
        <v>1</v>
      </c>
      <c r="G305" s="34">
        <f>VLOOKUP(A305,'CEDARS District FRPL'!$A:$F,6,)</f>
        <v>0</v>
      </c>
      <c r="H305" s="25">
        <f t="shared" si="56"/>
        <v>3406.39</v>
      </c>
      <c r="I305" s="39">
        <f t="shared" si="49"/>
        <v>0</v>
      </c>
      <c r="J305" s="24">
        <v>15</v>
      </c>
      <c r="K305" s="26">
        <f t="shared" si="58"/>
        <v>0</v>
      </c>
      <c r="L305" s="24">
        <v>2.3975</v>
      </c>
      <c r="M305" s="24">
        <v>36</v>
      </c>
      <c r="N305" s="27">
        <f t="shared" si="59"/>
        <v>0</v>
      </c>
      <c r="O305" s="102">
        <f t="shared" si="50"/>
        <v>0</v>
      </c>
      <c r="P305" s="21">
        <f>VLOOKUP(A305,'2022-23 Salary &amp; Benefits'!$A:$I,5,)</f>
        <v>68937</v>
      </c>
      <c r="Q305" s="21">
        <f>VLOOKUP(A305,'2022-23 Salary &amp; Benefits'!$A:$I,6,FALSE)</f>
        <v>72728</v>
      </c>
      <c r="R305" s="22">
        <f t="shared" si="51"/>
        <v>0</v>
      </c>
      <c r="S305" s="22">
        <f t="shared" si="52"/>
        <v>0</v>
      </c>
      <c r="T305" s="22">
        <f>'2022-23 Salary &amp; Benefits'!$G$6</f>
        <v>12558.24</v>
      </c>
      <c r="U305" s="23">
        <f>'2022-23 Salary &amp; Benefits'!$H$6</f>
        <v>0.2298</v>
      </c>
      <c r="V305" s="23">
        <f>'2022-23 Salary &amp; Benefits'!$I$6</f>
        <v>0.22339999999999999</v>
      </c>
      <c r="W305" s="22">
        <f t="shared" si="53"/>
        <v>0</v>
      </c>
      <c r="X305" s="22">
        <f t="shared" si="54"/>
        <v>0</v>
      </c>
      <c r="Y305" s="22">
        <f t="shared" si="55"/>
        <v>0</v>
      </c>
      <c r="Z305" s="22">
        <f t="shared" si="57"/>
        <v>0</v>
      </c>
      <c r="AA305" s="22">
        <f t="shared" si="60"/>
        <v>0</v>
      </c>
    </row>
    <row r="306" spans="1:27">
      <c r="A306" s="125" t="s">
        <v>2566</v>
      </c>
      <c r="B306" s="3" t="s">
        <v>2246</v>
      </c>
      <c r="C306" s="93">
        <f>IF(A306=Summary!$B$9,Summary!$G$9,0)</f>
        <v>0</v>
      </c>
      <c r="D306" s="134">
        <f>VLOOKUP(A306,AAFTE!$A:$S,3,0)</f>
        <v>5225.99</v>
      </c>
      <c r="E306" s="20">
        <f>VLOOKUP($A306,'2022-23 Salary &amp; Benefits'!$A:$I,3,)</f>
        <v>1.03</v>
      </c>
      <c r="F306" s="20">
        <f>VLOOKUP($A306,'2022-23 Salary &amp; Benefits'!$A:$I,4,)</f>
        <v>1.03</v>
      </c>
      <c r="G306" s="34">
        <f>VLOOKUP(A306,'CEDARS District FRPL'!$A:$F,6,)</f>
        <v>0</v>
      </c>
      <c r="H306" s="25">
        <f t="shared" si="56"/>
        <v>5225.99</v>
      </c>
      <c r="I306" s="39">
        <f t="shared" si="49"/>
        <v>0</v>
      </c>
      <c r="J306" s="24">
        <v>15</v>
      </c>
      <c r="K306" s="26">
        <f t="shared" si="58"/>
        <v>0</v>
      </c>
      <c r="L306" s="24">
        <v>2.3975</v>
      </c>
      <c r="M306" s="24">
        <v>36</v>
      </c>
      <c r="N306" s="27">
        <f t="shared" si="59"/>
        <v>0</v>
      </c>
      <c r="O306" s="102">
        <f t="shared" si="50"/>
        <v>0</v>
      </c>
      <c r="P306" s="21">
        <f>VLOOKUP(A306,'2022-23 Salary &amp; Benefits'!$A:$I,5,)</f>
        <v>68937</v>
      </c>
      <c r="Q306" s="21">
        <f>VLOOKUP(A306,'2022-23 Salary &amp; Benefits'!$A:$I,6,FALSE)</f>
        <v>72728</v>
      </c>
      <c r="R306" s="22">
        <f t="shared" si="51"/>
        <v>0</v>
      </c>
      <c r="S306" s="22">
        <f t="shared" si="52"/>
        <v>0</v>
      </c>
      <c r="T306" s="22">
        <f>'2022-23 Salary &amp; Benefits'!$G$6</f>
        <v>12558.24</v>
      </c>
      <c r="U306" s="23">
        <f>'2022-23 Salary &amp; Benefits'!$H$6</f>
        <v>0.2298</v>
      </c>
      <c r="V306" s="23">
        <f>'2022-23 Salary &amp; Benefits'!$I$6</f>
        <v>0.22339999999999999</v>
      </c>
      <c r="W306" s="22">
        <f t="shared" si="53"/>
        <v>0</v>
      </c>
      <c r="X306" s="22">
        <f t="shared" si="54"/>
        <v>0</v>
      </c>
      <c r="Y306" s="22">
        <f t="shared" si="55"/>
        <v>0</v>
      </c>
      <c r="Z306" s="22">
        <f t="shared" si="57"/>
        <v>0</v>
      </c>
      <c r="AA306" s="22">
        <f t="shared" si="60"/>
        <v>0</v>
      </c>
    </row>
    <row r="307" spans="1:27">
      <c r="A307" s="125" t="s">
        <v>2858</v>
      </c>
      <c r="B307" s="3" t="s">
        <v>2859</v>
      </c>
      <c r="C307" s="93">
        <f>IF(A307=Summary!$B$9,Summary!$G$9,0)</f>
        <v>0</v>
      </c>
      <c r="D307" s="134">
        <f>VLOOKUP(A307,AAFTE!$A:$S,3,0)</f>
        <v>49.03</v>
      </c>
      <c r="E307" s="20">
        <f>VLOOKUP($A307,'2022-23 Salary &amp; Benefits'!$A:$I,3,)</f>
        <v>1.0900000000000001</v>
      </c>
      <c r="F307" s="20">
        <f>VLOOKUP($A307,'2022-23 Salary &amp; Benefits'!$A:$I,4,)</f>
        <v>1.0900000000000001</v>
      </c>
      <c r="G307" s="34">
        <f>VLOOKUP(A307,'CEDARS District FRPL'!$A:$F,6,)</f>
        <v>0</v>
      </c>
      <c r="H307" s="25">
        <f t="shared" si="56"/>
        <v>49.03</v>
      </c>
      <c r="I307" s="39">
        <f t="shared" si="49"/>
        <v>0</v>
      </c>
      <c r="J307" s="24">
        <v>15</v>
      </c>
      <c r="K307" s="26">
        <f t="shared" si="58"/>
        <v>0</v>
      </c>
      <c r="L307" s="24">
        <v>2.3975</v>
      </c>
      <c r="M307" s="24">
        <v>36</v>
      </c>
      <c r="N307" s="27">
        <f t="shared" si="59"/>
        <v>0</v>
      </c>
      <c r="O307" s="102">
        <f t="shared" si="50"/>
        <v>0</v>
      </c>
      <c r="P307" s="21">
        <f>VLOOKUP(A307,'2022-23 Salary &amp; Benefits'!$A:$I,5,)</f>
        <v>68937</v>
      </c>
      <c r="Q307" s="21">
        <f>VLOOKUP(A307,'2022-23 Salary &amp; Benefits'!$A:$I,6,FALSE)</f>
        <v>72728</v>
      </c>
      <c r="R307" s="22">
        <f t="shared" si="51"/>
        <v>0</v>
      </c>
      <c r="S307" s="22">
        <f t="shared" si="52"/>
        <v>0</v>
      </c>
      <c r="T307" s="22">
        <f>'2022-23 Salary &amp; Benefits'!$G$6</f>
        <v>12558.24</v>
      </c>
      <c r="U307" s="23">
        <f>'2022-23 Salary &amp; Benefits'!$H$6</f>
        <v>0.2298</v>
      </c>
      <c r="V307" s="23">
        <f>'2022-23 Salary &amp; Benefits'!$I$6</f>
        <v>0.22339999999999999</v>
      </c>
      <c r="W307" s="22">
        <f t="shared" si="53"/>
        <v>0</v>
      </c>
      <c r="X307" s="22">
        <f t="shared" si="54"/>
        <v>0</v>
      </c>
      <c r="Y307" s="22">
        <f t="shared" si="55"/>
        <v>0</v>
      </c>
      <c r="Z307" s="22">
        <f t="shared" si="57"/>
        <v>0</v>
      </c>
      <c r="AA307" s="22">
        <f t="shared" si="60"/>
        <v>0</v>
      </c>
    </row>
    <row r="308" spans="1:27">
      <c r="A308" s="125" t="s">
        <v>2404</v>
      </c>
      <c r="B308" s="3" t="s">
        <v>1170</v>
      </c>
      <c r="C308" s="93">
        <f>IF(A308=Summary!$B$9,Summary!$G$9,0)</f>
        <v>0</v>
      </c>
      <c r="D308" s="134">
        <f>VLOOKUP(A308,AAFTE!$A:$S,3,0)</f>
        <v>322.83</v>
      </c>
      <c r="E308" s="20">
        <f>VLOOKUP($A308,'2022-23 Salary &amp; Benefits'!$A:$I,3,)</f>
        <v>1</v>
      </c>
      <c r="F308" s="20">
        <f>VLOOKUP($A308,'2022-23 Salary &amp; Benefits'!$A:$I,4,)</f>
        <v>1</v>
      </c>
      <c r="G308" s="34">
        <f>VLOOKUP(A308,'CEDARS District FRPL'!$A:$F,6,)</f>
        <v>0</v>
      </c>
      <c r="H308" s="25">
        <f t="shared" si="56"/>
        <v>322.83</v>
      </c>
      <c r="I308" s="39">
        <f t="shared" si="49"/>
        <v>0</v>
      </c>
      <c r="J308" s="24">
        <v>15</v>
      </c>
      <c r="K308" s="26">
        <f t="shared" si="58"/>
        <v>0</v>
      </c>
      <c r="L308" s="24">
        <v>2.3975</v>
      </c>
      <c r="M308" s="24">
        <v>36</v>
      </c>
      <c r="N308" s="27">
        <f t="shared" si="59"/>
        <v>0</v>
      </c>
      <c r="O308" s="102">
        <f t="shared" si="50"/>
        <v>0</v>
      </c>
      <c r="P308" s="21">
        <f>VLOOKUP(A308,'2022-23 Salary &amp; Benefits'!$A:$I,5,)</f>
        <v>68937</v>
      </c>
      <c r="Q308" s="21">
        <f>VLOOKUP(A308,'2022-23 Salary &amp; Benefits'!$A:$I,6,FALSE)</f>
        <v>72728</v>
      </c>
      <c r="R308" s="22">
        <f t="shared" si="51"/>
        <v>0</v>
      </c>
      <c r="S308" s="22">
        <f t="shared" si="52"/>
        <v>0</v>
      </c>
      <c r="T308" s="22">
        <f>'2022-23 Salary &amp; Benefits'!$G$6</f>
        <v>12558.24</v>
      </c>
      <c r="U308" s="23">
        <f>'2022-23 Salary &amp; Benefits'!$H$6</f>
        <v>0.2298</v>
      </c>
      <c r="V308" s="23">
        <f>'2022-23 Salary &amp; Benefits'!$I$6</f>
        <v>0.22339999999999999</v>
      </c>
      <c r="W308" s="22">
        <f t="shared" si="53"/>
        <v>0</v>
      </c>
      <c r="X308" s="22">
        <f t="shared" si="54"/>
        <v>0</v>
      </c>
      <c r="Y308" s="22">
        <f t="shared" si="55"/>
        <v>0</v>
      </c>
      <c r="Z308" s="22">
        <f t="shared" si="57"/>
        <v>0</v>
      </c>
      <c r="AA308" s="22">
        <f t="shared" si="60"/>
        <v>0</v>
      </c>
    </row>
    <row r="309" spans="1:27">
      <c r="A309" s="125" t="s">
        <v>2451</v>
      </c>
      <c r="B309" s="3" t="s">
        <v>1508</v>
      </c>
      <c r="C309" s="93">
        <f>IF(A309=Summary!$B$9,Summary!$G$9,0)</f>
        <v>0</v>
      </c>
      <c r="D309" s="134">
        <f>VLOOKUP(A309,AAFTE!$A:$S,3,0)</f>
        <v>4131.5600000000004</v>
      </c>
      <c r="E309" s="20">
        <f>VLOOKUP($A309,'2022-23 Salary &amp; Benefits'!$A:$I,3,)</f>
        <v>1.06</v>
      </c>
      <c r="F309" s="20">
        <f>VLOOKUP($A309,'2022-23 Salary &amp; Benefits'!$A:$I,4,)</f>
        <v>1.06</v>
      </c>
      <c r="G309" s="34">
        <f>VLOOKUP(A309,'CEDARS District FRPL'!$A:$F,6,)</f>
        <v>3.5999999999999921E-3</v>
      </c>
      <c r="H309" s="25">
        <f t="shared" si="56"/>
        <v>4131.5600000000004</v>
      </c>
      <c r="I309" s="39">
        <f t="shared" si="49"/>
        <v>14.87</v>
      </c>
      <c r="J309" s="24">
        <v>15</v>
      </c>
      <c r="K309" s="26">
        <f t="shared" si="58"/>
        <v>0.99133333333333329</v>
      </c>
      <c r="L309" s="24">
        <v>2.3975</v>
      </c>
      <c r="M309" s="24">
        <v>36</v>
      </c>
      <c r="N309" s="27">
        <f t="shared" si="59"/>
        <v>85.561980000000005</v>
      </c>
      <c r="O309" s="102">
        <f t="shared" si="50"/>
        <v>9.5000000000000001E-2</v>
      </c>
      <c r="P309" s="21">
        <f>VLOOKUP(A309,'2022-23 Salary &amp; Benefits'!$A:$I,5,)</f>
        <v>68937</v>
      </c>
      <c r="Q309" s="21">
        <f>VLOOKUP(A309,'2022-23 Salary &amp; Benefits'!$A:$I,6,FALSE)</f>
        <v>72728</v>
      </c>
      <c r="R309" s="22">
        <f t="shared" si="51"/>
        <v>6941.96</v>
      </c>
      <c r="S309" s="22">
        <f t="shared" si="52"/>
        <v>381.75</v>
      </c>
      <c r="T309" s="22">
        <f>'2022-23 Salary &amp; Benefits'!$G$6</f>
        <v>12558.24</v>
      </c>
      <c r="U309" s="23">
        <f>'2022-23 Salary &amp; Benefits'!$H$6</f>
        <v>0.2298</v>
      </c>
      <c r="V309" s="23">
        <f>'2022-23 Salary &amp; Benefits'!$I$6</f>
        <v>0.22339999999999999</v>
      </c>
      <c r="W309" s="22">
        <f t="shared" si="53"/>
        <v>2873.58</v>
      </c>
      <c r="X309" s="22">
        <f t="shared" si="54"/>
        <v>122.06</v>
      </c>
      <c r="Y309" s="22">
        <f t="shared" si="55"/>
        <v>27.27</v>
      </c>
      <c r="Z309" s="22">
        <f t="shared" si="57"/>
        <v>149.33000000000001</v>
      </c>
      <c r="AA309" s="22">
        <f t="shared" si="60"/>
        <v>10346.620000000001</v>
      </c>
    </row>
    <row r="310" spans="1:27">
      <c r="A310" s="126" t="s">
        <v>2391</v>
      </c>
      <c r="B310" s="3" t="s">
        <v>1123</v>
      </c>
      <c r="C310" s="93">
        <f>IF(A310=Summary!$B$9,Summary!$G$9,0)</f>
        <v>0</v>
      </c>
      <c r="D310" s="134">
        <f>VLOOKUP(A310,AAFTE!$A:$S,3,0)</f>
        <v>1104.93</v>
      </c>
      <c r="E310" s="20">
        <f>VLOOKUP($A310,'2022-23 Salary &amp; Benefits'!$A:$I,3,)</f>
        <v>1</v>
      </c>
      <c r="F310" s="20">
        <f>VLOOKUP($A310,'2022-23 Salary &amp; Benefits'!$A:$I,4,)</f>
        <v>1</v>
      </c>
      <c r="G310" s="34">
        <f>VLOOKUP(A310,'CEDARS District FRPL'!$A:$F,6,)</f>
        <v>0</v>
      </c>
      <c r="H310" s="25">
        <f t="shared" si="56"/>
        <v>1104.93</v>
      </c>
      <c r="I310" s="39">
        <f t="shared" si="49"/>
        <v>0</v>
      </c>
      <c r="J310" s="24">
        <v>15</v>
      </c>
      <c r="K310" s="26">
        <f t="shared" si="58"/>
        <v>0</v>
      </c>
      <c r="L310" s="24">
        <v>2.3975</v>
      </c>
      <c r="M310" s="24">
        <v>36</v>
      </c>
      <c r="N310" s="27">
        <f t="shared" si="59"/>
        <v>0</v>
      </c>
      <c r="O310" s="102">
        <f t="shared" si="50"/>
        <v>0</v>
      </c>
      <c r="P310" s="21">
        <f>VLOOKUP(A310,'2022-23 Salary &amp; Benefits'!$A:$I,5,)</f>
        <v>68937</v>
      </c>
      <c r="Q310" s="21">
        <f>VLOOKUP(A310,'2022-23 Salary &amp; Benefits'!$A:$I,6,FALSE)</f>
        <v>72728</v>
      </c>
      <c r="R310" s="22">
        <f t="shared" si="51"/>
        <v>0</v>
      </c>
      <c r="S310" s="22">
        <f t="shared" si="52"/>
        <v>0</v>
      </c>
      <c r="T310" s="22">
        <f>'2022-23 Salary &amp; Benefits'!$G$6</f>
        <v>12558.24</v>
      </c>
      <c r="U310" s="23">
        <f>'2022-23 Salary &amp; Benefits'!$H$6</f>
        <v>0.2298</v>
      </c>
      <c r="V310" s="23">
        <f>'2022-23 Salary &amp; Benefits'!$I$6</f>
        <v>0.22339999999999999</v>
      </c>
      <c r="W310" s="22">
        <f t="shared" si="53"/>
        <v>0</v>
      </c>
      <c r="X310" s="22">
        <f t="shared" si="54"/>
        <v>0</v>
      </c>
      <c r="Y310" s="22">
        <f t="shared" si="55"/>
        <v>0</v>
      </c>
      <c r="Z310" s="22">
        <f t="shared" si="57"/>
        <v>0</v>
      </c>
      <c r="AA310" s="22">
        <f t="shared" si="60"/>
        <v>0</v>
      </c>
    </row>
    <row r="311" spans="1:27">
      <c r="A311" s="125" t="s">
        <v>2855</v>
      </c>
      <c r="B311" s="3" t="s">
        <v>2950</v>
      </c>
      <c r="C311" s="93">
        <f>IF(A311=Summary!$B$9,Summary!$G$9,0)</f>
        <v>0</v>
      </c>
      <c r="D311" s="134">
        <f>VLOOKUP(A311,AAFTE!$A:$S,3,0)</f>
        <v>102.33</v>
      </c>
      <c r="E311" s="20">
        <f>VLOOKUP($A311,'2022-23 Salary &amp; Benefits'!$A:$I,3,)</f>
        <v>1.18</v>
      </c>
      <c r="F311" s="20">
        <f>VLOOKUP($A311,'2022-23 Salary &amp; Benefits'!$A:$I,4,)</f>
        <v>1.18</v>
      </c>
      <c r="G311" s="34">
        <f>VLOOKUP(A311,'CEDARS District FRPL'!$A:$F,6,)</f>
        <v>0</v>
      </c>
      <c r="H311" s="25">
        <f t="shared" si="56"/>
        <v>102.33</v>
      </c>
      <c r="I311" s="39">
        <f t="shared" si="49"/>
        <v>0</v>
      </c>
      <c r="J311" s="24">
        <v>15</v>
      </c>
      <c r="K311" s="26">
        <f t="shared" si="58"/>
        <v>0</v>
      </c>
      <c r="L311" s="24">
        <v>2.3975</v>
      </c>
      <c r="M311" s="24">
        <v>36</v>
      </c>
      <c r="N311" s="27">
        <f t="shared" si="59"/>
        <v>0</v>
      </c>
      <c r="O311" s="102">
        <f t="shared" si="50"/>
        <v>0</v>
      </c>
      <c r="P311" s="21">
        <f>VLOOKUP(A311,'2022-23 Salary &amp; Benefits'!$A:$I,5,)</f>
        <v>68937</v>
      </c>
      <c r="Q311" s="21">
        <f>VLOOKUP(A311,'2022-23 Salary &amp; Benefits'!$A:$I,6,FALSE)</f>
        <v>72728</v>
      </c>
      <c r="R311" s="22">
        <f t="shared" si="51"/>
        <v>0</v>
      </c>
      <c r="S311" s="22">
        <f t="shared" si="52"/>
        <v>0</v>
      </c>
      <c r="T311" s="22">
        <f>'2022-23 Salary &amp; Benefits'!$G$6</f>
        <v>12558.24</v>
      </c>
      <c r="U311" s="23">
        <f>'2022-23 Salary &amp; Benefits'!$H$6</f>
        <v>0.2298</v>
      </c>
      <c r="V311" s="23">
        <f>'2022-23 Salary &amp; Benefits'!$I$6</f>
        <v>0.22339999999999999</v>
      </c>
      <c r="W311" s="22">
        <f t="shared" si="53"/>
        <v>0</v>
      </c>
      <c r="X311" s="22">
        <f t="shared" si="54"/>
        <v>0</v>
      </c>
      <c r="Y311" s="22">
        <f t="shared" si="55"/>
        <v>0</v>
      </c>
      <c r="Z311" s="22">
        <f t="shared" si="57"/>
        <v>0</v>
      </c>
      <c r="AA311" s="22">
        <f t="shared" si="60"/>
        <v>0</v>
      </c>
    </row>
    <row r="312" spans="1:27">
      <c r="A312" s="125" t="s">
        <v>2411</v>
      </c>
      <c r="B312" s="3" t="s">
        <v>1195</v>
      </c>
      <c r="C312" s="93">
        <f>IF(A312=Summary!$B$9,Summary!$G$9,0)</f>
        <v>0</v>
      </c>
      <c r="D312" s="134">
        <f>VLOOKUP(A312,AAFTE!$A:$S,3,0)</f>
        <v>220.36</v>
      </c>
      <c r="E312" s="20">
        <f>VLOOKUP($A312,'2022-23 Salary &amp; Benefits'!$A:$I,3,)</f>
        <v>1</v>
      </c>
      <c r="F312" s="20">
        <f>VLOOKUP($A312,'2022-23 Salary &amp; Benefits'!$A:$I,4,)</f>
        <v>1</v>
      </c>
      <c r="G312" s="34">
        <f>VLOOKUP(A312,'CEDARS District FRPL'!$A:$F,6,)</f>
        <v>0.10630000000000001</v>
      </c>
      <c r="H312" s="25">
        <f t="shared" si="56"/>
        <v>220.36</v>
      </c>
      <c r="I312" s="39">
        <f t="shared" si="49"/>
        <v>23.42</v>
      </c>
      <c r="J312" s="24">
        <v>15</v>
      </c>
      <c r="K312" s="26">
        <f t="shared" si="58"/>
        <v>1.5613333333333335</v>
      </c>
      <c r="L312" s="24">
        <v>2.3975</v>
      </c>
      <c r="M312" s="24">
        <v>36</v>
      </c>
      <c r="N312" s="27">
        <f t="shared" si="59"/>
        <v>134.75868</v>
      </c>
      <c r="O312" s="102">
        <f t="shared" si="50"/>
        <v>0.15</v>
      </c>
      <c r="P312" s="21">
        <f>VLOOKUP(A312,'2022-23 Salary &amp; Benefits'!$A:$I,5,)</f>
        <v>68937</v>
      </c>
      <c r="Q312" s="21">
        <f>VLOOKUP(A312,'2022-23 Salary &amp; Benefits'!$A:$I,6,FALSE)</f>
        <v>72728</v>
      </c>
      <c r="R312" s="22">
        <f t="shared" si="51"/>
        <v>10340.549999999999</v>
      </c>
      <c r="S312" s="22">
        <f t="shared" si="52"/>
        <v>568.65</v>
      </c>
      <c r="T312" s="22">
        <f>'2022-23 Salary &amp; Benefits'!$G$6</f>
        <v>12558.24</v>
      </c>
      <c r="U312" s="23">
        <f>'2022-23 Salary &amp; Benefits'!$H$6</f>
        <v>0.2298</v>
      </c>
      <c r="V312" s="23">
        <f>'2022-23 Salary &amp; Benefits'!$I$6</f>
        <v>0.22339999999999999</v>
      </c>
      <c r="W312" s="22">
        <f t="shared" si="53"/>
        <v>4387.03</v>
      </c>
      <c r="X312" s="22">
        <f t="shared" si="54"/>
        <v>181.82</v>
      </c>
      <c r="Y312" s="22">
        <f t="shared" si="55"/>
        <v>40.619999999999997</v>
      </c>
      <c r="Z312" s="22">
        <f t="shared" si="57"/>
        <v>222.44</v>
      </c>
      <c r="AA312" s="22">
        <f t="shared" si="60"/>
        <v>15518.669999999998</v>
      </c>
    </row>
    <row r="313" spans="1:27">
      <c r="A313" s="125" t="s">
        <v>2433</v>
      </c>
      <c r="B313" s="3" t="s">
        <v>1275</v>
      </c>
      <c r="C313" s="93">
        <f>IF(A313=Summary!$B$9,Summary!$G$9,0)</f>
        <v>0</v>
      </c>
      <c r="D313" s="134">
        <f>VLOOKUP(A313,AAFTE!$A:$S,3,0)</f>
        <v>359.33</v>
      </c>
      <c r="E313" s="20">
        <f>VLOOKUP($A313,'2022-23 Salary &amp; Benefits'!$A:$I,3,)</f>
        <v>1</v>
      </c>
      <c r="F313" s="20">
        <f>VLOOKUP($A313,'2022-23 Salary &amp; Benefits'!$A:$I,4,)</f>
        <v>1</v>
      </c>
      <c r="G313" s="34">
        <f>VLOOKUP(A313,'CEDARS District FRPL'!$A:$F,6,)</f>
        <v>3.2600000000000018E-2</v>
      </c>
      <c r="H313" s="25">
        <f t="shared" si="56"/>
        <v>359.33</v>
      </c>
      <c r="I313" s="39">
        <f t="shared" si="49"/>
        <v>11.71</v>
      </c>
      <c r="J313" s="24">
        <v>15</v>
      </c>
      <c r="K313" s="26">
        <f t="shared" si="58"/>
        <v>0.78066666666666673</v>
      </c>
      <c r="L313" s="24">
        <v>2.3975</v>
      </c>
      <c r="M313" s="24">
        <v>36</v>
      </c>
      <c r="N313" s="27">
        <f t="shared" si="59"/>
        <v>67.379339999999999</v>
      </c>
      <c r="O313" s="102">
        <f t="shared" si="50"/>
        <v>7.4999999999999997E-2</v>
      </c>
      <c r="P313" s="21">
        <f>VLOOKUP(A313,'2022-23 Salary &amp; Benefits'!$A:$I,5,)</f>
        <v>68937</v>
      </c>
      <c r="Q313" s="21">
        <f>VLOOKUP(A313,'2022-23 Salary &amp; Benefits'!$A:$I,6,FALSE)</f>
        <v>72728</v>
      </c>
      <c r="R313" s="22">
        <f t="shared" si="51"/>
        <v>5170.28</v>
      </c>
      <c r="S313" s="22">
        <f t="shared" si="52"/>
        <v>284.32</v>
      </c>
      <c r="T313" s="22">
        <f>'2022-23 Salary &amp; Benefits'!$G$6</f>
        <v>12558.24</v>
      </c>
      <c r="U313" s="23">
        <f>'2022-23 Salary &amp; Benefits'!$H$6</f>
        <v>0.2298</v>
      </c>
      <c r="V313" s="23">
        <f>'2022-23 Salary &amp; Benefits'!$I$6</f>
        <v>0.22339999999999999</v>
      </c>
      <c r="W313" s="22">
        <f t="shared" si="53"/>
        <v>2193.52</v>
      </c>
      <c r="X313" s="22">
        <f t="shared" si="54"/>
        <v>90.91</v>
      </c>
      <c r="Y313" s="22">
        <f t="shared" si="55"/>
        <v>20.309999999999999</v>
      </c>
      <c r="Z313" s="22">
        <f t="shared" si="57"/>
        <v>111.22</v>
      </c>
      <c r="AA313" s="22">
        <f t="shared" si="60"/>
        <v>7759.3399999999992</v>
      </c>
    </row>
    <row r="314" spans="1:27">
      <c r="A314" s="125" t="s">
        <v>2325</v>
      </c>
      <c r="B314" s="3" t="s">
        <v>459</v>
      </c>
      <c r="C314" s="93">
        <f>IF(A314=Summary!$B$9,Summary!$G$9,0)</f>
        <v>0</v>
      </c>
      <c r="D314" s="134">
        <f>VLOOKUP(A314,AAFTE!$A:$S,3,0)</f>
        <v>112.96</v>
      </c>
      <c r="E314" s="20">
        <f>VLOOKUP($A314,'2022-23 Salary &amp; Benefits'!$A:$I,3,)</f>
        <v>1</v>
      </c>
      <c r="F314" s="20">
        <f>VLOOKUP($A314,'2022-23 Salary &amp; Benefits'!$A:$I,4,)</f>
        <v>1.04</v>
      </c>
      <c r="G314" s="34">
        <f>VLOOKUP(A314,'CEDARS District FRPL'!$A:$F,6,)</f>
        <v>0.13049999999999995</v>
      </c>
      <c r="H314" s="25">
        <f t="shared" si="56"/>
        <v>112.96</v>
      </c>
      <c r="I314" s="39">
        <f t="shared" si="49"/>
        <v>14.74</v>
      </c>
      <c r="J314" s="24">
        <v>15</v>
      </c>
      <c r="K314" s="26">
        <f t="shared" si="58"/>
        <v>0.98266666666666669</v>
      </c>
      <c r="L314" s="24">
        <v>2.3975</v>
      </c>
      <c r="M314" s="24">
        <v>36</v>
      </c>
      <c r="N314" s="27">
        <f t="shared" si="59"/>
        <v>84.813959999999994</v>
      </c>
      <c r="O314" s="102">
        <f t="shared" si="50"/>
        <v>9.4E-2</v>
      </c>
      <c r="P314" s="21">
        <f>VLOOKUP(A314,'2022-23 Salary &amp; Benefits'!$A:$I,5,)</f>
        <v>68937</v>
      </c>
      <c r="Q314" s="21">
        <f>VLOOKUP(A314,'2022-23 Salary &amp; Benefits'!$A:$I,6,FALSE)</f>
        <v>72728</v>
      </c>
      <c r="R314" s="22">
        <f t="shared" si="51"/>
        <v>6480.08</v>
      </c>
      <c r="S314" s="22">
        <f t="shared" si="52"/>
        <v>629.80999999999995</v>
      </c>
      <c r="T314" s="22">
        <f>'2022-23 Salary &amp; Benefits'!$G$6</f>
        <v>12558.24</v>
      </c>
      <c r="U314" s="23">
        <f>'2022-23 Salary &amp; Benefits'!$H$6</f>
        <v>0.2298</v>
      </c>
      <c r="V314" s="23">
        <f>'2022-23 Salary &amp; Benefits'!$I$6</f>
        <v>0.22339999999999999</v>
      </c>
      <c r="W314" s="22">
        <f t="shared" si="53"/>
        <v>2810.3</v>
      </c>
      <c r="X314" s="22">
        <f t="shared" si="54"/>
        <v>118.5</v>
      </c>
      <c r="Y314" s="22">
        <f t="shared" si="55"/>
        <v>26.47</v>
      </c>
      <c r="Z314" s="22">
        <f t="shared" si="57"/>
        <v>144.97</v>
      </c>
      <c r="AA314" s="22">
        <f t="shared" si="60"/>
        <v>10065.16</v>
      </c>
    </row>
    <row r="315" spans="1:27">
      <c r="A315" s="125" t="s">
        <v>2398</v>
      </c>
      <c r="B315" s="3" t="s">
        <v>1148</v>
      </c>
      <c r="C315" s="93">
        <f>IF(A315=Summary!$B$9,Summary!$G$9,0)</f>
        <v>0</v>
      </c>
      <c r="D315" s="134">
        <f>VLOOKUP(A315,AAFTE!$A:$S,3,0)</f>
        <v>732.54</v>
      </c>
      <c r="E315" s="20">
        <f>VLOOKUP($A315,'2022-23 Salary &amp; Benefits'!$A:$I,3,)</f>
        <v>1</v>
      </c>
      <c r="F315" s="20">
        <f>VLOOKUP($A315,'2022-23 Salary &amp; Benefits'!$A:$I,4,)</f>
        <v>1.04</v>
      </c>
      <c r="G315" s="34">
        <f>VLOOKUP(A315,'CEDARS District FRPL'!$A:$F,6,)</f>
        <v>0.14060000000000006</v>
      </c>
      <c r="H315" s="25">
        <f t="shared" si="56"/>
        <v>732.54</v>
      </c>
      <c r="I315" s="39">
        <f t="shared" si="49"/>
        <v>103</v>
      </c>
      <c r="J315" s="24">
        <v>15</v>
      </c>
      <c r="K315" s="26">
        <f t="shared" si="58"/>
        <v>6.8666666666666663</v>
      </c>
      <c r="L315" s="24">
        <v>2.3975</v>
      </c>
      <c r="M315" s="24">
        <v>36</v>
      </c>
      <c r="N315" s="27">
        <f t="shared" si="59"/>
        <v>592.66199999999992</v>
      </c>
      <c r="O315" s="102">
        <f t="shared" si="50"/>
        <v>0.65900000000000003</v>
      </c>
      <c r="P315" s="21">
        <f>VLOOKUP(A315,'2022-23 Salary &amp; Benefits'!$A:$I,5,)</f>
        <v>68937</v>
      </c>
      <c r="Q315" s="21">
        <f>VLOOKUP(A315,'2022-23 Salary &amp; Benefits'!$A:$I,6,FALSE)</f>
        <v>72728</v>
      </c>
      <c r="R315" s="22">
        <f t="shared" si="51"/>
        <v>45429.48</v>
      </c>
      <c r="S315" s="22">
        <f t="shared" si="52"/>
        <v>4415.38</v>
      </c>
      <c r="T315" s="22">
        <f>'2022-23 Salary &amp; Benefits'!$G$6</f>
        <v>12558.24</v>
      </c>
      <c r="U315" s="23">
        <f>'2022-23 Salary &amp; Benefits'!$H$6</f>
        <v>0.2298</v>
      </c>
      <c r="V315" s="23">
        <f>'2022-23 Salary &amp; Benefits'!$I$6</f>
        <v>0.22339999999999999</v>
      </c>
      <c r="W315" s="22">
        <f t="shared" si="53"/>
        <v>19701.97</v>
      </c>
      <c r="X315" s="22">
        <f t="shared" si="54"/>
        <v>830.75</v>
      </c>
      <c r="Y315" s="22">
        <f t="shared" si="55"/>
        <v>185.59</v>
      </c>
      <c r="Z315" s="22">
        <f t="shared" si="57"/>
        <v>1016.34</v>
      </c>
      <c r="AA315" s="22">
        <f t="shared" si="60"/>
        <v>70563.17</v>
      </c>
    </row>
    <row r="316" spans="1:27">
      <c r="A316" s="125" t="s">
        <v>2337</v>
      </c>
      <c r="B316" s="3" t="s">
        <v>505</v>
      </c>
      <c r="C316" s="93">
        <f>IF(A316=Summary!$B$9,Summary!$G$9,0)</f>
        <v>0</v>
      </c>
      <c r="D316" s="134">
        <f>VLOOKUP(A316,AAFTE!$A:$S,3,0)</f>
        <v>156.93</v>
      </c>
      <c r="E316" s="20">
        <f>VLOOKUP($A316,'2022-23 Salary &amp; Benefits'!$A:$I,3,)</f>
        <v>1</v>
      </c>
      <c r="F316" s="20">
        <f>VLOOKUP($A316,'2022-23 Salary &amp; Benefits'!$A:$I,4,)</f>
        <v>1</v>
      </c>
      <c r="G316" s="34">
        <f>VLOOKUP(A316,'CEDARS District FRPL'!$A:$F,6,)</f>
        <v>0</v>
      </c>
      <c r="H316" s="25">
        <f t="shared" si="56"/>
        <v>156.93</v>
      </c>
      <c r="I316" s="39">
        <f t="shared" si="49"/>
        <v>0</v>
      </c>
      <c r="J316" s="24">
        <v>15</v>
      </c>
      <c r="K316" s="26">
        <f t="shared" si="58"/>
        <v>0</v>
      </c>
      <c r="L316" s="24">
        <v>2.3975</v>
      </c>
      <c r="M316" s="24">
        <v>36</v>
      </c>
      <c r="N316" s="27">
        <f t="shared" si="59"/>
        <v>0</v>
      </c>
      <c r="O316" s="102">
        <f t="shared" si="50"/>
        <v>0</v>
      </c>
      <c r="P316" s="21">
        <f>VLOOKUP(A316,'2022-23 Salary &amp; Benefits'!$A:$I,5,)</f>
        <v>68937</v>
      </c>
      <c r="Q316" s="21">
        <f>VLOOKUP(A316,'2022-23 Salary &amp; Benefits'!$A:$I,6,FALSE)</f>
        <v>72728</v>
      </c>
      <c r="R316" s="22">
        <f t="shared" si="51"/>
        <v>0</v>
      </c>
      <c r="S316" s="22">
        <f t="shared" si="52"/>
        <v>0</v>
      </c>
      <c r="T316" s="22">
        <f>'2022-23 Salary &amp; Benefits'!$G$6</f>
        <v>12558.24</v>
      </c>
      <c r="U316" s="23">
        <f>'2022-23 Salary &amp; Benefits'!$H$6</f>
        <v>0.2298</v>
      </c>
      <c r="V316" s="23">
        <f>'2022-23 Salary &amp; Benefits'!$I$6</f>
        <v>0.22339999999999999</v>
      </c>
      <c r="W316" s="22">
        <f t="shared" si="53"/>
        <v>0</v>
      </c>
      <c r="X316" s="22">
        <f t="shared" si="54"/>
        <v>0</v>
      </c>
      <c r="Y316" s="22">
        <f t="shared" si="55"/>
        <v>0</v>
      </c>
      <c r="Z316" s="22">
        <f t="shared" ref="Z316" si="62">SUM(X316:Y316)</f>
        <v>0</v>
      </c>
      <c r="AA316" s="22">
        <f t="shared" si="60"/>
        <v>0</v>
      </c>
    </row>
    <row r="317" spans="1:27">
      <c r="A317" s="125" t="s">
        <v>2383</v>
      </c>
      <c r="B317" s="3" t="s">
        <v>1104</v>
      </c>
      <c r="C317" s="93">
        <f>IF(A317=Summary!$B$9,Summary!$G$9,0)</f>
        <v>0</v>
      </c>
      <c r="D317" s="134">
        <f>VLOOKUP(A317,AAFTE!$A:$S,3,0)</f>
        <v>60.12</v>
      </c>
      <c r="E317" s="20">
        <f>VLOOKUP($A317,'2022-23 Salary &amp; Benefits'!$A:$I,3,)</f>
        <v>1</v>
      </c>
      <c r="F317" s="20">
        <f>VLOOKUP($A317,'2022-23 Salary &amp; Benefits'!$A:$I,4,)</f>
        <v>1</v>
      </c>
      <c r="G317" s="34">
        <f>VLOOKUP(A317,'CEDARS District FRPL'!$A:$F,6,)</f>
        <v>0</v>
      </c>
      <c r="H317" s="25">
        <f t="shared" si="56"/>
        <v>60.12</v>
      </c>
      <c r="I317" s="39">
        <f t="shared" si="49"/>
        <v>0</v>
      </c>
      <c r="J317" s="24">
        <v>15</v>
      </c>
      <c r="K317" s="26">
        <f t="shared" si="58"/>
        <v>0</v>
      </c>
      <c r="L317" s="24">
        <v>2.3975</v>
      </c>
      <c r="M317" s="24">
        <v>36</v>
      </c>
      <c r="N317" s="27">
        <f t="shared" si="59"/>
        <v>0</v>
      </c>
      <c r="O317" s="102">
        <f t="shared" si="50"/>
        <v>0</v>
      </c>
      <c r="P317" s="21">
        <f>VLOOKUP(A317,'2022-23 Salary &amp; Benefits'!$A:$I,5,)</f>
        <v>68937</v>
      </c>
      <c r="Q317" s="21">
        <f>VLOOKUP(A317,'2022-23 Salary &amp; Benefits'!$A:$I,6,FALSE)</f>
        <v>72728</v>
      </c>
      <c r="R317" s="22">
        <f t="shared" si="51"/>
        <v>0</v>
      </c>
      <c r="S317" s="22">
        <f t="shared" si="52"/>
        <v>0</v>
      </c>
      <c r="T317" s="22">
        <f>'2022-23 Salary &amp; Benefits'!$G$6</f>
        <v>12558.24</v>
      </c>
      <c r="U317" s="23">
        <f>'2022-23 Salary &amp; Benefits'!$H$6</f>
        <v>0.2298</v>
      </c>
      <c r="V317" s="23">
        <f>'2022-23 Salary &amp; Benefits'!$I$6</f>
        <v>0.22339999999999999</v>
      </c>
      <c r="W317" s="22">
        <f t="shared" si="53"/>
        <v>0</v>
      </c>
      <c r="X317" s="22">
        <f t="shared" si="54"/>
        <v>0</v>
      </c>
      <c r="Y317" s="22">
        <f t="shared" si="55"/>
        <v>0</v>
      </c>
      <c r="Z317" s="22">
        <f t="shared" si="57"/>
        <v>0</v>
      </c>
      <c r="AA317" s="22">
        <f t="shared" si="60"/>
        <v>0</v>
      </c>
    </row>
    <row r="318" spans="1:27">
      <c r="A318" s="125" t="s">
        <v>2299</v>
      </c>
      <c r="B318" s="3" t="s">
        <v>320</v>
      </c>
      <c r="C318" s="93">
        <f>IF(A318=Summary!$B$9,Summary!$G$9,0)</f>
        <v>0</v>
      </c>
      <c r="D318" s="134">
        <f>VLOOKUP(A318,AAFTE!$A:$S,3,0)</f>
        <v>2344.1</v>
      </c>
      <c r="E318" s="20">
        <f>VLOOKUP($A318,'2022-23 Salary &amp; Benefits'!$A:$I,3,)</f>
        <v>1</v>
      </c>
      <c r="F318" s="20">
        <f>VLOOKUP($A318,'2022-23 Salary &amp; Benefits'!$A:$I,4,)</f>
        <v>1</v>
      </c>
      <c r="G318" s="34">
        <f>VLOOKUP(A318,'CEDARS District FRPL'!$A:$F,6,)</f>
        <v>6.3899999999999957E-2</v>
      </c>
      <c r="H318" s="25">
        <f t="shared" si="56"/>
        <v>2344.1</v>
      </c>
      <c r="I318" s="39">
        <f t="shared" si="49"/>
        <v>149.79</v>
      </c>
      <c r="J318" s="24">
        <v>15</v>
      </c>
      <c r="K318" s="26">
        <f t="shared" si="58"/>
        <v>9.9859999999999989</v>
      </c>
      <c r="L318" s="24">
        <v>2.3975</v>
      </c>
      <c r="M318" s="24">
        <v>36</v>
      </c>
      <c r="N318" s="27">
        <f t="shared" si="59"/>
        <v>861.89166</v>
      </c>
      <c r="O318" s="102">
        <f t="shared" si="50"/>
        <v>0.95799999999999996</v>
      </c>
      <c r="P318" s="21">
        <f>VLOOKUP(A318,'2022-23 Salary &amp; Benefits'!$A:$I,5,)</f>
        <v>68937</v>
      </c>
      <c r="Q318" s="21">
        <f>VLOOKUP(A318,'2022-23 Salary &amp; Benefits'!$A:$I,6,FALSE)</f>
        <v>72728</v>
      </c>
      <c r="R318" s="22">
        <f t="shared" si="51"/>
        <v>66041.649999999994</v>
      </c>
      <c r="S318" s="22">
        <f t="shared" si="52"/>
        <v>3631.77</v>
      </c>
      <c r="T318" s="22">
        <f>'2022-23 Salary &amp; Benefits'!$G$6</f>
        <v>12558.24</v>
      </c>
      <c r="U318" s="23">
        <f>'2022-23 Salary &amp; Benefits'!$H$6</f>
        <v>0.2298</v>
      </c>
      <c r="V318" s="23">
        <f>'2022-23 Salary &amp; Benefits'!$I$6</f>
        <v>0.22339999999999999</v>
      </c>
      <c r="W318" s="22">
        <f t="shared" si="53"/>
        <v>28018.5</v>
      </c>
      <c r="X318" s="22">
        <f t="shared" si="54"/>
        <v>1161.22</v>
      </c>
      <c r="Y318" s="22">
        <f t="shared" si="55"/>
        <v>259.42</v>
      </c>
      <c r="Z318" s="22">
        <f t="shared" si="57"/>
        <v>1420.64</v>
      </c>
      <c r="AA318" s="22">
        <f t="shared" si="60"/>
        <v>99112.56</v>
      </c>
    </row>
    <row r="319" spans="1:27">
      <c r="A319" s="125" t="s">
        <v>2763</v>
      </c>
      <c r="B319" s="3" t="s">
        <v>2766</v>
      </c>
      <c r="C319" s="93">
        <f>IF(A319=Summary!$B$9,Summary!$G$9,0)</f>
        <v>0</v>
      </c>
      <c r="D319" s="134">
        <f>VLOOKUP(A319,AAFTE!$A:$S,3,0)</f>
        <v>129.86000000000001</v>
      </c>
      <c r="E319" s="20">
        <f>VLOOKUP($A319,'2022-23 Salary &amp; Benefits'!$A:$I,3,)</f>
        <v>1</v>
      </c>
      <c r="F319" s="20">
        <f>VLOOKUP($A319,'2022-23 Salary &amp; Benefits'!$A:$I,4,)</f>
        <v>1</v>
      </c>
      <c r="G319" s="34">
        <f>VLOOKUP(A319,'CEDARS District FRPL'!$A:$F,6,)</f>
        <v>0</v>
      </c>
      <c r="H319" s="25">
        <f t="shared" si="56"/>
        <v>129.86000000000001</v>
      </c>
      <c r="I319" s="39">
        <f t="shared" si="49"/>
        <v>0</v>
      </c>
      <c r="J319" s="24">
        <v>15</v>
      </c>
      <c r="K319" s="26">
        <f t="shared" si="58"/>
        <v>0</v>
      </c>
      <c r="L319" s="24">
        <v>2.3975</v>
      </c>
      <c r="M319" s="24">
        <v>36</v>
      </c>
      <c r="N319" s="27">
        <f t="shared" si="59"/>
        <v>0</v>
      </c>
      <c r="O319" s="102">
        <f t="shared" si="50"/>
        <v>0</v>
      </c>
      <c r="P319" s="21">
        <f>VLOOKUP(A319,'2022-23 Salary &amp; Benefits'!$A:$I,5,)</f>
        <v>68937</v>
      </c>
      <c r="Q319" s="21">
        <f>VLOOKUP(A319,'2022-23 Salary &amp; Benefits'!$A:$I,6,FALSE)</f>
        <v>72728</v>
      </c>
      <c r="R319" s="22">
        <f t="shared" si="51"/>
        <v>0</v>
      </c>
      <c r="S319" s="22">
        <f t="shared" si="52"/>
        <v>0</v>
      </c>
      <c r="T319" s="22">
        <f>'2022-23 Salary &amp; Benefits'!$G$6</f>
        <v>12558.24</v>
      </c>
      <c r="U319" s="23">
        <f>'2022-23 Salary &amp; Benefits'!$H$6</f>
        <v>0.2298</v>
      </c>
      <c r="V319" s="23">
        <f>'2022-23 Salary &amp; Benefits'!$I$6</f>
        <v>0.22339999999999999</v>
      </c>
      <c r="W319" s="22">
        <f t="shared" si="53"/>
        <v>0</v>
      </c>
      <c r="X319" s="22">
        <f t="shared" si="54"/>
        <v>0</v>
      </c>
      <c r="Y319" s="22">
        <f t="shared" si="55"/>
        <v>0</v>
      </c>
      <c r="Z319" s="22">
        <f t="shared" si="57"/>
        <v>0</v>
      </c>
      <c r="AA319" s="22">
        <f t="shared" si="60"/>
        <v>0</v>
      </c>
    </row>
    <row r="320" spans="1:27">
      <c r="A320" s="59" t="s">
        <v>2555</v>
      </c>
      <c r="B320" s="59" t="s">
        <v>2170</v>
      </c>
      <c r="C320" s="93">
        <f>IF(A320=Summary!$B$9,Summary!$G$9,0)</f>
        <v>0</v>
      </c>
      <c r="D320" s="134">
        <f>VLOOKUP(A320,AAFTE!$A:$S,3,0)</f>
        <v>15582.22</v>
      </c>
      <c r="E320" s="20">
        <f>VLOOKUP($A320,'2022-23 Salary &amp; Benefits'!$A:$I,3,)</f>
        <v>1</v>
      </c>
      <c r="F320" s="20">
        <f>VLOOKUP($A320,'2022-23 Salary &amp; Benefits'!$A:$I,4,)</f>
        <v>1</v>
      </c>
      <c r="G320" s="34">
        <f>VLOOKUP(A320,'CEDARS District FRPL'!$A:$F,6,)</f>
        <v>0</v>
      </c>
      <c r="H320" s="25">
        <f t="shared" si="56"/>
        <v>15582.22</v>
      </c>
      <c r="I320" s="39">
        <f t="shared" si="49"/>
        <v>0</v>
      </c>
      <c r="J320" s="24">
        <v>15</v>
      </c>
      <c r="K320" s="26">
        <f t="shared" si="58"/>
        <v>0</v>
      </c>
      <c r="L320" s="24">
        <v>2.3975</v>
      </c>
      <c r="M320" s="24">
        <v>36</v>
      </c>
      <c r="N320" s="27">
        <f t="shared" si="59"/>
        <v>0</v>
      </c>
      <c r="O320" s="102">
        <f t="shared" si="50"/>
        <v>0</v>
      </c>
      <c r="P320" s="21">
        <f>VLOOKUP(A320,'2022-23 Salary &amp; Benefits'!$A:$I,5,)</f>
        <v>68937</v>
      </c>
      <c r="Q320" s="21">
        <f>VLOOKUP(A320,'2022-23 Salary &amp; Benefits'!$A:$I,6,FALSE)</f>
        <v>72728</v>
      </c>
      <c r="R320" s="22">
        <f t="shared" si="51"/>
        <v>0</v>
      </c>
      <c r="S320" s="22">
        <f t="shared" si="52"/>
        <v>0</v>
      </c>
      <c r="T320" s="22">
        <f>'2022-23 Salary &amp; Benefits'!$G$6</f>
        <v>12558.24</v>
      </c>
      <c r="U320" s="23">
        <f>'2022-23 Salary &amp; Benefits'!$H$6</f>
        <v>0.2298</v>
      </c>
      <c r="V320" s="23">
        <f>'2022-23 Salary &amp; Benefits'!$I$6</f>
        <v>0.22339999999999999</v>
      </c>
      <c r="W320" s="22">
        <f t="shared" si="53"/>
        <v>0</v>
      </c>
      <c r="X320" s="22">
        <f t="shared" si="54"/>
        <v>0</v>
      </c>
      <c r="Y320" s="22">
        <f t="shared" si="55"/>
        <v>0</v>
      </c>
      <c r="Z320" s="22">
        <f t="shared" ref="Z320:Z322" si="63">SUM(X320:Y320)</f>
        <v>0</v>
      </c>
      <c r="AA320" s="22">
        <f t="shared" si="60"/>
        <v>0</v>
      </c>
    </row>
    <row r="321" spans="1:27">
      <c r="A321" s="59" t="s">
        <v>2515</v>
      </c>
      <c r="B321" s="59" t="s">
        <v>1964</v>
      </c>
      <c r="C321" s="93">
        <f>IF(A321=Summary!$B$9,Summary!$G$9,0)</f>
        <v>0</v>
      </c>
      <c r="D321" s="134">
        <f>VLOOKUP(A321,AAFTE!$A:$S,3,0)</f>
        <v>5360.49</v>
      </c>
      <c r="E321" s="20">
        <f>VLOOKUP($A321,'2022-23 Salary &amp; Benefits'!$A:$I,3,)</f>
        <v>1</v>
      </c>
      <c r="F321" s="20">
        <f>VLOOKUP($A321,'2022-23 Salary &amp; Benefits'!$A:$I,4,)</f>
        <v>1</v>
      </c>
      <c r="G321" s="34">
        <f>VLOOKUP(A321,'CEDARS District FRPL'!$A:$F,6,)</f>
        <v>0</v>
      </c>
      <c r="H321" s="25">
        <f t="shared" si="56"/>
        <v>5360.49</v>
      </c>
      <c r="I321" s="39">
        <f t="shared" si="49"/>
        <v>0</v>
      </c>
      <c r="J321" s="24">
        <v>15</v>
      </c>
      <c r="K321" s="26">
        <f t="shared" si="58"/>
        <v>0</v>
      </c>
      <c r="L321" s="24">
        <v>2.3975</v>
      </c>
      <c r="M321" s="24">
        <v>36</v>
      </c>
      <c r="N321" s="27">
        <f t="shared" si="59"/>
        <v>0</v>
      </c>
      <c r="O321" s="102">
        <f t="shared" si="50"/>
        <v>0</v>
      </c>
      <c r="P321" s="21">
        <f>VLOOKUP(A321,'2022-23 Salary &amp; Benefits'!$A:$I,5,)</f>
        <v>68937</v>
      </c>
      <c r="Q321" s="21">
        <f>VLOOKUP(A321,'2022-23 Salary &amp; Benefits'!$A:$I,6,FALSE)</f>
        <v>72728</v>
      </c>
      <c r="R321" s="22">
        <f t="shared" si="51"/>
        <v>0</v>
      </c>
      <c r="S321" s="22">
        <f t="shared" si="52"/>
        <v>0</v>
      </c>
      <c r="T321" s="22">
        <f>'2022-23 Salary &amp; Benefits'!$G$6</f>
        <v>12558.24</v>
      </c>
      <c r="U321" s="23">
        <f>'2022-23 Salary &amp; Benefits'!$H$6</f>
        <v>0.2298</v>
      </c>
      <c r="V321" s="23">
        <f>'2022-23 Salary &amp; Benefits'!$I$6</f>
        <v>0.22339999999999999</v>
      </c>
      <c r="W321" s="22">
        <f t="shared" si="53"/>
        <v>0</v>
      </c>
      <c r="X321" s="22">
        <f t="shared" si="54"/>
        <v>0</v>
      </c>
      <c r="Y321" s="22">
        <f t="shared" si="55"/>
        <v>0</v>
      </c>
      <c r="Z321" s="22">
        <f t="shared" si="63"/>
        <v>0</v>
      </c>
      <c r="AA321" s="22">
        <f t="shared" si="60"/>
        <v>0</v>
      </c>
    </row>
    <row r="322" spans="1:27">
      <c r="A322" s="59" t="s">
        <v>2564</v>
      </c>
      <c r="B322" s="59" t="s">
        <v>2235</v>
      </c>
      <c r="C322" s="93">
        <f>IF(A322=Summary!$B$9,Summary!$G$9,0)</f>
        <v>0</v>
      </c>
      <c r="D322" s="134">
        <f>VLOOKUP(A322,AAFTE!$A:$S,3,0)</f>
        <v>1260.6400000000001</v>
      </c>
      <c r="E322" s="20">
        <f>VLOOKUP($A322,'2022-23 Salary &amp; Benefits'!$A:$I,3,)</f>
        <v>1</v>
      </c>
      <c r="F322" s="20">
        <f>VLOOKUP($A322,'2022-23 Salary &amp; Benefits'!$A:$I,4,)</f>
        <v>1</v>
      </c>
      <c r="G322" s="34">
        <f>VLOOKUP(A322,'CEDARS District FRPL'!$A:$F,6,)</f>
        <v>1.7000000000000348E-3</v>
      </c>
      <c r="H322" s="25">
        <f t="shared" si="56"/>
        <v>1260.6400000000001</v>
      </c>
      <c r="I322" s="39">
        <f t="shared" si="49"/>
        <v>2.14</v>
      </c>
      <c r="J322" s="24">
        <v>15</v>
      </c>
      <c r="K322" s="26">
        <f t="shared" si="58"/>
        <v>0.14266666666666666</v>
      </c>
      <c r="L322" s="24">
        <v>2.3975</v>
      </c>
      <c r="M322" s="24">
        <v>36</v>
      </c>
      <c r="N322" s="27">
        <f t="shared" si="59"/>
        <v>12.313559999999999</v>
      </c>
      <c r="O322" s="102">
        <f t="shared" si="50"/>
        <v>1.4E-2</v>
      </c>
      <c r="P322" s="21">
        <f>VLOOKUP(A322,'2022-23 Salary &amp; Benefits'!$A:$I,5,)</f>
        <v>68937</v>
      </c>
      <c r="Q322" s="21">
        <f>VLOOKUP(A322,'2022-23 Salary &amp; Benefits'!$A:$I,6,FALSE)</f>
        <v>72728</v>
      </c>
      <c r="R322" s="22">
        <f t="shared" si="51"/>
        <v>965.12</v>
      </c>
      <c r="S322" s="22">
        <f t="shared" si="52"/>
        <v>53.07</v>
      </c>
      <c r="T322" s="22">
        <f>'2022-23 Salary &amp; Benefits'!$G$6</f>
        <v>12558.24</v>
      </c>
      <c r="U322" s="23">
        <f>'2022-23 Salary &amp; Benefits'!$H$6</f>
        <v>0.2298</v>
      </c>
      <c r="V322" s="23">
        <f>'2022-23 Salary &amp; Benefits'!$I$6</f>
        <v>0.22339999999999999</v>
      </c>
      <c r="W322" s="22">
        <f t="shared" si="53"/>
        <v>409.46</v>
      </c>
      <c r="X322" s="22">
        <f t="shared" si="54"/>
        <v>16.97</v>
      </c>
      <c r="Y322" s="22">
        <f t="shared" si="55"/>
        <v>3.79</v>
      </c>
      <c r="Z322" s="22">
        <f t="shared" si="63"/>
        <v>20.759999999999998</v>
      </c>
      <c r="AA322" s="22">
        <f t="shared" si="60"/>
        <v>1448.4099999999999</v>
      </c>
    </row>
  </sheetData>
  <autoFilter ref="A4:AA322" xr:uid="{00000000-0009-0000-0000-000004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P2361"/>
  <sheetViews>
    <sheetView zoomScale="90" zoomScaleNormal="90" workbookViewId="0">
      <pane ySplit="3" topLeftCell="A4" activePane="bottomLeft" state="frozen"/>
      <selection activeCell="E3" sqref="E3"/>
      <selection pane="bottomLeft" activeCell="D3" sqref="D3"/>
    </sheetView>
  </sheetViews>
  <sheetFormatPr defaultColWidth="9.109375" defaultRowHeight="14.4"/>
  <cols>
    <col min="1" max="1" width="9.44140625" style="149" customWidth="1"/>
    <col min="2" max="2" width="27.109375" style="149" customWidth="1"/>
    <col min="3" max="3" width="10.5546875" style="156" customWidth="1"/>
    <col min="4" max="4" width="53" style="149" customWidth="1"/>
    <col min="5" max="5" width="13.88671875" style="100" bestFit="1" customWidth="1"/>
    <col min="6" max="6" width="13.33203125" style="149" bestFit="1" customWidth="1"/>
    <col min="7" max="7" width="10" style="149" bestFit="1" customWidth="1"/>
    <col min="8" max="8" width="9.109375" style="149"/>
    <col min="9" max="9" width="14" style="149" bestFit="1" customWidth="1"/>
    <col min="10" max="10" width="9.44140625" style="122" bestFit="1" customWidth="1"/>
    <col min="11" max="12" width="4.44140625" style="119" customWidth="1"/>
    <col min="13" max="13" width="9.109375" style="119"/>
    <col min="14" max="14" width="14.5546875" style="149" bestFit="1" customWidth="1"/>
    <col min="15" max="15" width="8.33203125" style="146" bestFit="1" customWidth="1"/>
    <col min="16" max="16" width="3.5546875" style="146" bestFit="1" customWidth="1"/>
    <col min="17" max="16384" width="9.109375" style="99"/>
  </cols>
  <sheetData>
    <row r="1" spans="1:16" ht="15.6">
      <c r="A1" s="150" t="s">
        <v>3057</v>
      </c>
      <c r="C1" s="151">
        <v>1</v>
      </c>
      <c r="D1" s="152">
        <f t="shared" ref="D1:I1" si="0">C1+1</f>
        <v>2</v>
      </c>
      <c r="E1" s="152">
        <f t="shared" si="0"/>
        <v>3</v>
      </c>
      <c r="F1" s="152">
        <f t="shared" si="0"/>
        <v>4</v>
      </c>
      <c r="G1" s="152">
        <f t="shared" si="0"/>
        <v>5</v>
      </c>
      <c r="H1" s="152">
        <f t="shared" si="0"/>
        <v>6</v>
      </c>
      <c r="I1" s="152">
        <f t="shared" si="0"/>
        <v>7</v>
      </c>
      <c r="J1" s="143">
        <f t="shared" ref="J1:N1" si="1">I1+1</f>
        <v>8</v>
      </c>
      <c r="K1" s="143">
        <f t="shared" si="1"/>
        <v>9</v>
      </c>
      <c r="L1" s="143">
        <f t="shared" si="1"/>
        <v>10</v>
      </c>
      <c r="M1" s="143">
        <f t="shared" si="1"/>
        <v>11</v>
      </c>
      <c r="N1" s="143">
        <f t="shared" si="1"/>
        <v>12</v>
      </c>
    </row>
    <row r="2" spans="1:16">
      <c r="A2" s="117"/>
      <c r="C2" s="149"/>
      <c r="E2" s="153">
        <f>SUM(E4:E2374)</f>
        <v>1035807.0099999997</v>
      </c>
      <c r="F2" s="153">
        <f>SUM(F4:F2374)</f>
        <v>22051.279999999995</v>
      </c>
      <c r="G2" s="153">
        <f>SUM(G4:G2374)</f>
        <v>3985.0900000000006</v>
      </c>
      <c r="H2" s="153">
        <f t="shared" ref="H2:I2" si="2">SUM(H4:H2374)</f>
        <v>0</v>
      </c>
      <c r="I2" s="153">
        <f t="shared" si="2"/>
        <v>1061843.3800000013</v>
      </c>
      <c r="J2" s="99"/>
      <c r="K2" s="99"/>
      <c r="L2" s="99"/>
      <c r="M2" s="99"/>
    </row>
    <row r="3" spans="1:16">
      <c r="A3" s="154" t="s">
        <v>2707</v>
      </c>
      <c r="B3" s="154" t="s">
        <v>2571</v>
      </c>
      <c r="C3" s="155" t="s">
        <v>2767</v>
      </c>
      <c r="D3" s="154" t="s">
        <v>2593</v>
      </c>
      <c r="E3" s="108" t="s">
        <v>2768</v>
      </c>
      <c r="F3" s="155" t="s">
        <v>2769</v>
      </c>
      <c r="G3" s="155" t="s">
        <v>2770</v>
      </c>
      <c r="H3" s="155" t="s">
        <v>2771</v>
      </c>
      <c r="I3" s="155" t="s">
        <v>2772</v>
      </c>
      <c r="J3" s="120" t="s">
        <v>2773</v>
      </c>
      <c r="K3" s="121"/>
      <c r="L3" s="121"/>
      <c r="M3" s="124" t="s">
        <v>3067</v>
      </c>
      <c r="N3" s="154" t="s">
        <v>3077</v>
      </c>
    </row>
    <row r="4" spans="1:16">
      <c r="A4" s="95" t="s">
        <v>2327</v>
      </c>
      <c r="B4" s="95" t="s">
        <v>465</v>
      </c>
      <c r="C4" s="4">
        <v>2305</v>
      </c>
      <c r="D4" s="95" t="s">
        <v>466</v>
      </c>
      <c r="E4" s="145">
        <v>729.62</v>
      </c>
      <c r="F4" s="145">
        <v>0</v>
      </c>
      <c r="G4" s="145">
        <v>0</v>
      </c>
      <c r="H4" s="145">
        <v>0</v>
      </c>
      <c r="I4" s="77">
        <f t="shared" ref="I4:I67" si="3">+E4+F4+G4+H4</f>
        <v>729.62</v>
      </c>
      <c r="J4" s="123" t="str">
        <f>IFERROR(VLOOKUP($C4,'CEDARS School FRPL'!C:H,4,FALSE),"No")</f>
        <v>Yes</v>
      </c>
      <c r="K4" s="109"/>
      <c r="L4" s="109"/>
      <c r="M4" s="110">
        <f>IFERROR(VLOOKUP($C4,'CEDARS School FRPL'!C:H,3,FALSE),0)</f>
        <v>0.75636666666666663</v>
      </c>
      <c r="N4" s="123" t="str">
        <f>IFERROR(VLOOKUP(C4,'CEDARS School FRPL'!C:H,6,FALSE),"No")</f>
        <v>No</v>
      </c>
      <c r="O4" s="147"/>
      <c r="P4" s="148"/>
    </row>
    <row r="5" spans="1:16">
      <c r="A5" s="95" t="s">
        <v>2327</v>
      </c>
      <c r="B5" s="95" t="s">
        <v>465</v>
      </c>
      <c r="C5" s="4">
        <v>2449</v>
      </c>
      <c r="D5" s="95" t="s">
        <v>467</v>
      </c>
      <c r="E5" s="145">
        <v>272</v>
      </c>
      <c r="F5" s="145">
        <v>0</v>
      </c>
      <c r="G5" s="145">
        <v>0</v>
      </c>
      <c r="H5" s="145">
        <v>0</v>
      </c>
      <c r="I5" s="77">
        <f t="shared" si="3"/>
        <v>272</v>
      </c>
      <c r="J5" s="123" t="str">
        <f>IFERROR(VLOOKUP($C5,'CEDARS School FRPL'!C:H,4,FALSE),"No")</f>
        <v>Yes</v>
      </c>
      <c r="K5" s="109"/>
      <c r="L5" s="109"/>
      <c r="M5" s="110">
        <f>IFERROR(VLOOKUP($C5,'CEDARS School FRPL'!C:H,3,FALSE),0)</f>
        <v>0.67303333333333326</v>
      </c>
      <c r="N5" s="123" t="str">
        <f>IFERROR(VLOOKUP(C5,'CEDARS School FRPL'!C:H,6,FALSE),"No")</f>
        <v>No</v>
      </c>
      <c r="O5" s="147"/>
      <c r="P5" s="148"/>
    </row>
    <row r="6" spans="1:16">
      <c r="A6" s="95" t="s">
        <v>2327</v>
      </c>
      <c r="B6" s="95" t="s">
        <v>465</v>
      </c>
      <c r="C6" s="4">
        <v>2763</v>
      </c>
      <c r="D6" s="95" t="s">
        <v>304</v>
      </c>
      <c r="E6" s="145">
        <v>259.14</v>
      </c>
      <c r="F6" s="145">
        <v>0</v>
      </c>
      <c r="G6" s="145">
        <v>0</v>
      </c>
      <c r="H6" s="145">
        <v>0</v>
      </c>
      <c r="I6" s="77">
        <f t="shared" si="3"/>
        <v>259.14</v>
      </c>
      <c r="J6" s="123" t="str">
        <f>IFERROR(VLOOKUP($C6,'CEDARS School FRPL'!C:H,4,FALSE),"No")</f>
        <v>Yes</v>
      </c>
      <c r="K6" s="109"/>
      <c r="L6" s="109"/>
      <c r="M6" s="110">
        <f>IFERROR(VLOOKUP($C6,'CEDARS School FRPL'!C:H,3,FALSE),0)</f>
        <v>0.82520000000000004</v>
      </c>
      <c r="N6" s="123" t="str">
        <f>IFERROR(VLOOKUP(C6,'CEDARS School FRPL'!C:H,6,FALSE),"No")</f>
        <v>No</v>
      </c>
      <c r="O6" s="147"/>
      <c r="P6" s="148"/>
    </row>
    <row r="7" spans="1:16">
      <c r="A7" s="95" t="s">
        <v>2327</v>
      </c>
      <c r="B7" s="95" t="s">
        <v>465</v>
      </c>
      <c r="C7" s="4">
        <v>2834</v>
      </c>
      <c r="D7" s="95" t="s">
        <v>468</v>
      </c>
      <c r="E7" s="145">
        <v>297.45</v>
      </c>
      <c r="F7" s="145">
        <v>0</v>
      </c>
      <c r="G7" s="145">
        <v>0</v>
      </c>
      <c r="H7" s="145">
        <v>0</v>
      </c>
      <c r="I7" s="77">
        <f t="shared" si="3"/>
        <v>297.45</v>
      </c>
      <c r="J7" s="123" t="str">
        <f>IFERROR(VLOOKUP($C7,'CEDARS School FRPL'!C:H,4,FALSE),"No")</f>
        <v>Yes</v>
      </c>
      <c r="K7" s="109"/>
      <c r="L7" s="109"/>
      <c r="M7" s="110">
        <f>IFERROR(VLOOKUP($C7,'CEDARS School FRPL'!C:H,3,FALSE),0)</f>
        <v>0.80509999999999993</v>
      </c>
      <c r="N7" s="123" t="str">
        <f>IFERROR(VLOOKUP(C7,'CEDARS School FRPL'!C:H,6,FALSE),"No")</f>
        <v>No</v>
      </c>
      <c r="O7" s="147"/>
      <c r="P7" s="148"/>
    </row>
    <row r="8" spans="1:16">
      <c r="A8" s="95" t="s">
        <v>2327</v>
      </c>
      <c r="B8" s="95" t="s">
        <v>465</v>
      </c>
      <c r="C8" s="4">
        <v>2971</v>
      </c>
      <c r="D8" s="95" t="s">
        <v>469</v>
      </c>
      <c r="E8" s="145">
        <v>307.70999999999998</v>
      </c>
      <c r="F8" s="145">
        <v>0</v>
      </c>
      <c r="G8" s="145">
        <v>0</v>
      </c>
      <c r="H8" s="145">
        <v>0</v>
      </c>
      <c r="I8" s="77">
        <f t="shared" si="3"/>
        <v>307.70999999999998</v>
      </c>
      <c r="J8" s="123" t="str">
        <f>IFERROR(VLOOKUP($C8,'CEDARS School FRPL'!C:H,4,FALSE),"No")</f>
        <v>Yes</v>
      </c>
      <c r="K8" s="109"/>
      <c r="L8" s="109"/>
      <c r="M8" s="110">
        <f>IFERROR(VLOOKUP($C8,'CEDARS School FRPL'!C:H,3,FALSE),0)</f>
        <v>0.8622333333333333</v>
      </c>
      <c r="N8" s="123" t="str">
        <f>IFERROR(VLOOKUP(C8,'CEDARS School FRPL'!C:H,6,FALSE),"No")</f>
        <v>No</v>
      </c>
      <c r="O8" s="147"/>
      <c r="P8" s="148"/>
    </row>
    <row r="9" spans="1:16">
      <c r="A9" s="95" t="s">
        <v>2327</v>
      </c>
      <c r="B9" s="95" t="s">
        <v>465</v>
      </c>
      <c r="C9" s="4">
        <v>3216</v>
      </c>
      <c r="D9" s="95" t="s">
        <v>470</v>
      </c>
      <c r="E9" s="145">
        <v>132.71</v>
      </c>
      <c r="F9" s="145">
        <v>0</v>
      </c>
      <c r="G9" s="145">
        <v>0</v>
      </c>
      <c r="H9" s="145">
        <v>0</v>
      </c>
      <c r="I9" s="77">
        <f t="shared" si="3"/>
        <v>132.71</v>
      </c>
      <c r="J9" s="123" t="str">
        <f>IFERROR(VLOOKUP($C9,'CEDARS School FRPL'!C:H,4,FALSE),"No")</f>
        <v>Yes</v>
      </c>
      <c r="K9" s="109"/>
      <c r="L9" s="109"/>
      <c r="M9" s="110">
        <f>IFERROR(VLOOKUP($C9,'CEDARS School FRPL'!C:H,3,FALSE),0)</f>
        <v>0.56226666666666658</v>
      </c>
      <c r="N9" s="123" t="str">
        <f>IFERROR(VLOOKUP(C9,'CEDARS School FRPL'!C:H,6,FALSE),"No")</f>
        <v>No</v>
      </c>
      <c r="O9" s="147"/>
      <c r="P9" s="148"/>
    </row>
    <row r="10" spans="1:16">
      <c r="A10" s="95" t="s">
        <v>2327</v>
      </c>
      <c r="B10" s="95" t="s">
        <v>465</v>
      </c>
      <c r="C10" s="4">
        <v>3476</v>
      </c>
      <c r="D10" s="95" t="s">
        <v>471</v>
      </c>
      <c r="E10" s="145">
        <v>827.03</v>
      </c>
      <c r="F10" s="145">
        <v>51.41</v>
      </c>
      <c r="G10" s="145">
        <v>0</v>
      </c>
      <c r="H10" s="145">
        <v>0</v>
      </c>
      <c r="I10" s="77">
        <f t="shared" si="3"/>
        <v>878.43999999999994</v>
      </c>
      <c r="J10" s="123" t="str">
        <f>IFERROR(VLOOKUP($C10,'CEDARS School FRPL'!C:H,4,FALSE),"No")</f>
        <v>Yes</v>
      </c>
      <c r="K10" s="109"/>
      <c r="L10" s="109"/>
      <c r="M10" s="110">
        <f>IFERROR(VLOOKUP($C10,'CEDARS School FRPL'!C:H,3,FALSE),0)</f>
        <v>0.62853333333333339</v>
      </c>
      <c r="N10" s="123" t="str">
        <f>IFERROR(VLOOKUP(C10,'CEDARS School FRPL'!C:H,6,FALSE),"No")</f>
        <v>No</v>
      </c>
      <c r="O10" s="147"/>
      <c r="P10" s="148"/>
    </row>
    <row r="11" spans="1:16">
      <c r="A11" s="95" t="s">
        <v>2327</v>
      </c>
      <c r="B11" s="95" t="s">
        <v>465</v>
      </c>
      <c r="C11" s="4">
        <v>3857</v>
      </c>
      <c r="D11" s="95" t="s">
        <v>472</v>
      </c>
      <c r="E11" s="145">
        <v>86.97</v>
      </c>
      <c r="F11" s="145">
        <v>2</v>
      </c>
      <c r="G11" s="145">
        <v>0</v>
      </c>
      <c r="H11" s="145">
        <v>0</v>
      </c>
      <c r="I11" s="77">
        <f t="shared" si="3"/>
        <v>88.97</v>
      </c>
      <c r="J11" s="123" t="str">
        <f>IFERROR(VLOOKUP($C11,'CEDARS School FRPL'!C:H,4,FALSE),"No")</f>
        <v>Yes</v>
      </c>
      <c r="K11" s="109"/>
      <c r="L11" s="109"/>
      <c r="M11" s="110">
        <f>IFERROR(VLOOKUP($C11,'CEDARS School FRPL'!C:H,3,FALSE),0)</f>
        <v>0.74696666666666667</v>
      </c>
      <c r="N11" s="123" t="str">
        <f>IFERROR(VLOOKUP(C11,'CEDARS School FRPL'!C:H,6,FALSE),"No")</f>
        <v>No</v>
      </c>
      <c r="O11" s="147"/>
      <c r="P11" s="148"/>
    </row>
    <row r="12" spans="1:16">
      <c r="A12" s="95" t="s">
        <v>2327</v>
      </c>
      <c r="B12" s="95" t="s">
        <v>465</v>
      </c>
      <c r="C12" s="4">
        <v>5208</v>
      </c>
      <c r="D12" s="95" t="s">
        <v>473</v>
      </c>
      <c r="E12" s="145">
        <v>20.27</v>
      </c>
      <c r="F12" s="145">
        <v>0</v>
      </c>
      <c r="G12" s="145">
        <v>0</v>
      </c>
      <c r="H12" s="145">
        <v>0</v>
      </c>
      <c r="I12" s="77">
        <f t="shared" si="3"/>
        <v>20.27</v>
      </c>
      <c r="J12" s="123" t="str">
        <f>IFERROR(VLOOKUP($C12,'CEDARS School FRPL'!C:H,4,FALSE),"No")</f>
        <v>No</v>
      </c>
      <c r="K12" s="109"/>
      <c r="L12" s="109"/>
      <c r="M12" s="110">
        <f>IFERROR(VLOOKUP($C12,'CEDARS School FRPL'!C:H,3,FALSE),0)</f>
        <v>9.5233333333333337E-2</v>
      </c>
      <c r="N12" s="123" t="str">
        <f>IFERROR(VLOOKUP(C12,'CEDARS School FRPL'!C:H,6,FALSE),"No")</f>
        <v>No</v>
      </c>
      <c r="O12" s="147"/>
      <c r="P12" s="148"/>
    </row>
    <row r="13" spans="1:16">
      <c r="A13" s="95" t="s">
        <v>2327</v>
      </c>
      <c r="B13" s="95" t="s">
        <v>465</v>
      </c>
      <c r="C13" s="4">
        <v>5514</v>
      </c>
      <c r="D13" s="95" t="s">
        <v>2795</v>
      </c>
      <c r="E13" s="145">
        <v>108.77</v>
      </c>
      <c r="F13" s="145">
        <v>0</v>
      </c>
      <c r="G13" s="145">
        <v>0</v>
      </c>
      <c r="H13" s="145">
        <v>0</v>
      </c>
      <c r="I13" s="77">
        <f t="shared" si="3"/>
        <v>108.77</v>
      </c>
      <c r="J13" s="123" t="str">
        <f>IFERROR(VLOOKUP($C13,'CEDARS School FRPL'!C:H,4,FALSE),"No")</f>
        <v>Yes</v>
      </c>
      <c r="K13" s="109"/>
      <c r="L13" s="109"/>
      <c r="M13" s="110">
        <f>IFERROR(VLOOKUP($C13,'CEDARS School FRPL'!C:H,3,FALSE),0)</f>
        <v>0.67603333333333337</v>
      </c>
      <c r="N13" s="123" t="str">
        <f>IFERROR(VLOOKUP(C13,'CEDARS School FRPL'!C:H,6,FALSE),"No")</f>
        <v>No</v>
      </c>
      <c r="O13" s="147"/>
      <c r="P13" s="148"/>
    </row>
    <row r="14" spans="1:16">
      <c r="A14" s="95" t="s">
        <v>2327</v>
      </c>
      <c r="B14" s="95" t="s">
        <v>465</v>
      </c>
      <c r="C14" s="4">
        <v>5663</v>
      </c>
      <c r="D14" s="95" t="s">
        <v>2998</v>
      </c>
      <c r="E14" s="145">
        <v>0</v>
      </c>
      <c r="F14" s="145">
        <v>0</v>
      </c>
      <c r="G14" s="145">
        <v>16.71</v>
      </c>
      <c r="H14" s="145">
        <v>0</v>
      </c>
      <c r="I14" s="77">
        <f t="shared" si="3"/>
        <v>16.71</v>
      </c>
      <c r="J14" s="123" t="str">
        <f>IFERROR(VLOOKUP($C14,'CEDARS School FRPL'!C:H,4,FALSE),"No")</f>
        <v>Yes</v>
      </c>
      <c r="K14" s="109"/>
      <c r="L14" s="109"/>
      <c r="M14" s="110">
        <f>IFERROR(VLOOKUP($C14,'CEDARS School FRPL'!C:H,3,FALSE),0)</f>
        <v>0.85709999999999997</v>
      </c>
      <c r="N14" s="123" t="str">
        <f>IFERROR(VLOOKUP(C14,'CEDARS School FRPL'!C:H,6,FALSE),"No")</f>
        <v>No</v>
      </c>
      <c r="O14" s="147"/>
      <c r="P14" s="148"/>
    </row>
    <row r="15" spans="1:16">
      <c r="A15" s="95" t="s">
        <v>2397</v>
      </c>
      <c r="B15" s="95" t="s">
        <v>1145</v>
      </c>
      <c r="C15" s="4">
        <v>2227</v>
      </c>
      <c r="D15" s="95" t="s">
        <v>1146</v>
      </c>
      <c r="E15" s="145">
        <v>253.34</v>
      </c>
      <c r="F15" s="145">
        <v>0</v>
      </c>
      <c r="G15" s="145">
        <v>0</v>
      </c>
      <c r="H15" s="145">
        <v>0</v>
      </c>
      <c r="I15" s="77">
        <f t="shared" si="3"/>
        <v>253.34</v>
      </c>
      <c r="J15" s="123" t="str">
        <f>IFERROR(VLOOKUP($C15,'CEDARS School FRPL'!C:H,4,FALSE),"No")</f>
        <v>No</v>
      </c>
      <c r="K15" s="109"/>
      <c r="L15" s="109"/>
      <c r="M15" s="110">
        <f>IFERROR(VLOOKUP($C15,'CEDARS School FRPL'!C:H,3,FALSE),0)</f>
        <v>0.24303333333333332</v>
      </c>
      <c r="N15" s="123" t="str">
        <f>IFERROR(VLOOKUP(C15,'CEDARS School FRPL'!C:H,6,FALSE),"No")</f>
        <v>No</v>
      </c>
      <c r="O15" s="147"/>
      <c r="P15" s="148"/>
    </row>
    <row r="16" spans="1:16">
      <c r="A16" s="95" t="s">
        <v>2397</v>
      </c>
      <c r="B16" s="95" t="s">
        <v>1145</v>
      </c>
      <c r="C16" s="4">
        <v>2441</v>
      </c>
      <c r="D16" s="95" t="s">
        <v>1147</v>
      </c>
      <c r="E16" s="145">
        <v>347.58</v>
      </c>
      <c r="F16" s="145">
        <v>14.680000000000001</v>
      </c>
      <c r="G16" s="145">
        <v>0.43</v>
      </c>
      <c r="H16" s="145">
        <v>0</v>
      </c>
      <c r="I16" s="77">
        <f t="shared" si="3"/>
        <v>362.69</v>
      </c>
      <c r="J16" s="123" t="str">
        <f>IFERROR(VLOOKUP($C16,'CEDARS School FRPL'!C:H,4,FALSE),"No")</f>
        <v>No</v>
      </c>
      <c r="K16" s="109"/>
      <c r="L16" s="109"/>
      <c r="M16" s="110">
        <f>IFERROR(VLOOKUP($C16,'CEDARS School FRPL'!C:H,3,FALSE),0)</f>
        <v>0.29216666666666663</v>
      </c>
      <c r="N16" s="123" t="str">
        <f>IFERROR(VLOOKUP(C16,'CEDARS School FRPL'!C:H,6,FALSE),"No")</f>
        <v>No</v>
      </c>
      <c r="O16" s="147"/>
      <c r="P16" s="148"/>
    </row>
    <row r="17" spans="1:16">
      <c r="A17" s="95" t="s">
        <v>2408</v>
      </c>
      <c r="B17" s="95" t="s">
        <v>1187</v>
      </c>
      <c r="C17" s="4">
        <v>2860</v>
      </c>
      <c r="D17" s="95" t="s">
        <v>1188</v>
      </c>
      <c r="E17" s="145">
        <v>96.42</v>
      </c>
      <c r="F17" s="145">
        <v>0</v>
      </c>
      <c r="G17" s="145">
        <v>0</v>
      </c>
      <c r="H17" s="145">
        <v>0</v>
      </c>
      <c r="I17" s="77">
        <f t="shared" si="3"/>
        <v>96.42</v>
      </c>
      <c r="J17" s="123" t="str">
        <f>IFERROR(VLOOKUP($C17,'CEDARS School FRPL'!C:H,4,FALSE),"No")</f>
        <v>No</v>
      </c>
      <c r="K17" s="109"/>
      <c r="L17" s="109"/>
      <c r="M17" s="110">
        <f>IFERROR(VLOOKUP($C17,'CEDARS School FRPL'!C:H,3,FALSE),0)</f>
        <v>0.33346666666666663</v>
      </c>
      <c r="N17" s="123" t="str">
        <f>IFERROR(VLOOKUP(C17,'CEDARS School FRPL'!C:H,6,FALSE),"No")</f>
        <v>No</v>
      </c>
      <c r="O17" s="147"/>
      <c r="P17" s="148"/>
    </row>
    <row r="18" spans="1:16">
      <c r="A18" s="95" t="s">
        <v>2463</v>
      </c>
      <c r="B18" s="95" t="s">
        <v>1562</v>
      </c>
      <c r="C18" s="4">
        <v>2467</v>
      </c>
      <c r="D18" s="95" t="s">
        <v>1563</v>
      </c>
      <c r="E18" s="145">
        <v>693.73</v>
      </c>
      <c r="F18" s="145">
        <v>38.25</v>
      </c>
      <c r="G18" s="145">
        <v>0</v>
      </c>
      <c r="H18" s="145">
        <v>0</v>
      </c>
      <c r="I18" s="77">
        <f t="shared" si="3"/>
        <v>731.98</v>
      </c>
      <c r="J18" s="123" t="str">
        <f>IFERROR(VLOOKUP($C18,'CEDARS School FRPL'!C:H,4,FALSE),"No")</f>
        <v>No</v>
      </c>
      <c r="K18" s="109"/>
      <c r="L18" s="109"/>
      <c r="M18" s="110">
        <f>IFERROR(VLOOKUP($C18,'CEDARS School FRPL'!C:H,3,FALSE),0)</f>
        <v>0.21333333333333335</v>
      </c>
      <c r="N18" s="123" t="str">
        <f>IFERROR(VLOOKUP(C18,'CEDARS School FRPL'!C:H,6,FALSE),"No")</f>
        <v>No</v>
      </c>
      <c r="O18" s="147"/>
      <c r="P18" s="148"/>
    </row>
    <row r="19" spans="1:16">
      <c r="A19" s="95" t="s">
        <v>2463</v>
      </c>
      <c r="B19" s="95" t="s">
        <v>1562</v>
      </c>
      <c r="C19" s="4">
        <v>2707</v>
      </c>
      <c r="D19" s="95" t="s">
        <v>1564</v>
      </c>
      <c r="E19" s="145">
        <v>584.04</v>
      </c>
      <c r="F19" s="145">
        <v>0</v>
      </c>
      <c r="G19" s="145">
        <v>0</v>
      </c>
      <c r="H19" s="145">
        <v>0</v>
      </c>
      <c r="I19" s="77">
        <f t="shared" si="3"/>
        <v>584.04</v>
      </c>
      <c r="J19" s="123" t="str">
        <f>IFERROR(VLOOKUP($C19,'CEDARS School FRPL'!C:H,4,FALSE),"No")</f>
        <v>No</v>
      </c>
      <c r="K19" s="109"/>
      <c r="L19" s="109"/>
      <c r="M19" s="110">
        <f>IFERROR(VLOOKUP($C19,'CEDARS School FRPL'!C:H,3,FALSE),0)</f>
        <v>0.28839999999999999</v>
      </c>
      <c r="N19" s="123" t="str">
        <f>IFERROR(VLOOKUP(C19,'CEDARS School FRPL'!C:H,6,FALSE),"No")</f>
        <v>No</v>
      </c>
      <c r="O19" s="147"/>
      <c r="P19" s="148"/>
    </row>
    <row r="20" spans="1:16">
      <c r="A20" s="95" t="s">
        <v>2463</v>
      </c>
      <c r="B20" s="95" t="s">
        <v>1562</v>
      </c>
      <c r="C20" s="4">
        <v>3057</v>
      </c>
      <c r="D20" s="95" t="s">
        <v>1565</v>
      </c>
      <c r="E20" s="145">
        <v>332.72</v>
      </c>
      <c r="F20" s="145">
        <v>0</v>
      </c>
      <c r="G20" s="145">
        <v>0</v>
      </c>
      <c r="H20" s="145">
        <v>0</v>
      </c>
      <c r="I20" s="77">
        <f t="shared" si="3"/>
        <v>332.72</v>
      </c>
      <c r="J20" s="123" t="str">
        <f>IFERROR(VLOOKUP($C20,'CEDARS School FRPL'!C:H,4,FALSE),"No")</f>
        <v>No</v>
      </c>
      <c r="K20" s="109"/>
      <c r="L20" s="109"/>
      <c r="M20" s="110">
        <f>IFERROR(VLOOKUP($C20,'CEDARS School FRPL'!C:H,3,FALSE),0)</f>
        <v>0.29623333333333335</v>
      </c>
      <c r="N20" s="123" t="str">
        <f>IFERROR(VLOOKUP(C20,'CEDARS School FRPL'!C:H,6,FALSE),"No")</f>
        <v>No</v>
      </c>
      <c r="O20" s="147"/>
      <c r="P20" s="148"/>
    </row>
    <row r="21" spans="1:16">
      <c r="A21" s="95" t="s">
        <v>2463</v>
      </c>
      <c r="B21" s="95" t="s">
        <v>1562</v>
      </c>
      <c r="C21" s="4">
        <v>3182</v>
      </c>
      <c r="D21" s="95" t="s">
        <v>1566</v>
      </c>
      <c r="E21" s="145">
        <v>331.89</v>
      </c>
      <c r="F21" s="145">
        <v>0</v>
      </c>
      <c r="G21" s="145">
        <v>0</v>
      </c>
      <c r="H21" s="145">
        <v>0</v>
      </c>
      <c r="I21" s="77">
        <f t="shared" si="3"/>
        <v>331.89</v>
      </c>
      <c r="J21" s="123" t="str">
        <f>IFERROR(VLOOKUP($C21,'CEDARS School FRPL'!C:H,4,FALSE),"No")</f>
        <v>No</v>
      </c>
      <c r="K21" s="109"/>
      <c r="L21" s="109"/>
      <c r="M21" s="110">
        <f>IFERROR(VLOOKUP($C21,'CEDARS School FRPL'!C:H,3,FALSE),0)</f>
        <v>0.3115666666666666</v>
      </c>
      <c r="N21" s="123" t="str">
        <f>IFERROR(VLOOKUP(C21,'CEDARS School FRPL'!C:H,6,FALSE),"No")</f>
        <v>No</v>
      </c>
      <c r="O21" s="147"/>
      <c r="P21" s="148"/>
    </row>
    <row r="22" spans="1:16">
      <c r="A22" s="95" t="s">
        <v>2463</v>
      </c>
      <c r="B22" s="95" t="s">
        <v>1562</v>
      </c>
      <c r="C22" s="4">
        <v>3252</v>
      </c>
      <c r="D22" s="95" t="s">
        <v>1567</v>
      </c>
      <c r="E22" s="145">
        <v>430.25</v>
      </c>
      <c r="F22" s="145">
        <v>0</v>
      </c>
      <c r="G22" s="145">
        <v>0</v>
      </c>
      <c r="H22" s="145">
        <v>0</v>
      </c>
      <c r="I22" s="77">
        <f t="shared" si="3"/>
        <v>430.25</v>
      </c>
      <c r="J22" s="123" t="str">
        <f>IFERROR(VLOOKUP($C22,'CEDARS School FRPL'!C:H,4,FALSE),"No")</f>
        <v>No</v>
      </c>
      <c r="K22" s="109"/>
      <c r="L22" s="109"/>
      <c r="M22" s="110">
        <f>IFERROR(VLOOKUP($C22,'CEDARS School FRPL'!C:H,3,FALSE),0)</f>
        <v>0.2435333333333333</v>
      </c>
      <c r="N22" s="123" t="str">
        <f>IFERROR(VLOOKUP(C22,'CEDARS School FRPL'!C:H,6,FALSE),"No")</f>
        <v>No</v>
      </c>
      <c r="O22" s="147"/>
      <c r="P22" s="148"/>
    </row>
    <row r="23" spans="1:16">
      <c r="A23" s="95" t="s">
        <v>2463</v>
      </c>
      <c r="B23" s="95" t="s">
        <v>1562</v>
      </c>
      <c r="C23" s="4">
        <v>3404</v>
      </c>
      <c r="D23" s="95" t="s">
        <v>2860</v>
      </c>
      <c r="E23" s="145">
        <v>19.440000000000001</v>
      </c>
      <c r="F23" s="145">
        <v>0</v>
      </c>
      <c r="G23" s="145">
        <v>0</v>
      </c>
      <c r="H23" s="145">
        <v>0</v>
      </c>
      <c r="I23" s="77">
        <f t="shared" si="3"/>
        <v>19.440000000000001</v>
      </c>
      <c r="J23" s="123" t="str">
        <f>IFERROR(VLOOKUP($C23,'CEDARS School FRPL'!C:H,4,FALSE),"No")</f>
        <v>No</v>
      </c>
      <c r="K23" s="109"/>
      <c r="L23" s="109"/>
      <c r="M23" s="110">
        <f>IFERROR(VLOOKUP($C23,'CEDARS School FRPL'!C:H,3,FALSE),0)</f>
        <v>0.22876666666666667</v>
      </c>
      <c r="N23" s="123" t="str">
        <f>IFERROR(VLOOKUP(C23,'CEDARS School FRPL'!C:H,6,FALSE),"No")</f>
        <v>No</v>
      </c>
      <c r="O23" s="147"/>
      <c r="P23" s="148"/>
    </row>
    <row r="24" spans="1:16">
      <c r="A24" s="95" t="s">
        <v>2463</v>
      </c>
      <c r="B24" s="95" t="s">
        <v>1562</v>
      </c>
      <c r="C24" s="4">
        <v>5176</v>
      </c>
      <c r="D24" s="95" t="s">
        <v>1568</v>
      </c>
      <c r="E24" s="145">
        <v>65.78</v>
      </c>
      <c r="F24" s="145">
        <v>0</v>
      </c>
      <c r="G24" s="145">
        <v>0.86</v>
      </c>
      <c r="H24" s="145">
        <v>0</v>
      </c>
      <c r="I24" s="77">
        <f t="shared" si="3"/>
        <v>66.64</v>
      </c>
      <c r="J24" s="123" t="str">
        <f>IFERROR(VLOOKUP($C24,'CEDARS School FRPL'!C:H,4,FALSE),"No")</f>
        <v>Yes</v>
      </c>
      <c r="K24" s="109"/>
      <c r="L24" s="109"/>
      <c r="M24" s="110">
        <f>IFERROR(VLOOKUP($C24,'CEDARS School FRPL'!C:H,3,FALSE),0)</f>
        <v>0.54286666666666672</v>
      </c>
      <c r="N24" s="123" t="str">
        <f>IFERROR(VLOOKUP(C24,'CEDARS School FRPL'!C:H,6,FALSE),"No")</f>
        <v>No</v>
      </c>
      <c r="O24" s="147"/>
      <c r="P24" s="148"/>
    </row>
    <row r="25" spans="1:16">
      <c r="A25" s="95" t="s">
        <v>2463</v>
      </c>
      <c r="B25" s="95" t="s">
        <v>1562</v>
      </c>
      <c r="C25" s="4">
        <v>5588</v>
      </c>
      <c r="D25" s="95" t="s">
        <v>2818</v>
      </c>
      <c r="E25" s="145">
        <v>0</v>
      </c>
      <c r="F25" s="145">
        <v>0</v>
      </c>
      <c r="G25" s="145">
        <v>4.8599999999999994</v>
      </c>
      <c r="H25" s="145">
        <v>0</v>
      </c>
      <c r="I25" s="77">
        <f t="shared" si="3"/>
        <v>4.8599999999999994</v>
      </c>
      <c r="J25" s="123" t="str">
        <f>IFERROR(VLOOKUP($C25,'CEDARS School FRPL'!C:H,4,FALSE),"No")</f>
        <v>No</v>
      </c>
      <c r="K25" s="109"/>
      <c r="L25" s="109"/>
      <c r="M25" s="110">
        <f>IFERROR(VLOOKUP($C25,'CEDARS School FRPL'!C:H,3,FALSE),0)</f>
        <v>0.20833333333333334</v>
      </c>
      <c r="N25" s="123" t="str">
        <f>IFERROR(VLOOKUP(C25,'CEDARS School FRPL'!C:H,6,FALSE),"No")</f>
        <v>No</v>
      </c>
      <c r="O25" s="147"/>
      <c r="P25" s="148"/>
    </row>
    <row r="26" spans="1:16">
      <c r="A26" s="95" t="s">
        <v>2476</v>
      </c>
      <c r="B26" s="95" t="s">
        <v>1681</v>
      </c>
      <c r="C26" s="4">
        <v>1714</v>
      </c>
      <c r="D26" s="95" t="s">
        <v>2861</v>
      </c>
      <c r="E26" s="145">
        <v>223.8</v>
      </c>
      <c r="F26" s="145">
        <v>0</v>
      </c>
      <c r="G26" s="145">
        <v>0</v>
      </c>
      <c r="H26" s="145">
        <v>0</v>
      </c>
      <c r="I26" s="77">
        <f t="shared" si="3"/>
        <v>223.8</v>
      </c>
      <c r="J26" s="123" t="str">
        <f>IFERROR(VLOOKUP($C26,'CEDARS School FRPL'!C:H,4,FALSE),"No")</f>
        <v>No</v>
      </c>
      <c r="K26" s="109"/>
      <c r="L26" s="109"/>
      <c r="M26" s="110">
        <f>IFERROR(VLOOKUP($C26,'CEDARS School FRPL'!C:H,3,FALSE),0)</f>
        <v>0.2888</v>
      </c>
      <c r="N26" s="123" t="str">
        <f>IFERROR(VLOOKUP(C26,'CEDARS School FRPL'!C:H,6,FALSE),"No")</f>
        <v>No</v>
      </c>
      <c r="O26" s="147"/>
      <c r="P26" s="148"/>
    </row>
    <row r="27" spans="1:16">
      <c r="A27" s="95" t="s">
        <v>2476</v>
      </c>
      <c r="B27" s="95" t="s">
        <v>1681</v>
      </c>
      <c r="C27" s="4">
        <v>2523</v>
      </c>
      <c r="D27" s="95" t="s">
        <v>1682</v>
      </c>
      <c r="E27" s="145">
        <v>1514.28</v>
      </c>
      <c r="F27" s="145">
        <v>71.47999999999999</v>
      </c>
      <c r="G27" s="145">
        <v>0</v>
      </c>
      <c r="H27" s="145">
        <v>0</v>
      </c>
      <c r="I27" s="77">
        <f t="shared" si="3"/>
        <v>1585.76</v>
      </c>
      <c r="J27" s="123" t="str">
        <f>IFERROR(VLOOKUP($C27,'CEDARS School FRPL'!C:H,4,FALSE),"No")</f>
        <v>No</v>
      </c>
      <c r="K27" s="109"/>
      <c r="L27" s="109"/>
      <c r="M27" s="110">
        <f>IFERROR(VLOOKUP($C27,'CEDARS School FRPL'!C:H,3,FALSE),0)</f>
        <v>0.29776666666666668</v>
      </c>
      <c r="N27" s="123" t="str">
        <f>IFERROR(VLOOKUP(C27,'CEDARS School FRPL'!C:H,6,FALSE),"No")</f>
        <v>No</v>
      </c>
      <c r="O27" s="147"/>
      <c r="P27" s="148"/>
    </row>
    <row r="28" spans="1:16">
      <c r="A28" s="95" t="s">
        <v>2476</v>
      </c>
      <c r="B28" s="95" t="s">
        <v>1681</v>
      </c>
      <c r="C28" s="4">
        <v>3124</v>
      </c>
      <c r="D28" s="95" t="s">
        <v>1683</v>
      </c>
      <c r="E28" s="145">
        <v>634.29999999999995</v>
      </c>
      <c r="F28" s="145">
        <v>0</v>
      </c>
      <c r="G28" s="145">
        <v>0</v>
      </c>
      <c r="H28" s="145">
        <v>0</v>
      </c>
      <c r="I28" s="77">
        <f t="shared" si="3"/>
        <v>634.29999999999995</v>
      </c>
      <c r="J28" s="123" t="str">
        <f>IFERROR(VLOOKUP($C28,'CEDARS School FRPL'!C:H,4,FALSE),"No")</f>
        <v>No</v>
      </c>
      <c r="K28" s="109"/>
      <c r="L28" s="109"/>
      <c r="M28" s="110">
        <f>IFERROR(VLOOKUP($C28,'CEDARS School FRPL'!C:H,3,FALSE),0)</f>
        <v>0.38586666666666664</v>
      </c>
      <c r="N28" s="123" t="str">
        <f>IFERROR(VLOOKUP(C28,'CEDARS School FRPL'!C:H,6,FALSE),"No")</f>
        <v>No</v>
      </c>
      <c r="O28" s="147"/>
      <c r="P28" s="148"/>
    </row>
    <row r="29" spans="1:16">
      <c r="A29" s="95" t="s">
        <v>2476</v>
      </c>
      <c r="B29" s="95" t="s">
        <v>1681</v>
      </c>
      <c r="C29" s="4">
        <v>4154</v>
      </c>
      <c r="D29" s="95" t="s">
        <v>1684</v>
      </c>
      <c r="E29" s="145">
        <v>480.33</v>
      </c>
      <c r="F29" s="145">
        <v>0</v>
      </c>
      <c r="G29" s="145">
        <v>0</v>
      </c>
      <c r="H29" s="145">
        <v>0</v>
      </c>
      <c r="I29" s="77">
        <f t="shared" si="3"/>
        <v>480.33</v>
      </c>
      <c r="J29" s="123" t="str">
        <f>IFERROR(VLOOKUP($C29,'CEDARS School FRPL'!C:H,4,FALSE),"No")</f>
        <v>No</v>
      </c>
      <c r="K29" s="109"/>
      <c r="L29" s="109"/>
      <c r="M29" s="110">
        <f>IFERROR(VLOOKUP($C29,'CEDARS School FRPL'!C:H,3,FALSE),0)</f>
        <v>0.34066666666666667</v>
      </c>
      <c r="N29" s="123" t="str">
        <f>IFERROR(VLOOKUP(C29,'CEDARS School FRPL'!C:H,6,FALSE),"No")</f>
        <v>No</v>
      </c>
      <c r="O29" s="147"/>
      <c r="P29" s="148"/>
    </row>
    <row r="30" spans="1:16">
      <c r="A30" s="95" t="s">
        <v>2476</v>
      </c>
      <c r="B30" s="95" t="s">
        <v>1681</v>
      </c>
      <c r="C30" s="4">
        <v>4287</v>
      </c>
      <c r="D30" s="95" t="s">
        <v>1685</v>
      </c>
      <c r="E30" s="145">
        <v>93.33</v>
      </c>
      <c r="F30" s="145">
        <v>0</v>
      </c>
      <c r="G30" s="145">
        <v>0</v>
      </c>
      <c r="H30" s="145">
        <v>0</v>
      </c>
      <c r="I30" s="77">
        <f t="shared" si="3"/>
        <v>93.33</v>
      </c>
      <c r="J30" s="123" t="str">
        <f>IFERROR(VLOOKUP($C30,'CEDARS School FRPL'!C:H,4,FALSE),"No")</f>
        <v>No</v>
      </c>
      <c r="K30" s="109"/>
      <c r="L30" s="109"/>
      <c r="M30" s="110">
        <f>IFERROR(VLOOKUP($C30,'CEDARS School FRPL'!C:H,3,FALSE),0)</f>
        <v>0.43906666666666666</v>
      </c>
      <c r="N30" s="123" t="str">
        <f>IFERROR(VLOOKUP(C30,'CEDARS School FRPL'!C:H,6,FALSE),"No")</f>
        <v>No</v>
      </c>
      <c r="O30" s="147"/>
      <c r="P30" s="148"/>
    </row>
    <row r="31" spans="1:16">
      <c r="A31" s="95" t="s">
        <v>2476</v>
      </c>
      <c r="B31" s="95" t="s">
        <v>1681</v>
      </c>
      <c r="C31" s="4">
        <v>4327</v>
      </c>
      <c r="D31" s="95" t="s">
        <v>1686</v>
      </c>
      <c r="E31" s="145">
        <v>616.03</v>
      </c>
      <c r="F31" s="145">
        <v>0</v>
      </c>
      <c r="G31" s="145">
        <v>0</v>
      </c>
      <c r="H31" s="145">
        <v>0</v>
      </c>
      <c r="I31" s="77">
        <f t="shared" si="3"/>
        <v>616.03</v>
      </c>
      <c r="J31" s="123" t="str">
        <f>IFERROR(VLOOKUP($C31,'CEDARS School FRPL'!C:H,4,FALSE),"No")</f>
        <v>No</v>
      </c>
      <c r="K31" s="109"/>
      <c r="L31" s="109"/>
      <c r="M31" s="110">
        <f>IFERROR(VLOOKUP($C31,'CEDARS School FRPL'!C:H,3,FALSE),0)</f>
        <v>0.37836666666666668</v>
      </c>
      <c r="N31" s="123" t="str">
        <f>IFERROR(VLOOKUP(C31,'CEDARS School FRPL'!C:H,6,FALSE),"No")</f>
        <v>No</v>
      </c>
      <c r="O31" s="147"/>
      <c r="P31" s="148"/>
    </row>
    <row r="32" spans="1:16">
      <c r="A32" s="95" t="s">
        <v>2476</v>
      </c>
      <c r="B32" s="95" t="s">
        <v>1681</v>
      </c>
      <c r="C32" s="4">
        <v>4436</v>
      </c>
      <c r="D32" s="95" t="s">
        <v>1687</v>
      </c>
      <c r="E32" s="145">
        <v>596.72</v>
      </c>
      <c r="F32" s="145">
        <v>0</v>
      </c>
      <c r="G32" s="145">
        <v>0</v>
      </c>
      <c r="H32" s="145">
        <v>0</v>
      </c>
      <c r="I32" s="77">
        <f t="shared" si="3"/>
        <v>596.72</v>
      </c>
      <c r="J32" s="123" t="str">
        <f>IFERROR(VLOOKUP($C32,'CEDARS School FRPL'!C:H,4,FALSE),"No")</f>
        <v>No</v>
      </c>
      <c r="K32" s="109"/>
      <c r="L32" s="109"/>
      <c r="M32" s="110">
        <f>IFERROR(VLOOKUP($C32,'CEDARS School FRPL'!C:H,3,FALSE),0)</f>
        <v>0.37333333333333329</v>
      </c>
      <c r="N32" s="123" t="str">
        <f>IFERROR(VLOOKUP(C32,'CEDARS School FRPL'!C:H,6,FALSE),"No")</f>
        <v>No</v>
      </c>
      <c r="O32" s="147"/>
      <c r="P32" s="148"/>
    </row>
    <row r="33" spans="1:16">
      <c r="A33" s="95" t="s">
        <v>2476</v>
      </c>
      <c r="B33" s="95" t="s">
        <v>1681</v>
      </c>
      <c r="C33" s="4">
        <v>4573</v>
      </c>
      <c r="D33" s="95" t="s">
        <v>416</v>
      </c>
      <c r="E33" s="145">
        <v>501.31</v>
      </c>
      <c r="F33" s="145">
        <v>0</v>
      </c>
      <c r="G33" s="145">
        <v>0</v>
      </c>
      <c r="H33" s="145">
        <v>0</v>
      </c>
      <c r="I33" s="77">
        <f t="shared" si="3"/>
        <v>501.31</v>
      </c>
      <c r="J33" s="123" t="str">
        <f>IFERROR(VLOOKUP($C33,'CEDARS School FRPL'!C:H,4,FALSE),"No")</f>
        <v>No</v>
      </c>
      <c r="K33" s="109"/>
      <c r="L33" s="109"/>
      <c r="M33" s="110">
        <f>IFERROR(VLOOKUP($C33,'CEDARS School FRPL'!C:H,3,FALSE),0)</f>
        <v>0.28983333333333333</v>
      </c>
      <c r="N33" s="123" t="str">
        <f>IFERROR(VLOOKUP(C33,'CEDARS School FRPL'!C:H,6,FALSE),"No")</f>
        <v>No</v>
      </c>
      <c r="O33" s="147"/>
      <c r="P33" s="148"/>
    </row>
    <row r="34" spans="1:16">
      <c r="A34" s="95" t="s">
        <v>2476</v>
      </c>
      <c r="B34" s="95" t="s">
        <v>1681</v>
      </c>
      <c r="C34" s="4">
        <v>5010</v>
      </c>
      <c r="D34" s="95" t="s">
        <v>1688</v>
      </c>
      <c r="E34" s="145">
        <v>576.72</v>
      </c>
      <c r="F34" s="145">
        <v>0</v>
      </c>
      <c r="G34" s="145">
        <v>0</v>
      </c>
      <c r="H34" s="145">
        <v>0</v>
      </c>
      <c r="I34" s="77">
        <f t="shared" si="3"/>
        <v>576.72</v>
      </c>
      <c r="J34" s="123" t="str">
        <f>IFERROR(VLOOKUP($C34,'CEDARS School FRPL'!C:H,4,FALSE),"No")</f>
        <v>No</v>
      </c>
      <c r="K34" s="109"/>
      <c r="L34" s="109"/>
      <c r="M34" s="110">
        <f>IFERROR(VLOOKUP($C34,'CEDARS School FRPL'!C:H,3,FALSE),0)</f>
        <v>0.33116666666666666</v>
      </c>
      <c r="N34" s="123" t="str">
        <f>IFERROR(VLOOKUP(C34,'CEDARS School FRPL'!C:H,6,FALSE),"No")</f>
        <v>No</v>
      </c>
      <c r="O34" s="147"/>
      <c r="P34" s="148"/>
    </row>
    <row r="35" spans="1:16">
      <c r="A35" s="95" t="s">
        <v>2476</v>
      </c>
      <c r="B35" s="95" t="s">
        <v>1681</v>
      </c>
      <c r="C35" s="4">
        <v>5495</v>
      </c>
      <c r="D35" s="95" t="s">
        <v>2712</v>
      </c>
      <c r="E35" s="145">
        <v>0</v>
      </c>
      <c r="F35" s="145">
        <v>0</v>
      </c>
      <c r="G35" s="145">
        <v>35</v>
      </c>
      <c r="H35" s="145">
        <v>0</v>
      </c>
      <c r="I35" s="77">
        <f t="shared" si="3"/>
        <v>35</v>
      </c>
      <c r="J35" s="123" t="str">
        <f>IFERROR(VLOOKUP($C35,'CEDARS School FRPL'!C:H,4,FALSE),"No")</f>
        <v>No</v>
      </c>
      <c r="K35" s="109"/>
      <c r="L35" s="109"/>
      <c r="M35" s="110">
        <f>IFERROR(VLOOKUP($C35,'CEDARS School FRPL'!C:H,3,FALSE),0)</f>
        <v>0.48896666666666661</v>
      </c>
      <c r="N35" s="123" t="str">
        <f>IFERROR(VLOOKUP(C35,'CEDARS School FRPL'!C:H,6,FALSE),"No")</f>
        <v>No</v>
      </c>
      <c r="O35" s="147"/>
      <c r="P35" s="148"/>
    </row>
    <row r="36" spans="1:16">
      <c r="A36" s="95" t="s">
        <v>2263</v>
      </c>
      <c r="B36" s="95" t="s">
        <v>30</v>
      </c>
      <c r="C36" s="4">
        <v>2434</v>
      </c>
      <c r="D36" s="95" t="s">
        <v>31</v>
      </c>
      <c r="E36" s="145">
        <v>299.88</v>
      </c>
      <c r="F36" s="145">
        <v>13.78</v>
      </c>
      <c r="G36" s="145">
        <v>0</v>
      </c>
      <c r="H36" s="145">
        <v>0</v>
      </c>
      <c r="I36" s="77">
        <f t="shared" si="3"/>
        <v>313.65999999999997</v>
      </c>
      <c r="J36" s="123" t="str">
        <f>IFERROR(VLOOKUP($C36,'CEDARS School FRPL'!C:H,4,FALSE),"No")</f>
        <v>No</v>
      </c>
      <c r="K36" s="109"/>
      <c r="L36" s="109"/>
      <c r="M36" s="110">
        <f>IFERROR(VLOOKUP($C36,'CEDARS School FRPL'!C:H,3,FALSE),0)</f>
        <v>0.2923</v>
      </c>
      <c r="N36" s="123" t="str">
        <f>IFERROR(VLOOKUP(C36,'CEDARS School FRPL'!C:H,6,FALSE),"No")</f>
        <v>No</v>
      </c>
      <c r="O36" s="147"/>
      <c r="P36" s="148"/>
    </row>
    <row r="37" spans="1:16">
      <c r="A37" s="95" t="s">
        <v>2263</v>
      </c>
      <c r="B37" s="95" t="s">
        <v>30</v>
      </c>
      <c r="C37" s="4">
        <v>2507</v>
      </c>
      <c r="D37" s="95" t="s">
        <v>32</v>
      </c>
      <c r="E37" s="145">
        <v>294.2</v>
      </c>
      <c r="F37" s="145">
        <v>0</v>
      </c>
      <c r="G37" s="145">
        <v>0</v>
      </c>
      <c r="H37" s="145">
        <v>0</v>
      </c>
      <c r="I37" s="77">
        <f t="shared" si="3"/>
        <v>294.2</v>
      </c>
      <c r="J37" s="123" t="str">
        <f>IFERROR(VLOOKUP($C37,'CEDARS School FRPL'!C:H,4,FALSE),"No")</f>
        <v>No</v>
      </c>
      <c r="K37" s="109"/>
      <c r="L37" s="109"/>
      <c r="M37" s="110">
        <f>IFERROR(VLOOKUP($C37,'CEDARS School FRPL'!C:H,3,FALSE),0)</f>
        <v>0.3459666666666667</v>
      </c>
      <c r="N37" s="123" t="str">
        <f>IFERROR(VLOOKUP(C37,'CEDARS School FRPL'!C:H,6,FALSE),"No")</f>
        <v>No</v>
      </c>
      <c r="O37" s="147"/>
      <c r="P37" s="148"/>
    </row>
    <row r="38" spans="1:16">
      <c r="A38" s="95" t="s">
        <v>2359</v>
      </c>
      <c r="B38" s="95" t="s">
        <v>808</v>
      </c>
      <c r="C38" s="4">
        <v>2326</v>
      </c>
      <c r="D38" s="95" t="s">
        <v>40</v>
      </c>
      <c r="E38" s="145">
        <v>454.43</v>
      </c>
      <c r="F38" s="145">
        <v>0</v>
      </c>
      <c r="G38" s="145">
        <v>0</v>
      </c>
      <c r="H38" s="145">
        <v>0</v>
      </c>
      <c r="I38" s="77">
        <f t="shared" si="3"/>
        <v>454.43</v>
      </c>
      <c r="J38" s="123" t="str">
        <f>IFERROR(VLOOKUP($C38,'CEDARS School FRPL'!C:H,4,FALSE),"No")</f>
        <v>Yes</v>
      </c>
      <c r="K38" s="109"/>
      <c r="L38" s="109"/>
      <c r="M38" s="110">
        <f>IFERROR(VLOOKUP($C38,'CEDARS School FRPL'!C:H,3,FALSE),0)</f>
        <v>0.72906666666666664</v>
      </c>
      <c r="N38" s="123" t="str">
        <f>IFERROR(VLOOKUP(C38,'CEDARS School FRPL'!C:H,6,FALSE),"No")</f>
        <v>No</v>
      </c>
      <c r="O38" s="147"/>
      <c r="P38" s="148"/>
    </row>
    <row r="39" spans="1:16">
      <c r="A39" s="95" t="s">
        <v>2359</v>
      </c>
      <c r="B39" s="95" t="s">
        <v>808</v>
      </c>
      <c r="C39" s="4">
        <v>2394</v>
      </c>
      <c r="D39" s="95" t="s">
        <v>231</v>
      </c>
      <c r="E39" s="145">
        <v>881.49</v>
      </c>
      <c r="F39" s="145">
        <v>0</v>
      </c>
      <c r="G39" s="145">
        <v>0</v>
      </c>
      <c r="H39" s="145">
        <v>0</v>
      </c>
      <c r="I39" s="77">
        <f t="shared" si="3"/>
        <v>881.49</v>
      </c>
      <c r="J39" s="123" t="str">
        <f>IFERROR(VLOOKUP($C39,'CEDARS School FRPL'!C:H,4,FALSE),"No")</f>
        <v>Yes</v>
      </c>
      <c r="K39" s="109"/>
      <c r="L39" s="109"/>
      <c r="M39" s="110">
        <f>IFERROR(VLOOKUP($C39,'CEDARS School FRPL'!C:H,3,FALSE),0)</f>
        <v>0.61659999999999993</v>
      </c>
      <c r="N39" s="123" t="str">
        <f>IFERROR(VLOOKUP(C39,'CEDARS School FRPL'!C:H,6,FALSE),"No")</f>
        <v>No</v>
      </c>
      <c r="O39" s="147"/>
      <c r="P39" s="148"/>
    </row>
    <row r="40" spans="1:16">
      <c r="A40" s="95" t="s">
        <v>2359</v>
      </c>
      <c r="B40" s="95" t="s">
        <v>808</v>
      </c>
      <c r="C40" s="4">
        <v>2659</v>
      </c>
      <c r="D40" s="95" t="s">
        <v>809</v>
      </c>
      <c r="E40" s="145">
        <v>366.43</v>
      </c>
      <c r="F40" s="145">
        <v>0</v>
      </c>
      <c r="G40" s="145">
        <v>0</v>
      </c>
      <c r="H40" s="145">
        <v>0</v>
      </c>
      <c r="I40" s="77">
        <f t="shared" si="3"/>
        <v>366.43</v>
      </c>
      <c r="J40" s="123" t="str">
        <f>IFERROR(VLOOKUP($C40,'CEDARS School FRPL'!C:H,4,FALSE),"No")</f>
        <v>Yes</v>
      </c>
      <c r="K40" s="109"/>
      <c r="L40" s="109"/>
      <c r="M40" s="110">
        <f>IFERROR(VLOOKUP($C40,'CEDARS School FRPL'!C:H,3,FALSE),0)</f>
        <v>0.6427666666666666</v>
      </c>
      <c r="N40" s="123" t="str">
        <f>IFERROR(VLOOKUP(C40,'CEDARS School FRPL'!C:H,6,FALSE),"No")</f>
        <v>No</v>
      </c>
      <c r="O40" s="147"/>
      <c r="P40" s="148"/>
    </row>
    <row r="41" spans="1:16">
      <c r="A41" s="95" t="s">
        <v>2359</v>
      </c>
      <c r="B41" s="95" t="s">
        <v>808</v>
      </c>
      <c r="C41" s="4">
        <v>2702</v>
      </c>
      <c r="D41" s="95" t="s">
        <v>810</v>
      </c>
      <c r="E41" s="145">
        <v>149.94</v>
      </c>
      <c r="F41" s="145">
        <v>0.45</v>
      </c>
      <c r="G41" s="145">
        <v>56.79</v>
      </c>
      <c r="H41" s="145">
        <v>0</v>
      </c>
      <c r="I41" s="77">
        <f t="shared" si="3"/>
        <v>207.17999999999998</v>
      </c>
      <c r="J41" s="123" t="str">
        <f>IFERROR(VLOOKUP($C41,'CEDARS School FRPL'!C:H,4,FALSE),"No")</f>
        <v>Yes</v>
      </c>
      <c r="K41" s="109"/>
      <c r="L41" s="109"/>
      <c r="M41" s="110">
        <f>IFERROR(VLOOKUP($C41,'CEDARS School FRPL'!C:H,3,FALSE),0)</f>
        <v>0.73366666666666669</v>
      </c>
      <c r="N41" s="123" t="str">
        <f>IFERROR(VLOOKUP(C41,'CEDARS School FRPL'!C:H,6,FALSE),"No")</f>
        <v>No</v>
      </c>
      <c r="O41" s="147"/>
      <c r="P41" s="148"/>
    </row>
    <row r="42" spans="1:16">
      <c r="A42" s="95" t="s">
        <v>2359</v>
      </c>
      <c r="B42" s="95" t="s">
        <v>808</v>
      </c>
      <c r="C42" s="4">
        <v>2795</v>
      </c>
      <c r="D42" s="95" t="s">
        <v>811</v>
      </c>
      <c r="E42" s="145">
        <v>1617.41</v>
      </c>
      <c r="F42" s="145">
        <v>94.47</v>
      </c>
      <c r="G42" s="145">
        <v>0</v>
      </c>
      <c r="H42" s="145">
        <v>0</v>
      </c>
      <c r="I42" s="77">
        <f t="shared" si="3"/>
        <v>1711.88</v>
      </c>
      <c r="J42" s="123" t="str">
        <f>IFERROR(VLOOKUP($C42,'CEDARS School FRPL'!C:H,4,FALSE),"No")</f>
        <v>Yes</v>
      </c>
      <c r="K42" s="109"/>
      <c r="L42" s="109"/>
      <c r="M42" s="110">
        <f>IFERROR(VLOOKUP($C42,'CEDARS School FRPL'!C:H,3,FALSE),0)</f>
        <v>0.60333333333333339</v>
      </c>
      <c r="N42" s="123" t="str">
        <f>IFERROR(VLOOKUP(C42,'CEDARS School FRPL'!C:H,6,FALSE),"No")</f>
        <v>No</v>
      </c>
      <c r="O42" s="147"/>
      <c r="P42" s="148"/>
    </row>
    <row r="43" spans="1:16">
      <c r="A43" s="95" t="s">
        <v>2359</v>
      </c>
      <c r="B43" s="95" t="s">
        <v>808</v>
      </c>
      <c r="C43" s="4">
        <v>2932</v>
      </c>
      <c r="D43" s="95" t="s">
        <v>812</v>
      </c>
      <c r="E43" s="145">
        <v>669.57</v>
      </c>
      <c r="F43" s="145">
        <v>0</v>
      </c>
      <c r="G43" s="145">
        <v>0</v>
      </c>
      <c r="H43" s="145">
        <v>0</v>
      </c>
      <c r="I43" s="77">
        <f t="shared" si="3"/>
        <v>669.57</v>
      </c>
      <c r="J43" s="123" t="str">
        <f>IFERROR(VLOOKUP($C43,'CEDARS School FRPL'!C:H,4,FALSE),"No")</f>
        <v>Yes</v>
      </c>
      <c r="K43" s="109"/>
      <c r="L43" s="109"/>
      <c r="M43" s="110">
        <f>IFERROR(VLOOKUP($C43,'CEDARS School FRPL'!C:H,3,FALSE),0)</f>
        <v>0.77599999999999991</v>
      </c>
      <c r="N43" s="123" t="str">
        <f>IFERROR(VLOOKUP(C43,'CEDARS School FRPL'!C:H,6,FALSE),"No")</f>
        <v>No</v>
      </c>
      <c r="O43" s="147"/>
      <c r="P43" s="148"/>
    </row>
    <row r="44" spans="1:16">
      <c r="A44" s="95" t="s">
        <v>2359</v>
      </c>
      <c r="B44" s="95" t="s">
        <v>808</v>
      </c>
      <c r="C44" s="4">
        <v>3169</v>
      </c>
      <c r="D44" s="95" t="s">
        <v>813</v>
      </c>
      <c r="E44" s="145">
        <v>900.27</v>
      </c>
      <c r="F44" s="145">
        <v>0</v>
      </c>
      <c r="G44" s="145">
        <v>0</v>
      </c>
      <c r="H44" s="145">
        <v>0</v>
      </c>
      <c r="I44" s="77">
        <f t="shared" si="3"/>
        <v>900.27</v>
      </c>
      <c r="J44" s="123" t="str">
        <f>IFERROR(VLOOKUP($C44,'CEDARS School FRPL'!C:H,4,FALSE),"No")</f>
        <v>Yes</v>
      </c>
      <c r="K44" s="109"/>
      <c r="L44" s="109"/>
      <c r="M44" s="110">
        <f>IFERROR(VLOOKUP($C44,'CEDARS School FRPL'!C:H,3,FALSE),0)</f>
        <v>0.71623333333333328</v>
      </c>
      <c r="N44" s="123" t="str">
        <f>IFERROR(VLOOKUP(C44,'CEDARS School FRPL'!C:H,6,FALSE),"No")</f>
        <v>No</v>
      </c>
      <c r="O44" s="147"/>
      <c r="P44" s="148"/>
    </row>
    <row r="45" spans="1:16">
      <c r="A45" s="95" t="s">
        <v>2359</v>
      </c>
      <c r="B45" s="95" t="s">
        <v>808</v>
      </c>
      <c r="C45" s="4">
        <v>3227</v>
      </c>
      <c r="D45" s="95" t="s">
        <v>244</v>
      </c>
      <c r="E45" s="145">
        <v>487.91</v>
      </c>
      <c r="F45" s="145">
        <v>0</v>
      </c>
      <c r="G45" s="145">
        <v>0</v>
      </c>
      <c r="H45" s="145">
        <v>0</v>
      </c>
      <c r="I45" s="77">
        <f t="shared" si="3"/>
        <v>487.91</v>
      </c>
      <c r="J45" s="123" t="str">
        <f>IFERROR(VLOOKUP($C45,'CEDARS School FRPL'!C:H,4,FALSE),"No")</f>
        <v>Yes</v>
      </c>
      <c r="K45" s="109"/>
      <c r="L45" s="109"/>
      <c r="M45" s="110">
        <f>IFERROR(VLOOKUP($C45,'CEDARS School FRPL'!C:H,3,FALSE),0)</f>
        <v>0.77250000000000008</v>
      </c>
      <c r="N45" s="123" t="str">
        <f>IFERROR(VLOOKUP(C45,'CEDARS School FRPL'!C:H,6,FALSE),"No")</f>
        <v>No</v>
      </c>
      <c r="O45" s="147"/>
      <c r="P45" s="148"/>
    </row>
    <row r="46" spans="1:16">
      <c r="A46" s="95" t="s">
        <v>2359</v>
      </c>
      <c r="B46" s="95" t="s">
        <v>808</v>
      </c>
      <c r="C46" s="4">
        <v>3439</v>
      </c>
      <c r="D46" s="95" t="s">
        <v>194</v>
      </c>
      <c r="E46" s="145">
        <v>419.79</v>
      </c>
      <c r="F46" s="145">
        <v>0</v>
      </c>
      <c r="G46" s="145">
        <v>0</v>
      </c>
      <c r="H46" s="145">
        <v>0</v>
      </c>
      <c r="I46" s="77">
        <f t="shared" si="3"/>
        <v>419.79</v>
      </c>
      <c r="J46" s="123" t="str">
        <f>IFERROR(VLOOKUP($C46,'CEDARS School FRPL'!C:H,4,FALSE),"No")</f>
        <v>Yes</v>
      </c>
      <c r="K46" s="109"/>
      <c r="L46" s="109"/>
      <c r="M46" s="110">
        <f>IFERROR(VLOOKUP($C46,'CEDARS School FRPL'!C:H,3,FALSE),0)</f>
        <v>0.69333333333333336</v>
      </c>
      <c r="N46" s="123" t="str">
        <f>IFERROR(VLOOKUP(C46,'CEDARS School FRPL'!C:H,6,FALSE),"No")</f>
        <v>No</v>
      </c>
      <c r="O46" s="147"/>
      <c r="P46" s="148"/>
    </row>
    <row r="47" spans="1:16">
      <c r="A47" s="95" t="s">
        <v>2359</v>
      </c>
      <c r="B47" s="95" t="s">
        <v>808</v>
      </c>
      <c r="C47" s="4">
        <v>3525</v>
      </c>
      <c r="D47" s="95" t="s">
        <v>814</v>
      </c>
      <c r="E47" s="145">
        <v>573.57000000000005</v>
      </c>
      <c r="F47" s="145">
        <v>0</v>
      </c>
      <c r="G47" s="145">
        <v>0</v>
      </c>
      <c r="H47" s="145">
        <v>0</v>
      </c>
      <c r="I47" s="77">
        <f t="shared" si="3"/>
        <v>573.57000000000005</v>
      </c>
      <c r="J47" s="123" t="str">
        <f>IFERROR(VLOOKUP($C47,'CEDARS School FRPL'!C:H,4,FALSE),"No")</f>
        <v>Yes</v>
      </c>
      <c r="K47" s="109"/>
      <c r="L47" s="109"/>
      <c r="M47" s="110">
        <f>IFERROR(VLOOKUP($C47,'CEDARS School FRPL'!C:H,3,FALSE),0)</f>
        <v>0.7219000000000001</v>
      </c>
      <c r="N47" s="123" t="str">
        <f>IFERROR(VLOOKUP(C47,'CEDARS School FRPL'!C:H,6,FALSE),"No")</f>
        <v>No</v>
      </c>
      <c r="O47" s="147"/>
      <c r="P47" s="148"/>
    </row>
    <row r="48" spans="1:16">
      <c r="A48" s="95" t="s">
        <v>2359</v>
      </c>
      <c r="B48" s="95" t="s">
        <v>808</v>
      </c>
      <c r="C48" s="4">
        <v>3669</v>
      </c>
      <c r="D48" s="95" t="s">
        <v>815</v>
      </c>
      <c r="E48" s="145">
        <v>355.05</v>
      </c>
      <c r="F48" s="145">
        <v>0</v>
      </c>
      <c r="G48" s="145">
        <v>0</v>
      </c>
      <c r="H48" s="145">
        <v>0</v>
      </c>
      <c r="I48" s="77">
        <f t="shared" si="3"/>
        <v>355.05</v>
      </c>
      <c r="J48" s="123" t="str">
        <f>IFERROR(VLOOKUP($C48,'CEDARS School FRPL'!C:H,4,FALSE),"No")</f>
        <v>Yes</v>
      </c>
      <c r="K48" s="109"/>
      <c r="L48" s="109"/>
      <c r="M48" s="110">
        <f>IFERROR(VLOOKUP($C48,'CEDARS School FRPL'!C:H,3,FALSE),0)</f>
        <v>0.75013333333333332</v>
      </c>
      <c r="N48" s="123" t="str">
        <f>IFERROR(VLOOKUP(C48,'CEDARS School FRPL'!C:H,6,FALSE),"No")</f>
        <v>No</v>
      </c>
      <c r="O48" s="147"/>
      <c r="P48" s="148"/>
    </row>
    <row r="49" spans="1:16">
      <c r="A49" s="95" t="s">
        <v>2359</v>
      </c>
      <c r="B49" s="95" t="s">
        <v>808</v>
      </c>
      <c r="C49" s="4">
        <v>3745</v>
      </c>
      <c r="D49" s="95" t="s">
        <v>816</v>
      </c>
      <c r="E49" s="145">
        <v>495.86</v>
      </c>
      <c r="F49" s="145">
        <v>0</v>
      </c>
      <c r="G49" s="145">
        <v>0</v>
      </c>
      <c r="H49" s="145">
        <v>0</v>
      </c>
      <c r="I49" s="77">
        <f t="shared" si="3"/>
        <v>495.86</v>
      </c>
      <c r="J49" s="123" t="str">
        <f>IFERROR(VLOOKUP($C49,'CEDARS School FRPL'!C:H,4,FALSE),"No")</f>
        <v>No</v>
      </c>
      <c r="K49" s="109"/>
      <c r="L49" s="109"/>
      <c r="M49" s="110">
        <f>IFERROR(VLOOKUP($C49,'CEDARS School FRPL'!C:H,3,FALSE),0)</f>
        <v>0.45229999999999998</v>
      </c>
      <c r="N49" s="123" t="str">
        <f>IFERROR(VLOOKUP(C49,'CEDARS School FRPL'!C:H,6,FALSE),"No")</f>
        <v>No</v>
      </c>
      <c r="O49" s="147"/>
      <c r="P49" s="148"/>
    </row>
    <row r="50" spans="1:16">
      <c r="A50" s="95" t="s">
        <v>2359</v>
      </c>
      <c r="B50" s="95" t="s">
        <v>808</v>
      </c>
      <c r="C50" s="4">
        <v>3825</v>
      </c>
      <c r="D50" s="95" t="s">
        <v>817</v>
      </c>
      <c r="E50" s="145">
        <v>550.14</v>
      </c>
      <c r="F50" s="145">
        <v>0</v>
      </c>
      <c r="G50" s="145">
        <v>0</v>
      </c>
      <c r="H50" s="145">
        <v>0</v>
      </c>
      <c r="I50" s="77">
        <f t="shared" si="3"/>
        <v>550.14</v>
      </c>
      <c r="J50" s="123" t="str">
        <f>IFERROR(VLOOKUP($C50,'CEDARS School FRPL'!C:H,4,FALSE),"No")</f>
        <v>Yes</v>
      </c>
      <c r="K50" s="109"/>
      <c r="L50" s="109"/>
      <c r="M50" s="110">
        <f>IFERROR(VLOOKUP($C50,'CEDARS School FRPL'!C:H,3,FALSE),0)</f>
        <v>0.58740000000000003</v>
      </c>
      <c r="N50" s="123" t="str">
        <f>IFERROR(VLOOKUP(C50,'CEDARS School FRPL'!C:H,6,FALSE),"No")</f>
        <v>No</v>
      </c>
      <c r="O50" s="147"/>
      <c r="P50" s="148"/>
    </row>
    <row r="51" spans="1:16">
      <c r="A51" s="95" t="s">
        <v>2359</v>
      </c>
      <c r="B51" s="95" t="s">
        <v>808</v>
      </c>
      <c r="C51" s="4">
        <v>4120</v>
      </c>
      <c r="D51" s="95" t="s">
        <v>818</v>
      </c>
      <c r="E51" s="145">
        <v>409.57</v>
      </c>
      <c r="F51" s="145">
        <v>0</v>
      </c>
      <c r="G51" s="145">
        <v>0</v>
      </c>
      <c r="H51" s="145">
        <v>0</v>
      </c>
      <c r="I51" s="77">
        <f t="shared" si="3"/>
        <v>409.57</v>
      </c>
      <c r="J51" s="123" t="str">
        <f>IFERROR(VLOOKUP($C51,'CEDARS School FRPL'!C:H,4,FALSE),"No")</f>
        <v>No</v>
      </c>
      <c r="K51" s="109"/>
      <c r="L51" s="109"/>
      <c r="M51" s="110">
        <f>IFERROR(VLOOKUP($C51,'CEDARS School FRPL'!C:H,3,FALSE),0)</f>
        <v>0.39083333333333331</v>
      </c>
      <c r="N51" s="123" t="str">
        <f>IFERROR(VLOOKUP(C51,'CEDARS School FRPL'!C:H,6,FALSE),"No")</f>
        <v>No</v>
      </c>
      <c r="O51" s="147"/>
      <c r="P51" s="148"/>
    </row>
    <row r="52" spans="1:16">
      <c r="A52" s="95" t="s">
        <v>2359</v>
      </c>
      <c r="B52" s="95" t="s">
        <v>808</v>
      </c>
      <c r="C52" s="4">
        <v>4347</v>
      </c>
      <c r="D52" s="95" t="s">
        <v>747</v>
      </c>
      <c r="E52" s="145">
        <v>511.39</v>
      </c>
      <c r="F52" s="145">
        <v>0</v>
      </c>
      <c r="G52" s="145">
        <v>0</v>
      </c>
      <c r="H52" s="145">
        <v>0</v>
      </c>
      <c r="I52" s="77">
        <f t="shared" si="3"/>
        <v>511.39</v>
      </c>
      <c r="J52" s="123" t="str">
        <f>IFERROR(VLOOKUP($C52,'CEDARS School FRPL'!C:H,4,FALSE),"No")</f>
        <v>No</v>
      </c>
      <c r="K52" s="109"/>
      <c r="L52" s="109"/>
      <c r="M52" s="110">
        <f>IFERROR(VLOOKUP($C52,'CEDARS School FRPL'!C:H,3,FALSE),0)</f>
        <v>0.43359999999999999</v>
      </c>
      <c r="N52" s="123" t="str">
        <f>IFERROR(VLOOKUP(C52,'CEDARS School FRPL'!C:H,6,FALSE),"No")</f>
        <v>No</v>
      </c>
      <c r="O52" s="147"/>
      <c r="P52" s="148"/>
    </row>
    <row r="53" spans="1:16">
      <c r="A53" s="95" t="s">
        <v>2359</v>
      </c>
      <c r="B53" s="95" t="s">
        <v>808</v>
      </c>
      <c r="C53" s="4">
        <v>4385</v>
      </c>
      <c r="D53" s="95" t="s">
        <v>819</v>
      </c>
      <c r="E53" s="145">
        <v>958.84</v>
      </c>
      <c r="F53" s="145">
        <v>0</v>
      </c>
      <c r="G53" s="145">
        <v>0</v>
      </c>
      <c r="H53" s="145">
        <v>0</v>
      </c>
      <c r="I53" s="77">
        <f t="shared" si="3"/>
        <v>958.84</v>
      </c>
      <c r="J53" s="123" t="str">
        <f>IFERROR(VLOOKUP($C53,'CEDARS School FRPL'!C:H,4,FALSE),"No")</f>
        <v>Yes</v>
      </c>
      <c r="K53" s="109"/>
      <c r="L53" s="109"/>
      <c r="M53" s="110">
        <f>IFERROR(VLOOKUP($C53,'CEDARS School FRPL'!C:H,3,FALSE),0)</f>
        <v>0.5567333333333333</v>
      </c>
      <c r="N53" s="123" t="str">
        <f>IFERROR(VLOOKUP(C53,'CEDARS School FRPL'!C:H,6,FALSE),"No")</f>
        <v>No</v>
      </c>
      <c r="O53" s="147"/>
      <c r="P53" s="148"/>
    </row>
    <row r="54" spans="1:16">
      <c r="A54" s="95" t="s">
        <v>2359</v>
      </c>
      <c r="B54" s="95" t="s">
        <v>808</v>
      </c>
      <c r="C54" s="4">
        <v>4417</v>
      </c>
      <c r="D54" s="95" t="s">
        <v>820</v>
      </c>
      <c r="E54" s="145">
        <v>441.17</v>
      </c>
      <c r="F54" s="145">
        <v>0</v>
      </c>
      <c r="G54" s="145">
        <v>0</v>
      </c>
      <c r="H54" s="145">
        <v>0</v>
      </c>
      <c r="I54" s="77">
        <f t="shared" si="3"/>
        <v>441.17</v>
      </c>
      <c r="J54" s="123" t="str">
        <f>IFERROR(VLOOKUP($C54,'CEDARS School FRPL'!C:H,4,FALSE),"No")</f>
        <v>Yes</v>
      </c>
      <c r="K54" s="109"/>
      <c r="L54" s="109"/>
      <c r="M54" s="110">
        <f>IFERROR(VLOOKUP($C54,'CEDARS School FRPL'!C:H,3,FALSE),0)</f>
        <v>0.53846666666666676</v>
      </c>
      <c r="N54" s="123" t="str">
        <f>IFERROR(VLOOKUP(C54,'CEDARS School FRPL'!C:H,6,FALSE),"No")</f>
        <v>No</v>
      </c>
      <c r="O54" s="147"/>
      <c r="P54" s="148"/>
    </row>
    <row r="55" spans="1:16">
      <c r="A55" s="95" t="s">
        <v>2359</v>
      </c>
      <c r="B55" s="95" t="s">
        <v>808</v>
      </c>
      <c r="C55" s="4">
        <v>4462</v>
      </c>
      <c r="D55" s="95" t="s">
        <v>821</v>
      </c>
      <c r="E55" s="145">
        <v>938.1</v>
      </c>
      <c r="F55" s="145">
        <v>0</v>
      </c>
      <c r="G55" s="145">
        <v>0</v>
      </c>
      <c r="H55" s="145">
        <v>0</v>
      </c>
      <c r="I55" s="77">
        <f t="shared" si="3"/>
        <v>938.1</v>
      </c>
      <c r="J55" s="123" t="str">
        <f>IFERROR(VLOOKUP($C55,'CEDARS School FRPL'!C:H,4,FALSE),"No")</f>
        <v>Yes</v>
      </c>
      <c r="K55" s="109"/>
      <c r="L55" s="109"/>
      <c r="M55" s="110">
        <f>IFERROR(VLOOKUP($C55,'CEDARS School FRPL'!C:H,3,FALSE),0)</f>
        <v>0.50949999999999995</v>
      </c>
      <c r="N55" s="123" t="str">
        <f>IFERROR(VLOOKUP(C55,'CEDARS School FRPL'!C:H,6,FALSE),"No")</f>
        <v>No</v>
      </c>
      <c r="O55" s="147"/>
      <c r="P55" s="148"/>
    </row>
    <row r="56" spans="1:16">
      <c r="A56" s="95" t="s">
        <v>2359</v>
      </c>
      <c r="B56" s="95" t="s">
        <v>808</v>
      </c>
      <c r="C56" s="4">
        <v>4474</v>
      </c>
      <c r="D56" s="95" t="s">
        <v>822</v>
      </c>
      <c r="E56" s="145">
        <v>1697.51</v>
      </c>
      <c r="F56" s="145">
        <v>157.12</v>
      </c>
      <c r="G56" s="145">
        <v>0</v>
      </c>
      <c r="H56" s="145">
        <v>0</v>
      </c>
      <c r="I56" s="77">
        <f t="shared" si="3"/>
        <v>1854.63</v>
      </c>
      <c r="J56" s="123" t="str">
        <f>IFERROR(VLOOKUP($C56,'CEDARS School FRPL'!C:H,4,FALSE),"No")</f>
        <v>No</v>
      </c>
      <c r="K56" s="109"/>
      <c r="L56" s="109"/>
      <c r="M56" s="110">
        <f>IFERROR(VLOOKUP($C56,'CEDARS School FRPL'!C:H,3,FALSE),0)</f>
        <v>0.39726666666666666</v>
      </c>
      <c r="N56" s="123" t="str">
        <f>IFERROR(VLOOKUP(C56,'CEDARS School FRPL'!C:H,6,FALSE),"No")</f>
        <v>No</v>
      </c>
      <c r="O56" s="147"/>
      <c r="P56" s="148"/>
    </row>
    <row r="57" spans="1:16">
      <c r="A57" s="95" t="s">
        <v>2359</v>
      </c>
      <c r="B57" s="95" t="s">
        <v>808</v>
      </c>
      <c r="C57" s="4">
        <v>5037</v>
      </c>
      <c r="D57" s="95" t="s">
        <v>823</v>
      </c>
      <c r="E57" s="145">
        <v>1409.26</v>
      </c>
      <c r="F57" s="145">
        <v>164.61999999999998</v>
      </c>
      <c r="G57" s="145">
        <v>0</v>
      </c>
      <c r="H57" s="145">
        <v>0</v>
      </c>
      <c r="I57" s="77">
        <f t="shared" si="3"/>
        <v>1573.8799999999999</v>
      </c>
      <c r="J57" s="123" t="str">
        <f>IFERROR(VLOOKUP($C57,'CEDARS School FRPL'!C:H,4,FALSE),"No")</f>
        <v>No</v>
      </c>
      <c r="K57" s="109"/>
      <c r="L57" s="109"/>
      <c r="M57" s="110">
        <f>IFERROR(VLOOKUP($C57,'CEDARS School FRPL'!C:H,3,FALSE),0)</f>
        <v>0.49496666666666672</v>
      </c>
      <c r="N57" s="123" t="str">
        <f>IFERROR(VLOOKUP(C57,'CEDARS School FRPL'!C:H,6,FALSE),"No")</f>
        <v>No</v>
      </c>
      <c r="O57" s="147"/>
      <c r="P57" s="148"/>
    </row>
    <row r="58" spans="1:16">
      <c r="A58" s="95" t="s">
        <v>2359</v>
      </c>
      <c r="B58" s="95" t="s">
        <v>808</v>
      </c>
      <c r="C58" s="4">
        <v>5051</v>
      </c>
      <c r="D58" s="95" t="s">
        <v>824</v>
      </c>
      <c r="E58" s="145">
        <v>524.74</v>
      </c>
      <c r="F58" s="145">
        <v>0</v>
      </c>
      <c r="G58" s="145">
        <v>0</v>
      </c>
      <c r="H58" s="145">
        <v>0</v>
      </c>
      <c r="I58" s="77">
        <f t="shared" si="3"/>
        <v>524.74</v>
      </c>
      <c r="J58" s="123" t="str">
        <f>IFERROR(VLOOKUP($C58,'CEDARS School FRPL'!C:H,4,FALSE),"No")</f>
        <v>No</v>
      </c>
      <c r="K58" s="109"/>
      <c r="L58" s="109"/>
      <c r="M58" s="110">
        <f>IFERROR(VLOOKUP($C58,'CEDARS School FRPL'!C:H,3,FALSE),0)</f>
        <v>0.28883333333333333</v>
      </c>
      <c r="N58" s="123" t="str">
        <f>IFERROR(VLOOKUP(C58,'CEDARS School FRPL'!C:H,6,FALSE),"No")</f>
        <v>No</v>
      </c>
      <c r="O58" s="147"/>
      <c r="P58" s="148"/>
    </row>
    <row r="59" spans="1:16">
      <c r="A59" s="95" t="s">
        <v>2359</v>
      </c>
      <c r="B59" s="95" t="s">
        <v>808</v>
      </c>
      <c r="C59" s="4">
        <v>5082</v>
      </c>
      <c r="D59" s="95" t="s">
        <v>825</v>
      </c>
      <c r="E59" s="145">
        <v>482.29</v>
      </c>
      <c r="F59" s="145">
        <v>0</v>
      </c>
      <c r="G59" s="145">
        <v>0</v>
      </c>
      <c r="H59" s="145">
        <v>0</v>
      </c>
      <c r="I59" s="77">
        <f t="shared" si="3"/>
        <v>482.29</v>
      </c>
      <c r="J59" s="123" t="str">
        <f>IFERROR(VLOOKUP($C59,'CEDARS School FRPL'!C:H,4,FALSE),"No")</f>
        <v>Yes</v>
      </c>
      <c r="K59" s="109"/>
      <c r="L59" s="109"/>
      <c r="M59" s="110">
        <f>IFERROR(VLOOKUP($C59,'CEDARS School FRPL'!C:H,3,FALSE),0)</f>
        <v>0.53336666666666677</v>
      </c>
      <c r="N59" s="123" t="str">
        <f>IFERROR(VLOOKUP(C59,'CEDARS School FRPL'!C:H,6,FALSE),"No")</f>
        <v>No</v>
      </c>
      <c r="O59" s="147"/>
      <c r="P59" s="148"/>
    </row>
    <row r="60" spans="1:16">
      <c r="A60" s="95" t="s">
        <v>2359</v>
      </c>
      <c r="B60" s="95" t="s">
        <v>808</v>
      </c>
      <c r="C60" s="4">
        <v>5610</v>
      </c>
      <c r="D60" s="95" t="s">
        <v>2862</v>
      </c>
      <c r="E60" s="145">
        <v>393.4</v>
      </c>
      <c r="F60" s="145">
        <v>0</v>
      </c>
      <c r="G60" s="145">
        <v>0</v>
      </c>
      <c r="H60" s="145">
        <v>0</v>
      </c>
      <c r="I60" s="77">
        <f t="shared" si="3"/>
        <v>393.4</v>
      </c>
      <c r="J60" s="123" t="str">
        <f>IFERROR(VLOOKUP($C60,'CEDARS School FRPL'!C:H,4,FALSE),"No")</f>
        <v>No</v>
      </c>
      <c r="K60" s="109"/>
      <c r="L60" s="109"/>
      <c r="M60" s="110">
        <f>IFERROR(VLOOKUP($C60,'CEDARS School FRPL'!C:H,3,FALSE),0)</f>
        <v>0.34160000000000001</v>
      </c>
      <c r="N60" s="123" t="str">
        <f>IFERROR(VLOOKUP(C60,'CEDARS School FRPL'!C:H,6,FALSE),"No")</f>
        <v>No</v>
      </c>
      <c r="O60" s="147"/>
      <c r="P60" s="148"/>
    </row>
    <row r="61" spans="1:16">
      <c r="A61" s="95" t="s">
        <v>2359</v>
      </c>
      <c r="B61" s="95" t="s">
        <v>808</v>
      </c>
      <c r="C61" s="4">
        <v>5664</v>
      </c>
      <c r="D61" s="95" t="s">
        <v>2999</v>
      </c>
      <c r="E61" s="145">
        <v>634.29999999999995</v>
      </c>
      <c r="F61" s="145">
        <v>0.06</v>
      </c>
      <c r="G61" s="145">
        <v>0</v>
      </c>
      <c r="H61" s="145">
        <v>0</v>
      </c>
      <c r="I61" s="77">
        <f t="shared" si="3"/>
        <v>634.3599999999999</v>
      </c>
      <c r="J61" s="123" t="str">
        <f>IFERROR(VLOOKUP($C61,'CEDARS School FRPL'!C:H,4,FALSE),"No")</f>
        <v>Yes</v>
      </c>
      <c r="K61" s="109"/>
      <c r="L61" s="109"/>
      <c r="M61" s="110">
        <f>IFERROR(VLOOKUP($C61,'CEDARS School FRPL'!C:H,3,FALSE),0)</f>
        <v>0.60429999999999995</v>
      </c>
      <c r="N61" s="123" t="str">
        <f>IFERROR(VLOOKUP(C61,'CEDARS School FRPL'!C:H,6,FALSE),"No")</f>
        <v>No</v>
      </c>
      <c r="O61" s="147"/>
      <c r="P61" s="148"/>
    </row>
    <row r="62" spans="1:16">
      <c r="A62" s="95" t="s">
        <v>2372</v>
      </c>
      <c r="B62" s="95" t="s">
        <v>1028</v>
      </c>
      <c r="C62" s="4">
        <v>1699</v>
      </c>
      <c r="D62" s="95" t="s">
        <v>1029</v>
      </c>
      <c r="E62" s="145">
        <v>190.17</v>
      </c>
      <c r="F62" s="145">
        <v>0</v>
      </c>
      <c r="G62" s="145">
        <v>0</v>
      </c>
      <c r="H62" s="145">
        <v>0</v>
      </c>
      <c r="I62" s="77">
        <f t="shared" si="3"/>
        <v>190.17</v>
      </c>
      <c r="J62" s="123" t="str">
        <f>IFERROR(VLOOKUP($C62,'CEDARS School FRPL'!C:H,4,FALSE),"No")</f>
        <v>No</v>
      </c>
      <c r="K62" s="109"/>
      <c r="L62" s="109"/>
      <c r="M62" s="110">
        <f>IFERROR(VLOOKUP($C62,'CEDARS School FRPL'!C:H,3,FALSE),0)</f>
        <v>6.2233333333333335E-2</v>
      </c>
      <c r="N62" s="123" t="str">
        <f>IFERROR(VLOOKUP(C62,'CEDARS School FRPL'!C:H,6,FALSE),"No")</f>
        <v>No</v>
      </c>
      <c r="O62" s="147"/>
      <c r="P62" s="148"/>
    </row>
    <row r="63" spans="1:16">
      <c r="A63" s="95" t="s">
        <v>2372</v>
      </c>
      <c r="B63" s="95" t="s">
        <v>1028</v>
      </c>
      <c r="C63" s="4">
        <v>1841</v>
      </c>
      <c r="D63" s="95" t="s">
        <v>1030</v>
      </c>
      <c r="E63" s="145">
        <v>83.48</v>
      </c>
      <c r="F63" s="145">
        <v>0</v>
      </c>
      <c r="G63" s="145">
        <v>0</v>
      </c>
      <c r="H63" s="145">
        <v>0</v>
      </c>
      <c r="I63" s="77">
        <f t="shared" si="3"/>
        <v>83.48</v>
      </c>
      <c r="J63" s="123" t="str">
        <f>IFERROR(VLOOKUP($C63,'CEDARS School FRPL'!C:H,4,FALSE),"No")</f>
        <v>No</v>
      </c>
      <c r="K63" s="109"/>
      <c r="L63" s="109"/>
      <c r="M63" s="110">
        <f>IFERROR(VLOOKUP($C63,'CEDARS School FRPL'!C:H,3,FALSE),0)</f>
        <v>0.12309999999999999</v>
      </c>
      <c r="N63" s="123" t="str">
        <f>IFERROR(VLOOKUP(C63,'CEDARS School FRPL'!C:H,6,FALSE),"No")</f>
        <v>No</v>
      </c>
      <c r="O63" s="147"/>
      <c r="P63" s="148"/>
    </row>
    <row r="64" spans="1:16">
      <c r="A64" s="95" t="s">
        <v>2372</v>
      </c>
      <c r="B64" s="95" t="s">
        <v>1028</v>
      </c>
      <c r="C64" s="4">
        <v>1935</v>
      </c>
      <c r="D64" s="95" t="s">
        <v>1031</v>
      </c>
      <c r="E64" s="145">
        <v>74.91</v>
      </c>
      <c r="F64" s="145">
        <v>17</v>
      </c>
      <c r="G64" s="145">
        <v>0</v>
      </c>
      <c r="H64" s="145">
        <v>0</v>
      </c>
      <c r="I64" s="77">
        <f t="shared" si="3"/>
        <v>91.91</v>
      </c>
      <c r="J64" s="123" t="str">
        <f>IFERROR(VLOOKUP($C64,'CEDARS School FRPL'!C:H,4,FALSE),"No")</f>
        <v>No</v>
      </c>
      <c r="K64" s="109"/>
      <c r="L64" s="109"/>
      <c r="M64" s="110">
        <f>IFERROR(VLOOKUP($C64,'CEDARS School FRPL'!C:H,3,FALSE),0)</f>
        <v>0.16173333333333331</v>
      </c>
      <c r="N64" s="123" t="str">
        <f>IFERROR(VLOOKUP(C64,'CEDARS School FRPL'!C:H,6,FALSE),"No")</f>
        <v>No</v>
      </c>
      <c r="O64" s="147"/>
      <c r="P64" s="148"/>
    </row>
    <row r="65" spans="1:16">
      <c r="A65" s="95" t="s">
        <v>2372</v>
      </c>
      <c r="B65" s="95" t="s">
        <v>1028</v>
      </c>
      <c r="C65" s="4">
        <v>1939</v>
      </c>
      <c r="D65" s="95" t="s">
        <v>1032</v>
      </c>
      <c r="E65" s="145">
        <v>5.08</v>
      </c>
      <c r="F65" s="145">
        <v>0</v>
      </c>
      <c r="G65" s="145">
        <v>0</v>
      </c>
      <c r="H65" s="145">
        <v>0</v>
      </c>
      <c r="I65" s="77">
        <f t="shared" si="3"/>
        <v>5.08</v>
      </c>
      <c r="J65" s="123" t="str">
        <f>IFERROR(VLOOKUP($C65,'CEDARS School FRPL'!C:H,4,FALSE),"No")</f>
        <v>No</v>
      </c>
      <c r="K65" s="109"/>
      <c r="L65" s="109"/>
      <c r="M65" s="110">
        <f>IFERROR(VLOOKUP($C65,'CEDARS School FRPL'!C:H,3,FALSE),0)</f>
        <v>1.9599999999999999E-2</v>
      </c>
      <c r="N65" s="123" t="str">
        <f>IFERROR(VLOOKUP(C65,'CEDARS School FRPL'!C:H,6,FALSE),"No")</f>
        <v>No</v>
      </c>
      <c r="O65" s="147"/>
      <c r="P65" s="148"/>
    </row>
    <row r="66" spans="1:16">
      <c r="A66" s="95" t="s">
        <v>2372</v>
      </c>
      <c r="B66" s="95" t="s">
        <v>1028</v>
      </c>
      <c r="C66" s="4">
        <v>2395</v>
      </c>
      <c r="D66" s="95" t="s">
        <v>1033</v>
      </c>
      <c r="E66" s="145">
        <v>1222.47</v>
      </c>
      <c r="F66" s="145">
        <v>46.97</v>
      </c>
      <c r="G66" s="145">
        <v>0</v>
      </c>
      <c r="H66" s="145">
        <v>0</v>
      </c>
      <c r="I66" s="77">
        <f t="shared" si="3"/>
        <v>1269.44</v>
      </c>
      <c r="J66" s="123" t="str">
        <f>IFERROR(VLOOKUP($C66,'CEDARS School FRPL'!C:H,4,FALSE),"No")</f>
        <v>No</v>
      </c>
      <c r="K66" s="109"/>
      <c r="L66" s="109"/>
      <c r="M66" s="110">
        <f>IFERROR(VLOOKUP($C66,'CEDARS School FRPL'!C:H,3,FALSE),0)</f>
        <v>7.7766666666666664E-2</v>
      </c>
      <c r="N66" s="123" t="str">
        <f>IFERROR(VLOOKUP(C66,'CEDARS School FRPL'!C:H,6,FALSE),"No")</f>
        <v>No</v>
      </c>
      <c r="O66" s="147"/>
      <c r="P66" s="148"/>
    </row>
    <row r="67" spans="1:16">
      <c r="A67" s="95" t="s">
        <v>2372</v>
      </c>
      <c r="B67" s="95" t="s">
        <v>1028</v>
      </c>
      <c r="C67" s="4">
        <v>3043</v>
      </c>
      <c r="D67" s="95" t="s">
        <v>1034</v>
      </c>
      <c r="E67" s="145">
        <v>318.2</v>
      </c>
      <c r="F67" s="145">
        <v>0</v>
      </c>
      <c r="G67" s="145">
        <v>0</v>
      </c>
      <c r="H67" s="145">
        <v>0</v>
      </c>
      <c r="I67" s="77">
        <f t="shared" si="3"/>
        <v>318.2</v>
      </c>
      <c r="J67" s="123" t="str">
        <f>IFERROR(VLOOKUP($C67,'CEDARS School FRPL'!C:H,4,FALSE),"No")</f>
        <v>No</v>
      </c>
      <c r="K67" s="109"/>
      <c r="L67" s="109"/>
      <c r="M67" s="110">
        <f>IFERROR(VLOOKUP($C67,'CEDARS School FRPL'!C:H,3,FALSE),0)</f>
        <v>3.3466666666666665E-2</v>
      </c>
      <c r="N67" s="123" t="str">
        <f>IFERROR(VLOOKUP(C67,'CEDARS School FRPL'!C:H,6,FALSE),"No")</f>
        <v>No</v>
      </c>
      <c r="O67" s="147"/>
      <c r="P67" s="148"/>
    </row>
    <row r="68" spans="1:16">
      <c r="A68" s="95" t="s">
        <v>2372</v>
      </c>
      <c r="B68" s="95" t="s">
        <v>1028</v>
      </c>
      <c r="C68" s="4">
        <v>3552</v>
      </c>
      <c r="D68" s="95" t="s">
        <v>1035</v>
      </c>
      <c r="E68" s="145">
        <v>336.29</v>
      </c>
      <c r="F68" s="145">
        <v>0</v>
      </c>
      <c r="G68" s="145">
        <v>0</v>
      </c>
      <c r="H68" s="145">
        <v>0</v>
      </c>
      <c r="I68" s="77">
        <f t="shared" ref="I68:I131" si="4">+E68+F68+G68+H68</f>
        <v>336.29</v>
      </c>
      <c r="J68" s="123" t="str">
        <f>IFERROR(VLOOKUP($C68,'CEDARS School FRPL'!C:H,4,FALSE),"No")</f>
        <v>No</v>
      </c>
      <c r="K68" s="109"/>
      <c r="L68" s="109"/>
      <c r="M68" s="110">
        <f>IFERROR(VLOOKUP($C68,'CEDARS School FRPL'!C:H,3,FALSE),0)</f>
        <v>4.1299999999999996E-2</v>
      </c>
      <c r="N68" s="123" t="str">
        <f>IFERROR(VLOOKUP(C68,'CEDARS School FRPL'!C:H,6,FALSE),"No")</f>
        <v>No</v>
      </c>
      <c r="O68" s="147"/>
      <c r="P68" s="148"/>
    </row>
    <row r="69" spans="1:16">
      <c r="A69" s="95" t="s">
        <v>2372</v>
      </c>
      <c r="B69" s="95" t="s">
        <v>1028</v>
      </c>
      <c r="C69" s="4">
        <v>4062</v>
      </c>
      <c r="D69" s="95" t="s">
        <v>1036</v>
      </c>
      <c r="E69" s="145">
        <v>347.71</v>
      </c>
      <c r="F69" s="145">
        <v>0</v>
      </c>
      <c r="G69" s="145">
        <v>0</v>
      </c>
      <c r="H69" s="145">
        <v>0</v>
      </c>
      <c r="I69" s="77">
        <f t="shared" si="4"/>
        <v>347.71</v>
      </c>
      <c r="J69" s="123" t="str">
        <f>IFERROR(VLOOKUP($C69,'CEDARS School FRPL'!C:H,4,FALSE),"No")</f>
        <v>No</v>
      </c>
      <c r="K69" s="109"/>
      <c r="L69" s="109"/>
      <c r="M69" s="110">
        <f>IFERROR(VLOOKUP($C69,'CEDARS School FRPL'!C:H,3,FALSE),0)</f>
        <v>8.193333333333333E-2</v>
      </c>
      <c r="N69" s="123" t="str">
        <f>IFERROR(VLOOKUP(C69,'CEDARS School FRPL'!C:H,6,FALSE),"No")</f>
        <v>No</v>
      </c>
      <c r="O69" s="147"/>
      <c r="P69" s="148"/>
    </row>
    <row r="70" spans="1:16">
      <c r="A70" s="95" t="s">
        <v>2372</v>
      </c>
      <c r="B70" s="95" t="s">
        <v>1028</v>
      </c>
      <c r="C70" s="4">
        <v>4505</v>
      </c>
      <c r="D70" s="95" t="s">
        <v>1037</v>
      </c>
      <c r="E70" s="145">
        <v>480.79</v>
      </c>
      <c r="F70" s="145">
        <v>0</v>
      </c>
      <c r="G70" s="145">
        <v>0</v>
      </c>
      <c r="H70" s="145">
        <v>0</v>
      </c>
      <c r="I70" s="77">
        <f t="shared" si="4"/>
        <v>480.79</v>
      </c>
      <c r="J70" s="123" t="str">
        <f>IFERROR(VLOOKUP($C70,'CEDARS School FRPL'!C:H,4,FALSE),"No")</f>
        <v>No</v>
      </c>
      <c r="K70" s="109"/>
      <c r="L70" s="109"/>
      <c r="M70" s="110">
        <f>IFERROR(VLOOKUP($C70,'CEDARS School FRPL'!C:H,3,FALSE),0)</f>
        <v>8.0633333333333335E-2</v>
      </c>
      <c r="N70" s="123" t="str">
        <f>IFERROR(VLOOKUP(C70,'CEDARS School FRPL'!C:H,6,FALSE),"No")</f>
        <v>No</v>
      </c>
      <c r="O70" s="147"/>
      <c r="P70" s="148"/>
    </row>
    <row r="71" spans="1:16">
      <c r="A71" s="95" t="s">
        <v>2372</v>
      </c>
      <c r="B71" s="95" t="s">
        <v>1028</v>
      </c>
      <c r="C71" s="4">
        <v>4542</v>
      </c>
      <c r="D71" s="95" t="s">
        <v>1038</v>
      </c>
      <c r="E71" s="145">
        <v>464.79</v>
      </c>
      <c r="F71" s="145">
        <v>0</v>
      </c>
      <c r="G71" s="145">
        <v>0</v>
      </c>
      <c r="H71" s="145">
        <v>0</v>
      </c>
      <c r="I71" s="77">
        <f t="shared" si="4"/>
        <v>464.79</v>
      </c>
      <c r="J71" s="123" t="str">
        <f>IFERROR(VLOOKUP($C71,'CEDARS School FRPL'!C:H,4,FALSE),"No")</f>
        <v>No</v>
      </c>
      <c r="K71" s="109"/>
      <c r="L71" s="109"/>
      <c r="M71" s="110">
        <f>IFERROR(VLOOKUP($C71,'CEDARS School FRPL'!C:H,3,FALSE),0)</f>
        <v>6.2633333333333333E-2</v>
      </c>
      <c r="N71" s="123" t="str">
        <f>IFERROR(VLOOKUP(C71,'CEDARS School FRPL'!C:H,6,FALSE),"No")</f>
        <v>No</v>
      </c>
      <c r="O71" s="147"/>
      <c r="P71" s="148"/>
    </row>
    <row r="72" spans="1:16">
      <c r="A72" s="95" t="s">
        <v>2290</v>
      </c>
      <c r="B72" s="95" t="s">
        <v>265</v>
      </c>
      <c r="C72" s="4">
        <v>1836</v>
      </c>
      <c r="D72" s="95" t="s">
        <v>266</v>
      </c>
      <c r="E72" s="145">
        <v>440.06</v>
      </c>
      <c r="F72" s="145">
        <v>57.05</v>
      </c>
      <c r="G72" s="145">
        <v>0</v>
      </c>
      <c r="H72" s="145">
        <v>0</v>
      </c>
      <c r="I72" s="77">
        <f t="shared" si="4"/>
        <v>497.11</v>
      </c>
      <c r="J72" s="123" t="str">
        <f>IFERROR(VLOOKUP($C72,'CEDARS School FRPL'!C:H,4,FALSE),"No")</f>
        <v>No</v>
      </c>
      <c r="K72" s="109"/>
      <c r="L72" s="109"/>
      <c r="M72" s="110">
        <f>IFERROR(VLOOKUP($C72,'CEDARS School FRPL'!C:H,3,FALSE),0)</f>
        <v>0.21809999999999999</v>
      </c>
      <c r="N72" s="123" t="str">
        <f>IFERROR(VLOOKUP(C72,'CEDARS School FRPL'!C:H,6,FALSE),"No")</f>
        <v>No</v>
      </c>
      <c r="O72" s="147"/>
      <c r="P72" s="148"/>
    </row>
    <row r="73" spans="1:16">
      <c r="A73" s="95" t="s">
        <v>2290</v>
      </c>
      <c r="B73" s="95" t="s">
        <v>265</v>
      </c>
      <c r="C73" s="4">
        <v>1875</v>
      </c>
      <c r="D73" s="95" t="s">
        <v>267</v>
      </c>
      <c r="E73" s="145">
        <v>945.36</v>
      </c>
      <c r="F73" s="145">
        <v>42.300000000000004</v>
      </c>
      <c r="G73" s="145">
        <v>0</v>
      </c>
      <c r="H73" s="145">
        <v>0</v>
      </c>
      <c r="I73" s="77">
        <f t="shared" si="4"/>
        <v>987.66</v>
      </c>
      <c r="J73" s="123" t="str">
        <f>IFERROR(VLOOKUP($C73,'CEDARS School FRPL'!C:H,4,FALSE),"No")</f>
        <v>No</v>
      </c>
      <c r="K73" s="109"/>
      <c r="L73" s="109"/>
      <c r="M73" s="110">
        <f>IFERROR(VLOOKUP($C73,'CEDARS School FRPL'!C:H,3,FALSE),0)</f>
        <v>0.27999999999999997</v>
      </c>
      <c r="N73" s="123" t="str">
        <f>IFERROR(VLOOKUP(C73,'CEDARS School FRPL'!C:H,6,FALSE),"No")</f>
        <v>No</v>
      </c>
      <c r="O73" s="147"/>
      <c r="P73" s="148"/>
    </row>
    <row r="74" spans="1:16">
      <c r="A74" s="95" t="s">
        <v>2290</v>
      </c>
      <c r="B74" s="95" t="s">
        <v>265</v>
      </c>
      <c r="C74" s="4">
        <v>2415</v>
      </c>
      <c r="D74" s="95" t="s">
        <v>268</v>
      </c>
      <c r="E74" s="145">
        <v>1585.65</v>
      </c>
      <c r="F74" s="145">
        <v>82.25</v>
      </c>
      <c r="G74" s="145">
        <v>0</v>
      </c>
      <c r="H74" s="145">
        <v>0</v>
      </c>
      <c r="I74" s="77">
        <f t="shared" si="4"/>
        <v>1667.9</v>
      </c>
      <c r="J74" s="123" t="str">
        <f>IFERROR(VLOOKUP($C74,'CEDARS School FRPL'!C:H,4,FALSE),"No")</f>
        <v>No</v>
      </c>
      <c r="K74" s="109"/>
      <c r="L74" s="109"/>
      <c r="M74" s="110">
        <f>IFERROR(VLOOKUP($C74,'CEDARS School FRPL'!C:H,3,FALSE),0)</f>
        <v>0.28686666666666666</v>
      </c>
      <c r="N74" s="123" t="str">
        <f>IFERROR(VLOOKUP(C74,'CEDARS School FRPL'!C:H,6,FALSE),"No")</f>
        <v>No</v>
      </c>
      <c r="O74" s="147"/>
      <c r="P74" s="148"/>
    </row>
    <row r="75" spans="1:16">
      <c r="A75" s="95" t="s">
        <v>2290</v>
      </c>
      <c r="B75" s="95" t="s">
        <v>265</v>
      </c>
      <c r="C75" s="4">
        <v>2671</v>
      </c>
      <c r="D75" s="95" t="s">
        <v>269</v>
      </c>
      <c r="E75" s="145">
        <v>556.91</v>
      </c>
      <c r="F75" s="145">
        <v>0</v>
      </c>
      <c r="G75" s="145">
        <v>0</v>
      </c>
      <c r="H75" s="145">
        <v>0</v>
      </c>
      <c r="I75" s="77">
        <f t="shared" si="4"/>
        <v>556.91</v>
      </c>
      <c r="J75" s="123" t="str">
        <f>IFERROR(VLOOKUP($C75,'CEDARS School FRPL'!C:H,4,FALSE),"No")</f>
        <v>No</v>
      </c>
      <c r="K75" s="109"/>
      <c r="L75" s="109"/>
      <c r="M75" s="110">
        <f>IFERROR(VLOOKUP($C75,'CEDARS School FRPL'!C:H,3,FALSE),0)</f>
        <v>0.3347</v>
      </c>
      <c r="N75" s="123" t="str">
        <f>IFERROR(VLOOKUP(C75,'CEDARS School FRPL'!C:H,6,FALSE),"No")</f>
        <v>No</v>
      </c>
      <c r="P75" s="148"/>
    </row>
    <row r="76" spans="1:16">
      <c r="A76" s="95" t="s">
        <v>2290</v>
      </c>
      <c r="B76" s="95" t="s">
        <v>265</v>
      </c>
      <c r="C76" s="4">
        <v>2910</v>
      </c>
      <c r="D76" s="95" t="s">
        <v>270</v>
      </c>
      <c r="E76" s="145">
        <v>693.65</v>
      </c>
      <c r="F76" s="145">
        <v>0</v>
      </c>
      <c r="G76" s="145">
        <v>0</v>
      </c>
      <c r="H76" s="145">
        <v>0</v>
      </c>
      <c r="I76" s="77">
        <f t="shared" si="4"/>
        <v>693.65</v>
      </c>
      <c r="J76" s="123" t="str">
        <f>IFERROR(VLOOKUP($C76,'CEDARS School FRPL'!C:H,4,FALSE),"No")</f>
        <v>No</v>
      </c>
      <c r="K76" s="109"/>
      <c r="L76" s="109"/>
      <c r="M76" s="110">
        <f>IFERROR(VLOOKUP($C76,'CEDARS School FRPL'!C:H,3,FALSE),0)</f>
        <v>0.29766666666666669</v>
      </c>
      <c r="N76" s="123" t="str">
        <f>IFERROR(VLOOKUP(C76,'CEDARS School FRPL'!C:H,6,FALSE),"No")</f>
        <v>No</v>
      </c>
      <c r="O76" s="147"/>
      <c r="P76" s="148"/>
    </row>
    <row r="77" spans="1:16">
      <c r="A77" s="95" t="s">
        <v>2290</v>
      </c>
      <c r="B77" s="95" t="s">
        <v>265</v>
      </c>
      <c r="C77" s="4">
        <v>3018</v>
      </c>
      <c r="D77" s="95" t="s">
        <v>271</v>
      </c>
      <c r="E77" s="145">
        <v>519.16999999999996</v>
      </c>
      <c r="F77" s="145">
        <v>0</v>
      </c>
      <c r="G77" s="145">
        <v>0</v>
      </c>
      <c r="H77" s="145">
        <v>0</v>
      </c>
      <c r="I77" s="77">
        <f t="shared" si="4"/>
        <v>519.16999999999996</v>
      </c>
      <c r="J77" s="123" t="str">
        <f>IFERROR(VLOOKUP($C77,'CEDARS School FRPL'!C:H,4,FALSE),"No")</f>
        <v>No</v>
      </c>
      <c r="K77" s="109"/>
      <c r="L77" s="109"/>
      <c r="M77" s="110">
        <f>IFERROR(VLOOKUP($C77,'CEDARS School FRPL'!C:H,3,FALSE),0)</f>
        <v>0.42446666666666671</v>
      </c>
      <c r="N77" s="123" t="str">
        <f>IFERROR(VLOOKUP(C77,'CEDARS School FRPL'!C:H,6,FALSE),"No")</f>
        <v>No</v>
      </c>
      <c r="O77" s="147"/>
      <c r="P77" s="148"/>
    </row>
    <row r="78" spans="1:16">
      <c r="A78" s="95" t="s">
        <v>2290</v>
      </c>
      <c r="B78" s="95" t="s">
        <v>265</v>
      </c>
      <c r="C78" s="4">
        <v>3545</v>
      </c>
      <c r="D78" s="95" t="s">
        <v>272</v>
      </c>
      <c r="E78" s="145">
        <v>696.59</v>
      </c>
      <c r="F78" s="145">
        <v>0</v>
      </c>
      <c r="G78" s="145">
        <v>0</v>
      </c>
      <c r="H78" s="145">
        <v>0</v>
      </c>
      <c r="I78" s="77">
        <f t="shared" si="4"/>
        <v>696.59</v>
      </c>
      <c r="J78" s="123" t="str">
        <f>IFERROR(VLOOKUP($C78,'CEDARS School FRPL'!C:H,4,FALSE),"No")</f>
        <v>No</v>
      </c>
      <c r="K78" s="109"/>
      <c r="L78" s="109"/>
      <c r="M78" s="110">
        <f>IFERROR(VLOOKUP($C78,'CEDARS School FRPL'!C:H,3,FALSE),0)</f>
        <v>0.39100000000000001</v>
      </c>
      <c r="N78" s="123" t="str">
        <f>IFERROR(VLOOKUP(C78,'CEDARS School FRPL'!C:H,6,FALSE),"No")</f>
        <v>No</v>
      </c>
      <c r="O78" s="147"/>
      <c r="P78" s="148"/>
    </row>
    <row r="79" spans="1:16">
      <c r="A79" s="95" t="s">
        <v>2290</v>
      </c>
      <c r="B79" s="95" t="s">
        <v>265</v>
      </c>
      <c r="C79" s="4">
        <v>3996</v>
      </c>
      <c r="D79" s="95" t="s">
        <v>273</v>
      </c>
      <c r="E79" s="145">
        <v>487.7</v>
      </c>
      <c r="F79" s="145">
        <v>0</v>
      </c>
      <c r="G79" s="145">
        <v>0</v>
      </c>
      <c r="H79" s="145">
        <v>0</v>
      </c>
      <c r="I79" s="77">
        <f t="shared" si="4"/>
        <v>487.7</v>
      </c>
      <c r="J79" s="123" t="str">
        <f>IFERROR(VLOOKUP($C79,'CEDARS School FRPL'!C:H,4,FALSE),"No")</f>
        <v>No</v>
      </c>
      <c r="K79" s="109"/>
      <c r="L79" s="109"/>
      <c r="M79" s="110">
        <f>IFERROR(VLOOKUP($C79,'CEDARS School FRPL'!C:H,3,FALSE),0)</f>
        <v>0.34013333333333334</v>
      </c>
      <c r="N79" s="123" t="str">
        <f>IFERROR(VLOOKUP(C79,'CEDARS School FRPL'!C:H,6,FALSE),"No")</f>
        <v>No</v>
      </c>
      <c r="O79" s="147"/>
      <c r="P79" s="148"/>
    </row>
    <row r="80" spans="1:16">
      <c r="A80" s="95" t="s">
        <v>2290</v>
      </c>
      <c r="B80" s="95" t="s">
        <v>265</v>
      </c>
      <c r="C80" s="4">
        <v>3997</v>
      </c>
      <c r="D80" s="95" t="s">
        <v>274</v>
      </c>
      <c r="E80" s="145">
        <v>422.87</v>
      </c>
      <c r="F80" s="145">
        <v>0</v>
      </c>
      <c r="G80" s="145">
        <v>0</v>
      </c>
      <c r="H80" s="145">
        <v>0</v>
      </c>
      <c r="I80" s="77">
        <f t="shared" si="4"/>
        <v>422.87</v>
      </c>
      <c r="J80" s="123" t="str">
        <f>IFERROR(VLOOKUP($C80,'CEDARS School FRPL'!C:H,4,FALSE),"No")</f>
        <v>No</v>
      </c>
      <c r="K80" s="109"/>
      <c r="L80" s="109"/>
      <c r="M80" s="110">
        <f>IFERROR(VLOOKUP($C80,'CEDARS School FRPL'!C:H,3,FALSE),0)</f>
        <v>0.39299999999999996</v>
      </c>
      <c r="N80" s="123" t="str">
        <f>IFERROR(VLOOKUP(C80,'CEDARS School FRPL'!C:H,6,FALSE),"No")</f>
        <v>No</v>
      </c>
      <c r="O80" s="147"/>
      <c r="P80" s="148"/>
    </row>
    <row r="81" spans="1:16">
      <c r="A81" s="95" t="s">
        <v>2290</v>
      </c>
      <c r="B81" s="95" t="s">
        <v>265</v>
      </c>
      <c r="C81" s="4">
        <v>4104</v>
      </c>
      <c r="D81" s="95" t="s">
        <v>275</v>
      </c>
      <c r="E81" s="145">
        <v>1371.43</v>
      </c>
      <c r="F81" s="145">
        <v>113.89</v>
      </c>
      <c r="G81" s="145">
        <v>0</v>
      </c>
      <c r="H81" s="145">
        <v>0</v>
      </c>
      <c r="I81" s="77">
        <f t="shared" si="4"/>
        <v>1485.3200000000002</v>
      </c>
      <c r="J81" s="123" t="str">
        <f>IFERROR(VLOOKUP($C81,'CEDARS School FRPL'!C:H,4,FALSE),"No")</f>
        <v>No</v>
      </c>
      <c r="K81" s="109"/>
      <c r="L81" s="109"/>
      <c r="M81" s="110">
        <f>IFERROR(VLOOKUP($C81,'CEDARS School FRPL'!C:H,3,FALSE),0)</f>
        <v>0.30990000000000001</v>
      </c>
      <c r="N81" s="123" t="str">
        <f>IFERROR(VLOOKUP(C81,'CEDARS School FRPL'!C:H,6,FALSE),"No")</f>
        <v>No</v>
      </c>
      <c r="O81" s="147"/>
      <c r="P81" s="148"/>
    </row>
    <row r="82" spans="1:16">
      <c r="A82" s="95" t="s">
        <v>2290</v>
      </c>
      <c r="B82" s="95" t="s">
        <v>265</v>
      </c>
      <c r="C82" s="4">
        <v>4144</v>
      </c>
      <c r="D82" s="95" t="s">
        <v>2822</v>
      </c>
      <c r="E82" s="145">
        <v>451.98</v>
      </c>
      <c r="F82" s="145">
        <v>0</v>
      </c>
      <c r="G82" s="145">
        <v>0</v>
      </c>
      <c r="H82" s="145">
        <v>0</v>
      </c>
      <c r="I82" s="77">
        <f t="shared" si="4"/>
        <v>451.98</v>
      </c>
      <c r="J82" s="123" t="str">
        <f>IFERROR(VLOOKUP($C82,'CEDARS School FRPL'!C:H,4,FALSE),"No")</f>
        <v>No</v>
      </c>
      <c r="K82" s="109"/>
      <c r="L82" s="109"/>
      <c r="M82" s="110">
        <f>IFERROR(VLOOKUP($C82,'CEDARS School FRPL'!C:H,3,FALSE),0)</f>
        <v>0.39273333333333332</v>
      </c>
      <c r="N82" s="123" t="str">
        <f>IFERROR(VLOOKUP(C82,'CEDARS School FRPL'!C:H,6,FALSE),"No")</f>
        <v>No</v>
      </c>
      <c r="O82" s="147"/>
      <c r="P82" s="148"/>
    </row>
    <row r="83" spans="1:16">
      <c r="A83" s="95" t="s">
        <v>2290</v>
      </c>
      <c r="B83" s="95" t="s">
        <v>265</v>
      </c>
      <c r="C83" s="4">
        <v>4352</v>
      </c>
      <c r="D83" s="95" t="s">
        <v>276</v>
      </c>
      <c r="E83" s="145">
        <v>563.42999999999995</v>
      </c>
      <c r="F83" s="145">
        <v>0</v>
      </c>
      <c r="G83" s="145">
        <v>0</v>
      </c>
      <c r="H83" s="145">
        <v>0</v>
      </c>
      <c r="I83" s="77">
        <f t="shared" si="4"/>
        <v>563.42999999999995</v>
      </c>
      <c r="J83" s="123" t="str">
        <f>IFERROR(VLOOKUP($C83,'CEDARS School FRPL'!C:H,4,FALSE),"No")</f>
        <v>No</v>
      </c>
      <c r="K83" s="109"/>
      <c r="L83" s="109"/>
      <c r="M83" s="110">
        <f>IFERROR(VLOOKUP($C83,'CEDARS School FRPL'!C:H,3,FALSE),0)</f>
        <v>0.34493333333333331</v>
      </c>
      <c r="N83" s="123" t="str">
        <f>IFERROR(VLOOKUP(C83,'CEDARS School FRPL'!C:H,6,FALSE),"No")</f>
        <v>No</v>
      </c>
      <c r="O83" s="147"/>
      <c r="P83" s="148"/>
    </row>
    <row r="84" spans="1:16">
      <c r="A84" s="95" t="s">
        <v>2290</v>
      </c>
      <c r="B84" s="95" t="s">
        <v>265</v>
      </c>
      <c r="C84" s="4">
        <v>4450</v>
      </c>
      <c r="D84" s="95" t="s">
        <v>277</v>
      </c>
      <c r="E84" s="145">
        <v>220.69</v>
      </c>
      <c r="F84" s="145">
        <v>5.8</v>
      </c>
      <c r="G84" s="145">
        <v>0</v>
      </c>
      <c r="H84" s="145">
        <v>0</v>
      </c>
      <c r="I84" s="77">
        <f t="shared" si="4"/>
        <v>226.49</v>
      </c>
      <c r="J84" s="123" t="str">
        <f>IFERROR(VLOOKUP($C84,'CEDARS School FRPL'!C:H,4,FALSE),"No")</f>
        <v>No</v>
      </c>
      <c r="K84" s="109"/>
      <c r="L84" s="109"/>
      <c r="M84" s="110">
        <f>IFERROR(VLOOKUP($C84,'CEDARS School FRPL'!C:H,3,FALSE),0)</f>
        <v>0.38666666666666666</v>
      </c>
      <c r="N84" s="123" t="str">
        <f>IFERROR(VLOOKUP(C84,'CEDARS School FRPL'!C:H,6,FALSE),"No")</f>
        <v>No</v>
      </c>
      <c r="O84" s="147"/>
      <c r="P84" s="148"/>
    </row>
    <row r="85" spans="1:16">
      <c r="A85" s="95" t="s">
        <v>2290</v>
      </c>
      <c r="B85" s="95" t="s">
        <v>265</v>
      </c>
      <c r="C85" s="4">
        <v>5089</v>
      </c>
      <c r="D85" s="95" t="s">
        <v>278</v>
      </c>
      <c r="E85" s="145">
        <v>433.77</v>
      </c>
      <c r="F85" s="145">
        <v>0</v>
      </c>
      <c r="G85" s="145">
        <v>0</v>
      </c>
      <c r="H85" s="145">
        <v>0</v>
      </c>
      <c r="I85" s="77">
        <f t="shared" si="4"/>
        <v>433.77</v>
      </c>
      <c r="J85" s="123" t="str">
        <f>IFERROR(VLOOKUP($C85,'CEDARS School FRPL'!C:H,4,FALSE),"No")</f>
        <v>No</v>
      </c>
      <c r="K85" s="109"/>
      <c r="L85" s="109"/>
      <c r="M85" s="110">
        <f>IFERROR(VLOOKUP($C85,'CEDARS School FRPL'!C:H,3,FALSE),0)</f>
        <v>0.41226666666666673</v>
      </c>
      <c r="N85" s="123" t="str">
        <f>IFERROR(VLOOKUP(C85,'CEDARS School FRPL'!C:H,6,FALSE),"No")</f>
        <v>No</v>
      </c>
      <c r="O85" s="147"/>
      <c r="P85" s="148"/>
    </row>
    <row r="86" spans="1:16">
      <c r="A86" s="95" t="s">
        <v>2290</v>
      </c>
      <c r="B86" s="95" t="s">
        <v>265</v>
      </c>
      <c r="C86" s="4">
        <v>5090</v>
      </c>
      <c r="D86" s="95" t="s">
        <v>279</v>
      </c>
      <c r="E86" s="145">
        <v>470.48</v>
      </c>
      <c r="F86" s="145">
        <v>0</v>
      </c>
      <c r="G86" s="145">
        <v>0</v>
      </c>
      <c r="H86" s="145">
        <v>0</v>
      </c>
      <c r="I86" s="77">
        <f t="shared" si="4"/>
        <v>470.48</v>
      </c>
      <c r="J86" s="123" t="str">
        <f>IFERROR(VLOOKUP($C86,'CEDARS School FRPL'!C:H,4,FALSE),"No")</f>
        <v>No</v>
      </c>
      <c r="K86" s="109"/>
      <c r="L86" s="109"/>
      <c r="M86" s="110">
        <f>IFERROR(VLOOKUP($C86,'CEDARS School FRPL'!C:H,3,FALSE),0)</f>
        <v>0.3836</v>
      </c>
      <c r="N86" s="123" t="str">
        <f>IFERROR(VLOOKUP(C86,'CEDARS School FRPL'!C:H,6,FALSE),"No")</f>
        <v>No</v>
      </c>
      <c r="O86" s="147"/>
      <c r="P86" s="148"/>
    </row>
    <row r="87" spans="1:16">
      <c r="A87" s="95" t="s">
        <v>2290</v>
      </c>
      <c r="B87" s="95" t="s">
        <v>265</v>
      </c>
      <c r="C87" s="4">
        <v>5131</v>
      </c>
      <c r="D87" s="95" t="s">
        <v>280</v>
      </c>
      <c r="E87" s="145">
        <v>496.05</v>
      </c>
      <c r="F87" s="145">
        <v>0</v>
      </c>
      <c r="G87" s="145">
        <v>0</v>
      </c>
      <c r="H87" s="145">
        <v>0</v>
      </c>
      <c r="I87" s="77">
        <f t="shared" si="4"/>
        <v>496.05</v>
      </c>
      <c r="J87" s="123" t="str">
        <f>IFERROR(VLOOKUP($C87,'CEDARS School FRPL'!C:H,4,FALSE),"No")</f>
        <v>No</v>
      </c>
      <c r="K87" s="109"/>
      <c r="L87" s="109"/>
      <c r="M87" s="110">
        <f>IFERROR(VLOOKUP($C87,'CEDARS School FRPL'!C:H,3,FALSE),0)</f>
        <v>0.32606666666666667</v>
      </c>
      <c r="N87" s="123" t="str">
        <f>IFERROR(VLOOKUP(C87,'CEDARS School FRPL'!C:H,6,FALSE),"No")</f>
        <v>No</v>
      </c>
      <c r="O87" s="147"/>
      <c r="P87" s="148"/>
    </row>
    <row r="88" spans="1:16">
      <c r="A88" s="95" t="s">
        <v>2290</v>
      </c>
      <c r="B88" s="95" t="s">
        <v>265</v>
      </c>
      <c r="C88" s="4">
        <v>5132</v>
      </c>
      <c r="D88" s="95" t="s">
        <v>281</v>
      </c>
      <c r="E88" s="145">
        <v>463.57</v>
      </c>
      <c r="F88" s="145">
        <v>0</v>
      </c>
      <c r="G88" s="145">
        <v>0</v>
      </c>
      <c r="H88" s="145">
        <v>0</v>
      </c>
      <c r="I88" s="77">
        <f t="shared" si="4"/>
        <v>463.57</v>
      </c>
      <c r="J88" s="123" t="str">
        <f>IFERROR(VLOOKUP($C88,'CEDARS School FRPL'!C:H,4,FALSE),"No")</f>
        <v>No</v>
      </c>
      <c r="K88" s="109"/>
      <c r="L88" s="109"/>
      <c r="M88" s="110">
        <f>IFERROR(VLOOKUP($C88,'CEDARS School FRPL'!C:H,3,FALSE),0)</f>
        <v>0.27883333333333332</v>
      </c>
      <c r="N88" s="123" t="str">
        <f>IFERROR(VLOOKUP(C88,'CEDARS School FRPL'!C:H,6,FALSE),"No")</f>
        <v>No</v>
      </c>
      <c r="O88" s="147"/>
      <c r="P88" s="148"/>
    </row>
    <row r="89" spans="1:16">
      <c r="A89" s="95" t="s">
        <v>2290</v>
      </c>
      <c r="B89" s="95" t="s">
        <v>265</v>
      </c>
      <c r="C89" s="4">
        <v>5133</v>
      </c>
      <c r="D89" s="95" t="s">
        <v>282</v>
      </c>
      <c r="E89" s="145">
        <v>569.84</v>
      </c>
      <c r="F89" s="145">
        <v>0</v>
      </c>
      <c r="G89" s="145">
        <v>0</v>
      </c>
      <c r="H89" s="145">
        <v>0</v>
      </c>
      <c r="I89" s="77">
        <f t="shared" si="4"/>
        <v>569.84</v>
      </c>
      <c r="J89" s="123" t="str">
        <f>IFERROR(VLOOKUP($C89,'CEDARS School FRPL'!C:H,4,FALSE),"No")</f>
        <v>No</v>
      </c>
      <c r="K89" s="109"/>
      <c r="L89" s="109"/>
      <c r="M89" s="110">
        <f>IFERROR(VLOOKUP($C89,'CEDARS School FRPL'!C:H,3,FALSE),0)</f>
        <v>0.31609999999999999</v>
      </c>
      <c r="N89" s="123" t="str">
        <f>IFERROR(VLOOKUP(C89,'CEDARS School FRPL'!C:H,6,FALSE),"No")</f>
        <v>No</v>
      </c>
      <c r="O89" s="147"/>
      <c r="P89" s="148"/>
    </row>
    <row r="90" spans="1:16">
      <c r="A90" s="95" t="s">
        <v>2290</v>
      </c>
      <c r="B90" s="95" t="s">
        <v>265</v>
      </c>
      <c r="C90" s="4">
        <v>5360</v>
      </c>
      <c r="D90" s="95" t="s">
        <v>283</v>
      </c>
      <c r="E90" s="145">
        <v>0</v>
      </c>
      <c r="F90" s="145">
        <v>0</v>
      </c>
      <c r="G90" s="145">
        <v>16.14</v>
      </c>
      <c r="H90" s="145">
        <v>0</v>
      </c>
      <c r="I90" s="77">
        <f t="shared" si="4"/>
        <v>16.14</v>
      </c>
      <c r="J90" s="123" t="str">
        <f>IFERROR(VLOOKUP($C90,'CEDARS School FRPL'!C:H,4,FALSE),"No")</f>
        <v>No</v>
      </c>
      <c r="K90" s="109"/>
      <c r="L90" s="109"/>
      <c r="M90" s="110">
        <f>IFERROR(VLOOKUP($C90,'CEDARS School FRPL'!C:H,3,FALSE),0)</f>
        <v>0.37166666666666665</v>
      </c>
      <c r="N90" s="123" t="str">
        <f>IFERROR(VLOOKUP(C90,'CEDARS School FRPL'!C:H,6,FALSE),"No")</f>
        <v>No</v>
      </c>
      <c r="O90" s="147"/>
      <c r="P90" s="148"/>
    </row>
    <row r="91" spans="1:16">
      <c r="A91" s="95" t="s">
        <v>2290</v>
      </c>
      <c r="B91" s="95" t="s">
        <v>265</v>
      </c>
      <c r="C91" s="4">
        <v>5502</v>
      </c>
      <c r="D91" s="95" t="s">
        <v>2863</v>
      </c>
      <c r="E91" s="145">
        <v>11.86</v>
      </c>
      <c r="F91" s="145">
        <v>0</v>
      </c>
      <c r="G91" s="145">
        <v>0</v>
      </c>
      <c r="H91" s="145">
        <v>0</v>
      </c>
      <c r="I91" s="77">
        <f t="shared" si="4"/>
        <v>11.86</v>
      </c>
      <c r="J91" s="123" t="str">
        <f>IFERROR(VLOOKUP($C91,'CEDARS School FRPL'!C:H,4,FALSE),"No")</f>
        <v>No</v>
      </c>
      <c r="K91" s="109"/>
      <c r="L91" s="109"/>
      <c r="M91" s="110">
        <f>IFERROR(VLOOKUP($C91,'CEDARS School FRPL'!C:H,3,FALSE),0)</f>
        <v>0.44843333333333329</v>
      </c>
      <c r="N91" s="123" t="str">
        <f>IFERROR(VLOOKUP(C91,'CEDARS School FRPL'!C:H,6,FALSE),"No")</f>
        <v>No</v>
      </c>
      <c r="O91" s="147"/>
      <c r="P91" s="148"/>
    </row>
    <row r="92" spans="1:16">
      <c r="A92" s="95" t="s">
        <v>2356</v>
      </c>
      <c r="B92" s="95" t="s">
        <v>763</v>
      </c>
      <c r="C92" s="4">
        <v>2701</v>
      </c>
      <c r="D92" s="95" t="s">
        <v>764</v>
      </c>
      <c r="E92" s="145">
        <v>1403.66</v>
      </c>
      <c r="F92" s="145">
        <v>103.47</v>
      </c>
      <c r="G92" s="145">
        <v>0</v>
      </c>
      <c r="H92" s="145">
        <v>0</v>
      </c>
      <c r="I92" s="77">
        <f t="shared" si="4"/>
        <v>1507.13</v>
      </c>
      <c r="J92" s="123" t="str">
        <f>IFERROR(VLOOKUP($C92,'CEDARS School FRPL'!C:H,4,FALSE),"No")</f>
        <v>No</v>
      </c>
      <c r="K92" s="109"/>
      <c r="L92" s="109"/>
      <c r="M92" s="110">
        <f>IFERROR(VLOOKUP($C92,'CEDARS School FRPL'!C:H,3,FALSE),0)</f>
        <v>9.0933333333333324E-2</v>
      </c>
      <c r="N92" s="123" t="str">
        <f>IFERROR(VLOOKUP(C92,'CEDARS School FRPL'!C:H,6,FALSE),"No")</f>
        <v>No</v>
      </c>
      <c r="O92" s="147"/>
      <c r="P92" s="148"/>
    </row>
    <row r="93" spans="1:16">
      <c r="A93" s="95" t="s">
        <v>2356</v>
      </c>
      <c r="B93" s="95" t="s">
        <v>763</v>
      </c>
      <c r="C93" s="4">
        <v>2846</v>
      </c>
      <c r="D93" s="95" t="s">
        <v>765</v>
      </c>
      <c r="E93" s="145">
        <v>381.29</v>
      </c>
      <c r="F93" s="145">
        <v>0</v>
      </c>
      <c r="G93" s="145">
        <v>0</v>
      </c>
      <c r="H93" s="145">
        <v>0</v>
      </c>
      <c r="I93" s="77">
        <f t="shared" si="4"/>
        <v>381.29</v>
      </c>
      <c r="J93" s="123" t="str">
        <f>IFERROR(VLOOKUP($C93,'CEDARS School FRPL'!C:H,4,FALSE),"No")</f>
        <v>No</v>
      </c>
      <c r="K93" s="109"/>
      <c r="L93" s="109"/>
      <c r="M93" s="110">
        <f>IFERROR(VLOOKUP($C93,'CEDARS School FRPL'!C:H,3,FALSE),0)</f>
        <v>0.13703333333333331</v>
      </c>
      <c r="N93" s="123" t="str">
        <f>IFERROR(VLOOKUP(C93,'CEDARS School FRPL'!C:H,6,FALSE),"No")</f>
        <v>No</v>
      </c>
      <c r="O93" s="147"/>
      <c r="P93" s="148"/>
    </row>
    <row r="94" spans="1:16">
      <c r="A94" s="95" t="s">
        <v>2356</v>
      </c>
      <c r="B94" s="95" t="s">
        <v>763</v>
      </c>
      <c r="C94" s="4">
        <v>2847</v>
      </c>
      <c r="D94" s="95" t="s">
        <v>766</v>
      </c>
      <c r="E94" s="145">
        <v>441.74</v>
      </c>
      <c r="F94" s="145">
        <v>0</v>
      </c>
      <c r="G94" s="145">
        <v>0</v>
      </c>
      <c r="H94" s="145">
        <v>0</v>
      </c>
      <c r="I94" s="77">
        <f t="shared" si="4"/>
        <v>441.74</v>
      </c>
      <c r="J94" s="123" t="str">
        <f>IFERROR(VLOOKUP($C94,'CEDARS School FRPL'!C:H,4,FALSE),"No")</f>
        <v>No</v>
      </c>
      <c r="K94" s="109"/>
      <c r="L94" s="109"/>
      <c r="M94" s="110">
        <f>IFERROR(VLOOKUP($C94,'CEDARS School FRPL'!C:H,3,FALSE),0)</f>
        <v>7.7200000000000005E-2</v>
      </c>
      <c r="N94" s="123" t="str">
        <f>IFERROR(VLOOKUP(C94,'CEDARS School FRPL'!C:H,6,FALSE),"No")</f>
        <v>No</v>
      </c>
      <c r="O94" s="147"/>
      <c r="P94" s="148"/>
    </row>
    <row r="95" spans="1:16">
      <c r="A95" s="95" t="s">
        <v>2356</v>
      </c>
      <c r="B95" s="95" t="s">
        <v>763</v>
      </c>
      <c r="C95" s="4">
        <v>3036</v>
      </c>
      <c r="D95" s="95" t="s">
        <v>36</v>
      </c>
      <c r="E95" s="145">
        <v>339.86</v>
      </c>
      <c r="F95" s="145">
        <v>0</v>
      </c>
      <c r="G95" s="145">
        <v>0</v>
      </c>
      <c r="H95" s="145">
        <v>0</v>
      </c>
      <c r="I95" s="77">
        <f t="shared" si="4"/>
        <v>339.86</v>
      </c>
      <c r="J95" s="123" t="str">
        <f>IFERROR(VLOOKUP($C95,'CEDARS School FRPL'!C:H,4,FALSE),"No")</f>
        <v>No</v>
      </c>
      <c r="K95" s="109"/>
      <c r="L95" s="109"/>
      <c r="M95" s="110">
        <f>IFERROR(VLOOKUP($C95,'CEDARS School FRPL'!C:H,3,FALSE),0)</f>
        <v>0.13066666666666668</v>
      </c>
      <c r="N95" s="123" t="str">
        <f>IFERROR(VLOOKUP(C95,'CEDARS School FRPL'!C:H,6,FALSE),"No")</f>
        <v>No</v>
      </c>
      <c r="O95" s="147"/>
      <c r="P95" s="148"/>
    </row>
    <row r="96" spans="1:16">
      <c r="A96" s="95" t="s">
        <v>2356</v>
      </c>
      <c r="B96" s="95" t="s">
        <v>763</v>
      </c>
      <c r="C96" s="4">
        <v>3100</v>
      </c>
      <c r="D96" s="95" t="s">
        <v>767</v>
      </c>
      <c r="E96" s="145">
        <v>499.36</v>
      </c>
      <c r="F96" s="145">
        <v>0</v>
      </c>
      <c r="G96" s="145">
        <v>0</v>
      </c>
      <c r="H96" s="145">
        <v>0</v>
      </c>
      <c r="I96" s="77">
        <f t="shared" si="4"/>
        <v>499.36</v>
      </c>
      <c r="J96" s="123" t="str">
        <f>IFERROR(VLOOKUP($C96,'CEDARS School FRPL'!C:H,4,FALSE),"No")</f>
        <v>No</v>
      </c>
      <c r="K96" s="109"/>
      <c r="L96" s="109"/>
      <c r="M96" s="110">
        <f>IFERROR(VLOOKUP($C96,'CEDARS School FRPL'!C:H,3,FALSE),0)</f>
        <v>0.41323333333333334</v>
      </c>
      <c r="N96" s="123" t="str">
        <f>IFERROR(VLOOKUP(C96,'CEDARS School FRPL'!C:H,6,FALSE),"No")</f>
        <v>No</v>
      </c>
      <c r="O96" s="147"/>
      <c r="P96" s="148"/>
    </row>
    <row r="97" spans="1:16">
      <c r="A97" s="95" t="s">
        <v>2356</v>
      </c>
      <c r="B97" s="95" t="s">
        <v>763</v>
      </c>
      <c r="C97" s="4">
        <v>3166</v>
      </c>
      <c r="D97" s="95" t="s">
        <v>768</v>
      </c>
      <c r="E97" s="145">
        <v>637.03</v>
      </c>
      <c r="F97" s="145">
        <v>0</v>
      </c>
      <c r="G97" s="145">
        <v>0</v>
      </c>
      <c r="H97" s="145">
        <v>0</v>
      </c>
      <c r="I97" s="77">
        <f t="shared" si="4"/>
        <v>637.03</v>
      </c>
      <c r="J97" s="123" t="str">
        <f>IFERROR(VLOOKUP($C97,'CEDARS School FRPL'!C:H,4,FALSE),"No")</f>
        <v>No</v>
      </c>
      <c r="K97" s="109"/>
      <c r="L97" s="109"/>
      <c r="M97" s="110">
        <f>IFERROR(VLOOKUP($C97,'CEDARS School FRPL'!C:H,3,FALSE),0)</f>
        <v>0.48900000000000005</v>
      </c>
      <c r="N97" s="123" t="str">
        <f>IFERROR(VLOOKUP(C97,'CEDARS School FRPL'!C:H,6,FALSE),"No")</f>
        <v>No</v>
      </c>
      <c r="O97" s="147"/>
      <c r="P97" s="148"/>
    </row>
    <row r="98" spans="1:16">
      <c r="A98" s="95" t="s">
        <v>2356</v>
      </c>
      <c r="B98" s="95" t="s">
        <v>763</v>
      </c>
      <c r="C98" s="4">
        <v>3167</v>
      </c>
      <c r="D98" s="95" t="s">
        <v>769</v>
      </c>
      <c r="E98" s="145">
        <v>327.71</v>
      </c>
      <c r="F98" s="145">
        <v>0</v>
      </c>
      <c r="G98" s="145">
        <v>0</v>
      </c>
      <c r="H98" s="145">
        <v>0</v>
      </c>
      <c r="I98" s="77">
        <f t="shared" si="4"/>
        <v>327.71</v>
      </c>
      <c r="J98" s="123" t="str">
        <f>IFERROR(VLOOKUP($C98,'CEDARS School FRPL'!C:H,4,FALSE),"No")</f>
        <v>No</v>
      </c>
      <c r="K98" s="109"/>
      <c r="L98" s="109"/>
      <c r="M98" s="110">
        <f>IFERROR(VLOOKUP($C98,'CEDARS School FRPL'!C:H,3,FALSE),0)</f>
        <v>0.16006666666666666</v>
      </c>
      <c r="N98" s="123" t="str">
        <f>IFERROR(VLOOKUP(C98,'CEDARS School FRPL'!C:H,6,FALSE),"No")</f>
        <v>No</v>
      </c>
      <c r="O98" s="147"/>
      <c r="P98" s="148"/>
    </row>
    <row r="99" spans="1:16">
      <c r="A99" s="95" t="s">
        <v>2356</v>
      </c>
      <c r="B99" s="95" t="s">
        <v>763</v>
      </c>
      <c r="C99" s="4">
        <v>3168</v>
      </c>
      <c r="D99" s="95" t="s">
        <v>770</v>
      </c>
      <c r="E99" s="145">
        <v>333.17</v>
      </c>
      <c r="F99" s="145">
        <v>0</v>
      </c>
      <c r="G99" s="145">
        <v>0</v>
      </c>
      <c r="H99" s="145">
        <v>0</v>
      </c>
      <c r="I99" s="77">
        <f t="shared" si="4"/>
        <v>333.17</v>
      </c>
      <c r="J99" s="123" t="str">
        <f>IFERROR(VLOOKUP($C99,'CEDARS School FRPL'!C:H,4,FALSE),"No")</f>
        <v>No</v>
      </c>
      <c r="K99" s="109"/>
      <c r="L99" s="109"/>
      <c r="M99" s="110">
        <f>IFERROR(VLOOKUP($C99,'CEDARS School FRPL'!C:H,3,FALSE),0)</f>
        <v>0.21006666666666665</v>
      </c>
      <c r="N99" s="123" t="str">
        <f>IFERROR(VLOOKUP(C99,'CEDARS School FRPL'!C:H,6,FALSE),"No")</f>
        <v>No</v>
      </c>
      <c r="O99" s="147"/>
      <c r="P99" s="148"/>
    </row>
    <row r="100" spans="1:16">
      <c r="A100" s="95" t="s">
        <v>2356</v>
      </c>
      <c r="B100" s="95" t="s">
        <v>763</v>
      </c>
      <c r="C100" s="4">
        <v>3224</v>
      </c>
      <c r="D100" s="95" t="s">
        <v>771</v>
      </c>
      <c r="E100" s="145">
        <v>466.83</v>
      </c>
      <c r="F100" s="145">
        <v>0</v>
      </c>
      <c r="G100" s="145">
        <v>0</v>
      </c>
      <c r="H100" s="145">
        <v>0</v>
      </c>
      <c r="I100" s="77">
        <f t="shared" si="4"/>
        <v>466.83</v>
      </c>
      <c r="J100" s="123" t="str">
        <f>IFERROR(VLOOKUP($C100,'CEDARS School FRPL'!C:H,4,FALSE),"No")</f>
        <v>No</v>
      </c>
      <c r="K100" s="109"/>
      <c r="L100" s="109"/>
      <c r="M100" s="110">
        <f>IFERROR(VLOOKUP($C100,'CEDARS School FRPL'!C:H,3,FALSE),0)</f>
        <v>7.959999999999999E-2</v>
      </c>
      <c r="N100" s="123" t="str">
        <f>IFERROR(VLOOKUP(C100,'CEDARS School FRPL'!C:H,6,FALSE),"No")</f>
        <v>No</v>
      </c>
      <c r="O100" s="147"/>
      <c r="P100" s="148"/>
    </row>
    <row r="101" spans="1:16">
      <c r="A101" s="95" t="s">
        <v>2356</v>
      </c>
      <c r="B101" s="95" t="s">
        <v>763</v>
      </c>
      <c r="C101" s="4">
        <v>3225</v>
      </c>
      <c r="D101" s="95" t="s">
        <v>772</v>
      </c>
      <c r="E101" s="145">
        <v>426.71</v>
      </c>
      <c r="F101" s="145">
        <v>0</v>
      </c>
      <c r="G101" s="145">
        <v>0</v>
      </c>
      <c r="H101" s="145">
        <v>0</v>
      </c>
      <c r="I101" s="77">
        <f t="shared" si="4"/>
        <v>426.71</v>
      </c>
      <c r="J101" s="123" t="str">
        <f>IFERROR(VLOOKUP($C101,'CEDARS School FRPL'!C:H,4,FALSE),"No")</f>
        <v>Yes</v>
      </c>
      <c r="K101" s="109"/>
      <c r="L101" s="109"/>
      <c r="M101" s="110">
        <f>IFERROR(VLOOKUP($C101,'CEDARS School FRPL'!C:H,3,FALSE),0)</f>
        <v>0.52703333333333335</v>
      </c>
      <c r="N101" s="123" t="str">
        <f>IFERROR(VLOOKUP(C101,'CEDARS School FRPL'!C:H,6,FALSE),"No")</f>
        <v>No</v>
      </c>
      <c r="O101" s="147"/>
      <c r="P101" s="148"/>
    </row>
    <row r="102" spans="1:16">
      <c r="A102" s="95" t="s">
        <v>2356</v>
      </c>
      <c r="B102" s="95" t="s">
        <v>763</v>
      </c>
      <c r="C102" s="4">
        <v>3282</v>
      </c>
      <c r="D102" s="95" t="s">
        <v>773</v>
      </c>
      <c r="E102" s="145">
        <v>1140.57</v>
      </c>
      <c r="F102" s="145">
        <v>120.27000000000001</v>
      </c>
      <c r="G102" s="145">
        <v>0</v>
      </c>
      <c r="H102" s="145">
        <v>0</v>
      </c>
      <c r="I102" s="77">
        <f t="shared" si="4"/>
        <v>1260.8399999999999</v>
      </c>
      <c r="J102" s="123" t="str">
        <f>IFERROR(VLOOKUP($C102,'CEDARS School FRPL'!C:H,4,FALSE),"No")</f>
        <v>No</v>
      </c>
      <c r="K102" s="109"/>
      <c r="L102" s="109"/>
      <c r="M102" s="110">
        <f>IFERROR(VLOOKUP($C102,'CEDARS School FRPL'!C:H,3,FALSE),0)</f>
        <v>0.31143333333333328</v>
      </c>
      <c r="N102" s="123" t="str">
        <f>IFERROR(VLOOKUP(C102,'CEDARS School FRPL'!C:H,6,FALSE),"No")</f>
        <v>No</v>
      </c>
      <c r="O102" s="147"/>
      <c r="P102" s="148"/>
    </row>
    <row r="103" spans="1:16">
      <c r="A103" s="95" t="s">
        <v>2356</v>
      </c>
      <c r="B103" s="95" t="s">
        <v>763</v>
      </c>
      <c r="C103" s="4">
        <v>3283</v>
      </c>
      <c r="D103" s="95" t="s">
        <v>774</v>
      </c>
      <c r="E103" s="145">
        <v>963.54</v>
      </c>
      <c r="F103" s="145">
        <v>0</v>
      </c>
      <c r="G103" s="145">
        <v>0</v>
      </c>
      <c r="H103" s="145">
        <v>0</v>
      </c>
      <c r="I103" s="77">
        <f t="shared" si="4"/>
        <v>963.54</v>
      </c>
      <c r="J103" s="123" t="str">
        <f>IFERROR(VLOOKUP($C103,'CEDARS School FRPL'!C:H,4,FALSE),"No")</f>
        <v>No</v>
      </c>
      <c r="K103" s="109"/>
      <c r="L103" s="109"/>
      <c r="M103" s="110">
        <f>IFERROR(VLOOKUP($C103,'CEDARS School FRPL'!C:H,3,FALSE),0)</f>
        <v>0.11183333333333334</v>
      </c>
      <c r="N103" s="123" t="str">
        <f>IFERROR(VLOOKUP(C103,'CEDARS School FRPL'!C:H,6,FALSE),"No")</f>
        <v>No</v>
      </c>
      <c r="O103" s="147"/>
      <c r="P103" s="148"/>
    </row>
    <row r="104" spans="1:16">
      <c r="A104" s="95" t="s">
        <v>2356</v>
      </c>
      <c r="B104" s="95" t="s">
        <v>763</v>
      </c>
      <c r="C104" s="4">
        <v>3338</v>
      </c>
      <c r="D104" s="95" t="s">
        <v>59</v>
      </c>
      <c r="E104" s="145">
        <v>790.5</v>
      </c>
      <c r="F104" s="145">
        <v>0</v>
      </c>
      <c r="G104" s="145">
        <v>0</v>
      </c>
      <c r="H104" s="145">
        <v>0</v>
      </c>
      <c r="I104" s="77">
        <f t="shared" si="4"/>
        <v>790.5</v>
      </c>
      <c r="J104" s="123" t="str">
        <f>IFERROR(VLOOKUP($C104,'CEDARS School FRPL'!C:H,4,FALSE),"No")</f>
        <v>No</v>
      </c>
      <c r="K104" s="109"/>
      <c r="L104" s="109"/>
      <c r="M104" s="110">
        <f>IFERROR(VLOOKUP($C104,'CEDARS School FRPL'!C:H,3,FALSE),0)</f>
        <v>0.1229</v>
      </c>
      <c r="N104" s="123" t="str">
        <f>IFERROR(VLOOKUP(C104,'CEDARS School FRPL'!C:H,6,FALSE),"No")</f>
        <v>No</v>
      </c>
      <c r="O104" s="147"/>
      <c r="P104" s="148"/>
    </row>
    <row r="105" spans="1:16">
      <c r="A105" s="95" t="s">
        <v>2356</v>
      </c>
      <c r="B105" s="95" t="s">
        <v>763</v>
      </c>
      <c r="C105" s="4">
        <v>3339</v>
      </c>
      <c r="D105" s="95" t="s">
        <v>775</v>
      </c>
      <c r="E105" s="145">
        <v>371.56</v>
      </c>
      <c r="F105" s="145">
        <v>0</v>
      </c>
      <c r="G105" s="145">
        <v>0</v>
      </c>
      <c r="H105" s="145">
        <v>0</v>
      </c>
      <c r="I105" s="77">
        <f t="shared" si="4"/>
        <v>371.56</v>
      </c>
      <c r="J105" s="123" t="str">
        <f>IFERROR(VLOOKUP($C105,'CEDARS School FRPL'!C:H,4,FALSE),"No")</f>
        <v>No</v>
      </c>
      <c r="K105" s="109"/>
      <c r="L105" s="109"/>
      <c r="M105" s="110">
        <f>IFERROR(VLOOKUP($C105,'CEDARS School FRPL'!C:H,3,FALSE),0)</f>
        <v>0.42103333333333337</v>
      </c>
      <c r="N105" s="123" t="str">
        <f>IFERROR(VLOOKUP(C105,'CEDARS School FRPL'!C:H,6,FALSE),"No")</f>
        <v>No</v>
      </c>
      <c r="O105" s="147"/>
      <c r="P105" s="148"/>
    </row>
    <row r="106" spans="1:16">
      <c r="A106" s="95" t="s">
        <v>2356</v>
      </c>
      <c r="B106" s="95" t="s">
        <v>763</v>
      </c>
      <c r="C106" s="4">
        <v>3435</v>
      </c>
      <c r="D106" s="95" t="s">
        <v>776</v>
      </c>
      <c r="E106" s="145">
        <v>733.26</v>
      </c>
      <c r="F106" s="145">
        <v>0</v>
      </c>
      <c r="G106" s="145">
        <v>0</v>
      </c>
      <c r="H106" s="145">
        <v>0</v>
      </c>
      <c r="I106" s="77">
        <f t="shared" si="4"/>
        <v>733.26</v>
      </c>
      <c r="J106" s="123" t="str">
        <f>IFERROR(VLOOKUP($C106,'CEDARS School FRPL'!C:H,4,FALSE),"No")</f>
        <v>No</v>
      </c>
      <c r="K106" s="109"/>
      <c r="L106" s="109"/>
      <c r="M106" s="110">
        <f>IFERROR(VLOOKUP($C106,'CEDARS School FRPL'!C:H,3,FALSE),0)</f>
        <v>0.12920000000000001</v>
      </c>
      <c r="N106" s="123" t="str">
        <f>IFERROR(VLOOKUP(C106,'CEDARS School FRPL'!C:H,6,FALSE),"No")</f>
        <v>No</v>
      </c>
      <c r="O106" s="147"/>
      <c r="P106" s="148"/>
    </row>
    <row r="107" spans="1:16">
      <c r="A107" s="95" t="s">
        <v>2356</v>
      </c>
      <c r="B107" s="95" t="s">
        <v>763</v>
      </c>
      <c r="C107" s="4">
        <v>3436</v>
      </c>
      <c r="D107" s="95" t="s">
        <v>777</v>
      </c>
      <c r="E107" s="145">
        <v>448.86</v>
      </c>
      <c r="F107" s="145">
        <v>0</v>
      </c>
      <c r="G107" s="145">
        <v>0</v>
      </c>
      <c r="H107" s="145">
        <v>0</v>
      </c>
      <c r="I107" s="77">
        <f t="shared" si="4"/>
        <v>448.86</v>
      </c>
      <c r="J107" s="123" t="str">
        <f>IFERROR(VLOOKUP($C107,'CEDARS School FRPL'!C:H,4,FALSE),"No")</f>
        <v>No</v>
      </c>
      <c r="K107" s="109"/>
      <c r="L107" s="109"/>
      <c r="M107" s="110">
        <f>IFERROR(VLOOKUP($C107,'CEDARS School FRPL'!C:H,3,FALSE),0)</f>
        <v>1.23E-2</v>
      </c>
      <c r="N107" s="123" t="str">
        <f>IFERROR(VLOOKUP(C107,'CEDARS School FRPL'!C:H,6,FALSE),"No")</f>
        <v>No</v>
      </c>
      <c r="O107" s="147"/>
      <c r="P107" s="148"/>
    </row>
    <row r="108" spans="1:16">
      <c r="A108" s="95" t="s">
        <v>2356</v>
      </c>
      <c r="B108" s="95" t="s">
        <v>763</v>
      </c>
      <c r="C108" s="4">
        <v>3437</v>
      </c>
      <c r="D108" s="95" t="s">
        <v>778</v>
      </c>
      <c r="E108" s="145">
        <v>421.06</v>
      </c>
      <c r="F108" s="145">
        <v>0</v>
      </c>
      <c r="G108" s="145">
        <v>0</v>
      </c>
      <c r="H108" s="145">
        <v>0</v>
      </c>
      <c r="I108" s="77">
        <f t="shared" si="4"/>
        <v>421.06</v>
      </c>
      <c r="J108" s="123" t="str">
        <f>IFERROR(VLOOKUP($C108,'CEDARS School FRPL'!C:H,4,FALSE),"No")</f>
        <v>No</v>
      </c>
      <c r="K108" s="109"/>
      <c r="L108" s="109"/>
      <c r="M108" s="110">
        <f>IFERROR(VLOOKUP($C108,'CEDARS School FRPL'!C:H,3,FALSE),0)</f>
        <v>0.18403333333333335</v>
      </c>
      <c r="N108" s="123" t="str">
        <f>IFERROR(VLOOKUP(C108,'CEDARS School FRPL'!C:H,6,FALSE),"No")</f>
        <v>No</v>
      </c>
      <c r="O108" s="147"/>
      <c r="P108" s="148"/>
    </row>
    <row r="109" spans="1:16">
      <c r="A109" s="95" t="s">
        <v>2356</v>
      </c>
      <c r="B109" s="95" t="s">
        <v>763</v>
      </c>
      <c r="C109" s="4">
        <v>3486</v>
      </c>
      <c r="D109" s="95" t="s">
        <v>779</v>
      </c>
      <c r="E109" s="145">
        <v>1701.68</v>
      </c>
      <c r="F109" s="145">
        <v>95.41</v>
      </c>
      <c r="G109" s="145">
        <v>0</v>
      </c>
      <c r="H109" s="145">
        <v>0</v>
      </c>
      <c r="I109" s="77">
        <f t="shared" si="4"/>
        <v>1797.0900000000001</v>
      </c>
      <c r="J109" s="123" t="str">
        <f>IFERROR(VLOOKUP($C109,'CEDARS School FRPL'!C:H,4,FALSE),"No")</f>
        <v>No</v>
      </c>
      <c r="K109" s="109"/>
      <c r="L109" s="109"/>
      <c r="M109" s="110">
        <f>IFERROR(VLOOKUP($C109,'CEDARS School FRPL'!C:H,3,FALSE),0)</f>
        <v>8.9599999999999999E-2</v>
      </c>
      <c r="N109" s="123" t="str">
        <f>IFERROR(VLOOKUP(C109,'CEDARS School FRPL'!C:H,6,FALSE),"No")</f>
        <v>No</v>
      </c>
      <c r="O109" s="147"/>
      <c r="P109" s="148"/>
    </row>
    <row r="110" spans="1:16">
      <c r="A110" s="95" t="s">
        <v>2356</v>
      </c>
      <c r="B110" s="95" t="s">
        <v>763</v>
      </c>
      <c r="C110" s="4">
        <v>3522</v>
      </c>
      <c r="D110" s="95" t="s">
        <v>780</v>
      </c>
      <c r="E110" s="145">
        <v>585.12</v>
      </c>
      <c r="F110" s="145">
        <v>0.45</v>
      </c>
      <c r="G110" s="145">
        <v>0</v>
      </c>
      <c r="H110" s="145">
        <v>0</v>
      </c>
      <c r="I110" s="77">
        <f t="shared" si="4"/>
        <v>585.57000000000005</v>
      </c>
      <c r="J110" s="123" t="str">
        <f>IFERROR(VLOOKUP($C110,'CEDARS School FRPL'!C:H,4,FALSE),"No")</f>
        <v>No</v>
      </c>
      <c r="K110" s="109"/>
      <c r="L110" s="109"/>
      <c r="M110" s="110">
        <f>IFERROR(VLOOKUP($C110,'CEDARS School FRPL'!C:H,3,FALSE),0)</f>
        <v>7.1300000000000002E-2</v>
      </c>
      <c r="N110" s="123" t="str">
        <f>IFERROR(VLOOKUP(C110,'CEDARS School FRPL'!C:H,6,FALSE),"No")</f>
        <v>No</v>
      </c>
      <c r="O110" s="147"/>
      <c r="P110" s="148"/>
    </row>
    <row r="111" spans="1:16">
      <c r="A111" s="95" t="s">
        <v>2356</v>
      </c>
      <c r="B111" s="95" t="s">
        <v>763</v>
      </c>
      <c r="C111" s="4">
        <v>3588</v>
      </c>
      <c r="D111" s="95" t="s">
        <v>781</v>
      </c>
      <c r="E111" s="145">
        <v>1437.47</v>
      </c>
      <c r="F111" s="145">
        <v>112.05</v>
      </c>
      <c r="G111" s="145">
        <v>0</v>
      </c>
      <c r="H111" s="145">
        <v>0</v>
      </c>
      <c r="I111" s="77">
        <f t="shared" si="4"/>
        <v>1549.52</v>
      </c>
      <c r="J111" s="123" t="str">
        <f>IFERROR(VLOOKUP($C111,'CEDARS School FRPL'!C:H,4,FALSE),"No")</f>
        <v>No</v>
      </c>
      <c r="K111" s="109"/>
      <c r="L111" s="109"/>
      <c r="M111" s="110">
        <f>IFERROR(VLOOKUP($C111,'CEDARS School FRPL'!C:H,3,FALSE),0)</f>
        <v>0.19750000000000001</v>
      </c>
      <c r="N111" s="123" t="str">
        <f>IFERROR(VLOOKUP(C111,'CEDARS School FRPL'!C:H,6,FALSE),"No")</f>
        <v>No</v>
      </c>
      <c r="O111" s="147"/>
      <c r="P111" s="148"/>
    </row>
    <row r="112" spans="1:16">
      <c r="A112" s="95" t="s">
        <v>2356</v>
      </c>
      <c r="B112" s="95" t="s">
        <v>763</v>
      </c>
      <c r="C112" s="4">
        <v>3631</v>
      </c>
      <c r="D112" s="95" t="s">
        <v>782</v>
      </c>
      <c r="E112" s="145">
        <v>945.53</v>
      </c>
      <c r="F112" s="145">
        <v>0</v>
      </c>
      <c r="G112" s="145">
        <v>0</v>
      </c>
      <c r="H112" s="145">
        <v>0</v>
      </c>
      <c r="I112" s="77">
        <f t="shared" si="4"/>
        <v>945.53</v>
      </c>
      <c r="J112" s="123" t="str">
        <f>IFERROR(VLOOKUP($C112,'CEDARS School FRPL'!C:H,4,FALSE),"No")</f>
        <v>No</v>
      </c>
      <c r="K112" s="109"/>
      <c r="L112" s="109"/>
      <c r="M112" s="110">
        <f>IFERROR(VLOOKUP($C112,'CEDARS School FRPL'!C:H,3,FALSE),0)</f>
        <v>0.1694</v>
      </c>
      <c r="N112" s="123" t="str">
        <f>IFERROR(VLOOKUP(C112,'CEDARS School FRPL'!C:H,6,FALSE),"No")</f>
        <v>No</v>
      </c>
      <c r="O112" s="147"/>
      <c r="P112" s="148"/>
    </row>
    <row r="113" spans="1:16">
      <c r="A113" s="95" t="s">
        <v>2356</v>
      </c>
      <c r="B113" s="95" t="s">
        <v>763</v>
      </c>
      <c r="C113" s="4">
        <v>3633</v>
      </c>
      <c r="D113" s="95" t="s">
        <v>783</v>
      </c>
      <c r="E113" s="145">
        <v>337.57</v>
      </c>
      <c r="F113" s="145">
        <v>0</v>
      </c>
      <c r="G113" s="145">
        <v>0</v>
      </c>
      <c r="H113" s="145">
        <v>0</v>
      </c>
      <c r="I113" s="77">
        <f t="shared" si="4"/>
        <v>337.57</v>
      </c>
      <c r="J113" s="123" t="str">
        <f>IFERROR(VLOOKUP($C113,'CEDARS School FRPL'!C:H,4,FALSE),"No")</f>
        <v>No</v>
      </c>
      <c r="K113" s="109"/>
      <c r="L113" s="109"/>
      <c r="M113" s="110">
        <f>IFERROR(VLOOKUP($C113,'CEDARS School FRPL'!C:H,3,FALSE),0)</f>
        <v>0.35793333333333338</v>
      </c>
      <c r="N113" s="123" t="str">
        <f>IFERROR(VLOOKUP(C113,'CEDARS School FRPL'!C:H,6,FALSE),"No")</f>
        <v>No</v>
      </c>
      <c r="O113" s="147"/>
      <c r="P113" s="148"/>
    </row>
    <row r="114" spans="1:16">
      <c r="A114" s="95" t="s">
        <v>2356</v>
      </c>
      <c r="B114" s="95" t="s">
        <v>763</v>
      </c>
      <c r="C114" s="4">
        <v>3634</v>
      </c>
      <c r="D114" s="95" t="s">
        <v>784</v>
      </c>
      <c r="E114" s="145">
        <v>608.59</v>
      </c>
      <c r="F114" s="145">
        <v>0</v>
      </c>
      <c r="G114" s="145">
        <v>0</v>
      </c>
      <c r="H114" s="145">
        <v>0</v>
      </c>
      <c r="I114" s="77">
        <f t="shared" si="4"/>
        <v>608.59</v>
      </c>
      <c r="J114" s="123" t="str">
        <f>IFERROR(VLOOKUP($C114,'CEDARS School FRPL'!C:H,4,FALSE),"No")</f>
        <v>No</v>
      </c>
      <c r="K114" s="109"/>
      <c r="L114" s="109"/>
      <c r="M114" s="110">
        <f>IFERROR(VLOOKUP($C114,'CEDARS School FRPL'!C:H,3,FALSE),0)</f>
        <v>9.2466666666666655E-2</v>
      </c>
      <c r="N114" s="123" t="str">
        <f>IFERROR(VLOOKUP(C114,'CEDARS School FRPL'!C:H,6,FALSE),"No")</f>
        <v>No</v>
      </c>
      <c r="O114" s="147"/>
      <c r="P114" s="148"/>
    </row>
    <row r="115" spans="1:16">
      <c r="A115" s="95" t="s">
        <v>2356</v>
      </c>
      <c r="B115" s="95" t="s">
        <v>763</v>
      </c>
      <c r="C115" s="4">
        <v>3705</v>
      </c>
      <c r="D115" s="95" t="s">
        <v>785</v>
      </c>
      <c r="E115" s="145">
        <v>375.71</v>
      </c>
      <c r="F115" s="145">
        <v>0</v>
      </c>
      <c r="G115" s="145">
        <v>0</v>
      </c>
      <c r="H115" s="145">
        <v>0</v>
      </c>
      <c r="I115" s="77">
        <f t="shared" si="4"/>
        <v>375.71</v>
      </c>
      <c r="J115" s="123" t="str">
        <f>IFERROR(VLOOKUP($C115,'CEDARS School FRPL'!C:H,4,FALSE),"No")</f>
        <v>No</v>
      </c>
      <c r="K115" s="109"/>
      <c r="L115" s="109"/>
      <c r="M115" s="110">
        <f>IFERROR(VLOOKUP($C115,'CEDARS School FRPL'!C:H,3,FALSE),0)</f>
        <v>7.1566666666666667E-2</v>
      </c>
      <c r="N115" s="123" t="str">
        <f>IFERROR(VLOOKUP(C115,'CEDARS School FRPL'!C:H,6,FALSE),"No")</f>
        <v>No</v>
      </c>
      <c r="O115" s="147"/>
      <c r="P115" s="148"/>
    </row>
    <row r="116" spans="1:16">
      <c r="A116" s="95" t="s">
        <v>2356</v>
      </c>
      <c r="B116" s="95" t="s">
        <v>763</v>
      </c>
      <c r="C116" s="4">
        <v>3742</v>
      </c>
      <c r="D116" s="95" t="s">
        <v>786</v>
      </c>
      <c r="E116" s="145">
        <v>547</v>
      </c>
      <c r="F116" s="145">
        <v>0</v>
      </c>
      <c r="G116" s="145">
        <v>0</v>
      </c>
      <c r="H116" s="145">
        <v>0</v>
      </c>
      <c r="I116" s="77">
        <f t="shared" si="4"/>
        <v>547</v>
      </c>
      <c r="J116" s="123" t="str">
        <f>IFERROR(VLOOKUP($C116,'CEDARS School FRPL'!C:H,4,FALSE),"No")</f>
        <v>No</v>
      </c>
      <c r="K116" s="109"/>
      <c r="L116" s="109"/>
      <c r="M116" s="110">
        <f>IFERROR(VLOOKUP($C116,'CEDARS School FRPL'!C:H,3,FALSE),0)</f>
        <v>2.9899999999999999E-2</v>
      </c>
      <c r="N116" s="123" t="str">
        <f>IFERROR(VLOOKUP(C116,'CEDARS School FRPL'!C:H,6,FALSE),"No")</f>
        <v>No</v>
      </c>
      <c r="O116" s="147"/>
      <c r="P116" s="148"/>
    </row>
    <row r="117" spans="1:16">
      <c r="A117" s="95" t="s">
        <v>2356</v>
      </c>
      <c r="B117" s="95" t="s">
        <v>763</v>
      </c>
      <c r="C117" s="4">
        <v>3789</v>
      </c>
      <c r="D117" s="95" t="s">
        <v>787</v>
      </c>
      <c r="E117" s="145">
        <v>631.57000000000005</v>
      </c>
      <c r="F117" s="145">
        <v>0</v>
      </c>
      <c r="G117" s="145">
        <v>0</v>
      </c>
      <c r="H117" s="145">
        <v>0</v>
      </c>
      <c r="I117" s="77">
        <f t="shared" si="4"/>
        <v>631.57000000000005</v>
      </c>
      <c r="J117" s="123" t="str">
        <f>IFERROR(VLOOKUP($C117,'CEDARS School FRPL'!C:H,4,FALSE),"No")</f>
        <v>No</v>
      </c>
      <c r="K117" s="109"/>
      <c r="L117" s="109"/>
      <c r="M117" s="110">
        <f>IFERROR(VLOOKUP($C117,'CEDARS School FRPL'!C:H,3,FALSE),0)</f>
        <v>4.0833333333333333E-2</v>
      </c>
      <c r="N117" s="123" t="str">
        <f>IFERROR(VLOOKUP(C117,'CEDARS School FRPL'!C:H,6,FALSE),"No")</f>
        <v>No</v>
      </c>
      <c r="O117" s="147"/>
      <c r="P117" s="148"/>
    </row>
    <row r="118" spans="1:16">
      <c r="A118" s="95" t="s">
        <v>2356</v>
      </c>
      <c r="B118" s="95" t="s">
        <v>763</v>
      </c>
      <c r="C118" s="4">
        <v>5240</v>
      </c>
      <c r="D118" s="95" t="s">
        <v>788</v>
      </c>
      <c r="E118" s="145">
        <v>359.54</v>
      </c>
      <c r="F118" s="145">
        <v>3.75</v>
      </c>
      <c r="G118" s="145">
        <v>0</v>
      </c>
      <c r="H118" s="145">
        <v>0</v>
      </c>
      <c r="I118" s="77">
        <f t="shared" si="4"/>
        <v>363.29</v>
      </c>
      <c r="J118" s="123" t="str">
        <f>IFERROR(VLOOKUP($C118,'CEDARS School FRPL'!C:H,4,FALSE),"No")</f>
        <v>No</v>
      </c>
      <c r="K118" s="109"/>
      <c r="L118" s="109"/>
      <c r="M118" s="110">
        <f>IFERROR(VLOOKUP($C118,'CEDARS School FRPL'!C:H,3,FALSE),0)</f>
        <v>0.14596666666666666</v>
      </c>
      <c r="N118" s="123" t="str">
        <f>IFERROR(VLOOKUP(C118,'CEDARS School FRPL'!C:H,6,FALSE),"No")</f>
        <v>No</v>
      </c>
      <c r="O118" s="147"/>
      <c r="P118" s="148"/>
    </row>
    <row r="119" spans="1:16">
      <c r="A119" s="95" t="s">
        <v>2356</v>
      </c>
      <c r="B119" s="95" t="s">
        <v>763</v>
      </c>
      <c r="C119" s="4">
        <v>5308</v>
      </c>
      <c r="D119" s="95" t="s">
        <v>790</v>
      </c>
      <c r="E119" s="145">
        <v>412.43</v>
      </c>
      <c r="F119" s="145">
        <v>0</v>
      </c>
      <c r="G119" s="145">
        <v>0</v>
      </c>
      <c r="H119" s="145">
        <v>0</v>
      </c>
      <c r="I119" s="77">
        <f t="shared" si="4"/>
        <v>412.43</v>
      </c>
      <c r="J119" s="123" t="str">
        <f>IFERROR(VLOOKUP($C119,'CEDARS School FRPL'!C:H,4,FALSE),"No")</f>
        <v>No</v>
      </c>
      <c r="K119" s="109"/>
      <c r="L119" s="109"/>
      <c r="M119" s="110">
        <f>IFERROR(VLOOKUP($C119,'CEDARS School FRPL'!C:H,3,FALSE),0)</f>
        <v>4.5766666666666671E-2</v>
      </c>
      <c r="N119" s="123" t="str">
        <f>IFERROR(VLOOKUP(C119,'CEDARS School FRPL'!C:H,6,FALSE),"No")</f>
        <v>No</v>
      </c>
      <c r="O119" s="147"/>
      <c r="P119" s="148"/>
    </row>
    <row r="120" spans="1:16">
      <c r="A120" s="95" t="s">
        <v>2356</v>
      </c>
      <c r="B120" s="95" t="s">
        <v>763</v>
      </c>
      <c r="C120" s="4">
        <v>5325</v>
      </c>
      <c r="D120" s="95" t="s">
        <v>791</v>
      </c>
      <c r="E120" s="145">
        <v>0</v>
      </c>
      <c r="F120" s="145">
        <v>0</v>
      </c>
      <c r="G120" s="145">
        <v>29.86</v>
      </c>
      <c r="H120" s="145">
        <v>0</v>
      </c>
      <c r="I120" s="77">
        <f t="shared" si="4"/>
        <v>29.86</v>
      </c>
      <c r="J120" s="123" t="str">
        <f>IFERROR(VLOOKUP($C120,'CEDARS School FRPL'!C:H,4,FALSE),"No")</f>
        <v>No</v>
      </c>
      <c r="K120" s="109"/>
      <c r="L120" s="109"/>
      <c r="M120" s="110">
        <f>IFERROR(VLOOKUP($C120,'CEDARS School FRPL'!C:H,3,FALSE),0)</f>
        <v>4.0766666666666666E-2</v>
      </c>
      <c r="N120" s="123" t="str">
        <f>IFERROR(VLOOKUP(C120,'CEDARS School FRPL'!C:H,6,FALSE),"No")</f>
        <v>No</v>
      </c>
      <c r="O120" s="147"/>
      <c r="P120" s="148"/>
    </row>
    <row r="121" spans="1:16">
      <c r="A121" s="95" t="s">
        <v>2356</v>
      </c>
      <c r="B121" s="95" t="s">
        <v>763</v>
      </c>
      <c r="C121" s="4">
        <v>5508</v>
      </c>
      <c r="D121" s="95" t="s">
        <v>2864</v>
      </c>
      <c r="E121" s="145">
        <v>402.07</v>
      </c>
      <c r="F121" s="145">
        <v>0</v>
      </c>
      <c r="G121" s="145">
        <v>0</v>
      </c>
      <c r="H121" s="145">
        <v>0</v>
      </c>
      <c r="I121" s="77">
        <f t="shared" si="4"/>
        <v>402.07</v>
      </c>
      <c r="J121" s="123" t="str">
        <f>IFERROR(VLOOKUP($C121,'CEDARS School FRPL'!C:H,4,FALSE),"No")</f>
        <v>No</v>
      </c>
      <c r="K121" s="109"/>
      <c r="L121" s="109"/>
      <c r="M121" s="110">
        <f>IFERROR(VLOOKUP($C121,'CEDARS School FRPL'!C:H,3,FALSE),0)</f>
        <v>0.11940000000000001</v>
      </c>
      <c r="N121" s="123" t="str">
        <f>IFERROR(VLOOKUP(C121,'CEDARS School FRPL'!C:H,6,FALSE),"No")</f>
        <v>No</v>
      </c>
      <c r="O121" s="147"/>
      <c r="P121" s="148"/>
    </row>
    <row r="122" spans="1:16">
      <c r="A122" s="95" t="s">
        <v>2532</v>
      </c>
      <c r="B122" s="95" t="s">
        <v>2064</v>
      </c>
      <c r="C122" s="4">
        <v>1647</v>
      </c>
      <c r="D122" s="95" t="s">
        <v>2065</v>
      </c>
      <c r="E122" s="145">
        <v>218.85</v>
      </c>
      <c r="F122" s="145">
        <v>4.2</v>
      </c>
      <c r="G122" s="145">
        <v>0</v>
      </c>
      <c r="H122" s="145">
        <v>0</v>
      </c>
      <c r="I122" s="77">
        <f t="shared" si="4"/>
        <v>223.04999999999998</v>
      </c>
      <c r="J122" s="123" t="str">
        <f>IFERROR(VLOOKUP($C122,'CEDARS School FRPL'!C:H,4,FALSE),"No")</f>
        <v>Yes</v>
      </c>
      <c r="K122" s="109"/>
      <c r="L122" s="109"/>
      <c r="M122" s="110">
        <f>IFERROR(VLOOKUP($C122,'CEDARS School FRPL'!C:H,3,FALSE),0)</f>
        <v>0.57353333333333334</v>
      </c>
      <c r="N122" s="123" t="str">
        <f>IFERROR(VLOOKUP(C122,'CEDARS School FRPL'!C:H,6,FALSE),"No")</f>
        <v>No</v>
      </c>
      <c r="O122" s="147"/>
      <c r="P122" s="148"/>
    </row>
    <row r="123" spans="1:16">
      <c r="A123" s="95" t="s">
        <v>2532</v>
      </c>
      <c r="B123" s="95" t="s">
        <v>2064</v>
      </c>
      <c r="C123" s="4">
        <v>1799</v>
      </c>
      <c r="D123" s="95" t="s">
        <v>2066</v>
      </c>
      <c r="E123" s="145">
        <v>4.42</v>
      </c>
      <c r="F123" s="145">
        <v>0</v>
      </c>
      <c r="G123" s="145">
        <v>0</v>
      </c>
      <c r="H123" s="145">
        <v>0</v>
      </c>
      <c r="I123" s="77">
        <f t="shared" si="4"/>
        <v>4.42</v>
      </c>
      <c r="J123" s="123" t="str">
        <f>IFERROR(VLOOKUP($C123,'CEDARS School FRPL'!C:H,4,FALSE),"No")</f>
        <v>No</v>
      </c>
      <c r="K123" s="109"/>
      <c r="L123" s="109"/>
      <c r="M123" s="110">
        <f>IFERROR(VLOOKUP($C123,'CEDARS School FRPL'!C:H,3,FALSE),0)</f>
        <v>2.5633333333333331E-2</v>
      </c>
      <c r="N123" s="123" t="str">
        <f>IFERROR(VLOOKUP(C123,'CEDARS School FRPL'!C:H,6,FALSE),"No")</f>
        <v>No</v>
      </c>
      <c r="O123" s="147"/>
      <c r="P123" s="148"/>
    </row>
    <row r="124" spans="1:16">
      <c r="A124" s="95" t="s">
        <v>2532</v>
      </c>
      <c r="B124" s="95" t="s">
        <v>2064</v>
      </c>
      <c r="C124" s="4">
        <v>2066</v>
      </c>
      <c r="D124" s="95" t="s">
        <v>2067</v>
      </c>
      <c r="E124" s="145">
        <v>615.67999999999995</v>
      </c>
      <c r="F124" s="145">
        <v>0</v>
      </c>
      <c r="G124" s="145">
        <v>0</v>
      </c>
      <c r="H124" s="145">
        <v>0</v>
      </c>
      <c r="I124" s="77">
        <f t="shared" si="4"/>
        <v>615.67999999999995</v>
      </c>
      <c r="J124" s="123" t="str">
        <f>IFERROR(VLOOKUP($C124,'CEDARS School FRPL'!C:H,4,FALSE),"No")</f>
        <v>No</v>
      </c>
      <c r="K124" s="109"/>
      <c r="L124" s="109"/>
      <c r="M124" s="110">
        <f>IFERROR(VLOOKUP($C124,'CEDARS School FRPL'!C:H,3,FALSE),0)</f>
        <v>0.22043333333333334</v>
      </c>
      <c r="N124" s="123" t="str">
        <f>IFERROR(VLOOKUP(C124,'CEDARS School FRPL'!C:H,6,FALSE),"No")</f>
        <v>No</v>
      </c>
      <c r="O124" s="147"/>
      <c r="P124" s="148"/>
    </row>
    <row r="125" spans="1:16">
      <c r="A125" s="95" t="s">
        <v>2532</v>
      </c>
      <c r="B125" s="95" t="s">
        <v>2064</v>
      </c>
      <c r="C125" s="4">
        <v>2067</v>
      </c>
      <c r="D125" s="95" t="s">
        <v>144</v>
      </c>
      <c r="E125" s="145">
        <v>353.94</v>
      </c>
      <c r="F125" s="145">
        <v>0</v>
      </c>
      <c r="G125" s="145">
        <v>0</v>
      </c>
      <c r="H125" s="145">
        <v>0</v>
      </c>
      <c r="I125" s="77">
        <f t="shared" si="4"/>
        <v>353.94</v>
      </c>
      <c r="J125" s="123" t="str">
        <f>IFERROR(VLOOKUP($C125,'CEDARS School FRPL'!C:H,4,FALSE),"No")</f>
        <v>No</v>
      </c>
      <c r="K125" s="109"/>
      <c r="L125" s="109"/>
      <c r="M125" s="110">
        <f>IFERROR(VLOOKUP($C125,'CEDARS School FRPL'!C:H,3,FALSE),0)</f>
        <v>0.45693333333333336</v>
      </c>
      <c r="N125" s="123" t="str">
        <f>IFERROR(VLOOKUP(C125,'CEDARS School FRPL'!C:H,6,FALSE),"No")</f>
        <v>No</v>
      </c>
      <c r="O125" s="147"/>
      <c r="P125" s="148"/>
    </row>
    <row r="126" spans="1:16">
      <c r="A126" s="95" t="s">
        <v>2532</v>
      </c>
      <c r="B126" s="95" t="s">
        <v>2064</v>
      </c>
      <c r="C126" s="4">
        <v>2075</v>
      </c>
      <c r="D126" s="95" t="s">
        <v>2068</v>
      </c>
      <c r="E126" s="145">
        <v>659.71</v>
      </c>
      <c r="F126" s="145">
        <v>0</v>
      </c>
      <c r="G126" s="145">
        <v>0</v>
      </c>
      <c r="H126" s="145">
        <v>0</v>
      </c>
      <c r="I126" s="77">
        <f t="shared" si="4"/>
        <v>659.71</v>
      </c>
      <c r="J126" s="123" t="str">
        <f>IFERROR(VLOOKUP($C126,'CEDARS School FRPL'!C:H,4,FALSE),"No")</f>
        <v>No</v>
      </c>
      <c r="K126" s="109"/>
      <c r="L126" s="109"/>
      <c r="M126" s="110">
        <f>IFERROR(VLOOKUP($C126,'CEDARS School FRPL'!C:H,3,FALSE),0)</f>
        <v>0.24960000000000002</v>
      </c>
      <c r="N126" s="123" t="str">
        <f>IFERROR(VLOOKUP(C126,'CEDARS School FRPL'!C:H,6,FALSE),"No")</f>
        <v>No</v>
      </c>
      <c r="O126" s="147"/>
      <c r="P126" s="148"/>
    </row>
    <row r="127" spans="1:16">
      <c r="A127" s="95" t="s">
        <v>2532</v>
      </c>
      <c r="B127" s="95" t="s">
        <v>2064</v>
      </c>
      <c r="C127" s="4">
        <v>2175</v>
      </c>
      <c r="D127" s="95" t="s">
        <v>2069</v>
      </c>
      <c r="E127" s="145">
        <v>401.41</v>
      </c>
      <c r="F127" s="145">
        <v>0</v>
      </c>
      <c r="G127" s="145">
        <v>0</v>
      </c>
      <c r="H127" s="145">
        <v>0</v>
      </c>
      <c r="I127" s="77">
        <f t="shared" si="4"/>
        <v>401.41</v>
      </c>
      <c r="J127" s="123" t="str">
        <f>IFERROR(VLOOKUP($C127,'CEDARS School FRPL'!C:H,4,FALSE),"No")</f>
        <v>No</v>
      </c>
      <c r="K127" s="107"/>
      <c r="L127" s="107"/>
      <c r="M127" s="110">
        <f>IFERROR(VLOOKUP($C127,'CEDARS School FRPL'!C:H,3,FALSE),0)</f>
        <v>0.15666666666666665</v>
      </c>
      <c r="N127" s="123" t="str">
        <f>IFERROR(VLOOKUP(C127,'CEDARS School FRPL'!C:H,6,FALSE),"No")</f>
        <v>No</v>
      </c>
      <c r="O127" s="147"/>
      <c r="P127" s="148"/>
    </row>
    <row r="128" spans="1:16">
      <c r="A128" s="95" t="s">
        <v>2532</v>
      </c>
      <c r="B128" s="95" t="s">
        <v>2064</v>
      </c>
      <c r="C128" s="4">
        <v>2225</v>
      </c>
      <c r="D128" s="95" t="s">
        <v>2070</v>
      </c>
      <c r="E128" s="145">
        <v>275.26</v>
      </c>
      <c r="F128" s="145">
        <v>0</v>
      </c>
      <c r="G128" s="145">
        <v>0</v>
      </c>
      <c r="H128" s="145">
        <v>0</v>
      </c>
      <c r="I128" s="77">
        <f t="shared" si="4"/>
        <v>275.26</v>
      </c>
      <c r="J128" s="123" t="str">
        <f>IFERROR(VLOOKUP($C128,'CEDARS School FRPL'!C:H,4,FALSE),"No")</f>
        <v>No</v>
      </c>
      <c r="K128" s="109"/>
      <c r="L128" s="109"/>
      <c r="M128" s="110">
        <f>IFERROR(VLOOKUP($C128,'CEDARS School FRPL'!C:H,3,FALSE),0)</f>
        <v>0.25993333333333335</v>
      </c>
      <c r="N128" s="123" t="str">
        <f>IFERROR(VLOOKUP(C128,'CEDARS School FRPL'!C:H,6,FALSE),"No")</f>
        <v>No</v>
      </c>
      <c r="O128" s="147"/>
      <c r="P128" s="148"/>
    </row>
    <row r="129" spans="1:16">
      <c r="A129" s="95" t="s">
        <v>2532</v>
      </c>
      <c r="B129" s="95" t="s">
        <v>2064</v>
      </c>
      <c r="C129" s="4">
        <v>2262</v>
      </c>
      <c r="D129" s="95" t="s">
        <v>2071</v>
      </c>
      <c r="E129" s="145">
        <v>426.93</v>
      </c>
      <c r="F129" s="145">
        <v>0</v>
      </c>
      <c r="G129" s="145">
        <v>0</v>
      </c>
      <c r="H129" s="145">
        <v>0</v>
      </c>
      <c r="I129" s="77">
        <f t="shared" si="4"/>
        <v>426.93</v>
      </c>
      <c r="J129" s="123" t="str">
        <f>IFERROR(VLOOKUP($C129,'CEDARS School FRPL'!C:H,4,FALSE),"No")</f>
        <v>No</v>
      </c>
      <c r="K129" s="109"/>
      <c r="L129" s="109"/>
      <c r="M129" s="110">
        <f>IFERROR(VLOOKUP($C129,'CEDARS School FRPL'!C:H,3,FALSE),0)</f>
        <v>0.24426666666666663</v>
      </c>
      <c r="N129" s="123" t="str">
        <f>IFERROR(VLOOKUP(C129,'CEDARS School FRPL'!C:H,6,FALSE),"No")</f>
        <v>No</v>
      </c>
      <c r="O129" s="147"/>
      <c r="P129" s="148"/>
    </row>
    <row r="130" spans="1:16">
      <c r="A130" s="95" t="s">
        <v>2532</v>
      </c>
      <c r="B130" s="95" t="s">
        <v>2064</v>
      </c>
      <c r="C130" s="4">
        <v>2365</v>
      </c>
      <c r="D130" s="95" t="s">
        <v>126</v>
      </c>
      <c r="E130" s="145">
        <v>252.7</v>
      </c>
      <c r="F130" s="145">
        <v>0</v>
      </c>
      <c r="G130" s="145">
        <v>0</v>
      </c>
      <c r="H130" s="145">
        <v>0</v>
      </c>
      <c r="I130" s="77">
        <f t="shared" si="4"/>
        <v>252.7</v>
      </c>
      <c r="J130" s="123" t="str">
        <f>IFERROR(VLOOKUP($C130,'CEDARS School FRPL'!C:H,4,FALSE),"No")</f>
        <v>No</v>
      </c>
      <c r="K130" s="109"/>
      <c r="L130" s="109"/>
      <c r="M130" s="110">
        <f>IFERROR(VLOOKUP($C130,'CEDARS School FRPL'!C:H,3,FALSE),0)</f>
        <v>0.19876666666666667</v>
      </c>
      <c r="N130" s="123" t="str">
        <f>IFERROR(VLOOKUP(C130,'CEDARS School FRPL'!C:H,6,FALSE),"No")</f>
        <v>No</v>
      </c>
      <c r="O130" s="147"/>
      <c r="P130" s="148"/>
    </row>
    <row r="131" spans="1:16">
      <c r="A131" s="95" t="s">
        <v>2532</v>
      </c>
      <c r="B131" s="95" t="s">
        <v>2064</v>
      </c>
      <c r="C131" s="4">
        <v>2387</v>
      </c>
      <c r="D131" s="95" t="s">
        <v>2072</v>
      </c>
      <c r="E131" s="145">
        <v>255.12</v>
      </c>
      <c r="F131" s="145">
        <v>0</v>
      </c>
      <c r="G131" s="145">
        <v>0</v>
      </c>
      <c r="H131" s="145">
        <v>0</v>
      </c>
      <c r="I131" s="77">
        <f t="shared" si="4"/>
        <v>255.12</v>
      </c>
      <c r="J131" s="123" t="str">
        <f>IFERROR(VLOOKUP($C131,'CEDARS School FRPL'!C:H,4,FALSE),"No")</f>
        <v>No</v>
      </c>
      <c r="K131" s="109"/>
      <c r="L131" s="109"/>
      <c r="M131" s="110">
        <f>IFERROR(VLOOKUP($C131,'CEDARS School FRPL'!C:H,3,FALSE),0)</f>
        <v>0.36179999999999995</v>
      </c>
      <c r="N131" s="123" t="str">
        <f>IFERROR(VLOOKUP(C131,'CEDARS School FRPL'!C:H,6,FALSE),"No")</f>
        <v>No</v>
      </c>
      <c r="O131" s="147"/>
      <c r="P131" s="148"/>
    </row>
    <row r="132" spans="1:16">
      <c r="A132" s="95" t="s">
        <v>2532</v>
      </c>
      <c r="B132" s="95" t="s">
        <v>2064</v>
      </c>
      <c r="C132" s="4">
        <v>2431</v>
      </c>
      <c r="D132" s="95" t="s">
        <v>2073</v>
      </c>
      <c r="E132" s="145">
        <v>315.25</v>
      </c>
      <c r="F132" s="145">
        <v>0</v>
      </c>
      <c r="G132" s="145">
        <v>0</v>
      </c>
      <c r="H132" s="145">
        <v>0</v>
      </c>
      <c r="I132" s="77">
        <f t="shared" ref="I132:I195" si="5">+E132+F132+G132+H132</f>
        <v>315.25</v>
      </c>
      <c r="J132" s="123" t="str">
        <f>IFERROR(VLOOKUP($C132,'CEDARS School FRPL'!C:H,4,FALSE),"No")</f>
        <v>Yes</v>
      </c>
      <c r="K132" s="109"/>
      <c r="L132" s="109"/>
      <c r="M132" s="110">
        <f>IFERROR(VLOOKUP($C132,'CEDARS School FRPL'!C:H,3,FALSE),0)</f>
        <v>0.54059999999999997</v>
      </c>
      <c r="N132" s="123" t="str">
        <f>IFERROR(VLOOKUP(C132,'CEDARS School FRPL'!C:H,6,FALSE),"No")</f>
        <v>No</v>
      </c>
      <c r="O132" s="147"/>
      <c r="P132" s="148"/>
    </row>
    <row r="133" spans="1:16">
      <c r="A133" s="95" t="s">
        <v>2532</v>
      </c>
      <c r="B133" s="95" t="s">
        <v>2064</v>
      </c>
      <c r="C133" s="4">
        <v>2553</v>
      </c>
      <c r="D133" s="95" t="s">
        <v>2074</v>
      </c>
      <c r="E133" s="145">
        <v>1019.73</v>
      </c>
      <c r="F133" s="145">
        <v>104.38</v>
      </c>
      <c r="G133" s="145">
        <v>0</v>
      </c>
      <c r="H133" s="145">
        <v>0</v>
      </c>
      <c r="I133" s="77">
        <f t="shared" si="5"/>
        <v>1124.1100000000001</v>
      </c>
      <c r="J133" s="123" t="str">
        <f>IFERROR(VLOOKUP($C133,'CEDARS School FRPL'!C:H,4,FALSE),"No")</f>
        <v>No</v>
      </c>
      <c r="K133" s="109"/>
      <c r="L133" s="109"/>
      <c r="M133" s="110">
        <f>IFERROR(VLOOKUP($C133,'CEDARS School FRPL'!C:H,3,FALSE),0)</f>
        <v>0.29763333333333336</v>
      </c>
      <c r="N133" s="123" t="str">
        <f>IFERROR(VLOOKUP(C133,'CEDARS School FRPL'!C:H,6,FALSE),"No")</f>
        <v>No</v>
      </c>
      <c r="O133" s="147"/>
      <c r="P133" s="148"/>
    </row>
    <row r="134" spans="1:16">
      <c r="A134" s="95" t="s">
        <v>2532</v>
      </c>
      <c r="B134" s="95" t="s">
        <v>2064</v>
      </c>
      <c r="C134" s="4">
        <v>2817</v>
      </c>
      <c r="D134" s="95" t="s">
        <v>2075</v>
      </c>
      <c r="E134" s="145">
        <v>301</v>
      </c>
      <c r="F134" s="145">
        <v>0</v>
      </c>
      <c r="G134" s="145">
        <v>0</v>
      </c>
      <c r="H134" s="145">
        <v>0</v>
      </c>
      <c r="I134" s="77">
        <f t="shared" si="5"/>
        <v>301</v>
      </c>
      <c r="J134" s="123" t="str">
        <f>IFERROR(VLOOKUP($C134,'CEDARS School FRPL'!C:H,4,FALSE),"No")</f>
        <v>No</v>
      </c>
      <c r="K134" s="109"/>
      <c r="L134" s="109"/>
      <c r="M134" s="110">
        <f>IFERROR(VLOOKUP($C134,'CEDARS School FRPL'!C:H,3,FALSE),0)</f>
        <v>0.44860000000000005</v>
      </c>
      <c r="N134" s="123" t="str">
        <f>IFERROR(VLOOKUP(C134,'CEDARS School FRPL'!C:H,6,FALSE),"No")</f>
        <v>No</v>
      </c>
      <c r="O134" s="147"/>
      <c r="P134" s="148"/>
    </row>
    <row r="135" spans="1:16">
      <c r="A135" s="95" t="s">
        <v>2532</v>
      </c>
      <c r="B135" s="95" t="s">
        <v>2064</v>
      </c>
      <c r="C135" s="4">
        <v>3134</v>
      </c>
      <c r="D135" s="95" t="s">
        <v>2076</v>
      </c>
      <c r="E135" s="145">
        <v>436.77</v>
      </c>
      <c r="F135" s="145">
        <v>0</v>
      </c>
      <c r="G135" s="145">
        <v>0</v>
      </c>
      <c r="H135" s="145">
        <v>0</v>
      </c>
      <c r="I135" s="77">
        <f t="shared" si="5"/>
        <v>436.77</v>
      </c>
      <c r="J135" s="123" t="str">
        <f>IFERROR(VLOOKUP($C135,'CEDARS School FRPL'!C:H,4,FALSE),"No")</f>
        <v>No</v>
      </c>
      <c r="K135" s="109"/>
      <c r="L135" s="109"/>
      <c r="M135" s="110">
        <f>IFERROR(VLOOKUP($C135,'CEDARS School FRPL'!C:H,3,FALSE),0)</f>
        <v>0.2737</v>
      </c>
      <c r="N135" s="123" t="str">
        <f>IFERROR(VLOOKUP(C135,'CEDARS School FRPL'!C:H,6,FALSE),"No")</f>
        <v>No</v>
      </c>
      <c r="O135" s="147"/>
      <c r="P135" s="148"/>
    </row>
    <row r="136" spans="1:16">
      <c r="A136" s="95" t="s">
        <v>2532</v>
      </c>
      <c r="B136" s="95" t="s">
        <v>2064</v>
      </c>
      <c r="C136" s="4">
        <v>3200</v>
      </c>
      <c r="D136" s="95" t="s">
        <v>2077</v>
      </c>
      <c r="E136" s="145">
        <v>257.45</v>
      </c>
      <c r="F136" s="145">
        <v>0</v>
      </c>
      <c r="G136" s="145">
        <v>0</v>
      </c>
      <c r="H136" s="145">
        <v>0</v>
      </c>
      <c r="I136" s="77">
        <f t="shared" si="5"/>
        <v>257.45</v>
      </c>
      <c r="J136" s="123" t="str">
        <f>IFERROR(VLOOKUP($C136,'CEDARS School FRPL'!C:H,4,FALSE),"No")</f>
        <v>Yes</v>
      </c>
      <c r="K136" s="109"/>
      <c r="L136" s="109"/>
      <c r="M136" s="110">
        <f>IFERROR(VLOOKUP($C136,'CEDARS School FRPL'!C:H,3,FALSE),0)</f>
        <v>0.59353333333333336</v>
      </c>
      <c r="N136" s="123" t="str">
        <f>IFERROR(VLOOKUP(C136,'CEDARS School FRPL'!C:H,6,FALSE),"No")</f>
        <v>No</v>
      </c>
      <c r="O136" s="147"/>
      <c r="P136" s="148"/>
    </row>
    <row r="137" spans="1:16">
      <c r="A137" s="95" t="s">
        <v>2532</v>
      </c>
      <c r="B137" s="95" t="s">
        <v>2064</v>
      </c>
      <c r="C137" s="4">
        <v>3201</v>
      </c>
      <c r="D137" s="95" t="s">
        <v>2078</v>
      </c>
      <c r="E137" s="145">
        <v>539</v>
      </c>
      <c r="F137" s="145">
        <v>0</v>
      </c>
      <c r="G137" s="145">
        <v>0</v>
      </c>
      <c r="H137" s="145">
        <v>0</v>
      </c>
      <c r="I137" s="77">
        <f t="shared" si="5"/>
        <v>539</v>
      </c>
      <c r="J137" s="123" t="str">
        <f>IFERROR(VLOOKUP($C137,'CEDARS School FRPL'!C:H,4,FALSE),"No")</f>
        <v>Yes</v>
      </c>
      <c r="K137" s="109"/>
      <c r="L137" s="109"/>
      <c r="M137" s="110">
        <f>IFERROR(VLOOKUP($C137,'CEDARS School FRPL'!C:H,3,FALSE),0)</f>
        <v>0.54613333333333336</v>
      </c>
      <c r="N137" s="123" t="str">
        <f>IFERROR(VLOOKUP(C137,'CEDARS School FRPL'!C:H,6,FALSE),"No")</f>
        <v>No</v>
      </c>
      <c r="O137" s="147"/>
      <c r="P137" s="148"/>
    </row>
    <row r="138" spans="1:16">
      <c r="A138" s="95" t="s">
        <v>2532</v>
      </c>
      <c r="B138" s="95" t="s">
        <v>2064</v>
      </c>
      <c r="C138" s="4">
        <v>3202</v>
      </c>
      <c r="D138" s="95" t="s">
        <v>2079</v>
      </c>
      <c r="E138" s="145">
        <v>362.85</v>
      </c>
      <c r="F138" s="145">
        <v>0</v>
      </c>
      <c r="G138" s="145">
        <v>0</v>
      </c>
      <c r="H138" s="145">
        <v>0</v>
      </c>
      <c r="I138" s="77">
        <f t="shared" si="5"/>
        <v>362.85</v>
      </c>
      <c r="J138" s="123" t="str">
        <f>IFERROR(VLOOKUP($C138,'CEDARS School FRPL'!C:H,4,FALSE),"No")</f>
        <v>No</v>
      </c>
      <c r="K138" s="109"/>
      <c r="L138" s="109"/>
      <c r="M138" s="110">
        <f>IFERROR(VLOOKUP($C138,'CEDARS School FRPL'!C:H,3,FALSE),0)</f>
        <v>0.28316666666666668</v>
      </c>
      <c r="N138" s="123" t="str">
        <f>IFERROR(VLOOKUP(C138,'CEDARS School FRPL'!C:H,6,FALSE),"No")</f>
        <v>No</v>
      </c>
      <c r="O138" s="147"/>
      <c r="P138" s="148"/>
    </row>
    <row r="139" spans="1:16">
      <c r="A139" s="95" t="s">
        <v>2532</v>
      </c>
      <c r="B139" s="95" t="s">
        <v>2064</v>
      </c>
      <c r="C139" s="4">
        <v>3576</v>
      </c>
      <c r="D139" s="95" t="s">
        <v>2080</v>
      </c>
      <c r="E139" s="145">
        <v>1012.25</v>
      </c>
      <c r="F139" s="145">
        <v>92.2</v>
      </c>
      <c r="G139" s="145">
        <v>0</v>
      </c>
      <c r="H139" s="145">
        <v>0</v>
      </c>
      <c r="I139" s="77">
        <f t="shared" si="5"/>
        <v>1104.45</v>
      </c>
      <c r="J139" s="123" t="str">
        <f>IFERROR(VLOOKUP($C139,'CEDARS School FRPL'!C:H,4,FALSE),"No")</f>
        <v>No</v>
      </c>
      <c r="K139" s="109"/>
      <c r="L139" s="109"/>
      <c r="M139" s="110">
        <f>IFERROR(VLOOKUP($C139,'CEDARS School FRPL'!C:H,3,FALSE),0)</f>
        <v>0.20830000000000001</v>
      </c>
      <c r="N139" s="123" t="str">
        <f>IFERROR(VLOOKUP(C139,'CEDARS School FRPL'!C:H,6,FALSE),"No")</f>
        <v>No</v>
      </c>
      <c r="O139" s="147"/>
      <c r="P139" s="148"/>
    </row>
    <row r="140" spans="1:16">
      <c r="A140" s="95" t="s">
        <v>2532</v>
      </c>
      <c r="B140" s="95" t="s">
        <v>2064</v>
      </c>
      <c r="C140" s="4">
        <v>4442</v>
      </c>
      <c r="D140" s="95" t="s">
        <v>2081</v>
      </c>
      <c r="E140" s="145">
        <v>637.79999999999995</v>
      </c>
      <c r="F140" s="145">
        <v>0</v>
      </c>
      <c r="G140" s="145">
        <v>0</v>
      </c>
      <c r="H140" s="145">
        <v>0</v>
      </c>
      <c r="I140" s="77">
        <f t="shared" si="5"/>
        <v>637.79999999999995</v>
      </c>
      <c r="J140" s="123" t="str">
        <f>IFERROR(VLOOKUP($C140,'CEDARS School FRPL'!C:H,4,FALSE),"No")</f>
        <v>No</v>
      </c>
      <c r="K140" s="109"/>
      <c r="L140" s="109"/>
      <c r="M140" s="110">
        <f>IFERROR(VLOOKUP($C140,'CEDARS School FRPL'!C:H,3,FALSE),0)</f>
        <v>0.37010000000000004</v>
      </c>
      <c r="N140" s="123" t="str">
        <f>IFERROR(VLOOKUP(C140,'CEDARS School FRPL'!C:H,6,FALSE),"No")</f>
        <v>No</v>
      </c>
      <c r="O140" s="147"/>
      <c r="P140" s="148"/>
    </row>
    <row r="141" spans="1:16">
      <c r="A141" s="95" t="s">
        <v>2532</v>
      </c>
      <c r="B141" s="95" t="s">
        <v>2064</v>
      </c>
      <c r="C141" s="4">
        <v>4515</v>
      </c>
      <c r="D141" s="95" t="s">
        <v>2082</v>
      </c>
      <c r="E141" s="145">
        <v>1102.6500000000001</v>
      </c>
      <c r="F141" s="145">
        <v>97.29</v>
      </c>
      <c r="G141" s="145">
        <v>0</v>
      </c>
      <c r="H141" s="145">
        <v>0</v>
      </c>
      <c r="I141" s="77">
        <f t="shared" si="5"/>
        <v>1199.94</v>
      </c>
      <c r="J141" s="123" t="str">
        <f>IFERROR(VLOOKUP($C141,'CEDARS School FRPL'!C:H,4,FALSE),"No")</f>
        <v>No</v>
      </c>
      <c r="K141" s="109"/>
      <c r="L141" s="109"/>
      <c r="M141" s="110">
        <f>IFERROR(VLOOKUP($C141,'CEDARS School FRPL'!C:H,3,FALSE),0)</f>
        <v>0.34686666666666666</v>
      </c>
      <c r="N141" s="123" t="str">
        <f>IFERROR(VLOOKUP(C141,'CEDARS School FRPL'!C:H,6,FALSE),"No")</f>
        <v>No</v>
      </c>
      <c r="O141" s="147"/>
      <c r="P141" s="148"/>
    </row>
    <row r="142" spans="1:16">
      <c r="A142" s="95" t="s">
        <v>2532</v>
      </c>
      <c r="B142" s="95" t="s">
        <v>2064</v>
      </c>
      <c r="C142" s="4">
        <v>4571</v>
      </c>
      <c r="D142" s="95" t="s">
        <v>2083</v>
      </c>
      <c r="E142" s="145">
        <v>345.07</v>
      </c>
      <c r="F142" s="145">
        <v>0</v>
      </c>
      <c r="G142" s="145">
        <v>0</v>
      </c>
      <c r="H142" s="145">
        <v>0</v>
      </c>
      <c r="I142" s="77">
        <f t="shared" si="5"/>
        <v>345.07</v>
      </c>
      <c r="J142" s="123" t="str">
        <f>IFERROR(VLOOKUP($C142,'CEDARS School FRPL'!C:H,4,FALSE),"No")</f>
        <v>No</v>
      </c>
      <c r="K142" s="109"/>
      <c r="L142" s="109"/>
      <c r="M142" s="110">
        <f>IFERROR(VLOOKUP($C142,'CEDARS School FRPL'!C:H,3,FALSE),0)</f>
        <v>0.29546666666666666</v>
      </c>
      <c r="N142" s="123" t="str">
        <f>IFERROR(VLOOKUP(C142,'CEDARS School FRPL'!C:H,6,FALSE),"No")</f>
        <v>No</v>
      </c>
      <c r="O142" s="147"/>
      <c r="P142" s="148"/>
    </row>
    <row r="143" spans="1:16">
      <c r="A143" s="95" t="s">
        <v>2532</v>
      </c>
      <c r="B143" s="95" t="s">
        <v>2064</v>
      </c>
      <c r="C143" s="4">
        <v>5125</v>
      </c>
      <c r="D143" s="95" t="s">
        <v>2084</v>
      </c>
      <c r="E143" s="145">
        <v>349.02</v>
      </c>
      <c r="F143" s="145">
        <v>0</v>
      </c>
      <c r="G143" s="145">
        <v>0</v>
      </c>
      <c r="H143" s="145">
        <v>0</v>
      </c>
      <c r="I143" s="77">
        <f t="shared" si="5"/>
        <v>349.02</v>
      </c>
      <c r="J143" s="123" t="str">
        <f>IFERROR(VLOOKUP($C143,'CEDARS School FRPL'!C:H,4,FALSE),"No")</f>
        <v>No</v>
      </c>
      <c r="K143" s="109"/>
      <c r="L143" s="109"/>
      <c r="M143" s="110">
        <f>IFERROR(VLOOKUP($C143,'CEDARS School FRPL'!C:H,3,FALSE),0)</f>
        <v>0.17666666666666667</v>
      </c>
      <c r="N143" s="123" t="str">
        <f>IFERROR(VLOOKUP(C143,'CEDARS School FRPL'!C:H,6,FALSE),"No")</f>
        <v>No</v>
      </c>
      <c r="O143" s="147"/>
      <c r="P143" s="148"/>
    </row>
    <row r="144" spans="1:16">
      <c r="A144" s="95" t="s">
        <v>2532</v>
      </c>
      <c r="B144" s="95" t="s">
        <v>2064</v>
      </c>
      <c r="C144" s="4">
        <v>5239</v>
      </c>
      <c r="D144" s="95" t="s">
        <v>2085</v>
      </c>
      <c r="E144" s="145">
        <v>331.57</v>
      </c>
      <c r="F144" s="145">
        <v>0</v>
      </c>
      <c r="G144" s="145">
        <v>0</v>
      </c>
      <c r="H144" s="145">
        <v>0</v>
      </c>
      <c r="I144" s="77">
        <f t="shared" si="5"/>
        <v>331.57</v>
      </c>
      <c r="J144" s="123" t="str">
        <f>IFERROR(VLOOKUP($C144,'CEDARS School FRPL'!C:H,4,FALSE),"No")</f>
        <v>Yes</v>
      </c>
      <c r="K144" s="109"/>
      <c r="L144" s="109"/>
      <c r="M144" s="110">
        <f>IFERROR(VLOOKUP($C144,'CEDARS School FRPL'!C:H,3,FALSE),0)</f>
        <v>0.61306666666666665</v>
      </c>
      <c r="N144" s="123" t="str">
        <f>IFERROR(VLOOKUP(C144,'CEDARS School FRPL'!C:H,6,FALSE),"No")</f>
        <v>No</v>
      </c>
      <c r="O144" s="147"/>
      <c r="P144" s="148"/>
    </row>
    <row r="145" spans="1:16">
      <c r="A145" s="95" t="s">
        <v>2532</v>
      </c>
      <c r="B145" s="95" t="s">
        <v>2064</v>
      </c>
      <c r="C145" s="4">
        <v>5340</v>
      </c>
      <c r="D145" s="95" t="s">
        <v>2086</v>
      </c>
      <c r="E145" s="145">
        <v>0</v>
      </c>
      <c r="F145" s="145">
        <v>0</v>
      </c>
      <c r="G145" s="145">
        <v>74.850000000000009</v>
      </c>
      <c r="H145" s="145">
        <v>0</v>
      </c>
      <c r="I145" s="77">
        <f t="shared" si="5"/>
        <v>74.850000000000009</v>
      </c>
      <c r="J145" s="123" t="str">
        <f>IFERROR(VLOOKUP($C145,'CEDARS School FRPL'!C:H,4,FALSE),"No")</f>
        <v>No</v>
      </c>
      <c r="K145" s="109"/>
      <c r="L145" s="109"/>
      <c r="M145" s="110">
        <f>IFERROR(VLOOKUP($C145,'CEDARS School FRPL'!C:H,3,FALSE),0)</f>
        <v>0.29673333333333335</v>
      </c>
      <c r="N145" s="123" t="str">
        <f>IFERROR(VLOOKUP(C145,'CEDARS School FRPL'!C:H,6,FALSE),"No")</f>
        <v>No</v>
      </c>
      <c r="O145" s="147"/>
      <c r="P145" s="148"/>
    </row>
    <row r="146" spans="1:16">
      <c r="A146" s="95" t="s">
        <v>2532</v>
      </c>
      <c r="B146" s="95" t="s">
        <v>2064</v>
      </c>
      <c r="C146" s="4">
        <v>5366</v>
      </c>
      <c r="D146" s="95" t="s">
        <v>2087</v>
      </c>
      <c r="E146" s="145">
        <v>415.88</v>
      </c>
      <c r="F146" s="145">
        <v>0</v>
      </c>
      <c r="G146" s="145">
        <v>0</v>
      </c>
      <c r="H146" s="145">
        <v>0</v>
      </c>
      <c r="I146" s="77">
        <f t="shared" si="5"/>
        <v>415.88</v>
      </c>
      <c r="J146" s="123" t="str">
        <f>IFERROR(VLOOKUP($C146,'CEDARS School FRPL'!C:H,4,FALSE),"No")</f>
        <v>No</v>
      </c>
      <c r="K146" s="109"/>
      <c r="L146" s="109"/>
      <c r="M146" s="110">
        <f>IFERROR(VLOOKUP($C146,'CEDARS School FRPL'!C:H,3,FALSE),0)</f>
        <v>0.11706666666666667</v>
      </c>
      <c r="N146" s="123" t="str">
        <f>IFERROR(VLOOKUP(C146,'CEDARS School FRPL'!C:H,6,FALSE),"No")</f>
        <v>No</v>
      </c>
      <c r="O146" s="147"/>
      <c r="P146" s="148"/>
    </row>
    <row r="147" spans="1:16">
      <c r="A147" s="95" t="s">
        <v>2258</v>
      </c>
      <c r="B147" s="95" t="s">
        <v>2</v>
      </c>
      <c r="C147" s="4">
        <v>3142</v>
      </c>
      <c r="D147" s="95" t="s">
        <v>3</v>
      </c>
      <c r="E147" s="145">
        <v>11.57</v>
      </c>
      <c r="F147" s="145">
        <v>0</v>
      </c>
      <c r="G147" s="145">
        <v>0</v>
      </c>
      <c r="H147" s="145">
        <v>0</v>
      </c>
      <c r="I147" s="77">
        <f t="shared" si="5"/>
        <v>11.57</v>
      </c>
      <c r="J147" s="123" t="str">
        <f>IFERROR(VLOOKUP($C147,'CEDARS School FRPL'!C:H,4,FALSE),"No")</f>
        <v>No</v>
      </c>
      <c r="K147" s="109"/>
      <c r="L147" s="109"/>
      <c r="M147" s="110">
        <f>IFERROR(VLOOKUP($C147,'CEDARS School FRPL'!C:H,3,FALSE),0)</f>
        <v>0.10920000000000001</v>
      </c>
      <c r="N147" s="123" t="str">
        <f>IFERROR(VLOOKUP(C147,'CEDARS School FRPL'!C:H,6,FALSE),"No")</f>
        <v>No</v>
      </c>
      <c r="O147" s="147"/>
      <c r="P147" s="148"/>
    </row>
    <row r="148" spans="1:16">
      <c r="A148" s="95" t="s">
        <v>2449</v>
      </c>
      <c r="B148" s="95" t="s">
        <v>1473</v>
      </c>
      <c r="C148" s="4">
        <v>1510</v>
      </c>
      <c r="D148" s="95" t="s">
        <v>1474</v>
      </c>
      <c r="E148" s="145">
        <v>251.36</v>
      </c>
      <c r="F148" s="145">
        <v>3.73</v>
      </c>
      <c r="G148" s="145">
        <v>0</v>
      </c>
      <c r="H148" s="145">
        <v>0</v>
      </c>
      <c r="I148" s="77">
        <f t="shared" si="5"/>
        <v>255.09</v>
      </c>
      <c r="J148" s="123" t="str">
        <f>IFERROR(VLOOKUP($C148,'CEDARS School FRPL'!C:H,4,FALSE),"No")</f>
        <v>Yes</v>
      </c>
      <c r="K148" s="109"/>
      <c r="L148" s="109"/>
      <c r="M148" s="110">
        <f>IFERROR(VLOOKUP($C148,'CEDARS School FRPL'!C:H,3,FALSE),0)</f>
        <v>0.60566666666666669</v>
      </c>
      <c r="N148" s="123" t="str">
        <f>IFERROR(VLOOKUP(C148,'CEDARS School FRPL'!C:H,6,FALSE),"No")</f>
        <v>No</v>
      </c>
      <c r="O148" s="147"/>
      <c r="P148" s="148"/>
    </row>
    <row r="149" spans="1:16">
      <c r="A149" s="95" t="s">
        <v>2449</v>
      </c>
      <c r="B149" s="95" t="s">
        <v>1473</v>
      </c>
      <c r="C149" s="4">
        <v>1560</v>
      </c>
      <c r="D149" s="95" t="s">
        <v>3002</v>
      </c>
      <c r="E149" s="145">
        <v>38.43</v>
      </c>
      <c r="F149" s="145">
        <v>0</v>
      </c>
      <c r="G149" s="145">
        <v>0</v>
      </c>
      <c r="H149" s="145">
        <v>0</v>
      </c>
      <c r="I149" s="77">
        <f t="shared" si="5"/>
        <v>38.43</v>
      </c>
      <c r="J149" s="123" t="str">
        <f>IFERROR(VLOOKUP($C149,'CEDARS School FRPL'!C:H,4,FALSE),"No")</f>
        <v>No</v>
      </c>
      <c r="K149" s="109"/>
      <c r="L149" s="109"/>
      <c r="M149" s="110">
        <f>IFERROR(VLOOKUP($C149,'CEDARS School FRPL'!C:H,3,FALSE),0)</f>
        <v>0.43240000000000001</v>
      </c>
      <c r="N149" s="123" t="str">
        <f>IFERROR(VLOOKUP(C149,'CEDARS School FRPL'!C:H,6,FALSE),"No")</f>
        <v>No</v>
      </c>
      <c r="O149" s="147"/>
      <c r="P149" s="148"/>
    </row>
    <row r="150" spans="1:16">
      <c r="A150" s="95" t="s">
        <v>2449</v>
      </c>
      <c r="B150" s="95" t="s">
        <v>1473</v>
      </c>
      <c r="C150" s="4">
        <v>2399</v>
      </c>
      <c r="D150" s="95" t="s">
        <v>1475</v>
      </c>
      <c r="E150" s="145">
        <v>351.14</v>
      </c>
      <c r="F150" s="145">
        <v>0</v>
      </c>
      <c r="G150" s="145">
        <v>0</v>
      </c>
      <c r="H150" s="145">
        <v>0</v>
      </c>
      <c r="I150" s="77">
        <f t="shared" si="5"/>
        <v>351.14</v>
      </c>
      <c r="J150" s="123" t="str">
        <f>IFERROR(VLOOKUP($C150,'CEDARS School FRPL'!C:H,4,FALSE),"No")</f>
        <v>Yes</v>
      </c>
      <c r="K150" s="109"/>
      <c r="L150" s="109"/>
      <c r="M150" s="110">
        <f>IFERROR(VLOOKUP($C150,'CEDARS School FRPL'!C:H,3,FALSE),0)</f>
        <v>0.60780000000000001</v>
      </c>
      <c r="N150" s="123" t="str">
        <f>IFERROR(VLOOKUP(C150,'CEDARS School FRPL'!C:H,6,FALSE),"No")</f>
        <v>No</v>
      </c>
      <c r="O150" s="147"/>
      <c r="P150" s="148"/>
    </row>
    <row r="151" spans="1:16">
      <c r="A151" s="95" t="s">
        <v>2449</v>
      </c>
      <c r="B151" s="95" t="s">
        <v>1473</v>
      </c>
      <c r="C151" s="4">
        <v>2543</v>
      </c>
      <c r="D151" s="95" t="s">
        <v>1476</v>
      </c>
      <c r="E151" s="145">
        <v>284.86</v>
      </c>
      <c r="F151" s="145">
        <v>0</v>
      </c>
      <c r="G151" s="145">
        <v>0</v>
      </c>
      <c r="H151" s="145">
        <v>0</v>
      </c>
      <c r="I151" s="77">
        <f t="shared" si="5"/>
        <v>284.86</v>
      </c>
      <c r="J151" s="123" t="str">
        <f>IFERROR(VLOOKUP($C151,'CEDARS School FRPL'!C:H,4,FALSE),"No")</f>
        <v>Yes</v>
      </c>
      <c r="K151" s="109"/>
      <c r="L151" s="109"/>
      <c r="M151" s="110">
        <f>IFERROR(VLOOKUP($C151,'CEDARS School FRPL'!C:H,3,FALSE),0)</f>
        <v>0.53349999999999997</v>
      </c>
      <c r="N151" s="123" t="str">
        <f>IFERROR(VLOOKUP(C151,'CEDARS School FRPL'!C:H,6,FALSE),"No")</f>
        <v>No</v>
      </c>
      <c r="O151" s="147"/>
      <c r="P151" s="148"/>
    </row>
    <row r="152" spans="1:16">
      <c r="A152" s="95" t="s">
        <v>2449</v>
      </c>
      <c r="B152" s="95" t="s">
        <v>1473</v>
      </c>
      <c r="C152" s="4">
        <v>2576</v>
      </c>
      <c r="D152" s="95" t="s">
        <v>1477</v>
      </c>
      <c r="E152" s="145">
        <v>577.73</v>
      </c>
      <c r="F152" s="145">
        <v>0</v>
      </c>
      <c r="G152" s="145">
        <v>0</v>
      </c>
      <c r="H152" s="145">
        <v>0</v>
      </c>
      <c r="I152" s="77">
        <f t="shared" si="5"/>
        <v>577.73</v>
      </c>
      <c r="J152" s="123" t="str">
        <f>IFERROR(VLOOKUP($C152,'CEDARS School FRPL'!C:H,4,FALSE),"No")</f>
        <v>No</v>
      </c>
      <c r="K152" s="109"/>
      <c r="L152" s="109"/>
      <c r="M152" s="110">
        <f>IFERROR(VLOOKUP($C152,'CEDARS School FRPL'!C:H,3,FALSE),0)</f>
        <v>0.44819999999999999</v>
      </c>
      <c r="N152" s="123" t="str">
        <f>IFERROR(VLOOKUP(C152,'CEDARS School FRPL'!C:H,6,FALSE),"No")</f>
        <v>No</v>
      </c>
      <c r="O152" s="147"/>
      <c r="P152" s="148"/>
    </row>
    <row r="153" spans="1:16">
      <c r="A153" s="95" t="s">
        <v>2449</v>
      </c>
      <c r="B153" s="95" t="s">
        <v>1473</v>
      </c>
      <c r="C153" s="4">
        <v>2748</v>
      </c>
      <c r="D153" s="95" t="s">
        <v>1478</v>
      </c>
      <c r="E153" s="145">
        <v>341.9</v>
      </c>
      <c r="F153" s="145">
        <v>0</v>
      </c>
      <c r="G153" s="145">
        <v>0</v>
      </c>
      <c r="H153" s="145">
        <v>0</v>
      </c>
      <c r="I153" s="77">
        <f t="shared" si="5"/>
        <v>341.9</v>
      </c>
      <c r="J153" s="123" t="str">
        <f>IFERROR(VLOOKUP($C153,'CEDARS School FRPL'!C:H,4,FALSE),"No")</f>
        <v>No</v>
      </c>
      <c r="K153" s="109"/>
      <c r="L153" s="109"/>
      <c r="M153" s="110">
        <f>IFERROR(VLOOKUP($C153,'CEDARS School FRPL'!C:H,3,FALSE),0)</f>
        <v>0.37989999999999996</v>
      </c>
      <c r="N153" s="123" t="str">
        <f>IFERROR(VLOOKUP(C153,'CEDARS School FRPL'!C:H,6,FALSE),"No")</f>
        <v>No</v>
      </c>
      <c r="O153" s="147"/>
      <c r="P153" s="148"/>
    </row>
    <row r="154" spans="1:16">
      <c r="A154" s="95" t="s">
        <v>2449</v>
      </c>
      <c r="B154" s="95" t="s">
        <v>1473</v>
      </c>
      <c r="C154" s="4">
        <v>2807</v>
      </c>
      <c r="D154" s="95" t="s">
        <v>1479</v>
      </c>
      <c r="E154" s="145">
        <v>1589.51</v>
      </c>
      <c r="F154" s="145">
        <v>79.610000000000014</v>
      </c>
      <c r="G154" s="145">
        <v>0</v>
      </c>
      <c r="H154" s="145">
        <v>0</v>
      </c>
      <c r="I154" s="77">
        <f t="shared" si="5"/>
        <v>1669.12</v>
      </c>
      <c r="J154" s="123" t="str">
        <f>IFERROR(VLOOKUP($C154,'CEDARS School FRPL'!C:H,4,FALSE),"No")</f>
        <v>No</v>
      </c>
      <c r="K154" s="109"/>
      <c r="L154" s="109"/>
      <c r="M154" s="110">
        <f>IFERROR(VLOOKUP($C154,'CEDARS School FRPL'!C:H,3,FALSE),0)</f>
        <v>0.46239999999999998</v>
      </c>
      <c r="N154" s="123" t="str">
        <f>IFERROR(VLOOKUP(C154,'CEDARS School FRPL'!C:H,6,FALSE),"No")</f>
        <v>No</v>
      </c>
      <c r="O154" s="147"/>
      <c r="P154" s="148"/>
    </row>
    <row r="155" spans="1:16">
      <c r="A155" s="95" t="s">
        <v>2449</v>
      </c>
      <c r="B155" s="95" t="s">
        <v>1473</v>
      </c>
      <c r="C155" s="4">
        <v>2877</v>
      </c>
      <c r="D155" s="95" t="s">
        <v>1480</v>
      </c>
      <c r="E155" s="145">
        <v>552.54</v>
      </c>
      <c r="F155" s="145">
        <v>0</v>
      </c>
      <c r="G155" s="145">
        <v>0</v>
      </c>
      <c r="H155" s="145">
        <v>0</v>
      </c>
      <c r="I155" s="77">
        <f t="shared" si="5"/>
        <v>552.54</v>
      </c>
      <c r="J155" s="123" t="str">
        <f>IFERROR(VLOOKUP($C155,'CEDARS School FRPL'!C:H,4,FALSE),"No")</f>
        <v>No</v>
      </c>
      <c r="K155" s="109"/>
      <c r="L155" s="109"/>
      <c r="M155" s="110">
        <f>IFERROR(VLOOKUP($C155,'CEDARS School FRPL'!C:H,3,FALSE),0)</f>
        <v>0.30943333333333328</v>
      </c>
      <c r="N155" s="123" t="str">
        <f>IFERROR(VLOOKUP(C155,'CEDARS School FRPL'!C:H,6,FALSE),"No")</f>
        <v>No</v>
      </c>
      <c r="O155" s="147"/>
      <c r="P155" s="148"/>
    </row>
    <row r="156" spans="1:16">
      <c r="A156" s="95" t="s">
        <v>2449</v>
      </c>
      <c r="B156" s="95" t="s">
        <v>1473</v>
      </c>
      <c r="C156" s="4">
        <v>3250</v>
      </c>
      <c r="D156" s="95" t="s">
        <v>1481</v>
      </c>
      <c r="E156" s="145">
        <v>699.96</v>
      </c>
      <c r="F156" s="145">
        <v>0</v>
      </c>
      <c r="G156" s="145">
        <v>0</v>
      </c>
      <c r="H156" s="145">
        <v>0</v>
      </c>
      <c r="I156" s="77">
        <f t="shared" si="5"/>
        <v>699.96</v>
      </c>
      <c r="J156" s="123" t="str">
        <f>IFERROR(VLOOKUP($C156,'CEDARS School FRPL'!C:H,4,FALSE),"No")</f>
        <v>Yes</v>
      </c>
      <c r="K156" s="109"/>
      <c r="L156" s="109"/>
      <c r="M156" s="110">
        <f>IFERROR(VLOOKUP($C156,'CEDARS School FRPL'!C:H,3,FALSE),0)</f>
        <v>0.62753333333333339</v>
      </c>
      <c r="N156" s="123" t="str">
        <f>IFERROR(VLOOKUP(C156,'CEDARS School FRPL'!C:H,6,FALSE),"No")</f>
        <v>No</v>
      </c>
      <c r="O156" s="147"/>
      <c r="P156" s="148"/>
    </row>
    <row r="157" spans="1:16">
      <c r="A157" s="95" t="s">
        <v>2449</v>
      </c>
      <c r="B157" s="95" t="s">
        <v>1473</v>
      </c>
      <c r="C157" s="4">
        <v>3649</v>
      </c>
      <c r="D157" s="95" t="s">
        <v>1482</v>
      </c>
      <c r="E157" s="145">
        <v>635.57000000000005</v>
      </c>
      <c r="F157" s="145">
        <v>0</v>
      </c>
      <c r="G157" s="145">
        <v>0</v>
      </c>
      <c r="H157" s="145">
        <v>0</v>
      </c>
      <c r="I157" s="77">
        <f t="shared" si="5"/>
        <v>635.57000000000005</v>
      </c>
      <c r="J157" s="123" t="str">
        <f>IFERROR(VLOOKUP($C157,'CEDARS School FRPL'!C:H,4,FALSE),"No")</f>
        <v>Yes</v>
      </c>
      <c r="K157" s="109"/>
      <c r="L157" s="109"/>
      <c r="M157" s="110">
        <f>IFERROR(VLOOKUP($C157,'CEDARS School FRPL'!C:H,3,FALSE),0)</f>
        <v>0.64773333333333338</v>
      </c>
      <c r="N157" s="123" t="str">
        <f>IFERROR(VLOOKUP(C157,'CEDARS School FRPL'!C:H,6,FALSE),"No")</f>
        <v>No</v>
      </c>
      <c r="O157" s="147"/>
      <c r="P157" s="148"/>
    </row>
    <row r="158" spans="1:16">
      <c r="A158" s="95" t="s">
        <v>2449</v>
      </c>
      <c r="B158" s="95" t="s">
        <v>1473</v>
      </c>
      <c r="C158" s="4">
        <v>3751</v>
      </c>
      <c r="D158" s="95" t="s">
        <v>1483</v>
      </c>
      <c r="E158" s="145">
        <v>695.14</v>
      </c>
      <c r="F158" s="145">
        <v>0</v>
      </c>
      <c r="G158" s="145">
        <v>0</v>
      </c>
      <c r="H158" s="145">
        <v>0</v>
      </c>
      <c r="I158" s="77">
        <f t="shared" si="5"/>
        <v>695.14</v>
      </c>
      <c r="J158" s="123" t="str">
        <f>IFERROR(VLOOKUP($C158,'CEDARS School FRPL'!C:H,4,FALSE),"No")</f>
        <v>Yes</v>
      </c>
      <c r="K158" s="109"/>
      <c r="L158" s="109"/>
      <c r="M158" s="110">
        <f>IFERROR(VLOOKUP($C158,'CEDARS School FRPL'!C:H,3,FALSE),0)</f>
        <v>0.6593</v>
      </c>
      <c r="N158" s="123" t="str">
        <f>IFERROR(VLOOKUP(C158,'CEDARS School FRPL'!C:H,6,FALSE),"No")</f>
        <v>No</v>
      </c>
      <c r="O158" s="147"/>
      <c r="P158" s="148"/>
    </row>
    <row r="159" spans="1:16">
      <c r="A159" s="95" t="s">
        <v>2449</v>
      </c>
      <c r="B159" s="95" t="s">
        <v>1473</v>
      </c>
      <c r="C159" s="4">
        <v>4099</v>
      </c>
      <c r="D159" s="95" t="s">
        <v>1448</v>
      </c>
      <c r="E159" s="145">
        <v>516.89</v>
      </c>
      <c r="F159" s="145">
        <v>0</v>
      </c>
      <c r="G159" s="145">
        <v>0</v>
      </c>
      <c r="H159" s="145">
        <v>0</v>
      </c>
      <c r="I159" s="77">
        <f t="shared" si="5"/>
        <v>516.89</v>
      </c>
      <c r="J159" s="123" t="str">
        <f>IFERROR(VLOOKUP($C159,'CEDARS School FRPL'!C:H,4,FALSE),"No")</f>
        <v>Yes</v>
      </c>
      <c r="K159" s="109"/>
      <c r="L159" s="109"/>
      <c r="M159" s="110">
        <f>IFERROR(VLOOKUP($C159,'CEDARS School FRPL'!C:H,3,FALSE),0)</f>
        <v>0.57330000000000003</v>
      </c>
      <c r="N159" s="123" t="str">
        <f>IFERROR(VLOOKUP(C159,'CEDARS School FRPL'!C:H,6,FALSE),"No")</f>
        <v>No</v>
      </c>
      <c r="O159" s="147"/>
      <c r="P159" s="148"/>
    </row>
    <row r="160" spans="1:16">
      <c r="A160" s="95" t="s">
        <v>2449</v>
      </c>
      <c r="B160" s="95" t="s">
        <v>1473</v>
      </c>
      <c r="C160" s="4">
        <v>4102</v>
      </c>
      <c r="D160" s="95" t="s">
        <v>1484</v>
      </c>
      <c r="E160" s="145">
        <v>413.43</v>
      </c>
      <c r="F160" s="145">
        <v>0</v>
      </c>
      <c r="G160" s="145">
        <v>0</v>
      </c>
      <c r="H160" s="145">
        <v>0</v>
      </c>
      <c r="I160" s="77">
        <f t="shared" si="5"/>
        <v>413.43</v>
      </c>
      <c r="J160" s="123" t="str">
        <f>IFERROR(VLOOKUP($C160,'CEDARS School FRPL'!C:H,4,FALSE),"No")</f>
        <v>No</v>
      </c>
      <c r="K160" s="109"/>
      <c r="L160" s="109"/>
      <c r="M160" s="110">
        <f>IFERROR(VLOOKUP($C160,'CEDARS School FRPL'!C:H,3,FALSE),0)</f>
        <v>0.49899999999999994</v>
      </c>
      <c r="N160" s="123" t="str">
        <f>IFERROR(VLOOKUP(C160,'CEDARS School FRPL'!C:H,6,FALSE),"No")</f>
        <v>Yes</v>
      </c>
      <c r="O160" s="147"/>
      <c r="P160" s="148"/>
    </row>
    <row r="161" spans="1:16">
      <c r="A161" s="95" t="s">
        <v>2449</v>
      </c>
      <c r="B161" s="95" t="s">
        <v>1473</v>
      </c>
      <c r="C161" s="4">
        <v>4103</v>
      </c>
      <c r="D161" s="95" t="s">
        <v>1485</v>
      </c>
      <c r="E161" s="145">
        <v>637.59</v>
      </c>
      <c r="F161" s="145">
        <v>0</v>
      </c>
      <c r="G161" s="145">
        <v>0</v>
      </c>
      <c r="H161" s="145">
        <v>0</v>
      </c>
      <c r="I161" s="77">
        <f t="shared" si="5"/>
        <v>637.59</v>
      </c>
      <c r="J161" s="123" t="str">
        <f>IFERROR(VLOOKUP($C161,'CEDARS School FRPL'!C:H,4,FALSE),"No")</f>
        <v>Yes</v>
      </c>
      <c r="K161" s="109"/>
      <c r="L161" s="109"/>
      <c r="M161" s="110">
        <f>IFERROR(VLOOKUP($C161,'CEDARS School FRPL'!C:H,3,FALSE),0)</f>
        <v>0.54826666666666668</v>
      </c>
      <c r="N161" s="123" t="str">
        <f>IFERROR(VLOOKUP(C161,'CEDARS School FRPL'!C:H,6,FALSE),"No")</f>
        <v>No</v>
      </c>
      <c r="O161" s="147"/>
      <c r="P161" s="148"/>
    </row>
    <row r="162" spans="1:16">
      <c r="A162" s="95" t="s">
        <v>2449</v>
      </c>
      <c r="B162" s="95" t="s">
        <v>1473</v>
      </c>
      <c r="C162" s="4">
        <v>4158</v>
      </c>
      <c r="D162" s="95" t="s">
        <v>1486</v>
      </c>
      <c r="E162" s="145">
        <v>1544.53</v>
      </c>
      <c r="F162" s="145">
        <v>75.05</v>
      </c>
      <c r="G162" s="145">
        <v>0</v>
      </c>
      <c r="H162" s="145">
        <v>0</v>
      </c>
      <c r="I162" s="77">
        <f t="shared" si="5"/>
        <v>1619.58</v>
      </c>
      <c r="J162" s="123" t="str">
        <f>IFERROR(VLOOKUP($C162,'CEDARS School FRPL'!C:H,4,FALSE),"No")</f>
        <v>Yes</v>
      </c>
      <c r="K162" s="109"/>
      <c r="L162" s="109"/>
      <c r="M162" s="110">
        <f>IFERROR(VLOOKUP($C162,'CEDARS School FRPL'!C:H,3,FALSE),0)</f>
        <v>0.56610000000000005</v>
      </c>
      <c r="N162" s="123" t="str">
        <f>IFERROR(VLOOKUP(C162,'CEDARS School FRPL'!C:H,6,FALSE),"No")</f>
        <v>No</v>
      </c>
      <c r="O162" s="147"/>
      <c r="P162" s="148"/>
    </row>
    <row r="163" spans="1:16">
      <c r="A163" s="95" t="s">
        <v>2449</v>
      </c>
      <c r="B163" s="95" t="s">
        <v>1473</v>
      </c>
      <c r="C163" s="4">
        <v>4186</v>
      </c>
      <c r="D163" s="95" t="s">
        <v>1487</v>
      </c>
      <c r="E163" s="145">
        <v>717.62</v>
      </c>
      <c r="F163" s="145">
        <v>0</v>
      </c>
      <c r="G163" s="145">
        <v>0</v>
      </c>
      <c r="H163" s="145">
        <v>0</v>
      </c>
      <c r="I163" s="77">
        <f t="shared" si="5"/>
        <v>717.62</v>
      </c>
      <c r="J163" s="123" t="str">
        <f>IFERROR(VLOOKUP($C163,'CEDARS School FRPL'!C:H,4,FALSE),"No")</f>
        <v>Yes</v>
      </c>
      <c r="K163" s="109"/>
      <c r="L163" s="109"/>
      <c r="M163" s="110">
        <f>IFERROR(VLOOKUP($C163,'CEDARS School FRPL'!C:H,3,FALSE),0)</f>
        <v>0.57483333333333331</v>
      </c>
      <c r="N163" s="123" t="str">
        <f>IFERROR(VLOOKUP(C163,'CEDARS School FRPL'!C:H,6,FALSE),"No")</f>
        <v>No</v>
      </c>
      <c r="O163" s="147"/>
      <c r="P163" s="148"/>
    </row>
    <row r="164" spans="1:16">
      <c r="A164" s="95" t="s">
        <v>2449</v>
      </c>
      <c r="B164" s="95" t="s">
        <v>1473</v>
      </c>
      <c r="C164" s="4">
        <v>4227</v>
      </c>
      <c r="D164" s="95" t="s">
        <v>1488</v>
      </c>
      <c r="E164" s="145">
        <v>422.76</v>
      </c>
      <c r="F164" s="145">
        <v>0</v>
      </c>
      <c r="G164" s="145">
        <v>0</v>
      </c>
      <c r="H164" s="145">
        <v>0</v>
      </c>
      <c r="I164" s="77">
        <f t="shared" si="5"/>
        <v>422.76</v>
      </c>
      <c r="J164" s="123" t="str">
        <f>IFERROR(VLOOKUP($C164,'CEDARS School FRPL'!C:H,4,FALSE),"No")</f>
        <v>No</v>
      </c>
      <c r="K164" s="109"/>
      <c r="L164" s="109"/>
      <c r="M164" s="110">
        <f>IFERROR(VLOOKUP($C164,'CEDARS School FRPL'!C:H,3,FALSE),0)</f>
        <v>0.49696666666666661</v>
      </c>
      <c r="N164" s="123" t="str">
        <f>IFERROR(VLOOKUP(C164,'CEDARS School FRPL'!C:H,6,FALSE),"No")</f>
        <v>Yes</v>
      </c>
      <c r="O164" s="147"/>
      <c r="P164" s="148"/>
    </row>
    <row r="165" spans="1:16">
      <c r="A165" s="95" t="s">
        <v>2449</v>
      </c>
      <c r="B165" s="95" t="s">
        <v>1473</v>
      </c>
      <c r="C165" s="4">
        <v>4296</v>
      </c>
      <c r="D165" s="95" t="s">
        <v>1489</v>
      </c>
      <c r="E165" s="145">
        <v>534.14</v>
      </c>
      <c r="F165" s="145">
        <v>0</v>
      </c>
      <c r="G165" s="145">
        <v>0</v>
      </c>
      <c r="H165" s="145">
        <v>0</v>
      </c>
      <c r="I165" s="77">
        <f t="shared" si="5"/>
        <v>534.14</v>
      </c>
      <c r="J165" s="123" t="str">
        <f>IFERROR(VLOOKUP($C165,'CEDARS School FRPL'!C:H,4,FALSE),"No")</f>
        <v>Yes</v>
      </c>
      <c r="K165" s="109"/>
      <c r="L165" s="109"/>
      <c r="M165" s="110">
        <f>IFERROR(VLOOKUP($C165,'CEDARS School FRPL'!C:H,3,FALSE),0)</f>
        <v>0.56266666666666665</v>
      </c>
      <c r="N165" s="123" t="str">
        <f>IFERROR(VLOOKUP(C165,'CEDARS School FRPL'!C:H,6,FALSE),"No")</f>
        <v>No</v>
      </c>
      <c r="O165" s="147"/>
      <c r="P165" s="148"/>
    </row>
    <row r="166" spans="1:16">
      <c r="A166" s="95" t="s">
        <v>2449</v>
      </c>
      <c r="B166" s="95" t="s">
        <v>1473</v>
      </c>
      <c r="C166" s="4">
        <v>4297</v>
      </c>
      <c r="D166" s="95" t="s">
        <v>1490</v>
      </c>
      <c r="E166" s="145">
        <v>461.64</v>
      </c>
      <c r="F166" s="145">
        <v>0</v>
      </c>
      <c r="G166" s="145">
        <v>0</v>
      </c>
      <c r="H166" s="145">
        <v>0</v>
      </c>
      <c r="I166" s="77">
        <f t="shared" si="5"/>
        <v>461.64</v>
      </c>
      <c r="J166" s="123" t="str">
        <f>IFERROR(VLOOKUP($C166,'CEDARS School FRPL'!C:H,4,FALSE),"No")</f>
        <v>No</v>
      </c>
      <c r="K166" s="109"/>
      <c r="L166" s="109"/>
      <c r="M166" s="110">
        <f>IFERROR(VLOOKUP($C166,'CEDARS School FRPL'!C:H,3,FALSE),0)</f>
        <v>0.33359999999999995</v>
      </c>
      <c r="N166" s="123" t="str">
        <f>IFERROR(VLOOKUP(C166,'CEDARS School FRPL'!C:H,6,FALSE),"No")</f>
        <v>No</v>
      </c>
      <c r="O166" s="147"/>
      <c r="P166" s="148"/>
    </row>
    <row r="167" spans="1:16">
      <c r="A167" s="95" t="s">
        <v>2449</v>
      </c>
      <c r="B167" s="95" t="s">
        <v>1473</v>
      </c>
      <c r="C167" s="4">
        <v>4331</v>
      </c>
      <c r="D167" s="95" t="s">
        <v>1491</v>
      </c>
      <c r="E167" s="145">
        <v>517.71</v>
      </c>
      <c r="F167" s="145">
        <v>0</v>
      </c>
      <c r="G167" s="145">
        <v>0</v>
      </c>
      <c r="H167" s="145">
        <v>0</v>
      </c>
      <c r="I167" s="77">
        <f t="shared" si="5"/>
        <v>517.71</v>
      </c>
      <c r="J167" s="123" t="str">
        <f>IFERROR(VLOOKUP($C167,'CEDARS School FRPL'!C:H,4,FALSE),"No")</f>
        <v>Yes</v>
      </c>
      <c r="K167" s="109"/>
      <c r="L167" s="109"/>
      <c r="M167" s="110">
        <f>IFERROR(VLOOKUP($C167,'CEDARS School FRPL'!C:H,3,FALSE),0)</f>
        <v>0.54200000000000004</v>
      </c>
      <c r="N167" s="123" t="str">
        <f>IFERROR(VLOOKUP(C167,'CEDARS School FRPL'!C:H,6,FALSE),"No")</f>
        <v>No</v>
      </c>
      <c r="O167" s="147"/>
      <c r="P167" s="148"/>
    </row>
    <row r="168" spans="1:16">
      <c r="A168" s="95" t="s">
        <v>2449</v>
      </c>
      <c r="B168" s="95" t="s">
        <v>1473</v>
      </c>
      <c r="C168" s="4">
        <v>4381</v>
      </c>
      <c r="D168" s="95" t="s">
        <v>1492</v>
      </c>
      <c r="E168" s="145">
        <v>492.83</v>
      </c>
      <c r="F168" s="145">
        <v>0</v>
      </c>
      <c r="G168" s="145">
        <v>0</v>
      </c>
      <c r="H168" s="145">
        <v>0</v>
      </c>
      <c r="I168" s="77">
        <f t="shared" si="5"/>
        <v>492.83</v>
      </c>
      <c r="J168" s="123" t="str">
        <f>IFERROR(VLOOKUP($C168,'CEDARS School FRPL'!C:H,4,FALSE),"No")</f>
        <v>No</v>
      </c>
      <c r="K168" s="109"/>
      <c r="L168" s="109"/>
      <c r="M168" s="110">
        <f>IFERROR(VLOOKUP($C168,'CEDARS School FRPL'!C:H,3,FALSE),0)</f>
        <v>0.43186666666666668</v>
      </c>
      <c r="N168" s="123" t="str">
        <f>IFERROR(VLOOKUP(C168,'CEDARS School FRPL'!C:H,6,FALSE),"No")</f>
        <v>No</v>
      </c>
      <c r="O168" s="147"/>
      <c r="P168" s="148"/>
    </row>
    <row r="169" spans="1:16">
      <c r="A169" s="95" t="s">
        <v>2449</v>
      </c>
      <c r="B169" s="95" t="s">
        <v>1473</v>
      </c>
      <c r="C169" s="4">
        <v>4407</v>
      </c>
      <c r="D169" s="95" t="s">
        <v>245</v>
      </c>
      <c r="E169" s="145">
        <v>671.38</v>
      </c>
      <c r="F169" s="145">
        <v>0</v>
      </c>
      <c r="G169" s="145">
        <v>0</v>
      </c>
      <c r="H169" s="145">
        <v>0</v>
      </c>
      <c r="I169" s="77">
        <f t="shared" si="5"/>
        <v>671.38</v>
      </c>
      <c r="J169" s="123" t="str">
        <f>IFERROR(VLOOKUP($C169,'CEDARS School FRPL'!C:H,4,FALSE),"No")</f>
        <v>No</v>
      </c>
      <c r="K169" s="109"/>
      <c r="L169" s="109"/>
      <c r="M169" s="110">
        <f>IFERROR(VLOOKUP($C169,'CEDARS School FRPL'!C:H,3,FALSE),0)</f>
        <v>0.40716666666666668</v>
      </c>
      <c r="N169" s="123" t="str">
        <f>IFERROR(VLOOKUP(C169,'CEDARS School FRPL'!C:H,6,FALSE),"No")</f>
        <v>No</v>
      </c>
      <c r="O169" s="147"/>
      <c r="P169" s="148"/>
    </row>
    <row r="170" spans="1:16">
      <c r="A170" s="95" t="s">
        <v>2449</v>
      </c>
      <c r="B170" s="95" t="s">
        <v>1473</v>
      </c>
      <c r="C170" s="4">
        <v>4538</v>
      </c>
      <c r="D170" s="95" t="s">
        <v>1493</v>
      </c>
      <c r="E170" s="145">
        <v>475.02</v>
      </c>
      <c r="F170" s="145">
        <v>0</v>
      </c>
      <c r="G170" s="145">
        <v>0</v>
      </c>
      <c r="H170" s="145">
        <v>0</v>
      </c>
      <c r="I170" s="77">
        <f t="shared" si="5"/>
        <v>475.02</v>
      </c>
      <c r="J170" s="123" t="str">
        <f>IFERROR(VLOOKUP($C170,'CEDARS School FRPL'!C:H,4,FALSE),"No")</f>
        <v>No</v>
      </c>
      <c r="K170" s="109"/>
      <c r="L170" s="109"/>
      <c r="M170" s="110">
        <f>IFERROR(VLOOKUP($C170,'CEDARS School FRPL'!C:H,3,FALSE),0)</f>
        <v>0.45049999999999996</v>
      </c>
      <c r="N170" s="123" t="str">
        <f>IFERROR(VLOOKUP(C170,'CEDARS School FRPL'!C:H,6,FALSE),"No")</f>
        <v>No</v>
      </c>
      <c r="O170" s="147"/>
      <c r="P170" s="148"/>
    </row>
    <row r="171" spans="1:16">
      <c r="A171" s="95" t="s">
        <v>2449</v>
      </c>
      <c r="B171" s="95" t="s">
        <v>1473</v>
      </c>
      <c r="C171" s="4">
        <v>4578</v>
      </c>
      <c r="D171" s="95" t="s">
        <v>1494</v>
      </c>
      <c r="E171" s="145">
        <v>621.23</v>
      </c>
      <c r="F171" s="145">
        <v>0</v>
      </c>
      <c r="G171" s="145">
        <v>0</v>
      </c>
      <c r="H171" s="145">
        <v>0</v>
      </c>
      <c r="I171" s="77">
        <f t="shared" si="5"/>
        <v>621.23</v>
      </c>
      <c r="J171" s="123" t="str">
        <f>IFERROR(VLOOKUP($C171,'CEDARS School FRPL'!C:H,4,FALSE),"No")</f>
        <v>No</v>
      </c>
      <c r="K171" s="109"/>
      <c r="L171" s="109"/>
      <c r="M171" s="110">
        <f>IFERROR(VLOOKUP($C171,'CEDARS School FRPL'!C:H,3,FALSE),0)</f>
        <v>0.45270000000000005</v>
      </c>
      <c r="N171" s="123" t="str">
        <f>IFERROR(VLOOKUP(C171,'CEDARS School FRPL'!C:H,6,FALSE),"No")</f>
        <v>No</v>
      </c>
      <c r="O171" s="147"/>
      <c r="P171" s="148"/>
    </row>
    <row r="172" spans="1:16">
      <c r="A172" s="95" t="s">
        <v>2449</v>
      </c>
      <c r="B172" s="95" t="s">
        <v>1473</v>
      </c>
      <c r="C172" s="4">
        <v>5033</v>
      </c>
      <c r="D172" s="95" t="s">
        <v>1495</v>
      </c>
      <c r="E172" s="145">
        <v>1779.22</v>
      </c>
      <c r="F172" s="145">
        <v>135.91</v>
      </c>
      <c r="G172" s="145">
        <v>0</v>
      </c>
      <c r="H172" s="145">
        <v>0</v>
      </c>
      <c r="I172" s="77">
        <f t="shared" si="5"/>
        <v>1915.13</v>
      </c>
      <c r="J172" s="123" t="str">
        <f>IFERROR(VLOOKUP($C172,'CEDARS School FRPL'!C:H,4,FALSE),"No")</f>
        <v>No</v>
      </c>
      <c r="K172" s="109"/>
      <c r="L172" s="109"/>
      <c r="M172" s="110">
        <f>IFERROR(VLOOKUP($C172,'CEDARS School FRPL'!C:H,3,FALSE),0)</f>
        <v>0.38216666666666671</v>
      </c>
      <c r="N172" s="123" t="str">
        <f>IFERROR(VLOOKUP(C172,'CEDARS School FRPL'!C:H,6,FALSE),"No")</f>
        <v>No</v>
      </c>
      <c r="O172" s="147"/>
      <c r="P172" s="148"/>
    </row>
    <row r="173" spans="1:16">
      <c r="A173" s="95" t="s">
        <v>2449</v>
      </c>
      <c r="B173" s="95" t="s">
        <v>1473</v>
      </c>
      <c r="C173" s="4">
        <v>5159</v>
      </c>
      <c r="D173" s="95" t="s">
        <v>1496</v>
      </c>
      <c r="E173" s="145">
        <v>537.89</v>
      </c>
      <c r="F173" s="145">
        <v>0</v>
      </c>
      <c r="G173" s="145">
        <v>0</v>
      </c>
      <c r="H173" s="145">
        <v>0</v>
      </c>
      <c r="I173" s="77">
        <f t="shared" si="5"/>
        <v>537.89</v>
      </c>
      <c r="J173" s="123" t="str">
        <f>IFERROR(VLOOKUP($C173,'CEDARS School FRPL'!C:H,4,FALSE),"No")</f>
        <v>No</v>
      </c>
      <c r="K173" s="109"/>
      <c r="L173" s="109"/>
      <c r="M173" s="110">
        <f>IFERROR(VLOOKUP($C173,'CEDARS School FRPL'!C:H,3,FALSE),0)</f>
        <v>0.46910000000000002</v>
      </c>
      <c r="N173" s="123" t="str">
        <f>IFERROR(VLOOKUP(C173,'CEDARS School FRPL'!C:H,6,FALSE),"No")</f>
        <v>No</v>
      </c>
      <c r="O173" s="147"/>
      <c r="P173" s="148"/>
    </row>
    <row r="174" spans="1:16">
      <c r="A174" s="95" t="s">
        <v>2449</v>
      </c>
      <c r="B174" s="95" t="s">
        <v>1473</v>
      </c>
      <c r="C174" s="4">
        <v>5160</v>
      </c>
      <c r="D174" s="95" t="s">
        <v>1497</v>
      </c>
      <c r="E174" s="145">
        <v>702.34</v>
      </c>
      <c r="F174" s="145">
        <v>0</v>
      </c>
      <c r="G174" s="145">
        <v>0</v>
      </c>
      <c r="H174" s="145">
        <v>0</v>
      </c>
      <c r="I174" s="77">
        <f t="shared" si="5"/>
        <v>702.34</v>
      </c>
      <c r="J174" s="123" t="str">
        <f>IFERROR(VLOOKUP($C174,'CEDARS School FRPL'!C:H,4,FALSE),"No")</f>
        <v>No</v>
      </c>
      <c r="K174" s="109"/>
      <c r="L174" s="109"/>
      <c r="M174" s="110">
        <f>IFERROR(VLOOKUP($C174,'CEDARS School FRPL'!C:H,3,FALSE),0)</f>
        <v>0.32583333333333336</v>
      </c>
      <c r="N174" s="123" t="str">
        <f>IFERROR(VLOOKUP(C174,'CEDARS School FRPL'!C:H,6,FALSE),"No")</f>
        <v>No</v>
      </c>
      <c r="O174" s="147"/>
      <c r="P174" s="148"/>
    </row>
    <row r="175" spans="1:16">
      <c r="A175" s="95" t="s">
        <v>2449</v>
      </c>
      <c r="B175" s="95" t="s">
        <v>1473</v>
      </c>
      <c r="C175" s="4">
        <v>5206</v>
      </c>
      <c r="D175" s="95" t="s">
        <v>261</v>
      </c>
      <c r="E175" s="145">
        <v>864.62</v>
      </c>
      <c r="F175" s="145">
        <v>0</v>
      </c>
      <c r="G175" s="145">
        <v>0</v>
      </c>
      <c r="H175" s="145">
        <v>0</v>
      </c>
      <c r="I175" s="77">
        <f t="shared" si="5"/>
        <v>864.62</v>
      </c>
      <c r="J175" s="123" t="str">
        <f>IFERROR(VLOOKUP($C175,'CEDARS School FRPL'!C:H,4,FALSE),"No")</f>
        <v>Yes</v>
      </c>
      <c r="K175" s="109"/>
      <c r="L175" s="109"/>
      <c r="M175" s="110">
        <f>IFERROR(VLOOKUP($C175,'CEDARS School FRPL'!C:H,3,FALSE),0)</f>
        <v>0.50256666666666661</v>
      </c>
      <c r="N175" s="123" t="str">
        <f>IFERROR(VLOOKUP(C175,'CEDARS School FRPL'!C:H,6,FALSE),"No")</f>
        <v>No</v>
      </c>
      <c r="O175" s="147"/>
      <c r="P175" s="148"/>
    </row>
    <row r="176" spans="1:16">
      <c r="A176" s="95" t="s">
        <v>2449</v>
      </c>
      <c r="B176" s="95" t="s">
        <v>1473</v>
      </c>
      <c r="C176" s="4">
        <v>5372</v>
      </c>
      <c r="D176" s="95" t="s">
        <v>1498</v>
      </c>
      <c r="E176" s="145">
        <v>0</v>
      </c>
      <c r="F176" s="145">
        <v>0</v>
      </c>
      <c r="G176" s="145">
        <v>251.57</v>
      </c>
      <c r="H176" s="145">
        <v>0</v>
      </c>
      <c r="I176" s="77">
        <f t="shared" si="5"/>
        <v>251.57</v>
      </c>
      <c r="J176" s="123" t="str">
        <f>IFERROR(VLOOKUP($C176,'CEDARS School FRPL'!C:H,4,FALSE),"No")</f>
        <v>No</v>
      </c>
      <c r="K176" s="109"/>
      <c r="L176" s="109"/>
      <c r="M176" s="110">
        <f>IFERROR(VLOOKUP($C176,'CEDARS School FRPL'!C:H,3,FALSE),0)</f>
        <v>0.4346666666666667</v>
      </c>
      <c r="N176" s="123" t="str">
        <f>IFERROR(VLOOKUP(C176,'CEDARS School FRPL'!C:H,6,FALSE),"No")</f>
        <v>No</v>
      </c>
      <c r="O176" s="147"/>
      <c r="P176" s="148"/>
    </row>
    <row r="177" spans="1:16">
      <c r="A177" s="95" t="s">
        <v>2449</v>
      </c>
      <c r="B177" s="95" t="s">
        <v>1473</v>
      </c>
      <c r="C177" s="4">
        <v>5471</v>
      </c>
      <c r="D177" s="95" t="s">
        <v>2713</v>
      </c>
      <c r="E177" s="145">
        <v>22.67</v>
      </c>
      <c r="F177" s="145">
        <v>0</v>
      </c>
      <c r="G177" s="145">
        <v>0</v>
      </c>
      <c r="H177" s="145">
        <v>0</v>
      </c>
      <c r="I177" s="77">
        <f t="shared" si="5"/>
        <v>22.67</v>
      </c>
      <c r="J177" s="123" t="str">
        <f>IFERROR(VLOOKUP($C177,'CEDARS School FRPL'!C:H,4,FALSE),"No")</f>
        <v>No</v>
      </c>
      <c r="K177" s="109"/>
      <c r="L177" s="109"/>
      <c r="M177" s="110">
        <f>IFERROR(VLOOKUP($C177,'CEDARS School FRPL'!C:H,3,FALSE),0)</f>
        <v>0.2925666666666667</v>
      </c>
      <c r="N177" s="123" t="str">
        <f>IFERROR(VLOOKUP(C177,'CEDARS School FRPL'!C:H,6,FALSE),"No")</f>
        <v>No</v>
      </c>
      <c r="O177" s="147"/>
      <c r="P177" s="148"/>
    </row>
    <row r="178" spans="1:16">
      <c r="A178" s="95" t="s">
        <v>2449</v>
      </c>
      <c r="B178" s="95" t="s">
        <v>1473</v>
      </c>
      <c r="C178" s="4">
        <v>5633</v>
      </c>
      <c r="D178" s="95" t="s">
        <v>2865</v>
      </c>
      <c r="E178" s="145">
        <v>848.54</v>
      </c>
      <c r="F178" s="145">
        <v>10.029999999999999</v>
      </c>
      <c r="G178" s="145">
        <v>0</v>
      </c>
      <c r="H178" s="145">
        <v>0</v>
      </c>
      <c r="I178" s="77">
        <f t="shared" si="5"/>
        <v>858.56999999999994</v>
      </c>
      <c r="J178" s="123" t="str">
        <f>IFERROR(VLOOKUP($C178,'CEDARS School FRPL'!C:H,4,FALSE),"No")</f>
        <v>Yes</v>
      </c>
      <c r="K178" s="109"/>
      <c r="L178" s="109"/>
      <c r="M178" s="110">
        <f>IFERROR(VLOOKUP($C178,'CEDARS School FRPL'!C:H,3,FALSE),0)</f>
        <v>0.51390000000000002</v>
      </c>
      <c r="N178" s="123" t="str">
        <f>IFERROR(VLOOKUP(C178,'CEDARS School FRPL'!C:H,6,FALSE),"No")</f>
        <v>No</v>
      </c>
      <c r="O178" s="147"/>
      <c r="P178" s="148"/>
    </row>
    <row r="179" spans="1:16">
      <c r="A179" s="95" t="s">
        <v>2449</v>
      </c>
      <c r="B179" s="95" t="s">
        <v>1473</v>
      </c>
      <c r="C179" s="4">
        <v>5635</v>
      </c>
      <c r="D179" s="95" t="s">
        <v>3000</v>
      </c>
      <c r="E179" s="145">
        <v>473.06</v>
      </c>
      <c r="F179" s="145">
        <v>0</v>
      </c>
      <c r="G179" s="145">
        <v>0</v>
      </c>
      <c r="H179" s="145">
        <v>0</v>
      </c>
      <c r="I179" s="77">
        <f t="shared" si="5"/>
        <v>473.06</v>
      </c>
      <c r="J179" s="123" t="str">
        <f>IFERROR(VLOOKUP($C179,'CEDARS School FRPL'!C:H,4,FALSE),"No")</f>
        <v>No</v>
      </c>
      <c r="K179" s="109"/>
      <c r="L179" s="109"/>
      <c r="M179" s="110">
        <f>IFERROR(VLOOKUP($C179,'CEDARS School FRPL'!C:H,3,FALSE),0)</f>
        <v>1.0699999999999999E-2</v>
      </c>
      <c r="N179" s="123" t="str">
        <f>IFERROR(VLOOKUP(C179,'CEDARS School FRPL'!C:H,6,FALSE),"No")</f>
        <v>No</v>
      </c>
      <c r="O179" s="147"/>
      <c r="P179" s="148"/>
    </row>
    <row r="180" spans="1:16">
      <c r="A180" s="95" t="s">
        <v>2449</v>
      </c>
      <c r="B180" s="95" t="s">
        <v>1473</v>
      </c>
      <c r="C180" s="4">
        <v>5665</v>
      </c>
      <c r="D180" s="95" t="s">
        <v>3001</v>
      </c>
      <c r="E180" s="145">
        <v>58.86</v>
      </c>
      <c r="F180" s="145">
        <v>0</v>
      </c>
      <c r="G180" s="145">
        <v>0</v>
      </c>
      <c r="H180" s="145">
        <v>0</v>
      </c>
      <c r="I180" s="77">
        <f t="shared" si="5"/>
        <v>58.86</v>
      </c>
      <c r="J180" s="123" t="str">
        <f>IFERROR(VLOOKUP($C180,'CEDARS School FRPL'!C:H,4,FALSE),"No")</f>
        <v>No</v>
      </c>
      <c r="K180" s="109"/>
      <c r="L180" s="109"/>
      <c r="M180" s="110">
        <f>IFERROR(VLOOKUP($C180,'CEDARS School FRPL'!C:H,3,FALSE),0)</f>
        <v>0</v>
      </c>
      <c r="N180" s="123" t="str">
        <f>IFERROR(VLOOKUP(C180,'CEDARS School FRPL'!C:H,6,FALSE),"No")</f>
        <v>No</v>
      </c>
      <c r="O180" s="147"/>
      <c r="P180" s="148"/>
    </row>
    <row r="181" spans="1:16">
      <c r="A181" s="95" t="s">
        <v>2449</v>
      </c>
      <c r="B181" s="95" t="s">
        <v>1473</v>
      </c>
      <c r="C181" s="4">
        <v>5961</v>
      </c>
      <c r="D181" s="95" t="s">
        <v>1499</v>
      </c>
      <c r="E181" s="145">
        <v>260.51</v>
      </c>
      <c r="F181" s="145">
        <v>0</v>
      </c>
      <c r="G181" s="145">
        <v>0</v>
      </c>
      <c r="H181" s="145">
        <v>0</v>
      </c>
      <c r="I181" s="77">
        <f t="shared" si="5"/>
        <v>260.51</v>
      </c>
      <c r="J181" s="123" t="str">
        <f>IFERROR(VLOOKUP($C181,'CEDARS School FRPL'!C:H,4,FALSE),"No")</f>
        <v>No</v>
      </c>
      <c r="K181" s="109"/>
      <c r="L181" s="109"/>
      <c r="M181" s="110">
        <f>IFERROR(VLOOKUP($C181,'CEDARS School FRPL'!C:H,3,FALSE),0)</f>
        <v>2.4566666666666667E-2</v>
      </c>
      <c r="N181" s="123" t="str">
        <f>IFERROR(VLOOKUP(C181,'CEDARS School FRPL'!C:H,6,FALSE),"No")</f>
        <v>No</v>
      </c>
      <c r="O181" s="147"/>
      <c r="P181" s="148"/>
    </row>
    <row r="182" spans="1:16">
      <c r="A182" s="95" t="s">
        <v>2384</v>
      </c>
      <c r="B182" s="95" t="s">
        <v>1106</v>
      </c>
      <c r="C182" s="4">
        <v>3392</v>
      </c>
      <c r="D182" s="95" t="s">
        <v>1107</v>
      </c>
      <c r="E182" s="145">
        <v>113</v>
      </c>
      <c r="F182" s="145">
        <v>0</v>
      </c>
      <c r="G182" s="145">
        <v>0</v>
      </c>
      <c r="H182" s="145">
        <v>0</v>
      </c>
      <c r="I182" s="77">
        <f t="shared" si="5"/>
        <v>113</v>
      </c>
      <c r="J182" s="123" t="str">
        <f>IFERROR(VLOOKUP($C182,'CEDARS School FRPL'!C:H,4,FALSE),"No")</f>
        <v>No</v>
      </c>
      <c r="K182" s="109"/>
      <c r="L182" s="109"/>
      <c r="M182" s="110">
        <f>IFERROR(VLOOKUP($C182,'CEDARS School FRPL'!C:H,3,FALSE),0)</f>
        <v>0.34946666666666665</v>
      </c>
      <c r="N182" s="123" t="str">
        <f>IFERROR(VLOOKUP(C182,'CEDARS School FRPL'!C:H,6,FALSE),"No")</f>
        <v>No</v>
      </c>
      <c r="O182" s="147"/>
      <c r="P182" s="148"/>
    </row>
    <row r="183" spans="1:16">
      <c r="A183" s="95" t="s">
        <v>2534</v>
      </c>
      <c r="B183" s="95" t="s">
        <v>2096</v>
      </c>
      <c r="C183" s="4">
        <v>2713</v>
      </c>
      <c r="D183" s="95" t="s">
        <v>2097</v>
      </c>
      <c r="E183" s="145">
        <v>483.45</v>
      </c>
      <c r="F183" s="145">
        <v>0</v>
      </c>
      <c r="G183" s="145">
        <v>0</v>
      </c>
      <c r="H183" s="145">
        <v>0</v>
      </c>
      <c r="I183" s="77">
        <f t="shared" si="5"/>
        <v>483.45</v>
      </c>
      <c r="J183" s="123" t="str">
        <f>IFERROR(VLOOKUP($C183,'CEDARS School FRPL'!C:H,4,FALSE),"No")</f>
        <v>No</v>
      </c>
      <c r="K183" s="109"/>
      <c r="L183" s="109"/>
      <c r="M183" s="110">
        <f>IFERROR(VLOOKUP($C183,'CEDARS School FRPL'!C:H,3,FALSE),0)</f>
        <v>0.49896666666666672</v>
      </c>
      <c r="N183" s="123" t="str">
        <f>IFERROR(VLOOKUP(C183,'CEDARS School FRPL'!C:H,6,FALSE),"No")</f>
        <v>Yes</v>
      </c>
      <c r="O183" s="147"/>
      <c r="P183" s="148"/>
    </row>
    <row r="184" spans="1:16">
      <c r="A184" s="95" t="s">
        <v>2534</v>
      </c>
      <c r="B184" s="95" t="s">
        <v>2096</v>
      </c>
      <c r="C184" s="4">
        <v>3136</v>
      </c>
      <c r="D184" s="95" t="s">
        <v>2098</v>
      </c>
      <c r="E184" s="145">
        <v>563.75</v>
      </c>
      <c r="F184" s="145">
        <v>49.45</v>
      </c>
      <c r="G184" s="145">
        <v>0</v>
      </c>
      <c r="H184" s="145">
        <v>0</v>
      </c>
      <c r="I184" s="77">
        <f t="shared" si="5"/>
        <v>613.20000000000005</v>
      </c>
      <c r="J184" s="123" t="str">
        <f>IFERROR(VLOOKUP($C184,'CEDARS School FRPL'!C:H,4,FALSE),"No")</f>
        <v>No</v>
      </c>
      <c r="K184" s="109"/>
      <c r="L184" s="109"/>
      <c r="M184" s="110">
        <f>IFERROR(VLOOKUP($C184,'CEDARS School FRPL'!C:H,3,FALSE),0)</f>
        <v>0.44093333333333334</v>
      </c>
      <c r="N184" s="123" t="str">
        <f>IFERROR(VLOOKUP(C184,'CEDARS School FRPL'!C:H,6,FALSE),"No")</f>
        <v>No</v>
      </c>
      <c r="O184" s="147"/>
      <c r="P184" s="148"/>
    </row>
    <row r="185" spans="1:16">
      <c r="A185" s="95" t="s">
        <v>2534</v>
      </c>
      <c r="B185" s="95" t="s">
        <v>2096</v>
      </c>
      <c r="C185" s="4">
        <v>3796</v>
      </c>
      <c r="D185" s="95" t="s">
        <v>2099</v>
      </c>
      <c r="E185" s="145">
        <v>450.9</v>
      </c>
      <c r="F185" s="145">
        <v>0</v>
      </c>
      <c r="G185" s="145">
        <v>0</v>
      </c>
      <c r="H185" s="145">
        <v>0</v>
      </c>
      <c r="I185" s="77">
        <f t="shared" si="5"/>
        <v>450.9</v>
      </c>
      <c r="J185" s="123" t="str">
        <f>IFERROR(VLOOKUP($C185,'CEDARS School FRPL'!C:H,4,FALSE),"No")</f>
        <v>No</v>
      </c>
      <c r="K185" s="109"/>
      <c r="L185" s="109"/>
      <c r="M185" s="110">
        <f>IFERROR(VLOOKUP($C185,'CEDARS School FRPL'!C:H,3,FALSE),0)</f>
        <v>0.47770000000000001</v>
      </c>
      <c r="N185" s="123" t="str">
        <f>IFERROR(VLOOKUP(C185,'CEDARS School FRPL'!C:H,6,FALSE),"No")</f>
        <v>No</v>
      </c>
      <c r="O185" s="147"/>
      <c r="P185" s="148"/>
    </row>
    <row r="186" spans="1:16">
      <c r="A186" s="95" t="s">
        <v>2534</v>
      </c>
      <c r="B186" s="95" t="s">
        <v>2096</v>
      </c>
      <c r="C186" s="4">
        <v>4459</v>
      </c>
      <c r="D186" s="95" t="s">
        <v>2100</v>
      </c>
      <c r="E186" s="145">
        <v>15</v>
      </c>
      <c r="F186" s="145">
        <v>0</v>
      </c>
      <c r="G186" s="145">
        <v>0</v>
      </c>
      <c r="H186" s="145">
        <v>0</v>
      </c>
      <c r="I186" s="77">
        <f t="shared" si="5"/>
        <v>15</v>
      </c>
      <c r="J186" s="123" t="str">
        <f>IFERROR(VLOOKUP($C186,'CEDARS School FRPL'!C:H,4,FALSE),"No")</f>
        <v>No</v>
      </c>
      <c r="K186" s="109"/>
      <c r="L186" s="109"/>
      <c r="M186" s="110">
        <f>IFERROR(VLOOKUP($C186,'CEDARS School FRPL'!C:H,3,FALSE),0)</f>
        <v>4.99E-2</v>
      </c>
      <c r="N186" s="123" t="str">
        <f>IFERROR(VLOOKUP(C186,'CEDARS School FRPL'!C:H,6,FALSE),"No")</f>
        <v>No</v>
      </c>
      <c r="O186" s="147"/>
      <c r="P186" s="148"/>
    </row>
    <row r="187" spans="1:16">
      <c r="A187" s="95" t="s">
        <v>2534</v>
      </c>
      <c r="B187" s="95" t="s">
        <v>2096</v>
      </c>
      <c r="C187" s="4">
        <v>4476</v>
      </c>
      <c r="D187" s="95" t="s">
        <v>2101</v>
      </c>
      <c r="E187" s="145">
        <v>453.41</v>
      </c>
      <c r="F187" s="145">
        <v>0</v>
      </c>
      <c r="G187" s="145">
        <v>0</v>
      </c>
      <c r="H187" s="145">
        <v>0</v>
      </c>
      <c r="I187" s="77">
        <f t="shared" si="5"/>
        <v>453.41</v>
      </c>
      <c r="J187" s="123" t="str">
        <f>IFERROR(VLOOKUP($C187,'CEDARS School FRPL'!C:H,4,FALSE),"No")</f>
        <v>No</v>
      </c>
      <c r="K187" s="109"/>
      <c r="L187" s="109"/>
      <c r="M187" s="110">
        <f>IFERROR(VLOOKUP($C187,'CEDARS School FRPL'!C:H,3,FALSE),0)</f>
        <v>0.46596666666666664</v>
      </c>
      <c r="N187" s="123" t="str">
        <f>IFERROR(VLOOKUP(C187,'CEDARS School FRPL'!C:H,6,FALSE),"No")</f>
        <v>No</v>
      </c>
      <c r="O187" s="147"/>
      <c r="P187" s="148"/>
    </row>
    <row r="188" spans="1:16">
      <c r="A188" s="95" t="s">
        <v>2534</v>
      </c>
      <c r="B188" s="95" t="s">
        <v>2096</v>
      </c>
      <c r="C188" s="4">
        <v>5021</v>
      </c>
      <c r="D188" s="95" t="s">
        <v>2102</v>
      </c>
      <c r="E188" s="145">
        <v>70.67</v>
      </c>
      <c r="F188" s="145">
        <v>0</v>
      </c>
      <c r="G188" s="145">
        <v>0</v>
      </c>
      <c r="H188" s="145">
        <v>0</v>
      </c>
      <c r="I188" s="77">
        <f t="shared" si="5"/>
        <v>70.67</v>
      </c>
      <c r="J188" s="123" t="str">
        <f>IFERROR(VLOOKUP($C188,'CEDARS School FRPL'!C:H,4,FALSE),"No")</f>
        <v>No</v>
      </c>
      <c r="K188" s="109"/>
      <c r="L188" s="109"/>
      <c r="M188" s="110">
        <f>IFERROR(VLOOKUP($C188,'CEDARS School FRPL'!C:H,3,FALSE),0)</f>
        <v>0.19450000000000001</v>
      </c>
      <c r="N188" s="123" t="str">
        <f>IFERROR(VLOOKUP(C188,'CEDARS School FRPL'!C:H,6,FALSE),"No")</f>
        <v>No</v>
      </c>
      <c r="O188" s="147"/>
      <c r="P188" s="148"/>
    </row>
    <row r="189" spans="1:16">
      <c r="A189" s="95" t="s">
        <v>2534</v>
      </c>
      <c r="B189" s="95" t="s">
        <v>2096</v>
      </c>
      <c r="C189" s="4">
        <v>5465</v>
      </c>
      <c r="D189" s="95" t="s">
        <v>2714</v>
      </c>
      <c r="E189" s="145">
        <v>0</v>
      </c>
      <c r="F189" s="145">
        <v>0</v>
      </c>
      <c r="G189" s="145">
        <v>15.72</v>
      </c>
      <c r="H189" s="145">
        <v>0</v>
      </c>
      <c r="I189" s="77">
        <f t="shared" si="5"/>
        <v>15.72</v>
      </c>
      <c r="J189" s="123" t="str">
        <f>IFERROR(VLOOKUP($C189,'CEDARS School FRPL'!C:H,4,FALSE),"No")</f>
        <v>Yes</v>
      </c>
      <c r="K189" s="109"/>
      <c r="L189" s="109"/>
      <c r="M189" s="110">
        <f>IFERROR(VLOOKUP($C189,'CEDARS School FRPL'!C:H,3,FALSE),0)</f>
        <v>0.58006666666666673</v>
      </c>
      <c r="N189" s="123" t="str">
        <f>IFERROR(VLOOKUP(C189,'CEDARS School FRPL'!C:H,6,FALSE),"No")</f>
        <v>No</v>
      </c>
      <c r="O189" s="147"/>
      <c r="P189" s="148"/>
    </row>
    <row r="190" spans="1:16">
      <c r="A190" s="95" t="s">
        <v>2399</v>
      </c>
      <c r="B190" s="95" t="s">
        <v>1153</v>
      </c>
      <c r="C190" s="4">
        <v>2516</v>
      </c>
      <c r="D190" s="95" t="s">
        <v>1154</v>
      </c>
      <c r="E190" s="145">
        <v>85.65</v>
      </c>
      <c r="F190" s="145">
        <v>0</v>
      </c>
      <c r="G190" s="145">
        <v>0</v>
      </c>
      <c r="H190" s="145">
        <v>0</v>
      </c>
      <c r="I190" s="77">
        <f t="shared" si="5"/>
        <v>85.65</v>
      </c>
      <c r="J190" s="123" t="str">
        <f>IFERROR(VLOOKUP($C190,'CEDARS School FRPL'!C:H,4,FALSE),"No")</f>
        <v>Yes</v>
      </c>
      <c r="K190" s="109"/>
      <c r="L190" s="109"/>
      <c r="M190" s="110">
        <f>IFERROR(VLOOKUP($C190,'CEDARS School FRPL'!C:H,3,FALSE),0)</f>
        <v>0.50309999999999999</v>
      </c>
      <c r="N190" s="123" t="str">
        <f>IFERROR(VLOOKUP(C190,'CEDARS School FRPL'!C:H,6,FALSE),"No")</f>
        <v>No</v>
      </c>
      <c r="O190" s="147"/>
      <c r="P190" s="148"/>
    </row>
    <row r="191" spans="1:16">
      <c r="A191" s="95" t="s">
        <v>2371</v>
      </c>
      <c r="B191" s="95" t="s">
        <v>1017</v>
      </c>
      <c r="C191" s="4">
        <v>1737</v>
      </c>
      <c r="D191" s="95" t="s">
        <v>1018</v>
      </c>
      <c r="E191" s="145">
        <v>75.83</v>
      </c>
      <c r="F191" s="145">
        <v>1.03</v>
      </c>
      <c r="G191" s="145">
        <v>0</v>
      </c>
      <c r="H191" s="145">
        <v>0</v>
      </c>
      <c r="I191" s="77">
        <f t="shared" si="5"/>
        <v>76.86</v>
      </c>
      <c r="J191" s="123" t="str">
        <f>IFERROR(VLOOKUP($C191,'CEDARS School FRPL'!C:H,4,FALSE),"No")</f>
        <v>Yes</v>
      </c>
      <c r="K191" s="109"/>
      <c r="L191" s="109"/>
      <c r="M191" s="110">
        <f>IFERROR(VLOOKUP($C191,'CEDARS School FRPL'!C:H,3,FALSE),0)</f>
        <v>0.7641</v>
      </c>
      <c r="N191" s="123" t="str">
        <f>IFERROR(VLOOKUP(C191,'CEDARS School FRPL'!C:H,6,FALSE),"No")</f>
        <v>No</v>
      </c>
      <c r="O191" s="147"/>
      <c r="P191" s="148"/>
    </row>
    <row r="192" spans="1:16">
      <c r="A192" s="95" t="s">
        <v>2371</v>
      </c>
      <c r="B192" s="95" t="s">
        <v>1017</v>
      </c>
      <c r="C192" s="4">
        <v>1749</v>
      </c>
      <c r="D192" s="95" t="s">
        <v>1019</v>
      </c>
      <c r="E192" s="145">
        <v>68.959999999999994</v>
      </c>
      <c r="F192" s="145">
        <v>0</v>
      </c>
      <c r="G192" s="145">
        <v>0</v>
      </c>
      <c r="H192" s="145">
        <v>0</v>
      </c>
      <c r="I192" s="77">
        <f t="shared" si="5"/>
        <v>68.959999999999994</v>
      </c>
      <c r="J192" s="123" t="str">
        <f>IFERROR(VLOOKUP($C192,'CEDARS School FRPL'!C:H,4,FALSE),"No")</f>
        <v>No</v>
      </c>
      <c r="K192" s="109"/>
      <c r="L192" s="109"/>
      <c r="M192" s="110">
        <f>IFERROR(VLOOKUP($C192,'CEDARS School FRPL'!C:H,3,FALSE),0)</f>
        <v>0.42913333333333331</v>
      </c>
      <c r="N192" s="123" t="str">
        <f>IFERROR(VLOOKUP(C192,'CEDARS School FRPL'!C:H,6,FALSE),"No")</f>
        <v>No</v>
      </c>
      <c r="O192" s="147"/>
      <c r="P192" s="148"/>
    </row>
    <row r="193" spans="1:16">
      <c r="A193" s="95" t="s">
        <v>2371</v>
      </c>
      <c r="B193" s="95" t="s">
        <v>1017</v>
      </c>
      <c r="C193" s="4">
        <v>2613</v>
      </c>
      <c r="D193" s="95" t="s">
        <v>1020</v>
      </c>
      <c r="E193" s="145">
        <v>505.85</v>
      </c>
      <c r="F193" s="145">
        <v>0</v>
      </c>
      <c r="G193" s="145">
        <v>0</v>
      </c>
      <c r="H193" s="145">
        <v>0</v>
      </c>
      <c r="I193" s="77">
        <f t="shared" si="5"/>
        <v>505.85</v>
      </c>
      <c r="J193" s="123" t="str">
        <f>IFERROR(VLOOKUP($C193,'CEDARS School FRPL'!C:H,4,FALSE),"No")</f>
        <v>Yes</v>
      </c>
      <c r="K193" s="109"/>
      <c r="L193" s="109"/>
      <c r="M193" s="110">
        <f>IFERROR(VLOOKUP($C193,'CEDARS School FRPL'!C:H,3,FALSE),0)</f>
        <v>0.75636666666666663</v>
      </c>
      <c r="N193" s="123" t="str">
        <f>IFERROR(VLOOKUP(C193,'CEDARS School FRPL'!C:H,6,FALSE),"No")</f>
        <v>No</v>
      </c>
      <c r="O193" s="147"/>
      <c r="P193" s="148"/>
    </row>
    <row r="194" spans="1:16">
      <c r="A194" s="95" t="s">
        <v>2371</v>
      </c>
      <c r="B194" s="95" t="s">
        <v>1017</v>
      </c>
      <c r="C194" s="4">
        <v>2853</v>
      </c>
      <c r="D194" s="95" t="s">
        <v>2866</v>
      </c>
      <c r="E194" s="145">
        <v>387.71</v>
      </c>
      <c r="F194" s="145">
        <v>0</v>
      </c>
      <c r="G194" s="145">
        <v>0</v>
      </c>
      <c r="H194" s="145">
        <v>0</v>
      </c>
      <c r="I194" s="77">
        <f t="shared" si="5"/>
        <v>387.71</v>
      </c>
      <c r="J194" s="123" t="str">
        <f>IFERROR(VLOOKUP($C194,'CEDARS School FRPL'!C:H,4,FALSE),"No")</f>
        <v>Yes</v>
      </c>
      <c r="K194" s="109"/>
      <c r="L194" s="109"/>
      <c r="M194" s="110">
        <f>IFERROR(VLOOKUP($C194,'CEDARS School FRPL'!C:H,3,FALSE),0)</f>
        <v>0.5968</v>
      </c>
      <c r="N194" s="123" t="str">
        <f>IFERROR(VLOOKUP(C194,'CEDARS School FRPL'!C:H,6,FALSE),"No")</f>
        <v>No</v>
      </c>
      <c r="O194" s="147"/>
      <c r="P194" s="148"/>
    </row>
    <row r="195" spans="1:16">
      <c r="A195" s="95" t="s">
        <v>2371</v>
      </c>
      <c r="B195" s="95" t="s">
        <v>1017</v>
      </c>
      <c r="C195" s="4">
        <v>3108</v>
      </c>
      <c r="D195" s="95" t="s">
        <v>1021</v>
      </c>
      <c r="E195" s="145">
        <v>339.64</v>
      </c>
      <c r="F195" s="145">
        <v>0</v>
      </c>
      <c r="G195" s="145">
        <v>0</v>
      </c>
      <c r="H195" s="145">
        <v>0</v>
      </c>
      <c r="I195" s="77">
        <f t="shared" si="5"/>
        <v>339.64</v>
      </c>
      <c r="J195" s="123" t="str">
        <f>IFERROR(VLOOKUP($C195,'CEDARS School FRPL'!C:H,4,FALSE),"No")</f>
        <v>Yes</v>
      </c>
      <c r="K195" s="109"/>
      <c r="L195" s="109"/>
      <c r="M195" s="110">
        <f>IFERROR(VLOOKUP($C195,'CEDARS School FRPL'!C:H,3,FALSE),0)</f>
        <v>0.59533333333333338</v>
      </c>
      <c r="N195" s="123" t="str">
        <f>IFERROR(VLOOKUP(C195,'CEDARS School FRPL'!C:H,6,FALSE),"No")</f>
        <v>No</v>
      </c>
      <c r="O195" s="147"/>
      <c r="P195" s="148"/>
    </row>
    <row r="196" spans="1:16">
      <c r="A196" s="95" t="s">
        <v>2371</v>
      </c>
      <c r="B196" s="95" t="s">
        <v>1017</v>
      </c>
      <c r="C196" s="4">
        <v>3109</v>
      </c>
      <c r="D196" s="95" t="s">
        <v>1022</v>
      </c>
      <c r="E196" s="145">
        <v>1096.17</v>
      </c>
      <c r="F196" s="145">
        <v>39.989999999999995</v>
      </c>
      <c r="G196" s="145">
        <v>10.14</v>
      </c>
      <c r="H196" s="145">
        <v>0</v>
      </c>
      <c r="I196" s="77">
        <f t="shared" ref="I196:I259" si="6">+E196+F196+G196+H196</f>
        <v>1146.3000000000002</v>
      </c>
      <c r="J196" s="123" t="str">
        <f>IFERROR(VLOOKUP($C196,'CEDARS School FRPL'!C:H,4,FALSE),"No")</f>
        <v>Yes</v>
      </c>
      <c r="K196" s="109"/>
      <c r="L196" s="109"/>
      <c r="M196" s="110">
        <f>IFERROR(VLOOKUP($C196,'CEDARS School FRPL'!C:H,3,FALSE),0)</f>
        <v>0.6124666666666666</v>
      </c>
      <c r="N196" s="123" t="str">
        <f>IFERROR(VLOOKUP(C196,'CEDARS School FRPL'!C:H,6,FALSE),"No")</f>
        <v>No</v>
      </c>
      <c r="O196" s="147"/>
      <c r="P196" s="148"/>
    </row>
    <row r="197" spans="1:16">
      <c r="A197" s="95" t="s">
        <v>2371</v>
      </c>
      <c r="B197" s="95" t="s">
        <v>1017</v>
      </c>
      <c r="C197" s="4">
        <v>3171</v>
      </c>
      <c r="D197" s="95" t="s">
        <v>1023</v>
      </c>
      <c r="E197" s="145">
        <v>253.57</v>
      </c>
      <c r="F197" s="145">
        <v>0</v>
      </c>
      <c r="G197" s="145">
        <v>0</v>
      </c>
      <c r="H197" s="145">
        <v>0</v>
      </c>
      <c r="I197" s="77">
        <f t="shared" si="6"/>
        <v>253.57</v>
      </c>
      <c r="J197" s="123" t="str">
        <f>IFERROR(VLOOKUP($C197,'CEDARS School FRPL'!C:H,4,FALSE),"No")</f>
        <v>Yes</v>
      </c>
      <c r="K197" s="109"/>
      <c r="L197" s="109"/>
      <c r="M197" s="110">
        <f>IFERROR(VLOOKUP($C197,'CEDARS School FRPL'!C:H,3,FALSE),0)</f>
        <v>0.58413333333333339</v>
      </c>
      <c r="N197" s="123" t="str">
        <f>IFERROR(VLOOKUP(C197,'CEDARS School FRPL'!C:H,6,FALSE),"No")</f>
        <v>No</v>
      </c>
      <c r="O197" s="147"/>
      <c r="P197" s="148"/>
    </row>
    <row r="198" spans="1:16">
      <c r="A198" s="95" t="s">
        <v>2371</v>
      </c>
      <c r="B198" s="95" t="s">
        <v>1017</v>
      </c>
      <c r="C198" s="4">
        <v>3641</v>
      </c>
      <c r="D198" s="95" t="s">
        <v>1024</v>
      </c>
      <c r="E198" s="145">
        <v>358.95</v>
      </c>
      <c r="F198" s="145">
        <v>0</v>
      </c>
      <c r="G198" s="145">
        <v>0</v>
      </c>
      <c r="H198" s="145">
        <v>0</v>
      </c>
      <c r="I198" s="77">
        <f t="shared" si="6"/>
        <v>358.95</v>
      </c>
      <c r="J198" s="123" t="str">
        <f>IFERROR(VLOOKUP($C198,'CEDARS School FRPL'!C:H,4,FALSE),"No")</f>
        <v>Yes</v>
      </c>
      <c r="K198" s="109"/>
      <c r="L198" s="109"/>
      <c r="M198" s="110">
        <f>IFERROR(VLOOKUP($C198,'CEDARS School FRPL'!C:H,3,FALSE),0)</f>
        <v>0.7627666666666667</v>
      </c>
      <c r="N198" s="123" t="str">
        <f>IFERROR(VLOOKUP(C198,'CEDARS School FRPL'!C:H,6,FALSE),"No")</f>
        <v>No</v>
      </c>
      <c r="O198" s="147"/>
      <c r="P198" s="148"/>
    </row>
    <row r="199" spans="1:16">
      <c r="A199" s="95" t="s">
        <v>2371</v>
      </c>
      <c r="B199" s="95" t="s">
        <v>1017</v>
      </c>
      <c r="C199" s="4">
        <v>4038</v>
      </c>
      <c r="D199" s="95" t="s">
        <v>2715</v>
      </c>
      <c r="E199" s="145">
        <v>254.29</v>
      </c>
      <c r="F199" s="145">
        <v>0</v>
      </c>
      <c r="G199" s="145">
        <v>0</v>
      </c>
      <c r="H199" s="145">
        <v>0</v>
      </c>
      <c r="I199" s="77">
        <f t="shared" si="6"/>
        <v>254.29</v>
      </c>
      <c r="J199" s="123" t="str">
        <f>IFERROR(VLOOKUP($C199,'CEDARS School FRPL'!C:H,4,FALSE),"No")</f>
        <v>No</v>
      </c>
      <c r="K199" s="107"/>
      <c r="L199" s="107"/>
      <c r="M199" s="110">
        <f>IFERROR(VLOOKUP($C199,'CEDARS School FRPL'!C:H,3,FALSE),0)</f>
        <v>0.15</v>
      </c>
      <c r="N199" s="123" t="str">
        <f>IFERROR(VLOOKUP(C199,'CEDARS School FRPL'!C:H,6,FALSE),"No")</f>
        <v>No</v>
      </c>
      <c r="O199" s="147"/>
      <c r="P199" s="148"/>
    </row>
    <row r="200" spans="1:16">
      <c r="A200" s="95" t="s">
        <v>2371</v>
      </c>
      <c r="B200" s="95" t="s">
        <v>1017</v>
      </c>
      <c r="C200" s="4">
        <v>4421</v>
      </c>
      <c r="D200" s="95" t="s">
        <v>1025</v>
      </c>
      <c r="E200" s="145">
        <v>368.57</v>
      </c>
      <c r="F200" s="145">
        <v>0</v>
      </c>
      <c r="G200" s="145">
        <v>0</v>
      </c>
      <c r="H200" s="145">
        <v>0</v>
      </c>
      <c r="I200" s="77">
        <f t="shared" si="6"/>
        <v>368.57</v>
      </c>
      <c r="J200" s="123" t="str">
        <f>IFERROR(VLOOKUP($C200,'CEDARS School FRPL'!C:H,4,FALSE),"No")</f>
        <v>No</v>
      </c>
      <c r="K200" s="109"/>
      <c r="L200" s="109"/>
      <c r="M200" s="110">
        <f>IFERROR(VLOOKUP($C200,'CEDARS School FRPL'!C:H,3,FALSE),0)</f>
        <v>0.42083333333333334</v>
      </c>
      <c r="N200" s="123" t="str">
        <f>IFERROR(VLOOKUP(C200,'CEDARS School FRPL'!C:H,6,FALSE),"No")</f>
        <v>No</v>
      </c>
      <c r="O200" s="147"/>
      <c r="P200" s="148"/>
    </row>
    <row r="201" spans="1:16">
      <c r="A201" s="95" t="s">
        <v>2371</v>
      </c>
      <c r="B201" s="95" t="s">
        <v>1017</v>
      </c>
      <c r="C201" s="4">
        <v>4441</v>
      </c>
      <c r="D201" s="95" t="s">
        <v>1026</v>
      </c>
      <c r="E201" s="145">
        <v>771.49</v>
      </c>
      <c r="F201" s="145">
        <v>0</v>
      </c>
      <c r="G201" s="145">
        <v>0</v>
      </c>
      <c r="H201" s="145">
        <v>0</v>
      </c>
      <c r="I201" s="77">
        <f t="shared" si="6"/>
        <v>771.49</v>
      </c>
      <c r="J201" s="123" t="str">
        <f>IFERROR(VLOOKUP($C201,'CEDARS School FRPL'!C:H,4,FALSE),"No")</f>
        <v>Yes</v>
      </c>
      <c r="K201" s="109"/>
      <c r="L201" s="109"/>
      <c r="M201" s="110">
        <f>IFERROR(VLOOKUP($C201,'CEDARS School FRPL'!C:H,3,FALSE),0)</f>
        <v>0.66456666666666664</v>
      </c>
      <c r="N201" s="123" t="str">
        <f>IFERROR(VLOOKUP(C201,'CEDARS School FRPL'!C:H,6,FALSE),"No")</f>
        <v>No</v>
      </c>
      <c r="O201" s="147"/>
      <c r="P201" s="148"/>
    </row>
    <row r="202" spans="1:16">
      <c r="A202" s="95" t="s">
        <v>2371</v>
      </c>
      <c r="B202" s="95" t="s">
        <v>1017</v>
      </c>
      <c r="C202" s="4">
        <v>5395</v>
      </c>
      <c r="D202" s="95" t="s">
        <v>1027</v>
      </c>
      <c r="E202" s="145">
        <v>0</v>
      </c>
      <c r="F202" s="145">
        <v>0</v>
      </c>
      <c r="G202" s="145">
        <v>25.43</v>
      </c>
      <c r="H202" s="145">
        <v>0</v>
      </c>
      <c r="I202" s="77">
        <f t="shared" si="6"/>
        <v>25.43</v>
      </c>
      <c r="J202" s="123" t="str">
        <f>IFERROR(VLOOKUP($C202,'CEDARS School FRPL'!C:H,4,FALSE),"No")</f>
        <v>Yes</v>
      </c>
      <c r="K202" s="109"/>
      <c r="L202" s="109"/>
      <c r="M202" s="110">
        <f>IFERROR(VLOOKUP($C202,'CEDARS School FRPL'!C:H,3,FALSE),0)</f>
        <v>0.55783333333333329</v>
      </c>
      <c r="N202" s="123" t="str">
        <f>IFERROR(VLOOKUP(C202,'CEDARS School FRPL'!C:H,6,FALSE),"No")</f>
        <v>No</v>
      </c>
      <c r="O202" s="147"/>
      <c r="P202" s="148"/>
    </row>
    <row r="203" spans="1:16">
      <c r="A203" s="95" t="s">
        <v>2424</v>
      </c>
      <c r="B203" s="95" t="s">
        <v>1242</v>
      </c>
      <c r="C203" s="4">
        <v>2800</v>
      </c>
      <c r="D203" s="95" t="s">
        <v>1243</v>
      </c>
      <c r="E203" s="145">
        <v>274.66000000000003</v>
      </c>
      <c r="F203" s="145">
        <v>14.28</v>
      </c>
      <c r="G203" s="145">
        <v>0</v>
      </c>
      <c r="H203" s="145">
        <v>0</v>
      </c>
      <c r="I203" s="77">
        <f t="shared" si="6"/>
        <v>288.94</v>
      </c>
      <c r="J203" s="123" t="str">
        <f>IFERROR(VLOOKUP($C203,'CEDARS School FRPL'!C:H,4,FALSE),"No")</f>
        <v>Yes</v>
      </c>
      <c r="K203" s="109"/>
      <c r="L203" s="109"/>
      <c r="M203" s="110">
        <f>IFERROR(VLOOKUP($C203,'CEDARS School FRPL'!C:H,3,FALSE),0)</f>
        <v>0.85160000000000002</v>
      </c>
      <c r="N203" s="123" t="str">
        <f>IFERROR(VLOOKUP(C203,'CEDARS School FRPL'!C:H,6,FALSE),"No")</f>
        <v>No</v>
      </c>
      <c r="O203" s="147"/>
      <c r="P203" s="148"/>
    </row>
    <row r="204" spans="1:16">
      <c r="A204" s="95" t="s">
        <v>2424</v>
      </c>
      <c r="B204" s="95" t="s">
        <v>1242</v>
      </c>
      <c r="C204" s="4">
        <v>3293</v>
      </c>
      <c r="D204" s="95" t="s">
        <v>1244</v>
      </c>
      <c r="E204" s="145">
        <v>408.71</v>
      </c>
      <c r="F204" s="145">
        <v>0</v>
      </c>
      <c r="G204" s="145">
        <v>0</v>
      </c>
      <c r="H204" s="145">
        <v>0</v>
      </c>
      <c r="I204" s="77">
        <f t="shared" si="6"/>
        <v>408.71</v>
      </c>
      <c r="J204" s="123" t="str">
        <f>IFERROR(VLOOKUP($C204,'CEDARS School FRPL'!C:H,4,FALSE),"No")</f>
        <v>Yes</v>
      </c>
      <c r="K204" s="109"/>
      <c r="L204" s="109"/>
      <c r="M204" s="110">
        <f>IFERROR(VLOOKUP($C204,'CEDARS School FRPL'!C:H,3,FALSE),0)</f>
        <v>0.95316666666666672</v>
      </c>
      <c r="N204" s="123" t="str">
        <f>IFERROR(VLOOKUP(C204,'CEDARS School FRPL'!C:H,6,FALSE),"No")</f>
        <v>No</v>
      </c>
      <c r="O204" s="147"/>
      <c r="P204" s="148"/>
    </row>
    <row r="205" spans="1:16">
      <c r="A205" s="95" t="s">
        <v>2424</v>
      </c>
      <c r="B205" s="95" t="s">
        <v>1242</v>
      </c>
      <c r="C205" s="4">
        <v>4223</v>
      </c>
      <c r="D205" s="95" t="s">
        <v>1245</v>
      </c>
      <c r="E205" s="145">
        <v>241.03</v>
      </c>
      <c r="F205" s="145">
        <v>0</v>
      </c>
      <c r="G205" s="145">
        <v>0</v>
      </c>
      <c r="H205" s="145">
        <v>0</v>
      </c>
      <c r="I205" s="77">
        <f t="shared" si="6"/>
        <v>241.03</v>
      </c>
      <c r="J205" s="123" t="str">
        <f>IFERROR(VLOOKUP($C205,'CEDARS School FRPL'!C:H,4,FALSE),"No")</f>
        <v>Yes</v>
      </c>
      <c r="K205" s="109"/>
      <c r="L205" s="109"/>
      <c r="M205" s="110">
        <f>IFERROR(VLOOKUP($C205,'CEDARS School FRPL'!C:H,3,FALSE),0)</f>
        <v>0.90133333333333321</v>
      </c>
      <c r="N205" s="123" t="str">
        <f>IFERROR(VLOOKUP(C205,'CEDARS School FRPL'!C:H,6,FALSE),"No")</f>
        <v>No</v>
      </c>
      <c r="O205" s="147"/>
      <c r="P205" s="148"/>
    </row>
    <row r="206" spans="1:16">
      <c r="A206" s="95" t="s">
        <v>2424</v>
      </c>
      <c r="B206" s="95" t="s">
        <v>1242</v>
      </c>
      <c r="C206" s="4">
        <v>5272</v>
      </c>
      <c r="D206" s="95" t="s">
        <v>1246</v>
      </c>
      <c r="E206" s="145">
        <v>14.31</v>
      </c>
      <c r="F206" s="145">
        <v>0</v>
      </c>
      <c r="G206" s="145">
        <v>0</v>
      </c>
      <c r="H206" s="145">
        <v>0</v>
      </c>
      <c r="I206" s="77">
        <f t="shared" si="6"/>
        <v>14.31</v>
      </c>
      <c r="J206" s="123" t="str">
        <f>IFERROR(VLOOKUP($C206,'CEDARS School FRPL'!C:H,4,FALSE),"No")</f>
        <v>Yes</v>
      </c>
      <c r="K206" s="109"/>
      <c r="L206" s="109"/>
      <c r="M206" s="110">
        <f>IFERROR(VLOOKUP($C206,'CEDARS School FRPL'!C:H,3,FALSE),0)</f>
        <v>0.89349999999999996</v>
      </c>
      <c r="N206" s="123" t="str">
        <f>IFERROR(VLOOKUP(C206,'CEDARS School FRPL'!C:H,6,FALSE),"No")</f>
        <v>No</v>
      </c>
      <c r="O206" s="147"/>
      <c r="P206" s="148"/>
    </row>
    <row r="207" spans="1:16">
      <c r="A207" s="95" t="s">
        <v>2302</v>
      </c>
      <c r="B207" s="95" t="s">
        <v>339</v>
      </c>
      <c r="C207" s="4">
        <v>1900</v>
      </c>
      <c r="D207" s="95" t="s">
        <v>340</v>
      </c>
      <c r="E207" s="145">
        <v>27.71</v>
      </c>
      <c r="F207" s="145">
        <v>0</v>
      </c>
      <c r="G207" s="145">
        <v>0</v>
      </c>
      <c r="H207" s="145">
        <v>0</v>
      </c>
      <c r="I207" s="77">
        <f t="shared" si="6"/>
        <v>27.71</v>
      </c>
      <c r="J207" s="123" t="str">
        <f>IFERROR(VLOOKUP($C207,'CEDARS School FRPL'!C:H,4,FALSE),"No")</f>
        <v>Yes</v>
      </c>
      <c r="K207" s="109"/>
      <c r="L207" s="109"/>
      <c r="M207" s="110">
        <f>IFERROR(VLOOKUP($C207,'CEDARS School FRPL'!C:H,3,FALSE),0)</f>
        <v>1</v>
      </c>
      <c r="N207" s="123" t="str">
        <f>IFERROR(VLOOKUP(C207,'CEDARS School FRPL'!C:H,6,FALSE),"No")</f>
        <v>No</v>
      </c>
      <c r="O207" s="147"/>
      <c r="P207" s="148"/>
    </row>
    <row r="208" spans="1:16">
      <c r="A208" s="95" t="s">
        <v>2302</v>
      </c>
      <c r="B208" s="95" t="s">
        <v>339</v>
      </c>
      <c r="C208" s="4">
        <v>2562</v>
      </c>
      <c r="D208" s="95" t="s">
        <v>341</v>
      </c>
      <c r="E208" s="145">
        <v>304.43</v>
      </c>
      <c r="F208" s="145">
        <v>0</v>
      </c>
      <c r="G208" s="145">
        <v>0</v>
      </c>
      <c r="H208" s="145">
        <v>0</v>
      </c>
      <c r="I208" s="77">
        <f t="shared" si="6"/>
        <v>304.43</v>
      </c>
      <c r="J208" s="123" t="str">
        <f>IFERROR(VLOOKUP($C208,'CEDARS School FRPL'!C:H,4,FALSE),"No")</f>
        <v>Yes</v>
      </c>
      <c r="K208" s="109"/>
      <c r="L208" s="109"/>
      <c r="M208" s="110">
        <f>IFERROR(VLOOKUP($C208,'CEDARS School FRPL'!C:H,3,FALSE),0)</f>
        <v>0.95359999999999989</v>
      </c>
      <c r="N208" s="123" t="str">
        <f>IFERROR(VLOOKUP(C208,'CEDARS School FRPL'!C:H,6,FALSE),"No")</f>
        <v>No</v>
      </c>
      <c r="O208" s="147"/>
      <c r="P208" s="148"/>
    </row>
    <row r="209" spans="1:16">
      <c r="A209" s="95" t="s">
        <v>2302</v>
      </c>
      <c r="B209" s="95" t="s">
        <v>339</v>
      </c>
      <c r="C209" s="4">
        <v>2788</v>
      </c>
      <c r="D209" s="95" t="s">
        <v>342</v>
      </c>
      <c r="E209" s="145">
        <v>206.05</v>
      </c>
      <c r="F209" s="145">
        <v>0</v>
      </c>
      <c r="G209" s="145">
        <v>0</v>
      </c>
      <c r="H209" s="145">
        <v>0</v>
      </c>
      <c r="I209" s="77">
        <f t="shared" si="6"/>
        <v>206.05</v>
      </c>
      <c r="J209" s="123" t="str">
        <f>IFERROR(VLOOKUP($C209,'CEDARS School FRPL'!C:H,4,FALSE),"No")</f>
        <v>Yes</v>
      </c>
      <c r="K209" s="109"/>
      <c r="L209" s="109"/>
      <c r="M209" s="110">
        <f>IFERROR(VLOOKUP($C209,'CEDARS School FRPL'!C:H,3,FALSE),0)</f>
        <v>0.94810000000000005</v>
      </c>
      <c r="N209" s="123" t="str">
        <f>IFERROR(VLOOKUP(C209,'CEDARS School FRPL'!C:H,6,FALSE),"No")</f>
        <v>No</v>
      </c>
      <c r="O209" s="147"/>
      <c r="P209" s="148"/>
    </row>
    <row r="210" spans="1:16">
      <c r="A210" s="95" t="s">
        <v>2302</v>
      </c>
      <c r="B210" s="95" t="s">
        <v>339</v>
      </c>
      <c r="C210" s="4">
        <v>4213</v>
      </c>
      <c r="D210" s="95" t="s">
        <v>343</v>
      </c>
      <c r="E210" s="145">
        <v>203</v>
      </c>
      <c r="F210" s="145">
        <v>0</v>
      </c>
      <c r="G210" s="145">
        <v>0</v>
      </c>
      <c r="H210" s="145">
        <v>0</v>
      </c>
      <c r="I210" s="77">
        <f t="shared" si="6"/>
        <v>203</v>
      </c>
      <c r="J210" s="123" t="str">
        <f>IFERROR(VLOOKUP($C210,'CEDARS School FRPL'!C:H,4,FALSE),"No")</f>
        <v>Yes</v>
      </c>
      <c r="K210" s="109"/>
      <c r="L210" s="109"/>
      <c r="M210" s="110">
        <f>IFERROR(VLOOKUP($C210,'CEDARS School FRPL'!C:H,3,FALSE),0)</f>
        <v>0.95073333333333332</v>
      </c>
      <c r="N210" s="123" t="str">
        <f>IFERROR(VLOOKUP(C210,'CEDARS School FRPL'!C:H,6,FALSE),"No")</f>
        <v>No</v>
      </c>
      <c r="O210" s="147"/>
      <c r="P210" s="148"/>
    </row>
    <row r="211" spans="1:16">
      <c r="A211" s="95" t="s">
        <v>2344</v>
      </c>
      <c r="B211" s="95" t="s">
        <v>534</v>
      </c>
      <c r="C211" s="4">
        <v>2836</v>
      </c>
      <c r="D211" s="95" t="s">
        <v>535</v>
      </c>
      <c r="E211" s="145">
        <v>72.23</v>
      </c>
      <c r="F211" s="145">
        <v>0</v>
      </c>
      <c r="G211" s="145">
        <v>0</v>
      </c>
      <c r="H211" s="145">
        <v>0</v>
      </c>
      <c r="I211" s="77">
        <f t="shared" si="6"/>
        <v>72.23</v>
      </c>
      <c r="J211" s="123" t="str">
        <f>IFERROR(VLOOKUP($C211,'CEDARS School FRPL'!C:H,4,FALSE),"No")</f>
        <v>Yes</v>
      </c>
      <c r="K211" s="109"/>
      <c r="L211" s="109"/>
      <c r="M211" s="110">
        <f>IFERROR(VLOOKUP($C211,'CEDARS School FRPL'!C:H,3,FALSE),0)</f>
        <v>0.76049999999999995</v>
      </c>
      <c r="N211" s="123" t="str">
        <f>IFERROR(VLOOKUP(C211,'CEDARS School FRPL'!C:H,6,FALSE),"No")</f>
        <v>No</v>
      </c>
      <c r="O211" s="147"/>
      <c r="P211" s="148"/>
    </row>
    <row r="212" spans="1:16">
      <c r="A212" s="95" t="s">
        <v>2461</v>
      </c>
      <c r="B212" s="95" t="s">
        <v>1546</v>
      </c>
      <c r="C212" s="4">
        <v>1928</v>
      </c>
      <c r="D212" s="95" t="s">
        <v>1547</v>
      </c>
      <c r="E212" s="145">
        <v>24.11</v>
      </c>
      <c r="F212" s="145">
        <v>0</v>
      </c>
      <c r="G212" s="145">
        <v>0</v>
      </c>
      <c r="H212" s="145">
        <v>0</v>
      </c>
      <c r="I212" s="77">
        <f t="shared" si="6"/>
        <v>24.11</v>
      </c>
      <c r="J212" s="123" t="str">
        <f>IFERROR(VLOOKUP($C212,'CEDARS School FRPL'!C:H,4,FALSE),"No")</f>
        <v>Yes</v>
      </c>
      <c r="K212" s="109"/>
      <c r="L212" s="109"/>
      <c r="M212" s="110">
        <f>IFERROR(VLOOKUP($C212,'CEDARS School FRPL'!C:H,3,FALSE),0)</f>
        <v>0.76163333333333327</v>
      </c>
      <c r="N212" s="123" t="str">
        <f>IFERROR(VLOOKUP(C212,'CEDARS School FRPL'!C:H,6,FALSE),"No")</f>
        <v>No</v>
      </c>
      <c r="O212" s="147"/>
      <c r="P212" s="148"/>
    </row>
    <row r="213" spans="1:16">
      <c r="A213" s="95" t="s">
        <v>2461</v>
      </c>
      <c r="B213" s="95" t="s">
        <v>1546</v>
      </c>
      <c r="C213" s="4">
        <v>2362</v>
      </c>
      <c r="D213" s="95" t="s">
        <v>1548</v>
      </c>
      <c r="E213" s="145">
        <v>1018.23</v>
      </c>
      <c r="F213" s="145">
        <v>56.849999999999994</v>
      </c>
      <c r="G213" s="145">
        <v>0</v>
      </c>
      <c r="H213" s="145">
        <v>0</v>
      </c>
      <c r="I213" s="77">
        <f t="shared" si="6"/>
        <v>1075.08</v>
      </c>
      <c r="J213" s="123" t="str">
        <f>IFERROR(VLOOKUP($C213,'CEDARS School FRPL'!C:H,4,FALSE),"No")</f>
        <v>No</v>
      </c>
      <c r="K213" s="109"/>
      <c r="L213" s="109"/>
      <c r="M213" s="110">
        <f>IFERROR(VLOOKUP($C213,'CEDARS School FRPL'!C:H,3,FALSE),0)</f>
        <v>0.47539999999999999</v>
      </c>
      <c r="N213" s="123" t="str">
        <f>IFERROR(VLOOKUP(C213,'CEDARS School FRPL'!C:H,6,FALSE),"No")</f>
        <v>No</v>
      </c>
      <c r="O213" s="147"/>
      <c r="P213" s="148"/>
    </row>
    <row r="214" spans="1:16">
      <c r="A214" s="95" t="s">
        <v>2461</v>
      </c>
      <c r="B214" s="95" t="s">
        <v>1546</v>
      </c>
      <c r="C214" s="4">
        <v>2379</v>
      </c>
      <c r="D214" s="95" t="s">
        <v>1549</v>
      </c>
      <c r="E214" s="145">
        <v>371.7</v>
      </c>
      <c r="F214" s="145">
        <v>0</v>
      </c>
      <c r="G214" s="145">
        <v>0</v>
      </c>
      <c r="H214" s="145">
        <v>0</v>
      </c>
      <c r="I214" s="77">
        <f t="shared" si="6"/>
        <v>371.7</v>
      </c>
      <c r="J214" s="123" t="str">
        <f>IFERROR(VLOOKUP($C214,'CEDARS School FRPL'!C:H,4,FALSE),"No")</f>
        <v>No</v>
      </c>
      <c r="K214" s="109"/>
      <c r="L214" s="109"/>
      <c r="M214" s="110">
        <f>IFERROR(VLOOKUP($C214,'CEDARS School FRPL'!C:H,3,FALSE),0)</f>
        <v>0.25906666666666667</v>
      </c>
      <c r="N214" s="123" t="str">
        <f>IFERROR(VLOOKUP(C214,'CEDARS School FRPL'!C:H,6,FALSE),"No")</f>
        <v>No</v>
      </c>
      <c r="O214" s="147"/>
      <c r="P214" s="148"/>
    </row>
    <row r="215" spans="1:16">
      <c r="A215" s="95" t="s">
        <v>2461</v>
      </c>
      <c r="B215" s="95" t="s">
        <v>1546</v>
      </c>
      <c r="C215" s="4">
        <v>2946</v>
      </c>
      <c r="D215" s="95" t="s">
        <v>1550</v>
      </c>
      <c r="E215" s="145">
        <v>398.71</v>
      </c>
      <c r="F215" s="145">
        <v>0</v>
      </c>
      <c r="G215" s="145">
        <v>0</v>
      </c>
      <c r="H215" s="145">
        <v>0</v>
      </c>
      <c r="I215" s="77">
        <f t="shared" si="6"/>
        <v>398.71</v>
      </c>
      <c r="J215" s="123" t="str">
        <f>IFERROR(VLOOKUP($C215,'CEDARS School FRPL'!C:H,4,FALSE),"No")</f>
        <v>Yes</v>
      </c>
      <c r="K215" s="107"/>
      <c r="L215" s="107"/>
      <c r="M215" s="110">
        <f>IFERROR(VLOOKUP($C215,'CEDARS School FRPL'!C:H,3,FALSE),0)</f>
        <v>0.5752666666666667</v>
      </c>
      <c r="N215" s="123" t="str">
        <f>IFERROR(VLOOKUP(C215,'CEDARS School FRPL'!C:H,6,FALSE),"No")</f>
        <v>No</v>
      </c>
      <c r="O215" s="147"/>
      <c r="P215" s="148"/>
    </row>
    <row r="216" spans="1:16">
      <c r="A216" s="95" t="s">
        <v>2461</v>
      </c>
      <c r="B216" s="95" t="s">
        <v>1546</v>
      </c>
      <c r="C216" s="4">
        <v>3251</v>
      </c>
      <c r="D216" s="95" t="s">
        <v>1551</v>
      </c>
      <c r="E216" s="145">
        <v>556.29</v>
      </c>
      <c r="F216" s="145">
        <v>0</v>
      </c>
      <c r="G216" s="145">
        <v>0</v>
      </c>
      <c r="H216" s="145">
        <v>0</v>
      </c>
      <c r="I216" s="77">
        <f t="shared" si="6"/>
        <v>556.29</v>
      </c>
      <c r="J216" s="123" t="str">
        <f>IFERROR(VLOOKUP($C216,'CEDARS School FRPL'!C:H,4,FALSE),"No")</f>
        <v>Yes</v>
      </c>
      <c r="K216" s="109"/>
      <c r="L216" s="109"/>
      <c r="M216" s="110">
        <f>IFERROR(VLOOKUP($C216,'CEDARS School FRPL'!C:H,3,FALSE),0)</f>
        <v>0.68346666666666656</v>
      </c>
      <c r="N216" s="123" t="str">
        <f>IFERROR(VLOOKUP(C216,'CEDARS School FRPL'!C:H,6,FALSE),"No")</f>
        <v>No</v>
      </c>
      <c r="O216" s="147"/>
      <c r="P216" s="148"/>
    </row>
    <row r="217" spans="1:16">
      <c r="A217" s="95" t="s">
        <v>2461</v>
      </c>
      <c r="B217" s="95" t="s">
        <v>1546</v>
      </c>
      <c r="C217" s="4">
        <v>3603</v>
      </c>
      <c r="D217" s="95" t="s">
        <v>1552</v>
      </c>
      <c r="E217" s="145">
        <v>397.71</v>
      </c>
      <c r="F217" s="145">
        <v>0</v>
      </c>
      <c r="G217" s="145">
        <v>0</v>
      </c>
      <c r="H217" s="145">
        <v>0</v>
      </c>
      <c r="I217" s="77">
        <f t="shared" si="6"/>
        <v>397.71</v>
      </c>
      <c r="J217" s="123" t="str">
        <f>IFERROR(VLOOKUP($C217,'CEDARS School FRPL'!C:H,4,FALSE),"No")</f>
        <v>Yes</v>
      </c>
      <c r="K217" s="109"/>
      <c r="L217" s="109"/>
      <c r="M217" s="110">
        <f>IFERROR(VLOOKUP($C217,'CEDARS School FRPL'!C:H,3,FALSE),0)</f>
        <v>0.75536666666666674</v>
      </c>
      <c r="N217" s="123" t="str">
        <f>IFERROR(VLOOKUP(C217,'CEDARS School FRPL'!C:H,6,FALSE),"No")</f>
        <v>No</v>
      </c>
      <c r="O217" s="147"/>
      <c r="P217" s="148"/>
    </row>
    <row r="218" spans="1:16">
      <c r="A218" s="95" t="s">
        <v>2461</v>
      </c>
      <c r="B218" s="95" t="s">
        <v>1546</v>
      </c>
      <c r="C218" s="4">
        <v>4412</v>
      </c>
      <c r="D218" s="95" t="s">
        <v>1553</v>
      </c>
      <c r="E218" s="145">
        <v>434.81</v>
      </c>
      <c r="F218" s="145">
        <v>0</v>
      </c>
      <c r="G218" s="145">
        <v>0</v>
      </c>
      <c r="H218" s="145">
        <v>0</v>
      </c>
      <c r="I218" s="77">
        <f t="shared" si="6"/>
        <v>434.81</v>
      </c>
      <c r="J218" s="123" t="str">
        <f>IFERROR(VLOOKUP($C218,'CEDARS School FRPL'!C:H,4,FALSE),"No")</f>
        <v>No</v>
      </c>
      <c r="K218" s="109"/>
      <c r="L218" s="109"/>
      <c r="M218" s="110">
        <f>IFERROR(VLOOKUP($C218,'CEDARS School FRPL'!C:H,3,FALSE),0)</f>
        <v>0.34943333333333332</v>
      </c>
      <c r="N218" s="123" t="str">
        <f>IFERROR(VLOOKUP(C218,'CEDARS School FRPL'!C:H,6,FALSE),"No")</f>
        <v>No</v>
      </c>
      <c r="O218" s="147"/>
      <c r="P218" s="148"/>
    </row>
    <row r="219" spans="1:16">
      <c r="A219" s="95" t="s">
        <v>2461</v>
      </c>
      <c r="B219" s="95" t="s">
        <v>1546</v>
      </c>
      <c r="C219" s="4">
        <v>5525</v>
      </c>
      <c r="D219" s="95" t="s">
        <v>2818</v>
      </c>
      <c r="E219" s="145">
        <v>0</v>
      </c>
      <c r="F219" s="145">
        <v>0</v>
      </c>
      <c r="G219" s="145">
        <v>10.860000000000001</v>
      </c>
      <c r="H219" s="145">
        <v>0</v>
      </c>
      <c r="I219" s="77">
        <f t="shared" si="6"/>
        <v>10.860000000000001</v>
      </c>
      <c r="J219" s="123" t="str">
        <f>IFERROR(VLOOKUP($C219,'CEDARS School FRPL'!C:H,4,FALSE),"No")</f>
        <v>Yes</v>
      </c>
      <c r="K219" s="109"/>
      <c r="L219" s="109"/>
      <c r="M219" s="110">
        <f>IFERROR(VLOOKUP($C219,'CEDARS School FRPL'!C:H,3,FALSE),0)</f>
        <v>0.5541666666666667</v>
      </c>
      <c r="N219" s="123" t="str">
        <f>IFERROR(VLOOKUP(C219,'CEDARS School FRPL'!C:H,6,FALSE),"No")</f>
        <v>No</v>
      </c>
      <c r="O219" s="147"/>
      <c r="P219" s="148"/>
    </row>
    <row r="220" spans="1:16">
      <c r="A220" s="95" t="s">
        <v>2289</v>
      </c>
      <c r="B220" s="95" t="s">
        <v>255</v>
      </c>
      <c r="C220" s="4">
        <v>2725</v>
      </c>
      <c r="D220" s="95" t="s">
        <v>256</v>
      </c>
      <c r="E220" s="145">
        <v>526.59</v>
      </c>
      <c r="F220" s="145">
        <v>0</v>
      </c>
      <c r="G220" s="145">
        <v>0</v>
      </c>
      <c r="H220" s="145">
        <v>0</v>
      </c>
      <c r="I220" s="77">
        <f t="shared" si="6"/>
        <v>526.59</v>
      </c>
      <c r="J220" s="123" t="str">
        <f>IFERROR(VLOOKUP($C220,'CEDARS School FRPL'!C:H,4,FALSE),"No")</f>
        <v>No</v>
      </c>
      <c r="K220" s="109"/>
      <c r="L220" s="109"/>
      <c r="M220" s="110">
        <f>IFERROR(VLOOKUP($C220,'CEDARS School FRPL'!C:H,3,FALSE),0)</f>
        <v>0.15759999999999999</v>
      </c>
      <c r="N220" s="123" t="str">
        <f>IFERROR(VLOOKUP(C220,'CEDARS School FRPL'!C:H,6,FALSE),"No")</f>
        <v>No</v>
      </c>
      <c r="O220" s="147"/>
      <c r="P220" s="148"/>
    </row>
    <row r="221" spans="1:16">
      <c r="A221" s="95" t="s">
        <v>2289</v>
      </c>
      <c r="B221" s="95" t="s">
        <v>255</v>
      </c>
      <c r="C221" s="4">
        <v>3474</v>
      </c>
      <c r="D221" s="95" t="s">
        <v>2774</v>
      </c>
      <c r="E221" s="145">
        <v>339.87</v>
      </c>
      <c r="F221" s="145">
        <v>0</v>
      </c>
      <c r="G221" s="145">
        <v>0</v>
      </c>
      <c r="H221" s="145">
        <v>0</v>
      </c>
      <c r="I221" s="77">
        <f t="shared" si="6"/>
        <v>339.87</v>
      </c>
      <c r="J221" s="123" t="str">
        <f>IFERROR(VLOOKUP($C221,'CEDARS School FRPL'!C:H,4,FALSE),"No")</f>
        <v>No</v>
      </c>
      <c r="K221" s="109"/>
      <c r="L221" s="109"/>
      <c r="M221" s="110">
        <f>IFERROR(VLOOKUP($C221,'CEDARS School FRPL'!C:H,3,FALSE),0)</f>
        <v>0.1643</v>
      </c>
      <c r="N221" s="123" t="str">
        <f>IFERROR(VLOOKUP(C221,'CEDARS School FRPL'!C:H,6,FALSE),"No")</f>
        <v>No</v>
      </c>
      <c r="O221" s="147"/>
      <c r="P221" s="148"/>
    </row>
    <row r="222" spans="1:16">
      <c r="A222" s="95" t="s">
        <v>2289</v>
      </c>
      <c r="B222" s="95" t="s">
        <v>255</v>
      </c>
      <c r="C222" s="4">
        <v>4182</v>
      </c>
      <c r="D222" s="95" t="s">
        <v>257</v>
      </c>
      <c r="E222" s="145">
        <v>479.45</v>
      </c>
      <c r="F222" s="145">
        <v>0</v>
      </c>
      <c r="G222" s="145">
        <v>0</v>
      </c>
      <c r="H222" s="145">
        <v>0</v>
      </c>
      <c r="I222" s="77">
        <f t="shared" si="6"/>
        <v>479.45</v>
      </c>
      <c r="J222" s="123" t="str">
        <f>IFERROR(VLOOKUP($C222,'CEDARS School FRPL'!C:H,4,FALSE),"No")</f>
        <v>No</v>
      </c>
      <c r="K222" s="109"/>
      <c r="L222" s="109"/>
      <c r="M222" s="110">
        <f>IFERROR(VLOOKUP($C222,'CEDARS School FRPL'!C:H,3,FALSE),0)</f>
        <v>0.12113333333333333</v>
      </c>
      <c r="N222" s="123" t="str">
        <f>IFERROR(VLOOKUP(C222,'CEDARS School FRPL'!C:H,6,FALSE),"No")</f>
        <v>No</v>
      </c>
      <c r="O222" s="147"/>
      <c r="P222" s="148"/>
    </row>
    <row r="223" spans="1:16">
      <c r="A223" s="95" t="s">
        <v>2289</v>
      </c>
      <c r="B223" s="95" t="s">
        <v>255</v>
      </c>
      <c r="C223" s="4">
        <v>4508</v>
      </c>
      <c r="D223" s="95" t="s">
        <v>258</v>
      </c>
      <c r="E223" s="145">
        <v>703.33</v>
      </c>
      <c r="F223" s="145">
        <v>0</v>
      </c>
      <c r="G223" s="145">
        <v>0</v>
      </c>
      <c r="H223" s="145">
        <v>0</v>
      </c>
      <c r="I223" s="77">
        <f t="shared" si="6"/>
        <v>703.33</v>
      </c>
      <c r="J223" s="123" t="str">
        <f>IFERROR(VLOOKUP($C223,'CEDARS School FRPL'!C:H,4,FALSE),"No")</f>
        <v>No</v>
      </c>
      <c r="K223" s="109"/>
      <c r="L223" s="109"/>
      <c r="M223" s="110">
        <f>IFERROR(VLOOKUP($C223,'CEDARS School FRPL'!C:H,3,FALSE),0)</f>
        <v>0.10580000000000001</v>
      </c>
      <c r="N223" s="123" t="str">
        <f>IFERROR(VLOOKUP(C223,'CEDARS School FRPL'!C:H,6,FALSE),"No")</f>
        <v>No</v>
      </c>
      <c r="O223" s="147"/>
      <c r="P223" s="148"/>
    </row>
    <row r="224" spans="1:16">
      <c r="A224" s="95" t="s">
        <v>2289</v>
      </c>
      <c r="B224" s="95" t="s">
        <v>255</v>
      </c>
      <c r="C224" s="4">
        <v>4563</v>
      </c>
      <c r="D224" s="95" t="s">
        <v>259</v>
      </c>
      <c r="E224" s="145">
        <v>434.43</v>
      </c>
      <c r="F224" s="145">
        <v>0</v>
      </c>
      <c r="G224" s="145">
        <v>0</v>
      </c>
      <c r="H224" s="145">
        <v>0</v>
      </c>
      <c r="I224" s="77">
        <f t="shared" si="6"/>
        <v>434.43</v>
      </c>
      <c r="J224" s="123" t="str">
        <f>IFERROR(VLOOKUP($C224,'CEDARS School FRPL'!C:H,4,FALSE),"No")</f>
        <v>No</v>
      </c>
      <c r="K224" s="109"/>
      <c r="L224" s="109"/>
      <c r="M224" s="110">
        <f>IFERROR(VLOOKUP($C224,'CEDARS School FRPL'!C:H,3,FALSE),0)</f>
        <v>0.11206666666666665</v>
      </c>
      <c r="N224" s="123" t="str">
        <f>IFERROR(VLOOKUP(C224,'CEDARS School FRPL'!C:H,6,FALSE),"No")</f>
        <v>No</v>
      </c>
      <c r="O224" s="147"/>
      <c r="P224" s="148"/>
    </row>
    <row r="225" spans="1:16">
      <c r="A225" s="95" t="s">
        <v>2289</v>
      </c>
      <c r="B225" s="95" t="s">
        <v>255</v>
      </c>
      <c r="C225" s="4">
        <v>4567</v>
      </c>
      <c r="D225" s="95" t="s">
        <v>260</v>
      </c>
      <c r="E225" s="145">
        <v>1848.37</v>
      </c>
      <c r="F225" s="145">
        <v>156.41</v>
      </c>
      <c r="G225" s="145">
        <v>0</v>
      </c>
      <c r="H225" s="145">
        <v>0</v>
      </c>
      <c r="I225" s="77">
        <f t="shared" si="6"/>
        <v>2004.78</v>
      </c>
      <c r="J225" s="123" t="str">
        <f>IFERROR(VLOOKUP($C225,'CEDARS School FRPL'!C:H,4,FALSE),"No")</f>
        <v>No</v>
      </c>
      <c r="K225" s="109"/>
      <c r="L225" s="109"/>
      <c r="M225" s="110">
        <f>IFERROR(VLOOKUP($C225,'CEDARS School FRPL'!C:H,3,FALSE),0)</f>
        <v>0.12436666666666667</v>
      </c>
      <c r="N225" s="123" t="str">
        <f>IFERROR(VLOOKUP(C225,'CEDARS School FRPL'!C:H,6,FALSE),"No")</f>
        <v>No</v>
      </c>
      <c r="O225" s="147"/>
      <c r="P225" s="148"/>
    </row>
    <row r="226" spans="1:16">
      <c r="A226" s="95" t="s">
        <v>2289</v>
      </c>
      <c r="B226" s="95" t="s">
        <v>255</v>
      </c>
      <c r="C226" s="4">
        <v>5054</v>
      </c>
      <c r="D226" s="95" t="s">
        <v>261</v>
      </c>
      <c r="E226" s="145">
        <v>675.41</v>
      </c>
      <c r="F226" s="145">
        <v>0</v>
      </c>
      <c r="G226" s="145">
        <v>0</v>
      </c>
      <c r="H226" s="145">
        <v>0</v>
      </c>
      <c r="I226" s="77">
        <f t="shared" si="6"/>
        <v>675.41</v>
      </c>
      <c r="J226" s="123" t="str">
        <f>IFERROR(VLOOKUP($C226,'CEDARS School FRPL'!C:H,4,FALSE),"No")</f>
        <v>No</v>
      </c>
      <c r="K226" s="109"/>
      <c r="L226" s="109"/>
      <c r="M226" s="110">
        <f>IFERROR(VLOOKUP($C226,'CEDARS School FRPL'!C:H,3,FALSE),0)</f>
        <v>0.1899666666666667</v>
      </c>
      <c r="N226" s="123" t="str">
        <f>IFERROR(VLOOKUP(C226,'CEDARS School FRPL'!C:H,6,FALSE),"No")</f>
        <v>No</v>
      </c>
      <c r="O226" s="147"/>
      <c r="P226" s="148"/>
    </row>
    <row r="227" spans="1:16">
      <c r="A227" s="95" t="s">
        <v>2289</v>
      </c>
      <c r="B227" s="95" t="s">
        <v>255</v>
      </c>
      <c r="C227" s="4">
        <v>5104</v>
      </c>
      <c r="D227" s="95" t="s">
        <v>262</v>
      </c>
      <c r="E227" s="145">
        <v>144.22</v>
      </c>
      <c r="F227" s="145">
        <v>2.12</v>
      </c>
      <c r="G227" s="145">
        <v>1</v>
      </c>
      <c r="H227" s="145">
        <v>0</v>
      </c>
      <c r="I227" s="77">
        <f t="shared" si="6"/>
        <v>147.34</v>
      </c>
      <c r="J227" s="123" t="str">
        <f>IFERROR(VLOOKUP($C227,'CEDARS School FRPL'!C:H,4,FALSE),"No")</f>
        <v>No</v>
      </c>
      <c r="K227" s="109"/>
      <c r="L227" s="109"/>
      <c r="M227" s="110">
        <f>IFERROR(VLOOKUP($C227,'CEDARS School FRPL'!C:H,3,FALSE),0)</f>
        <v>0.29799999999999999</v>
      </c>
      <c r="N227" s="123" t="str">
        <f>IFERROR(VLOOKUP(C227,'CEDARS School FRPL'!C:H,6,FALSE),"No")</f>
        <v>No</v>
      </c>
      <c r="O227" s="147"/>
      <c r="P227" s="148"/>
    </row>
    <row r="228" spans="1:16">
      <c r="A228" s="95" t="s">
        <v>2289</v>
      </c>
      <c r="B228" s="95" t="s">
        <v>255</v>
      </c>
      <c r="C228" s="4">
        <v>5158</v>
      </c>
      <c r="D228" s="95" t="s">
        <v>263</v>
      </c>
      <c r="E228" s="145">
        <v>442.83</v>
      </c>
      <c r="F228" s="145">
        <v>0</v>
      </c>
      <c r="G228" s="145">
        <v>0</v>
      </c>
      <c r="H228" s="145">
        <v>0</v>
      </c>
      <c r="I228" s="77">
        <f t="shared" si="6"/>
        <v>442.83</v>
      </c>
      <c r="J228" s="123" t="str">
        <f>IFERROR(VLOOKUP($C228,'CEDARS School FRPL'!C:H,4,FALSE),"No")</f>
        <v>No</v>
      </c>
      <c r="K228" s="109"/>
      <c r="L228" s="109"/>
      <c r="M228" s="110">
        <f>IFERROR(VLOOKUP($C228,'CEDARS School FRPL'!C:H,3,FALSE),0)</f>
        <v>0.10113333333333334</v>
      </c>
      <c r="N228" s="123" t="str">
        <f>IFERROR(VLOOKUP(C228,'CEDARS School FRPL'!C:H,6,FALSE),"No")</f>
        <v>No</v>
      </c>
      <c r="O228" s="147"/>
      <c r="P228" s="148"/>
    </row>
    <row r="229" spans="1:16">
      <c r="A229" s="95" t="s">
        <v>2289</v>
      </c>
      <c r="B229" s="95" t="s">
        <v>255</v>
      </c>
      <c r="C229" s="4">
        <v>5309</v>
      </c>
      <c r="D229" s="95" t="s">
        <v>264</v>
      </c>
      <c r="E229" s="145">
        <v>578.23</v>
      </c>
      <c r="F229" s="145">
        <v>0</v>
      </c>
      <c r="G229" s="145">
        <v>0</v>
      </c>
      <c r="H229" s="145">
        <v>0</v>
      </c>
      <c r="I229" s="77">
        <f t="shared" si="6"/>
        <v>578.23</v>
      </c>
      <c r="J229" s="123" t="str">
        <f>IFERROR(VLOOKUP($C229,'CEDARS School FRPL'!C:H,4,FALSE),"No")</f>
        <v>No</v>
      </c>
      <c r="K229" s="109"/>
      <c r="L229" s="109"/>
      <c r="M229" s="110">
        <f>IFERROR(VLOOKUP($C229,'CEDARS School FRPL'!C:H,3,FALSE),0)</f>
        <v>0.21156666666666668</v>
      </c>
      <c r="N229" s="123" t="str">
        <f>IFERROR(VLOOKUP(C229,'CEDARS School FRPL'!C:H,6,FALSE),"No")</f>
        <v>No</v>
      </c>
      <c r="O229" s="147"/>
      <c r="P229" s="148"/>
    </row>
    <row r="230" spans="1:16">
      <c r="A230" s="95" t="s">
        <v>2289</v>
      </c>
      <c r="B230" s="95" t="s">
        <v>255</v>
      </c>
      <c r="C230" s="4">
        <v>5532</v>
      </c>
      <c r="D230" s="95" t="s">
        <v>2816</v>
      </c>
      <c r="E230" s="145">
        <v>0</v>
      </c>
      <c r="F230" s="145">
        <v>0</v>
      </c>
      <c r="G230" s="145">
        <v>5.29</v>
      </c>
      <c r="H230" s="145">
        <v>0</v>
      </c>
      <c r="I230" s="77">
        <f t="shared" si="6"/>
        <v>5.29</v>
      </c>
      <c r="J230" s="123" t="str">
        <f>IFERROR(VLOOKUP($C230,'CEDARS School FRPL'!C:H,4,FALSE),"No")</f>
        <v>No</v>
      </c>
      <c r="K230" s="109"/>
      <c r="L230" s="109"/>
      <c r="M230" s="110">
        <f>IFERROR(VLOOKUP($C230,'CEDARS School FRPL'!C:H,3,FALSE),0)</f>
        <v>0.26250000000000001</v>
      </c>
      <c r="N230" s="123" t="str">
        <f>IFERROR(VLOOKUP(C230,'CEDARS School FRPL'!C:H,6,FALSE),"No")</f>
        <v>No</v>
      </c>
      <c r="O230" s="147"/>
      <c r="P230" s="148"/>
    </row>
    <row r="231" spans="1:16">
      <c r="A231" s="95" t="s">
        <v>2289</v>
      </c>
      <c r="B231" s="95" t="s">
        <v>255</v>
      </c>
      <c r="C231" s="4">
        <v>5533</v>
      </c>
      <c r="D231" s="95" t="s">
        <v>309</v>
      </c>
      <c r="E231" s="145">
        <v>199.26</v>
      </c>
      <c r="F231" s="145">
        <v>7.8</v>
      </c>
      <c r="G231" s="145">
        <v>0</v>
      </c>
      <c r="H231" s="145">
        <v>0</v>
      </c>
      <c r="I231" s="77">
        <f t="shared" si="6"/>
        <v>207.06</v>
      </c>
      <c r="J231" s="123" t="str">
        <f>IFERROR(VLOOKUP($C231,'CEDARS School FRPL'!C:H,4,FALSE),"No")</f>
        <v>No</v>
      </c>
      <c r="K231" s="109"/>
      <c r="L231" s="109"/>
      <c r="M231" s="110">
        <f>IFERROR(VLOOKUP($C231,'CEDARS School FRPL'!C:H,3,FALSE),0)</f>
        <v>0.15676666666666667</v>
      </c>
      <c r="N231" s="123" t="str">
        <f>IFERROR(VLOOKUP(C231,'CEDARS School FRPL'!C:H,6,FALSE),"No")</f>
        <v>No</v>
      </c>
      <c r="O231" s="147"/>
      <c r="P231" s="148"/>
    </row>
    <row r="232" spans="1:16">
      <c r="A232" s="95" t="s">
        <v>2289</v>
      </c>
      <c r="B232" s="95" t="s">
        <v>255</v>
      </c>
      <c r="C232" s="4">
        <v>5534</v>
      </c>
      <c r="D232" s="95" t="s">
        <v>2867</v>
      </c>
      <c r="E232" s="145">
        <v>297.08</v>
      </c>
      <c r="F232" s="145">
        <v>0</v>
      </c>
      <c r="G232" s="145">
        <v>0</v>
      </c>
      <c r="H232" s="145">
        <v>0</v>
      </c>
      <c r="I232" s="77">
        <f t="shared" si="6"/>
        <v>297.08</v>
      </c>
      <c r="J232" s="123" t="str">
        <f>IFERROR(VLOOKUP($C232,'CEDARS School FRPL'!C:H,4,FALSE),"No")</f>
        <v>No</v>
      </c>
      <c r="K232" s="109"/>
      <c r="L232" s="109"/>
      <c r="M232" s="110">
        <f>IFERROR(VLOOKUP($C232,'CEDARS School FRPL'!C:H,3,FALSE),0)</f>
        <v>0.11193333333333333</v>
      </c>
      <c r="N232" s="123" t="str">
        <f>IFERROR(VLOOKUP(C232,'CEDARS School FRPL'!C:H,6,FALSE),"No")</f>
        <v>No</v>
      </c>
      <c r="O232" s="147"/>
      <c r="P232" s="148"/>
    </row>
    <row r="233" spans="1:16">
      <c r="A233" s="95" t="s">
        <v>2289</v>
      </c>
      <c r="B233" s="95" t="s">
        <v>255</v>
      </c>
      <c r="C233" s="4">
        <v>5702</v>
      </c>
      <c r="D233" s="95" t="s">
        <v>3003</v>
      </c>
      <c r="E233" s="145">
        <v>198.69</v>
      </c>
      <c r="F233" s="145">
        <v>6.4</v>
      </c>
      <c r="G233" s="145">
        <v>0</v>
      </c>
      <c r="H233" s="145">
        <v>0</v>
      </c>
      <c r="I233" s="77">
        <f t="shared" si="6"/>
        <v>205.09</v>
      </c>
      <c r="J233" s="123" t="str">
        <f>IFERROR(VLOOKUP($C233,'CEDARS School FRPL'!C:H,4,FALSE),"No")</f>
        <v>No</v>
      </c>
      <c r="K233" s="109"/>
      <c r="L233" s="109"/>
      <c r="M233" s="110">
        <f>IFERROR(VLOOKUP($C233,'CEDARS School FRPL'!C:H,3,FALSE),0)</f>
        <v>0.2039</v>
      </c>
      <c r="N233" s="123" t="str">
        <f>IFERROR(VLOOKUP(C233,'CEDARS School FRPL'!C:H,6,FALSE),"No")</f>
        <v>No</v>
      </c>
      <c r="O233" s="147"/>
      <c r="P233" s="148"/>
    </row>
    <row r="234" spans="1:16">
      <c r="A234" s="95" t="s">
        <v>2280</v>
      </c>
      <c r="B234" s="95" t="s">
        <v>153</v>
      </c>
      <c r="C234" s="4">
        <v>2594</v>
      </c>
      <c r="D234" s="95" t="s">
        <v>154</v>
      </c>
      <c r="E234" s="145">
        <v>191.27</v>
      </c>
      <c r="F234" s="145">
        <v>0</v>
      </c>
      <c r="G234" s="145">
        <v>0</v>
      </c>
      <c r="H234" s="145">
        <v>0</v>
      </c>
      <c r="I234" s="77">
        <f t="shared" si="6"/>
        <v>191.27</v>
      </c>
      <c r="J234" s="123" t="str">
        <f>IFERROR(VLOOKUP($C234,'CEDARS School FRPL'!C:H,4,FALSE),"No")</f>
        <v>Yes</v>
      </c>
      <c r="K234" s="109"/>
      <c r="L234" s="109"/>
      <c r="M234" s="110">
        <f>IFERROR(VLOOKUP($C234,'CEDARS School FRPL'!C:H,3,FALSE),0)</f>
        <v>0.64246666666666663</v>
      </c>
      <c r="N234" s="123" t="str">
        <f>IFERROR(VLOOKUP(C234,'CEDARS School FRPL'!C:H,6,FALSE),"No")</f>
        <v>No</v>
      </c>
      <c r="O234" s="147"/>
      <c r="P234" s="148"/>
    </row>
    <row r="235" spans="1:16">
      <c r="A235" s="95" t="s">
        <v>2280</v>
      </c>
      <c r="B235" s="95" t="s">
        <v>153</v>
      </c>
      <c r="C235" s="4">
        <v>3145</v>
      </c>
      <c r="D235" s="95" t="s">
        <v>155</v>
      </c>
      <c r="E235" s="145">
        <v>167.46</v>
      </c>
      <c r="F235" s="145">
        <v>9.6900000000000013</v>
      </c>
      <c r="G235" s="145">
        <v>0</v>
      </c>
      <c r="H235" s="145">
        <v>0</v>
      </c>
      <c r="I235" s="77">
        <f t="shared" si="6"/>
        <v>177.15</v>
      </c>
      <c r="J235" s="123" t="str">
        <f>IFERROR(VLOOKUP($C235,'CEDARS School FRPL'!C:H,4,FALSE),"No")</f>
        <v>Yes</v>
      </c>
      <c r="K235" s="109"/>
      <c r="L235" s="109"/>
      <c r="M235" s="110">
        <f>IFERROR(VLOOKUP($C235,'CEDARS School FRPL'!C:H,3,FALSE),0)</f>
        <v>0.72029999999999994</v>
      </c>
      <c r="N235" s="123" t="str">
        <f>IFERROR(VLOOKUP(C235,'CEDARS School FRPL'!C:H,6,FALSE),"No")</f>
        <v>No</v>
      </c>
      <c r="O235" s="147"/>
      <c r="P235" s="148"/>
    </row>
    <row r="236" spans="1:16">
      <c r="A236" s="95" t="s">
        <v>2280</v>
      </c>
      <c r="B236" s="95" t="s">
        <v>153</v>
      </c>
      <c r="C236" s="4">
        <v>3422</v>
      </c>
      <c r="D236" s="95" t="s">
        <v>156</v>
      </c>
      <c r="E236" s="145">
        <v>112.03</v>
      </c>
      <c r="F236" s="145">
        <v>0.33</v>
      </c>
      <c r="G236" s="145">
        <v>0</v>
      </c>
      <c r="H236" s="145">
        <v>0</v>
      </c>
      <c r="I236" s="77">
        <f t="shared" si="6"/>
        <v>112.36</v>
      </c>
      <c r="J236" s="123" t="str">
        <f>IFERROR(VLOOKUP($C236,'CEDARS School FRPL'!C:H,4,FALSE),"No")</f>
        <v>Yes</v>
      </c>
      <c r="K236" s="109"/>
      <c r="L236" s="109"/>
      <c r="M236" s="110">
        <f>IFERROR(VLOOKUP($C236,'CEDARS School FRPL'!C:H,3,FALSE),0)</f>
        <v>0.64389999999999992</v>
      </c>
      <c r="N236" s="123" t="str">
        <f>IFERROR(VLOOKUP(C236,'CEDARS School FRPL'!C:H,6,FALSE),"No")</f>
        <v>No</v>
      </c>
      <c r="O236" s="147"/>
      <c r="P236" s="148"/>
    </row>
    <row r="237" spans="1:16">
      <c r="A237" s="95" t="s">
        <v>2441</v>
      </c>
      <c r="B237" s="95" t="s">
        <v>1385</v>
      </c>
      <c r="C237" s="4">
        <v>2466</v>
      </c>
      <c r="D237" s="95" t="s">
        <v>1386</v>
      </c>
      <c r="E237" s="145">
        <v>177.34</v>
      </c>
      <c r="F237" s="145">
        <v>0</v>
      </c>
      <c r="G237" s="145">
        <v>0</v>
      </c>
      <c r="H237" s="145">
        <v>0</v>
      </c>
      <c r="I237" s="77">
        <f t="shared" si="6"/>
        <v>177.34</v>
      </c>
      <c r="J237" s="123" t="str">
        <f>IFERROR(VLOOKUP($C237,'CEDARS School FRPL'!C:H,4,FALSE),"No")</f>
        <v>No</v>
      </c>
      <c r="K237" s="109"/>
      <c r="L237" s="109"/>
      <c r="M237" s="110">
        <f>IFERROR(VLOOKUP($C237,'CEDARS School FRPL'!C:H,3,FALSE),0)</f>
        <v>0.23503333333333332</v>
      </c>
      <c r="N237" s="123" t="str">
        <f>IFERROR(VLOOKUP(C237,'CEDARS School FRPL'!C:H,6,FALSE),"No")</f>
        <v>No</v>
      </c>
      <c r="O237" s="147"/>
      <c r="P237" s="148"/>
    </row>
    <row r="238" spans="1:16">
      <c r="A238" s="95" t="s">
        <v>2275</v>
      </c>
      <c r="B238" s="95" t="s">
        <v>115</v>
      </c>
      <c r="C238" s="4">
        <v>2760</v>
      </c>
      <c r="D238" s="95" t="s">
        <v>116</v>
      </c>
      <c r="E238" s="145">
        <v>231.43</v>
      </c>
      <c r="F238" s="145">
        <v>0</v>
      </c>
      <c r="G238" s="145">
        <v>0</v>
      </c>
      <c r="H238" s="145">
        <v>0</v>
      </c>
      <c r="I238" s="77">
        <f t="shared" si="6"/>
        <v>231.43</v>
      </c>
      <c r="J238" s="123" t="str">
        <f>IFERROR(VLOOKUP($C238,'CEDARS School FRPL'!C:H,4,FALSE),"No")</f>
        <v>No</v>
      </c>
      <c r="K238" s="109"/>
      <c r="L238" s="109"/>
      <c r="M238" s="110">
        <f>IFERROR(VLOOKUP($C238,'CEDARS School FRPL'!C:H,3,FALSE),0)</f>
        <v>0.46006666666666662</v>
      </c>
      <c r="N238" s="123" t="str">
        <f>IFERROR(VLOOKUP(C238,'CEDARS School FRPL'!C:H,6,FALSE),"No")</f>
        <v>No</v>
      </c>
      <c r="O238" s="147"/>
      <c r="P238" s="148"/>
    </row>
    <row r="239" spans="1:16">
      <c r="A239" s="95" t="s">
        <v>2275</v>
      </c>
      <c r="B239" s="95" t="s">
        <v>115</v>
      </c>
      <c r="C239" s="4">
        <v>2827</v>
      </c>
      <c r="D239" s="95" t="s">
        <v>2775</v>
      </c>
      <c r="E239" s="145">
        <v>238.68</v>
      </c>
      <c r="F239" s="145">
        <v>0</v>
      </c>
      <c r="G239" s="145">
        <v>0</v>
      </c>
      <c r="H239" s="145">
        <v>0</v>
      </c>
      <c r="I239" s="77">
        <f t="shared" si="6"/>
        <v>238.68</v>
      </c>
      <c r="J239" s="123" t="str">
        <f>IFERROR(VLOOKUP($C239,'CEDARS School FRPL'!C:H,4,FALSE),"No")</f>
        <v>No</v>
      </c>
      <c r="K239" s="109"/>
      <c r="L239" s="109"/>
      <c r="M239" s="110">
        <f>IFERROR(VLOOKUP($C239,'CEDARS School FRPL'!C:H,3,FALSE),0)</f>
        <v>0.42743333333333333</v>
      </c>
      <c r="N239" s="123" t="str">
        <f>IFERROR(VLOOKUP(C239,'CEDARS School FRPL'!C:H,6,FALSE),"No")</f>
        <v>No</v>
      </c>
      <c r="O239" s="147"/>
      <c r="P239" s="148"/>
    </row>
    <row r="240" spans="1:16">
      <c r="A240" s="95" t="s">
        <v>2275</v>
      </c>
      <c r="B240" s="95" t="s">
        <v>115</v>
      </c>
      <c r="C240" s="4">
        <v>3564</v>
      </c>
      <c r="D240" s="95" t="s">
        <v>117</v>
      </c>
      <c r="E240" s="145">
        <v>363.82</v>
      </c>
      <c r="F240" s="145">
        <v>29.49</v>
      </c>
      <c r="G240" s="145">
        <v>0</v>
      </c>
      <c r="H240" s="145">
        <v>0</v>
      </c>
      <c r="I240" s="77">
        <f t="shared" si="6"/>
        <v>393.31</v>
      </c>
      <c r="J240" s="123" t="str">
        <f>IFERROR(VLOOKUP($C240,'CEDARS School FRPL'!C:H,4,FALSE),"No")</f>
        <v>No</v>
      </c>
      <c r="K240" s="109"/>
      <c r="L240" s="109"/>
      <c r="M240" s="110">
        <f>IFERROR(VLOOKUP($C240,'CEDARS School FRPL'!C:H,3,FALSE),0)</f>
        <v>0.3952</v>
      </c>
      <c r="N240" s="123" t="str">
        <f>IFERROR(VLOOKUP(C240,'CEDARS School FRPL'!C:H,6,FALSE),"No")</f>
        <v>No</v>
      </c>
      <c r="O240" s="147"/>
      <c r="P240" s="148"/>
    </row>
    <row r="241" spans="1:16">
      <c r="A241" s="95" t="s">
        <v>2275</v>
      </c>
      <c r="B241" s="95" t="s">
        <v>115</v>
      </c>
      <c r="C241" s="4">
        <v>4403</v>
      </c>
      <c r="D241" s="95" t="s">
        <v>118</v>
      </c>
      <c r="E241" s="145">
        <v>282.66000000000003</v>
      </c>
      <c r="F241" s="145">
        <v>0</v>
      </c>
      <c r="G241" s="145">
        <v>0</v>
      </c>
      <c r="H241" s="145">
        <v>0</v>
      </c>
      <c r="I241" s="77">
        <f t="shared" si="6"/>
        <v>282.66000000000003</v>
      </c>
      <c r="J241" s="123" t="str">
        <f>IFERROR(VLOOKUP($C241,'CEDARS School FRPL'!C:H,4,FALSE),"No")</f>
        <v>No</v>
      </c>
      <c r="K241" s="109"/>
      <c r="L241" s="109"/>
      <c r="M241" s="110">
        <f>IFERROR(VLOOKUP($C241,'CEDARS School FRPL'!C:H,3,FALSE),0)</f>
        <v>0.48199999999999998</v>
      </c>
      <c r="N241" s="123" t="str">
        <f>IFERROR(VLOOKUP(C241,'CEDARS School FRPL'!C:H,6,FALSE),"No")</f>
        <v>No</v>
      </c>
      <c r="O241" s="147"/>
      <c r="P241" s="148"/>
    </row>
    <row r="242" spans="1:16">
      <c r="A242" s="95" t="s">
        <v>2275</v>
      </c>
      <c r="B242" s="95" t="s">
        <v>115</v>
      </c>
      <c r="C242" s="4">
        <v>4566</v>
      </c>
      <c r="D242" s="95" t="s">
        <v>119</v>
      </c>
      <c r="E242" s="145">
        <v>27.86</v>
      </c>
      <c r="F242" s="145">
        <v>0</v>
      </c>
      <c r="G242" s="145">
        <v>0</v>
      </c>
      <c r="H242" s="145">
        <v>0</v>
      </c>
      <c r="I242" s="77">
        <f t="shared" si="6"/>
        <v>27.86</v>
      </c>
      <c r="J242" s="123" t="str">
        <f>IFERROR(VLOOKUP($C242,'CEDARS School FRPL'!C:H,4,FALSE),"No")</f>
        <v>No</v>
      </c>
      <c r="K242" s="109"/>
      <c r="L242" s="109"/>
      <c r="M242" s="110">
        <f>IFERROR(VLOOKUP($C242,'CEDARS School FRPL'!C:H,3,FALSE),0)</f>
        <v>0.224</v>
      </c>
      <c r="N242" s="123" t="str">
        <f>IFERROR(VLOOKUP(C242,'CEDARS School FRPL'!C:H,6,FALSE),"No")</f>
        <v>No</v>
      </c>
      <c r="O242" s="147"/>
      <c r="P242" s="148"/>
    </row>
    <row r="243" spans="1:16">
      <c r="A243" s="95" t="s">
        <v>2275</v>
      </c>
      <c r="B243" s="95" t="s">
        <v>115</v>
      </c>
      <c r="C243" s="4">
        <v>5418</v>
      </c>
      <c r="D243" s="95" t="s">
        <v>120</v>
      </c>
      <c r="E243" s="145">
        <v>36.21</v>
      </c>
      <c r="F243" s="145">
        <v>0</v>
      </c>
      <c r="G243" s="145">
        <v>0</v>
      </c>
      <c r="H243" s="145">
        <v>0</v>
      </c>
      <c r="I243" s="77">
        <f t="shared" si="6"/>
        <v>36.21</v>
      </c>
      <c r="J243" s="123" t="str">
        <f>IFERROR(VLOOKUP($C243,'CEDARS School FRPL'!C:H,4,FALSE),"No")</f>
        <v>No</v>
      </c>
      <c r="K243" s="109"/>
      <c r="L243" s="109"/>
      <c r="M243" s="110">
        <f>IFERROR(VLOOKUP($C243,'CEDARS School FRPL'!C:H,3,FALSE),0)</f>
        <v>0.12989999999999999</v>
      </c>
      <c r="N243" s="123" t="str">
        <f>IFERROR(VLOOKUP(C243,'CEDARS School FRPL'!C:H,6,FALSE),"No")</f>
        <v>No</v>
      </c>
      <c r="O243" s="147"/>
      <c r="P243" s="148"/>
    </row>
    <row r="244" spans="1:16">
      <c r="A244" s="95" t="s">
        <v>2275</v>
      </c>
      <c r="B244" s="95" t="s">
        <v>115</v>
      </c>
      <c r="C244" s="4">
        <v>5640</v>
      </c>
      <c r="D244" s="95" t="s">
        <v>2868</v>
      </c>
      <c r="E244" s="145">
        <v>23.03</v>
      </c>
      <c r="F244" s="145">
        <v>0</v>
      </c>
      <c r="G244" s="145">
        <v>0</v>
      </c>
      <c r="H244" s="145">
        <v>0</v>
      </c>
      <c r="I244" s="77">
        <f t="shared" si="6"/>
        <v>23.03</v>
      </c>
      <c r="J244" s="123" t="str">
        <f>IFERROR(VLOOKUP($C244,'CEDARS School FRPL'!C:H,4,FALSE),"No")</f>
        <v>Yes</v>
      </c>
      <c r="K244" s="109"/>
      <c r="L244" s="109"/>
      <c r="M244" s="110">
        <f>IFERROR(VLOOKUP($C244,'CEDARS School FRPL'!C:H,3,FALSE),0)</f>
        <v>0.55554999999999999</v>
      </c>
      <c r="N244" s="123" t="str">
        <f>IFERROR(VLOOKUP(C244,'CEDARS School FRPL'!C:H,6,FALSE),"No")</f>
        <v>No</v>
      </c>
      <c r="O244" s="147"/>
      <c r="P244" s="148"/>
    </row>
    <row r="245" spans="1:16">
      <c r="A245" s="95" t="s">
        <v>2274</v>
      </c>
      <c r="B245" s="95" t="s">
        <v>111</v>
      </c>
      <c r="C245" s="4">
        <v>2315</v>
      </c>
      <c r="D245" s="95" t="s">
        <v>112</v>
      </c>
      <c r="E245" s="145">
        <v>493.97</v>
      </c>
      <c r="F245" s="145">
        <v>0</v>
      </c>
      <c r="G245" s="145">
        <v>0</v>
      </c>
      <c r="H245" s="145">
        <v>0</v>
      </c>
      <c r="I245" s="77">
        <f t="shared" si="6"/>
        <v>493.97</v>
      </c>
      <c r="J245" s="123" t="str">
        <f>IFERROR(VLOOKUP($C245,'CEDARS School FRPL'!C:H,4,FALSE),"No")</f>
        <v>No</v>
      </c>
      <c r="K245" s="109"/>
      <c r="L245" s="109"/>
      <c r="M245" s="110">
        <f>IFERROR(VLOOKUP($C245,'CEDARS School FRPL'!C:H,3,FALSE),0)</f>
        <v>0.43093333333333333</v>
      </c>
      <c r="N245" s="123" t="str">
        <f>IFERROR(VLOOKUP(C245,'CEDARS School FRPL'!C:H,6,FALSE),"No")</f>
        <v>No</v>
      </c>
      <c r="O245" s="147"/>
      <c r="P245" s="148"/>
    </row>
    <row r="246" spans="1:16">
      <c r="A246" s="95" t="s">
        <v>2274</v>
      </c>
      <c r="B246" s="95" t="s">
        <v>111</v>
      </c>
      <c r="C246" s="4">
        <v>2787</v>
      </c>
      <c r="D246" s="95" t="s">
        <v>113</v>
      </c>
      <c r="E246" s="145">
        <v>588.13</v>
      </c>
      <c r="F246" s="145">
        <v>0</v>
      </c>
      <c r="G246" s="145">
        <v>0</v>
      </c>
      <c r="H246" s="145">
        <v>0</v>
      </c>
      <c r="I246" s="77">
        <f t="shared" si="6"/>
        <v>588.13</v>
      </c>
      <c r="J246" s="123" t="str">
        <f>IFERROR(VLOOKUP($C246,'CEDARS School FRPL'!C:H,4,FALSE),"No")</f>
        <v>No</v>
      </c>
      <c r="K246" s="109"/>
      <c r="L246" s="109"/>
      <c r="M246" s="110">
        <f>IFERROR(VLOOKUP($C246,'CEDARS School FRPL'!C:H,3,FALSE),0)</f>
        <v>0.4286666666666667</v>
      </c>
      <c r="N246" s="123" t="str">
        <f>IFERROR(VLOOKUP(C246,'CEDARS School FRPL'!C:H,6,FALSE),"No")</f>
        <v>No</v>
      </c>
      <c r="O246" s="147"/>
      <c r="P246" s="148"/>
    </row>
    <row r="247" spans="1:16">
      <c r="A247" s="95" t="s">
        <v>2274</v>
      </c>
      <c r="B247" s="95" t="s">
        <v>111</v>
      </c>
      <c r="C247" s="4">
        <v>3268</v>
      </c>
      <c r="D247" s="95" t="s">
        <v>114</v>
      </c>
      <c r="E247" s="145">
        <v>446.33</v>
      </c>
      <c r="F247" s="145">
        <v>34.79</v>
      </c>
      <c r="G247" s="145">
        <v>0</v>
      </c>
      <c r="H247" s="145">
        <v>0</v>
      </c>
      <c r="I247" s="77">
        <f t="shared" si="6"/>
        <v>481.12</v>
      </c>
      <c r="J247" s="123" t="str">
        <f>IFERROR(VLOOKUP($C247,'CEDARS School FRPL'!C:H,4,FALSE),"No")</f>
        <v>No</v>
      </c>
      <c r="K247" s="109"/>
      <c r="L247" s="109"/>
      <c r="M247" s="110">
        <f>IFERROR(VLOOKUP($C247,'CEDARS School FRPL'!C:H,3,FALSE),0)</f>
        <v>0.39686666666666665</v>
      </c>
      <c r="N247" s="123" t="str">
        <f>IFERROR(VLOOKUP(C247,'CEDARS School FRPL'!C:H,6,FALSE),"No")</f>
        <v>No</v>
      </c>
      <c r="O247" s="147"/>
      <c r="P247" s="148"/>
    </row>
    <row r="248" spans="1:16">
      <c r="A248" s="95" t="s">
        <v>2297</v>
      </c>
      <c r="B248" s="95" t="s">
        <v>314</v>
      </c>
      <c r="C248" s="4">
        <v>2281</v>
      </c>
      <c r="D248" s="95" t="s">
        <v>315</v>
      </c>
      <c r="E248" s="145">
        <v>375.13</v>
      </c>
      <c r="F248" s="145">
        <v>24.73</v>
      </c>
      <c r="G248" s="145">
        <v>0</v>
      </c>
      <c r="H248" s="145">
        <v>0</v>
      </c>
      <c r="I248" s="77">
        <f t="shared" si="6"/>
        <v>399.86</v>
      </c>
      <c r="J248" s="123" t="str">
        <f>IFERROR(VLOOKUP($C248,'CEDARS School FRPL'!C:H,4,FALSE),"No")</f>
        <v>No</v>
      </c>
      <c r="K248" s="109"/>
      <c r="L248" s="109"/>
      <c r="M248" s="110">
        <f>IFERROR(VLOOKUP($C248,'CEDARS School FRPL'!C:H,3,FALSE),0)</f>
        <v>0.48443333333333333</v>
      </c>
      <c r="N248" s="123" t="str">
        <f>IFERROR(VLOOKUP(C248,'CEDARS School FRPL'!C:H,6,FALSE),"No")</f>
        <v>No</v>
      </c>
      <c r="O248" s="147"/>
      <c r="P248" s="148"/>
    </row>
    <row r="249" spans="1:16">
      <c r="A249" s="95" t="s">
        <v>2297</v>
      </c>
      <c r="B249" s="95" t="s">
        <v>314</v>
      </c>
      <c r="C249" s="4">
        <v>2762</v>
      </c>
      <c r="D249" s="95" t="s">
        <v>316</v>
      </c>
      <c r="E249" s="145">
        <v>622.70000000000005</v>
      </c>
      <c r="F249" s="145">
        <v>0</v>
      </c>
      <c r="G249" s="145">
        <v>0</v>
      </c>
      <c r="H249" s="145">
        <v>0</v>
      </c>
      <c r="I249" s="77">
        <f t="shared" si="6"/>
        <v>622.70000000000005</v>
      </c>
      <c r="J249" s="123" t="str">
        <f>IFERROR(VLOOKUP($C249,'CEDARS School FRPL'!C:H,4,FALSE),"No")</f>
        <v>Yes</v>
      </c>
      <c r="K249" s="109"/>
      <c r="L249" s="109"/>
      <c r="M249" s="110">
        <f>IFERROR(VLOOKUP($C249,'CEDARS School FRPL'!C:H,3,FALSE),0)</f>
        <v>0.5295333333333333</v>
      </c>
      <c r="N249" s="123" t="str">
        <f>IFERROR(VLOOKUP(C249,'CEDARS School FRPL'!C:H,6,FALSE),"No")</f>
        <v>No</v>
      </c>
      <c r="O249" s="147"/>
      <c r="P249" s="148"/>
    </row>
    <row r="250" spans="1:16">
      <c r="A250" s="95" t="s">
        <v>2297</v>
      </c>
      <c r="B250" s="95" t="s">
        <v>314</v>
      </c>
      <c r="C250" s="4">
        <v>3969</v>
      </c>
      <c r="D250" s="95" t="s">
        <v>317</v>
      </c>
      <c r="E250" s="145">
        <v>339.14</v>
      </c>
      <c r="F250" s="145">
        <v>0</v>
      </c>
      <c r="G250" s="145">
        <v>0</v>
      </c>
      <c r="H250" s="145">
        <v>0</v>
      </c>
      <c r="I250" s="77">
        <f t="shared" si="6"/>
        <v>339.14</v>
      </c>
      <c r="J250" s="123" t="str">
        <f>IFERROR(VLOOKUP($C250,'CEDARS School FRPL'!C:H,4,FALSE),"No")</f>
        <v>No</v>
      </c>
      <c r="K250" s="109"/>
      <c r="L250" s="109"/>
      <c r="M250" s="110">
        <f>IFERROR(VLOOKUP($C250,'CEDARS School FRPL'!C:H,3,FALSE),0)</f>
        <v>0.48093333333333338</v>
      </c>
      <c r="N250" s="123" t="str">
        <f>IFERROR(VLOOKUP(C250,'CEDARS School FRPL'!C:H,6,FALSE),"No")</f>
        <v>No</v>
      </c>
      <c r="O250" s="147"/>
      <c r="P250" s="148"/>
    </row>
    <row r="251" spans="1:16">
      <c r="A251" s="95" t="s">
        <v>2297</v>
      </c>
      <c r="B251" s="95" t="s">
        <v>314</v>
      </c>
      <c r="C251" s="4">
        <v>5666</v>
      </c>
      <c r="D251" s="95" t="s">
        <v>3004</v>
      </c>
      <c r="E251" s="145">
        <v>40.729999999999997</v>
      </c>
      <c r="F251" s="145">
        <v>0</v>
      </c>
      <c r="G251" s="145">
        <v>0</v>
      </c>
      <c r="H251" s="145">
        <v>0</v>
      </c>
      <c r="I251" s="77">
        <f t="shared" si="6"/>
        <v>40.729999999999997</v>
      </c>
      <c r="J251" s="123" t="str">
        <f>IFERROR(VLOOKUP($C251,'CEDARS School FRPL'!C:H,4,FALSE),"No")</f>
        <v>Yes</v>
      </c>
      <c r="K251" s="109"/>
      <c r="L251" s="109"/>
      <c r="M251" s="110">
        <f>IFERROR(VLOOKUP($C251,'CEDARS School FRPL'!C:H,3,FALSE),0)</f>
        <v>0.75860000000000005</v>
      </c>
      <c r="N251" s="123" t="str">
        <f>IFERROR(VLOOKUP(C251,'CEDARS School FRPL'!C:H,6,FALSE),"No")</f>
        <v>No</v>
      </c>
      <c r="O251" s="147"/>
      <c r="P251" s="148"/>
    </row>
    <row r="252" spans="1:16">
      <c r="A252" s="95" t="s">
        <v>2856</v>
      </c>
      <c r="B252" s="95" t="s">
        <v>2869</v>
      </c>
      <c r="C252" s="4">
        <v>5607</v>
      </c>
      <c r="D252" s="95" t="s">
        <v>2869</v>
      </c>
      <c r="E252" s="145">
        <v>301.14</v>
      </c>
      <c r="F252" s="145">
        <v>0</v>
      </c>
      <c r="G252" s="145">
        <v>0</v>
      </c>
      <c r="H252" s="145">
        <v>0</v>
      </c>
      <c r="I252" s="77">
        <f t="shared" si="6"/>
        <v>301.14</v>
      </c>
      <c r="J252" s="123" t="str">
        <f>IFERROR(VLOOKUP($C252,'CEDARS School FRPL'!C:H,4,FALSE),"No")</f>
        <v>No</v>
      </c>
      <c r="K252" s="109"/>
      <c r="L252" s="109"/>
      <c r="M252" s="110">
        <f>IFERROR(VLOOKUP($C252,'CEDARS School FRPL'!C:H,3,FALSE),0)</f>
        <v>0.43524999999999997</v>
      </c>
      <c r="N252" s="123" t="str">
        <f>IFERROR(VLOOKUP(C252,'CEDARS School FRPL'!C:H,6,FALSE),"No")</f>
        <v>No</v>
      </c>
      <c r="O252" s="147"/>
      <c r="P252" s="148"/>
    </row>
    <row r="253" spans="1:16">
      <c r="A253" s="95" t="s">
        <v>2385</v>
      </c>
      <c r="B253" s="95" t="s">
        <v>1108</v>
      </c>
      <c r="C253" s="4">
        <v>2251</v>
      </c>
      <c r="D253" s="95" t="s">
        <v>1109</v>
      </c>
      <c r="E253" s="145">
        <v>86</v>
      </c>
      <c r="F253" s="145">
        <v>0</v>
      </c>
      <c r="G253" s="145">
        <v>0</v>
      </c>
      <c r="H253" s="145">
        <v>0</v>
      </c>
      <c r="I253" s="77">
        <f t="shared" si="6"/>
        <v>86</v>
      </c>
      <c r="J253" s="123" t="str">
        <f>IFERROR(VLOOKUP($C253,'CEDARS School FRPL'!C:H,4,FALSE),"No")</f>
        <v>No</v>
      </c>
      <c r="K253" s="109"/>
      <c r="L253" s="109"/>
      <c r="M253" s="110">
        <f>IFERROR(VLOOKUP($C253,'CEDARS School FRPL'!C:H,3,FALSE),0)</f>
        <v>0.27786666666666665</v>
      </c>
      <c r="N253" s="123" t="str">
        <f>IFERROR(VLOOKUP(C253,'CEDARS School FRPL'!C:H,6,FALSE),"No")</f>
        <v>No</v>
      </c>
      <c r="O253" s="147"/>
      <c r="P253" s="148"/>
    </row>
    <row r="254" spans="1:16">
      <c r="A254" s="95" t="s">
        <v>2374</v>
      </c>
      <c r="B254" s="95" t="s">
        <v>1050</v>
      </c>
      <c r="C254" s="4">
        <v>2615</v>
      </c>
      <c r="D254" s="95" t="s">
        <v>1051</v>
      </c>
      <c r="E254" s="145">
        <v>1449.17</v>
      </c>
      <c r="F254" s="145">
        <v>141.98000000000002</v>
      </c>
      <c r="G254" s="145">
        <v>0</v>
      </c>
      <c r="H254" s="145">
        <v>0</v>
      </c>
      <c r="I254" s="77">
        <f t="shared" si="6"/>
        <v>1591.15</v>
      </c>
      <c r="J254" s="123" t="str">
        <f>IFERROR(VLOOKUP($C254,'CEDARS School FRPL'!C:H,4,FALSE),"No")</f>
        <v>No</v>
      </c>
      <c r="K254" s="109"/>
      <c r="L254" s="109"/>
      <c r="M254" s="110">
        <f>IFERROR(VLOOKUP($C254,'CEDARS School FRPL'!C:H,3,FALSE),0)</f>
        <v>0.25186666666666668</v>
      </c>
      <c r="N254" s="123" t="str">
        <f>IFERROR(VLOOKUP(C254,'CEDARS School FRPL'!C:H,6,FALSE),"No")</f>
        <v>No</v>
      </c>
      <c r="O254" s="147"/>
      <c r="P254" s="148"/>
    </row>
    <row r="255" spans="1:16">
      <c r="A255" s="95" t="s">
        <v>2374</v>
      </c>
      <c r="B255" s="95" t="s">
        <v>1050</v>
      </c>
      <c r="C255" s="4">
        <v>2994</v>
      </c>
      <c r="D255" s="95" t="s">
        <v>1052</v>
      </c>
      <c r="E255" s="145">
        <v>433.71</v>
      </c>
      <c r="F255" s="145">
        <v>0</v>
      </c>
      <c r="G255" s="145">
        <v>0</v>
      </c>
      <c r="H255" s="145">
        <v>0</v>
      </c>
      <c r="I255" s="77">
        <f t="shared" si="6"/>
        <v>433.71</v>
      </c>
      <c r="J255" s="123" t="str">
        <f>IFERROR(VLOOKUP($C255,'CEDARS School FRPL'!C:H,4,FALSE),"No")</f>
        <v>No</v>
      </c>
      <c r="K255" s="109"/>
      <c r="L255" s="109"/>
      <c r="M255" s="110">
        <f>IFERROR(VLOOKUP($C255,'CEDARS School FRPL'!C:H,3,FALSE),0)</f>
        <v>0.23856666666666668</v>
      </c>
      <c r="N255" s="123" t="str">
        <f>IFERROR(VLOOKUP(C255,'CEDARS School FRPL'!C:H,6,FALSE),"No")</f>
        <v>No</v>
      </c>
      <c r="O255" s="147"/>
      <c r="P255" s="148"/>
    </row>
    <row r="256" spans="1:16">
      <c r="A256" s="95" t="s">
        <v>2374</v>
      </c>
      <c r="B256" s="95" t="s">
        <v>1050</v>
      </c>
      <c r="C256" s="4">
        <v>3237</v>
      </c>
      <c r="D256" s="95" t="s">
        <v>1053</v>
      </c>
      <c r="E256" s="145">
        <v>752.56</v>
      </c>
      <c r="F256" s="145">
        <v>0</v>
      </c>
      <c r="G256" s="145">
        <v>0</v>
      </c>
      <c r="H256" s="145">
        <v>0</v>
      </c>
      <c r="I256" s="77">
        <f t="shared" si="6"/>
        <v>752.56</v>
      </c>
      <c r="J256" s="123" t="str">
        <f>IFERROR(VLOOKUP($C256,'CEDARS School FRPL'!C:H,4,FALSE),"No")</f>
        <v>No</v>
      </c>
      <c r="K256" s="109"/>
      <c r="L256" s="109"/>
      <c r="M256" s="110">
        <f>IFERROR(VLOOKUP($C256,'CEDARS School FRPL'!C:H,3,FALSE),0)</f>
        <v>0.31240000000000001</v>
      </c>
      <c r="N256" s="123" t="str">
        <f>IFERROR(VLOOKUP(C256,'CEDARS School FRPL'!C:H,6,FALSE),"No")</f>
        <v>No</v>
      </c>
      <c r="O256" s="147"/>
      <c r="P256" s="148"/>
    </row>
    <row r="257" spans="1:16">
      <c r="A257" s="95" t="s">
        <v>2374</v>
      </c>
      <c r="B257" s="95" t="s">
        <v>1050</v>
      </c>
      <c r="C257" s="4">
        <v>3594</v>
      </c>
      <c r="D257" s="95" t="s">
        <v>2870</v>
      </c>
      <c r="E257" s="145">
        <v>430.29</v>
      </c>
      <c r="F257" s="145">
        <v>0</v>
      </c>
      <c r="G257" s="145">
        <v>0</v>
      </c>
      <c r="H257" s="145">
        <v>0</v>
      </c>
      <c r="I257" s="77">
        <f t="shared" si="6"/>
        <v>430.29</v>
      </c>
      <c r="J257" s="123" t="str">
        <f>IFERROR(VLOOKUP($C257,'CEDARS School FRPL'!C:H,4,FALSE),"No")</f>
        <v>No</v>
      </c>
      <c r="K257" s="109"/>
      <c r="L257" s="109"/>
      <c r="M257" s="110">
        <f>IFERROR(VLOOKUP($C257,'CEDARS School FRPL'!C:H,3,FALSE),0)</f>
        <v>0.37026666666666669</v>
      </c>
      <c r="N257" s="123" t="str">
        <f>IFERROR(VLOOKUP(C257,'CEDARS School FRPL'!C:H,6,FALSE),"No")</f>
        <v>No</v>
      </c>
      <c r="O257" s="147"/>
      <c r="P257" s="148"/>
    </row>
    <row r="258" spans="1:16">
      <c r="A258" s="95" t="s">
        <v>2374</v>
      </c>
      <c r="B258" s="95" t="s">
        <v>1050</v>
      </c>
      <c r="C258" s="4">
        <v>3791</v>
      </c>
      <c r="D258" s="95" t="s">
        <v>1054</v>
      </c>
      <c r="E258" s="145">
        <v>622.86</v>
      </c>
      <c r="F258" s="145">
        <v>0</v>
      </c>
      <c r="G258" s="145">
        <v>0</v>
      </c>
      <c r="H258" s="145">
        <v>0</v>
      </c>
      <c r="I258" s="77">
        <f t="shared" si="6"/>
        <v>622.86</v>
      </c>
      <c r="J258" s="123" t="str">
        <f>IFERROR(VLOOKUP($C258,'CEDARS School FRPL'!C:H,4,FALSE),"No")</f>
        <v>Yes</v>
      </c>
      <c r="K258" s="109"/>
      <c r="L258" s="109"/>
      <c r="M258" s="110">
        <f>IFERROR(VLOOKUP($C258,'CEDARS School FRPL'!C:H,3,FALSE),0)</f>
        <v>0.50629999999999997</v>
      </c>
      <c r="N258" s="123" t="str">
        <f>IFERROR(VLOOKUP(C258,'CEDARS School FRPL'!C:H,6,FALSE),"No")</f>
        <v>No</v>
      </c>
      <c r="O258" s="147"/>
      <c r="P258" s="148"/>
    </row>
    <row r="259" spans="1:16">
      <c r="A259" s="95" t="s">
        <v>2374</v>
      </c>
      <c r="B259" s="95" t="s">
        <v>1050</v>
      </c>
      <c r="C259" s="4">
        <v>4014</v>
      </c>
      <c r="D259" s="95" t="s">
        <v>1055</v>
      </c>
      <c r="E259" s="145">
        <v>375.29</v>
      </c>
      <c r="F259" s="145">
        <v>0</v>
      </c>
      <c r="G259" s="145">
        <v>0</v>
      </c>
      <c r="H259" s="145">
        <v>0</v>
      </c>
      <c r="I259" s="77">
        <f t="shared" si="6"/>
        <v>375.29</v>
      </c>
      <c r="J259" s="123" t="str">
        <f>IFERROR(VLOOKUP($C259,'CEDARS School FRPL'!C:H,4,FALSE),"No")</f>
        <v>No</v>
      </c>
      <c r="K259" s="109"/>
      <c r="L259" s="109"/>
      <c r="M259" s="110">
        <f>IFERROR(VLOOKUP($C259,'CEDARS School FRPL'!C:H,3,FALSE),0)</f>
        <v>0.34889999999999999</v>
      </c>
      <c r="N259" s="123" t="str">
        <f>IFERROR(VLOOKUP(C259,'CEDARS School FRPL'!C:H,6,FALSE),"No")</f>
        <v>No</v>
      </c>
      <c r="O259" s="147"/>
      <c r="P259" s="148"/>
    </row>
    <row r="260" spans="1:16">
      <c r="A260" s="95" t="s">
        <v>2374</v>
      </c>
      <c r="B260" s="95" t="s">
        <v>1050</v>
      </c>
      <c r="C260" s="4">
        <v>4015</v>
      </c>
      <c r="D260" s="95" t="s">
        <v>1056</v>
      </c>
      <c r="E260" s="145">
        <v>283.57</v>
      </c>
      <c r="F260" s="145">
        <v>0</v>
      </c>
      <c r="G260" s="145">
        <v>0</v>
      </c>
      <c r="H260" s="145">
        <v>0</v>
      </c>
      <c r="I260" s="77">
        <f t="shared" ref="I260:I323" si="7">+E260+F260+G260+H260</f>
        <v>283.57</v>
      </c>
      <c r="J260" s="123" t="str">
        <f>IFERROR(VLOOKUP($C260,'CEDARS School FRPL'!C:H,4,FALSE),"No")</f>
        <v>No</v>
      </c>
      <c r="K260" s="109"/>
      <c r="L260" s="109"/>
      <c r="M260" s="110">
        <f>IFERROR(VLOOKUP($C260,'CEDARS School FRPL'!C:H,3,FALSE),0)</f>
        <v>0.48606666666666665</v>
      </c>
      <c r="N260" s="123" t="str">
        <f>IFERROR(VLOOKUP(C260,'CEDARS School FRPL'!C:H,6,FALSE),"No")</f>
        <v>No</v>
      </c>
      <c r="O260" s="147"/>
      <c r="P260" s="148"/>
    </row>
    <row r="261" spans="1:16">
      <c r="A261" s="95" t="s">
        <v>2374</v>
      </c>
      <c r="B261" s="95" t="s">
        <v>1050</v>
      </c>
      <c r="C261" s="4">
        <v>4016</v>
      </c>
      <c r="D261" s="95" t="s">
        <v>1057</v>
      </c>
      <c r="E261" s="145">
        <v>415.71</v>
      </c>
      <c r="F261" s="145">
        <v>0</v>
      </c>
      <c r="G261" s="145">
        <v>0</v>
      </c>
      <c r="H261" s="145">
        <v>0</v>
      </c>
      <c r="I261" s="77">
        <f t="shared" si="7"/>
        <v>415.71</v>
      </c>
      <c r="J261" s="123" t="str">
        <f>IFERROR(VLOOKUP($C261,'CEDARS School FRPL'!C:H,4,FALSE),"No")</f>
        <v>No</v>
      </c>
      <c r="K261" s="109"/>
      <c r="L261" s="109"/>
      <c r="M261" s="110">
        <f>IFERROR(VLOOKUP($C261,'CEDARS School FRPL'!C:H,3,FALSE),0)</f>
        <v>0.49199999999999999</v>
      </c>
      <c r="N261" s="123" t="str">
        <f>IFERROR(VLOOKUP(C261,'CEDARS School FRPL'!C:H,6,FALSE),"No")</f>
        <v>No</v>
      </c>
      <c r="O261" s="147"/>
      <c r="P261" s="148"/>
    </row>
    <row r="262" spans="1:16">
      <c r="A262" s="95" t="s">
        <v>2374</v>
      </c>
      <c r="B262" s="95" t="s">
        <v>1050</v>
      </c>
      <c r="C262" s="4">
        <v>4100</v>
      </c>
      <c r="D262" s="95" t="s">
        <v>1058</v>
      </c>
      <c r="E262" s="145">
        <v>1038.76</v>
      </c>
      <c r="F262" s="145">
        <v>85.600000000000009</v>
      </c>
      <c r="G262" s="145">
        <v>0</v>
      </c>
      <c r="H262" s="145">
        <v>0</v>
      </c>
      <c r="I262" s="77">
        <f t="shared" si="7"/>
        <v>1124.3599999999999</v>
      </c>
      <c r="J262" s="123" t="str">
        <f>IFERROR(VLOOKUP($C262,'CEDARS School FRPL'!C:H,4,FALSE),"No")</f>
        <v>No</v>
      </c>
      <c r="K262" s="109"/>
      <c r="L262" s="109"/>
      <c r="M262" s="110">
        <f>IFERROR(VLOOKUP($C262,'CEDARS School FRPL'!C:H,3,FALSE),0)</f>
        <v>0.4083666666666666</v>
      </c>
      <c r="N262" s="123" t="str">
        <f>IFERROR(VLOOKUP(C262,'CEDARS School FRPL'!C:H,6,FALSE),"No")</f>
        <v>No</v>
      </c>
      <c r="O262" s="147"/>
      <c r="P262" s="148"/>
    </row>
    <row r="263" spans="1:16">
      <c r="A263" s="95" t="s">
        <v>2374</v>
      </c>
      <c r="B263" s="95" t="s">
        <v>1050</v>
      </c>
      <c r="C263" s="4">
        <v>4101</v>
      </c>
      <c r="D263" s="95" t="s">
        <v>1059</v>
      </c>
      <c r="E263" s="145">
        <v>381.14</v>
      </c>
      <c r="F263" s="145">
        <v>0</v>
      </c>
      <c r="G263" s="145">
        <v>0</v>
      </c>
      <c r="H263" s="145">
        <v>0</v>
      </c>
      <c r="I263" s="77">
        <f t="shared" si="7"/>
        <v>381.14</v>
      </c>
      <c r="J263" s="123" t="str">
        <f>IFERROR(VLOOKUP($C263,'CEDARS School FRPL'!C:H,4,FALSE),"No")</f>
        <v>No</v>
      </c>
      <c r="K263" s="109"/>
      <c r="L263" s="109"/>
      <c r="M263" s="110">
        <f>IFERROR(VLOOKUP($C263,'CEDARS School FRPL'!C:H,3,FALSE),0)</f>
        <v>0.30623333333333336</v>
      </c>
      <c r="N263" s="123" t="str">
        <f>IFERROR(VLOOKUP(C263,'CEDARS School FRPL'!C:H,6,FALSE),"No")</f>
        <v>No</v>
      </c>
      <c r="O263" s="147"/>
      <c r="P263" s="148"/>
    </row>
    <row r="264" spans="1:16">
      <c r="A264" s="95" t="s">
        <v>2374</v>
      </c>
      <c r="B264" s="95" t="s">
        <v>1050</v>
      </c>
      <c r="C264" s="4">
        <v>4135</v>
      </c>
      <c r="D264" s="95" t="s">
        <v>1060</v>
      </c>
      <c r="E264" s="145">
        <v>399.71</v>
      </c>
      <c r="F264" s="145">
        <v>0</v>
      </c>
      <c r="G264" s="145">
        <v>0</v>
      </c>
      <c r="H264" s="145">
        <v>0</v>
      </c>
      <c r="I264" s="77">
        <f t="shared" si="7"/>
        <v>399.71</v>
      </c>
      <c r="J264" s="123" t="str">
        <f>IFERROR(VLOOKUP($C264,'CEDARS School FRPL'!C:H,4,FALSE),"No")</f>
        <v>Yes</v>
      </c>
      <c r="K264" s="109"/>
      <c r="L264" s="109"/>
      <c r="M264" s="110">
        <f>IFERROR(VLOOKUP($C264,'CEDARS School FRPL'!C:H,3,FALSE),0)</f>
        <v>0.51003333333333334</v>
      </c>
      <c r="N264" s="123" t="str">
        <f>IFERROR(VLOOKUP(C264,'CEDARS School FRPL'!C:H,6,FALSE),"No")</f>
        <v>No</v>
      </c>
      <c r="O264" s="147"/>
      <c r="P264" s="148"/>
    </row>
    <row r="265" spans="1:16">
      <c r="A265" s="95" t="s">
        <v>2374</v>
      </c>
      <c r="B265" s="95" t="s">
        <v>1050</v>
      </c>
      <c r="C265" s="4">
        <v>4249</v>
      </c>
      <c r="D265" s="95" t="s">
        <v>1061</v>
      </c>
      <c r="E265" s="145">
        <v>715</v>
      </c>
      <c r="F265" s="145">
        <v>0</v>
      </c>
      <c r="G265" s="145">
        <v>0</v>
      </c>
      <c r="H265" s="145">
        <v>0</v>
      </c>
      <c r="I265" s="77">
        <f t="shared" si="7"/>
        <v>715</v>
      </c>
      <c r="J265" s="123" t="str">
        <f>IFERROR(VLOOKUP($C265,'CEDARS School FRPL'!C:H,4,FALSE),"No")</f>
        <v>No</v>
      </c>
      <c r="K265" s="109"/>
      <c r="L265" s="109"/>
      <c r="M265" s="110">
        <f>IFERROR(VLOOKUP($C265,'CEDARS School FRPL'!C:H,3,FALSE),0)</f>
        <v>0.36316666666666664</v>
      </c>
      <c r="N265" s="123" t="str">
        <f>IFERROR(VLOOKUP(C265,'CEDARS School FRPL'!C:H,6,FALSE),"No")</f>
        <v>No</v>
      </c>
      <c r="O265" s="147"/>
      <c r="P265" s="148"/>
    </row>
    <row r="266" spans="1:16">
      <c r="A266" s="95" t="s">
        <v>2374</v>
      </c>
      <c r="B266" s="95" t="s">
        <v>1050</v>
      </c>
      <c r="C266" s="4">
        <v>4341</v>
      </c>
      <c r="D266" s="95" t="s">
        <v>1062</v>
      </c>
      <c r="E266" s="145">
        <v>408.46</v>
      </c>
      <c r="F266" s="145">
        <v>0</v>
      </c>
      <c r="G266" s="145">
        <v>0</v>
      </c>
      <c r="H266" s="145">
        <v>0</v>
      </c>
      <c r="I266" s="77">
        <f t="shared" si="7"/>
        <v>408.46</v>
      </c>
      <c r="J266" s="123" t="str">
        <f>IFERROR(VLOOKUP($C266,'CEDARS School FRPL'!C:H,4,FALSE),"No")</f>
        <v>No</v>
      </c>
      <c r="K266" s="109"/>
      <c r="L266" s="109"/>
      <c r="M266" s="110">
        <f>IFERROR(VLOOKUP($C266,'CEDARS School FRPL'!C:H,3,FALSE),0)</f>
        <v>0.26703333333333329</v>
      </c>
      <c r="N266" s="123" t="str">
        <f>IFERROR(VLOOKUP(C266,'CEDARS School FRPL'!C:H,6,FALSE),"No")</f>
        <v>No</v>
      </c>
      <c r="O266" s="147"/>
      <c r="P266" s="148"/>
    </row>
    <row r="267" spans="1:16">
      <c r="A267" s="95" t="s">
        <v>2374</v>
      </c>
      <c r="B267" s="95" t="s">
        <v>1050</v>
      </c>
      <c r="C267" s="4">
        <v>4372</v>
      </c>
      <c r="D267" s="95" t="s">
        <v>1063</v>
      </c>
      <c r="E267" s="145">
        <v>388.71</v>
      </c>
      <c r="F267" s="145">
        <v>0</v>
      </c>
      <c r="G267" s="145">
        <v>0</v>
      </c>
      <c r="H267" s="145">
        <v>0</v>
      </c>
      <c r="I267" s="77">
        <f t="shared" si="7"/>
        <v>388.71</v>
      </c>
      <c r="J267" s="123" t="str">
        <f>IFERROR(VLOOKUP($C267,'CEDARS School FRPL'!C:H,4,FALSE),"No")</f>
        <v>No</v>
      </c>
      <c r="K267" s="109"/>
      <c r="L267" s="109"/>
      <c r="M267" s="110">
        <f>IFERROR(VLOOKUP($C267,'CEDARS School FRPL'!C:H,3,FALSE),0)</f>
        <v>0.3095</v>
      </c>
      <c r="N267" s="123" t="str">
        <f>IFERROR(VLOOKUP(C267,'CEDARS School FRPL'!C:H,6,FALSE),"No")</f>
        <v>No</v>
      </c>
      <c r="O267" s="147"/>
      <c r="P267" s="148"/>
    </row>
    <row r="268" spans="1:16">
      <c r="A268" s="95" t="s">
        <v>2374</v>
      </c>
      <c r="B268" s="95" t="s">
        <v>1050</v>
      </c>
      <c r="C268" s="4">
        <v>4393</v>
      </c>
      <c r="D268" s="95" t="s">
        <v>1064</v>
      </c>
      <c r="E268" s="145">
        <v>369.71</v>
      </c>
      <c r="F268" s="145">
        <v>0</v>
      </c>
      <c r="G268" s="145">
        <v>0</v>
      </c>
      <c r="H268" s="145">
        <v>0</v>
      </c>
      <c r="I268" s="77">
        <f t="shared" si="7"/>
        <v>369.71</v>
      </c>
      <c r="J268" s="123" t="str">
        <f>IFERROR(VLOOKUP($C268,'CEDARS School FRPL'!C:H,4,FALSE),"No")</f>
        <v>No</v>
      </c>
      <c r="K268" s="109"/>
      <c r="L268" s="109"/>
      <c r="M268" s="110">
        <f>IFERROR(VLOOKUP($C268,'CEDARS School FRPL'!C:H,3,FALSE),0)</f>
        <v>0.35626666666666668</v>
      </c>
      <c r="N268" s="123" t="str">
        <f>IFERROR(VLOOKUP(C268,'CEDARS School FRPL'!C:H,6,FALSE),"No")</f>
        <v>No</v>
      </c>
      <c r="O268" s="147"/>
      <c r="P268" s="148"/>
    </row>
    <row r="269" spans="1:16">
      <c r="A269" s="95" t="s">
        <v>2374</v>
      </c>
      <c r="B269" s="95" t="s">
        <v>1050</v>
      </c>
      <c r="C269" s="4">
        <v>4444</v>
      </c>
      <c r="D269" s="95" t="s">
        <v>1065</v>
      </c>
      <c r="E269" s="145">
        <v>444.57</v>
      </c>
      <c r="F269" s="145">
        <v>0</v>
      </c>
      <c r="G269" s="145">
        <v>0</v>
      </c>
      <c r="H269" s="145">
        <v>0</v>
      </c>
      <c r="I269" s="77">
        <f t="shared" si="7"/>
        <v>444.57</v>
      </c>
      <c r="J269" s="123" t="str">
        <f>IFERROR(VLOOKUP($C269,'CEDARS School FRPL'!C:H,4,FALSE),"No")</f>
        <v>No</v>
      </c>
      <c r="K269" s="109"/>
      <c r="L269" s="109"/>
      <c r="M269" s="110">
        <f>IFERROR(VLOOKUP($C269,'CEDARS School FRPL'!C:H,3,FALSE),0)</f>
        <v>0.22429999999999997</v>
      </c>
      <c r="N269" s="123" t="str">
        <f>IFERROR(VLOOKUP(C269,'CEDARS School FRPL'!C:H,6,FALSE),"No")</f>
        <v>No</v>
      </c>
      <c r="O269" s="147"/>
      <c r="P269" s="148"/>
    </row>
    <row r="270" spans="1:16">
      <c r="A270" s="95" t="s">
        <v>2374</v>
      </c>
      <c r="B270" s="95" t="s">
        <v>1050</v>
      </c>
      <c r="C270" s="4">
        <v>4509</v>
      </c>
      <c r="D270" s="95" t="s">
        <v>1066</v>
      </c>
      <c r="E270" s="145">
        <v>890.81</v>
      </c>
      <c r="F270" s="145">
        <v>47.36</v>
      </c>
      <c r="G270" s="145">
        <v>0</v>
      </c>
      <c r="H270" s="145">
        <v>0</v>
      </c>
      <c r="I270" s="77">
        <f t="shared" si="7"/>
        <v>938.17</v>
      </c>
      <c r="J270" s="123" t="str">
        <f>IFERROR(VLOOKUP($C270,'CEDARS School FRPL'!C:H,4,FALSE),"No")</f>
        <v>No</v>
      </c>
      <c r="K270" s="109"/>
      <c r="L270" s="109"/>
      <c r="M270" s="110">
        <f>IFERROR(VLOOKUP($C270,'CEDARS School FRPL'!C:H,3,FALSE),0)</f>
        <v>0.27553333333333335</v>
      </c>
      <c r="N270" s="123" t="str">
        <f>IFERROR(VLOOKUP(C270,'CEDARS School FRPL'!C:H,6,FALSE),"No")</f>
        <v>No</v>
      </c>
      <c r="O270" s="147"/>
      <c r="P270" s="148"/>
    </row>
    <row r="271" spans="1:16">
      <c r="A271" s="95" t="s">
        <v>2374</v>
      </c>
      <c r="B271" s="95" t="s">
        <v>1050</v>
      </c>
      <c r="C271" s="4">
        <v>4527</v>
      </c>
      <c r="D271" s="95" t="s">
        <v>1067</v>
      </c>
      <c r="E271" s="145">
        <v>354.14</v>
      </c>
      <c r="F271" s="145">
        <v>0</v>
      </c>
      <c r="G271" s="145">
        <v>0</v>
      </c>
      <c r="H271" s="145">
        <v>0</v>
      </c>
      <c r="I271" s="77">
        <f t="shared" si="7"/>
        <v>354.14</v>
      </c>
      <c r="J271" s="123" t="str">
        <f>IFERROR(VLOOKUP($C271,'CEDARS School FRPL'!C:H,4,FALSE),"No")</f>
        <v>No</v>
      </c>
      <c r="K271" s="109"/>
      <c r="L271" s="109"/>
      <c r="M271" s="110">
        <f>IFERROR(VLOOKUP($C271,'CEDARS School FRPL'!C:H,3,FALSE),0)</f>
        <v>0.4761333333333333</v>
      </c>
      <c r="N271" s="123" t="str">
        <f>IFERROR(VLOOKUP(C271,'CEDARS School FRPL'!C:H,6,FALSE),"No")</f>
        <v>No</v>
      </c>
      <c r="O271" s="147"/>
      <c r="P271" s="148"/>
    </row>
    <row r="272" spans="1:16">
      <c r="A272" s="95" t="s">
        <v>2374</v>
      </c>
      <c r="B272" s="95" t="s">
        <v>1050</v>
      </c>
      <c r="C272" s="4">
        <v>5472</v>
      </c>
      <c r="D272" s="95" t="s">
        <v>2716</v>
      </c>
      <c r="E272" s="145">
        <v>695.64</v>
      </c>
      <c r="F272" s="145">
        <v>7.16</v>
      </c>
      <c r="G272" s="145">
        <v>0</v>
      </c>
      <c r="H272" s="145">
        <v>0</v>
      </c>
      <c r="I272" s="77">
        <f t="shared" si="7"/>
        <v>702.8</v>
      </c>
      <c r="J272" s="123" t="str">
        <f>IFERROR(VLOOKUP($C272,'CEDARS School FRPL'!C:H,4,FALSE),"No")</f>
        <v>No</v>
      </c>
      <c r="K272" s="109"/>
      <c r="L272" s="109"/>
      <c r="M272" s="110">
        <f>IFERROR(VLOOKUP($C272,'CEDARS School FRPL'!C:H,3,FALSE),0)</f>
        <v>0.41496666666666665</v>
      </c>
      <c r="N272" s="123" t="str">
        <f>IFERROR(VLOOKUP(C272,'CEDARS School FRPL'!C:H,6,FALSE),"No")</f>
        <v>No</v>
      </c>
      <c r="O272" s="147"/>
      <c r="P272" s="148"/>
    </row>
    <row r="273" spans="1:16">
      <c r="A273" s="95" t="s">
        <v>2492</v>
      </c>
      <c r="B273" s="95" t="s">
        <v>1849</v>
      </c>
      <c r="C273" s="4">
        <v>1964</v>
      </c>
      <c r="D273" s="95" t="s">
        <v>1850</v>
      </c>
      <c r="E273" s="145">
        <v>44.43</v>
      </c>
      <c r="F273" s="145">
        <v>0</v>
      </c>
      <c r="G273" s="145">
        <v>0</v>
      </c>
      <c r="H273" s="145">
        <v>0</v>
      </c>
      <c r="I273" s="77">
        <f t="shared" si="7"/>
        <v>44.43</v>
      </c>
      <c r="J273" s="123" t="str">
        <f>IFERROR(VLOOKUP($C273,'CEDARS School FRPL'!C:H,4,FALSE),"No")</f>
        <v>No</v>
      </c>
      <c r="K273" s="109"/>
      <c r="L273" s="109"/>
      <c r="M273" s="110">
        <f>IFERROR(VLOOKUP($C273,'CEDARS School FRPL'!C:H,3,FALSE),0)</f>
        <v>0.20953333333333335</v>
      </c>
      <c r="N273" s="123" t="str">
        <f>IFERROR(VLOOKUP(C273,'CEDARS School FRPL'!C:H,6,FALSE),"No")</f>
        <v>No</v>
      </c>
      <c r="O273" s="147"/>
      <c r="P273" s="148"/>
    </row>
    <row r="274" spans="1:16">
      <c r="A274" s="95" t="s">
        <v>2492</v>
      </c>
      <c r="B274" s="95" t="s">
        <v>1849</v>
      </c>
      <c r="C274" s="4">
        <v>2113</v>
      </c>
      <c r="D274" s="95" t="s">
        <v>1851</v>
      </c>
      <c r="E274" s="145">
        <v>600.88</v>
      </c>
      <c r="F274" s="145">
        <v>0</v>
      </c>
      <c r="G274" s="145">
        <v>0</v>
      </c>
      <c r="H274" s="145">
        <v>0</v>
      </c>
      <c r="I274" s="77">
        <f t="shared" si="7"/>
        <v>600.88</v>
      </c>
      <c r="J274" s="123" t="str">
        <f>IFERROR(VLOOKUP($C274,'CEDARS School FRPL'!C:H,4,FALSE),"No")</f>
        <v>Yes</v>
      </c>
      <c r="K274" s="109"/>
      <c r="L274" s="109"/>
      <c r="M274" s="110">
        <f>IFERROR(VLOOKUP($C274,'CEDARS School FRPL'!C:H,3,FALSE),0)</f>
        <v>0.61403333333333343</v>
      </c>
      <c r="N274" s="123" t="str">
        <f>IFERROR(VLOOKUP(C274,'CEDARS School FRPL'!C:H,6,FALSE),"No")</f>
        <v>No</v>
      </c>
      <c r="O274" s="147"/>
      <c r="P274" s="148"/>
    </row>
    <row r="275" spans="1:16">
      <c r="A275" s="95" t="s">
        <v>2492</v>
      </c>
      <c r="B275" s="95" t="s">
        <v>1849</v>
      </c>
      <c r="C275" s="4">
        <v>2157</v>
      </c>
      <c r="D275" s="95" t="s">
        <v>1852</v>
      </c>
      <c r="E275" s="145">
        <v>568.86</v>
      </c>
      <c r="F275" s="145">
        <v>0</v>
      </c>
      <c r="G275" s="145">
        <v>0</v>
      </c>
      <c r="H275" s="145">
        <v>0</v>
      </c>
      <c r="I275" s="77">
        <f t="shared" si="7"/>
        <v>568.86</v>
      </c>
      <c r="J275" s="123" t="str">
        <f>IFERROR(VLOOKUP($C275,'CEDARS School FRPL'!C:H,4,FALSE),"No")</f>
        <v>No</v>
      </c>
      <c r="K275" s="109"/>
      <c r="L275" s="109"/>
      <c r="M275" s="110">
        <f>IFERROR(VLOOKUP($C275,'CEDARS School FRPL'!C:H,3,FALSE),0)</f>
        <v>0.44596666666666662</v>
      </c>
      <c r="N275" s="123" t="str">
        <f>IFERROR(VLOOKUP(C275,'CEDARS School FRPL'!C:H,6,FALSE),"No")</f>
        <v>No</v>
      </c>
      <c r="O275" s="147"/>
      <c r="P275" s="148"/>
    </row>
    <row r="276" spans="1:16">
      <c r="A276" s="95" t="s">
        <v>2492</v>
      </c>
      <c r="B276" s="95" t="s">
        <v>1849</v>
      </c>
      <c r="C276" s="4">
        <v>2776</v>
      </c>
      <c r="D276" s="95" t="s">
        <v>1853</v>
      </c>
      <c r="E276" s="145">
        <v>508.98</v>
      </c>
      <c r="F276" s="145">
        <v>0</v>
      </c>
      <c r="G276" s="145">
        <v>0</v>
      </c>
      <c r="H276" s="145">
        <v>0</v>
      </c>
      <c r="I276" s="77">
        <f t="shared" si="7"/>
        <v>508.98</v>
      </c>
      <c r="J276" s="123" t="str">
        <f>IFERROR(VLOOKUP($C276,'CEDARS School FRPL'!C:H,4,FALSE),"No")</f>
        <v>Yes</v>
      </c>
      <c r="K276" s="109"/>
      <c r="L276" s="109"/>
      <c r="M276" s="110">
        <f>IFERROR(VLOOKUP($C276,'CEDARS School FRPL'!C:H,3,FALSE),0)</f>
        <v>0.63496666666666668</v>
      </c>
      <c r="N276" s="123" t="str">
        <f>IFERROR(VLOOKUP(C276,'CEDARS School FRPL'!C:H,6,FALSE),"No")</f>
        <v>No</v>
      </c>
      <c r="O276" s="147"/>
      <c r="P276" s="148"/>
    </row>
    <row r="277" spans="1:16">
      <c r="A277" s="95" t="s">
        <v>2492</v>
      </c>
      <c r="B277" s="95" t="s">
        <v>1849</v>
      </c>
      <c r="C277" s="4">
        <v>2892</v>
      </c>
      <c r="D277" s="95" t="s">
        <v>1854</v>
      </c>
      <c r="E277" s="145">
        <v>284.44</v>
      </c>
      <c r="F277" s="145">
        <v>0</v>
      </c>
      <c r="G277" s="145">
        <v>0</v>
      </c>
      <c r="H277" s="145">
        <v>0</v>
      </c>
      <c r="I277" s="77">
        <f t="shared" si="7"/>
        <v>284.44</v>
      </c>
      <c r="J277" s="123" t="str">
        <f>IFERROR(VLOOKUP($C277,'CEDARS School FRPL'!C:H,4,FALSE),"No")</f>
        <v>Yes</v>
      </c>
      <c r="K277" s="109"/>
      <c r="L277" s="109"/>
      <c r="M277" s="110">
        <f>IFERROR(VLOOKUP($C277,'CEDARS School FRPL'!C:H,3,FALSE),0)</f>
        <v>0.64516666666666667</v>
      </c>
      <c r="N277" s="123" t="str">
        <f>IFERROR(VLOOKUP(C277,'CEDARS School FRPL'!C:H,6,FALSE),"No")</f>
        <v>No</v>
      </c>
      <c r="O277" s="147"/>
      <c r="P277" s="148"/>
    </row>
    <row r="278" spans="1:16">
      <c r="A278" s="95" t="s">
        <v>2492</v>
      </c>
      <c r="B278" s="95" t="s">
        <v>1849</v>
      </c>
      <c r="C278" s="4">
        <v>2953</v>
      </c>
      <c r="D278" s="95" t="s">
        <v>1855</v>
      </c>
      <c r="E278" s="145">
        <v>221.87</v>
      </c>
      <c r="F278" s="145">
        <v>0</v>
      </c>
      <c r="G278" s="145">
        <v>0</v>
      </c>
      <c r="H278" s="145">
        <v>0</v>
      </c>
      <c r="I278" s="77">
        <f t="shared" si="7"/>
        <v>221.87</v>
      </c>
      <c r="J278" s="123" t="str">
        <f>IFERROR(VLOOKUP($C278,'CEDARS School FRPL'!C:H,4,FALSE),"No")</f>
        <v>Yes</v>
      </c>
      <c r="K278" s="109"/>
      <c r="L278" s="109"/>
      <c r="M278" s="110">
        <f>IFERROR(VLOOKUP($C278,'CEDARS School FRPL'!C:H,3,FALSE),0)</f>
        <v>0.57883333333333342</v>
      </c>
      <c r="N278" s="123" t="str">
        <f>IFERROR(VLOOKUP(C278,'CEDARS School FRPL'!C:H,6,FALSE),"No")</f>
        <v>No</v>
      </c>
      <c r="O278" s="147"/>
      <c r="P278" s="148"/>
    </row>
    <row r="279" spans="1:16">
      <c r="A279" s="95" t="s">
        <v>2492</v>
      </c>
      <c r="B279" s="95" t="s">
        <v>1849</v>
      </c>
      <c r="C279" s="4">
        <v>3064</v>
      </c>
      <c r="D279" s="95" t="s">
        <v>1856</v>
      </c>
      <c r="E279" s="145">
        <v>292.18</v>
      </c>
      <c r="F279" s="145">
        <v>0</v>
      </c>
      <c r="G279" s="145">
        <v>0</v>
      </c>
      <c r="H279" s="145">
        <v>0</v>
      </c>
      <c r="I279" s="77">
        <f t="shared" si="7"/>
        <v>292.18</v>
      </c>
      <c r="J279" s="123" t="str">
        <f>IFERROR(VLOOKUP($C279,'CEDARS School FRPL'!C:H,4,FALSE),"No")</f>
        <v>No</v>
      </c>
      <c r="K279" s="109"/>
      <c r="L279" s="109"/>
      <c r="M279" s="110">
        <f>IFERROR(VLOOKUP($C279,'CEDARS School FRPL'!C:H,3,FALSE),0)</f>
        <v>0.4753</v>
      </c>
      <c r="N279" s="123" t="str">
        <f>IFERROR(VLOOKUP(C279,'CEDARS School FRPL'!C:H,6,FALSE),"No")</f>
        <v>No</v>
      </c>
      <c r="O279" s="147"/>
      <c r="P279" s="148"/>
    </row>
    <row r="280" spans="1:16">
      <c r="A280" s="95" t="s">
        <v>2492</v>
      </c>
      <c r="B280" s="95" t="s">
        <v>1849</v>
      </c>
      <c r="C280" s="4">
        <v>3065</v>
      </c>
      <c r="D280" s="95" t="s">
        <v>1857</v>
      </c>
      <c r="E280" s="145">
        <v>1399.82</v>
      </c>
      <c r="F280" s="145">
        <v>135.45000000000002</v>
      </c>
      <c r="G280" s="145">
        <v>0</v>
      </c>
      <c r="H280" s="145">
        <v>0</v>
      </c>
      <c r="I280" s="77">
        <f t="shared" si="7"/>
        <v>1535.27</v>
      </c>
      <c r="J280" s="123" t="str">
        <f>IFERROR(VLOOKUP($C280,'CEDARS School FRPL'!C:H,4,FALSE),"No")</f>
        <v>No</v>
      </c>
      <c r="K280" s="109"/>
      <c r="L280" s="109"/>
      <c r="M280" s="110">
        <f>IFERROR(VLOOKUP($C280,'CEDARS School FRPL'!C:H,3,FALSE),0)</f>
        <v>0.26196666666666668</v>
      </c>
      <c r="N280" s="123" t="str">
        <f>IFERROR(VLOOKUP(C280,'CEDARS School FRPL'!C:H,6,FALSE),"No")</f>
        <v>No</v>
      </c>
      <c r="O280" s="147"/>
      <c r="P280" s="148"/>
    </row>
    <row r="281" spans="1:16">
      <c r="A281" s="95" t="s">
        <v>2492</v>
      </c>
      <c r="B281" s="95" t="s">
        <v>1849</v>
      </c>
      <c r="C281" s="4">
        <v>3127</v>
      </c>
      <c r="D281" s="95" t="s">
        <v>1858</v>
      </c>
      <c r="E281" s="145">
        <v>288.63</v>
      </c>
      <c r="F281" s="145">
        <v>0</v>
      </c>
      <c r="G281" s="145">
        <v>0</v>
      </c>
      <c r="H281" s="145">
        <v>0</v>
      </c>
      <c r="I281" s="77">
        <f t="shared" si="7"/>
        <v>288.63</v>
      </c>
      <c r="J281" s="123" t="str">
        <f>IFERROR(VLOOKUP($C281,'CEDARS School FRPL'!C:H,4,FALSE),"No")</f>
        <v>Yes</v>
      </c>
      <c r="K281" s="109"/>
      <c r="L281" s="109"/>
      <c r="M281" s="110">
        <f>IFERROR(VLOOKUP($C281,'CEDARS School FRPL'!C:H,3,FALSE),0)</f>
        <v>0.5036666666666666</v>
      </c>
      <c r="N281" s="123" t="str">
        <f>IFERROR(VLOOKUP(C281,'CEDARS School FRPL'!C:H,6,FALSE),"No")</f>
        <v>No</v>
      </c>
      <c r="O281" s="147"/>
      <c r="P281" s="148"/>
    </row>
    <row r="282" spans="1:16">
      <c r="A282" s="95" t="s">
        <v>2492</v>
      </c>
      <c r="B282" s="95" t="s">
        <v>1849</v>
      </c>
      <c r="C282" s="4">
        <v>3259</v>
      </c>
      <c r="D282" s="95" t="s">
        <v>1788</v>
      </c>
      <c r="E282" s="145">
        <v>346.88</v>
      </c>
      <c r="F282" s="145">
        <v>0</v>
      </c>
      <c r="G282" s="145">
        <v>0</v>
      </c>
      <c r="H282" s="145">
        <v>0</v>
      </c>
      <c r="I282" s="77">
        <f t="shared" si="7"/>
        <v>346.88</v>
      </c>
      <c r="J282" s="123" t="str">
        <f>IFERROR(VLOOKUP($C282,'CEDARS School FRPL'!C:H,4,FALSE),"No")</f>
        <v>Yes</v>
      </c>
      <c r="K282" s="109"/>
      <c r="L282" s="109"/>
      <c r="M282" s="110">
        <f>IFERROR(VLOOKUP($C282,'CEDARS School FRPL'!C:H,3,FALSE),0)</f>
        <v>0.50223333333333331</v>
      </c>
      <c r="N282" s="123" t="str">
        <f>IFERROR(VLOOKUP(C282,'CEDARS School FRPL'!C:H,6,FALSE),"No")</f>
        <v>No</v>
      </c>
      <c r="O282" s="147"/>
      <c r="P282" s="148"/>
    </row>
    <row r="283" spans="1:16">
      <c r="A283" s="95" t="s">
        <v>2492</v>
      </c>
      <c r="B283" s="95" t="s">
        <v>1849</v>
      </c>
      <c r="C283" s="4">
        <v>3260</v>
      </c>
      <c r="D283" s="95" t="s">
        <v>1859</v>
      </c>
      <c r="E283" s="145">
        <v>444.86</v>
      </c>
      <c r="F283" s="145">
        <v>0</v>
      </c>
      <c r="G283" s="145">
        <v>0</v>
      </c>
      <c r="H283" s="145">
        <v>0</v>
      </c>
      <c r="I283" s="77">
        <f t="shared" si="7"/>
        <v>444.86</v>
      </c>
      <c r="J283" s="123" t="str">
        <f>IFERROR(VLOOKUP($C283,'CEDARS School FRPL'!C:H,4,FALSE),"No")</f>
        <v>Yes</v>
      </c>
      <c r="K283" s="109"/>
      <c r="L283" s="109"/>
      <c r="M283" s="110">
        <f>IFERROR(VLOOKUP($C283,'CEDARS School FRPL'!C:H,3,FALSE),0)</f>
        <v>0.53036666666666665</v>
      </c>
      <c r="N283" s="123" t="str">
        <f>IFERROR(VLOOKUP(C283,'CEDARS School FRPL'!C:H,6,FALSE),"No")</f>
        <v>No</v>
      </c>
      <c r="O283" s="147"/>
      <c r="P283" s="148"/>
    </row>
    <row r="284" spans="1:16">
      <c r="A284" s="95" t="s">
        <v>2492</v>
      </c>
      <c r="B284" s="95" t="s">
        <v>1849</v>
      </c>
      <c r="C284" s="4">
        <v>3307</v>
      </c>
      <c r="D284" s="95" t="s">
        <v>1860</v>
      </c>
      <c r="E284" s="145">
        <v>283.02999999999997</v>
      </c>
      <c r="F284" s="145">
        <v>0</v>
      </c>
      <c r="G284" s="145">
        <v>0</v>
      </c>
      <c r="H284" s="145">
        <v>0</v>
      </c>
      <c r="I284" s="77">
        <f t="shared" si="7"/>
        <v>283.02999999999997</v>
      </c>
      <c r="J284" s="123" t="str">
        <f>IFERROR(VLOOKUP($C284,'CEDARS School FRPL'!C:H,4,FALSE),"No")</f>
        <v>No</v>
      </c>
      <c r="K284" s="109"/>
      <c r="L284" s="109"/>
      <c r="M284" s="110">
        <f>IFERROR(VLOOKUP($C284,'CEDARS School FRPL'!C:H,3,FALSE),0)</f>
        <v>0.46293333333333336</v>
      </c>
      <c r="N284" s="123" t="str">
        <f>IFERROR(VLOOKUP(C284,'CEDARS School FRPL'!C:H,6,FALSE),"No")</f>
        <v>Yes</v>
      </c>
      <c r="O284" s="147"/>
      <c r="P284" s="148"/>
    </row>
    <row r="285" spans="1:16">
      <c r="A285" s="95" t="s">
        <v>2492</v>
      </c>
      <c r="B285" s="95" t="s">
        <v>1849</v>
      </c>
      <c r="C285" s="4">
        <v>3415</v>
      </c>
      <c r="D285" s="95" t="s">
        <v>1861</v>
      </c>
      <c r="E285" s="145">
        <v>1385.61</v>
      </c>
      <c r="F285" s="145">
        <v>96.070000000000007</v>
      </c>
      <c r="G285" s="145">
        <v>0</v>
      </c>
      <c r="H285" s="145">
        <v>0</v>
      </c>
      <c r="I285" s="77">
        <f t="shared" si="7"/>
        <v>1481.6799999999998</v>
      </c>
      <c r="J285" s="123" t="str">
        <f>IFERROR(VLOOKUP($C285,'CEDARS School FRPL'!C:H,4,FALSE),"No")</f>
        <v>No</v>
      </c>
      <c r="K285" s="109"/>
      <c r="L285" s="109"/>
      <c r="M285" s="110">
        <f>IFERROR(VLOOKUP($C285,'CEDARS School FRPL'!C:H,3,FALSE),0)</f>
        <v>0.35576666666666673</v>
      </c>
      <c r="N285" s="123" t="str">
        <f>IFERROR(VLOOKUP(C285,'CEDARS School FRPL'!C:H,6,FALSE),"No")</f>
        <v>No</v>
      </c>
      <c r="O285" s="147"/>
      <c r="P285" s="148"/>
    </row>
    <row r="286" spans="1:16">
      <c r="A286" s="95" t="s">
        <v>2492</v>
      </c>
      <c r="B286" s="95" t="s">
        <v>1849</v>
      </c>
      <c r="C286" s="4">
        <v>3465</v>
      </c>
      <c r="D286" s="95" t="s">
        <v>1862</v>
      </c>
      <c r="E286" s="145">
        <v>341.57</v>
      </c>
      <c r="F286" s="145">
        <v>0</v>
      </c>
      <c r="G286" s="145">
        <v>0</v>
      </c>
      <c r="H286" s="145">
        <v>0</v>
      </c>
      <c r="I286" s="77">
        <f t="shared" si="7"/>
        <v>341.57</v>
      </c>
      <c r="J286" s="123" t="str">
        <f>IFERROR(VLOOKUP($C286,'CEDARS School FRPL'!C:H,4,FALSE),"No")</f>
        <v>No</v>
      </c>
      <c r="K286" s="109"/>
      <c r="L286" s="109"/>
      <c r="M286" s="110">
        <f>IFERROR(VLOOKUP($C286,'CEDARS School FRPL'!C:H,3,FALSE),0)</f>
        <v>0.23716666666666666</v>
      </c>
      <c r="N286" s="123" t="str">
        <f>IFERROR(VLOOKUP(C286,'CEDARS School FRPL'!C:H,6,FALSE),"No")</f>
        <v>No</v>
      </c>
      <c r="O286" s="147"/>
      <c r="P286" s="148"/>
    </row>
    <row r="287" spans="1:16">
      <c r="A287" s="95" t="s">
        <v>2492</v>
      </c>
      <c r="B287" s="95" t="s">
        <v>1849</v>
      </c>
      <c r="C287" s="4">
        <v>3573</v>
      </c>
      <c r="D287" s="95" t="s">
        <v>1863</v>
      </c>
      <c r="E287" s="145">
        <v>502.67</v>
      </c>
      <c r="F287" s="145">
        <v>0</v>
      </c>
      <c r="G287" s="145">
        <v>0</v>
      </c>
      <c r="H287" s="145">
        <v>0</v>
      </c>
      <c r="I287" s="77">
        <f t="shared" si="7"/>
        <v>502.67</v>
      </c>
      <c r="J287" s="123" t="str">
        <f>IFERROR(VLOOKUP($C287,'CEDARS School FRPL'!C:H,4,FALSE),"No")</f>
        <v>No</v>
      </c>
      <c r="K287" s="109"/>
      <c r="L287" s="109"/>
      <c r="M287" s="110">
        <f>IFERROR(VLOOKUP($C287,'CEDARS School FRPL'!C:H,3,FALSE),0)</f>
        <v>0.30306666666666665</v>
      </c>
      <c r="N287" s="123" t="str">
        <f>IFERROR(VLOOKUP(C287,'CEDARS School FRPL'!C:H,6,FALSE),"No")</f>
        <v>No</v>
      </c>
      <c r="O287" s="147"/>
      <c r="P287" s="148"/>
    </row>
    <row r="288" spans="1:16">
      <c r="A288" s="95" t="s">
        <v>2492</v>
      </c>
      <c r="B288" s="95" t="s">
        <v>1849</v>
      </c>
      <c r="C288" s="4">
        <v>3890</v>
      </c>
      <c r="D288" s="95" t="s">
        <v>925</v>
      </c>
      <c r="E288" s="145">
        <v>632.4</v>
      </c>
      <c r="F288" s="145">
        <v>0</v>
      </c>
      <c r="G288" s="145">
        <v>0</v>
      </c>
      <c r="H288" s="145">
        <v>0</v>
      </c>
      <c r="I288" s="77">
        <f t="shared" si="7"/>
        <v>632.4</v>
      </c>
      <c r="J288" s="123" t="str">
        <f>IFERROR(VLOOKUP($C288,'CEDARS School FRPL'!C:H,4,FALSE),"No")</f>
        <v>No</v>
      </c>
      <c r="K288" s="109"/>
      <c r="L288" s="109"/>
      <c r="M288" s="110">
        <f>IFERROR(VLOOKUP($C288,'CEDARS School FRPL'!C:H,3,FALSE),0)</f>
        <v>0.30236666666666667</v>
      </c>
      <c r="N288" s="123" t="str">
        <f>IFERROR(VLOOKUP(C288,'CEDARS School FRPL'!C:H,6,FALSE),"No")</f>
        <v>No</v>
      </c>
      <c r="O288" s="147"/>
      <c r="P288" s="148"/>
    </row>
    <row r="289" spans="1:16">
      <c r="A289" s="95" t="s">
        <v>2492</v>
      </c>
      <c r="B289" s="95" t="s">
        <v>1849</v>
      </c>
      <c r="C289" s="4">
        <v>3918</v>
      </c>
      <c r="D289" s="95" t="s">
        <v>1864</v>
      </c>
      <c r="E289" s="145">
        <v>109.57</v>
      </c>
      <c r="F289" s="145">
        <v>3.21</v>
      </c>
      <c r="G289" s="145">
        <v>0</v>
      </c>
      <c r="H289" s="145">
        <v>0</v>
      </c>
      <c r="I289" s="77">
        <f t="shared" si="7"/>
        <v>112.77999999999999</v>
      </c>
      <c r="J289" s="123" t="str">
        <f>IFERROR(VLOOKUP($C289,'CEDARS School FRPL'!C:H,4,FALSE),"No")</f>
        <v>Yes</v>
      </c>
      <c r="K289" s="109"/>
      <c r="L289" s="109"/>
      <c r="M289" s="110">
        <f>IFERROR(VLOOKUP($C289,'CEDARS School FRPL'!C:H,3,FALSE),0)</f>
        <v>0.51953333333333329</v>
      </c>
      <c r="N289" s="123" t="str">
        <f>IFERROR(VLOOKUP(C289,'CEDARS School FRPL'!C:H,6,FALSE),"No")</f>
        <v>No</v>
      </c>
      <c r="O289" s="147"/>
      <c r="P289" s="148"/>
    </row>
    <row r="290" spans="1:16">
      <c r="A290" s="95" t="s">
        <v>2492</v>
      </c>
      <c r="B290" s="95" t="s">
        <v>1849</v>
      </c>
      <c r="C290" s="4">
        <v>3929</v>
      </c>
      <c r="D290" s="95" t="s">
        <v>1865</v>
      </c>
      <c r="E290" s="145">
        <v>431.86</v>
      </c>
      <c r="F290" s="145">
        <v>0</v>
      </c>
      <c r="G290" s="145">
        <v>0</v>
      </c>
      <c r="H290" s="145">
        <v>0</v>
      </c>
      <c r="I290" s="77">
        <f t="shared" si="7"/>
        <v>431.86</v>
      </c>
      <c r="J290" s="123" t="str">
        <f>IFERROR(VLOOKUP($C290,'CEDARS School FRPL'!C:H,4,FALSE),"No")</f>
        <v>No</v>
      </c>
      <c r="K290" s="109"/>
      <c r="L290" s="109"/>
      <c r="M290" s="110">
        <f>IFERROR(VLOOKUP($C290,'CEDARS School FRPL'!C:H,3,FALSE),0)</f>
        <v>0.22670000000000001</v>
      </c>
      <c r="N290" s="123" t="str">
        <f>IFERROR(VLOOKUP(C290,'CEDARS School FRPL'!C:H,6,FALSE),"No")</f>
        <v>No</v>
      </c>
      <c r="O290" s="147"/>
      <c r="P290" s="148"/>
    </row>
    <row r="291" spans="1:16">
      <c r="A291" s="95" t="s">
        <v>2492</v>
      </c>
      <c r="B291" s="95" t="s">
        <v>1849</v>
      </c>
      <c r="C291" s="4">
        <v>4098</v>
      </c>
      <c r="D291" s="95" t="s">
        <v>1866</v>
      </c>
      <c r="E291" s="145">
        <v>415.73</v>
      </c>
      <c r="F291" s="145">
        <v>0</v>
      </c>
      <c r="G291" s="145">
        <v>0</v>
      </c>
      <c r="H291" s="145">
        <v>0</v>
      </c>
      <c r="I291" s="77">
        <f t="shared" si="7"/>
        <v>415.73</v>
      </c>
      <c r="J291" s="123" t="str">
        <f>IFERROR(VLOOKUP($C291,'CEDARS School FRPL'!C:H,4,FALSE),"No")</f>
        <v>No</v>
      </c>
      <c r="K291" s="109"/>
      <c r="L291" s="109"/>
      <c r="M291" s="110">
        <f>IFERROR(VLOOKUP($C291,'CEDARS School FRPL'!C:H,3,FALSE),0)</f>
        <v>0.2898</v>
      </c>
      <c r="N291" s="123" t="str">
        <f>IFERROR(VLOOKUP(C291,'CEDARS School FRPL'!C:H,6,FALSE),"No")</f>
        <v>No</v>
      </c>
      <c r="O291" s="147"/>
      <c r="P291" s="148"/>
    </row>
    <row r="292" spans="1:16">
      <c r="A292" s="95" t="s">
        <v>2492</v>
      </c>
      <c r="B292" s="95" t="s">
        <v>1849</v>
      </c>
      <c r="C292" s="4">
        <v>4160</v>
      </c>
      <c r="D292" s="95" t="s">
        <v>693</v>
      </c>
      <c r="E292" s="145">
        <v>641.92999999999995</v>
      </c>
      <c r="F292" s="145">
        <v>0</v>
      </c>
      <c r="G292" s="145">
        <v>0</v>
      </c>
      <c r="H292" s="145">
        <v>0</v>
      </c>
      <c r="I292" s="77">
        <f t="shared" si="7"/>
        <v>641.92999999999995</v>
      </c>
      <c r="J292" s="123" t="str">
        <f>IFERROR(VLOOKUP($C292,'CEDARS School FRPL'!C:H,4,FALSE),"No")</f>
        <v>No</v>
      </c>
      <c r="K292" s="109"/>
      <c r="L292" s="109"/>
      <c r="M292" s="110">
        <f>IFERROR(VLOOKUP($C292,'CEDARS School FRPL'!C:H,3,FALSE),0)</f>
        <v>0.14646666666666666</v>
      </c>
      <c r="N292" s="123" t="str">
        <f>IFERROR(VLOOKUP(C292,'CEDARS School FRPL'!C:H,6,FALSE),"No")</f>
        <v>No</v>
      </c>
      <c r="O292" s="147"/>
      <c r="P292" s="148"/>
    </row>
    <row r="293" spans="1:16">
      <c r="A293" s="95" t="s">
        <v>2492</v>
      </c>
      <c r="B293" s="95" t="s">
        <v>1849</v>
      </c>
      <c r="C293" s="4">
        <v>4185</v>
      </c>
      <c r="D293" s="95" t="s">
        <v>1867</v>
      </c>
      <c r="E293" s="145">
        <v>486.15</v>
      </c>
      <c r="F293" s="145">
        <v>0</v>
      </c>
      <c r="G293" s="145">
        <v>0</v>
      </c>
      <c r="H293" s="145">
        <v>0</v>
      </c>
      <c r="I293" s="77">
        <f t="shared" si="7"/>
        <v>486.15</v>
      </c>
      <c r="J293" s="123" t="str">
        <f>IFERROR(VLOOKUP($C293,'CEDARS School FRPL'!C:H,4,FALSE),"No")</f>
        <v>No</v>
      </c>
      <c r="K293" s="109"/>
      <c r="L293" s="109"/>
      <c r="M293" s="110">
        <f>IFERROR(VLOOKUP($C293,'CEDARS School FRPL'!C:H,3,FALSE),0)</f>
        <v>0.21290000000000001</v>
      </c>
      <c r="N293" s="123" t="str">
        <f>IFERROR(VLOOKUP(C293,'CEDARS School FRPL'!C:H,6,FALSE),"No")</f>
        <v>No</v>
      </c>
      <c r="O293" s="147"/>
      <c r="P293" s="148"/>
    </row>
    <row r="294" spans="1:16">
      <c r="A294" s="95" t="s">
        <v>2492</v>
      </c>
      <c r="B294" s="95" t="s">
        <v>1849</v>
      </c>
      <c r="C294" s="4">
        <v>4529</v>
      </c>
      <c r="D294" s="95" t="s">
        <v>1868</v>
      </c>
      <c r="E294" s="145">
        <v>495.73</v>
      </c>
      <c r="F294" s="145">
        <v>0</v>
      </c>
      <c r="G294" s="145">
        <v>0</v>
      </c>
      <c r="H294" s="145">
        <v>0</v>
      </c>
      <c r="I294" s="77">
        <f t="shared" si="7"/>
        <v>495.73</v>
      </c>
      <c r="J294" s="123" t="str">
        <f>IFERROR(VLOOKUP($C294,'CEDARS School FRPL'!C:H,4,FALSE),"No")</f>
        <v>No</v>
      </c>
      <c r="K294" s="109"/>
      <c r="L294" s="109"/>
      <c r="M294" s="110">
        <f>IFERROR(VLOOKUP($C294,'CEDARS School FRPL'!C:H,3,FALSE),0)</f>
        <v>0.19576666666666667</v>
      </c>
      <c r="N294" s="123" t="str">
        <f>IFERROR(VLOOKUP(C294,'CEDARS School FRPL'!C:H,6,FALSE),"No")</f>
        <v>No</v>
      </c>
      <c r="O294" s="147"/>
      <c r="P294" s="148"/>
    </row>
    <row r="295" spans="1:16">
      <c r="A295" s="95" t="s">
        <v>2492</v>
      </c>
      <c r="B295" s="95" t="s">
        <v>1849</v>
      </c>
      <c r="C295" s="4">
        <v>5003</v>
      </c>
      <c r="D295" s="95" t="s">
        <v>1869</v>
      </c>
      <c r="E295" s="145">
        <v>25.14</v>
      </c>
      <c r="F295" s="145">
        <v>0</v>
      </c>
      <c r="G295" s="145">
        <v>0</v>
      </c>
      <c r="H295" s="145">
        <v>0</v>
      </c>
      <c r="I295" s="77">
        <f t="shared" si="7"/>
        <v>25.14</v>
      </c>
      <c r="J295" s="123" t="str">
        <f>IFERROR(VLOOKUP($C295,'CEDARS School FRPL'!C:H,4,FALSE),"No")</f>
        <v>No</v>
      </c>
      <c r="K295" s="109"/>
      <c r="L295" s="109"/>
      <c r="M295" s="110">
        <f>IFERROR(VLOOKUP($C295,'CEDARS School FRPL'!C:H,3,FALSE),0)</f>
        <v>0.4568666666666667</v>
      </c>
      <c r="N295" s="123" t="str">
        <f>IFERROR(VLOOKUP(C295,'CEDARS School FRPL'!C:H,6,FALSE),"No")</f>
        <v>Yes</v>
      </c>
      <c r="O295" s="147"/>
      <c r="P295" s="148"/>
    </row>
    <row r="296" spans="1:16">
      <c r="A296" s="95" t="s">
        <v>2492</v>
      </c>
      <c r="B296" s="95" t="s">
        <v>1849</v>
      </c>
      <c r="C296" s="4">
        <v>5278</v>
      </c>
      <c r="D296" s="95" t="s">
        <v>2718</v>
      </c>
      <c r="E296" s="145">
        <v>51.84</v>
      </c>
      <c r="F296" s="145">
        <v>0</v>
      </c>
      <c r="G296" s="145">
        <v>0</v>
      </c>
      <c r="H296" s="145">
        <v>0</v>
      </c>
      <c r="I296" s="77">
        <f t="shared" si="7"/>
        <v>51.84</v>
      </c>
      <c r="J296" s="123" t="str">
        <f>IFERROR(VLOOKUP($C296,'CEDARS School FRPL'!C:H,4,FALSE),"No")</f>
        <v>No</v>
      </c>
      <c r="K296" s="109"/>
      <c r="L296" s="109"/>
      <c r="M296" s="110">
        <f>IFERROR(VLOOKUP($C296,'CEDARS School FRPL'!C:H,3,FALSE),0)</f>
        <v>6.8000000000000005E-2</v>
      </c>
      <c r="N296" s="123" t="str">
        <f>IFERROR(VLOOKUP(C296,'CEDARS School FRPL'!C:H,6,FALSE),"No")</f>
        <v>No</v>
      </c>
      <c r="O296" s="147"/>
      <c r="P296" s="148"/>
    </row>
    <row r="297" spans="1:16">
      <c r="A297" s="95" t="s">
        <v>2492</v>
      </c>
      <c r="B297" s="95" t="s">
        <v>1849</v>
      </c>
      <c r="C297" s="4">
        <v>5328</v>
      </c>
      <c r="D297" s="95" t="s">
        <v>1870</v>
      </c>
      <c r="E297" s="145">
        <v>0</v>
      </c>
      <c r="F297" s="145">
        <v>0</v>
      </c>
      <c r="G297" s="145">
        <v>99.86</v>
      </c>
      <c r="H297" s="145">
        <v>0</v>
      </c>
      <c r="I297" s="77">
        <f t="shared" si="7"/>
        <v>99.86</v>
      </c>
      <c r="J297" s="123" t="str">
        <f>IFERROR(VLOOKUP($C297,'CEDARS School FRPL'!C:H,4,FALSE),"No")</f>
        <v>No</v>
      </c>
      <c r="K297" s="109"/>
      <c r="L297" s="109"/>
      <c r="M297" s="110">
        <f>IFERROR(VLOOKUP($C297,'CEDARS School FRPL'!C:H,3,FALSE),0)</f>
        <v>0.36909999999999998</v>
      </c>
      <c r="N297" s="123" t="str">
        <f>IFERROR(VLOOKUP(C297,'CEDARS School FRPL'!C:H,6,FALSE),"No")</f>
        <v>No</v>
      </c>
      <c r="O297" s="147"/>
      <c r="P297" s="148"/>
    </row>
    <row r="298" spans="1:16">
      <c r="A298" s="95" t="s">
        <v>2492</v>
      </c>
      <c r="B298" s="95" t="s">
        <v>1849</v>
      </c>
      <c r="C298" s="4">
        <v>5507</v>
      </c>
      <c r="D298" s="95" t="s">
        <v>2717</v>
      </c>
      <c r="E298" s="145">
        <v>473.29</v>
      </c>
      <c r="F298" s="145">
        <v>0</v>
      </c>
      <c r="G298" s="145">
        <v>0</v>
      </c>
      <c r="H298" s="145">
        <v>0</v>
      </c>
      <c r="I298" s="77">
        <f t="shared" si="7"/>
        <v>473.29</v>
      </c>
      <c r="J298" s="123" t="str">
        <f>IFERROR(VLOOKUP($C298,'CEDARS School FRPL'!C:H,4,FALSE),"No")</f>
        <v>No</v>
      </c>
      <c r="K298" s="109"/>
      <c r="L298" s="109"/>
      <c r="M298" s="110">
        <f>IFERROR(VLOOKUP($C298,'CEDARS School FRPL'!C:H,3,FALSE),0)</f>
        <v>0.17373333333333332</v>
      </c>
      <c r="N298" s="123" t="str">
        <f>IFERROR(VLOOKUP(C298,'CEDARS School FRPL'!C:H,6,FALSE),"No")</f>
        <v>No</v>
      </c>
      <c r="O298" s="147"/>
      <c r="P298" s="148"/>
    </row>
    <row r="299" spans="1:16">
      <c r="A299" s="95" t="s">
        <v>2492</v>
      </c>
      <c r="B299" s="95" t="s">
        <v>1849</v>
      </c>
      <c r="C299" s="4">
        <v>5541</v>
      </c>
      <c r="D299" s="95" t="s">
        <v>2871</v>
      </c>
      <c r="E299" s="145">
        <v>538.12</v>
      </c>
      <c r="F299" s="145">
        <v>0</v>
      </c>
      <c r="G299" s="145">
        <v>0</v>
      </c>
      <c r="H299" s="145">
        <v>0</v>
      </c>
      <c r="I299" s="77">
        <f t="shared" si="7"/>
        <v>538.12</v>
      </c>
      <c r="J299" s="123" t="str">
        <f>IFERROR(VLOOKUP($C299,'CEDARS School FRPL'!C:H,4,FALSE),"No")</f>
        <v>No</v>
      </c>
      <c r="K299" s="109"/>
      <c r="L299" s="109"/>
      <c r="M299" s="110">
        <f>IFERROR(VLOOKUP($C299,'CEDARS School FRPL'!C:H,3,FALSE),0)</f>
        <v>0.2961333333333333</v>
      </c>
      <c r="N299" s="123" t="str">
        <f>IFERROR(VLOOKUP(C299,'CEDARS School FRPL'!C:H,6,FALSE),"No")</f>
        <v>No</v>
      </c>
      <c r="O299" s="147"/>
      <c r="P299" s="148"/>
    </row>
    <row r="300" spans="1:16">
      <c r="A300" s="95" t="s">
        <v>2492</v>
      </c>
      <c r="B300" s="95" t="s">
        <v>1849</v>
      </c>
      <c r="C300" s="4">
        <v>5542</v>
      </c>
      <c r="D300" s="95" t="s">
        <v>2819</v>
      </c>
      <c r="E300" s="145">
        <v>128.30000000000001</v>
      </c>
      <c r="F300" s="145">
        <v>23.79</v>
      </c>
      <c r="G300" s="145">
        <v>0</v>
      </c>
      <c r="H300" s="145">
        <v>0</v>
      </c>
      <c r="I300" s="77">
        <f t="shared" si="7"/>
        <v>152.09</v>
      </c>
      <c r="J300" s="123" t="str">
        <f>IFERROR(VLOOKUP($C300,'CEDARS School FRPL'!C:H,4,FALSE),"No")</f>
        <v>No</v>
      </c>
      <c r="K300" s="109"/>
      <c r="L300" s="109"/>
      <c r="M300" s="110">
        <f>IFERROR(VLOOKUP($C300,'CEDARS School FRPL'!C:H,3,FALSE),0)</f>
        <v>0.20280000000000001</v>
      </c>
      <c r="N300" s="123" t="str">
        <f>IFERROR(VLOOKUP(C300,'CEDARS School FRPL'!C:H,6,FALSE),"No")</f>
        <v>No</v>
      </c>
      <c r="O300" s="147"/>
      <c r="P300" s="148"/>
    </row>
    <row r="301" spans="1:16">
      <c r="A301" s="95" t="s">
        <v>2492</v>
      </c>
      <c r="B301" s="95" t="s">
        <v>1849</v>
      </c>
      <c r="C301" s="4">
        <v>5552</v>
      </c>
      <c r="D301" s="95" t="s">
        <v>1290</v>
      </c>
      <c r="E301" s="145">
        <v>530.42999999999995</v>
      </c>
      <c r="F301" s="145">
        <v>0</v>
      </c>
      <c r="G301" s="145">
        <v>0</v>
      </c>
      <c r="H301" s="145">
        <v>0</v>
      </c>
      <c r="I301" s="77">
        <f t="shared" si="7"/>
        <v>530.42999999999995</v>
      </c>
      <c r="J301" s="123" t="str">
        <f>IFERROR(VLOOKUP($C301,'CEDARS School FRPL'!C:H,4,FALSE),"No")</f>
        <v>No</v>
      </c>
      <c r="K301" s="109"/>
      <c r="L301" s="109"/>
      <c r="M301" s="110">
        <f>IFERROR(VLOOKUP($C301,'CEDARS School FRPL'!C:H,3,FALSE),0)</f>
        <v>0.23643333333333336</v>
      </c>
      <c r="N301" s="123" t="str">
        <f>IFERROR(VLOOKUP(C301,'CEDARS School FRPL'!C:H,6,FALSE),"No")</f>
        <v>No</v>
      </c>
      <c r="O301" s="147"/>
      <c r="P301" s="148"/>
    </row>
    <row r="302" spans="1:16">
      <c r="A302" s="95" t="s">
        <v>2492</v>
      </c>
      <c r="B302" s="95" t="s">
        <v>1849</v>
      </c>
      <c r="C302" s="4">
        <v>5660</v>
      </c>
      <c r="D302" s="95" t="s">
        <v>3006</v>
      </c>
      <c r="E302" s="145">
        <v>921.21</v>
      </c>
      <c r="F302" s="145">
        <v>21.37</v>
      </c>
      <c r="G302" s="145">
        <v>0</v>
      </c>
      <c r="H302" s="145">
        <v>0</v>
      </c>
      <c r="I302" s="77">
        <f t="shared" si="7"/>
        <v>942.58</v>
      </c>
      <c r="J302" s="123" t="str">
        <f>IFERROR(VLOOKUP($C302,'CEDARS School FRPL'!C:H,4,FALSE),"No")</f>
        <v>No</v>
      </c>
      <c r="K302" s="109"/>
      <c r="L302" s="109"/>
      <c r="M302" s="110">
        <f>IFERROR(VLOOKUP($C302,'CEDARS School FRPL'!C:H,3,FALSE),0)</f>
        <v>0.24529999999999999</v>
      </c>
      <c r="N302" s="123" t="str">
        <f>IFERROR(VLOOKUP(C302,'CEDARS School FRPL'!C:H,6,FALSE),"No")</f>
        <v>No</v>
      </c>
      <c r="O302" s="147"/>
      <c r="P302" s="148"/>
    </row>
    <row r="303" spans="1:16">
      <c r="A303" s="95" t="s">
        <v>2492</v>
      </c>
      <c r="B303" s="95" t="s">
        <v>1849</v>
      </c>
      <c r="C303" s="4">
        <v>5667</v>
      </c>
      <c r="D303" s="95" t="s">
        <v>3005</v>
      </c>
      <c r="E303" s="145">
        <v>284.08999999999997</v>
      </c>
      <c r="F303" s="145">
        <v>0</v>
      </c>
      <c r="G303" s="145">
        <v>0</v>
      </c>
      <c r="H303" s="145">
        <v>0</v>
      </c>
      <c r="I303" s="77">
        <f t="shared" si="7"/>
        <v>284.08999999999997</v>
      </c>
      <c r="J303" s="123" t="str">
        <f>IFERROR(VLOOKUP($C303,'CEDARS School FRPL'!C:H,4,FALSE),"No")</f>
        <v>Yes</v>
      </c>
      <c r="K303" s="109"/>
      <c r="L303" s="109"/>
      <c r="M303" s="110">
        <f>IFERROR(VLOOKUP($C303,'CEDARS School FRPL'!C:H,3,FALSE),0)</f>
        <v>0.51249999999999996</v>
      </c>
      <c r="N303" s="123" t="str">
        <f>IFERROR(VLOOKUP(C303,'CEDARS School FRPL'!C:H,6,FALSE),"No")</f>
        <v>No</v>
      </c>
      <c r="O303" s="147"/>
      <c r="P303" s="148"/>
    </row>
    <row r="304" spans="1:16">
      <c r="A304" s="95" t="s">
        <v>2405</v>
      </c>
      <c r="B304" s="95" t="s">
        <v>1173</v>
      </c>
      <c r="C304" s="4">
        <v>2166</v>
      </c>
      <c r="D304" s="95" t="s">
        <v>1174</v>
      </c>
      <c r="E304" s="145">
        <v>880.32</v>
      </c>
      <c r="F304" s="145">
        <v>59.05</v>
      </c>
      <c r="G304" s="145">
        <v>9.14</v>
      </c>
      <c r="H304" s="145">
        <v>0</v>
      </c>
      <c r="I304" s="77">
        <f t="shared" si="7"/>
        <v>948.51</v>
      </c>
      <c r="J304" s="123" t="str">
        <f>IFERROR(VLOOKUP($C304,'CEDARS School FRPL'!C:H,4,FALSE),"No")</f>
        <v>Yes</v>
      </c>
      <c r="K304" s="109"/>
      <c r="L304" s="109"/>
      <c r="M304" s="110">
        <f>IFERROR(VLOOKUP($C304,'CEDARS School FRPL'!C:H,3,FALSE),0)</f>
        <v>0.71523333333333339</v>
      </c>
      <c r="N304" s="123" t="str">
        <f>IFERROR(VLOOKUP(C304,'CEDARS School FRPL'!C:H,6,FALSE),"No")</f>
        <v>No</v>
      </c>
      <c r="O304" s="147"/>
      <c r="P304" s="148"/>
    </row>
    <row r="305" spans="1:16">
      <c r="A305" s="95" t="s">
        <v>2405</v>
      </c>
      <c r="B305" s="95" t="s">
        <v>1173</v>
      </c>
      <c r="C305" s="4">
        <v>2244</v>
      </c>
      <c r="D305" s="95" t="s">
        <v>1175</v>
      </c>
      <c r="E305" s="145">
        <v>281.93</v>
      </c>
      <c r="F305" s="145">
        <v>0</v>
      </c>
      <c r="G305" s="145">
        <v>0</v>
      </c>
      <c r="H305" s="145">
        <v>0</v>
      </c>
      <c r="I305" s="77">
        <f t="shared" si="7"/>
        <v>281.93</v>
      </c>
      <c r="J305" s="123" t="str">
        <f>IFERROR(VLOOKUP($C305,'CEDARS School FRPL'!C:H,4,FALSE),"No")</f>
        <v>Yes</v>
      </c>
      <c r="K305" s="109"/>
      <c r="L305" s="109"/>
      <c r="M305" s="110">
        <f>IFERROR(VLOOKUP($C305,'CEDARS School FRPL'!C:H,3,FALSE),0)</f>
        <v>0.73333333333333339</v>
      </c>
      <c r="N305" s="123" t="str">
        <f>IFERROR(VLOOKUP(C305,'CEDARS School FRPL'!C:H,6,FALSE),"No")</f>
        <v>No</v>
      </c>
      <c r="O305" s="147"/>
      <c r="P305" s="148"/>
    </row>
    <row r="306" spans="1:16">
      <c r="A306" s="95" t="s">
        <v>2405</v>
      </c>
      <c r="B306" s="95" t="s">
        <v>1173</v>
      </c>
      <c r="C306" s="4">
        <v>2291</v>
      </c>
      <c r="D306" s="95" t="s">
        <v>1176</v>
      </c>
      <c r="E306" s="145">
        <v>359</v>
      </c>
      <c r="F306" s="145">
        <v>0</v>
      </c>
      <c r="G306" s="145">
        <v>0</v>
      </c>
      <c r="H306" s="145">
        <v>0</v>
      </c>
      <c r="I306" s="77">
        <f t="shared" si="7"/>
        <v>359</v>
      </c>
      <c r="J306" s="123" t="str">
        <f>IFERROR(VLOOKUP($C306,'CEDARS School FRPL'!C:H,4,FALSE),"No")</f>
        <v>Yes</v>
      </c>
      <c r="K306" s="109"/>
      <c r="L306" s="109"/>
      <c r="M306" s="110">
        <f>IFERROR(VLOOKUP($C306,'CEDARS School FRPL'!C:H,3,FALSE),0)</f>
        <v>0.8363666666666667</v>
      </c>
      <c r="N306" s="123" t="str">
        <f>IFERROR(VLOOKUP(C306,'CEDARS School FRPL'!C:H,6,FALSE),"No")</f>
        <v>No</v>
      </c>
      <c r="O306" s="147"/>
      <c r="P306" s="148"/>
    </row>
    <row r="307" spans="1:16">
      <c r="A307" s="95" t="s">
        <v>2405</v>
      </c>
      <c r="B307" s="95" t="s">
        <v>1173</v>
      </c>
      <c r="C307" s="4">
        <v>2704</v>
      </c>
      <c r="D307" s="95" t="s">
        <v>1177</v>
      </c>
      <c r="E307" s="145">
        <v>438.71</v>
      </c>
      <c r="F307" s="145">
        <v>0</v>
      </c>
      <c r="G307" s="145">
        <v>0</v>
      </c>
      <c r="H307" s="145">
        <v>0</v>
      </c>
      <c r="I307" s="77">
        <f t="shared" si="7"/>
        <v>438.71</v>
      </c>
      <c r="J307" s="123" t="str">
        <f>IFERROR(VLOOKUP($C307,'CEDARS School FRPL'!C:H,4,FALSE),"No")</f>
        <v>Yes</v>
      </c>
      <c r="K307" s="109"/>
      <c r="L307" s="109"/>
      <c r="M307" s="110">
        <f>IFERROR(VLOOKUP($C307,'CEDARS School FRPL'!C:H,3,FALSE),0)</f>
        <v>0.74126666666666663</v>
      </c>
      <c r="N307" s="123" t="str">
        <f>IFERROR(VLOOKUP(C307,'CEDARS School FRPL'!C:H,6,FALSE),"No")</f>
        <v>No</v>
      </c>
      <c r="O307" s="147"/>
      <c r="P307" s="148"/>
    </row>
    <row r="308" spans="1:16">
      <c r="A308" s="95" t="s">
        <v>2405</v>
      </c>
      <c r="B308" s="95" t="s">
        <v>1173</v>
      </c>
      <c r="C308" s="4">
        <v>2768</v>
      </c>
      <c r="D308" s="95" t="s">
        <v>40</v>
      </c>
      <c r="E308" s="145">
        <v>337.14</v>
      </c>
      <c r="F308" s="145">
        <v>0</v>
      </c>
      <c r="G308" s="145">
        <v>0</v>
      </c>
      <c r="H308" s="145">
        <v>0</v>
      </c>
      <c r="I308" s="77">
        <f t="shared" si="7"/>
        <v>337.14</v>
      </c>
      <c r="J308" s="123" t="str">
        <f>IFERROR(VLOOKUP($C308,'CEDARS School FRPL'!C:H,4,FALSE),"No")</f>
        <v>Yes</v>
      </c>
      <c r="K308" s="109"/>
      <c r="L308" s="109"/>
      <c r="M308" s="110">
        <f>IFERROR(VLOOKUP($C308,'CEDARS School FRPL'!C:H,3,FALSE),0)</f>
        <v>0.86193333333333333</v>
      </c>
      <c r="N308" s="123" t="str">
        <f>IFERROR(VLOOKUP(C308,'CEDARS School FRPL'!C:H,6,FALSE),"No")</f>
        <v>No</v>
      </c>
      <c r="O308" s="147"/>
      <c r="P308" s="148"/>
    </row>
    <row r="309" spans="1:16">
      <c r="A309" s="95" t="s">
        <v>2405</v>
      </c>
      <c r="B309" s="95" t="s">
        <v>1173</v>
      </c>
      <c r="C309" s="4">
        <v>3172</v>
      </c>
      <c r="D309" s="95" t="s">
        <v>1178</v>
      </c>
      <c r="E309" s="145">
        <v>430.15</v>
      </c>
      <c r="F309" s="145">
        <v>0</v>
      </c>
      <c r="G309" s="145">
        <v>0</v>
      </c>
      <c r="H309" s="145">
        <v>0</v>
      </c>
      <c r="I309" s="77">
        <f t="shared" si="7"/>
        <v>430.15</v>
      </c>
      <c r="J309" s="123" t="str">
        <f>IFERROR(VLOOKUP($C309,'CEDARS School FRPL'!C:H,4,FALSE),"No")</f>
        <v>Yes</v>
      </c>
      <c r="K309" s="109"/>
      <c r="L309" s="109"/>
      <c r="M309" s="110">
        <f>IFERROR(VLOOKUP($C309,'CEDARS School FRPL'!C:H,3,FALSE),0)</f>
        <v>0.8450333333333333</v>
      </c>
      <c r="N309" s="123" t="str">
        <f>IFERROR(VLOOKUP(C309,'CEDARS School FRPL'!C:H,6,FALSE),"No")</f>
        <v>No</v>
      </c>
      <c r="O309" s="147"/>
      <c r="P309" s="148"/>
    </row>
    <row r="310" spans="1:16">
      <c r="A310" s="95" t="s">
        <v>2405</v>
      </c>
      <c r="B310" s="95" t="s">
        <v>1173</v>
      </c>
      <c r="C310" s="4">
        <v>3240</v>
      </c>
      <c r="D310" s="95" t="s">
        <v>1179</v>
      </c>
      <c r="E310" s="145">
        <v>518.02</v>
      </c>
      <c r="F310" s="145">
        <v>0</v>
      </c>
      <c r="G310" s="145">
        <v>0</v>
      </c>
      <c r="H310" s="145">
        <v>0</v>
      </c>
      <c r="I310" s="77">
        <f t="shared" si="7"/>
        <v>518.02</v>
      </c>
      <c r="J310" s="123" t="str">
        <f>IFERROR(VLOOKUP($C310,'CEDARS School FRPL'!C:H,4,FALSE),"No")</f>
        <v>Yes</v>
      </c>
      <c r="K310" s="109"/>
      <c r="L310" s="109"/>
      <c r="M310" s="110">
        <f>IFERROR(VLOOKUP($C310,'CEDARS School FRPL'!C:H,3,FALSE),0)</f>
        <v>0.78893333333333349</v>
      </c>
      <c r="N310" s="123" t="str">
        <f>IFERROR(VLOOKUP(C310,'CEDARS School FRPL'!C:H,6,FALSE),"No")</f>
        <v>No</v>
      </c>
      <c r="O310" s="147"/>
      <c r="P310" s="148"/>
    </row>
    <row r="311" spans="1:16">
      <c r="A311" s="95" t="s">
        <v>2405</v>
      </c>
      <c r="B311" s="95" t="s">
        <v>1173</v>
      </c>
      <c r="C311" s="4">
        <v>5359</v>
      </c>
      <c r="D311" s="95" t="s">
        <v>1180</v>
      </c>
      <c r="E311" s="145">
        <v>52.07</v>
      </c>
      <c r="F311" s="145">
        <v>0.28000000000000003</v>
      </c>
      <c r="G311" s="145">
        <v>0</v>
      </c>
      <c r="H311" s="145">
        <v>0</v>
      </c>
      <c r="I311" s="77">
        <f t="shared" si="7"/>
        <v>52.35</v>
      </c>
      <c r="J311" s="123" t="str">
        <f>IFERROR(VLOOKUP($C311,'CEDARS School FRPL'!C:H,4,FALSE),"No")</f>
        <v>Yes</v>
      </c>
      <c r="K311" s="109"/>
      <c r="L311" s="109"/>
      <c r="M311" s="110">
        <f>IFERROR(VLOOKUP($C311,'CEDARS School FRPL'!C:H,3,FALSE),0)</f>
        <v>0.75326666666666664</v>
      </c>
      <c r="N311" s="123" t="str">
        <f>IFERROR(VLOOKUP(C311,'CEDARS School FRPL'!C:H,6,FALSE),"No")</f>
        <v>No</v>
      </c>
      <c r="O311" s="147"/>
      <c r="P311" s="148"/>
    </row>
    <row r="312" spans="1:16">
      <c r="A312" s="95" t="s">
        <v>2403</v>
      </c>
      <c r="B312" s="95" t="s">
        <v>1166</v>
      </c>
      <c r="C312" s="4">
        <v>2799</v>
      </c>
      <c r="D312" s="95" t="s">
        <v>1167</v>
      </c>
      <c r="E312" s="145">
        <v>859.4</v>
      </c>
      <c r="F312" s="145">
        <v>81.48</v>
      </c>
      <c r="G312" s="145">
        <v>5.86</v>
      </c>
      <c r="H312" s="145">
        <v>0</v>
      </c>
      <c r="I312" s="77">
        <f t="shared" si="7"/>
        <v>946.74</v>
      </c>
      <c r="J312" s="123" t="str">
        <f>IFERROR(VLOOKUP($C312,'CEDARS School FRPL'!C:H,4,FALSE),"No")</f>
        <v>No</v>
      </c>
      <c r="K312" s="109"/>
      <c r="L312" s="109"/>
      <c r="M312" s="110">
        <f>IFERROR(VLOOKUP($C312,'CEDARS School FRPL'!C:H,3,FALSE),0)</f>
        <v>0.37713333333333332</v>
      </c>
      <c r="N312" s="123" t="str">
        <f>IFERROR(VLOOKUP(C312,'CEDARS School FRPL'!C:H,6,FALSE),"No")</f>
        <v>No</v>
      </c>
      <c r="O312" s="147"/>
      <c r="P312" s="148"/>
    </row>
    <row r="313" spans="1:16">
      <c r="A313" s="95" t="s">
        <v>2403</v>
      </c>
      <c r="B313" s="95" t="s">
        <v>1166</v>
      </c>
      <c r="C313" s="4">
        <v>4311</v>
      </c>
      <c r="D313" s="95" t="s">
        <v>1168</v>
      </c>
      <c r="E313" s="145">
        <v>635.76</v>
      </c>
      <c r="F313" s="145">
        <v>0</v>
      </c>
      <c r="G313" s="145">
        <v>0</v>
      </c>
      <c r="H313" s="145">
        <v>0</v>
      </c>
      <c r="I313" s="77">
        <f t="shared" si="7"/>
        <v>635.76</v>
      </c>
      <c r="J313" s="123" t="str">
        <f>IFERROR(VLOOKUP($C313,'CEDARS School FRPL'!C:H,4,FALSE),"No")</f>
        <v>No</v>
      </c>
      <c r="K313" s="109"/>
      <c r="L313" s="109"/>
      <c r="M313" s="110">
        <f>IFERROR(VLOOKUP($C313,'CEDARS School FRPL'!C:H,3,FALSE),0)</f>
        <v>0.4709666666666667</v>
      </c>
      <c r="N313" s="123" t="str">
        <f>IFERROR(VLOOKUP(C313,'CEDARS School FRPL'!C:H,6,FALSE),"No")</f>
        <v>No</v>
      </c>
      <c r="O313" s="147"/>
      <c r="P313" s="148"/>
    </row>
    <row r="314" spans="1:16">
      <c r="A314" s="95" t="s">
        <v>2403</v>
      </c>
      <c r="B314" s="95" t="s">
        <v>1166</v>
      </c>
      <c r="C314" s="4">
        <v>5369</v>
      </c>
      <c r="D314" s="95" t="s">
        <v>1169</v>
      </c>
      <c r="E314" s="145">
        <v>29.12</v>
      </c>
      <c r="F314" s="145">
        <v>0</v>
      </c>
      <c r="G314" s="145">
        <v>0</v>
      </c>
      <c r="H314" s="145">
        <v>0</v>
      </c>
      <c r="I314" s="77">
        <f t="shared" si="7"/>
        <v>29.12</v>
      </c>
      <c r="J314" s="123" t="str">
        <f>IFERROR(VLOOKUP($C314,'CEDARS School FRPL'!C:H,4,FALSE),"No")</f>
        <v>Yes</v>
      </c>
      <c r="K314" s="109"/>
      <c r="L314" s="109"/>
      <c r="M314" s="110">
        <f>IFERROR(VLOOKUP($C314,'CEDARS School FRPL'!C:H,3,FALSE),0)</f>
        <v>0.78683333333333338</v>
      </c>
      <c r="N314" s="123" t="str">
        <f>IFERROR(VLOOKUP(C314,'CEDARS School FRPL'!C:H,6,FALSE),"No")</f>
        <v>No</v>
      </c>
      <c r="O314" s="147"/>
      <c r="P314" s="148"/>
    </row>
    <row r="315" spans="1:16">
      <c r="A315" s="95" t="s">
        <v>2403</v>
      </c>
      <c r="B315" s="95" t="s">
        <v>1166</v>
      </c>
      <c r="C315" s="4">
        <v>5509</v>
      </c>
      <c r="D315" s="95" t="s">
        <v>2796</v>
      </c>
      <c r="E315" s="145">
        <v>601.29</v>
      </c>
      <c r="F315" s="145">
        <v>0</v>
      </c>
      <c r="G315" s="145">
        <v>0</v>
      </c>
      <c r="H315" s="145">
        <v>0</v>
      </c>
      <c r="I315" s="77">
        <f t="shared" si="7"/>
        <v>601.29</v>
      </c>
      <c r="J315" s="123" t="str">
        <f>IFERROR(VLOOKUP($C315,'CEDARS School FRPL'!C:H,4,FALSE),"No")</f>
        <v>No</v>
      </c>
      <c r="K315" s="109"/>
      <c r="L315" s="109"/>
      <c r="M315" s="110">
        <f>IFERROR(VLOOKUP($C315,'CEDARS School FRPL'!C:H,3,FALSE),0)</f>
        <v>0.48943333333333333</v>
      </c>
      <c r="N315" s="123" t="str">
        <f>IFERROR(VLOOKUP(C315,'CEDARS School FRPL'!C:H,6,FALSE),"No")</f>
        <v>Yes</v>
      </c>
      <c r="O315" s="147"/>
      <c r="P315" s="148"/>
    </row>
    <row r="316" spans="1:16">
      <c r="A316" s="95" t="s">
        <v>2403</v>
      </c>
      <c r="B316" s="95" t="s">
        <v>1166</v>
      </c>
      <c r="C316" s="4">
        <v>5510</v>
      </c>
      <c r="D316" s="95" t="s">
        <v>2797</v>
      </c>
      <c r="E316" s="145">
        <v>626.80999999999995</v>
      </c>
      <c r="F316" s="145">
        <v>0</v>
      </c>
      <c r="G316" s="145">
        <v>0</v>
      </c>
      <c r="H316" s="145">
        <v>0</v>
      </c>
      <c r="I316" s="77">
        <f t="shared" si="7"/>
        <v>626.80999999999995</v>
      </c>
      <c r="J316" s="123" t="str">
        <f>IFERROR(VLOOKUP($C316,'CEDARS School FRPL'!C:H,4,FALSE),"No")</f>
        <v>Yes</v>
      </c>
      <c r="K316" s="109"/>
      <c r="L316" s="109"/>
      <c r="M316" s="110">
        <f>IFERROR(VLOOKUP($C316,'CEDARS School FRPL'!C:H,3,FALSE),0)</f>
        <v>0.50416666666666654</v>
      </c>
      <c r="N316" s="123" t="str">
        <f>IFERROR(VLOOKUP(C316,'CEDARS School FRPL'!C:H,6,FALSE),"No")</f>
        <v>No</v>
      </c>
      <c r="O316" s="147"/>
      <c r="P316" s="148"/>
    </row>
    <row r="317" spans="1:16">
      <c r="A317" s="95" t="s">
        <v>2494</v>
      </c>
      <c r="B317" s="95" t="s">
        <v>1875</v>
      </c>
      <c r="C317" s="4">
        <v>1769</v>
      </c>
      <c r="D317" s="95" t="s">
        <v>1876</v>
      </c>
      <c r="E317" s="145">
        <v>105.78</v>
      </c>
      <c r="F317" s="145">
        <v>0</v>
      </c>
      <c r="G317" s="145">
        <v>0</v>
      </c>
      <c r="H317" s="145">
        <v>0</v>
      </c>
      <c r="I317" s="77">
        <f t="shared" si="7"/>
        <v>105.78</v>
      </c>
      <c r="J317" s="123" t="str">
        <f>IFERROR(VLOOKUP($C317,'CEDARS School FRPL'!C:H,4,FALSE),"No")</f>
        <v>Yes</v>
      </c>
      <c r="K317" s="107"/>
      <c r="L317" s="107"/>
      <c r="M317" s="110">
        <f>IFERROR(VLOOKUP($C317,'CEDARS School FRPL'!C:H,3,FALSE),0)</f>
        <v>0.73473333333333335</v>
      </c>
      <c r="N317" s="123" t="str">
        <f>IFERROR(VLOOKUP(C317,'CEDARS School FRPL'!C:H,6,FALSE),"No")</f>
        <v>No</v>
      </c>
      <c r="O317" s="147"/>
      <c r="P317" s="148"/>
    </row>
    <row r="318" spans="1:16">
      <c r="A318" s="95" t="s">
        <v>2494</v>
      </c>
      <c r="B318" s="95" t="s">
        <v>1875</v>
      </c>
      <c r="C318" s="4">
        <v>2447</v>
      </c>
      <c r="D318" s="95" t="s">
        <v>1877</v>
      </c>
      <c r="E318" s="145">
        <v>623.96</v>
      </c>
      <c r="F318" s="145">
        <v>0</v>
      </c>
      <c r="G318" s="145">
        <v>0</v>
      </c>
      <c r="H318" s="145">
        <v>0</v>
      </c>
      <c r="I318" s="77">
        <f t="shared" si="7"/>
        <v>623.96</v>
      </c>
      <c r="J318" s="123" t="str">
        <f>IFERROR(VLOOKUP($C318,'CEDARS School FRPL'!C:H,4,FALSE),"No")</f>
        <v>No</v>
      </c>
      <c r="K318" s="109"/>
      <c r="L318" s="109"/>
      <c r="M318" s="110">
        <f>IFERROR(VLOOKUP($C318,'CEDARS School FRPL'!C:H,3,FALSE),0)</f>
        <v>0.48083333333333339</v>
      </c>
      <c r="N318" s="123" t="str">
        <f>IFERROR(VLOOKUP(C318,'CEDARS School FRPL'!C:H,6,FALSE),"No")</f>
        <v>No</v>
      </c>
      <c r="O318" s="147"/>
      <c r="P318" s="148"/>
    </row>
    <row r="319" spans="1:16">
      <c r="A319" s="95" t="s">
        <v>2494</v>
      </c>
      <c r="B319" s="95" t="s">
        <v>1875</v>
      </c>
      <c r="C319" s="4">
        <v>2814</v>
      </c>
      <c r="D319" s="95" t="s">
        <v>850</v>
      </c>
      <c r="E319" s="145">
        <v>522.29</v>
      </c>
      <c r="F319" s="145">
        <v>0</v>
      </c>
      <c r="G319" s="145">
        <v>0</v>
      </c>
      <c r="H319" s="145">
        <v>0</v>
      </c>
      <c r="I319" s="77">
        <f t="shared" si="7"/>
        <v>522.29</v>
      </c>
      <c r="J319" s="123" t="str">
        <f>IFERROR(VLOOKUP($C319,'CEDARS School FRPL'!C:H,4,FALSE),"No")</f>
        <v>Yes</v>
      </c>
      <c r="K319" s="109"/>
      <c r="L319" s="109"/>
      <c r="M319" s="110">
        <f>IFERROR(VLOOKUP($C319,'CEDARS School FRPL'!C:H,3,FALSE),0)</f>
        <v>0.68396666666666661</v>
      </c>
      <c r="N319" s="123" t="str">
        <f>IFERROR(VLOOKUP(C319,'CEDARS School FRPL'!C:H,6,FALSE),"No")</f>
        <v>No</v>
      </c>
      <c r="O319" s="147"/>
      <c r="P319" s="148"/>
    </row>
    <row r="320" spans="1:16">
      <c r="A320" s="95" t="s">
        <v>2494</v>
      </c>
      <c r="B320" s="95" t="s">
        <v>1875</v>
      </c>
      <c r="C320" s="4">
        <v>2954</v>
      </c>
      <c r="D320" s="95" t="s">
        <v>1878</v>
      </c>
      <c r="E320" s="145">
        <v>452</v>
      </c>
      <c r="F320" s="145">
        <v>0</v>
      </c>
      <c r="G320" s="145">
        <v>0</v>
      </c>
      <c r="H320" s="145">
        <v>0</v>
      </c>
      <c r="I320" s="77">
        <f t="shared" si="7"/>
        <v>452</v>
      </c>
      <c r="J320" s="123" t="str">
        <f>IFERROR(VLOOKUP($C320,'CEDARS School FRPL'!C:H,4,FALSE),"No")</f>
        <v>No</v>
      </c>
      <c r="K320" s="109"/>
      <c r="L320" s="109"/>
      <c r="M320" s="110">
        <f>IFERROR(VLOOKUP($C320,'CEDARS School FRPL'!C:H,3,FALSE),0)</f>
        <v>0.45290000000000002</v>
      </c>
      <c r="N320" s="123" t="str">
        <f>IFERROR(VLOOKUP(C320,'CEDARS School FRPL'!C:H,6,FALSE),"No")</f>
        <v>No</v>
      </c>
      <c r="O320" s="147"/>
      <c r="P320" s="148"/>
    </row>
    <row r="321" spans="1:16">
      <c r="A321" s="95" t="s">
        <v>2494</v>
      </c>
      <c r="B321" s="95" t="s">
        <v>1875</v>
      </c>
      <c r="C321" s="4">
        <v>3309</v>
      </c>
      <c r="D321" s="95" t="s">
        <v>1879</v>
      </c>
      <c r="E321" s="145">
        <v>526.29</v>
      </c>
      <c r="F321" s="145">
        <v>0</v>
      </c>
      <c r="G321" s="145">
        <v>0</v>
      </c>
      <c r="H321" s="145">
        <v>0</v>
      </c>
      <c r="I321" s="77">
        <f t="shared" si="7"/>
        <v>526.29</v>
      </c>
      <c r="J321" s="123" t="str">
        <f>IFERROR(VLOOKUP($C321,'CEDARS School FRPL'!C:H,4,FALSE),"No")</f>
        <v>No</v>
      </c>
      <c r="K321" s="109"/>
      <c r="L321" s="109"/>
      <c r="M321" s="110">
        <f>IFERROR(VLOOKUP($C321,'CEDARS School FRPL'!C:H,3,FALSE),0)</f>
        <v>0.36103333333333332</v>
      </c>
      <c r="N321" s="123" t="str">
        <f>IFERROR(VLOOKUP(C321,'CEDARS School FRPL'!C:H,6,FALSE),"No")</f>
        <v>No</v>
      </c>
      <c r="O321" s="147"/>
      <c r="P321" s="148"/>
    </row>
    <row r="322" spans="1:16">
      <c r="A322" s="95" t="s">
        <v>2494</v>
      </c>
      <c r="B322" s="95" t="s">
        <v>1875</v>
      </c>
      <c r="C322" s="4">
        <v>3610</v>
      </c>
      <c r="D322" s="95" t="s">
        <v>1880</v>
      </c>
      <c r="E322" s="145">
        <v>1310.57</v>
      </c>
      <c r="F322" s="145">
        <v>97.49</v>
      </c>
      <c r="G322" s="145">
        <v>0</v>
      </c>
      <c r="H322" s="145">
        <v>0</v>
      </c>
      <c r="I322" s="77">
        <f t="shared" si="7"/>
        <v>1408.06</v>
      </c>
      <c r="J322" s="123" t="str">
        <f>IFERROR(VLOOKUP($C322,'CEDARS School FRPL'!C:H,4,FALSE),"No")</f>
        <v>No</v>
      </c>
      <c r="K322" s="109"/>
      <c r="L322" s="109"/>
      <c r="M322" s="110">
        <f>IFERROR(VLOOKUP($C322,'CEDARS School FRPL'!C:H,3,FALSE),0)</f>
        <v>0.41303333333333336</v>
      </c>
      <c r="N322" s="123" t="str">
        <f>IFERROR(VLOOKUP(C322,'CEDARS School FRPL'!C:H,6,FALSE),"No")</f>
        <v>No</v>
      </c>
      <c r="O322" s="147"/>
      <c r="P322" s="148"/>
    </row>
    <row r="323" spans="1:16">
      <c r="A323" s="95" t="s">
        <v>2494</v>
      </c>
      <c r="B323" s="95" t="s">
        <v>1875</v>
      </c>
      <c r="C323" s="4">
        <v>3761</v>
      </c>
      <c r="D323" s="95" t="s">
        <v>1881</v>
      </c>
      <c r="E323" s="145">
        <v>318.61</v>
      </c>
      <c r="F323" s="145">
        <v>0</v>
      </c>
      <c r="G323" s="145">
        <v>0</v>
      </c>
      <c r="H323" s="145">
        <v>0</v>
      </c>
      <c r="I323" s="77">
        <f t="shared" si="7"/>
        <v>318.61</v>
      </c>
      <c r="J323" s="123" t="str">
        <f>IFERROR(VLOOKUP($C323,'CEDARS School FRPL'!C:H,4,FALSE),"No")</f>
        <v>Yes</v>
      </c>
      <c r="K323" s="109"/>
      <c r="L323" s="109"/>
      <c r="M323" s="110">
        <f>IFERROR(VLOOKUP($C323,'CEDARS School FRPL'!C:H,3,FALSE),0)</f>
        <v>0.53726666666666667</v>
      </c>
      <c r="N323" s="123" t="str">
        <f>IFERROR(VLOOKUP(C323,'CEDARS School FRPL'!C:H,6,FALSE),"No")</f>
        <v>No</v>
      </c>
      <c r="O323" s="147"/>
      <c r="P323" s="148"/>
    </row>
    <row r="324" spans="1:16">
      <c r="A324" s="95" t="s">
        <v>2494</v>
      </c>
      <c r="B324" s="95" t="s">
        <v>1875</v>
      </c>
      <c r="C324" s="4">
        <v>5035</v>
      </c>
      <c r="D324" s="95" t="s">
        <v>1882</v>
      </c>
      <c r="E324" s="145">
        <v>204.05</v>
      </c>
      <c r="F324" s="145">
        <v>0</v>
      </c>
      <c r="G324" s="145">
        <v>0</v>
      </c>
      <c r="H324" s="145">
        <v>0</v>
      </c>
      <c r="I324" s="77">
        <f t="shared" ref="I324:I387" si="8">+E324+F324+G324+H324</f>
        <v>204.05</v>
      </c>
      <c r="J324" s="123" t="str">
        <f>IFERROR(VLOOKUP($C324,'CEDARS School FRPL'!C:H,4,FALSE),"No")</f>
        <v>No</v>
      </c>
      <c r="K324" s="109"/>
      <c r="L324" s="109"/>
      <c r="M324" s="110">
        <f>IFERROR(VLOOKUP($C324,'CEDARS School FRPL'!C:H,3,FALSE),0)</f>
        <v>0.37486666666666668</v>
      </c>
      <c r="N324" s="123" t="str">
        <f>IFERROR(VLOOKUP(C324,'CEDARS School FRPL'!C:H,6,FALSE),"No")</f>
        <v>No</v>
      </c>
      <c r="O324" s="147"/>
      <c r="P324" s="148"/>
    </row>
    <row r="325" spans="1:16">
      <c r="A325" s="95" t="s">
        <v>2494</v>
      </c>
      <c r="B325" s="95" t="s">
        <v>1875</v>
      </c>
      <c r="C325" s="4">
        <v>5269</v>
      </c>
      <c r="D325" s="95" t="s">
        <v>1883</v>
      </c>
      <c r="E325" s="145">
        <v>554.95000000000005</v>
      </c>
      <c r="F325" s="145">
        <v>0</v>
      </c>
      <c r="G325" s="145">
        <v>0</v>
      </c>
      <c r="H325" s="145">
        <v>0</v>
      </c>
      <c r="I325" s="77">
        <f t="shared" si="8"/>
        <v>554.95000000000005</v>
      </c>
      <c r="J325" s="123" t="str">
        <f>IFERROR(VLOOKUP($C325,'CEDARS School FRPL'!C:H,4,FALSE),"No")</f>
        <v>Yes</v>
      </c>
      <c r="K325" s="109"/>
      <c r="L325" s="109"/>
      <c r="M325" s="110">
        <f>IFERROR(VLOOKUP($C325,'CEDARS School FRPL'!C:H,3,FALSE),0)</f>
        <v>0.51123333333333332</v>
      </c>
      <c r="N325" s="123" t="str">
        <f>IFERROR(VLOOKUP(C325,'CEDARS School FRPL'!C:H,6,FALSE),"No")</f>
        <v>No</v>
      </c>
      <c r="O325" s="147"/>
      <c r="P325" s="148"/>
    </row>
    <row r="326" spans="1:16">
      <c r="A326" s="95" t="s">
        <v>2494</v>
      </c>
      <c r="B326" s="95" t="s">
        <v>1875</v>
      </c>
      <c r="C326" s="4">
        <v>5294</v>
      </c>
      <c r="D326" s="95" t="s">
        <v>1884</v>
      </c>
      <c r="E326" s="145">
        <v>437</v>
      </c>
      <c r="F326" s="145">
        <v>0</v>
      </c>
      <c r="G326" s="145">
        <v>0</v>
      </c>
      <c r="H326" s="145">
        <v>0</v>
      </c>
      <c r="I326" s="77">
        <f t="shared" si="8"/>
        <v>437</v>
      </c>
      <c r="J326" s="123" t="str">
        <f>IFERROR(VLOOKUP($C326,'CEDARS School FRPL'!C:H,4,FALSE),"No")</f>
        <v>No</v>
      </c>
      <c r="K326" s="109"/>
      <c r="L326" s="109"/>
      <c r="M326" s="110">
        <f>IFERROR(VLOOKUP($C326,'CEDARS School FRPL'!C:H,3,FALSE),0)</f>
        <v>0.43696666666666667</v>
      </c>
      <c r="N326" s="123" t="str">
        <f>IFERROR(VLOOKUP(C326,'CEDARS School FRPL'!C:H,6,FALSE),"No")</f>
        <v>No</v>
      </c>
      <c r="O326" s="147"/>
      <c r="P326" s="148"/>
    </row>
    <row r="327" spans="1:16">
      <c r="A327" s="95" t="s">
        <v>2494</v>
      </c>
      <c r="B327" s="95" t="s">
        <v>1875</v>
      </c>
      <c r="C327" s="4">
        <v>5396</v>
      </c>
      <c r="D327" s="95" t="s">
        <v>1885</v>
      </c>
      <c r="E327" s="145">
        <v>0</v>
      </c>
      <c r="F327" s="145">
        <v>0</v>
      </c>
      <c r="G327" s="145">
        <v>8.34</v>
      </c>
      <c r="H327" s="145">
        <v>0</v>
      </c>
      <c r="I327" s="77">
        <f t="shared" si="8"/>
        <v>8.34</v>
      </c>
      <c r="J327" s="123" t="str">
        <f>IFERROR(VLOOKUP($C327,'CEDARS School FRPL'!C:H,4,FALSE),"No")</f>
        <v>No</v>
      </c>
      <c r="K327" s="109"/>
      <c r="L327" s="109"/>
      <c r="M327" s="110">
        <f>IFERROR(VLOOKUP($C327,'CEDARS School FRPL'!C:H,3,FALSE),0)</f>
        <v>0.46666666666666662</v>
      </c>
      <c r="N327" s="123" t="str">
        <f>IFERROR(VLOOKUP(C327,'CEDARS School FRPL'!C:H,6,FALSE),"No")</f>
        <v>Yes</v>
      </c>
      <c r="O327" s="147"/>
      <c r="P327" s="148"/>
    </row>
    <row r="328" spans="1:16">
      <c r="A328" s="95" t="s">
        <v>2504</v>
      </c>
      <c r="B328" s="95" t="s">
        <v>1925</v>
      </c>
      <c r="C328" s="4">
        <v>1763</v>
      </c>
      <c r="D328" s="95" t="s">
        <v>2872</v>
      </c>
      <c r="E328" s="145">
        <v>120.66</v>
      </c>
      <c r="F328" s="145">
        <v>0</v>
      </c>
      <c r="G328" s="145">
        <v>0</v>
      </c>
      <c r="H328" s="145">
        <v>0</v>
      </c>
      <c r="I328" s="77">
        <f t="shared" si="8"/>
        <v>120.66</v>
      </c>
      <c r="J328" s="123" t="str">
        <f>IFERROR(VLOOKUP($C328,'CEDARS School FRPL'!C:H,4,FALSE),"No")</f>
        <v>Yes</v>
      </c>
      <c r="K328" s="109"/>
      <c r="L328" s="109"/>
      <c r="M328" s="110">
        <f>IFERROR(VLOOKUP($C328,'CEDARS School FRPL'!C:H,3,FALSE),0)</f>
        <v>0.54976666666666663</v>
      </c>
      <c r="N328" s="123" t="str">
        <f>IFERROR(VLOOKUP(C328,'CEDARS School FRPL'!C:H,6,FALSE),"No")</f>
        <v>No</v>
      </c>
      <c r="O328" s="147"/>
      <c r="P328" s="148"/>
    </row>
    <row r="329" spans="1:16">
      <c r="A329" s="95" t="s">
        <v>2504</v>
      </c>
      <c r="B329" s="95" t="s">
        <v>1925</v>
      </c>
      <c r="C329" s="4">
        <v>2404</v>
      </c>
      <c r="D329" s="95" t="s">
        <v>1926</v>
      </c>
      <c r="E329" s="145">
        <v>289.55</v>
      </c>
      <c r="F329" s="145">
        <v>23.57</v>
      </c>
      <c r="G329" s="145">
        <v>0</v>
      </c>
      <c r="H329" s="145">
        <v>0</v>
      </c>
      <c r="I329" s="77">
        <f t="shared" si="8"/>
        <v>313.12</v>
      </c>
      <c r="J329" s="123" t="str">
        <f>IFERROR(VLOOKUP($C329,'CEDARS School FRPL'!C:H,4,FALSE),"No")</f>
        <v>Yes</v>
      </c>
      <c r="K329" s="109"/>
      <c r="L329" s="109"/>
      <c r="M329" s="110">
        <f>IFERROR(VLOOKUP($C329,'CEDARS School FRPL'!C:H,3,FALSE),0)</f>
        <v>0.5014333333333334</v>
      </c>
      <c r="N329" s="123" t="str">
        <f>IFERROR(VLOOKUP(C329,'CEDARS School FRPL'!C:H,6,FALSE),"No")</f>
        <v>No</v>
      </c>
      <c r="O329" s="147"/>
      <c r="P329" s="148"/>
    </row>
    <row r="330" spans="1:16">
      <c r="A330" s="95" t="s">
        <v>2504</v>
      </c>
      <c r="B330" s="95" t="s">
        <v>1925</v>
      </c>
      <c r="C330" s="4">
        <v>2664</v>
      </c>
      <c r="D330" s="95" t="s">
        <v>1927</v>
      </c>
      <c r="E330" s="145">
        <v>320.14</v>
      </c>
      <c r="F330" s="145">
        <v>0</v>
      </c>
      <c r="G330" s="145">
        <v>0</v>
      </c>
      <c r="H330" s="145">
        <v>0</v>
      </c>
      <c r="I330" s="77">
        <f t="shared" si="8"/>
        <v>320.14</v>
      </c>
      <c r="J330" s="123" t="str">
        <f>IFERROR(VLOOKUP($C330,'CEDARS School FRPL'!C:H,4,FALSE),"No")</f>
        <v>Yes</v>
      </c>
      <c r="K330" s="109"/>
      <c r="L330" s="109"/>
      <c r="M330" s="110">
        <f>IFERROR(VLOOKUP($C330,'CEDARS School FRPL'!C:H,3,FALSE),0)</f>
        <v>0.60346666666666671</v>
      </c>
      <c r="N330" s="123" t="str">
        <f>IFERROR(VLOOKUP(C330,'CEDARS School FRPL'!C:H,6,FALSE),"No")</f>
        <v>No</v>
      </c>
      <c r="O330" s="147"/>
      <c r="P330" s="148"/>
    </row>
    <row r="331" spans="1:16">
      <c r="A331" s="95" t="s">
        <v>2504</v>
      </c>
      <c r="B331" s="95" t="s">
        <v>1925</v>
      </c>
      <c r="C331" s="4">
        <v>5523</v>
      </c>
      <c r="D331" s="95" t="s">
        <v>2798</v>
      </c>
      <c r="E331" s="145">
        <v>0</v>
      </c>
      <c r="F331" s="145">
        <v>0</v>
      </c>
      <c r="G331" s="145">
        <v>13.71</v>
      </c>
      <c r="H331" s="145">
        <v>0</v>
      </c>
      <c r="I331" s="77">
        <f t="shared" si="8"/>
        <v>13.71</v>
      </c>
      <c r="J331" s="123" t="str">
        <f>IFERROR(VLOOKUP($C331,'CEDARS School FRPL'!C:H,4,FALSE),"No")</f>
        <v>Yes</v>
      </c>
      <c r="K331" s="109"/>
      <c r="L331" s="109"/>
      <c r="M331" s="110">
        <f>IFERROR(VLOOKUP($C331,'CEDARS School FRPL'!C:H,3,FALSE),0)</f>
        <v>0.9035333333333333</v>
      </c>
      <c r="N331" s="123" t="str">
        <f>IFERROR(VLOOKUP(C331,'CEDARS School FRPL'!C:H,6,FALSE),"No")</f>
        <v>No</v>
      </c>
      <c r="O331" s="147"/>
      <c r="P331" s="148"/>
    </row>
    <row r="332" spans="1:16">
      <c r="A332" s="95" t="s">
        <v>2762</v>
      </c>
      <c r="B332" s="95" t="s">
        <v>2964</v>
      </c>
      <c r="C332" s="4">
        <v>5549</v>
      </c>
      <c r="D332" s="95" t="s">
        <v>1319</v>
      </c>
      <c r="E332" s="145">
        <v>579.46</v>
      </c>
      <c r="F332" s="145">
        <v>1.25</v>
      </c>
      <c r="G332" s="145">
        <v>0</v>
      </c>
      <c r="H332" s="145">
        <v>0</v>
      </c>
      <c r="I332" s="77">
        <f t="shared" si="8"/>
        <v>580.71</v>
      </c>
      <c r="J332" s="123" t="str">
        <f>IFERROR(VLOOKUP($C332,'CEDARS School FRPL'!C:H,4,FALSE),"No")</f>
        <v>Yes</v>
      </c>
      <c r="K332" s="109"/>
      <c r="L332" s="109"/>
      <c r="M332" s="110">
        <f>IFERROR(VLOOKUP($C332,'CEDARS School FRPL'!C:H,3,FALSE),0)</f>
        <v>0.54223333333333334</v>
      </c>
      <c r="N332" s="123" t="str">
        <f>IFERROR(VLOOKUP(C332,'CEDARS School FRPL'!C:H,6,FALSE),"No")</f>
        <v>No</v>
      </c>
      <c r="O332" s="147"/>
      <c r="P332" s="148"/>
    </row>
    <row r="333" spans="1:16">
      <c r="A333" s="95" t="s">
        <v>2346</v>
      </c>
      <c r="B333" s="95" t="s">
        <v>539</v>
      </c>
      <c r="C333" s="4">
        <v>1724</v>
      </c>
      <c r="D333" s="95" t="s">
        <v>540</v>
      </c>
      <c r="E333" s="145">
        <v>79.11</v>
      </c>
      <c r="F333" s="145">
        <v>0</v>
      </c>
      <c r="G333" s="145">
        <v>0</v>
      </c>
      <c r="H333" s="145">
        <v>0</v>
      </c>
      <c r="I333" s="77">
        <f t="shared" si="8"/>
        <v>79.11</v>
      </c>
      <c r="J333" s="123" t="str">
        <f>IFERROR(VLOOKUP($C333,'CEDARS School FRPL'!C:H,4,FALSE),"No")</f>
        <v>No</v>
      </c>
      <c r="K333" s="109"/>
      <c r="L333" s="109"/>
      <c r="M333" s="110">
        <f>IFERROR(VLOOKUP($C333,'CEDARS School FRPL'!C:H,3,FALSE),0)</f>
        <v>0.4680333333333333</v>
      </c>
      <c r="N333" s="123" t="str">
        <f>IFERROR(VLOOKUP(C333,'CEDARS School FRPL'!C:H,6,FALSE),"No")</f>
        <v>No</v>
      </c>
      <c r="O333" s="147"/>
      <c r="P333" s="148"/>
    </row>
    <row r="334" spans="1:16">
      <c r="A334" s="95" t="s">
        <v>2346</v>
      </c>
      <c r="B334" s="95" t="s">
        <v>539</v>
      </c>
      <c r="C334" s="4">
        <v>2697</v>
      </c>
      <c r="D334" s="95" t="s">
        <v>541</v>
      </c>
      <c r="E334" s="145">
        <v>186.29</v>
      </c>
      <c r="F334" s="145">
        <v>0</v>
      </c>
      <c r="G334" s="145">
        <v>0</v>
      </c>
      <c r="H334" s="145">
        <v>0</v>
      </c>
      <c r="I334" s="77">
        <f t="shared" si="8"/>
        <v>186.29</v>
      </c>
      <c r="J334" s="123" t="str">
        <f>IFERROR(VLOOKUP($C334,'CEDARS School FRPL'!C:H,4,FALSE),"No")</f>
        <v>Yes</v>
      </c>
      <c r="K334" s="109"/>
      <c r="L334" s="109"/>
      <c r="M334" s="110">
        <f>IFERROR(VLOOKUP($C334,'CEDARS School FRPL'!C:H,3,FALSE),0)</f>
        <v>0.55533333333333335</v>
      </c>
      <c r="N334" s="123" t="str">
        <f>IFERROR(VLOOKUP(C334,'CEDARS School FRPL'!C:H,6,FALSE),"No")</f>
        <v>No</v>
      </c>
      <c r="O334" s="147"/>
      <c r="P334" s="148"/>
    </row>
    <row r="335" spans="1:16">
      <c r="A335" s="95" t="s">
        <v>2346</v>
      </c>
      <c r="B335" s="95" t="s">
        <v>539</v>
      </c>
      <c r="C335" s="4">
        <v>3275</v>
      </c>
      <c r="D335" s="95" t="s">
        <v>2873</v>
      </c>
      <c r="E335" s="145">
        <v>257.27</v>
      </c>
      <c r="F335" s="145">
        <v>11.59</v>
      </c>
      <c r="G335" s="145">
        <v>0</v>
      </c>
      <c r="H335" s="145">
        <v>0</v>
      </c>
      <c r="I335" s="77">
        <f t="shared" si="8"/>
        <v>268.85999999999996</v>
      </c>
      <c r="J335" s="123" t="str">
        <f>IFERROR(VLOOKUP($C335,'CEDARS School FRPL'!C:H,4,FALSE),"No")</f>
        <v>No</v>
      </c>
      <c r="K335" s="109"/>
      <c r="L335" s="109"/>
      <c r="M335" s="110">
        <f>IFERROR(VLOOKUP($C335,'CEDARS School FRPL'!C:H,3,FALSE),0)</f>
        <v>0.46393333333333331</v>
      </c>
      <c r="N335" s="123" t="str">
        <f>IFERROR(VLOOKUP(C335,'CEDARS School FRPL'!C:H,6,FALSE),"No")</f>
        <v>No</v>
      </c>
      <c r="O335" s="147"/>
      <c r="P335" s="148"/>
    </row>
    <row r="336" spans="1:16">
      <c r="A336" s="95" t="s">
        <v>2346</v>
      </c>
      <c r="B336" s="95" t="s">
        <v>539</v>
      </c>
      <c r="C336" s="4">
        <v>4552</v>
      </c>
      <c r="D336" s="95" t="s">
        <v>542</v>
      </c>
      <c r="E336" s="145">
        <v>139.43</v>
      </c>
      <c r="F336" s="145">
        <v>0</v>
      </c>
      <c r="G336" s="145">
        <v>0</v>
      </c>
      <c r="H336" s="145">
        <v>0</v>
      </c>
      <c r="I336" s="77">
        <f t="shared" si="8"/>
        <v>139.43</v>
      </c>
      <c r="J336" s="123" t="str">
        <f>IFERROR(VLOOKUP($C336,'CEDARS School FRPL'!C:H,4,FALSE),"No")</f>
        <v>Yes</v>
      </c>
      <c r="K336" s="109"/>
      <c r="L336" s="109"/>
      <c r="M336" s="110">
        <f>IFERROR(VLOOKUP($C336,'CEDARS School FRPL'!C:H,3,FALSE),0)</f>
        <v>0.52013333333333334</v>
      </c>
      <c r="N336" s="123" t="str">
        <f>IFERROR(VLOOKUP(C336,'CEDARS School FRPL'!C:H,6,FALSE),"No")</f>
        <v>No</v>
      </c>
      <c r="O336" s="147"/>
      <c r="P336" s="148"/>
    </row>
    <row r="337" spans="1:16">
      <c r="A337" s="95" t="s">
        <v>2262</v>
      </c>
      <c r="B337" s="95" t="s">
        <v>20</v>
      </c>
      <c r="C337" s="4">
        <v>1617</v>
      </c>
      <c r="D337" s="95" t="s">
        <v>21</v>
      </c>
      <c r="E337" s="145">
        <v>96.3</v>
      </c>
      <c r="F337" s="145">
        <v>0</v>
      </c>
      <c r="G337" s="145">
        <v>0</v>
      </c>
      <c r="H337" s="145">
        <v>0</v>
      </c>
      <c r="I337" s="77">
        <f t="shared" si="8"/>
        <v>96.3</v>
      </c>
      <c r="J337" s="123" t="str">
        <f>IFERROR(VLOOKUP($C337,'CEDARS School FRPL'!C:H,4,FALSE),"No")</f>
        <v>Yes</v>
      </c>
      <c r="K337" s="109"/>
      <c r="L337" s="109"/>
      <c r="M337" s="110">
        <f>IFERROR(VLOOKUP($C337,'CEDARS School FRPL'!C:H,3,FALSE),0)</f>
        <v>0.76466666666666672</v>
      </c>
      <c r="N337" s="123" t="str">
        <f>IFERROR(VLOOKUP(C337,'CEDARS School FRPL'!C:H,6,FALSE),"No")</f>
        <v>No</v>
      </c>
      <c r="O337" s="147"/>
      <c r="P337" s="148"/>
    </row>
    <row r="338" spans="1:16">
      <c r="A338" s="95" t="s">
        <v>2262</v>
      </c>
      <c r="B338" s="95" t="s">
        <v>20</v>
      </c>
      <c r="C338" s="4">
        <v>2299</v>
      </c>
      <c r="D338" s="95" t="s">
        <v>22</v>
      </c>
      <c r="E338" s="145">
        <v>694.66</v>
      </c>
      <c r="F338" s="145">
        <v>28.07</v>
      </c>
      <c r="G338" s="145">
        <v>0</v>
      </c>
      <c r="H338" s="145">
        <v>0</v>
      </c>
      <c r="I338" s="77">
        <f t="shared" si="8"/>
        <v>722.73</v>
      </c>
      <c r="J338" s="123" t="str">
        <f>IFERROR(VLOOKUP($C338,'CEDARS School FRPL'!C:H,4,FALSE),"No")</f>
        <v>No</v>
      </c>
      <c r="K338" s="109"/>
      <c r="L338" s="109"/>
      <c r="M338" s="110">
        <f>IFERROR(VLOOKUP($C338,'CEDARS School FRPL'!C:H,3,FALSE),0)</f>
        <v>0.49426666666666663</v>
      </c>
      <c r="N338" s="123" t="str">
        <f>IFERROR(VLOOKUP(C338,'CEDARS School FRPL'!C:H,6,FALSE),"No")</f>
        <v>No</v>
      </c>
      <c r="O338" s="147"/>
      <c r="P338" s="148"/>
    </row>
    <row r="339" spans="1:16">
      <c r="A339" s="95" t="s">
        <v>2262</v>
      </c>
      <c r="B339" s="95" t="s">
        <v>20</v>
      </c>
      <c r="C339" s="4">
        <v>2501</v>
      </c>
      <c r="D339" s="95" t="s">
        <v>23</v>
      </c>
      <c r="E339" s="145">
        <v>311.39</v>
      </c>
      <c r="F339" s="145">
        <v>0</v>
      </c>
      <c r="G339" s="145">
        <v>0</v>
      </c>
      <c r="H339" s="145">
        <v>0</v>
      </c>
      <c r="I339" s="77">
        <f t="shared" si="8"/>
        <v>311.39</v>
      </c>
      <c r="J339" s="123" t="str">
        <f>IFERROR(VLOOKUP($C339,'CEDARS School FRPL'!C:H,4,FALSE),"No")</f>
        <v>Yes</v>
      </c>
      <c r="K339" s="109"/>
      <c r="L339" s="109"/>
      <c r="M339" s="110">
        <f>IFERROR(VLOOKUP($C339,'CEDARS School FRPL'!C:H,3,FALSE),0)</f>
        <v>0.58433333333333337</v>
      </c>
      <c r="N339" s="123" t="str">
        <f>IFERROR(VLOOKUP(C339,'CEDARS School FRPL'!C:H,6,FALSE),"No")</f>
        <v>No</v>
      </c>
      <c r="O339" s="147"/>
      <c r="P339" s="148"/>
    </row>
    <row r="340" spans="1:16">
      <c r="A340" s="95" t="s">
        <v>2262</v>
      </c>
      <c r="B340" s="95" t="s">
        <v>20</v>
      </c>
      <c r="C340" s="4">
        <v>2823</v>
      </c>
      <c r="D340" s="95" t="s">
        <v>24</v>
      </c>
      <c r="E340" s="145">
        <v>324.47000000000003</v>
      </c>
      <c r="F340" s="145">
        <v>0</v>
      </c>
      <c r="G340" s="145">
        <v>0</v>
      </c>
      <c r="H340" s="145">
        <v>0</v>
      </c>
      <c r="I340" s="77">
        <f t="shared" si="8"/>
        <v>324.47000000000003</v>
      </c>
      <c r="J340" s="123" t="str">
        <f>IFERROR(VLOOKUP($C340,'CEDARS School FRPL'!C:H,4,FALSE),"No")</f>
        <v>Yes</v>
      </c>
      <c r="K340" s="109"/>
      <c r="L340" s="109"/>
      <c r="M340" s="110">
        <f>IFERROR(VLOOKUP($C340,'CEDARS School FRPL'!C:H,3,FALSE),0)</f>
        <v>0.61030000000000006</v>
      </c>
      <c r="N340" s="123" t="str">
        <f>IFERROR(VLOOKUP(C340,'CEDARS School FRPL'!C:H,6,FALSE),"No")</f>
        <v>No</v>
      </c>
      <c r="O340" s="147"/>
      <c r="P340" s="148"/>
    </row>
    <row r="341" spans="1:16">
      <c r="A341" s="95" t="s">
        <v>2262</v>
      </c>
      <c r="B341" s="95" t="s">
        <v>20</v>
      </c>
      <c r="C341" s="4">
        <v>2962</v>
      </c>
      <c r="D341" s="95" t="s">
        <v>25</v>
      </c>
      <c r="E341" s="145">
        <v>279.79000000000002</v>
      </c>
      <c r="F341" s="145">
        <v>0</v>
      </c>
      <c r="G341" s="145">
        <v>0</v>
      </c>
      <c r="H341" s="145">
        <v>0</v>
      </c>
      <c r="I341" s="77">
        <f t="shared" si="8"/>
        <v>279.79000000000002</v>
      </c>
      <c r="J341" s="123" t="str">
        <f>IFERROR(VLOOKUP($C341,'CEDARS School FRPL'!C:H,4,FALSE),"No")</f>
        <v>Yes</v>
      </c>
      <c r="K341" s="109"/>
      <c r="L341" s="109"/>
      <c r="M341" s="110">
        <f>IFERROR(VLOOKUP($C341,'CEDARS School FRPL'!C:H,3,FALSE),0)</f>
        <v>0.82436666666666669</v>
      </c>
      <c r="N341" s="123" t="str">
        <f>IFERROR(VLOOKUP(C341,'CEDARS School FRPL'!C:H,6,FALSE),"No")</f>
        <v>No</v>
      </c>
      <c r="O341" s="147"/>
      <c r="P341" s="148"/>
    </row>
    <row r="342" spans="1:16">
      <c r="A342" s="95" t="s">
        <v>2262</v>
      </c>
      <c r="B342" s="95" t="s">
        <v>20</v>
      </c>
      <c r="C342" s="4">
        <v>3266</v>
      </c>
      <c r="D342" s="95" t="s">
        <v>26</v>
      </c>
      <c r="E342" s="145">
        <v>255.81</v>
      </c>
      <c r="F342" s="145">
        <v>0</v>
      </c>
      <c r="G342" s="145">
        <v>0</v>
      </c>
      <c r="H342" s="145">
        <v>0</v>
      </c>
      <c r="I342" s="77">
        <f t="shared" si="8"/>
        <v>255.81</v>
      </c>
      <c r="J342" s="123" t="str">
        <f>IFERROR(VLOOKUP($C342,'CEDARS School FRPL'!C:H,4,FALSE),"No")</f>
        <v>Yes</v>
      </c>
      <c r="K342" s="109"/>
      <c r="L342" s="109"/>
      <c r="M342" s="110">
        <f>IFERROR(VLOOKUP($C342,'CEDARS School FRPL'!C:H,3,FALSE),0)</f>
        <v>0.70983333333333343</v>
      </c>
      <c r="N342" s="123" t="str">
        <f>IFERROR(VLOOKUP(C342,'CEDARS School FRPL'!C:H,6,FALSE),"No")</f>
        <v>No</v>
      </c>
      <c r="O342" s="147"/>
      <c r="P342" s="148"/>
    </row>
    <row r="343" spans="1:16">
      <c r="A343" s="95" t="s">
        <v>2262</v>
      </c>
      <c r="B343" s="95" t="s">
        <v>20</v>
      </c>
      <c r="C343" s="4">
        <v>3616</v>
      </c>
      <c r="D343" s="95" t="s">
        <v>27</v>
      </c>
      <c r="E343" s="145">
        <v>4.42</v>
      </c>
      <c r="F343" s="145">
        <v>0</v>
      </c>
      <c r="G343" s="145">
        <v>0</v>
      </c>
      <c r="H343" s="145">
        <v>0</v>
      </c>
      <c r="I343" s="77">
        <f t="shared" si="8"/>
        <v>4.42</v>
      </c>
      <c r="J343" s="123" t="str">
        <f>IFERROR(VLOOKUP($C343,'CEDARS School FRPL'!C:H,4,FALSE),"No")</f>
        <v>No</v>
      </c>
      <c r="K343" s="109"/>
      <c r="L343" s="109"/>
      <c r="M343" s="110">
        <f>IFERROR(VLOOKUP($C343,'CEDARS School FRPL'!C:H,3,FALSE),0)</f>
        <v>0.29009999999999997</v>
      </c>
      <c r="N343" s="123" t="str">
        <f>IFERROR(VLOOKUP(C343,'CEDARS School FRPL'!C:H,6,FALSE),"No")</f>
        <v>No</v>
      </c>
      <c r="O343" s="147"/>
      <c r="P343" s="148"/>
    </row>
    <row r="344" spans="1:16">
      <c r="A344" s="95" t="s">
        <v>2262</v>
      </c>
      <c r="B344" s="95" t="s">
        <v>20</v>
      </c>
      <c r="C344" s="4">
        <v>4384</v>
      </c>
      <c r="D344" s="95" t="s">
        <v>28</v>
      </c>
      <c r="E344" s="145">
        <v>354.24</v>
      </c>
      <c r="F344" s="145">
        <v>0</v>
      </c>
      <c r="G344" s="145">
        <v>0</v>
      </c>
      <c r="H344" s="145">
        <v>0</v>
      </c>
      <c r="I344" s="77">
        <f t="shared" si="8"/>
        <v>354.24</v>
      </c>
      <c r="J344" s="123" t="str">
        <f>IFERROR(VLOOKUP($C344,'CEDARS School FRPL'!C:H,4,FALSE),"No")</f>
        <v>No</v>
      </c>
      <c r="K344" s="109"/>
      <c r="L344" s="109"/>
      <c r="M344" s="110">
        <f>IFERROR(VLOOKUP($C344,'CEDARS School FRPL'!C:H,3,FALSE),0)</f>
        <v>0.31063333333333332</v>
      </c>
      <c r="N344" s="123" t="str">
        <f>IFERROR(VLOOKUP(C344,'CEDARS School FRPL'!C:H,6,FALSE),"No")</f>
        <v>No</v>
      </c>
      <c r="O344" s="147"/>
      <c r="P344" s="148"/>
    </row>
    <row r="345" spans="1:16">
      <c r="A345" s="95" t="s">
        <v>2262</v>
      </c>
      <c r="B345" s="95" t="s">
        <v>20</v>
      </c>
      <c r="C345" s="4">
        <v>5413</v>
      </c>
      <c r="D345" s="95" t="s">
        <v>29</v>
      </c>
      <c r="E345" s="145">
        <v>0</v>
      </c>
      <c r="F345" s="145">
        <v>0</v>
      </c>
      <c r="G345" s="145">
        <v>3.71</v>
      </c>
      <c r="H345" s="145">
        <v>0</v>
      </c>
      <c r="I345" s="77">
        <f t="shared" si="8"/>
        <v>3.71</v>
      </c>
      <c r="J345" s="123" t="str">
        <f>IFERROR(VLOOKUP($C345,'CEDARS School FRPL'!C:H,4,FALSE),"No")</f>
        <v>Yes</v>
      </c>
      <c r="K345" s="109"/>
      <c r="L345" s="109"/>
      <c r="M345" s="110">
        <f>IFERROR(VLOOKUP($C345,'CEDARS School FRPL'!C:H,3,FALSE),0)</f>
        <v>0.68076666666666663</v>
      </c>
      <c r="N345" s="123" t="str">
        <f>IFERROR(VLOOKUP(C345,'CEDARS School FRPL'!C:H,6,FALSE),"No")</f>
        <v>No</v>
      </c>
      <c r="O345" s="147"/>
      <c r="P345" s="148"/>
    </row>
    <row r="346" spans="1:16">
      <c r="A346" s="95" t="s">
        <v>2262</v>
      </c>
      <c r="B346" s="95" t="s">
        <v>20</v>
      </c>
      <c r="C346" s="4">
        <v>5644</v>
      </c>
      <c r="D346" s="95" t="s">
        <v>2874</v>
      </c>
      <c r="E346" s="145">
        <v>78.94</v>
      </c>
      <c r="F346" s="145">
        <v>0</v>
      </c>
      <c r="G346" s="145">
        <v>0</v>
      </c>
      <c r="H346" s="145">
        <v>0</v>
      </c>
      <c r="I346" s="77">
        <f t="shared" si="8"/>
        <v>78.94</v>
      </c>
      <c r="J346" s="123" t="str">
        <f>IFERROR(VLOOKUP($C346,'CEDARS School FRPL'!C:H,4,FALSE),"No")</f>
        <v>Yes</v>
      </c>
      <c r="K346" s="109"/>
      <c r="L346" s="109"/>
      <c r="M346" s="110">
        <f>IFERROR(VLOOKUP($C346,'CEDARS School FRPL'!C:H,3,FALSE),0)</f>
        <v>0.55295000000000005</v>
      </c>
      <c r="N346" s="123" t="str">
        <f>IFERROR(VLOOKUP(C346,'CEDARS School FRPL'!C:H,6,FALSE),"No")</f>
        <v>No</v>
      </c>
      <c r="O346" s="147"/>
      <c r="P346" s="148"/>
    </row>
    <row r="347" spans="1:16">
      <c r="A347" s="95" t="s">
        <v>2382</v>
      </c>
      <c r="B347" s="95" t="s">
        <v>1099</v>
      </c>
      <c r="C347" s="4">
        <v>1987</v>
      </c>
      <c r="D347" s="95" t="s">
        <v>1100</v>
      </c>
      <c r="E347" s="145">
        <v>22.66</v>
      </c>
      <c r="F347" s="145">
        <v>0</v>
      </c>
      <c r="G347" s="145">
        <v>0</v>
      </c>
      <c r="H347" s="145">
        <v>0</v>
      </c>
      <c r="I347" s="77">
        <f t="shared" si="8"/>
        <v>22.66</v>
      </c>
      <c r="J347" s="123" t="str">
        <f>IFERROR(VLOOKUP($C347,'CEDARS School FRPL'!C:H,4,FALSE),"No")</f>
        <v>Yes</v>
      </c>
      <c r="K347" s="109"/>
      <c r="L347" s="109"/>
      <c r="M347" s="110">
        <f>IFERROR(VLOOKUP($C347,'CEDARS School FRPL'!C:H,3,FALSE),0)</f>
        <v>0.61393333333333333</v>
      </c>
      <c r="N347" s="123" t="str">
        <f>IFERROR(VLOOKUP(C347,'CEDARS School FRPL'!C:H,6,FALSE),"No")</f>
        <v>No</v>
      </c>
      <c r="O347" s="147"/>
      <c r="P347" s="148"/>
    </row>
    <row r="348" spans="1:16">
      <c r="A348" s="95" t="s">
        <v>2382</v>
      </c>
      <c r="B348" s="95" t="s">
        <v>1099</v>
      </c>
      <c r="C348" s="4">
        <v>2328</v>
      </c>
      <c r="D348" s="95" t="s">
        <v>1101</v>
      </c>
      <c r="E348" s="145">
        <v>393.17</v>
      </c>
      <c r="F348" s="145">
        <v>0</v>
      </c>
      <c r="G348" s="145">
        <v>0</v>
      </c>
      <c r="H348" s="145">
        <v>0</v>
      </c>
      <c r="I348" s="77">
        <f t="shared" si="8"/>
        <v>393.17</v>
      </c>
      <c r="J348" s="123" t="str">
        <f>IFERROR(VLOOKUP($C348,'CEDARS School FRPL'!C:H,4,FALSE),"No")</f>
        <v>No</v>
      </c>
      <c r="K348" s="109"/>
      <c r="L348" s="109"/>
      <c r="M348" s="110">
        <f>IFERROR(VLOOKUP($C348,'CEDARS School FRPL'!C:H,3,FALSE),0)</f>
        <v>0.37893333333333334</v>
      </c>
      <c r="N348" s="123" t="str">
        <f>IFERROR(VLOOKUP(C348,'CEDARS School FRPL'!C:H,6,FALSE),"No")</f>
        <v>No</v>
      </c>
      <c r="O348" s="147"/>
      <c r="P348" s="148"/>
    </row>
    <row r="349" spans="1:16">
      <c r="A349" s="95" t="s">
        <v>2382</v>
      </c>
      <c r="B349" s="95" t="s">
        <v>1099</v>
      </c>
      <c r="C349" s="4">
        <v>2329</v>
      </c>
      <c r="D349" s="95" t="s">
        <v>1102</v>
      </c>
      <c r="E349" s="145">
        <v>226.34</v>
      </c>
      <c r="F349" s="145">
        <v>13.2</v>
      </c>
      <c r="G349" s="145">
        <v>0</v>
      </c>
      <c r="H349" s="145">
        <v>0</v>
      </c>
      <c r="I349" s="77">
        <f t="shared" si="8"/>
        <v>239.54</v>
      </c>
      <c r="J349" s="123" t="str">
        <f>IFERROR(VLOOKUP($C349,'CEDARS School FRPL'!C:H,4,FALSE),"No")</f>
        <v>No</v>
      </c>
      <c r="K349" s="109"/>
      <c r="L349" s="109"/>
      <c r="M349" s="110">
        <f>IFERROR(VLOOKUP($C349,'CEDARS School FRPL'!C:H,3,FALSE),0)</f>
        <v>0.33706666666666668</v>
      </c>
      <c r="N349" s="123" t="str">
        <f>IFERROR(VLOOKUP(C349,'CEDARS School FRPL'!C:H,6,FALSE),"No")</f>
        <v>No</v>
      </c>
      <c r="O349" s="147"/>
      <c r="P349" s="148"/>
    </row>
    <row r="350" spans="1:16">
      <c r="A350" s="95" t="s">
        <v>2382</v>
      </c>
      <c r="B350" s="95" t="s">
        <v>1099</v>
      </c>
      <c r="C350" s="4">
        <v>2570</v>
      </c>
      <c r="D350" s="95" t="s">
        <v>1103</v>
      </c>
      <c r="E350" s="145">
        <v>225.81</v>
      </c>
      <c r="F350" s="145">
        <v>0</v>
      </c>
      <c r="G350" s="145">
        <v>0</v>
      </c>
      <c r="H350" s="145">
        <v>0</v>
      </c>
      <c r="I350" s="77">
        <f t="shared" si="8"/>
        <v>225.81</v>
      </c>
      <c r="J350" s="123" t="str">
        <f>IFERROR(VLOOKUP($C350,'CEDARS School FRPL'!C:H,4,FALSE),"No")</f>
        <v>No</v>
      </c>
      <c r="K350" s="109"/>
      <c r="L350" s="109"/>
      <c r="M350" s="110">
        <f>IFERROR(VLOOKUP($C350,'CEDARS School FRPL'!C:H,3,FALSE),0)</f>
        <v>0.42643333333333339</v>
      </c>
      <c r="N350" s="123" t="str">
        <f>IFERROR(VLOOKUP(C350,'CEDARS School FRPL'!C:H,6,FALSE),"No")</f>
        <v>No</v>
      </c>
      <c r="O350" s="147"/>
      <c r="P350" s="148"/>
    </row>
    <row r="351" spans="1:16">
      <c r="A351" s="95" t="s">
        <v>2446</v>
      </c>
      <c r="B351" s="95" t="s">
        <v>1418</v>
      </c>
      <c r="C351" s="4">
        <v>1825</v>
      </c>
      <c r="D351" s="95" t="s">
        <v>1419</v>
      </c>
      <c r="E351" s="145">
        <v>20.86</v>
      </c>
      <c r="F351" s="145">
        <v>7.76</v>
      </c>
      <c r="G351" s="145">
        <v>0</v>
      </c>
      <c r="H351" s="145">
        <v>0</v>
      </c>
      <c r="I351" s="77">
        <f t="shared" si="8"/>
        <v>28.619999999999997</v>
      </c>
      <c r="J351" s="123" t="str">
        <f>IFERROR(VLOOKUP($C351,'CEDARS School FRPL'!C:H,4,FALSE),"No")</f>
        <v>Yes</v>
      </c>
      <c r="K351" s="109"/>
      <c r="L351" s="109"/>
      <c r="M351" s="110">
        <f>IFERROR(VLOOKUP($C351,'CEDARS School FRPL'!C:H,3,FALSE),0)</f>
        <v>0.66559999999999997</v>
      </c>
      <c r="N351" s="123" t="str">
        <f>IFERROR(VLOOKUP(C351,'CEDARS School FRPL'!C:H,6,FALSE),"No")</f>
        <v>No</v>
      </c>
      <c r="O351" s="147"/>
      <c r="P351" s="148"/>
    </row>
    <row r="352" spans="1:16">
      <c r="A352" s="95" t="s">
        <v>2446</v>
      </c>
      <c r="B352" s="95" t="s">
        <v>1418</v>
      </c>
      <c r="C352" s="4">
        <v>1880</v>
      </c>
      <c r="D352" s="95" t="s">
        <v>2776</v>
      </c>
      <c r="E352" s="145">
        <v>0.08</v>
      </c>
      <c r="F352" s="145">
        <v>0</v>
      </c>
      <c r="G352" s="145">
        <v>0</v>
      </c>
      <c r="H352" s="145">
        <v>0</v>
      </c>
      <c r="I352" s="77">
        <f t="shared" si="8"/>
        <v>0.08</v>
      </c>
      <c r="J352" s="123" t="str">
        <f>IFERROR(VLOOKUP($C352,'CEDARS School FRPL'!C:H,4,FALSE),"No")</f>
        <v>Yes</v>
      </c>
      <c r="K352" s="109"/>
      <c r="L352" s="109"/>
      <c r="M352" s="110">
        <f>IFERROR(VLOOKUP($C352,'CEDARS School FRPL'!C:H,3,FALSE),0)</f>
        <v>0.66666666666666663</v>
      </c>
      <c r="N352" s="123" t="str">
        <f>IFERROR(VLOOKUP(C352,'CEDARS School FRPL'!C:H,6,FALSE),"No")</f>
        <v>No</v>
      </c>
      <c r="O352" s="147"/>
      <c r="P352" s="148"/>
    </row>
    <row r="353" spans="1:16">
      <c r="A353" s="95" t="s">
        <v>2446</v>
      </c>
      <c r="B353" s="95" t="s">
        <v>1418</v>
      </c>
      <c r="C353" s="4">
        <v>1881</v>
      </c>
      <c r="D353" s="95" t="s">
        <v>2980</v>
      </c>
      <c r="E353" s="145">
        <v>0.41</v>
      </c>
      <c r="F353" s="145">
        <v>0</v>
      </c>
      <c r="G353" s="145">
        <v>0</v>
      </c>
      <c r="H353" s="145">
        <v>0</v>
      </c>
      <c r="I353" s="77">
        <f t="shared" si="8"/>
        <v>0.41</v>
      </c>
      <c r="J353" s="123" t="str">
        <f>IFERROR(VLOOKUP($C353,'CEDARS School FRPL'!C:H,4,FALSE),"No")</f>
        <v>No</v>
      </c>
      <c r="K353" s="109"/>
      <c r="L353" s="109"/>
      <c r="M353" s="110">
        <f>IFERROR(VLOOKUP($C353,'CEDARS School FRPL'!C:H,3,FALSE),0)</f>
        <v>0</v>
      </c>
      <c r="N353" s="123" t="str">
        <f>IFERROR(VLOOKUP(C353,'CEDARS School FRPL'!C:H,6,FALSE),"No")</f>
        <v>No</v>
      </c>
      <c r="O353" s="147"/>
      <c r="P353" s="148"/>
    </row>
    <row r="354" spans="1:16">
      <c r="A354" s="95" t="s">
        <v>2446</v>
      </c>
      <c r="B354" s="95" t="s">
        <v>1418</v>
      </c>
      <c r="C354" s="4">
        <v>1882</v>
      </c>
      <c r="D354" s="95" t="s">
        <v>1420</v>
      </c>
      <c r="E354" s="145">
        <v>2.7</v>
      </c>
      <c r="F354" s="145">
        <v>0</v>
      </c>
      <c r="G354" s="145">
        <v>0</v>
      </c>
      <c r="H354" s="145">
        <v>0</v>
      </c>
      <c r="I354" s="77">
        <f t="shared" si="8"/>
        <v>2.7</v>
      </c>
      <c r="J354" s="123" t="str">
        <f>IFERROR(VLOOKUP($C354,'CEDARS School FRPL'!C:H,4,FALSE),"No")</f>
        <v>Yes</v>
      </c>
      <c r="K354" s="109"/>
      <c r="L354" s="109"/>
      <c r="M354" s="110">
        <f>IFERROR(VLOOKUP($C354,'CEDARS School FRPL'!C:H,3,FALSE),0)</f>
        <v>0.61640000000000006</v>
      </c>
      <c r="N354" s="123" t="str">
        <f>IFERROR(VLOOKUP(C354,'CEDARS School FRPL'!C:H,6,FALSE),"No")</f>
        <v>No</v>
      </c>
      <c r="O354" s="147"/>
      <c r="P354" s="148"/>
    </row>
    <row r="355" spans="1:16">
      <c r="A355" s="95" t="s">
        <v>2446</v>
      </c>
      <c r="B355" s="95" t="s">
        <v>1418</v>
      </c>
      <c r="C355" s="4">
        <v>2189</v>
      </c>
      <c r="D355" s="95" t="s">
        <v>1421</v>
      </c>
      <c r="E355" s="145">
        <v>387.14</v>
      </c>
      <c r="F355" s="145">
        <v>0</v>
      </c>
      <c r="G355" s="145">
        <v>0</v>
      </c>
      <c r="H355" s="145">
        <v>0</v>
      </c>
      <c r="I355" s="77">
        <f t="shared" si="8"/>
        <v>387.14</v>
      </c>
      <c r="J355" s="123" t="str">
        <f>IFERROR(VLOOKUP($C355,'CEDARS School FRPL'!C:H,4,FALSE),"No")</f>
        <v>Yes</v>
      </c>
      <c r="K355" s="109"/>
      <c r="L355" s="109"/>
      <c r="M355" s="110">
        <f>IFERROR(VLOOKUP($C355,'CEDARS School FRPL'!C:H,3,FALSE),0)</f>
        <v>0.85003333333333331</v>
      </c>
      <c r="N355" s="123" t="str">
        <f>IFERROR(VLOOKUP(C355,'CEDARS School FRPL'!C:H,6,FALSE),"No")</f>
        <v>No</v>
      </c>
      <c r="O355" s="147"/>
      <c r="P355" s="148"/>
    </row>
    <row r="356" spans="1:16">
      <c r="A356" s="95" t="s">
        <v>2446</v>
      </c>
      <c r="B356" s="95" t="s">
        <v>1418</v>
      </c>
      <c r="C356" s="4">
        <v>2425</v>
      </c>
      <c r="D356" s="95" t="s">
        <v>1422</v>
      </c>
      <c r="E356" s="145">
        <v>1285.3399999999999</v>
      </c>
      <c r="F356" s="145">
        <v>53.35</v>
      </c>
      <c r="G356" s="145">
        <v>0</v>
      </c>
      <c r="H356" s="145">
        <v>0</v>
      </c>
      <c r="I356" s="77">
        <f t="shared" si="8"/>
        <v>1338.6899999999998</v>
      </c>
      <c r="J356" s="123" t="str">
        <f>IFERROR(VLOOKUP($C356,'CEDARS School FRPL'!C:H,4,FALSE),"No")</f>
        <v>Yes</v>
      </c>
      <c r="K356" s="109"/>
      <c r="L356" s="109"/>
      <c r="M356" s="110">
        <f>IFERROR(VLOOKUP($C356,'CEDARS School FRPL'!C:H,3,FALSE),0)</f>
        <v>0.77619999999999989</v>
      </c>
      <c r="N356" s="123" t="str">
        <f>IFERROR(VLOOKUP(C356,'CEDARS School FRPL'!C:H,6,FALSE),"No")</f>
        <v>No</v>
      </c>
      <c r="O356" s="147"/>
      <c r="P356" s="148"/>
    </row>
    <row r="357" spans="1:16">
      <c r="A357" s="95" t="s">
        <v>2446</v>
      </c>
      <c r="B357" s="95" t="s">
        <v>1418</v>
      </c>
      <c r="C357" s="4">
        <v>2651</v>
      </c>
      <c r="D357" s="95" t="s">
        <v>1423</v>
      </c>
      <c r="E357" s="145">
        <v>256.14</v>
      </c>
      <c r="F357" s="145">
        <v>0</v>
      </c>
      <c r="G357" s="145">
        <v>0</v>
      </c>
      <c r="H357" s="145">
        <v>0</v>
      </c>
      <c r="I357" s="77">
        <f t="shared" si="8"/>
        <v>256.14</v>
      </c>
      <c r="J357" s="123" t="str">
        <f>IFERROR(VLOOKUP($C357,'CEDARS School FRPL'!C:H,4,FALSE),"No")</f>
        <v>Yes</v>
      </c>
      <c r="K357" s="109"/>
      <c r="L357" s="109"/>
      <c r="M357" s="110">
        <f>IFERROR(VLOOKUP($C357,'CEDARS School FRPL'!C:H,3,FALSE),0)</f>
        <v>0.89503333333333324</v>
      </c>
      <c r="N357" s="123" t="str">
        <f>IFERROR(VLOOKUP(C357,'CEDARS School FRPL'!C:H,6,FALSE),"No")</f>
        <v>No</v>
      </c>
      <c r="O357" s="147"/>
      <c r="P357" s="148"/>
    </row>
    <row r="358" spans="1:16">
      <c r="A358" s="95" t="s">
        <v>2446</v>
      </c>
      <c r="B358" s="95" t="s">
        <v>1418</v>
      </c>
      <c r="C358" s="4">
        <v>2652</v>
      </c>
      <c r="D358" s="95" t="s">
        <v>1424</v>
      </c>
      <c r="E358" s="145">
        <v>558.45000000000005</v>
      </c>
      <c r="F358" s="145">
        <v>0</v>
      </c>
      <c r="G358" s="145">
        <v>0</v>
      </c>
      <c r="H358" s="145">
        <v>0</v>
      </c>
      <c r="I358" s="77">
        <f t="shared" si="8"/>
        <v>558.45000000000005</v>
      </c>
      <c r="J358" s="123" t="str">
        <f>IFERROR(VLOOKUP($C358,'CEDARS School FRPL'!C:H,4,FALSE),"No")</f>
        <v>Yes</v>
      </c>
      <c r="K358" s="109"/>
      <c r="L358" s="109"/>
      <c r="M358" s="110">
        <f>IFERROR(VLOOKUP($C358,'CEDARS School FRPL'!C:H,3,FALSE),0)</f>
        <v>0.84600000000000009</v>
      </c>
      <c r="N358" s="123" t="str">
        <f>IFERROR(VLOOKUP(C358,'CEDARS School FRPL'!C:H,6,FALSE),"No")</f>
        <v>No</v>
      </c>
      <c r="O358" s="147"/>
      <c r="P358" s="148"/>
    </row>
    <row r="359" spans="1:16">
      <c r="A359" s="95" t="s">
        <v>2446</v>
      </c>
      <c r="B359" s="95" t="s">
        <v>1418</v>
      </c>
      <c r="C359" s="4">
        <v>2943</v>
      </c>
      <c r="D359" s="95" t="s">
        <v>1425</v>
      </c>
      <c r="E359" s="145">
        <v>231.19</v>
      </c>
      <c r="F359" s="145">
        <v>0</v>
      </c>
      <c r="G359" s="145">
        <v>0</v>
      </c>
      <c r="H359" s="145">
        <v>0</v>
      </c>
      <c r="I359" s="77">
        <f t="shared" si="8"/>
        <v>231.19</v>
      </c>
      <c r="J359" s="123" t="str">
        <f>IFERROR(VLOOKUP($C359,'CEDARS School FRPL'!C:H,4,FALSE),"No")</f>
        <v>Yes</v>
      </c>
      <c r="K359" s="109"/>
      <c r="L359" s="109"/>
      <c r="M359" s="110">
        <f>IFERROR(VLOOKUP($C359,'CEDARS School FRPL'!C:H,3,FALSE),0)</f>
        <v>0.76910000000000001</v>
      </c>
      <c r="N359" s="123" t="str">
        <f>IFERROR(VLOOKUP(C359,'CEDARS School FRPL'!C:H,6,FALSE),"No")</f>
        <v>No</v>
      </c>
      <c r="O359" s="147"/>
      <c r="P359" s="148"/>
    </row>
    <row r="360" spans="1:16">
      <c r="A360" s="95" t="s">
        <v>2446</v>
      </c>
      <c r="B360" s="95" t="s">
        <v>1418</v>
      </c>
      <c r="C360" s="4">
        <v>3117</v>
      </c>
      <c r="D360" s="95" t="s">
        <v>1426</v>
      </c>
      <c r="E360" s="145">
        <v>439.71</v>
      </c>
      <c r="F360" s="145">
        <v>0</v>
      </c>
      <c r="G360" s="145">
        <v>0</v>
      </c>
      <c r="H360" s="145">
        <v>0</v>
      </c>
      <c r="I360" s="77">
        <f t="shared" si="8"/>
        <v>439.71</v>
      </c>
      <c r="J360" s="123" t="str">
        <f>IFERROR(VLOOKUP($C360,'CEDARS School FRPL'!C:H,4,FALSE),"No")</f>
        <v>No</v>
      </c>
      <c r="K360" s="109"/>
      <c r="L360" s="109"/>
      <c r="M360" s="110">
        <f>IFERROR(VLOOKUP($C360,'CEDARS School FRPL'!C:H,3,FALSE),0)</f>
        <v>0.37263333333333332</v>
      </c>
      <c r="N360" s="123" t="str">
        <f>IFERROR(VLOOKUP(C360,'CEDARS School FRPL'!C:H,6,FALSE),"No")</f>
        <v>No</v>
      </c>
      <c r="O360" s="147"/>
      <c r="P360" s="148"/>
    </row>
    <row r="361" spans="1:16">
      <c r="A361" s="95" t="s">
        <v>2446</v>
      </c>
      <c r="B361" s="95" t="s">
        <v>1418</v>
      </c>
      <c r="C361" s="4">
        <v>3248</v>
      </c>
      <c r="D361" s="95" t="s">
        <v>1427</v>
      </c>
      <c r="E361" s="145">
        <v>644.01</v>
      </c>
      <c r="F361" s="145">
        <v>0</v>
      </c>
      <c r="G361" s="145">
        <v>0</v>
      </c>
      <c r="H361" s="145">
        <v>0</v>
      </c>
      <c r="I361" s="77">
        <f t="shared" si="8"/>
        <v>644.01</v>
      </c>
      <c r="J361" s="123" t="str">
        <f>IFERROR(VLOOKUP($C361,'CEDARS School FRPL'!C:H,4,FALSE),"No")</f>
        <v>Yes</v>
      </c>
      <c r="K361" s="109"/>
      <c r="L361" s="109"/>
      <c r="M361" s="110">
        <f>IFERROR(VLOOKUP($C361,'CEDARS School FRPL'!C:H,3,FALSE),0)</f>
        <v>0.7319</v>
      </c>
      <c r="N361" s="123" t="str">
        <f>IFERROR(VLOOKUP(C361,'CEDARS School FRPL'!C:H,6,FALSE),"No")</f>
        <v>No</v>
      </c>
      <c r="O361" s="147"/>
      <c r="P361" s="148"/>
    </row>
    <row r="362" spans="1:16">
      <c r="A362" s="95" t="s">
        <v>2446</v>
      </c>
      <c r="B362" s="95" t="s">
        <v>1418</v>
      </c>
      <c r="C362" s="4">
        <v>3249</v>
      </c>
      <c r="D362" s="95" t="s">
        <v>1428</v>
      </c>
      <c r="E362" s="145">
        <v>391.71</v>
      </c>
      <c r="F362" s="145">
        <v>0</v>
      </c>
      <c r="G362" s="145">
        <v>0</v>
      </c>
      <c r="H362" s="145">
        <v>0</v>
      </c>
      <c r="I362" s="77">
        <f t="shared" si="8"/>
        <v>391.71</v>
      </c>
      <c r="J362" s="123" t="str">
        <f>IFERROR(VLOOKUP($C362,'CEDARS School FRPL'!C:H,4,FALSE),"No")</f>
        <v>Yes</v>
      </c>
      <c r="K362" s="109"/>
      <c r="L362" s="109"/>
      <c r="M362" s="110">
        <f>IFERROR(VLOOKUP($C362,'CEDARS School FRPL'!C:H,3,FALSE),0)</f>
        <v>0.81499999999999995</v>
      </c>
      <c r="N362" s="123" t="str">
        <f>IFERROR(VLOOKUP(C362,'CEDARS School FRPL'!C:H,6,FALSE),"No")</f>
        <v>No</v>
      </c>
      <c r="O362" s="147"/>
      <c r="P362" s="148"/>
    </row>
    <row r="363" spans="1:16">
      <c r="A363" s="95" t="s">
        <v>2446</v>
      </c>
      <c r="B363" s="95" t="s">
        <v>1418</v>
      </c>
      <c r="C363" s="4">
        <v>3298</v>
      </c>
      <c r="D363" s="95" t="s">
        <v>1429</v>
      </c>
      <c r="E363" s="145">
        <v>433.9</v>
      </c>
      <c r="F363" s="145">
        <v>0</v>
      </c>
      <c r="G363" s="145">
        <v>0</v>
      </c>
      <c r="H363" s="145">
        <v>0</v>
      </c>
      <c r="I363" s="77">
        <f t="shared" si="8"/>
        <v>433.9</v>
      </c>
      <c r="J363" s="123" t="str">
        <f>IFERROR(VLOOKUP($C363,'CEDARS School FRPL'!C:H,4,FALSE),"No")</f>
        <v>Yes</v>
      </c>
      <c r="K363" s="109"/>
      <c r="L363" s="109"/>
      <c r="M363" s="110">
        <f>IFERROR(VLOOKUP($C363,'CEDARS School FRPL'!C:H,3,FALSE),0)</f>
        <v>0.62183333333333335</v>
      </c>
      <c r="N363" s="123" t="str">
        <f>IFERROR(VLOOKUP(C363,'CEDARS School FRPL'!C:H,6,FALSE),"No")</f>
        <v>No</v>
      </c>
      <c r="O363" s="147"/>
      <c r="P363" s="148"/>
    </row>
    <row r="364" spans="1:16">
      <c r="A364" s="95" t="s">
        <v>2446</v>
      </c>
      <c r="B364" s="95" t="s">
        <v>1418</v>
      </c>
      <c r="C364" s="4">
        <v>3351</v>
      </c>
      <c r="D364" s="95" t="s">
        <v>1430</v>
      </c>
      <c r="E364" s="145">
        <v>454.86</v>
      </c>
      <c r="F364" s="145">
        <v>0</v>
      </c>
      <c r="G364" s="145">
        <v>0</v>
      </c>
      <c r="H364" s="145">
        <v>0</v>
      </c>
      <c r="I364" s="77">
        <f t="shared" si="8"/>
        <v>454.86</v>
      </c>
      <c r="J364" s="123" t="str">
        <f>IFERROR(VLOOKUP($C364,'CEDARS School FRPL'!C:H,4,FALSE),"No")</f>
        <v>Yes</v>
      </c>
      <c r="K364" s="109"/>
      <c r="L364" s="109"/>
      <c r="M364" s="110">
        <f>IFERROR(VLOOKUP($C364,'CEDARS School FRPL'!C:H,3,FALSE),0)</f>
        <v>0.69396666666666673</v>
      </c>
      <c r="N364" s="123" t="str">
        <f>IFERROR(VLOOKUP(C364,'CEDARS School FRPL'!C:H,6,FALSE),"No")</f>
        <v>No</v>
      </c>
      <c r="O364" s="147"/>
      <c r="P364" s="148"/>
    </row>
    <row r="365" spans="1:16">
      <c r="A365" s="95" t="s">
        <v>2446</v>
      </c>
      <c r="B365" s="95" t="s">
        <v>1418</v>
      </c>
      <c r="C365" s="4">
        <v>3454</v>
      </c>
      <c r="D365" s="95" t="s">
        <v>1431</v>
      </c>
      <c r="E365" s="145">
        <v>317.33</v>
      </c>
      <c r="F365" s="145">
        <v>0</v>
      </c>
      <c r="G365" s="145">
        <v>0</v>
      </c>
      <c r="H365" s="145">
        <v>0</v>
      </c>
      <c r="I365" s="77">
        <f t="shared" si="8"/>
        <v>317.33</v>
      </c>
      <c r="J365" s="123" t="str">
        <f>IFERROR(VLOOKUP($C365,'CEDARS School FRPL'!C:H,4,FALSE),"No")</f>
        <v>No</v>
      </c>
      <c r="K365" s="109"/>
      <c r="L365" s="109"/>
      <c r="M365" s="110">
        <f>IFERROR(VLOOKUP($C365,'CEDARS School FRPL'!C:H,3,FALSE),0)</f>
        <v>0.33440000000000003</v>
      </c>
      <c r="N365" s="123" t="str">
        <f>IFERROR(VLOOKUP(C365,'CEDARS School FRPL'!C:H,6,FALSE),"No")</f>
        <v>No</v>
      </c>
      <c r="O365" s="147"/>
      <c r="P365" s="148"/>
    </row>
    <row r="366" spans="1:16">
      <c r="A366" s="95" t="s">
        <v>2446</v>
      </c>
      <c r="B366" s="95" t="s">
        <v>1418</v>
      </c>
      <c r="C366" s="4">
        <v>3455</v>
      </c>
      <c r="D366" s="95" t="s">
        <v>1432</v>
      </c>
      <c r="E366" s="145">
        <v>293.79000000000002</v>
      </c>
      <c r="F366" s="145">
        <v>0</v>
      </c>
      <c r="G366" s="145">
        <v>0</v>
      </c>
      <c r="H366" s="145">
        <v>0</v>
      </c>
      <c r="I366" s="77">
        <f t="shared" si="8"/>
        <v>293.79000000000002</v>
      </c>
      <c r="J366" s="123" t="str">
        <f>IFERROR(VLOOKUP($C366,'CEDARS School FRPL'!C:H,4,FALSE),"No")</f>
        <v>Yes</v>
      </c>
      <c r="K366" s="109"/>
      <c r="L366" s="109"/>
      <c r="M366" s="110">
        <f>IFERROR(VLOOKUP($C366,'CEDARS School FRPL'!C:H,3,FALSE),0)</f>
        <v>0.73686666666666678</v>
      </c>
      <c r="N366" s="123" t="str">
        <f>IFERROR(VLOOKUP(C366,'CEDARS School FRPL'!C:H,6,FALSE),"No")</f>
        <v>No</v>
      </c>
      <c r="O366" s="147"/>
      <c r="P366" s="148"/>
    </row>
    <row r="367" spans="1:16">
      <c r="A367" s="95" t="s">
        <v>2446</v>
      </c>
      <c r="B367" s="95" t="s">
        <v>1418</v>
      </c>
      <c r="C367" s="4">
        <v>3456</v>
      </c>
      <c r="D367" s="95" t="s">
        <v>1433</v>
      </c>
      <c r="E367" s="145">
        <v>1146.79</v>
      </c>
      <c r="F367" s="145">
        <v>93.67</v>
      </c>
      <c r="G367" s="145">
        <v>0</v>
      </c>
      <c r="H367" s="145">
        <v>0</v>
      </c>
      <c r="I367" s="77">
        <f t="shared" si="8"/>
        <v>1240.46</v>
      </c>
      <c r="J367" s="123" t="str">
        <f>IFERROR(VLOOKUP($C367,'CEDARS School FRPL'!C:H,4,FALSE),"No")</f>
        <v>No</v>
      </c>
      <c r="K367" s="109"/>
      <c r="L367" s="109"/>
      <c r="M367" s="110">
        <f>IFERROR(VLOOKUP($C367,'CEDARS School FRPL'!C:H,3,FALSE),0)</f>
        <v>0.47293333333333337</v>
      </c>
      <c r="N367" s="123" t="str">
        <f>IFERROR(VLOOKUP(C367,'CEDARS School FRPL'!C:H,6,FALSE),"No")</f>
        <v>No</v>
      </c>
      <c r="O367" s="147"/>
      <c r="P367" s="148"/>
    </row>
    <row r="368" spans="1:16">
      <c r="A368" s="95" t="s">
        <v>2446</v>
      </c>
      <c r="B368" s="95" t="s">
        <v>1418</v>
      </c>
      <c r="C368" s="4">
        <v>3457</v>
      </c>
      <c r="D368" s="95" t="s">
        <v>1434</v>
      </c>
      <c r="E368" s="145">
        <v>491.49</v>
      </c>
      <c r="F368" s="145">
        <v>0</v>
      </c>
      <c r="G368" s="145">
        <v>0</v>
      </c>
      <c r="H368" s="145">
        <v>0</v>
      </c>
      <c r="I368" s="77">
        <f t="shared" si="8"/>
        <v>491.49</v>
      </c>
      <c r="J368" s="123" t="str">
        <f>IFERROR(VLOOKUP($C368,'CEDARS School FRPL'!C:H,4,FALSE),"No")</f>
        <v>No</v>
      </c>
      <c r="K368" s="109"/>
      <c r="L368" s="109"/>
      <c r="M368" s="110">
        <f>IFERROR(VLOOKUP($C368,'CEDARS School FRPL'!C:H,3,FALSE),0)</f>
        <v>0.40850000000000003</v>
      </c>
      <c r="N368" s="123" t="str">
        <f>IFERROR(VLOOKUP(C368,'CEDARS School FRPL'!C:H,6,FALSE),"No")</f>
        <v>No</v>
      </c>
      <c r="O368" s="147"/>
      <c r="P368" s="148"/>
    </row>
    <row r="369" spans="1:16">
      <c r="A369" s="95" t="s">
        <v>2446</v>
      </c>
      <c r="B369" s="95" t="s">
        <v>1418</v>
      </c>
      <c r="C369" s="4">
        <v>3500</v>
      </c>
      <c r="D369" s="95" t="s">
        <v>2875</v>
      </c>
      <c r="E369" s="145">
        <v>938.17</v>
      </c>
      <c r="F369" s="145">
        <v>0</v>
      </c>
      <c r="G369" s="145">
        <v>0</v>
      </c>
      <c r="H369" s="145">
        <v>0</v>
      </c>
      <c r="I369" s="77">
        <f t="shared" si="8"/>
        <v>938.17</v>
      </c>
      <c r="J369" s="123" t="str">
        <f>IFERROR(VLOOKUP($C369,'CEDARS School FRPL'!C:H,4,FALSE),"No")</f>
        <v>Yes</v>
      </c>
      <c r="K369" s="109"/>
      <c r="L369" s="109"/>
      <c r="M369" s="110">
        <f>IFERROR(VLOOKUP($C369,'CEDARS School FRPL'!C:H,3,FALSE),0)</f>
        <v>0.62679999999999991</v>
      </c>
      <c r="N369" s="123" t="str">
        <f>IFERROR(VLOOKUP(C369,'CEDARS School FRPL'!C:H,6,FALSE),"No")</f>
        <v>No</v>
      </c>
      <c r="O369" s="147"/>
      <c r="P369" s="148"/>
    </row>
    <row r="370" spans="1:16">
      <c r="A370" s="95" t="s">
        <v>2446</v>
      </c>
      <c r="B370" s="95" t="s">
        <v>1418</v>
      </c>
      <c r="C370" s="4">
        <v>3602</v>
      </c>
      <c r="D370" s="95" t="s">
        <v>1435</v>
      </c>
      <c r="E370" s="145">
        <v>543.23</v>
      </c>
      <c r="F370" s="145">
        <v>0</v>
      </c>
      <c r="G370" s="145">
        <v>0</v>
      </c>
      <c r="H370" s="145">
        <v>0</v>
      </c>
      <c r="I370" s="77">
        <f t="shared" si="8"/>
        <v>543.23</v>
      </c>
      <c r="J370" s="123" t="str">
        <f>IFERROR(VLOOKUP($C370,'CEDARS School FRPL'!C:H,4,FALSE),"No")</f>
        <v>Yes</v>
      </c>
      <c r="K370" s="109"/>
      <c r="L370" s="109"/>
      <c r="M370" s="110">
        <f>IFERROR(VLOOKUP($C370,'CEDARS School FRPL'!C:H,3,FALSE),0)</f>
        <v>0.87436666666666663</v>
      </c>
      <c r="N370" s="123" t="str">
        <f>IFERROR(VLOOKUP(C370,'CEDARS School FRPL'!C:H,6,FALSE),"No")</f>
        <v>No</v>
      </c>
      <c r="O370" s="147"/>
      <c r="P370" s="148"/>
    </row>
    <row r="371" spans="1:16">
      <c r="A371" s="95" t="s">
        <v>2446</v>
      </c>
      <c r="B371" s="95" t="s">
        <v>1418</v>
      </c>
      <c r="C371" s="4">
        <v>3763</v>
      </c>
      <c r="D371" s="95" t="s">
        <v>1436</v>
      </c>
      <c r="E371" s="145">
        <v>270.66000000000003</v>
      </c>
      <c r="F371" s="145">
        <v>0</v>
      </c>
      <c r="G371" s="145">
        <v>0</v>
      </c>
      <c r="H371" s="145">
        <v>0</v>
      </c>
      <c r="I371" s="77">
        <f t="shared" si="8"/>
        <v>270.66000000000003</v>
      </c>
      <c r="J371" s="123" t="str">
        <f>IFERROR(VLOOKUP($C371,'CEDARS School FRPL'!C:H,4,FALSE),"No")</f>
        <v>No</v>
      </c>
      <c r="K371" s="109"/>
      <c r="L371" s="109"/>
      <c r="M371" s="110">
        <f>IFERROR(VLOOKUP($C371,'CEDARS School FRPL'!C:H,3,FALSE),0)</f>
        <v>0.496</v>
      </c>
      <c r="N371" s="123" t="str">
        <f>IFERROR(VLOOKUP(C371,'CEDARS School FRPL'!C:H,6,FALSE),"No")</f>
        <v>Yes</v>
      </c>
      <c r="O371" s="147"/>
      <c r="P371" s="148"/>
    </row>
    <row r="372" spans="1:16">
      <c r="A372" s="95" t="s">
        <v>2446</v>
      </c>
      <c r="B372" s="95" t="s">
        <v>1418</v>
      </c>
      <c r="C372" s="4">
        <v>4396</v>
      </c>
      <c r="D372" s="95" t="s">
        <v>1209</v>
      </c>
      <c r="E372" s="145">
        <v>432.42</v>
      </c>
      <c r="F372" s="145">
        <v>0</v>
      </c>
      <c r="G372" s="145">
        <v>0</v>
      </c>
      <c r="H372" s="145">
        <v>0</v>
      </c>
      <c r="I372" s="77">
        <f t="shared" si="8"/>
        <v>432.42</v>
      </c>
      <c r="J372" s="123" t="str">
        <f>IFERROR(VLOOKUP($C372,'CEDARS School FRPL'!C:H,4,FALSE),"No")</f>
        <v>Yes</v>
      </c>
      <c r="K372" s="109"/>
      <c r="L372" s="109"/>
      <c r="M372" s="110">
        <f>IFERROR(VLOOKUP($C372,'CEDARS School FRPL'!C:H,3,FALSE),0)</f>
        <v>0.53156666666666663</v>
      </c>
      <c r="N372" s="123" t="str">
        <f>IFERROR(VLOOKUP(C372,'CEDARS School FRPL'!C:H,6,FALSE),"No")</f>
        <v>No</v>
      </c>
      <c r="O372" s="147"/>
      <c r="P372" s="148"/>
    </row>
    <row r="373" spans="1:16">
      <c r="A373" s="95" t="s">
        <v>2446</v>
      </c>
      <c r="B373" s="95" t="s">
        <v>1418</v>
      </c>
      <c r="C373" s="4">
        <v>5027</v>
      </c>
      <c r="D373" s="95" t="s">
        <v>1437</v>
      </c>
      <c r="E373" s="145">
        <v>713.91</v>
      </c>
      <c r="F373" s="145">
        <v>0</v>
      </c>
      <c r="G373" s="145">
        <v>0</v>
      </c>
      <c r="H373" s="145">
        <v>0</v>
      </c>
      <c r="I373" s="77">
        <f t="shared" si="8"/>
        <v>713.91</v>
      </c>
      <c r="J373" s="123" t="str">
        <f>IFERROR(VLOOKUP($C373,'CEDARS School FRPL'!C:H,4,FALSE),"No")</f>
        <v>Yes</v>
      </c>
      <c r="K373" s="109"/>
      <c r="L373" s="109"/>
      <c r="M373" s="110">
        <f>IFERROR(VLOOKUP($C373,'CEDARS School FRPL'!C:H,3,FALSE),0)</f>
        <v>0.61030000000000006</v>
      </c>
      <c r="N373" s="123" t="str">
        <f>IFERROR(VLOOKUP(C373,'CEDARS School FRPL'!C:H,6,FALSE),"No")</f>
        <v>No</v>
      </c>
      <c r="O373" s="147"/>
      <c r="P373" s="148"/>
    </row>
    <row r="374" spans="1:16">
      <c r="A374" s="95" t="s">
        <v>2446</v>
      </c>
      <c r="B374" s="95" t="s">
        <v>1418</v>
      </c>
      <c r="C374" s="4">
        <v>5297</v>
      </c>
      <c r="D374" s="95" t="s">
        <v>1438</v>
      </c>
      <c r="E374" s="145">
        <v>12.71</v>
      </c>
      <c r="F374" s="145">
        <v>0</v>
      </c>
      <c r="G374" s="145">
        <v>0</v>
      </c>
      <c r="H374" s="145">
        <v>0</v>
      </c>
      <c r="I374" s="77">
        <f t="shared" si="8"/>
        <v>12.71</v>
      </c>
      <c r="J374" s="123" t="str">
        <f>IFERROR(VLOOKUP($C374,'CEDARS School FRPL'!C:H,4,FALSE),"No")</f>
        <v>Yes</v>
      </c>
      <c r="K374" s="109"/>
      <c r="L374" s="109"/>
      <c r="M374" s="110">
        <f>IFERROR(VLOOKUP($C374,'CEDARS School FRPL'!C:H,3,FALSE),0)</f>
        <v>0.60636666666666672</v>
      </c>
      <c r="N374" s="123" t="str">
        <f>IFERROR(VLOOKUP(C374,'CEDARS School FRPL'!C:H,6,FALSE),"No")</f>
        <v>No</v>
      </c>
      <c r="O374" s="147"/>
      <c r="P374" s="148"/>
    </row>
    <row r="375" spans="1:16">
      <c r="A375" s="95" t="s">
        <v>2446</v>
      </c>
      <c r="B375" s="95" t="s">
        <v>1418</v>
      </c>
      <c r="C375" s="4">
        <v>5364</v>
      </c>
      <c r="D375" s="95" t="s">
        <v>1439</v>
      </c>
      <c r="E375" s="145">
        <v>284.64999999999998</v>
      </c>
      <c r="F375" s="145">
        <v>0</v>
      </c>
      <c r="G375" s="145">
        <v>0</v>
      </c>
      <c r="H375" s="145">
        <v>0</v>
      </c>
      <c r="I375" s="77">
        <f t="shared" si="8"/>
        <v>284.64999999999998</v>
      </c>
      <c r="J375" s="123" t="str">
        <f>IFERROR(VLOOKUP($C375,'CEDARS School FRPL'!C:H,4,FALSE),"No")</f>
        <v>No</v>
      </c>
      <c r="K375" s="109"/>
      <c r="L375" s="109"/>
      <c r="M375" s="110">
        <f>IFERROR(VLOOKUP($C375,'CEDARS School FRPL'!C:H,3,FALSE),0)</f>
        <v>0.31009999999999999</v>
      </c>
      <c r="N375" s="123" t="str">
        <f>IFERROR(VLOOKUP(C375,'CEDARS School FRPL'!C:H,6,FALSE),"No")</f>
        <v>No</v>
      </c>
      <c r="O375" s="147"/>
      <c r="P375" s="148"/>
    </row>
    <row r="376" spans="1:16">
      <c r="A376" s="95" t="s">
        <v>2446</v>
      </c>
      <c r="B376" s="95" t="s">
        <v>1418</v>
      </c>
      <c r="C376" s="4">
        <v>5365</v>
      </c>
      <c r="D376" s="95" t="s">
        <v>1440</v>
      </c>
      <c r="E376" s="145">
        <v>520.16</v>
      </c>
      <c r="F376" s="145">
        <v>0</v>
      </c>
      <c r="G376" s="145">
        <v>0</v>
      </c>
      <c r="H376" s="145">
        <v>0</v>
      </c>
      <c r="I376" s="77">
        <f t="shared" si="8"/>
        <v>520.16</v>
      </c>
      <c r="J376" s="123" t="str">
        <f>IFERROR(VLOOKUP($C376,'CEDARS School FRPL'!C:H,4,FALSE),"No")</f>
        <v>No</v>
      </c>
      <c r="K376" s="109"/>
      <c r="L376" s="109"/>
      <c r="M376" s="110">
        <f>IFERROR(VLOOKUP($C376,'CEDARS School FRPL'!C:H,3,FALSE),0)</f>
        <v>0.43780000000000002</v>
      </c>
      <c r="N376" s="123" t="str">
        <f>IFERROR(VLOOKUP(C376,'CEDARS School FRPL'!C:H,6,FALSE),"No")</f>
        <v>Yes</v>
      </c>
      <c r="O376" s="147"/>
      <c r="P376" s="148"/>
    </row>
    <row r="377" spans="1:16">
      <c r="A377" s="95" t="s">
        <v>2446</v>
      </c>
      <c r="B377" s="95" t="s">
        <v>1418</v>
      </c>
      <c r="C377" s="4">
        <v>5387</v>
      </c>
      <c r="D377" s="95" t="s">
        <v>1441</v>
      </c>
      <c r="E377" s="145">
        <v>570.29</v>
      </c>
      <c r="F377" s="145">
        <v>0</v>
      </c>
      <c r="G377" s="145">
        <v>0</v>
      </c>
      <c r="H377" s="145">
        <v>0</v>
      </c>
      <c r="I377" s="77">
        <f t="shared" si="8"/>
        <v>570.29</v>
      </c>
      <c r="J377" s="123" t="str">
        <f>IFERROR(VLOOKUP($C377,'CEDARS School FRPL'!C:H,4,FALSE),"No")</f>
        <v>Yes</v>
      </c>
      <c r="K377" s="109"/>
      <c r="L377" s="109"/>
      <c r="M377" s="110">
        <f>IFERROR(VLOOKUP($C377,'CEDARS School FRPL'!C:H,3,FALSE),0)</f>
        <v>0.84949999999999992</v>
      </c>
      <c r="N377" s="123" t="str">
        <f>IFERROR(VLOOKUP(C377,'CEDARS School FRPL'!C:H,6,FALSE),"No")</f>
        <v>No</v>
      </c>
      <c r="O377" s="147"/>
      <c r="P377" s="148"/>
    </row>
    <row r="378" spans="1:16">
      <c r="A378" s="95" t="s">
        <v>2446</v>
      </c>
      <c r="B378" s="95" t="s">
        <v>1418</v>
      </c>
      <c r="C378" s="4">
        <v>5411</v>
      </c>
      <c r="D378" s="95" t="s">
        <v>1442</v>
      </c>
      <c r="E378" s="145">
        <v>0</v>
      </c>
      <c r="F378" s="145">
        <v>0</v>
      </c>
      <c r="G378" s="145">
        <v>192.71</v>
      </c>
      <c r="H378" s="145">
        <v>0</v>
      </c>
      <c r="I378" s="77">
        <f t="shared" si="8"/>
        <v>192.71</v>
      </c>
      <c r="J378" s="123" t="str">
        <f>IFERROR(VLOOKUP($C378,'CEDARS School FRPL'!C:H,4,FALSE),"No")</f>
        <v>Yes</v>
      </c>
      <c r="K378" s="109"/>
      <c r="L378" s="109"/>
      <c r="M378" s="110">
        <f>IFERROR(VLOOKUP($C378,'CEDARS School FRPL'!C:H,3,FALSE),0)</f>
        <v>0.76129999999999998</v>
      </c>
      <c r="N378" s="123" t="str">
        <f>IFERROR(VLOOKUP(C378,'CEDARS School FRPL'!C:H,6,FALSE),"No")</f>
        <v>No</v>
      </c>
      <c r="O378" s="147"/>
      <c r="P378" s="148"/>
    </row>
    <row r="379" spans="1:16">
      <c r="A379" s="95" t="s">
        <v>2544</v>
      </c>
      <c r="B379" s="95" t="s">
        <v>2140</v>
      </c>
      <c r="C379" s="4">
        <v>2894</v>
      </c>
      <c r="D379" s="95" t="s">
        <v>2141</v>
      </c>
      <c r="E379" s="145">
        <v>269.57</v>
      </c>
      <c r="F379" s="145">
        <v>0</v>
      </c>
      <c r="G379" s="145">
        <v>0</v>
      </c>
      <c r="H379" s="145">
        <v>0</v>
      </c>
      <c r="I379" s="77">
        <f t="shared" si="8"/>
        <v>269.57</v>
      </c>
      <c r="J379" s="123" t="str">
        <f>IFERROR(VLOOKUP($C379,'CEDARS School FRPL'!C:H,4,FALSE),"No")</f>
        <v>No</v>
      </c>
      <c r="K379" s="109"/>
      <c r="L379" s="109"/>
      <c r="M379" s="110">
        <f>IFERROR(VLOOKUP($C379,'CEDARS School FRPL'!C:H,3,FALSE),0)</f>
        <v>0.30826666666666663</v>
      </c>
      <c r="N379" s="123" t="str">
        <f>IFERROR(VLOOKUP(C379,'CEDARS School FRPL'!C:H,6,FALSE),"No")</f>
        <v>No</v>
      </c>
      <c r="O379" s="147"/>
      <c r="P379" s="148"/>
    </row>
    <row r="380" spans="1:16">
      <c r="A380" s="95" t="s">
        <v>2544</v>
      </c>
      <c r="B380" s="95" t="s">
        <v>2140</v>
      </c>
      <c r="C380" s="4">
        <v>3366</v>
      </c>
      <c r="D380" s="95" t="s">
        <v>2142</v>
      </c>
      <c r="E380" s="145">
        <v>243.84</v>
      </c>
      <c r="F380" s="145">
        <v>2.4</v>
      </c>
      <c r="G380" s="145">
        <v>0</v>
      </c>
      <c r="H380" s="145">
        <v>0</v>
      </c>
      <c r="I380" s="77">
        <f t="shared" si="8"/>
        <v>246.24</v>
      </c>
      <c r="J380" s="123" t="str">
        <f>IFERROR(VLOOKUP($C380,'CEDARS School FRPL'!C:H,4,FALSE),"No")</f>
        <v>No</v>
      </c>
      <c r="K380" s="109"/>
      <c r="L380" s="109"/>
      <c r="M380" s="110">
        <f>IFERROR(VLOOKUP($C380,'CEDARS School FRPL'!C:H,3,FALSE),0)</f>
        <v>0.29356666666666664</v>
      </c>
      <c r="N380" s="123" t="str">
        <f>IFERROR(VLOOKUP(C380,'CEDARS School FRPL'!C:H,6,FALSE),"No")</f>
        <v>No</v>
      </c>
      <c r="O380" s="147"/>
      <c r="P380" s="148"/>
    </row>
    <row r="381" spans="1:16">
      <c r="A381" s="95" t="s">
        <v>2527</v>
      </c>
      <c r="B381" s="95" t="s">
        <v>2049</v>
      </c>
      <c r="C381" s="4">
        <v>2114</v>
      </c>
      <c r="D381" s="95" t="s">
        <v>2050</v>
      </c>
      <c r="E381" s="145">
        <v>656.42</v>
      </c>
      <c r="F381" s="145">
        <v>0</v>
      </c>
      <c r="G381" s="145">
        <v>0</v>
      </c>
      <c r="H381" s="145">
        <v>0</v>
      </c>
      <c r="I381" s="77">
        <f t="shared" si="8"/>
        <v>656.42</v>
      </c>
      <c r="J381" s="123" t="str">
        <f>IFERROR(VLOOKUP($C381,'CEDARS School FRPL'!C:H,4,FALSE),"No")</f>
        <v>Yes</v>
      </c>
      <c r="K381" s="109"/>
      <c r="L381" s="109"/>
      <c r="M381" s="110">
        <f>IFERROR(VLOOKUP($C381,'CEDARS School FRPL'!C:H,3,FALSE),0)</f>
        <v>0.5383</v>
      </c>
      <c r="N381" s="123" t="str">
        <f>IFERROR(VLOOKUP(C381,'CEDARS School FRPL'!C:H,6,FALSE),"No")</f>
        <v>No</v>
      </c>
      <c r="O381" s="147"/>
      <c r="P381" s="148"/>
    </row>
    <row r="382" spans="1:16">
      <c r="A382" s="95" t="s">
        <v>2527</v>
      </c>
      <c r="B382" s="95" t="s">
        <v>2049</v>
      </c>
      <c r="C382" s="4">
        <v>3541</v>
      </c>
      <c r="D382" s="95" t="s">
        <v>2051</v>
      </c>
      <c r="E382" s="145">
        <v>369.23</v>
      </c>
      <c r="F382" s="145">
        <v>0</v>
      </c>
      <c r="G382" s="145">
        <v>0</v>
      </c>
      <c r="H382" s="145">
        <v>0</v>
      </c>
      <c r="I382" s="77">
        <f t="shared" si="8"/>
        <v>369.23</v>
      </c>
      <c r="J382" s="123" t="str">
        <f>IFERROR(VLOOKUP($C382,'CEDARS School FRPL'!C:H,4,FALSE),"No")</f>
        <v>Yes</v>
      </c>
      <c r="K382" s="109"/>
      <c r="L382" s="109"/>
      <c r="M382" s="110">
        <f>IFERROR(VLOOKUP($C382,'CEDARS School FRPL'!C:H,3,FALSE),0)</f>
        <v>0.57859999999999989</v>
      </c>
      <c r="N382" s="123" t="str">
        <f>IFERROR(VLOOKUP(C382,'CEDARS School FRPL'!C:H,6,FALSE),"No")</f>
        <v>No</v>
      </c>
      <c r="O382" s="147"/>
      <c r="P382" s="148"/>
    </row>
    <row r="383" spans="1:16">
      <c r="A383" s="95" t="s">
        <v>2527</v>
      </c>
      <c r="B383" s="95" t="s">
        <v>2049</v>
      </c>
      <c r="C383" s="4">
        <v>5362</v>
      </c>
      <c r="D383" s="95" t="s">
        <v>2052</v>
      </c>
      <c r="E383" s="145">
        <v>446.97</v>
      </c>
      <c r="F383" s="145">
        <v>40.349999999999994</v>
      </c>
      <c r="G383" s="145">
        <v>9.57</v>
      </c>
      <c r="H383" s="145">
        <v>0</v>
      </c>
      <c r="I383" s="77">
        <f t="shared" si="8"/>
        <v>496.89000000000004</v>
      </c>
      <c r="J383" s="123" t="str">
        <f>IFERROR(VLOOKUP($C383,'CEDARS School FRPL'!C:H,4,FALSE),"No")</f>
        <v>Yes</v>
      </c>
      <c r="K383" s="109"/>
      <c r="L383" s="109"/>
      <c r="M383" s="110">
        <f>IFERROR(VLOOKUP($C383,'CEDARS School FRPL'!C:H,3,FALSE),0)</f>
        <v>0.51549999999999996</v>
      </c>
      <c r="N383" s="123" t="str">
        <f>IFERROR(VLOOKUP(C383,'CEDARS School FRPL'!C:H,6,FALSE),"No")</f>
        <v>No</v>
      </c>
      <c r="O383" s="147"/>
      <c r="P383" s="148"/>
    </row>
    <row r="384" spans="1:16">
      <c r="A384" s="95" t="s">
        <v>2548</v>
      </c>
      <c r="B384" s="95" t="s">
        <v>2152</v>
      </c>
      <c r="C384" s="4">
        <v>2588</v>
      </c>
      <c r="D384" s="95" t="s">
        <v>2153</v>
      </c>
      <c r="E384" s="145">
        <v>156.47</v>
      </c>
      <c r="F384" s="145">
        <v>1.04</v>
      </c>
      <c r="G384" s="145">
        <v>0</v>
      </c>
      <c r="H384" s="145">
        <v>0</v>
      </c>
      <c r="I384" s="77">
        <f t="shared" si="8"/>
        <v>157.51</v>
      </c>
      <c r="J384" s="123" t="str">
        <f>IFERROR(VLOOKUP($C384,'CEDARS School FRPL'!C:H,4,FALSE),"No")</f>
        <v>No</v>
      </c>
      <c r="K384" s="109"/>
      <c r="L384" s="109"/>
      <c r="M384" s="110">
        <f>IFERROR(VLOOKUP($C384,'CEDARS School FRPL'!C:H,3,FALSE),0)</f>
        <v>0.30633333333333335</v>
      </c>
      <c r="N384" s="123" t="str">
        <f>IFERROR(VLOOKUP(C384,'CEDARS School FRPL'!C:H,6,FALSE),"No")</f>
        <v>No</v>
      </c>
      <c r="O384" s="147"/>
      <c r="P384" s="148"/>
    </row>
    <row r="385" spans="1:16">
      <c r="A385" s="95" t="s">
        <v>2511</v>
      </c>
      <c r="B385" s="95" t="s">
        <v>1949</v>
      </c>
      <c r="C385" s="4">
        <v>3508</v>
      </c>
      <c r="D385" s="95" t="s">
        <v>1950</v>
      </c>
      <c r="E385" s="145">
        <v>105.79</v>
      </c>
      <c r="F385" s="145">
        <v>0.62</v>
      </c>
      <c r="G385" s="145">
        <v>0</v>
      </c>
      <c r="H385" s="145">
        <v>0</v>
      </c>
      <c r="I385" s="77">
        <f t="shared" si="8"/>
        <v>106.41000000000001</v>
      </c>
      <c r="J385" s="123" t="str">
        <f>IFERROR(VLOOKUP($C385,'CEDARS School FRPL'!C:H,4,FALSE),"No")</f>
        <v>Yes</v>
      </c>
      <c r="K385" s="109"/>
      <c r="L385" s="109"/>
      <c r="M385" s="110">
        <f>IFERROR(VLOOKUP($C385,'CEDARS School FRPL'!C:H,3,FALSE),0)</f>
        <v>0.72070000000000001</v>
      </c>
      <c r="N385" s="123" t="str">
        <f>IFERROR(VLOOKUP(C385,'CEDARS School FRPL'!C:H,6,FALSE),"No")</f>
        <v>No</v>
      </c>
      <c r="O385" s="147"/>
      <c r="P385" s="148"/>
    </row>
    <row r="386" spans="1:16">
      <c r="A386" s="95" t="s">
        <v>2529</v>
      </c>
      <c r="B386" s="95" t="s">
        <v>2055</v>
      </c>
      <c r="C386" s="4">
        <v>3012</v>
      </c>
      <c r="D386" s="95" t="s">
        <v>2056</v>
      </c>
      <c r="E386" s="145">
        <v>183.34</v>
      </c>
      <c r="F386" s="145">
        <v>0</v>
      </c>
      <c r="G386" s="145">
        <v>0</v>
      </c>
      <c r="H386" s="145">
        <v>0</v>
      </c>
      <c r="I386" s="77">
        <f t="shared" si="8"/>
        <v>183.34</v>
      </c>
      <c r="J386" s="123" t="str">
        <f>IFERROR(VLOOKUP($C386,'CEDARS School FRPL'!C:H,4,FALSE),"No")</f>
        <v>Yes</v>
      </c>
      <c r="K386" s="109"/>
      <c r="L386" s="109"/>
      <c r="M386" s="110">
        <f>IFERROR(VLOOKUP($C386,'CEDARS School FRPL'!C:H,3,FALSE),0)</f>
        <v>0.59889999999999999</v>
      </c>
      <c r="N386" s="123" t="str">
        <f>IFERROR(VLOOKUP(C386,'CEDARS School FRPL'!C:H,6,FALSE),"No")</f>
        <v>No</v>
      </c>
      <c r="O386" s="147"/>
      <c r="P386" s="148"/>
    </row>
    <row r="387" spans="1:16">
      <c r="A387" s="95" t="s">
        <v>2529</v>
      </c>
      <c r="B387" s="95" t="s">
        <v>2055</v>
      </c>
      <c r="C387" s="4">
        <v>3613</v>
      </c>
      <c r="D387" s="95" t="s">
        <v>1637</v>
      </c>
      <c r="E387" s="145">
        <v>330.29</v>
      </c>
      <c r="F387" s="145">
        <v>0</v>
      </c>
      <c r="G387" s="145">
        <v>0</v>
      </c>
      <c r="H387" s="145">
        <v>0</v>
      </c>
      <c r="I387" s="77">
        <f t="shared" si="8"/>
        <v>330.29</v>
      </c>
      <c r="J387" s="123" t="str">
        <f>IFERROR(VLOOKUP($C387,'CEDARS School FRPL'!C:H,4,FALSE),"No")</f>
        <v>Yes</v>
      </c>
      <c r="K387" s="109"/>
      <c r="L387" s="109"/>
      <c r="M387" s="110">
        <f>IFERROR(VLOOKUP($C387,'CEDARS School FRPL'!C:H,3,FALSE),0)</f>
        <v>0.54159999999999997</v>
      </c>
      <c r="N387" s="123" t="str">
        <f>IFERROR(VLOOKUP(C387,'CEDARS School FRPL'!C:H,6,FALSE),"No")</f>
        <v>No</v>
      </c>
      <c r="O387" s="147"/>
      <c r="P387" s="148"/>
    </row>
    <row r="388" spans="1:16">
      <c r="A388" s="95" t="s">
        <v>2529</v>
      </c>
      <c r="B388" s="95" t="s">
        <v>2055</v>
      </c>
      <c r="C388" s="4">
        <v>4049</v>
      </c>
      <c r="D388" s="95" t="s">
        <v>1124</v>
      </c>
      <c r="E388" s="145">
        <v>183.34</v>
      </c>
      <c r="F388" s="145">
        <v>14.39</v>
      </c>
      <c r="G388" s="145">
        <v>3</v>
      </c>
      <c r="H388" s="145">
        <v>0</v>
      </c>
      <c r="I388" s="77">
        <f t="shared" ref="I388:I451" si="9">+E388+F388+G388+H388</f>
        <v>200.73000000000002</v>
      </c>
      <c r="J388" s="123" t="str">
        <f>IFERROR(VLOOKUP($C388,'CEDARS School FRPL'!C:H,4,FALSE),"No")</f>
        <v>Yes</v>
      </c>
      <c r="K388" s="109"/>
      <c r="L388" s="109"/>
      <c r="M388" s="110">
        <f>IFERROR(VLOOKUP($C388,'CEDARS School FRPL'!C:H,3,FALSE),0)</f>
        <v>0.52746666666666664</v>
      </c>
      <c r="N388" s="123" t="str">
        <f>IFERROR(VLOOKUP(C388,'CEDARS School FRPL'!C:H,6,FALSE),"No")</f>
        <v>No</v>
      </c>
      <c r="O388" s="147"/>
      <c r="P388" s="148"/>
    </row>
    <row r="389" spans="1:16">
      <c r="A389" s="95" t="s">
        <v>2507</v>
      </c>
      <c r="B389" s="95" t="s">
        <v>1936</v>
      </c>
      <c r="C389" s="4">
        <v>1594</v>
      </c>
      <c r="D389" s="95" t="s">
        <v>1937</v>
      </c>
      <c r="E389" s="145">
        <v>65.099999999999994</v>
      </c>
      <c r="F389" s="145">
        <v>1.5</v>
      </c>
      <c r="G389" s="145">
        <v>10</v>
      </c>
      <c r="H389" s="145">
        <v>0</v>
      </c>
      <c r="I389" s="77">
        <f t="shared" si="9"/>
        <v>76.599999999999994</v>
      </c>
      <c r="J389" s="123" t="str">
        <f>IFERROR(VLOOKUP($C389,'CEDARS School FRPL'!C:H,4,FALSE),"No")</f>
        <v>Yes</v>
      </c>
      <c r="K389" s="109"/>
      <c r="L389" s="109"/>
      <c r="M389" s="110">
        <f>IFERROR(VLOOKUP($C389,'CEDARS School FRPL'!C:H,3,FALSE),0)</f>
        <v>0.5440666666666667</v>
      </c>
      <c r="N389" s="123" t="str">
        <f>IFERROR(VLOOKUP(C389,'CEDARS School FRPL'!C:H,6,FALSE),"No")</f>
        <v>No</v>
      </c>
      <c r="O389" s="147"/>
      <c r="P389" s="148"/>
    </row>
    <row r="390" spans="1:16">
      <c r="A390" s="95" t="s">
        <v>2507</v>
      </c>
      <c r="B390" s="95" t="s">
        <v>1936</v>
      </c>
      <c r="C390" s="4">
        <v>2957</v>
      </c>
      <c r="D390" s="95" t="s">
        <v>1938</v>
      </c>
      <c r="E390" s="145">
        <v>316.19</v>
      </c>
      <c r="F390" s="145">
        <v>0</v>
      </c>
      <c r="G390" s="145">
        <v>0</v>
      </c>
      <c r="H390" s="145">
        <v>0</v>
      </c>
      <c r="I390" s="77">
        <f t="shared" si="9"/>
        <v>316.19</v>
      </c>
      <c r="J390" s="123" t="str">
        <f>IFERROR(VLOOKUP($C390,'CEDARS School FRPL'!C:H,4,FALSE),"No")</f>
        <v>Yes</v>
      </c>
      <c r="K390" s="109"/>
      <c r="L390" s="109"/>
      <c r="M390" s="110">
        <f>IFERROR(VLOOKUP($C390,'CEDARS School FRPL'!C:H,3,FALSE),0)</f>
        <v>0.50873333333333337</v>
      </c>
      <c r="N390" s="123" t="str">
        <f>IFERROR(VLOOKUP(C390,'CEDARS School FRPL'!C:H,6,FALSE),"No")</f>
        <v>No</v>
      </c>
      <c r="O390" s="147"/>
      <c r="P390" s="148"/>
    </row>
    <row r="391" spans="1:16">
      <c r="A391" s="95" t="s">
        <v>2507</v>
      </c>
      <c r="B391" s="95" t="s">
        <v>1936</v>
      </c>
      <c r="C391" s="4">
        <v>3310</v>
      </c>
      <c r="D391" s="95" t="s">
        <v>1939</v>
      </c>
      <c r="E391" s="145">
        <v>490.19</v>
      </c>
      <c r="F391" s="145">
        <v>22.529999999999998</v>
      </c>
      <c r="G391" s="145">
        <v>0</v>
      </c>
      <c r="H391" s="145">
        <v>0</v>
      </c>
      <c r="I391" s="77">
        <f t="shared" si="9"/>
        <v>512.72</v>
      </c>
      <c r="J391" s="123" t="str">
        <f>IFERROR(VLOOKUP($C391,'CEDARS School FRPL'!C:H,4,FALSE),"No")</f>
        <v>No</v>
      </c>
      <c r="K391" s="109"/>
      <c r="L391" s="109"/>
      <c r="M391" s="110">
        <f>IFERROR(VLOOKUP($C391,'CEDARS School FRPL'!C:H,3,FALSE),0)</f>
        <v>0.45346666666666668</v>
      </c>
      <c r="N391" s="123" t="str">
        <f>IFERROR(VLOOKUP(C391,'CEDARS School FRPL'!C:H,6,FALSE),"No")</f>
        <v>No</v>
      </c>
      <c r="O391" s="147"/>
      <c r="P391" s="148"/>
    </row>
    <row r="392" spans="1:16">
      <c r="A392" s="95" t="s">
        <v>2507</v>
      </c>
      <c r="B392" s="95" t="s">
        <v>1936</v>
      </c>
      <c r="C392" s="4">
        <v>3831</v>
      </c>
      <c r="D392" s="95" t="s">
        <v>1940</v>
      </c>
      <c r="E392" s="145">
        <v>367.81</v>
      </c>
      <c r="F392" s="145">
        <v>0</v>
      </c>
      <c r="G392" s="145">
        <v>0</v>
      </c>
      <c r="H392" s="145">
        <v>0</v>
      </c>
      <c r="I392" s="77">
        <f t="shared" si="9"/>
        <v>367.81</v>
      </c>
      <c r="J392" s="123" t="str">
        <f>IFERROR(VLOOKUP($C392,'CEDARS School FRPL'!C:H,4,FALSE),"No")</f>
        <v>Yes</v>
      </c>
      <c r="K392" s="109"/>
      <c r="L392" s="109"/>
      <c r="M392" s="110">
        <f>IFERROR(VLOOKUP($C392,'CEDARS School FRPL'!C:H,3,FALSE),0)</f>
        <v>0.50866666666666671</v>
      </c>
      <c r="N392" s="123" t="str">
        <f>IFERROR(VLOOKUP(C392,'CEDARS School FRPL'!C:H,6,FALSE),"No")</f>
        <v>No</v>
      </c>
      <c r="O392" s="147"/>
      <c r="P392" s="148"/>
    </row>
    <row r="393" spans="1:16">
      <c r="A393" s="95" t="s">
        <v>2507</v>
      </c>
      <c r="B393" s="95" t="s">
        <v>1936</v>
      </c>
      <c r="C393" s="4">
        <v>4180</v>
      </c>
      <c r="D393" s="95" t="s">
        <v>1941</v>
      </c>
      <c r="E393" s="145">
        <v>343.84</v>
      </c>
      <c r="F393" s="145">
        <v>0</v>
      </c>
      <c r="G393" s="145">
        <v>0</v>
      </c>
      <c r="H393" s="145">
        <v>0</v>
      </c>
      <c r="I393" s="77">
        <f t="shared" si="9"/>
        <v>343.84</v>
      </c>
      <c r="J393" s="123" t="str">
        <f>IFERROR(VLOOKUP($C393,'CEDARS School FRPL'!C:H,4,FALSE),"No")</f>
        <v>Yes</v>
      </c>
      <c r="K393" s="109"/>
      <c r="L393" s="109"/>
      <c r="M393" s="110">
        <f>IFERROR(VLOOKUP($C393,'CEDARS School FRPL'!C:H,3,FALSE),0)</f>
        <v>0.56956666666666667</v>
      </c>
      <c r="N393" s="123" t="str">
        <f>IFERROR(VLOOKUP(C393,'CEDARS School FRPL'!C:H,6,FALSE),"No")</f>
        <v>No</v>
      </c>
      <c r="O393" s="147"/>
      <c r="P393" s="148"/>
    </row>
    <row r="394" spans="1:16">
      <c r="A394" s="95" t="s">
        <v>2507</v>
      </c>
      <c r="B394" s="95" t="s">
        <v>1936</v>
      </c>
      <c r="C394" s="4">
        <v>5604</v>
      </c>
      <c r="D394" s="95" t="s">
        <v>2982</v>
      </c>
      <c r="E394" s="145">
        <v>13.14</v>
      </c>
      <c r="F394" s="145">
        <v>0</v>
      </c>
      <c r="G394" s="145">
        <v>0</v>
      </c>
      <c r="H394" s="145">
        <v>0</v>
      </c>
      <c r="I394" s="77">
        <f t="shared" si="9"/>
        <v>13.14</v>
      </c>
      <c r="J394" s="123" t="str">
        <f>IFERROR(VLOOKUP($C394,'CEDARS School FRPL'!C:H,4,FALSE),"No")</f>
        <v>No</v>
      </c>
      <c r="K394" s="109"/>
      <c r="L394" s="109"/>
      <c r="M394" s="110">
        <f>IFERROR(VLOOKUP($C394,'CEDARS School FRPL'!C:H,3,FALSE),0)</f>
        <v>0</v>
      </c>
      <c r="N394" s="123" t="str">
        <f>IFERROR(VLOOKUP(C394,'CEDARS School FRPL'!C:H,6,FALSE),"No")</f>
        <v>No</v>
      </c>
      <c r="O394" s="147"/>
      <c r="P394" s="148"/>
    </row>
    <row r="395" spans="1:16">
      <c r="A395" s="95" t="s">
        <v>2460</v>
      </c>
      <c r="B395" s="95" t="s">
        <v>1542</v>
      </c>
      <c r="C395" s="4">
        <v>1605</v>
      </c>
      <c r="D395" s="95" t="s">
        <v>1543</v>
      </c>
      <c r="E395" s="145">
        <v>4.96</v>
      </c>
      <c r="F395" s="145">
        <v>0</v>
      </c>
      <c r="G395" s="145">
        <v>0</v>
      </c>
      <c r="H395" s="145">
        <v>0</v>
      </c>
      <c r="I395" s="77">
        <f t="shared" si="9"/>
        <v>4.96</v>
      </c>
      <c r="J395" s="123" t="str">
        <f>IFERROR(VLOOKUP($C395,'CEDARS School FRPL'!C:H,4,FALSE),"No")</f>
        <v>Yes</v>
      </c>
      <c r="K395" s="109"/>
      <c r="L395" s="109"/>
      <c r="M395" s="110">
        <f>IFERROR(VLOOKUP($C395,'CEDARS School FRPL'!C:H,3,FALSE),0)</f>
        <v>0.67410000000000003</v>
      </c>
      <c r="N395" s="123" t="str">
        <f>IFERROR(VLOOKUP(C395,'CEDARS School FRPL'!C:H,6,FALSE),"No")</f>
        <v>No</v>
      </c>
      <c r="O395" s="147"/>
      <c r="P395" s="148"/>
    </row>
    <row r="396" spans="1:16">
      <c r="A396" s="95" t="s">
        <v>2460</v>
      </c>
      <c r="B396" s="95" t="s">
        <v>1542</v>
      </c>
      <c r="C396" s="4">
        <v>2577</v>
      </c>
      <c r="D396" s="95" t="s">
        <v>1544</v>
      </c>
      <c r="E396" s="145">
        <v>290.44</v>
      </c>
      <c r="F396" s="145">
        <v>0</v>
      </c>
      <c r="G396" s="145">
        <v>0</v>
      </c>
      <c r="H396" s="145">
        <v>0</v>
      </c>
      <c r="I396" s="77">
        <f t="shared" si="9"/>
        <v>290.44</v>
      </c>
      <c r="J396" s="123" t="str">
        <f>IFERROR(VLOOKUP($C396,'CEDARS School FRPL'!C:H,4,FALSE),"No")</f>
        <v>Yes</v>
      </c>
      <c r="K396" s="109"/>
      <c r="L396" s="109"/>
      <c r="M396" s="110">
        <f>IFERROR(VLOOKUP($C396,'CEDARS School FRPL'!C:H,3,FALSE),0)</f>
        <v>0.7488999999999999</v>
      </c>
      <c r="N396" s="123" t="str">
        <f>IFERROR(VLOOKUP(C396,'CEDARS School FRPL'!C:H,6,FALSE),"No")</f>
        <v>No</v>
      </c>
      <c r="O396" s="147"/>
      <c r="P396" s="148"/>
    </row>
    <row r="397" spans="1:16">
      <c r="A397" s="95" t="s">
        <v>2460</v>
      </c>
      <c r="B397" s="95" t="s">
        <v>1542</v>
      </c>
      <c r="C397" s="4">
        <v>2810</v>
      </c>
      <c r="D397" s="95" t="s">
        <v>1545</v>
      </c>
      <c r="E397" s="145">
        <v>188.18</v>
      </c>
      <c r="F397" s="145">
        <v>3.01</v>
      </c>
      <c r="G397" s="145">
        <v>0</v>
      </c>
      <c r="H397" s="145">
        <v>0</v>
      </c>
      <c r="I397" s="77">
        <f t="shared" si="9"/>
        <v>191.19</v>
      </c>
      <c r="J397" s="123" t="str">
        <f>IFERROR(VLOOKUP($C397,'CEDARS School FRPL'!C:H,4,FALSE),"No")</f>
        <v>Yes</v>
      </c>
      <c r="K397" s="109"/>
      <c r="L397" s="109"/>
      <c r="M397" s="110">
        <f>IFERROR(VLOOKUP($C397,'CEDARS School FRPL'!C:H,3,FALSE),0)</f>
        <v>0.79033333333333333</v>
      </c>
      <c r="N397" s="123" t="str">
        <f>IFERROR(VLOOKUP(C397,'CEDARS School FRPL'!C:H,6,FALSE),"No")</f>
        <v>No</v>
      </c>
      <c r="O397" s="147"/>
      <c r="P397" s="148"/>
    </row>
    <row r="398" spans="1:16">
      <c r="A398" s="95" t="s">
        <v>2465</v>
      </c>
      <c r="B398" s="95" t="s">
        <v>1573</v>
      </c>
      <c r="C398" s="4">
        <v>2578</v>
      </c>
      <c r="D398" s="95" t="s">
        <v>1574</v>
      </c>
      <c r="E398" s="145">
        <v>450.33</v>
      </c>
      <c r="F398" s="145">
        <v>0</v>
      </c>
      <c r="G398" s="145">
        <v>0</v>
      </c>
      <c r="H398" s="145">
        <v>0</v>
      </c>
      <c r="I398" s="77">
        <f t="shared" si="9"/>
        <v>450.33</v>
      </c>
      <c r="J398" s="123" t="str">
        <f>IFERROR(VLOOKUP($C398,'CEDARS School FRPL'!C:H,4,FALSE),"No")</f>
        <v>No</v>
      </c>
      <c r="K398" s="109"/>
      <c r="L398" s="109"/>
      <c r="M398" s="110">
        <f>IFERROR(VLOOKUP($C398,'CEDARS School FRPL'!C:H,3,FALSE),0)</f>
        <v>0.17860000000000001</v>
      </c>
      <c r="N398" s="123" t="str">
        <f>IFERROR(VLOOKUP(C398,'CEDARS School FRPL'!C:H,6,FALSE),"No")</f>
        <v>No</v>
      </c>
      <c r="O398" s="147"/>
      <c r="P398" s="148"/>
    </row>
    <row r="399" spans="1:16">
      <c r="A399" s="95" t="s">
        <v>2335</v>
      </c>
      <c r="B399" s="95" t="s">
        <v>501</v>
      </c>
      <c r="C399" s="4">
        <v>3326</v>
      </c>
      <c r="D399" s="95" t="s">
        <v>502</v>
      </c>
      <c r="E399" s="145">
        <v>164.64</v>
      </c>
      <c r="F399" s="145">
        <v>0</v>
      </c>
      <c r="G399" s="145">
        <v>0</v>
      </c>
      <c r="H399" s="145">
        <v>0</v>
      </c>
      <c r="I399" s="77">
        <f t="shared" si="9"/>
        <v>164.64</v>
      </c>
      <c r="J399" s="123" t="str">
        <f>IFERROR(VLOOKUP($C399,'CEDARS School FRPL'!C:H,4,FALSE),"No")</f>
        <v>No</v>
      </c>
      <c r="K399" s="109"/>
      <c r="L399" s="109"/>
      <c r="M399" s="110">
        <f>IFERROR(VLOOKUP($C399,'CEDARS School FRPL'!C:H,3,FALSE),0)</f>
        <v>0.42336666666666667</v>
      </c>
      <c r="N399" s="123" t="str">
        <f>IFERROR(VLOOKUP(C399,'CEDARS School FRPL'!C:H,6,FALSE),"No")</f>
        <v>No</v>
      </c>
      <c r="O399" s="147"/>
      <c r="P399" s="148"/>
    </row>
    <row r="400" spans="1:16">
      <c r="A400" s="95" t="s">
        <v>2320</v>
      </c>
      <c r="B400" s="95" t="s">
        <v>425</v>
      </c>
      <c r="C400" s="4">
        <v>2693</v>
      </c>
      <c r="D400" s="95" t="s">
        <v>426</v>
      </c>
      <c r="E400" s="145">
        <v>104.58</v>
      </c>
      <c r="F400" s="145">
        <v>0</v>
      </c>
      <c r="G400" s="145">
        <v>0</v>
      </c>
      <c r="H400" s="145">
        <v>0</v>
      </c>
      <c r="I400" s="77">
        <f t="shared" si="9"/>
        <v>104.58</v>
      </c>
      <c r="J400" s="123" t="str">
        <f>IFERROR(VLOOKUP($C400,'CEDARS School FRPL'!C:H,4,FALSE),"No")</f>
        <v>No</v>
      </c>
      <c r="K400" s="109"/>
      <c r="L400" s="109"/>
      <c r="M400" s="110">
        <f>IFERROR(VLOOKUP($C400,'CEDARS School FRPL'!C:H,3,FALSE),0)</f>
        <v>0.45406666666666667</v>
      </c>
      <c r="N400" s="123" t="str">
        <f>IFERROR(VLOOKUP(C400,'CEDARS School FRPL'!C:H,6,FALSE),"No")</f>
        <v>No</v>
      </c>
      <c r="O400" s="147"/>
      <c r="P400" s="148"/>
    </row>
    <row r="401" spans="1:16">
      <c r="A401" s="95" t="s">
        <v>2320</v>
      </c>
      <c r="B401" s="95" t="s">
        <v>425</v>
      </c>
      <c r="C401" s="4">
        <v>2968</v>
      </c>
      <c r="D401" s="95" t="s">
        <v>427</v>
      </c>
      <c r="E401" s="145">
        <v>106.27</v>
      </c>
      <c r="F401" s="145">
        <v>4</v>
      </c>
      <c r="G401" s="145">
        <v>0</v>
      </c>
      <c r="H401" s="145">
        <v>0</v>
      </c>
      <c r="I401" s="77">
        <f t="shared" si="9"/>
        <v>110.27</v>
      </c>
      <c r="J401" s="123" t="str">
        <f>IFERROR(VLOOKUP($C401,'CEDARS School FRPL'!C:H,4,FALSE),"No")</f>
        <v>No</v>
      </c>
      <c r="K401" s="107"/>
      <c r="L401" s="107"/>
      <c r="M401" s="110">
        <f>IFERROR(VLOOKUP($C401,'CEDARS School FRPL'!C:H,3,FALSE),0)</f>
        <v>0.41539999999999999</v>
      </c>
      <c r="N401" s="123" t="str">
        <f>IFERROR(VLOOKUP(C401,'CEDARS School FRPL'!C:H,6,FALSE),"No")</f>
        <v>No</v>
      </c>
      <c r="O401" s="147"/>
      <c r="P401" s="148"/>
    </row>
    <row r="402" spans="1:16">
      <c r="A402" s="95" t="s">
        <v>2341</v>
      </c>
      <c r="B402" s="95" t="s">
        <v>522</v>
      </c>
      <c r="C402" s="4">
        <v>2625</v>
      </c>
      <c r="D402" s="95" t="s">
        <v>523</v>
      </c>
      <c r="E402" s="145">
        <v>252.39</v>
      </c>
      <c r="F402" s="145">
        <v>37.64</v>
      </c>
      <c r="G402" s="145">
        <v>0</v>
      </c>
      <c r="H402" s="145">
        <v>0</v>
      </c>
      <c r="I402" s="77">
        <f t="shared" si="9"/>
        <v>290.02999999999997</v>
      </c>
      <c r="J402" s="123" t="str">
        <f>IFERROR(VLOOKUP($C402,'CEDARS School FRPL'!C:H,4,FALSE),"No")</f>
        <v>No</v>
      </c>
      <c r="K402" s="109"/>
      <c r="L402" s="109"/>
      <c r="M402" s="110">
        <f>IFERROR(VLOOKUP($C402,'CEDARS School FRPL'!C:H,3,FALSE),0)</f>
        <v>0.27843333333333331</v>
      </c>
      <c r="N402" s="123" t="str">
        <f>IFERROR(VLOOKUP(C402,'CEDARS School FRPL'!C:H,6,FALSE),"No")</f>
        <v>No</v>
      </c>
      <c r="O402" s="147"/>
      <c r="P402" s="148"/>
    </row>
    <row r="403" spans="1:16">
      <c r="A403" s="95" t="s">
        <v>2341</v>
      </c>
      <c r="B403" s="95" t="s">
        <v>522</v>
      </c>
      <c r="C403" s="4">
        <v>3664</v>
      </c>
      <c r="D403" s="95" t="s">
        <v>524</v>
      </c>
      <c r="E403" s="145">
        <v>430</v>
      </c>
      <c r="F403" s="145">
        <v>0</v>
      </c>
      <c r="G403" s="145">
        <v>0</v>
      </c>
      <c r="H403" s="145">
        <v>0</v>
      </c>
      <c r="I403" s="77">
        <f t="shared" si="9"/>
        <v>430</v>
      </c>
      <c r="J403" s="123" t="str">
        <f>IFERROR(VLOOKUP($C403,'CEDARS School FRPL'!C:H,4,FALSE),"No")</f>
        <v>No</v>
      </c>
      <c r="K403" s="109"/>
      <c r="L403" s="109"/>
      <c r="M403" s="110">
        <f>IFERROR(VLOOKUP($C403,'CEDARS School FRPL'!C:H,3,FALSE),0)</f>
        <v>0.33183333333333337</v>
      </c>
      <c r="N403" s="123" t="str">
        <f>IFERROR(VLOOKUP(C403,'CEDARS School FRPL'!C:H,6,FALSE),"No")</f>
        <v>No</v>
      </c>
      <c r="O403" s="147"/>
      <c r="P403" s="148"/>
    </row>
    <row r="404" spans="1:16">
      <c r="A404" s="95" t="s">
        <v>2341</v>
      </c>
      <c r="B404" s="95" t="s">
        <v>522</v>
      </c>
      <c r="C404" s="4">
        <v>4004</v>
      </c>
      <c r="D404" s="95" t="s">
        <v>525</v>
      </c>
      <c r="E404" s="145">
        <v>193.57</v>
      </c>
      <c r="F404" s="145">
        <v>0</v>
      </c>
      <c r="G404" s="145">
        <v>0</v>
      </c>
      <c r="H404" s="145">
        <v>0</v>
      </c>
      <c r="I404" s="77">
        <f t="shared" si="9"/>
        <v>193.57</v>
      </c>
      <c r="J404" s="123" t="str">
        <f>IFERROR(VLOOKUP($C404,'CEDARS School FRPL'!C:H,4,FALSE),"No")</f>
        <v>No</v>
      </c>
      <c r="K404" s="109"/>
      <c r="L404" s="109"/>
      <c r="M404" s="110">
        <f>IFERROR(VLOOKUP($C404,'CEDARS School FRPL'!C:H,3,FALSE),0)</f>
        <v>0.33089999999999997</v>
      </c>
      <c r="N404" s="123" t="str">
        <f>IFERROR(VLOOKUP(C404,'CEDARS School FRPL'!C:H,6,FALSE),"No")</f>
        <v>No</v>
      </c>
      <c r="O404" s="147"/>
      <c r="P404" s="148"/>
    </row>
    <row r="405" spans="1:16">
      <c r="A405" s="95" t="s">
        <v>2341</v>
      </c>
      <c r="B405" s="95" t="s">
        <v>522</v>
      </c>
      <c r="C405" s="4">
        <v>5412</v>
      </c>
      <c r="D405" s="95" t="s">
        <v>526</v>
      </c>
      <c r="E405" s="145">
        <v>0</v>
      </c>
      <c r="F405" s="145">
        <v>0</v>
      </c>
      <c r="G405" s="145">
        <v>52.43</v>
      </c>
      <c r="H405" s="145">
        <v>0</v>
      </c>
      <c r="I405" s="77">
        <f t="shared" si="9"/>
        <v>52.43</v>
      </c>
      <c r="J405" s="123" t="str">
        <f>IFERROR(VLOOKUP($C405,'CEDARS School FRPL'!C:H,4,FALSE),"No")</f>
        <v>Yes</v>
      </c>
      <c r="K405" s="109"/>
      <c r="L405" s="109"/>
      <c r="M405" s="110">
        <f>IFERROR(VLOOKUP($C405,'CEDARS School FRPL'!C:H,3,FALSE),0)</f>
        <v>0.56856666666666666</v>
      </c>
      <c r="N405" s="123" t="str">
        <f>IFERROR(VLOOKUP(C405,'CEDARS School FRPL'!C:H,6,FALSE),"No")</f>
        <v>No</v>
      </c>
      <c r="O405" s="147"/>
      <c r="P405" s="148"/>
    </row>
    <row r="406" spans="1:16">
      <c r="A406" s="95" t="s">
        <v>2278</v>
      </c>
      <c r="B406" s="95" t="s">
        <v>145</v>
      </c>
      <c r="C406" s="4">
        <v>3473</v>
      </c>
      <c r="D406" s="95" t="s">
        <v>146</v>
      </c>
      <c r="E406" s="145">
        <v>215.71</v>
      </c>
      <c r="F406" s="145">
        <v>4.2700000000000005</v>
      </c>
      <c r="G406" s="145">
        <v>0</v>
      </c>
      <c r="H406" s="145">
        <v>0</v>
      </c>
      <c r="I406" s="77">
        <f t="shared" si="9"/>
        <v>219.98000000000002</v>
      </c>
      <c r="J406" s="123" t="str">
        <f>IFERROR(VLOOKUP($C406,'CEDARS School FRPL'!C:H,4,FALSE),"No")</f>
        <v>Yes</v>
      </c>
      <c r="M406" s="110">
        <f>IFERROR(VLOOKUP($C406,'CEDARS School FRPL'!C:H,3,FALSE),0)</f>
        <v>0.56343333333333334</v>
      </c>
      <c r="N406" s="123" t="str">
        <f>IFERROR(VLOOKUP(C406,'CEDARS School FRPL'!C:H,6,FALSE),"No")</f>
        <v>No</v>
      </c>
      <c r="O406" s="147"/>
      <c r="P406" s="148"/>
    </row>
    <row r="407" spans="1:16">
      <c r="A407" s="95" t="s">
        <v>2278</v>
      </c>
      <c r="B407" s="95" t="s">
        <v>145</v>
      </c>
      <c r="C407" s="4">
        <v>5030</v>
      </c>
      <c r="D407" s="95" t="s">
        <v>147</v>
      </c>
      <c r="E407" s="145">
        <v>87.99</v>
      </c>
      <c r="F407" s="145">
        <v>0</v>
      </c>
      <c r="G407" s="145">
        <v>0</v>
      </c>
      <c r="H407" s="145">
        <v>0</v>
      </c>
      <c r="I407" s="77">
        <f t="shared" si="9"/>
        <v>87.99</v>
      </c>
      <c r="J407" s="123" t="str">
        <f>IFERROR(VLOOKUP($C407,'CEDARS School FRPL'!C:H,4,FALSE),"No")</f>
        <v>No</v>
      </c>
      <c r="K407" s="109"/>
      <c r="L407" s="109"/>
      <c r="M407" s="110">
        <f>IFERROR(VLOOKUP($C407,'CEDARS School FRPL'!C:H,3,FALSE),0)</f>
        <v>0.4437666666666667</v>
      </c>
      <c r="N407" s="123" t="str">
        <f>IFERROR(VLOOKUP(C407,'CEDARS School FRPL'!C:H,6,FALSE),"No")</f>
        <v>No</v>
      </c>
      <c r="O407" s="147"/>
      <c r="P407" s="148"/>
    </row>
    <row r="408" spans="1:16">
      <c r="A408" s="95" t="s">
        <v>2409</v>
      </c>
      <c r="B408" s="95" t="s">
        <v>1189</v>
      </c>
      <c r="C408" s="4">
        <v>2862</v>
      </c>
      <c r="D408" s="95" t="s">
        <v>1190</v>
      </c>
      <c r="E408" s="145">
        <v>40.86</v>
      </c>
      <c r="F408" s="145">
        <v>0</v>
      </c>
      <c r="G408" s="145">
        <v>0</v>
      </c>
      <c r="H408" s="145">
        <v>0</v>
      </c>
      <c r="I408" s="77">
        <f t="shared" si="9"/>
        <v>40.86</v>
      </c>
      <c r="J408" s="123" t="str">
        <f>IFERROR(VLOOKUP($C408,'CEDARS School FRPL'!C:H,4,FALSE),"No")</f>
        <v>Yes</v>
      </c>
      <c r="K408" s="109"/>
      <c r="L408" s="109"/>
      <c r="M408" s="110">
        <f>IFERROR(VLOOKUP($C408,'CEDARS School FRPL'!C:H,3,FALSE),0)</f>
        <v>0.5</v>
      </c>
      <c r="N408" s="123" t="str">
        <f>IFERROR(VLOOKUP(C408,'CEDARS School FRPL'!C:H,6,FALSE),"No")</f>
        <v>No</v>
      </c>
      <c r="O408" s="147"/>
      <c r="P408" s="148"/>
    </row>
    <row r="409" spans="1:16">
      <c r="A409" s="95" t="s">
        <v>2409</v>
      </c>
      <c r="B409" s="95" t="s">
        <v>1189</v>
      </c>
      <c r="C409" s="4">
        <v>2863</v>
      </c>
      <c r="D409" s="95" t="s">
        <v>1191</v>
      </c>
      <c r="E409" s="145">
        <v>46.14</v>
      </c>
      <c r="F409" s="145">
        <v>0</v>
      </c>
      <c r="G409" s="145">
        <v>0</v>
      </c>
      <c r="H409" s="145">
        <v>0</v>
      </c>
      <c r="I409" s="77">
        <f t="shared" si="9"/>
        <v>46.14</v>
      </c>
      <c r="J409" s="123" t="str">
        <f>IFERROR(VLOOKUP($C409,'CEDARS School FRPL'!C:H,4,FALSE),"No")</f>
        <v>No</v>
      </c>
      <c r="K409" s="109"/>
      <c r="L409" s="109"/>
      <c r="M409" s="110">
        <f>IFERROR(VLOOKUP($C409,'CEDARS School FRPL'!C:H,3,FALSE),0)</f>
        <v>0.32046666666666662</v>
      </c>
      <c r="N409" s="123" t="str">
        <f>IFERROR(VLOOKUP(C409,'CEDARS School FRPL'!C:H,6,FALSE),"No")</f>
        <v>No</v>
      </c>
      <c r="O409" s="147"/>
      <c r="P409" s="148"/>
    </row>
    <row r="410" spans="1:16">
      <c r="A410" s="95" t="s">
        <v>2308</v>
      </c>
      <c r="B410" s="95" t="s">
        <v>360</v>
      </c>
      <c r="C410" s="4">
        <v>2006</v>
      </c>
      <c r="D410" s="95" t="s">
        <v>361</v>
      </c>
      <c r="E410" s="145">
        <v>220.92</v>
      </c>
      <c r="F410" s="145">
        <v>0</v>
      </c>
      <c r="G410" s="145">
        <v>0</v>
      </c>
      <c r="H410" s="145">
        <v>0</v>
      </c>
      <c r="I410" s="77">
        <f t="shared" si="9"/>
        <v>220.92</v>
      </c>
      <c r="J410" s="123" t="str">
        <f>IFERROR(VLOOKUP($C410,'CEDARS School FRPL'!C:H,4,FALSE),"No")</f>
        <v>Yes</v>
      </c>
      <c r="M410" s="110">
        <f>IFERROR(VLOOKUP($C410,'CEDARS School FRPL'!C:H,3,FALSE),0)</f>
        <v>0.62673333333333325</v>
      </c>
      <c r="N410" s="123" t="str">
        <f>IFERROR(VLOOKUP(C410,'CEDARS School FRPL'!C:H,6,FALSE),"No")</f>
        <v>No</v>
      </c>
      <c r="O410" s="147"/>
      <c r="P410" s="148"/>
    </row>
    <row r="411" spans="1:16">
      <c r="A411" s="95" t="s">
        <v>2308</v>
      </c>
      <c r="B411" s="95" t="s">
        <v>360</v>
      </c>
      <c r="C411" s="4">
        <v>5530</v>
      </c>
      <c r="D411" s="95" t="s">
        <v>2777</v>
      </c>
      <c r="E411" s="145">
        <v>0</v>
      </c>
      <c r="F411" s="145">
        <v>0</v>
      </c>
      <c r="G411" s="145">
        <v>27.4</v>
      </c>
      <c r="H411" s="145">
        <v>0</v>
      </c>
      <c r="I411" s="77">
        <f t="shared" si="9"/>
        <v>27.4</v>
      </c>
      <c r="J411" s="123" t="str">
        <f>IFERROR(VLOOKUP($C411,'CEDARS School FRPL'!C:H,4,FALSE),"No")</f>
        <v>No</v>
      </c>
      <c r="K411" s="109"/>
      <c r="L411" s="109"/>
      <c r="M411" s="110">
        <f>IFERROR(VLOOKUP($C411,'CEDARS School FRPL'!C:H,3,FALSE),0)</f>
        <v>0</v>
      </c>
      <c r="N411" s="123" t="str">
        <f>IFERROR(VLOOKUP(C411,'CEDARS School FRPL'!C:H,6,FALSE),"No")</f>
        <v>No</v>
      </c>
      <c r="O411" s="147"/>
      <c r="P411" s="148"/>
    </row>
    <row r="412" spans="1:16">
      <c r="A412" s="95" t="s">
        <v>2436</v>
      </c>
      <c r="B412" s="95" t="s">
        <v>1285</v>
      </c>
      <c r="C412" s="4">
        <v>2423</v>
      </c>
      <c r="D412" s="95" t="s">
        <v>1286</v>
      </c>
      <c r="E412" s="145">
        <v>132.58000000000001</v>
      </c>
      <c r="F412" s="145">
        <v>0</v>
      </c>
      <c r="G412" s="145">
        <v>0</v>
      </c>
      <c r="H412" s="145">
        <v>0</v>
      </c>
      <c r="I412" s="77">
        <f t="shared" si="9"/>
        <v>132.58000000000001</v>
      </c>
      <c r="J412" s="123" t="str">
        <f>IFERROR(VLOOKUP($C412,'CEDARS School FRPL'!C:H,4,FALSE),"No")</f>
        <v>Yes</v>
      </c>
      <c r="K412" s="109"/>
      <c r="L412" s="109"/>
      <c r="M412" s="110">
        <f>IFERROR(VLOOKUP($C412,'CEDARS School FRPL'!C:H,3,FALSE),0)</f>
        <v>0.74940000000000007</v>
      </c>
      <c r="N412" s="123" t="str">
        <f>IFERROR(VLOOKUP(C412,'CEDARS School FRPL'!C:H,6,FALSE),"No")</f>
        <v>No</v>
      </c>
      <c r="O412" s="147"/>
      <c r="P412" s="148"/>
    </row>
    <row r="413" spans="1:16">
      <c r="A413" s="95" t="s">
        <v>2436</v>
      </c>
      <c r="B413" s="95" t="s">
        <v>1285</v>
      </c>
      <c r="C413" s="4">
        <v>2770</v>
      </c>
      <c r="D413" s="95" t="s">
        <v>1287</v>
      </c>
      <c r="E413" s="145">
        <v>86</v>
      </c>
      <c r="F413" s="145">
        <v>0</v>
      </c>
      <c r="G413" s="145">
        <v>0</v>
      </c>
      <c r="H413" s="145">
        <v>0</v>
      </c>
      <c r="I413" s="77">
        <f t="shared" si="9"/>
        <v>86</v>
      </c>
      <c r="J413" s="123" t="str">
        <f>IFERROR(VLOOKUP($C413,'CEDARS School FRPL'!C:H,4,FALSE),"No")</f>
        <v>Yes</v>
      </c>
      <c r="K413" s="109"/>
      <c r="L413" s="109"/>
      <c r="M413" s="110">
        <f>IFERROR(VLOOKUP($C413,'CEDARS School FRPL'!C:H,3,FALSE),0)</f>
        <v>0.69840000000000002</v>
      </c>
      <c r="N413" s="123" t="str">
        <f>IFERROR(VLOOKUP(C413,'CEDARS School FRPL'!C:H,6,FALSE),"No")</f>
        <v>No</v>
      </c>
      <c r="O413" s="147"/>
      <c r="P413" s="148"/>
    </row>
    <row r="414" spans="1:16">
      <c r="A414" s="95" t="s">
        <v>2436</v>
      </c>
      <c r="B414" s="95" t="s">
        <v>1285</v>
      </c>
      <c r="C414" s="4">
        <v>5538</v>
      </c>
      <c r="D414" s="95" t="s">
        <v>2799</v>
      </c>
      <c r="E414" s="145">
        <v>91.06</v>
      </c>
      <c r="F414" s="145">
        <v>0</v>
      </c>
      <c r="G414" s="145">
        <v>0</v>
      </c>
      <c r="H414" s="145">
        <v>0</v>
      </c>
      <c r="I414" s="77">
        <f t="shared" si="9"/>
        <v>91.06</v>
      </c>
      <c r="J414" s="123" t="str">
        <f>IFERROR(VLOOKUP($C414,'CEDARS School FRPL'!C:H,4,FALSE),"No")</f>
        <v>No</v>
      </c>
      <c r="K414" s="109"/>
      <c r="L414" s="109"/>
      <c r="M414" s="110">
        <f>IFERROR(VLOOKUP($C414,'CEDARS School FRPL'!C:H,3,FALSE),0)</f>
        <v>0.46066666666666672</v>
      </c>
      <c r="N414" s="123" t="str">
        <f>IFERROR(VLOOKUP(C414,'CEDARS School FRPL'!C:H,6,FALSE),"No")</f>
        <v>No</v>
      </c>
      <c r="O414" s="147"/>
      <c r="P414" s="148"/>
    </row>
    <row r="415" spans="1:16">
      <c r="A415" s="95" t="s">
        <v>2436</v>
      </c>
      <c r="B415" s="95" t="s">
        <v>1285</v>
      </c>
      <c r="C415" s="4">
        <v>5539</v>
      </c>
      <c r="D415" s="95" t="s">
        <v>2817</v>
      </c>
      <c r="E415" s="145">
        <v>12.82</v>
      </c>
      <c r="F415" s="145">
        <v>0</v>
      </c>
      <c r="G415" s="145">
        <v>0</v>
      </c>
      <c r="H415" s="145">
        <v>0</v>
      </c>
      <c r="I415" s="77">
        <f t="shared" si="9"/>
        <v>12.82</v>
      </c>
      <c r="J415" s="123" t="str">
        <f>IFERROR(VLOOKUP($C415,'CEDARS School FRPL'!C:H,4,FALSE),"No")</f>
        <v>Yes</v>
      </c>
      <c r="K415" s="109"/>
      <c r="L415" s="109"/>
      <c r="M415" s="110">
        <f>IFERROR(VLOOKUP($C415,'CEDARS School FRPL'!C:H,3,FALSE),0)</f>
        <v>0.73909999999999998</v>
      </c>
      <c r="N415" s="123" t="str">
        <f>IFERROR(VLOOKUP(C415,'CEDARS School FRPL'!C:H,6,FALSE),"No")</f>
        <v>No</v>
      </c>
      <c r="O415" s="147"/>
      <c r="P415" s="148"/>
    </row>
    <row r="416" spans="1:16">
      <c r="A416" s="95" t="s">
        <v>2377</v>
      </c>
      <c r="B416" s="95" t="s">
        <v>1083</v>
      </c>
      <c r="C416" s="4">
        <v>2077</v>
      </c>
      <c r="D416" s="95" t="s">
        <v>1084</v>
      </c>
      <c r="E416" s="145">
        <v>41</v>
      </c>
      <c r="F416" s="145">
        <v>0</v>
      </c>
      <c r="G416" s="145">
        <v>0</v>
      </c>
      <c r="H416" s="145">
        <v>0</v>
      </c>
      <c r="I416" s="77">
        <f t="shared" si="9"/>
        <v>41</v>
      </c>
      <c r="J416" s="123" t="str">
        <f>IFERROR(VLOOKUP($C416,'CEDARS School FRPL'!C:H,4,FALSE),"No")</f>
        <v>No</v>
      </c>
      <c r="K416" s="109"/>
      <c r="L416" s="109"/>
      <c r="M416" s="110">
        <f>IFERROR(VLOOKUP($C416,'CEDARS School FRPL'!C:H,3,FALSE),0)</f>
        <v>0</v>
      </c>
      <c r="N416" s="123" t="str">
        <f>IFERROR(VLOOKUP(C416,'CEDARS School FRPL'!C:H,6,FALSE),"No")</f>
        <v>No</v>
      </c>
      <c r="O416" s="147"/>
      <c r="P416" s="148"/>
    </row>
    <row r="417" spans="1:16">
      <c r="A417" s="95" t="s">
        <v>2483</v>
      </c>
      <c r="B417" s="95" t="s">
        <v>1752</v>
      </c>
      <c r="C417" s="4">
        <v>3188</v>
      </c>
      <c r="D417" s="95" t="s">
        <v>2876</v>
      </c>
      <c r="E417" s="145">
        <v>114.78</v>
      </c>
      <c r="F417" s="145">
        <v>1.22</v>
      </c>
      <c r="G417" s="145">
        <v>0</v>
      </c>
      <c r="H417" s="145">
        <v>0</v>
      </c>
      <c r="I417" s="77">
        <f t="shared" si="9"/>
        <v>116</v>
      </c>
      <c r="J417" s="123" t="str">
        <f>IFERROR(VLOOKUP($C417,'CEDARS School FRPL'!C:H,4,FALSE),"No")</f>
        <v>No</v>
      </c>
      <c r="K417" s="109"/>
      <c r="L417" s="109"/>
      <c r="M417" s="110">
        <f>IFERROR(VLOOKUP($C417,'CEDARS School FRPL'!C:H,3,FALSE),0)</f>
        <v>0.41593333333333332</v>
      </c>
      <c r="N417" s="123" t="str">
        <f>IFERROR(VLOOKUP(C417,'CEDARS School FRPL'!C:H,6,FALSE),"No")</f>
        <v>No</v>
      </c>
      <c r="O417" s="147"/>
      <c r="P417" s="148"/>
    </row>
    <row r="418" spans="1:16">
      <c r="A418" s="95" t="s">
        <v>2483</v>
      </c>
      <c r="B418" s="95" t="s">
        <v>1752</v>
      </c>
      <c r="C418" s="4">
        <v>3609</v>
      </c>
      <c r="D418" s="95" t="s">
        <v>1753</v>
      </c>
      <c r="E418" s="145">
        <v>290.61</v>
      </c>
      <c r="F418" s="145">
        <v>0</v>
      </c>
      <c r="G418" s="145">
        <v>0</v>
      </c>
      <c r="H418" s="145">
        <v>0</v>
      </c>
      <c r="I418" s="77">
        <f t="shared" si="9"/>
        <v>290.61</v>
      </c>
      <c r="J418" s="123" t="str">
        <f>IFERROR(VLOOKUP($C418,'CEDARS School FRPL'!C:H,4,FALSE),"No")</f>
        <v>Yes</v>
      </c>
      <c r="K418" s="109"/>
      <c r="L418" s="109"/>
      <c r="M418" s="110">
        <f>IFERROR(VLOOKUP($C418,'CEDARS School FRPL'!C:H,3,FALSE),0)</f>
        <v>0.51753333333333329</v>
      </c>
      <c r="N418" s="123" t="str">
        <f>IFERROR(VLOOKUP(C418,'CEDARS School FRPL'!C:H,6,FALSE),"No")</f>
        <v>No</v>
      </c>
      <c r="O418" s="147"/>
      <c r="P418" s="148"/>
    </row>
    <row r="419" spans="1:16">
      <c r="A419" s="95" t="s">
        <v>2413</v>
      </c>
      <c r="B419" s="95" t="s">
        <v>1201</v>
      </c>
      <c r="C419" s="4">
        <v>2668</v>
      </c>
      <c r="D419" s="95" t="s">
        <v>1202</v>
      </c>
      <c r="E419" s="145">
        <v>249.84</v>
      </c>
      <c r="F419" s="145">
        <v>0</v>
      </c>
      <c r="G419" s="145">
        <v>0</v>
      </c>
      <c r="H419" s="145">
        <v>0</v>
      </c>
      <c r="I419" s="77">
        <f t="shared" si="9"/>
        <v>249.84</v>
      </c>
      <c r="J419" s="123" t="str">
        <f>IFERROR(VLOOKUP($C419,'CEDARS School FRPL'!C:H,4,FALSE),"No")</f>
        <v>No</v>
      </c>
      <c r="K419" s="109"/>
      <c r="L419" s="109"/>
      <c r="M419" s="110">
        <f>IFERROR(VLOOKUP($C419,'CEDARS School FRPL'!C:H,3,FALSE),0)</f>
        <v>0.48049999999999998</v>
      </c>
      <c r="N419" s="123" t="str">
        <f>IFERROR(VLOOKUP(C419,'CEDARS School FRPL'!C:H,6,FALSE),"No")</f>
        <v>Yes</v>
      </c>
      <c r="O419" s="147"/>
      <c r="P419" s="148"/>
    </row>
    <row r="420" spans="1:16">
      <c r="A420" s="95" t="s">
        <v>2413</v>
      </c>
      <c r="B420" s="95" t="s">
        <v>1201</v>
      </c>
      <c r="C420" s="4">
        <v>3173</v>
      </c>
      <c r="D420" s="95" t="s">
        <v>1203</v>
      </c>
      <c r="E420" s="145">
        <v>306.99</v>
      </c>
      <c r="F420" s="145">
        <v>6.5600000000000005</v>
      </c>
      <c r="G420" s="145">
        <v>0</v>
      </c>
      <c r="H420" s="145">
        <v>0</v>
      </c>
      <c r="I420" s="77">
        <f t="shared" si="9"/>
        <v>313.55</v>
      </c>
      <c r="J420" s="123" t="str">
        <f>IFERROR(VLOOKUP($C420,'CEDARS School FRPL'!C:H,4,FALSE),"No")</f>
        <v>No</v>
      </c>
      <c r="K420" s="109"/>
      <c r="L420" s="109"/>
      <c r="M420" s="110">
        <f>IFERROR(VLOOKUP($C420,'CEDARS School FRPL'!C:H,3,FALSE),0)</f>
        <v>0.45283333333333337</v>
      </c>
      <c r="N420" s="123" t="str">
        <f>IFERROR(VLOOKUP(C420,'CEDARS School FRPL'!C:H,6,FALSE),"No")</f>
        <v>No</v>
      </c>
      <c r="O420" s="147"/>
      <c r="P420" s="148"/>
    </row>
    <row r="421" spans="1:16">
      <c r="A421" s="95" t="s">
        <v>2413</v>
      </c>
      <c r="B421" s="95" t="s">
        <v>1201</v>
      </c>
      <c r="C421" s="4">
        <v>5603</v>
      </c>
      <c r="D421" s="95" t="s">
        <v>2979</v>
      </c>
      <c r="E421" s="145">
        <v>1.54</v>
      </c>
      <c r="F421" s="145">
        <v>0</v>
      </c>
      <c r="G421" s="145">
        <v>0</v>
      </c>
      <c r="H421" s="145">
        <v>0</v>
      </c>
      <c r="I421" s="77">
        <f t="shared" si="9"/>
        <v>1.54</v>
      </c>
      <c r="J421" s="123" t="str">
        <f>IFERROR(VLOOKUP($C421,'CEDARS School FRPL'!C:H,4,FALSE),"No")</f>
        <v>No</v>
      </c>
      <c r="K421" s="109"/>
      <c r="L421" s="109"/>
      <c r="M421" s="110">
        <f>IFERROR(VLOOKUP($C421,'CEDARS School FRPL'!C:H,3,FALSE),0)</f>
        <v>0</v>
      </c>
      <c r="N421" s="123" t="str">
        <f>IFERROR(VLOOKUP(C421,'CEDARS School FRPL'!C:H,6,FALSE),"No")</f>
        <v>No</v>
      </c>
      <c r="O421" s="147"/>
      <c r="P421" s="148"/>
    </row>
    <row r="422" spans="1:16">
      <c r="A422" s="95" t="s">
        <v>2413</v>
      </c>
      <c r="B422" s="95" t="s">
        <v>1201</v>
      </c>
      <c r="C422" s="4">
        <v>5643</v>
      </c>
      <c r="D422" s="95" t="s">
        <v>3070</v>
      </c>
      <c r="E422" s="145">
        <v>5.7</v>
      </c>
      <c r="F422" s="145">
        <v>0</v>
      </c>
      <c r="G422" s="145">
        <v>0</v>
      </c>
      <c r="H422" s="145">
        <v>0</v>
      </c>
      <c r="I422" s="77">
        <f t="shared" si="9"/>
        <v>5.7</v>
      </c>
      <c r="J422" s="123" t="str">
        <f>IFERROR(VLOOKUP($C422,'CEDARS School FRPL'!C:H,4,FALSE),"No")</f>
        <v>No</v>
      </c>
      <c r="K422" s="109"/>
      <c r="L422" s="109"/>
      <c r="M422" s="110">
        <f>IFERROR(VLOOKUP($C422,'CEDARS School FRPL'!C:H,3,FALSE),0)</f>
        <v>0</v>
      </c>
      <c r="N422" s="123" t="str">
        <f>IFERROR(VLOOKUP(C422,'CEDARS School FRPL'!C:H,6,FALSE),"No")</f>
        <v>No</v>
      </c>
      <c r="O422" s="147"/>
      <c r="P422" s="148"/>
    </row>
    <row r="423" spans="1:16">
      <c r="A423" s="95" t="s">
        <v>2293</v>
      </c>
      <c r="B423" s="95" t="s">
        <v>290</v>
      </c>
      <c r="C423" s="4">
        <v>2302</v>
      </c>
      <c r="D423" s="95" t="s">
        <v>291</v>
      </c>
      <c r="E423" s="145">
        <v>92.97</v>
      </c>
      <c r="F423" s="145">
        <v>5.7299999999999995</v>
      </c>
      <c r="G423" s="145">
        <v>0.56999999999999995</v>
      </c>
      <c r="H423" s="145">
        <v>0</v>
      </c>
      <c r="I423" s="77">
        <f t="shared" si="9"/>
        <v>99.27</v>
      </c>
      <c r="J423" s="123" t="str">
        <f>IFERROR(VLOOKUP($C423,'CEDARS School FRPL'!C:H,4,FALSE),"No")</f>
        <v>Yes</v>
      </c>
      <c r="K423" s="109"/>
      <c r="L423" s="109"/>
      <c r="M423" s="110">
        <f>IFERROR(VLOOKUP($C423,'CEDARS School FRPL'!C:H,3,FALSE),0)</f>
        <v>0.53609999999999991</v>
      </c>
      <c r="N423" s="123" t="str">
        <f>IFERROR(VLOOKUP(C423,'CEDARS School FRPL'!C:H,6,FALSE),"No")</f>
        <v>No</v>
      </c>
      <c r="O423" s="147"/>
      <c r="P423" s="148"/>
    </row>
    <row r="424" spans="1:16">
      <c r="A424" s="95" t="s">
        <v>2293</v>
      </c>
      <c r="B424" s="95" t="s">
        <v>290</v>
      </c>
      <c r="C424" s="4">
        <v>2830</v>
      </c>
      <c r="D424" s="95" t="s">
        <v>292</v>
      </c>
      <c r="E424" s="145">
        <v>176.22</v>
      </c>
      <c r="F424" s="145">
        <v>0</v>
      </c>
      <c r="G424" s="145">
        <v>0</v>
      </c>
      <c r="H424" s="145">
        <v>0</v>
      </c>
      <c r="I424" s="77">
        <f t="shared" si="9"/>
        <v>176.22</v>
      </c>
      <c r="J424" s="123" t="str">
        <f>IFERROR(VLOOKUP($C424,'CEDARS School FRPL'!C:H,4,FALSE),"No")</f>
        <v>Yes</v>
      </c>
      <c r="K424" s="109"/>
      <c r="L424" s="109"/>
      <c r="M424" s="110">
        <f>IFERROR(VLOOKUP($C424,'CEDARS School FRPL'!C:H,3,FALSE),0)</f>
        <v>0.4985</v>
      </c>
      <c r="N424" s="123" t="str">
        <f>IFERROR(VLOOKUP(C424,'CEDARS School FRPL'!C:H,6,FALSE),"No")</f>
        <v>No</v>
      </c>
      <c r="O424" s="147"/>
      <c r="P424" s="148"/>
    </row>
    <row r="425" spans="1:16">
      <c r="A425" s="95" t="s">
        <v>2293</v>
      </c>
      <c r="B425" s="95" t="s">
        <v>290</v>
      </c>
      <c r="C425" s="4">
        <v>4011</v>
      </c>
      <c r="D425" s="95" t="s">
        <v>293</v>
      </c>
      <c r="E425" s="145">
        <v>76.33</v>
      </c>
      <c r="F425" s="145">
        <v>0</v>
      </c>
      <c r="G425" s="145">
        <v>0</v>
      </c>
      <c r="H425" s="145">
        <v>0</v>
      </c>
      <c r="I425" s="77">
        <f t="shared" si="9"/>
        <v>76.33</v>
      </c>
      <c r="J425" s="123" t="str">
        <f>IFERROR(VLOOKUP($C425,'CEDARS School FRPL'!C:H,4,FALSE),"No")</f>
        <v>Yes</v>
      </c>
      <c r="K425" s="109"/>
      <c r="L425" s="109"/>
      <c r="M425" s="110">
        <f>IFERROR(VLOOKUP($C425,'CEDARS School FRPL'!C:H,3,FALSE),0)</f>
        <v>0.52910000000000001</v>
      </c>
      <c r="N425" s="123" t="str">
        <f>IFERROR(VLOOKUP(C425,'CEDARS School FRPL'!C:H,6,FALSE),"No")</f>
        <v>No</v>
      </c>
      <c r="O425" s="147"/>
      <c r="P425" s="148"/>
    </row>
    <row r="426" spans="1:16">
      <c r="A426" s="95" t="s">
        <v>2293</v>
      </c>
      <c r="B426" s="95" t="s">
        <v>290</v>
      </c>
      <c r="C426" s="4">
        <v>5617</v>
      </c>
      <c r="D426" s="95" t="s">
        <v>2877</v>
      </c>
      <c r="E426" s="145">
        <v>0</v>
      </c>
      <c r="F426" s="145">
        <v>0</v>
      </c>
      <c r="G426" s="145">
        <v>1.72</v>
      </c>
      <c r="H426" s="145">
        <v>0</v>
      </c>
      <c r="I426" s="77">
        <f t="shared" si="9"/>
        <v>1.72</v>
      </c>
      <c r="J426" s="123" t="str">
        <f>IFERROR(VLOOKUP($C426,'CEDARS School FRPL'!C:H,4,FALSE),"No")</f>
        <v>No</v>
      </c>
      <c r="K426" s="109"/>
      <c r="L426" s="109"/>
      <c r="M426" s="110">
        <f>IFERROR(VLOOKUP($C426,'CEDARS School FRPL'!C:H,3,FALSE),0)</f>
        <v>0.45</v>
      </c>
      <c r="N426" s="123" t="str">
        <f>IFERROR(VLOOKUP(C426,'CEDARS School FRPL'!C:H,6,FALSE),"No")</f>
        <v>No</v>
      </c>
      <c r="O426" s="147"/>
      <c r="P426" s="148"/>
    </row>
    <row r="427" spans="1:16">
      <c r="A427" s="95" t="s">
        <v>2498</v>
      </c>
      <c r="B427" s="95" t="s">
        <v>1908</v>
      </c>
      <c r="C427" s="4">
        <v>1852</v>
      </c>
      <c r="D427" s="95" t="s">
        <v>1909</v>
      </c>
      <c r="E427" s="145">
        <v>474.41</v>
      </c>
      <c r="F427" s="145">
        <v>25.400000000000002</v>
      </c>
      <c r="G427" s="145">
        <v>0</v>
      </c>
      <c r="H427" s="145">
        <v>0</v>
      </c>
      <c r="I427" s="77">
        <f t="shared" si="9"/>
        <v>499.81</v>
      </c>
      <c r="J427" s="123" t="str">
        <f>IFERROR(VLOOKUP($C427,'CEDARS School FRPL'!C:H,4,FALSE),"No")</f>
        <v>No</v>
      </c>
      <c r="K427" s="109"/>
      <c r="L427" s="109"/>
      <c r="M427" s="110">
        <f>IFERROR(VLOOKUP($C427,'CEDARS School FRPL'!C:H,3,FALSE),0)</f>
        <v>0.315</v>
      </c>
      <c r="N427" s="123" t="str">
        <f>IFERROR(VLOOKUP(C427,'CEDARS School FRPL'!C:H,6,FALSE),"No")</f>
        <v>No</v>
      </c>
      <c r="O427" s="147"/>
      <c r="P427" s="148"/>
    </row>
    <row r="428" spans="1:16">
      <c r="A428" s="95" t="s">
        <v>2498</v>
      </c>
      <c r="B428" s="95" t="s">
        <v>1908</v>
      </c>
      <c r="C428" s="4">
        <v>2173</v>
      </c>
      <c r="D428" s="95" t="s">
        <v>1910</v>
      </c>
      <c r="E428" s="145">
        <v>451.29</v>
      </c>
      <c r="F428" s="145">
        <v>0</v>
      </c>
      <c r="G428" s="145">
        <v>0</v>
      </c>
      <c r="H428" s="145">
        <v>0</v>
      </c>
      <c r="I428" s="77">
        <f t="shared" si="9"/>
        <v>451.29</v>
      </c>
      <c r="J428" s="123" t="str">
        <f>IFERROR(VLOOKUP($C428,'CEDARS School FRPL'!C:H,4,FALSE),"No")</f>
        <v>Yes</v>
      </c>
      <c r="K428" s="109"/>
      <c r="L428" s="109"/>
      <c r="M428" s="110">
        <f>IFERROR(VLOOKUP($C428,'CEDARS School FRPL'!C:H,3,FALSE),0)</f>
        <v>0.51893333333333336</v>
      </c>
      <c r="N428" s="123" t="str">
        <f>IFERROR(VLOOKUP(C428,'CEDARS School FRPL'!C:H,6,FALSE),"No")</f>
        <v>No</v>
      </c>
      <c r="O428" s="147"/>
      <c r="P428" s="148"/>
    </row>
    <row r="429" spans="1:16">
      <c r="A429" s="95" t="s">
        <v>2498</v>
      </c>
      <c r="B429" s="95" t="s">
        <v>1908</v>
      </c>
      <c r="C429" s="4">
        <v>2430</v>
      </c>
      <c r="D429" s="95" t="s">
        <v>1911</v>
      </c>
      <c r="E429" s="145">
        <v>415.31</v>
      </c>
      <c r="F429" s="145">
        <v>0</v>
      </c>
      <c r="G429" s="145">
        <v>0</v>
      </c>
      <c r="H429" s="145">
        <v>0</v>
      </c>
      <c r="I429" s="77">
        <f t="shared" si="9"/>
        <v>415.31</v>
      </c>
      <c r="J429" s="123" t="str">
        <f>IFERROR(VLOOKUP($C429,'CEDARS School FRPL'!C:H,4,FALSE),"No")</f>
        <v>Yes</v>
      </c>
      <c r="K429" s="109"/>
      <c r="L429" s="109"/>
      <c r="M429" s="110">
        <f>IFERROR(VLOOKUP($C429,'CEDARS School FRPL'!C:H,3,FALSE),0)</f>
        <v>0.52113333333333334</v>
      </c>
      <c r="N429" s="123" t="str">
        <f>IFERROR(VLOOKUP(C429,'CEDARS School FRPL'!C:H,6,FALSE),"No")</f>
        <v>No</v>
      </c>
      <c r="O429" s="147"/>
      <c r="P429" s="148"/>
    </row>
    <row r="430" spans="1:16">
      <c r="A430" s="95" t="s">
        <v>2498</v>
      </c>
      <c r="B430" s="95" t="s">
        <v>1908</v>
      </c>
      <c r="C430" s="4">
        <v>3261</v>
      </c>
      <c r="D430" s="95" t="s">
        <v>1912</v>
      </c>
      <c r="E430" s="145">
        <v>457.78</v>
      </c>
      <c r="F430" s="145">
        <v>0</v>
      </c>
      <c r="G430" s="145">
        <v>0</v>
      </c>
      <c r="H430" s="145">
        <v>0</v>
      </c>
      <c r="I430" s="77">
        <f t="shared" si="9"/>
        <v>457.78</v>
      </c>
      <c r="J430" s="123" t="str">
        <f>IFERROR(VLOOKUP($C430,'CEDARS School FRPL'!C:H,4,FALSE),"No")</f>
        <v>Yes</v>
      </c>
      <c r="K430" s="109"/>
      <c r="L430" s="109"/>
      <c r="M430" s="110">
        <f>IFERROR(VLOOKUP($C430,'CEDARS School FRPL'!C:H,3,FALSE),0)</f>
        <v>0.53086666666666671</v>
      </c>
      <c r="N430" s="123" t="str">
        <f>IFERROR(VLOOKUP(C430,'CEDARS School FRPL'!C:H,6,FALSE),"No")</f>
        <v>No</v>
      </c>
      <c r="O430" s="147"/>
      <c r="P430" s="148"/>
    </row>
    <row r="431" spans="1:16">
      <c r="A431" s="95" t="s">
        <v>2498</v>
      </c>
      <c r="B431" s="95" t="s">
        <v>1908</v>
      </c>
      <c r="C431" s="4">
        <v>4123</v>
      </c>
      <c r="D431" s="95" t="s">
        <v>1913</v>
      </c>
      <c r="E431" s="145">
        <v>618.89</v>
      </c>
      <c r="F431" s="145">
        <v>57.25</v>
      </c>
      <c r="G431" s="145">
        <v>4.1399999999999997</v>
      </c>
      <c r="H431" s="145">
        <v>0</v>
      </c>
      <c r="I431" s="77">
        <f t="shared" si="9"/>
        <v>680.28</v>
      </c>
      <c r="J431" s="123" t="str">
        <f>IFERROR(VLOOKUP($C431,'CEDARS School FRPL'!C:H,4,FALSE),"No")</f>
        <v>No</v>
      </c>
      <c r="K431" s="109"/>
      <c r="L431" s="109"/>
      <c r="M431" s="110">
        <f>IFERROR(VLOOKUP($C431,'CEDARS School FRPL'!C:H,3,FALSE),0)</f>
        <v>0.48560000000000003</v>
      </c>
      <c r="N431" s="123" t="str">
        <f>IFERROR(VLOOKUP(C431,'CEDARS School FRPL'!C:H,6,FALSE),"No")</f>
        <v>No</v>
      </c>
      <c r="O431" s="147"/>
      <c r="P431" s="148"/>
    </row>
    <row r="432" spans="1:16">
      <c r="A432" s="95" t="s">
        <v>2444</v>
      </c>
      <c r="B432" s="95" t="s">
        <v>1409</v>
      </c>
      <c r="C432" s="4">
        <v>3683</v>
      </c>
      <c r="D432" s="95" t="s">
        <v>1410</v>
      </c>
      <c r="E432" s="145">
        <v>414.59</v>
      </c>
      <c r="F432" s="145">
        <v>0</v>
      </c>
      <c r="G432" s="145">
        <v>0</v>
      </c>
      <c r="H432" s="145">
        <v>0</v>
      </c>
      <c r="I432" s="77">
        <f t="shared" si="9"/>
        <v>414.59</v>
      </c>
      <c r="J432" s="123" t="str">
        <f>IFERROR(VLOOKUP($C432,'CEDARS School FRPL'!C:H,4,FALSE),"No")</f>
        <v>No</v>
      </c>
      <c r="K432" s="109"/>
      <c r="L432" s="109"/>
      <c r="M432" s="110">
        <f>IFERROR(VLOOKUP($C432,'CEDARS School FRPL'!C:H,3,FALSE),0)</f>
        <v>0.14669999999999997</v>
      </c>
      <c r="N432" s="123" t="str">
        <f>IFERROR(VLOOKUP(C432,'CEDARS School FRPL'!C:H,6,FALSE),"No")</f>
        <v>No</v>
      </c>
      <c r="O432" s="147"/>
      <c r="P432" s="148"/>
    </row>
    <row r="433" spans="1:16">
      <c r="A433" s="95" t="s">
        <v>2444</v>
      </c>
      <c r="B433" s="95" t="s">
        <v>1409</v>
      </c>
      <c r="C433" s="4">
        <v>4416</v>
      </c>
      <c r="D433" s="95" t="s">
        <v>1411</v>
      </c>
      <c r="E433" s="145">
        <v>515.02</v>
      </c>
      <c r="F433" s="145">
        <v>0</v>
      </c>
      <c r="G433" s="145">
        <v>0</v>
      </c>
      <c r="H433" s="145">
        <v>0</v>
      </c>
      <c r="I433" s="77">
        <f t="shared" si="9"/>
        <v>515.02</v>
      </c>
      <c r="J433" s="123" t="str">
        <f>IFERROR(VLOOKUP($C433,'CEDARS School FRPL'!C:H,4,FALSE),"No")</f>
        <v>No</v>
      </c>
      <c r="K433" s="109"/>
      <c r="L433" s="109"/>
      <c r="M433" s="110">
        <f>IFERROR(VLOOKUP($C433,'CEDARS School FRPL'!C:H,3,FALSE),0)</f>
        <v>0.15883333333333335</v>
      </c>
      <c r="N433" s="123" t="str">
        <f>IFERROR(VLOOKUP(C433,'CEDARS School FRPL'!C:H,6,FALSE),"No")</f>
        <v>No</v>
      </c>
      <c r="O433" s="147"/>
      <c r="P433" s="148"/>
    </row>
    <row r="434" spans="1:16">
      <c r="A434" s="95" t="s">
        <v>2444</v>
      </c>
      <c r="B434" s="95" t="s">
        <v>1409</v>
      </c>
      <c r="C434" s="4">
        <v>4548</v>
      </c>
      <c r="D434" s="95" t="s">
        <v>1412</v>
      </c>
      <c r="E434" s="145">
        <v>438.29</v>
      </c>
      <c r="F434" s="145">
        <v>0</v>
      </c>
      <c r="G434" s="145">
        <v>0</v>
      </c>
      <c r="H434" s="145">
        <v>0</v>
      </c>
      <c r="I434" s="77">
        <f t="shared" si="9"/>
        <v>438.29</v>
      </c>
      <c r="J434" s="123" t="str">
        <f>IFERROR(VLOOKUP($C434,'CEDARS School FRPL'!C:H,4,FALSE),"No")</f>
        <v>No</v>
      </c>
      <c r="K434" s="109"/>
      <c r="L434" s="109"/>
      <c r="M434" s="110">
        <f>IFERROR(VLOOKUP($C434,'CEDARS School FRPL'!C:H,3,FALSE),0)</f>
        <v>0.15833333333333333</v>
      </c>
      <c r="N434" s="123" t="str">
        <f>IFERROR(VLOOKUP(C434,'CEDARS School FRPL'!C:H,6,FALSE),"No")</f>
        <v>No</v>
      </c>
      <c r="O434" s="147"/>
      <c r="P434" s="148"/>
    </row>
    <row r="435" spans="1:16">
      <c r="A435" s="95" t="s">
        <v>2525</v>
      </c>
      <c r="B435" s="95" t="s">
        <v>2039</v>
      </c>
      <c r="C435" s="4">
        <v>2278</v>
      </c>
      <c r="D435" s="95" t="s">
        <v>2040</v>
      </c>
      <c r="E435" s="145">
        <v>17.43</v>
      </c>
      <c r="F435" s="145">
        <v>0</v>
      </c>
      <c r="G435" s="145">
        <v>0</v>
      </c>
      <c r="H435" s="145">
        <v>0</v>
      </c>
      <c r="I435" s="77">
        <f t="shared" si="9"/>
        <v>17.43</v>
      </c>
      <c r="J435" s="123" t="str">
        <f>IFERROR(VLOOKUP($C435,'CEDARS School FRPL'!C:H,4,FALSE),"No")</f>
        <v>Yes</v>
      </c>
      <c r="K435" s="109"/>
      <c r="L435" s="109"/>
      <c r="M435" s="110">
        <f>IFERROR(VLOOKUP($C435,'CEDARS School FRPL'!C:H,3,FALSE),0)</f>
        <v>1</v>
      </c>
      <c r="N435" s="123" t="str">
        <f>IFERROR(VLOOKUP(C435,'CEDARS School FRPL'!C:H,6,FALSE),"No")</f>
        <v>No</v>
      </c>
      <c r="O435" s="147"/>
      <c r="P435" s="148"/>
    </row>
    <row r="436" spans="1:16">
      <c r="A436" s="95" t="s">
        <v>2495</v>
      </c>
      <c r="B436" s="95" t="s">
        <v>1886</v>
      </c>
      <c r="C436" s="4">
        <v>1712</v>
      </c>
      <c r="D436" s="95" t="s">
        <v>1887</v>
      </c>
      <c r="E436" s="145">
        <v>362.06</v>
      </c>
      <c r="F436" s="145">
        <v>0</v>
      </c>
      <c r="G436" s="145">
        <v>0</v>
      </c>
      <c r="H436" s="145">
        <v>0</v>
      </c>
      <c r="I436" s="77">
        <f t="shared" si="9"/>
        <v>362.06</v>
      </c>
      <c r="J436" s="123" t="str">
        <f>IFERROR(VLOOKUP($C436,'CEDARS School FRPL'!C:H,4,FALSE),"No")</f>
        <v>No</v>
      </c>
      <c r="K436" s="109"/>
      <c r="L436" s="109"/>
      <c r="M436" s="110">
        <f>IFERROR(VLOOKUP($C436,'CEDARS School FRPL'!C:H,3,FALSE),0)</f>
        <v>0.27076666666666666</v>
      </c>
      <c r="N436" s="123" t="str">
        <f>IFERROR(VLOOKUP(C436,'CEDARS School FRPL'!C:H,6,FALSE),"No")</f>
        <v>No</v>
      </c>
      <c r="O436" s="147"/>
      <c r="P436" s="148"/>
    </row>
    <row r="437" spans="1:16">
      <c r="A437" s="95" t="s">
        <v>2495</v>
      </c>
      <c r="B437" s="95" t="s">
        <v>1886</v>
      </c>
      <c r="C437" s="4">
        <v>2653</v>
      </c>
      <c r="D437" s="95" t="s">
        <v>1888</v>
      </c>
      <c r="E437" s="145">
        <v>391.77</v>
      </c>
      <c r="F437" s="145">
        <v>0</v>
      </c>
      <c r="G437" s="145">
        <v>0</v>
      </c>
      <c r="H437" s="145">
        <v>0</v>
      </c>
      <c r="I437" s="77">
        <f t="shared" si="9"/>
        <v>391.77</v>
      </c>
      <c r="J437" s="123" t="str">
        <f>IFERROR(VLOOKUP($C437,'CEDARS School FRPL'!C:H,4,FALSE),"No")</f>
        <v>Yes</v>
      </c>
      <c r="K437" s="109"/>
      <c r="L437" s="109"/>
      <c r="M437" s="110">
        <f>IFERROR(VLOOKUP($C437,'CEDARS School FRPL'!C:H,3,FALSE),0)</f>
        <v>0.81703333333333328</v>
      </c>
      <c r="N437" s="123" t="str">
        <f>IFERROR(VLOOKUP(C437,'CEDARS School FRPL'!C:H,6,FALSE),"No")</f>
        <v>No</v>
      </c>
      <c r="O437" s="147"/>
      <c r="P437" s="148"/>
    </row>
    <row r="438" spans="1:16">
      <c r="A438" s="95" t="s">
        <v>2495</v>
      </c>
      <c r="B438" s="95" t="s">
        <v>1886</v>
      </c>
      <c r="C438" s="4">
        <v>2955</v>
      </c>
      <c r="D438" s="95" t="s">
        <v>1889</v>
      </c>
      <c r="E438" s="145">
        <v>355.34</v>
      </c>
      <c r="F438" s="145">
        <v>0</v>
      </c>
      <c r="G438" s="145">
        <v>0</v>
      </c>
      <c r="H438" s="145">
        <v>0</v>
      </c>
      <c r="I438" s="77">
        <f t="shared" si="9"/>
        <v>355.34</v>
      </c>
      <c r="J438" s="123" t="str">
        <f>IFERROR(VLOOKUP($C438,'CEDARS School FRPL'!C:H,4,FALSE),"No")</f>
        <v>Yes</v>
      </c>
      <c r="K438" s="109"/>
      <c r="L438" s="109"/>
      <c r="M438" s="110">
        <f>IFERROR(VLOOKUP($C438,'CEDARS School FRPL'!C:H,3,FALSE),0)</f>
        <v>0.64023333333333332</v>
      </c>
      <c r="N438" s="123" t="str">
        <f>IFERROR(VLOOKUP(C438,'CEDARS School FRPL'!C:H,6,FALSE),"No")</f>
        <v>No</v>
      </c>
      <c r="O438" s="147"/>
      <c r="P438" s="148"/>
    </row>
    <row r="439" spans="1:16">
      <c r="A439" s="95" t="s">
        <v>2495</v>
      </c>
      <c r="B439" s="95" t="s">
        <v>1886</v>
      </c>
      <c r="C439" s="4">
        <v>3128</v>
      </c>
      <c r="D439" s="95" t="s">
        <v>1890</v>
      </c>
      <c r="E439" s="145">
        <v>359.74</v>
      </c>
      <c r="F439" s="145">
        <v>0</v>
      </c>
      <c r="G439" s="145">
        <v>0</v>
      </c>
      <c r="H439" s="145">
        <v>0</v>
      </c>
      <c r="I439" s="77">
        <f t="shared" si="9"/>
        <v>359.74</v>
      </c>
      <c r="J439" s="123" t="str">
        <f>IFERROR(VLOOKUP($C439,'CEDARS School FRPL'!C:H,4,FALSE),"No")</f>
        <v>Yes</v>
      </c>
      <c r="K439" s="109"/>
      <c r="L439" s="109"/>
      <c r="M439" s="110">
        <f>IFERROR(VLOOKUP($C439,'CEDARS School FRPL'!C:H,3,FALSE),0)</f>
        <v>0.60243333333333327</v>
      </c>
      <c r="N439" s="123" t="str">
        <f>IFERROR(VLOOKUP(C439,'CEDARS School FRPL'!C:H,6,FALSE),"No")</f>
        <v>No</v>
      </c>
      <c r="O439" s="147"/>
      <c r="P439" s="148"/>
    </row>
    <row r="440" spans="1:16">
      <c r="A440" s="95" t="s">
        <v>2495</v>
      </c>
      <c r="B440" s="95" t="s">
        <v>1886</v>
      </c>
      <c r="C440" s="4">
        <v>3360</v>
      </c>
      <c r="D440" s="95" t="s">
        <v>1891</v>
      </c>
      <c r="E440" s="145">
        <v>864.61</v>
      </c>
      <c r="F440" s="145">
        <v>70.83</v>
      </c>
      <c r="G440" s="145">
        <v>3.14</v>
      </c>
      <c r="H440" s="145">
        <v>0</v>
      </c>
      <c r="I440" s="77">
        <f t="shared" si="9"/>
        <v>938.58</v>
      </c>
      <c r="J440" s="123" t="str">
        <f>IFERROR(VLOOKUP($C440,'CEDARS School FRPL'!C:H,4,FALSE),"No")</f>
        <v>No</v>
      </c>
      <c r="K440" s="109"/>
      <c r="L440" s="109"/>
      <c r="M440" s="110">
        <f>IFERROR(VLOOKUP($C440,'CEDARS School FRPL'!C:H,3,FALSE),0)</f>
        <v>0.47616666666666668</v>
      </c>
      <c r="N440" s="123" t="str">
        <f>IFERROR(VLOOKUP(C440,'CEDARS School FRPL'!C:H,6,FALSE),"No")</f>
        <v>No</v>
      </c>
      <c r="O440" s="147"/>
      <c r="P440" s="148"/>
    </row>
    <row r="441" spans="1:16">
      <c r="A441" s="95" t="s">
        <v>2495</v>
      </c>
      <c r="B441" s="95" t="s">
        <v>1886</v>
      </c>
      <c r="C441" s="4">
        <v>4097</v>
      </c>
      <c r="D441" s="95" t="s">
        <v>2878</v>
      </c>
      <c r="E441" s="145">
        <v>358</v>
      </c>
      <c r="F441" s="145">
        <v>0</v>
      </c>
      <c r="G441" s="145">
        <v>0</v>
      </c>
      <c r="H441" s="145">
        <v>0</v>
      </c>
      <c r="I441" s="77">
        <f t="shared" si="9"/>
        <v>358</v>
      </c>
      <c r="J441" s="123" t="str">
        <f>IFERROR(VLOOKUP($C441,'CEDARS School FRPL'!C:H,4,FALSE),"No")</f>
        <v>Yes</v>
      </c>
      <c r="K441" s="109"/>
      <c r="L441" s="109"/>
      <c r="M441" s="110">
        <f>IFERROR(VLOOKUP($C441,'CEDARS School FRPL'!C:H,3,FALSE),0)</f>
        <v>0.56533333333333335</v>
      </c>
      <c r="N441" s="123" t="str">
        <f>IFERROR(VLOOKUP(C441,'CEDARS School FRPL'!C:H,6,FALSE),"No")</f>
        <v>No</v>
      </c>
      <c r="O441" s="147"/>
      <c r="P441" s="148"/>
    </row>
    <row r="442" spans="1:16">
      <c r="A442" s="95" t="s">
        <v>2495</v>
      </c>
      <c r="B442" s="95" t="s">
        <v>1886</v>
      </c>
      <c r="C442" s="4">
        <v>5346</v>
      </c>
      <c r="D442" s="95" t="s">
        <v>1892</v>
      </c>
      <c r="E442" s="145">
        <v>423.09</v>
      </c>
      <c r="F442" s="145">
        <v>0</v>
      </c>
      <c r="G442" s="145">
        <v>0</v>
      </c>
      <c r="H442" s="145">
        <v>0</v>
      </c>
      <c r="I442" s="77">
        <f t="shared" si="9"/>
        <v>423.09</v>
      </c>
      <c r="J442" s="123" t="str">
        <f>IFERROR(VLOOKUP($C442,'CEDARS School FRPL'!C:H,4,FALSE),"No")</f>
        <v>Yes</v>
      </c>
      <c r="K442" s="109"/>
      <c r="L442" s="109"/>
      <c r="M442" s="110">
        <f>IFERROR(VLOOKUP($C442,'CEDARS School FRPL'!C:H,3,FALSE),0)</f>
        <v>0.60993333333333333</v>
      </c>
      <c r="N442" s="123" t="str">
        <f>IFERROR(VLOOKUP(C442,'CEDARS School FRPL'!C:H,6,FALSE),"No")</f>
        <v>No</v>
      </c>
      <c r="O442" s="147"/>
      <c r="P442" s="148"/>
    </row>
    <row r="443" spans="1:16">
      <c r="A443" s="95" t="s">
        <v>2495</v>
      </c>
      <c r="B443" s="95" t="s">
        <v>1886</v>
      </c>
      <c r="C443" s="4">
        <v>5432</v>
      </c>
      <c r="D443" s="95" t="s">
        <v>1893</v>
      </c>
      <c r="E443" s="145">
        <v>81.41</v>
      </c>
      <c r="F443" s="145">
        <v>6.19</v>
      </c>
      <c r="G443" s="145">
        <v>0</v>
      </c>
      <c r="H443" s="145">
        <v>0</v>
      </c>
      <c r="I443" s="77">
        <f t="shared" si="9"/>
        <v>87.6</v>
      </c>
      <c r="J443" s="123" t="str">
        <f>IFERROR(VLOOKUP($C443,'CEDARS School FRPL'!C:H,4,FALSE),"No")</f>
        <v>No</v>
      </c>
      <c r="K443" s="109"/>
      <c r="L443" s="109"/>
      <c r="M443" s="110">
        <f>IFERROR(VLOOKUP($C443,'CEDARS School FRPL'!C:H,3,FALSE),0)</f>
        <v>0.47216666666666662</v>
      </c>
      <c r="N443" s="123" t="str">
        <f>IFERROR(VLOOKUP(C443,'CEDARS School FRPL'!C:H,6,FALSE),"No")</f>
        <v>No</v>
      </c>
      <c r="O443" s="147"/>
      <c r="P443" s="148"/>
    </row>
    <row r="444" spans="1:16">
      <c r="A444" s="95" t="s">
        <v>2495</v>
      </c>
      <c r="B444" s="95" t="s">
        <v>1886</v>
      </c>
      <c r="C444" s="4">
        <v>5433</v>
      </c>
      <c r="D444" s="95" t="s">
        <v>1894</v>
      </c>
      <c r="E444" s="145">
        <v>210.15</v>
      </c>
      <c r="F444" s="145">
        <v>8.1</v>
      </c>
      <c r="G444" s="145">
        <v>0</v>
      </c>
      <c r="H444" s="145">
        <v>0</v>
      </c>
      <c r="I444" s="77">
        <f t="shared" si="9"/>
        <v>218.25</v>
      </c>
      <c r="J444" s="123" t="str">
        <f>IFERROR(VLOOKUP($C444,'CEDARS School FRPL'!C:H,4,FALSE),"No")</f>
        <v>No</v>
      </c>
      <c r="K444" s="109"/>
      <c r="L444" s="109"/>
      <c r="M444" s="110">
        <f>IFERROR(VLOOKUP($C444,'CEDARS School FRPL'!C:H,3,FALSE),0)</f>
        <v>0.42230000000000006</v>
      </c>
      <c r="N444" s="123" t="str">
        <f>IFERROR(VLOOKUP(C444,'CEDARS School FRPL'!C:H,6,FALSE),"No")</f>
        <v>No</v>
      </c>
      <c r="O444" s="147"/>
      <c r="P444" s="148"/>
    </row>
    <row r="445" spans="1:16">
      <c r="A445" s="95" t="s">
        <v>2556</v>
      </c>
      <c r="B445" s="95" t="s">
        <v>2190</v>
      </c>
      <c r="C445" s="4">
        <v>2344</v>
      </c>
      <c r="D445" s="95" t="s">
        <v>1891</v>
      </c>
      <c r="E445" s="145">
        <v>904.52</v>
      </c>
      <c r="F445" s="145">
        <v>50.75</v>
      </c>
      <c r="G445" s="145">
        <v>15.43</v>
      </c>
      <c r="H445" s="145">
        <v>0</v>
      </c>
      <c r="I445" s="77">
        <f t="shared" si="9"/>
        <v>970.69999999999993</v>
      </c>
      <c r="J445" s="123" t="str">
        <f>IFERROR(VLOOKUP($C445,'CEDARS School FRPL'!C:H,4,FALSE),"No")</f>
        <v>Yes</v>
      </c>
      <c r="K445" s="109"/>
      <c r="L445" s="109"/>
      <c r="M445" s="110">
        <f>IFERROR(VLOOKUP($C445,'CEDARS School FRPL'!C:H,3,FALSE),0)</f>
        <v>0.56920000000000004</v>
      </c>
      <c r="N445" s="123" t="str">
        <f>IFERROR(VLOOKUP(C445,'CEDARS School FRPL'!C:H,6,FALSE),"No")</f>
        <v>No</v>
      </c>
      <c r="O445" s="147"/>
      <c r="P445" s="148"/>
    </row>
    <row r="446" spans="1:16">
      <c r="A446" s="95" t="s">
        <v>2556</v>
      </c>
      <c r="B446" s="95" t="s">
        <v>2190</v>
      </c>
      <c r="C446" s="4">
        <v>2530</v>
      </c>
      <c r="D446" s="95" t="s">
        <v>2191</v>
      </c>
      <c r="E446" s="145">
        <v>500.11</v>
      </c>
      <c r="F446" s="145">
        <v>0</v>
      </c>
      <c r="G446" s="145">
        <v>0</v>
      </c>
      <c r="H446" s="145">
        <v>0</v>
      </c>
      <c r="I446" s="77">
        <f t="shared" si="9"/>
        <v>500.11</v>
      </c>
      <c r="J446" s="123" t="str">
        <f>IFERROR(VLOOKUP($C446,'CEDARS School FRPL'!C:H,4,FALSE),"No")</f>
        <v>Yes</v>
      </c>
      <c r="K446" s="109"/>
      <c r="L446" s="109"/>
      <c r="M446" s="110">
        <f>IFERROR(VLOOKUP($C446,'CEDARS School FRPL'!C:H,3,FALSE),0)</f>
        <v>0.52003333333333324</v>
      </c>
      <c r="N446" s="123" t="str">
        <f>IFERROR(VLOOKUP(C446,'CEDARS School FRPL'!C:H,6,FALSE),"No")</f>
        <v>No</v>
      </c>
      <c r="O446" s="147"/>
      <c r="P446" s="148"/>
    </row>
    <row r="447" spans="1:16">
      <c r="A447" s="95" t="s">
        <v>2556</v>
      </c>
      <c r="B447" s="95" t="s">
        <v>2190</v>
      </c>
      <c r="C447" s="4">
        <v>2821</v>
      </c>
      <c r="D447" s="95" t="s">
        <v>2192</v>
      </c>
      <c r="E447" s="145">
        <v>501.57</v>
      </c>
      <c r="F447" s="145">
        <v>0</v>
      </c>
      <c r="G447" s="145">
        <v>0</v>
      </c>
      <c r="H447" s="145">
        <v>0</v>
      </c>
      <c r="I447" s="77">
        <f t="shared" si="9"/>
        <v>501.57</v>
      </c>
      <c r="J447" s="123" t="str">
        <f>IFERROR(VLOOKUP($C447,'CEDARS School FRPL'!C:H,4,FALSE),"No")</f>
        <v>Yes</v>
      </c>
      <c r="K447" s="109"/>
      <c r="L447" s="109"/>
      <c r="M447" s="110">
        <f>IFERROR(VLOOKUP($C447,'CEDARS School FRPL'!C:H,3,FALSE),0)</f>
        <v>0.59336666666666671</v>
      </c>
      <c r="N447" s="123" t="str">
        <f>IFERROR(VLOOKUP(C447,'CEDARS School FRPL'!C:H,6,FALSE),"No")</f>
        <v>No</v>
      </c>
      <c r="O447" s="147"/>
      <c r="P447" s="148"/>
    </row>
    <row r="448" spans="1:16">
      <c r="A448" s="95" t="s">
        <v>2556</v>
      </c>
      <c r="B448" s="95" t="s">
        <v>2190</v>
      </c>
      <c r="C448" s="4">
        <v>4055</v>
      </c>
      <c r="D448" s="95" t="s">
        <v>2193</v>
      </c>
      <c r="E448" s="145">
        <v>802.08</v>
      </c>
      <c r="F448" s="145">
        <v>0</v>
      </c>
      <c r="G448" s="145">
        <v>0</v>
      </c>
      <c r="H448" s="145">
        <v>0</v>
      </c>
      <c r="I448" s="77">
        <f t="shared" si="9"/>
        <v>802.08</v>
      </c>
      <c r="J448" s="123" t="str">
        <f>IFERROR(VLOOKUP($C448,'CEDARS School FRPL'!C:H,4,FALSE),"No")</f>
        <v>Yes</v>
      </c>
      <c r="K448" s="109"/>
      <c r="L448" s="109"/>
      <c r="M448" s="110">
        <f>IFERROR(VLOOKUP($C448,'CEDARS School FRPL'!C:H,3,FALSE),0)</f>
        <v>0.58406666666666662</v>
      </c>
      <c r="N448" s="123" t="str">
        <f>IFERROR(VLOOKUP(C448,'CEDARS School FRPL'!C:H,6,FALSE),"No")</f>
        <v>No</v>
      </c>
      <c r="O448" s="147"/>
      <c r="P448" s="148"/>
    </row>
    <row r="449" spans="1:16">
      <c r="A449" s="95" t="s">
        <v>2556</v>
      </c>
      <c r="B449" s="95" t="s">
        <v>2190</v>
      </c>
      <c r="C449" s="4">
        <v>4487</v>
      </c>
      <c r="D449" s="95" t="s">
        <v>2194</v>
      </c>
      <c r="E449" s="145">
        <v>491</v>
      </c>
      <c r="F449" s="145">
        <v>0</v>
      </c>
      <c r="G449" s="145">
        <v>0</v>
      </c>
      <c r="H449" s="145">
        <v>0</v>
      </c>
      <c r="I449" s="77">
        <f t="shared" si="9"/>
        <v>491</v>
      </c>
      <c r="J449" s="123" t="str">
        <f>IFERROR(VLOOKUP($C449,'CEDARS School FRPL'!C:H,4,FALSE),"No")</f>
        <v>Yes</v>
      </c>
      <c r="K449" s="109"/>
      <c r="L449" s="109"/>
      <c r="M449" s="110">
        <f>IFERROR(VLOOKUP($C449,'CEDARS School FRPL'!C:H,3,FALSE),0)</f>
        <v>0.59199999999999997</v>
      </c>
      <c r="N449" s="123" t="str">
        <f>IFERROR(VLOOKUP(C449,'CEDARS School FRPL'!C:H,6,FALSE),"No")</f>
        <v>No</v>
      </c>
      <c r="O449" s="147"/>
      <c r="P449" s="148"/>
    </row>
    <row r="450" spans="1:16">
      <c r="A450" s="95" t="s">
        <v>2304</v>
      </c>
      <c r="B450" s="95" t="s">
        <v>346</v>
      </c>
      <c r="C450" s="4">
        <v>2563</v>
      </c>
      <c r="D450" s="95" t="s">
        <v>347</v>
      </c>
      <c r="E450" s="145">
        <v>225.49</v>
      </c>
      <c r="F450" s="145">
        <v>0</v>
      </c>
      <c r="G450" s="145">
        <v>0</v>
      </c>
      <c r="H450" s="145">
        <v>0</v>
      </c>
      <c r="I450" s="77">
        <f t="shared" si="9"/>
        <v>225.49</v>
      </c>
      <c r="J450" s="123" t="str">
        <f>IFERROR(VLOOKUP($C450,'CEDARS School FRPL'!C:H,4,FALSE),"No")</f>
        <v>Yes</v>
      </c>
      <c r="K450" s="109"/>
      <c r="L450" s="109"/>
      <c r="M450" s="110">
        <f>IFERROR(VLOOKUP($C450,'CEDARS School FRPL'!C:H,3,FALSE),0)</f>
        <v>0.76113333333333344</v>
      </c>
      <c r="N450" s="123" t="str">
        <f>IFERROR(VLOOKUP(C450,'CEDARS School FRPL'!C:H,6,FALSE),"No")</f>
        <v>No</v>
      </c>
      <c r="O450" s="147"/>
      <c r="P450" s="148"/>
    </row>
    <row r="451" spans="1:16">
      <c r="A451" s="95" t="s">
        <v>2304</v>
      </c>
      <c r="B451" s="95" t="s">
        <v>346</v>
      </c>
      <c r="C451" s="4">
        <v>2727</v>
      </c>
      <c r="D451" s="95" t="s">
        <v>348</v>
      </c>
      <c r="E451" s="145">
        <v>1264.6199999999999</v>
      </c>
      <c r="F451" s="145">
        <v>134.16999999999999</v>
      </c>
      <c r="G451" s="145">
        <v>0</v>
      </c>
      <c r="H451" s="145">
        <v>0</v>
      </c>
      <c r="I451" s="77">
        <f t="shared" si="9"/>
        <v>1398.79</v>
      </c>
      <c r="J451" s="123" t="str">
        <f>IFERROR(VLOOKUP($C451,'CEDARS School FRPL'!C:H,4,FALSE),"No")</f>
        <v>Yes</v>
      </c>
      <c r="K451" s="109"/>
      <c r="L451" s="109"/>
      <c r="M451" s="110">
        <f>IFERROR(VLOOKUP($C451,'CEDARS School FRPL'!C:H,3,FALSE),0)</f>
        <v>0.55056666666666665</v>
      </c>
      <c r="N451" s="123" t="str">
        <f>IFERROR(VLOOKUP(C451,'CEDARS School FRPL'!C:H,6,FALSE),"No")</f>
        <v>No</v>
      </c>
      <c r="O451" s="147"/>
      <c r="P451" s="148"/>
    </row>
    <row r="452" spans="1:16">
      <c r="A452" s="95" t="s">
        <v>2304</v>
      </c>
      <c r="B452" s="95" t="s">
        <v>346</v>
      </c>
      <c r="C452" s="4">
        <v>2966</v>
      </c>
      <c r="D452" s="95" t="s">
        <v>349</v>
      </c>
      <c r="E452" s="145">
        <v>406.79</v>
      </c>
      <c r="F452" s="145">
        <v>0</v>
      </c>
      <c r="G452" s="145">
        <v>0</v>
      </c>
      <c r="H452" s="145">
        <v>0</v>
      </c>
      <c r="I452" s="77">
        <f t="shared" ref="I452:I515" si="10">+E452+F452+G452+H452</f>
        <v>406.79</v>
      </c>
      <c r="J452" s="123" t="str">
        <f>IFERROR(VLOOKUP($C452,'CEDARS School FRPL'!C:H,4,FALSE),"No")</f>
        <v>Yes</v>
      </c>
      <c r="K452" s="109"/>
      <c r="L452" s="109"/>
      <c r="M452" s="110">
        <f>IFERROR(VLOOKUP($C452,'CEDARS School FRPL'!C:H,3,FALSE),0)</f>
        <v>0.51556666666666662</v>
      </c>
      <c r="N452" s="123" t="str">
        <f>IFERROR(VLOOKUP(C452,'CEDARS School FRPL'!C:H,6,FALSE),"No")</f>
        <v>No</v>
      </c>
      <c r="O452" s="147"/>
      <c r="P452" s="148"/>
    </row>
    <row r="453" spans="1:16">
      <c r="A453" s="95" t="s">
        <v>2304</v>
      </c>
      <c r="B453" s="95" t="s">
        <v>346</v>
      </c>
      <c r="C453" s="4">
        <v>3083</v>
      </c>
      <c r="D453" s="95" t="s">
        <v>2880</v>
      </c>
      <c r="E453" s="145">
        <v>435.01</v>
      </c>
      <c r="F453" s="145">
        <v>0</v>
      </c>
      <c r="G453" s="145">
        <v>0</v>
      </c>
      <c r="H453" s="145">
        <v>0</v>
      </c>
      <c r="I453" s="77">
        <f t="shared" si="10"/>
        <v>435.01</v>
      </c>
      <c r="J453" s="123" t="str">
        <f>IFERROR(VLOOKUP($C453,'CEDARS School FRPL'!C:H,4,FALSE),"No")</f>
        <v>Yes</v>
      </c>
      <c r="K453" s="109"/>
      <c r="L453" s="109"/>
      <c r="M453" s="110">
        <f>IFERROR(VLOOKUP($C453,'CEDARS School FRPL'!C:H,3,FALSE),0)</f>
        <v>0.67683333333333329</v>
      </c>
      <c r="N453" s="123" t="str">
        <f>IFERROR(VLOOKUP(C453,'CEDARS School FRPL'!C:H,6,FALSE),"No")</f>
        <v>No</v>
      </c>
      <c r="O453" s="147"/>
      <c r="P453" s="148"/>
    </row>
    <row r="454" spans="1:16">
      <c r="A454" s="95" t="s">
        <v>2304</v>
      </c>
      <c r="B454" s="95" t="s">
        <v>346</v>
      </c>
      <c r="C454" s="4">
        <v>3212</v>
      </c>
      <c r="D454" s="95" t="s">
        <v>350</v>
      </c>
      <c r="E454" s="145">
        <v>467.18</v>
      </c>
      <c r="F454" s="145">
        <v>0</v>
      </c>
      <c r="G454" s="145">
        <v>0</v>
      </c>
      <c r="H454" s="145">
        <v>0</v>
      </c>
      <c r="I454" s="77">
        <f t="shared" si="10"/>
        <v>467.18</v>
      </c>
      <c r="J454" s="123" t="str">
        <f>IFERROR(VLOOKUP($C454,'CEDARS School FRPL'!C:H,4,FALSE),"No")</f>
        <v>Yes</v>
      </c>
      <c r="M454" s="110">
        <f>IFERROR(VLOOKUP($C454,'CEDARS School FRPL'!C:H,3,FALSE),0)</f>
        <v>0.61483333333333334</v>
      </c>
      <c r="N454" s="123" t="str">
        <f>IFERROR(VLOOKUP(C454,'CEDARS School FRPL'!C:H,6,FALSE),"No")</f>
        <v>No</v>
      </c>
      <c r="O454" s="147"/>
      <c r="P454" s="148"/>
    </row>
    <row r="455" spans="1:16">
      <c r="A455" s="95" t="s">
        <v>2304</v>
      </c>
      <c r="B455" s="95" t="s">
        <v>346</v>
      </c>
      <c r="C455" s="4">
        <v>3372</v>
      </c>
      <c r="D455" s="95" t="s">
        <v>351</v>
      </c>
      <c r="E455" s="145">
        <v>996.82</v>
      </c>
      <c r="F455" s="145">
        <v>0</v>
      </c>
      <c r="G455" s="145">
        <v>0</v>
      </c>
      <c r="H455" s="145">
        <v>0</v>
      </c>
      <c r="I455" s="77">
        <f t="shared" si="10"/>
        <v>996.82</v>
      </c>
      <c r="J455" s="123" t="str">
        <f>IFERROR(VLOOKUP($C455,'CEDARS School FRPL'!C:H,4,FALSE),"No")</f>
        <v>Yes</v>
      </c>
      <c r="K455" s="109"/>
      <c r="L455" s="109"/>
      <c r="M455" s="110">
        <f>IFERROR(VLOOKUP($C455,'CEDARS School FRPL'!C:H,3,FALSE),0)</f>
        <v>0.59043333333333337</v>
      </c>
      <c r="N455" s="123" t="str">
        <f>IFERROR(VLOOKUP(C455,'CEDARS School FRPL'!C:H,6,FALSE),"No")</f>
        <v>No</v>
      </c>
      <c r="O455" s="147"/>
      <c r="P455" s="148"/>
    </row>
    <row r="456" spans="1:16">
      <c r="A456" s="95" t="s">
        <v>2304</v>
      </c>
      <c r="B456" s="95" t="s">
        <v>346</v>
      </c>
      <c r="C456" s="4">
        <v>3659</v>
      </c>
      <c r="D456" s="95" t="s">
        <v>352</v>
      </c>
      <c r="E456" s="145">
        <v>515.23</v>
      </c>
      <c r="F456" s="145">
        <v>0</v>
      </c>
      <c r="G456" s="145">
        <v>0</v>
      </c>
      <c r="H456" s="145">
        <v>0</v>
      </c>
      <c r="I456" s="77">
        <f t="shared" si="10"/>
        <v>515.23</v>
      </c>
      <c r="J456" s="123" t="str">
        <f>IFERROR(VLOOKUP($C456,'CEDARS School FRPL'!C:H,4,FALSE),"No")</f>
        <v>No</v>
      </c>
      <c r="K456" s="109"/>
      <c r="L456" s="109"/>
      <c r="M456" s="110">
        <f>IFERROR(VLOOKUP($C456,'CEDARS School FRPL'!C:H,3,FALSE),0)</f>
        <v>0.41683333333333339</v>
      </c>
      <c r="N456" s="123" t="str">
        <f>IFERROR(VLOOKUP(C456,'CEDARS School FRPL'!C:H,6,FALSE),"No")</f>
        <v>No</v>
      </c>
      <c r="O456" s="147"/>
      <c r="P456" s="148"/>
    </row>
    <row r="457" spans="1:16">
      <c r="A457" s="95" t="s">
        <v>2304</v>
      </c>
      <c r="B457" s="95" t="s">
        <v>346</v>
      </c>
      <c r="C457" s="4">
        <v>5668</v>
      </c>
      <c r="D457" s="95" t="s">
        <v>3008</v>
      </c>
      <c r="E457" s="145">
        <v>62.61</v>
      </c>
      <c r="F457" s="145">
        <v>0</v>
      </c>
      <c r="G457" s="145">
        <v>0</v>
      </c>
      <c r="H457" s="145">
        <v>0</v>
      </c>
      <c r="I457" s="77">
        <f t="shared" si="10"/>
        <v>62.61</v>
      </c>
      <c r="J457" s="123" t="str">
        <f>IFERROR(VLOOKUP($C457,'CEDARS School FRPL'!C:H,4,FALSE),"No")</f>
        <v>Yes</v>
      </c>
      <c r="K457" s="109"/>
      <c r="L457" s="109"/>
      <c r="M457" s="110">
        <f>IFERROR(VLOOKUP($C457,'CEDARS School FRPL'!C:H,3,FALSE),0)</f>
        <v>0.60709999999999997</v>
      </c>
      <c r="N457" s="123" t="str">
        <f>IFERROR(VLOOKUP(C457,'CEDARS School FRPL'!C:H,6,FALSE),"No")</f>
        <v>No</v>
      </c>
      <c r="O457" s="147"/>
      <c r="P457" s="148"/>
    </row>
    <row r="458" spans="1:16">
      <c r="A458" s="95" t="s">
        <v>2304</v>
      </c>
      <c r="B458" s="95" t="s">
        <v>346</v>
      </c>
      <c r="C458" s="4">
        <v>5700</v>
      </c>
      <c r="D458" s="95" t="s">
        <v>3007</v>
      </c>
      <c r="E458" s="145">
        <v>579.75</v>
      </c>
      <c r="F458" s="145">
        <v>0</v>
      </c>
      <c r="G458" s="145">
        <v>0</v>
      </c>
      <c r="H458" s="145">
        <v>0</v>
      </c>
      <c r="I458" s="77">
        <f t="shared" si="10"/>
        <v>579.75</v>
      </c>
      <c r="J458" s="123" t="str">
        <f>IFERROR(VLOOKUP($C458,'CEDARS School FRPL'!C:H,4,FALSE),"No")</f>
        <v>Yes</v>
      </c>
      <c r="K458" s="109"/>
      <c r="L458" s="109"/>
      <c r="M458" s="110">
        <f>IFERROR(VLOOKUP($C458,'CEDARS School FRPL'!C:H,3,FALSE),0)</f>
        <v>0.5726</v>
      </c>
      <c r="N458" s="123" t="str">
        <f>IFERROR(VLOOKUP(C458,'CEDARS School FRPL'!C:H,6,FALSE),"No")</f>
        <v>No</v>
      </c>
      <c r="O458" s="147"/>
      <c r="P458" s="148"/>
    </row>
    <row r="459" spans="1:16">
      <c r="A459" s="95" t="s">
        <v>2304</v>
      </c>
      <c r="B459" s="95" t="s">
        <v>346</v>
      </c>
      <c r="C459" s="4">
        <v>5701</v>
      </c>
      <c r="D459" s="95" t="s">
        <v>3009</v>
      </c>
      <c r="E459" s="145">
        <v>721.8</v>
      </c>
      <c r="F459" s="145">
        <v>0</v>
      </c>
      <c r="G459" s="145">
        <v>0</v>
      </c>
      <c r="H459" s="145">
        <v>0</v>
      </c>
      <c r="I459" s="77">
        <f t="shared" si="10"/>
        <v>721.8</v>
      </c>
      <c r="J459" s="123" t="str">
        <f>IFERROR(VLOOKUP($C459,'CEDARS School FRPL'!C:H,4,FALSE),"No")</f>
        <v>Yes</v>
      </c>
      <c r="K459" s="109"/>
      <c r="L459" s="109"/>
      <c r="M459" s="110">
        <f>IFERROR(VLOOKUP($C459,'CEDARS School FRPL'!C:H,3,FALSE),0)</f>
        <v>0.56269999999999998</v>
      </c>
      <c r="N459" s="123" t="str">
        <f>IFERROR(VLOOKUP(C459,'CEDARS School FRPL'!C:H,6,FALSE),"No")</f>
        <v>No</v>
      </c>
      <c r="O459" s="147"/>
      <c r="P459" s="148"/>
    </row>
    <row r="460" spans="1:16">
      <c r="A460" s="95" t="s">
        <v>2378</v>
      </c>
      <c r="B460" s="95" t="s">
        <v>1085</v>
      </c>
      <c r="C460" s="4">
        <v>3554</v>
      </c>
      <c r="D460" s="95" t="s">
        <v>1086</v>
      </c>
      <c r="E460" s="145">
        <v>40.24</v>
      </c>
      <c r="F460" s="145">
        <v>0</v>
      </c>
      <c r="G460" s="145">
        <v>0</v>
      </c>
      <c r="H460" s="145">
        <v>0</v>
      </c>
      <c r="I460" s="77">
        <f t="shared" si="10"/>
        <v>40.24</v>
      </c>
      <c r="J460" s="123" t="str">
        <f>IFERROR(VLOOKUP($C460,'CEDARS School FRPL'!C:H,4,FALSE),"No")</f>
        <v>Yes</v>
      </c>
      <c r="K460" s="109"/>
      <c r="L460" s="109"/>
      <c r="M460" s="110">
        <f>IFERROR(VLOOKUP($C460,'CEDARS School FRPL'!C:H,3,FALSE),0)</f>
        <v>0.74500000000000011</v>
      </c>
      <c r="N460" s="123" t="str">
        <f>IFERROR(VLOOKUP(C460,'CEDARS School FRPL'!C:H,6,FALSE),"No")</f>
        <v>No</v>
      </c>
      <c r="O460" s="147"/>
      <c r="P460" s="148"/>
    </row>
    <row r="461" spans="1:16">
      <c r="A461" s="95" t="s">
        <v>2378</v>
      </c>
      <c r="B461" s="95" t="s">
        <v>1085</v>
      </c>
      <c r="C461" s="4">
        <v>5242</v>
      </c>
      <c r="D461" s="95" t="s">
        <v>2969</v>
      </c>
      <c r="E461" s="145">
        <v>41.64</v>
      </c>
      <c r="F461" s="145">
        <v>2.77</v>
      </c>
      <c r="G461" s="145">
        <v>0</v>
      </c>
      <c r="H461" s="145">
        <v>0</v>
      </c>
      <c r="I461" s="77">
        <f t="shared" si="10"/>
        <v>44.410000000000004</v>
      </c>
      <c r="J461" s="123" t="str">
        <f>IFERROR(VLOOKUP($C461,'CEDARS School FRPL'!C:H,4,FALSE),"No")</f>
        <v>No</v>
      </c>
      <c r="K461" s="109"/>
      <c r="L461" s="109"/>
      <c r="M461" s="110">
        <f>IFERROR(VLOOKUP($C461,'CEDARS School FRPL'!C:H,3,FALSE),0)</f>
        <v>0</v>
      </c>
      <c r="N461" s="123" t="str">
        <f>IFERROR(VLOOKUP(C461,'CEDARS School FRPL'!C:H,6,FALSE),"No")</f>
        <v>No</v>
      </c>
      <c r="O461" s="147"/>
      <c r="P461" s="148"/>
    </row>
    <row r="462" spans="1:16">
      <c r="A462" s="95" t="s">
        <v>2450</v>
      </c>
      <c r="B462" s="95" t="s">
        <v>1500</v>
      </c>
      <c r="C462" s="4">
        <v>2205</v>
      </c>
      <c r="D462" s="95" t="s">
        <v>1501</v>
      </c>
      <c r="E462" s="145">
        <v>385.03</v>
      </c>
      <c r="F462" s="145">
        <v>0</v>
      </c>
      <c r="G462" s="145">
        <v>0</v>
      </c>
      <c r="H462" s="145">
        <v>0</v>
      </c>
      <c r="I462" s="77">
        <f t="shared" si="10"/>
        <v>385.03</v>
      </c>
      <c r="J462" s="123" t="str">
        <f>IFERROR(VLOOKUP($C462,'CEDARS School FRPL'!C:H,4,FALSE),"No")</f>
        <v>No</v>
      </c>
      <c r="K462" s="109"/>
      <c r="L462" s="109"/>
      <c r="M462" s="110">
        <f>IFERROR(VLOOKUP($C462,'CEDARS School FRPL'!C:H,3,FALSE),0)</f>
        <v>0.42736666666666667</v>
      </c>
      <c r="N462" s="123" t="str">
        <f>IFERROR(VLOOKUP(C462,'CEDARS School FRPL'!C:H,6,FALSE),"No")</f>
        <v>No</v>
      </c>
      <c r="O462" s="147"/>
      <c r="P462" s="148"/>
    </row>
    <row r="463" spans="1:16">
      <c r="A463" s="95" t="s">
        <v>2450</v>
      </c>
      <c r="B463" s="95" t="s">
        <v>1500</v>
      </c>
      <c r="C463" s="4">
        <v>2206</v>
      </c>
      <c r="D463" s="95" t="s">
        <v>1502</v>
      </c>
      <c r="E463" s="145">
        <v>523.79999999999995</v>
      </c>
      <c r="F463" s="145">
        <v>40.71</v>
      </c>
      <c r="G463" s="145">
        <v>0</v>
      </c>
      <c r="H463" s="145">
        <v>0</v>
      </c>
      <c r="I463" s="77">
        <f t="shared" si="10"/>
        <v>564.51</v>
      </c>
      <c r="J463" s="123" t="str">
        <f>IFERROR(VLOOKUP($C463,'CEDARS School FRPL'!C:H,4,FALSE),"No")</f>
        <v>No</v>
      </c>
      <c r="K463" s="109"/>
      <c r="L463" s="109"/>
      <c r="M463" s="110">
        <f>IFERROR(VLOOKUP($C463,'CEDARS School FRPL'!C:H,3,FALSE),0)</f>
        <v>0.34356666666666663</v>
      </c>
      <c r="N463" s="123" t="str">
        <f>IFERROR(VLOOKUP(C463,'CEDARS School FRPL'!C:H,6,FALSE),"No")</f>
        <v>No</v>
      </c>
      <c r="O463" s="147"/>
      <c r="P463" s="148"/>
    </row>
    <row r="464" spans="1:16">
      <c r="A464" s="95" t="s">
        <v>2450</v>
      </c>
      <c r="B464" s="95" t="s">
        <v>1500</v>
      </c>
      <c r="C464" s="4">
        <v>2361</v>
      </c>
      <c r="D464" s="95" t="s">
        <v>1503</v>
      </c>
      <c r="E464" s="145">
        <v>350.07</v>
      </c>
      <c r="F464" s="145">
        <v>0</v>
      </c>
      <c r="G464" s="145">
        <v>0</v>
      </c>
      <c r="H464" s="145">
        <v>0</v>
      </c>
      <c r="I464" s="77">
        <f t="shared" si="10"/>
        <v>350.07</v>
      </c>
      <c r="J464" s="123" t="str">
        <f>IFERROR(VLOOKUP($C464,'CEDARS School FRPL'!C:H,4,FALSE),"No")</f>
        <v>No</v>
      </c>
      <c r="K464" s="109"/>
      <c r="L464" s="109"/>
      <c r="M464" s="110">
        <f>IFERROR(VLOOKUP($C464,'CEDARS School FRPL'!C:H,3,FALSE),0)</f>
        <v>0.34253333333333336</v>
      </c>
      <c r="N464" s="123" t="str">
        <f>IFERROR(VLOOKUP(C464,'CEDARS School FRPL'!C:H,6,FALSE),"No")</f>
        <v>No</v>
      </c>
      <c r="O464" s="147"/>
      <c r="P464" s="148"/>
    </row>
    <row r="465" spans="1:16">
      <c r="A465" s="95" t="s">
        <v>2450</v>
      </c>
      <c r="B465" s="95" t="s">
        <v>1500</v>
      </c>
      <c r="C465" s="4">
        <v>2808</v>
      </c>
      <c r="D465" s="95" t="s">
        <v>1504</v>
      </c>
      <c r="E465" s="145">
        <v>147.71</v>
      </c>
      <c r="F465" s="145">
        <v>0</v>
      </c>
      <c r="G465" s="145">
        <v>0</v>
      </c>
      <c r="H465" s="145">
        <v>0</v>
      </c>
      <c r="I465" s="77">
        <f t="shared" si="10"/>
        <v>147.71</v>
      </c>
      <c r="J465" s="123" t="str">
        <f>IFERROR(VLOOKUP($C465,'CEDARS School FRPL'!C:H,4,FALSE),"No")</f>
        <v>Yes</v>
      </c>
      <c r="K465" s="109"/>
      <c r="L465" s="109"/>
      <c r="M465" s="110">
        <f>IFERROR(VLOOKUP($C465,'CEDARS School FRPL'!C:H,3,FALSE),0)</f>
        <v>0.5416333333333333</v>
      </c>
      <c r="N465" s="123" t="str">
        <f>IFERROR(VLOOKUP(C465,'CEDARS School FRPL'!C:H,6,FALSE),"No")</f>
        <v>No</v>
      </c>
      <c r="O465" s="147"/>
      <c r="P465" s="148"/>
    </row>
    <row r="466" spans="1:16">
      <c r="A466" s="95" t="s">
        <v>2450</v>
      </c>
      <c r="B466" s="95" t="s">
        <v>1500</v>
      </c>
      <c r="C466" s="4">
        <v>4230</v>
      </c>
      <c r="D466" s="95" t="s">
        <v>1505</v>
      </c>
      <c r="E466" s="145">
        <v>390.45</v>
      </c>
      <c r="F466" s="145">
        <v>0</v>
      </c>
      <c r="G466" s="145">
        <v>0</v>
      </c>
      <c r="H466" s="145">
        <v>0</v>
      </c>
      <c r="I466" s="77">
        <f t="shared" si="10"/>
        <v>390.45</v>
      </c>
      <c r="J466" s="123" t="str">
        <f>IFERROR(VLOOKUP($C466,'CEDARS School FRPL'!C:H,4,FALSE),"No")</f>
        <v>No</v>
      </c>
      <c r="K466" s="109"/>
      <c r="L466" s="109"/>
      <c r="M466" s="110">
        <f>IFERROR(VLOOKUP($C466,'CEDARS School FRPL'!C:H,3,FALSE),0)</f>
        <v>0.40333333333333332</v>
      </c>
      <c r="N466" s="123" t="str">
        <f>IFERROR(VLOOKUP(C466,'CEDARS School FRPL'!C:H,6,FALSE),"No")</f>
        <v>No</v>
      </c>
      <c r="O466" s="147"/>
      <c r="P466" s="148"/>
    </row>
    <row r="467" spans="1:16">
      <c r="A467" s="95" t="s">
        <v>2450</v>
      </c>
      <c r="B467" s="95" t="s">
        <v>1500</v>
      </c>
      <c r="C467" s="4">
        <v>5300</v>
      </c>
      <c r="D467" s="95" t="s">
        <v>1506</v>
      </c>
      <c r="E467" s="145">
        <v>21.14</v>
      </c>
      <c r="F467" s="145">
        <v>0</v>
      </c>
      <c r="G467" s="145">
        <v>0</v>
      </c>
      <c r="H467" s="145">
        <v>0</v>
      </c>
      <c r="I467" s="77">
        <f t="shared" si="10"/>
        <v>21.14</v>
      </c>
      <c r="J467" s="123" t="str">
        <f>IFERROR(VLOOKUP($C467,'CEDARS School FRPL'!C:H,4,FALSE),"No")</f>
        <v>No</v>
      </c>
      <c r="K467" s="109"/>
      <c r="L467" s="109"/>
      <c r="M467" s="110">
        <f>IFERROR(VLOOKUP($C467,'CEDARS School FRPL'!C:H,3,FALSE),0)</f>
        <v>0.43853333333333328</v>
      </c>
      <c r="N467" s="123" t="str">
        <f>IFERROR(VLOOKUP(C467,'CEDARS School FRPL'!C:H,6,FALSE),"No")</f>
        <v>No</v>
      </c>
      <c r="O467" s="147"/>
      <c r="P467" s="148"/>
    </row>
    <row r="468" spans="1:16">
      <c r="A468" s="95" t="s">
        <v>2450</v>
      </c>
      <c r="B468" s="95" t="s">
        <v>1500</v>
      </c>
      <c r="C468" s="4">
        <v>5332</v>
      </c>
      <c r="D468" s="95" t="s">
        <v>1507</v>
      </c>
      <c r="E468" s="145">
        <v>0</v>
      </c>
      <c r="F468" s="145">
        <v>0</v>
      </c>
      <c r="G468" s="145">
        <v>23.86</v>
      </c>
      <c r="H468" s="145">
        <v>0</v>
      </c>
      <c r="I468" s="77">
        <f t="shared" si="10"/>
        <v>23.86</v>
      </c>
      <c r="J468" s="123" t="str">
        <f>IFERROR(VLOOKUP($C468,'CEDARS School FRPL'!C:H,4,FALSE),"No")</f>
        <v>Yes</v>
      </c>
      <c r="K468" s="109"/>
      <c r="L468" s="109"/>
      <c r="M468" s="110">
        <f>IFERROR(VLOOKUP($C468,'CEDARS School FRPL'!C:H,3,FALSE),0)</f>
        <v>0.69503333333333328</v>
      </c>
      <c r="N468" s="123" t="str">
        <f>IFERROR(VLOOKUP(C468,'CEDARS School FRPL'!C:H,6,FALSE),"No")</f>
        <v>No</v>
      </c>
      <c r="O468" s="147"/>
      <c r="P468" s="148"/>
    </row>
    <row r="469" spans="1:16">
      <c r="A469" s="95" t="s">
        <v>2450</v>
      </c>
      <c r="B469" s="95" t="s">
        <v>1500</v>
      </c>
      <c r="C469" s="4">
        <v>5531</v>
      </c>
      <c r="D469" s="95" t="s">
        <v>2800</v>
      </c>
      <c r="E469" s="145">
        <v>16.649999999999999</v>
      </c>
      <c r="F469" s="145">
        <v>0</v>
      </c>
      <c r="G469" s="145">
        <v>0</v>
      </c>
      <c r="H469" s="145">
        <v>0</v>
      </c>
      <c r="I469" s="77">
        <f t="shared" si="10"/>
        <v>16.649999999999999</v>
      </c>
      <c r="J469" s="123" t="str">
        <f>IFERROR(VLOOKUP($C469,'CEDARS School FRPL'!C:H,4,FALSE),"No")</f>
        <v>Yes</v>
      </c>
      <c r="K469" s="109"/>
      <c r="L469" s="109"/>
      <c r="M469" s="110">
        <f>IFERROR(VLOOKUP($C469,'CEDARS School FRPL'!C:H,3,FALSE),0)</f>
        <v>0.5819333333333333</v>
      </c>
      <c r="N469" s="123" t="str">
        <f>IFERROR(VLOOKUP(C469,'CEDARS School FRPL'!C:H,6,FALSE),"No")</f>
        <v>No</v>
      </c>
      <c r="O469" s="147"/>
      <c r="P469" s="148"/>
    </row>
    <row r="470" spans="1:16">
      <c r="A470" s="95" t="s">
        <v>2475</v>
      </c>
      <c r="B470" s="95" t="s">
        <v>1645</v>
      </c>
      <c r="C470" s="4">
        <v>1519</v>
      </c>
      <c r="D470" s="95" t="s">
        <v>1646</v>
      </c>
      <c r="E470" s="145">
        <v>414.94</v>
      </c>
      <c r="F470" s="145">
        <v>6.0600000000000005</v>
      </c>
      <c r="G470" s="145">
        <v>0</v>
      </c>
      <c r="H470" s="145">
        <v>0</v>
      </c>
      <c r="I470" s="77">
        <f t="shared" si="10"/>
        <v>421</v>
      </c>
      <c r="J470" s="123" t="str">
        <f>IFERROR(VLOOKUP($C470,'CEDARS School FRPL'!C:H,4,FALSE),"No")</f>
        <v>No</v>
      </c>
      <c r="K470" s="109"/>
      <c r="L470" s="109"/>
      <c r="M470" s="110">
        <f>IFERROR(VLOOKUP($C470,'CEDARS School FRPL'!C:H,3,FALSE),0)</f>
        <v>0.42843333333333328</v>
      </c>
      <c r="N470" s="123" t="str">
        <f>IFERROR(VLOOKUP(C470,'CEDARS School FRPL'!C:H,6,FALSE),"No")</f>
        <v>No</v>
      </c>
      <c r="O470" s="147"/>
      <c r="P470" s="148"/>
    </row>
    <row r="471" spans="1:16">
      <c r="A471" s="95" t="s">
        <v>2475</v>
      </c>
      <c r="B471" s="95" t="s">
        <v>1645</v>
      </c>
      <c r="C471" s="4">
        <v>1520</v>
      </c>
      <c r="D471" s="95" t="s">
        <v>1647</v>
      </c>
      <c r="E471" s="145">
        <v>350.86</v>
      </c>
      <c r="F471" s="145">
        <v>0</v>
      </c>
      <c r="G471" s="145">
        <v>0</v>
      </c>
      <c r="H471" s="145">
        <v>0</v>
      </c>
      <c r="I471" s="77">
        <f t="shared" si="10"/>
        <v>350.86</v>
      </c>
      <c r="J471" s="123" t="str">
        <f>IFERROR(VLOOKUP($C471,'CEDARS School FRPL'!C:H,4,FALSE),"No")</f>
        <v>No</v>
      </c>
      <c r="K471" s="109"/>
      <c r="L471" s="109"/>
      <c r="M471" s="110">
        <f>IFERROR(VLOOKUP($C471,'CEDARS School FRPL'!C:H,3,FALSE),0)</f>
        <v>8.9966666666666681E-2</v>
      </c>
      <c r="N471" s="123" t="str">
        <f>IFERROR(VLOOKUP(C471,'CEDARS School FRPL'!C:H,6,FALSE),"No")</f>
        <v>No</v>
      </c>
      <c r="O471" s="147"/>
      <c r="P471" s="148"/>
    </row>
    <row r="472" spans="1:16">
      <c r="A472" s="95" t="s">
        <v>2475</v>
      </c>
      <c r="B472" s="95" t="s">
        <v>1645</v>
      </c>
      <c r="C472" s="4">
        <v>1558</v>
      </c>
      <c r="D472" s="95" t="s">
        <v>1648</v>
      </c>
      <c r="E472" s="145">
        <v>0.94</v>
      </c>
      <c r="F472" s="145">
        <v>0</v>
      </c>
      <c r="G472" s="145">
        <v>0</v>
      </c>
      <c r="H472" s="145">
        <v>0</v>
      </c>
      <c r="I472" s="77">
        <f t="shared" si="10"/>
        <v>0.94</v>
      </c>
      <c r="J472" s="123" t="str">
        <f>IFERROR(VLOOKUP($C472,'CEDARS School FRPL'!C:H,4,FALSE),"No")</f>
        <v>No</v>
      </c>
      <c r="K472" s="109"/>
      <c r="L472" s="109"/>
      <c r="M472" s="110">
        <f>IFERROR(VLOOKUP($C472,'CEDARS School FRPL'!C:H,3,FALSE),0)</f>
        <v>8.8899999999999993E-2</v>
      </c>
      <c r="N472" s="123" t="str">
        <f>IFERROR(VLOOKUP(C472,'CEDARS School FRPL'!C:H,6,FALSE),"No")</f>
        <v>No</v>
      </c>
      <c r="O472" s="147"/>
      <c r="P472" s="148"/>
    </row>
    <row r="473" spans="1:16">
      <c r="A473" s="95" t="s">
        <v>2475</v>
      </c>
      <c r="B473" s="95" t="s">
        <v>1645</v>
      </c>
      <c r="C473" s="4">
        <v>1685</v>
      </c>
      <c r="D473" s="95" t="s">
        <v>1649</v>
      </c>
      <c r="E473" s="145">
        <v>442.8</v>
      </c>
      <c r="F473" s="145">
        <v>0</v>
      </c>
      <c r="G473" s="145">
        <v>0</v>
      </c>
      <c r="H473" s="145">
        <v>0</v>
      </c>
      <c r="I473" s="77">
        <f t="shared" si="10"/>
        <v>442.8</v>
      </c>
      <c r="J473" s="123" t="str">
        <f>IFERROR(VLOOKUP($C473,'CEDARS School FRPL'!C:H,4,FALSE),"No")</f>
        <v>No</v>
      </c>
      <c r="K473" s="109"/>
      <c r="L473" s="109"/>
      <c r="M473" s="110">
        <f>IFERROR(VLOOKUP($C473,'CEDARS School FRPL'!C:H,3,FALSE),0)</f>
        <v>0.10726666666666666</v>
      </c>
      <c r="N473" s="123" t="str">
        <f>IFERROR(VLOOKUP(C473,'CEDARS School FRPL'!C:H,6,FALSE),"No")</f>
        <v>No</v>
      </c>
      <c r="O473" s="147"/>
      <c r="P473" s="148"/>
    </row>
    <row r="474" spans="1:16">
      <c r="A474" s="95" t="s">
        <v>2475</v>
      </c>
      <c r="B474" s="95" t="s">
        <v>1645</v>
      </c>
      <c r="C474" s="4">
        <v>1830</v>
      </c>
      <c r="D474" s="95" t="s">
        <v>1650</v>
      </c>
      <c r="E474" s="145">
        <v>8.2100000000000009</v>
      </c>
      <c r="F474" s="145">
        <v>0</v>
      </c>
      <c r="G474" s="145">
        <v>0</v>
      </c>
      <c r="H474" s="145">
        <v>0</v>
      </c>
      <c r="I474" s="77">
        <f t="shared" si="10"/>
        <v>8.2100000000000009</v>
      </c>
      <c r="J474" s="123" t="str">
        <f>IFERROR(VLOOKUP($C474,'CEDARS School FRPL'!C:H,4,FALSE),"No")</f>
        <v>No</v>
      </c>
      <c r="K474" s="109"/>
      <c r="L474" s="109"/>
      <c r="M474" s="110">
        <f>IFERROR(VLOOKUP($C474,'CEDARS School FRPL'!C:H,3,FALSE),0)</f>
        <v>0.32856666666666667</v>
      </c>
      <c r="N474" s="123" t="str">
        <f>IFERROR(VLOOKUP(C474,'CEDARS School FRPL'!C:H,6,FALSE),"No")</f>
        <v>No</v>
      </c>
      <c r="O474" s="147"/>
      <c r="P474" s="148"/>
    </row>
    <row r="475" spans="1:16">
      <c r="A475" s="95" t="s">
        <v>2475</v>
      </c>
      <c r="B475" s="95" t="s">
        <v>1645</v>
      </c>
      <c r="C475" s="4">
        <v>1966</v>
      </c>
      <c r="D475" s="95" t="s">
        <v>1651</v>
      </c>
      <c r="E475" s="145">
        <v>495.93</v>
      </c>
      <c r="F475" s="145">
        <v>52.35</v>
      </c>
      <c r="G475" s="145">
        <v>0</v>
      </c>
      <c r="H475" s="145">
        <v>0</v>
      </c>
      <c r="I475" s="77">
        <f t="shared" si="10"/>
        <v>548.28</v>
      </c>
      <c r="J475" s="123" t="str">
        <f>IFERROR(VLOOKUP($C475,'CEDARS School FRPL'!C:H,4,FALSE),"No")</f>
        <v>No</v>
      </c>
      <c r="K475" s="109"/>
      <c r="L475" s="109"/>
      <c r="M475" s="110">
        <f>IFERROR(VLOOKUP($C475,'CEDARS School FRPL'!C:H,3,FALSE),0)</f>
        <v>0.19223333333333334</v>
      </c>
      <c r="N475" s="123" t="str">
        <f>IFERROR(VLOOKUP(C475,'CEDARS School FRPL'!C:H,6,FALSE),"No")</f>
        <v>No</v>
      </c>
      <c r="O475" s="147"/>
      <c r="P475" s="148"/>
    </row>
    <row r="476" spans="1:16">
      <c r="A476" s="95" t="s">
        <v>2475</v>
      </c>
      <c r="B476" s="95" t="s">
        <v>1645</v>
      </c>
      <c r="C476" s="4">
        <v>2887</v>
      </c>
      <c r="D476" s="95" t="s">
        <v>1652</v>
      </c>
      <c r="E476" s="145">
        <v>390.88</v>
      </c>
      <c r="F476" s="145">
        <v>0</v>
      </c>
      <c r="G476" s="145">
        <v>0</v>
      </c>
      <c r="H476" s="145">
        <v>0</v>
      </c>
      <c r="I476" s="77">
        <f t="shared" si="10"/>
        <v>390.88</v>
      </c>
      <c r="J476" s="123" t="str">
        <f>IFERROR(VLOOKUP($C476,'CEDARS School FRPL'!C:H,4,FALSE),"No")</f>
        <v>No</v>
      </c>
      <c r="K476" s="109"/>
      <c r="L476" s="109"/>
      <c r="M476" s="110">
        <f>IFERROR(VLOOKUP($C476,'CEDARS School FRPL'!C:H,3,FALSE),0)</f>
        <v>0.41946666666666665</v>
      </c>
      <c r="N476" s="123" t="str">
        <f>IFERROR(VLOOKUP(C476,'CEDARS School FRPL'!C:H,6,FALSE),"No")</f>
        <v>No</v>
      </c>
      <c r="O476" s="147"/>
      <c r="P476" s="148"/>
    </row>
    <row r="477" spans="1:16">
      <c r="A477" s="95" t="s">
        <v>2475</v>
      </c>
      <c r="B477" s="95" t="s">
        <v>1645</v>
      </c>
      <c r="C477" s="4">
        <v>2888</v>
      </c>
      <c r="D477" s="95" t="s">
        <v>1653</v>
      </c>
      <c r="E477" s="145">
        <v>258.86</v>
      </c>
      <c r="F477" s="145">
        <v>0</v>
      </c>
      <c r="G477" s="145">
        <v>0</v>
      </c>
      <c r="H477" s="145">
        <v>0</v>
      </c>
      <c r="I477" s="77">
        <f t="shared" si="10"/>
        <v>258.86</v>
      </c>
      <c r="J477" s="123" t="str">
        <f>IFERROR(VLOOKUP($C477,'CEDARS School FRPL'!C:H,4,FALSE),"No")</f>
        <v>No</v>
      </c>
      <c r="K477" s="109"/>
      <c r="L477" s="109"/>
      <c r="M477" s="110">
        <f>IFERROR(VLOOKUP($C477,'CEDARS School FRPL'!C:H,3,FALSE),0)</f>
        <v>0.25390000000000001</v>
      </c>
      <c r="N477" s="123" t="str">
        <f>IFERROR(VLOOKUP(C477,'CEDARS School FRPL'!C:H,6,FALSE),"No")</f>
        <v>No</v>
      </c>
      <c r="O477" s="147"/>
      <c r="P477" s="148"/>
    </row>
    <row r="478" spans="1:16">
      <c r="A478" s="95" t="s">
        <v>2475</v>
      </c>
      <c r="B478" s="95" t="s">
        <v>1645</v>
      </c>
      <c r="C478" s="4">
        <v>3122</v>
      </c>
      <c r="D478" s="95" t="s">
        <v>1654</v>
      </c>
      <c r="E478" s="145">
        <v>380.86</v>
      </c>
      <c r="F478" s="145">
        <v>0</v>
      </c>
      <c r="G478" s="145">
        <v>0</v>
      </c>
      <c r="H478" s="145">
        <v>0</v>
      </c>
      <c r="I478" s="77">
        <f t="shared" si="10"/>
        <v>380.86</v>
      </c>
      <c r="J478" s="123" t="str">
        <f>IFERROR(VLOOKUP($C478,'CEDARS School FRPL'!C:H,4,FALSE),"No")</f>
        <v>No</v>
      </c>
      <c r="K478" s="109"/>
      <c r="L478" s="109"/>
      <c r="M478" s="110">
        <f>IFERROR(VLOOKUP($C478,'CEDARS School FRPL'!C:H,3,FALSE),0)</f>
        <v>0.4047</v>
      </c>
      <c r="N478" s="123" t="str">
        <f>IFERROR(VLOOKUP(C478,'CEDARS School FRPL'!C:H,6,FALSE),"No")</f>
        <v>No</v>
      </c>
      <c r="O478" s="147"/>
      <c r="P478" s="148"/>
    </row>
    <row r="479" spans="1:16">
      <c r="A479" s="95" t="s">
        <v>2475</v>
      </c>
      <c r="B479" s="95" t="s">
        <v>1645</v>
      </c>
      <c r="C479" s="4">
        <v>3123</v>
      </c>
      <c r="D479" s="95" t="s">
        <v>1655</v>
      </c>
      <c r="E479" s="145">
        <v>1376.06</v>
      </c>
      <c r="F479" s="145">
        <v>92.38</v>
      </c>
      <c r="G479" s="145">
        <v>0</v>
      </c>
      <c r="H479" s="145">
        <v>0</v>
      </c>
      <c r="I479" s="77">
        <f t="shared" si="10"/>
        <v>1468.44</v>
      </c>
      <c r="J479" s="123" t="str">
        <f>IFERROR(VLOOKUP($C479,'CEDARS School FRPL'!C:H,4,FALSE),"No")</f>
        <v>No</v>
      </c>
      <c r="K479" s="109"/>
      <c r="L479" s="109"/>
      <c r="M479" s="110">
        <f>IFERROR(VLOOKUP($C479,'CEDARS School FRPL'!C:H,3,FALSE),0)</f>
        <v>0.29470000000000002</v>
      </c>
      <c r="N479" s="123" t="str">
        <f>IFERROR(VLOOKUP(C479,'CEDARS School FRPL'!C:H,6,FALSE),"No")</f>
        <v>No</v>
      </c>
      <c r="O479" s="147"/>
      <c r="P479" s="148"/>
    </row>
    <row r="480" spans="1:16">
      <c r="A480" s="95" t="s">
        <v>2475</v>
      </c>
      <c r="B480" s="95" t="s">
        <v>1645</v>
      </c>
      <c r="C480" s="4">
        <v>3186</v>
      </c>
      <c r="D480" s="95" t="s">
        <v>1656</v>
      </c>
      <c r="E480" s="145">
        <v>414.43</v>
      </c>
      <c r="F480" s="145">
        <v>0</v>
      </c>
      <c r="G480" s="145">
        <v>0</v>
      </c>
      <c r="H480" s="145">
        <v>0</v>
      </c>
      <c r="I480" s="77">
        <f t="shared" si="10"/>
        <v>414.43</v>
      </c>
      <c r="J480" s="123" t="str">
        <f>IFERROR(VLOOKUP($C480,'CEDARS School FRPL'!C:H,4,FALSE),"No")</f>
        <v>No</v>
      </c>
      <c r="K480" s="109"/>
      <c r="L480" s="109"/>
      <c r="M480" s="110">
        <f>IFERROR(VLOOKUP($C480,'CEDARS School FRPL'!C:H,3,FALSE),0)</f>
        <v>0.3007333333333333</v>
      </c>
      <c r="N480" s="123" t="str">
        <f>IFERROR(VLOOKUP(C480,'CEDARS School FRPL'!C:H,6,FALSE),"No")</f>
        <v>No</v>
      </c>
      <c r="O480" s="147"/>
      <c r="P480" s="148"/>
    </row>
    <row r="481" spans="1:16">
      <c r="A481" s="95" t="s">
        <v>2475</v>
      </c>
      <c r="B481" s="95" t="s">
        <v>1645</v>
      </c>
      <c r="C481" s="4">
        <v>3254</v>
      </c>
      <c r="D481" s="95" t="s">
        <v>1657</v>
      </c>
      <c r="E481" s="145">
        <v>418.15</v>
      </c>
      <c r="F481" s="145">
        <v>0</v>
      </c>
      <c r="G481" s="145">
        <v>0</v>
      </c>
      <c r="H481" s="145">
        <v>0</v>
      </c>
      <c r="I481" s="77">
        <f t="shared" si="10"/>
        <v>418.15</v>
      </c>
      <c r="J481" s="123" t="str">
        <f>IFERROR(VLOOKUP($C481,'CEDARS School FRPL'!C:H,4,FALSE),"No")</f>
        <v>Yes</v>
      </c>
      <c r="K481" s="109"/>
      <c r="L481" s="109"/>
      <c r="M481" s="110">
        <f>IFERROR(VLOOKUP($C481,'CEDARS School FRPL'!C:H,3,FALSE),0)</f>
        <v>0.51023333333333332</v>
      </c>
      <c r="N481" s="123" t="str">
        <f>IFERROR(VLOOKUP(C481,'CEDARS School FRPL'!C:H,6,FALSE),"No")</f>
        <v>No</v>
      </c>
      <c r="O481" s="147"/>
      <c r="P481" s="148"/>
    </row>
    <row r="482" spans="1:16">
      <c r="A482" s="95" t="s">
        <v>2475</v>
      </c>
      <c r="B482" s="95" t="s">
        <v>1645</v>
      </c>
      <c r="C482" s="4">
        <v>3302</v>
      </c>
      <c r="D482" s="95" t="s">
        <v>1658</v>
      </c>
      <c r="E482" s="145">
        <v>435.71</v>
      </c>
      <c r="F482" s="145">
        <v>0</v>
      </c>
      <c r="G482" s="145">
        <v>0</v>
      </c>
      <c r="H482" s="145">
        <v>0</v>
      </c>
      <c r="I482" s="77">
        <f t="shared" si="10"/>
        <v>435.71</v>
      </c>
      <c r="J482" s="123" t="str">
        <f>IFERROR(VLOOKUP($C482,'CEDARS School FRPL'!C:H,4,FALSE),"No")</f>
        <v>No</v>
      </c>
      <c r="K482" s="109"/>
      <c r="L482" s="109"/>
      <c r="M482" s="110">
        <f>IFERROR(VLOOKUP($C482,'CEDARS School FRPL'!C:H,3,FALSE),0)</f>
        <v>0.35666666666666663</v>
      </c>
      <c r="N482" s="123" t="str">
        <f>IFERROR(VLOOKUP(C482,'CEDARS School FRPL'!C:H,6,FALSE),"No")</f>
        <v>No</v>
      </c>
      <c r="O482" s="147"/>
      <c r="P482" s="148"/>
    </row>
    <row r="483" spans="1:16">
      <c r="A483" s="95" t="s">
        <v>2475</v>
      </c>
      <c r="B483" s="95" t="s">
        <v>1645</v>
      </c>
      <c r="C483" s="4">
        <v>3303</v>
      </c>
      <c r="D483" s="95" t="s">
        <v>1659</v>
      </c>
      <c r="E483" s="145">
        <v>1254.1300000000001</v>
      </c>
      <c r="F483" s="145">
        <v>75.72</v>
      </c>
      <c r="G483" s="145">
        <v>0</v>
      </c>
      <c r="H483" s="145">
        <v>0</v>
      </c>
      <c r="I483" s="77">
        <f t="shared" si="10"/>
        <v>1329.8500000000001</v>
      </c>
      <c r="J483" s="123" t="str">
        <f>IFERROR(VLOOKUP($C483,'CEDARS School FRPL'!C:H,4,FALSE),"No")</f>
        <v>No</v>
      </c>
      <c r="K483" s="109"/>
      <c r="L483" s="109"/>
      <c r="M483" s="110">
        <f>IFERROR(VLOOKUP($C483,'CEDARS School FRPL'!C:H,3,FALSE),0)</f>
        <v>0.28510000000000002</v>
      </c>
      <c r="N483" s="123" t="str">
        <f>IFERROR(VLOOKUP(C483,'CEDARS School FRPL'!C:H,6,FALSE),"No")</f>
        <v>No</v>
      </c>
      <c r="P483" s="148"/>
    </row>
    <row r="484" spans="1:16">
      <c r="A484" s="95" t="s">
        <v>2475</v>
      </c>
      <c r="B484" s="95" t="s">
        <v>1645</v>
      </c>
      <c r="C484" s="4">
        <v>3304</v>
      </c>
      <c r="D484" s="95" t="s">
        <v>1660</v>
      </c>
      <c r="E484" s="145">
        <v>507.07</v>
      </c>
      <c r="F484" s="145">
        <v>0</v>
      </c>
      <c r="G484" s="145">
        <v>0</v>
      </c>
      <c r="H484" s="145">
        <v>0</v>
      </c>
      <c r="I484" s="77">
        <f t="shared" si="10"/>
        <v>507.07</v>
      </c>
      <c r="J484" s="123" t="str">
        <f>IFERROR(VLOOKUP($C484,'CEDARS School FRPL'!C:H,4,FALSE),"No")</f>
        <v>No</v>
      </c>
      <c r="K484" s="109"/>
      <c r="L484" s="109"/>
      <c r="M484" s="110">
        <f>IFERROR(VLOOKUP($C484,'CEDARS School FRPL'!C:H,3,FALSE),0)</f>
        <v>0.47189999999999999</v>
      </c>
      <c r="N484" s="123" t="str">
        <f>IFERROR(VLOOKUP(C484,'CEDARS School FRPL'!C:H,6,FALSE),"No")</f>
        <v>No</v>
      </c>
      <c r="O484" s="147"/>
      <c r="P484" s="148"/>
    </row>
    <row r="485" spans="1:16">
      <c r="A485" s="95" t="s">
        <v>2475</v>
      </c>
      <c r="B485" s="95" t="s">
        <v>1645</v>
      </c>
      <c r="C485" s="4">
        <v>3353</v>
      </c>
      <c r="D485" s="95" t="s">
        <v>1661</v>
      </c>
      <c r="E485" s="145">
        <v>714.34</v>
      </c>
      <c r="F485" s="145">
        <v>0</v>
      </c>
      <c r="G485" s="145">
        <v>0</v>
      </c>
      <c r="H485" s="145">
        <v>0</v>
      </c>
      <c r="I485" s="77">
        <f t="shared" si="10"/>
        <v>714.34</v>
      </c>
      <c r="J485" s="123" t="str">
        <f>IFERROR(VLOOKUP($C485,'CEDARS School FRPL'!C:H,4,FALSE),"No")</f>
        <v>No</v>
      </c>
      <c r="K485" s="109"/>
      <c r="L485" s="109"/>
      <c r="M485" s="110">
        <f>IFERROR(VLOOKUP($C485,'CEDARS School FRPL'!C:H,3,FALSE),0)</f>
        <v>0.41676666666666667</v>
      </c>
      <c r="N485" s="123" t="str">
        <f>IFERROR(VLOOKUP(C485,'CEDARS School FRPL'!C:H,6,FALSE),"No")</f>
        <v>No</v>
      </c>
      <c r="O485" s="147"/>
      <c r="P485" s="148"/>
    </row>
    <row r="486" spans="1:16">
      <c r="A486" s="95" t="s">
        <v>2475</v>
      </c>
      <c r="B486" s="95" t="s">
        <v>1645</v>
      </c>
      <c r="C486" s="4">
        <v>3409</v>
      </c>
      <c r="D486" s="95" t="s">
        <v>1662</v>
      </c>
      <c r="E486" s="145">
        <v>364.86</v>
      </c>
      <c r="F486" s="145">
        <v>0</v>
      </c>
      <c r="G486" s="145">
        <v>0</v>
      </c>
      <c r="H486" s="145">
        <v>0</v>
      </c>
      <c r="I486" s="77">
        <f t="shared" si="10"/>
        <v>364.86</v>
      </c>
      <c r="J486" s="123" t="str">
        <f>IFERROR(VLOOKUP($C486,'CEDARS School FRPL'!C:H,4,FALSE),"No")</f>
        <v>Yes</v>
      </c>
      <c r="K486" s="109"/>
      <c r="L486" s="109"/>
      <c r="M486" s="110">
        <f>IFERROR(VLOOKUP($C486,'CEDARS School FRPL'!C:H,3,FALSE),0)</f>
        <v>0.73806666666666665</v>
      </c>
      <c r="N486" s="123" t="str">
        <f>IFERROR(VLOOKUP(C486,'CEDARS School FRPL'!C:H,6,FALSE),"No")</f>
        <v>No</v>
      </c>
      <c r="O486" s="147"/>
      <c r="P486" s="148"/>
    </row>
    <row r="487" spans="1:16">
      <c r="A487" s="95" t="s">
        <v>2475</v>
      </c>
      <c r="B487" s="95" t="s">
        <v>1645</v>
      </c>
      <c r="C487" s="4">
        <v>3410</v>
      </c>
      <c r="D487" s="95" t="s">
        <v>1663</v>
      </c>
      <c r="E487" s="145">
        <v>458.29</v>
      </c>
      <c r="F487" s="145">
        <v>0</v>
      </c>
      <c r="G487" s="145">
        <v>0</v>
      </c>
      <c r="H487" s="145">
        <v>0</v>
      </c>
      <c r="I487" s="77">
        <f t="shared" si="10"/>
        <v>458.29</v>
      </c>
      <c r="J487" s="123" t="str">
        <f>IFERROR(VLOOKUP($C487,'CEDARS School FRPL'!C:H,4,FALSE),"No")</f>
        <v>No</v>
      </c>
      <c r="K487" s="109"/>
      <c r="L487" s="109"/>
      <c r="M487" s="110">
        <f>IFERROR(VLOOKUP($C487,'CEDARS School FRPL'!C:H,3,FALSE),0)</f>
        <v>0.47953333333333337</v>
      </c>
      <c r="N487" s="123" t="str">
        <f>IFERROR(VLOOKUP(C487,'CEDARS School FRPL'!C:H,6,FALSE),"No")</f>
        <v>Yes</v>
      </c>
      <c r="O487" s="147"/>
      <c r="P487" s="148"/>
    </row>
    <row r="488" spans="1:16">
      <c r="A488" s="95" t="s">
        <v>2475</v>
      </c>
      <c r="B488" s="95" t="s">
        <v>1645</v>
      </c>
      <c r="C488" s="4">
        <v>3461</v>
      </c>
      <c r="D488" s="95" t="s">
        <v>1664</v>
      </c>
      <c r="E488" s="145">
        <v>395.73</v>
      </c>
      <c r="F488" s="145">
        <v>0</v>
      </c>
      <c r="G488" s="145">
        <v>0</v>
      </c>
      <c r="H488" s="145">
        <v>0</v>
      </c>
      <c r="I488" s="77">
        <f t="shared" si="10"/>
        <v>395.73</v>
      </c>
      <c r="J488" s="123" t="str">
        <f>IFERROR(VLOOKUP($C488,'CEDARS School FRPL'!C:H,4,FALSE),"No")</f>
        <v>No</v>
      </c>
      <c r="K488" s="109"/>
      <c r="L488" s="109"/>
      <c r="M488" s="110">
        <f>IFERROR(VLOOKUP($C488,'CEDARS School FRPL'!C:H,3,FALSE),0)</f>
        <v>0.18023333333333333</v>
      </c>
      <c r="N488" s="123" t="str">
        <f>IFERROR(VLOOKUP(C488,'CEDARS School FRPL'!C:H,6,FALSE),"No")</f>
        <v>No</v>
      </c>
      <c r="O488" s="147"/>
      <c r="P488" s="148"/>
    </row>
    <row r="489" spans="1:16">
      <c r="A489" s="95" t="s">
        <v>2475</v>
      </c>
      <c r="B489" s="95" t="s">
        <v>1645</v>
      </c>
      <c r="C489" s="4">
        <v>3463</v>
      </c>
      <c r="D489" s="95" t="s">
        <v>2881</v>
      </c>
      <c r="E489" s="145">
        <v>580.14</v>
      </c>
      <c r="F489" s="145">
        <v>0</v>
      </c>
      <c r="G489" s="145">
        <v>0</v>
      </c>
      <c r="H489" s="145">
        <v>0</v>
      </c>
      <c r="I489" s="77">
        <f t="shared" si="10"/>
        <v>580.14</v>
      </c>
      <c r="J489" s="123" t="str">
        <f>IFERROR(VLOOKUP($C489,'CEDARS School FRPL'!C:H,4,FALSE),"No")</f>
        <v>No</v>
      </c>
      <c r="K489" s="109"/>
      <c r="L489" s="109"/>
      <c r="M489" s="110">
        <f>IFERROR(VLOOKUP($C489,'CEDARS School FRPL'!C:H,3,FALSE),0)</f>
        <v>0.11443333333333333</v>
      </c>
      <c r="N489" s="123" t="str">
        <f>IFERROR(VLOOKUP(C489,'CEDARS School FRPL'!C:H,6,FALSE),"No")</f>
        <v>No</v>
      </c>
      <c r="O489" s="147"/>
      <c r="P489" s="148"/>
    </row>
    <row r="490" spans="1:16">
      <c r="A490" s="95" t="s">
        <v>2475</v>
      </c>
      <c r="B490" s="95" t="s">
        <v>1645</v>
      </c>
      <c r="C490" s="4">
        <v>3464</v>
      </c>
      <c r="D490" s="95" t="s">
        <v>1665</v>
      </c>
      <c r="E490" s="145">
        <v>1360.24</v>
      </c>
      <c r="F490" s="145">
        <v>75.97</v>
      </c>
      <c r="G490" s="145">
        <v>0</v>
      </c>
      <c r="H490" s="145">
        <v>0</v>
      </c>
      <c r="I490" s="77">
        <f t="shared" si="10"/>
        <v>1436.21</v>
      </c>
      <c r="J490" s="123" t="str">
        <f>IFERROR(VLOOKUP($C490,'CEDARS School FRPL'!C:H,4,FALSE),"No")</f>
        <v>No</v>
      </c>
      <c r="K490" s="109"/>
      <c r="L490" s="109"/>
      <c r="M490" s="110">
        <f>IFERROR(VLOOKUP($C490,'CEDARS School FRPL'!C:H,3,FALSE),0)</f>
        <v>0.36796666666666661</v>
      </c>
      <c r="N490" s="123" t="str">
        <f>IFERROR(VLOOKUP(C490,'CEDARS School FRPL'!C:H,6,FALSE),"No")</f>
        <v>No</v>
      </c>
      <c r="O490" s="147"/>
      <c r="P490" s="148"/>
    </row>
    <row r="491" spans="1:16">
      <c r="A491" s="95" t="s">
        <v>2475</v>
      </c>
      <c r="B491" s="95" t="s">
        <v>1645</v>
      </c>
      <c r="C491" s="4">
        <v>3503</v>
      </c>
      <c r="D491" s="95" t="s">
        <v>1666</v>
      </c>
      <c r="E491" s="145">
        <v>519.72</v>
      </c>
      <c r="F491" s="145">
        <v>0</v>
      </c>
      <c r="G491" s="145">
        <v>0</v>
      </c>
      <c r="H491" s="145">
        <v>0</v>
      </c>
      <c r="I491" s="77">
        <f t="shared" si="10"/>
        <v>519.72</v>
      </c>
      <c r="J491" s="123" t="str">
        <f>IFERROR(VLOOKUP($C491,'CEDARS School FRPL'!C:H,4,FALSE),"No")</f>
        <v>No</v>
      </c>
      <c r="K491" s="109"/>
      <c r="L491" s="109"/>
      <c r="M491" s="110">
        <f>IFERROR(VLOOKUP($C491,'CEDARS School FRPL'!C:H,3,FALSE),0)</f>
        <v>0.39483333333333331</v>
      </c>
      <c r="N491" s="123" t="str">
        <f>IFERROR(VLOOKUP(C491,'CEDARS School FRPL'!C:H,6,FALSE),"No")</f>
        <v>No</v>
      </c>
      <c r="O491" s="147"/>
      <c r="P491" s="148"/>
    </row>
    <row r="492" spans="1:16">
      <c r="A492" s="95" t="s">
        <v>2475</v>
      </c>
      <c r="B492" s="95" t="s">
        <v>1645</v>
      </c>
      <c r="C492" s="4">
        <v>3504</v>
      </c>
      <c r="D492" s="95" t="s">
        <v>1667</v>
      </c>
      <c r="E492" s="145">
        <v>459.14</v>
      </c>
      <c r="F492" s="145">
        <v>0</v>
      </c>
      <c r="G492" s="145">
        <v>0</v>
      </c>
      <c r="H492" s="145">
        <v>0</v>
      </c>
      <c r="I492" s="77">
        <f t="shared" si="10"/>
        <v>459.14</v>
      </c>
      <c r="J492" s="123" t="str">
        <f>IFERROR(VLOOKUP($C492,'CEDARS School FRPL'!C:H,4,FALSE),"No")</f>
        <v>No</v>
      </c>
      <c r="K492" s="109"/>
      <c r="L492" s="109"/>
      <c r="M492" s="110">
        <f>IFERROR(VLOOKUP($C492,'CEDARS School FRPL'!C:H,3,FALSE),0)</f>
        <v>0.41553333333333331</v>
      </c>
      <c r="N492" s="123" t="str">
        <f>IFERROR(VLOOKUP(C492,'CEDARS School FRPL'!C:H,6,FALSE),"No")</f>
        <v>No</v>
      </c>
      <c r="O492" s="147"/>
      <c r="P492" s="148"/>
    </row>
    <row r="493" spans="1:16">
      <c r="A493" s="95" t="s">
        <v>2475</v>
      </c>
      <c r="B493" s="95" t="s">
        <v>1645</v>
      </c>
      <c r="C493" s="4">
        <v>3534</v>
      </c>
      <c r="D493" s="95" t="s">
        <v>1668</v>
      </c>
      <c r="E493" s="145">
        <v>350.35</v>
      </c>
      <c r="F493" s="145">
        <v>0</v>
      </c>
      <c r="G493" s="145">
        <v>0</v>
      </c>
      <c r="H493" s="145">
        <v>0</v>
      </c>
      <c r="I493" s="77">
        <f t="shared" si="10"/>
        <v>350.35</v>
      </c>
      <c r="J493" s="123" t="str">
        <f>IFERROR(VLOOKUP($C493,'CEDARS School FRPL'!C:H,4,FALSE),"No")</f>
        <v>Yes</v>
      </c>
      <c r="K493" s="109"/>
      <c r="L493" s="109"/>
      <c r="M493" s="110">
        <f>IFERROR(VLOOKUP($C493,'CEDARS School FRPL'!C:H,3,FALSE),0)</f>
        <v>0.53989999999999994</v>
      </c>
      <c r="N493" s="123" t="str">
        <f>IFERROR(VLOOKUP(C493,'CEDARS School FRPL'!C:H,6,FALSE),"No")</f>
        <v>No</v>
      </c>
      <c r="O493" s="147"/>
      <c r="P493" s="148"/>
    </row>
    <row r="494" spans="1:16">
      <c r="A494" s="95" t="s">
        <v>2475</v>
      </c>
      <c r="B494" s="95" t="s">
        <v>1645</v>
      </c>
      <c r="C494" s="4">
        <v>3536</v>
      </c>
      <c r="D494" s="95" t="s">
        <v>1669</v>
      </c>
      <c r="E494" s="145">
        <v>405.43</v>
      </c>
      <c r="F494" s="145">
        <v>0</v>
      </c>
      <c r="G494" s="145">
        <v>0</v>
      </c>
      <c r="H494" s="145">
        <v>0</v>
      </c>
      <c r="I494" s="77">
        <f t="shared" si="10"/>
        <v>405.43</v>
      </c>
      <c r="J494" s="123" t="str">
        <f>IFERROR(VLOOKUP($C494,'CEDARS School FRPL'!C:H,4,FALSE),"No")</f>
        <v>No</v>
      </c>
      <c r="K494" s="109"/>
      <c r="L494" s="109"/>
      <c r="M494" s="110">
        <f>IFERROR(VLOOKUP($C494,'CEDARS School FRPL'!C:H,3,FALSE),0)</f>
        <v>0.1206</v>
      </c>
      <c r="N494" s="123" t="str">
        <f>IFERROR(VLOOKUP(C494,'CEDARS School FRPL'!C:H,6,FALSE),"No")</f>
        <v>No</v>
      </c>
      <c r="O494" s="147"/>
      <c r="P494" s="148"/>
    </row>
    <row r="495" spans="1:16">
      <c r="A495" s="95" t="s">
        <v>2475</v>
      </c>
      <c r="B495" s="95" t="s">
        <v>1645</v>
      </c>
      <c r="C495" s="4">
        <v>3560</v>
      </c>
      <c r="D495" s="95" t="s">
        <v>1670</v>
      </c>
      <c r="E495" s="145">
        <v>739.58</v>
      </c>
      <c r="F495" s="145">
        <v>0</v>
      </c>
      <c r="G495" s="145">
        <v>0</v>
      </c>
      <c r="H495" s="145">
        <v>0</v>
      </c>
      <c r="I495" s="77">
        <f t="shared" si="10"/>
        <v>739.58</v>
      </c>
      <c r="J495" s="123" t="str">
        <f>IFERROR(VLOOKUP($C495,'CEDARS School FRPL'!C:H,4,FALSE),"No")</f>
        <v>No</v>
      </c>
      <c r="K495" s="109"/>
      <c r="L495" s="109"/>
      <c r="M495" s="110">
        <f>IFERROR(VLOOKUP($C495,'CEDARS School FRPL'!C:H,3,FALSE),0)</f>
        <v>0.45726666666666665</v>
      </c>
      <c r="N495" s="123" t="str">
        <f>IFERROR(VLOOKUP(C495,'CEDARS School FRPL'!C:H,6,FALSE),"No")</f>
        <v>No</v>
      </c>
      <c r="O495" s="147"/>
      <c r="P495" s="148"/>
    </row>
    <row r="496" spans="1:16">
      <c r="A496" s="95" t="s">
        <v>2475</v>
      </c>
      <c r="B496" s="95" t="s">
        <v>1645</v>
      </c>
      <c r="C496" s="4">
        <v>3605</v>
      </c>
      <c r="D496" s="95" t="s">
        <v>1671</v>
      </c>
      <c r="E496" s="145">
        <v>405.14</v>
      </c>
      <c r="F496" s="145">
        <v>0</v>
      </c>
      <c r="G496" s="145">
        <v>0</v>
      </c>
      <c r="H496" s="145">
        <v>0</v>
      </c>
      <c r="I496" s="77">
        <f t="shared" si="10"/>
        <v>405.14</v>
      </c>
      <c r="J496" s="123" t="str">
        <f>IFERROR(VLOOKUP($C496,'CEDARS School FRPL'!C:H,4,FALSE),"No")</f>
        <v>No</v>
      </c>
      <c r="K496" s="109"/>
      <c r="L496" s="109"/>
      <c r="M496" s="110">
        <f>IFERROR(VLOOKUP($C496,'CEDARS School FRPL'!C:H,3,FALSE),0)</f>
        <v>0.19993333333333332</v>
      </c>
      <c r="N496" s="123" t="str">
        <f>IFERROR(VLOOKUP(C496,'CEDARS School FRPL'!C:H,6,FALSE),"No")</f>
        <v>No</v>
      </c>
      <c r="O496" s="147"/>
      <c r="P496" s="148"/>
    </row>
    <row r="497" spans="1:16">
      <c r="A497" s="95" t="s">
        <v>2475</v>
      </c>
      <c r="B497" s="95" t="s">
        <v>1645</v>
      </c>
      <c r="C497" s="4">
        <v>3606</v>
      </c>
      <c r="D497" s="95" t="s">
        <v>1672</v>
      </c>
      <c r="E497" s="145">
        <v>254.29</v>
      </c>
      <c r="F497" s="145">
        <v>0</v>
      </c>
      <c r="G497" s="145">
        <v>0</v>
      </c>
      <c r="H497" s="145">
        <v>0</v>
      </c>
      <c r="I497" s="77">
        <f t="shared" si="10"/>
        <v>254.29</v>
      </c>
      <c r="J497" s="123" t="str">
        <f>IFERROR(VLOOKUP($C497,'CEDARS School FRPL'!C:H,4,FALSE),"No")</f>
        <v>No</v>
      </c>
      <c r="K497" s="109"/>
      <c r="L497" s="109"/>
      <c r="M497" s="110">
        <f>IFERROR(VLOOKUP($C497,'CEDARS School FRPL'!C:H,3,FALSE),0)</f>
        <v>0.12796666666666667</v>
      </c>
      <c r="N497" s="123" t="str">
        <f>IFERROR(VLOOKUP(C497,'CEDARS School FRPL'!C:H,6,FALSE),"No")</f>
        <v>No</v>
      </c>
      <c r="O497" s="147"/>
      <c r="P497" s="148"/>
    </row>
    <row r="498" spans="1:16">
      <c r="A498" s="95" t="s">
        <v>2475</v>
      </c>
      <c r="B498" s="95" t="s">
        <v>1645</v>
      </c>
      <c r="C498" s="4">
        <v>3607</v>
      </c>
      <c r="D498" s="95" t="s">
        <v>1673</v>
      </c>
      <c r="E498" s="145">
        <v>400.57</v>
      </c>
      <c r="F498" s="145">
        <v>0</v>
      </c>
      <c r="G498" s="145">
        <v>0</v>
      </c>
      <c r="H498" s="145">
        <v>0</v>
      </c>
      <c r="I498" s="77">
        <f t="shared" si="10"/>
        <v>400.57</v>
      </c>
      <c r="J498" s="123" t="str">
        <f>IFERROR(VLOOKUP($C498,'CEDARS School FRPL'!C:H,4,FALSE),"No")</f>
        <v>No</v>
      </c>
      <c r="K498" s="109"/>
      <c r="L498" s="109"/>
      <c r="M498" s="110">
        <f>IFERROR(VLOOKUP($C498,'CEDARS School FRPL'!C:H,3,FALSE),0)</f>
        <v>0.30346666666666666</v>
      </c>
      <c r="N498" s="123" t="str">
        <f>IFERROR(VLOOKUP(C498,'CEDARS School FRPL'!C:H,6,FALSE),"No")</f>
        <v>No</v>
      </c>
      <c r="O498" s="147"/>
      <c r="P498" s="148"/>
    </row>
    <row r="499" spans="1:16">
      <c r="A499" s="95" t="s">
        <v>2475</v>
      </c>
      <c r="B499" s="95" t="s">
        <v>1645</v>
      </c>
      <c r="C499" s="4">
        <v>3608</v>
      </c>
      <c r="D499" s="95" t="s">
        <v>1674</v>
      </c>
      <c r="E499" s="145">
        <v>527.16</v>
      </c>
      <c r="F499" s="145">
        <v>0</v>
      </c>
      <c r="G499" s="145">
        <v>0</v>
      </c>
      <c r="H499" s="145">
        <v>0</v>
      </c>
      <c r="I499" s="77">
        <f t="shared" si="10"/>
        <v>527.16</v>
      </c>
      <c r="J499" s="123" t="str">
        <f>IFERROR(VLOOKUP($C499,'CEDARS School FRPL'!C:H,4,FALSE),"No")</f>
        <v>No</v>
      </c>
      <c r="K499" s="109"/>
      <c r="L499" s="109"/>
      <c r="M499" s="110">
        <f>IFERROR(VLOOKUP($C499,'CEDARS School FRPL'!C:H,3,FALSE),0)</f>
        <v>0.35810000000000003</v>
      </c>
      <c r="N499" s="123" t="str">
        <f>IFERROR(VLOOKUP(C499,'CEDARS School FRPL'!C:H,6,FALSE),"No")</f>
        <v>No</v>
      </c>
      <c r="O499" s="147"/>
      <c r="P499" s="148"/>
    </row>
    <row r="500" spans="1:16">
      <c r="A500" s="95" t="s">
        <v>2475</v>
      </c>
      <c r="B500" s="95" t="s">
        <v>1645</v>
      </c>
      <c r="C500" s="4">
        <v>3650</v>
      </c>
      <c r="D500" s="95" t="s">
        <v>1675</v>
      </c>
      <c r="E500" s="145">
        <v>682.71</v>
      </c>
      <c r="F500" s="145">
        <v>0</v>
      </c>
      <c r="G500" s="145">
        <v>0</v>
      </c>
      <c r="H500" s="145">
        <v>0</v>
      </c>
      <c r="I500" s="77">
        <f t="shared" si="10"/>
        <v>682.71</v>
      </c>
      <c r="J500" s="123" t="str">
        <f>IFERROR(VLOOKUP($C500,'CEDARS School FRPL'!C:H,4,FALSE),"No")</f>
        <v>No</v>
      </c>
      <c r="K500" s="109"/>
      <c r="L500" s="109"/>
      <c r="M500" s="110">
        <f>IFERROR(VLOOKUP($C500,'CEDARS School FRPL'!C:H,3,FALSE),0)</f>
        <v>0.30049999999999999</v>
      </c>
      <c r="N500" s="123" t="str">
        <f>IFERROR(VLOOKUP(C500,'CEDARS School FRPL'!C:H,6,FALSE),"No")</f>
        <v>No</v>
      </c>
      <c r="O500" s="147"/>
      <c r="P500" s="148"/>
    </row>
    <row r="501" spans="1:16">
      <c r="A501" s="95" t="s">
        <v>2475</v>
      </c>
      <c r="B501" s="95" t="s">
        <v>1645</v>
      </c>
      <c r="C501" s="4">
        <v>3689</v>
      </c>
      <c r="D501" s="95" t="s">
        <v>720</v>
      </c>
      <c r="E501" s="145">
        <v>526.72</v>
      </c>
      <c r="F501" s="145">
        <v>0</v>
      </c>
      <c r="G501" s="145">
        <v>0</v>
      </c>
      <c r="H501" s="145">
        <v>0</v>
      </c>
      <c r="I501" s="77">
        <f t="shared" si="10"/>
        <v>526.72</v>
      </c>
      <c r="J501" s="123" t="str">
        <f>IFERROR(VLOOKUP($C501,'CEDARS School FRPL'!C:H,4,FALSE),"No")</f>
        <v>No</v>
      </c>
      <c r="K501" s="109"/>
      <c r="L501" s="109"/>
      <c r="M501" s="110">
        <f>IFERROR(VLOOKUP($C501,'CEDARS School FRPL'!C:H,3,FALSE),0)</f>
        <v>0.1646</v>
      </c>
      <c r="N501" s="123" t="str">
        <f>IFERROR(VLOOKUP(C501,'CEDARS School FRPL'!C:H,6,FALSE),"No")</f>
        <v>No</v>
      </c>
      <c r="O501" s="147"/>
      <c r="P501" s="148"/>
    </row>
    <row r="502" spans="1:16">
      <c r="A502" s="95" t="s">
        <v>2475</v>
      </c>
      <c r="B502" s="95" t="s">
        <v>1645</v>
      </c>
      <c r="C502" s="4">
        <v>3691</v>
      </c>
      <c r="D502" s="95" t="s">
        <v>1676</v>
      </c>
      <c r="E502" s="145">
        <v>448.14</v>
      </c>
      <c r="F502" s="145">
        <v>0</v>
      </c>
      <c r="G502" s="145">
        <v>0</v>
      </c>
      <c r="H502" s="145">
        <v>0</v>
      </c>
      <c r="I502" s="77">
        <f t="shared" si="10"/>
        <v>448.14</v>
      </c>
      <c r="J502" s="123" t="str">
        <f>IFERROR(VLOOKUP($C502,'CEDARS School FRPL'!C:H,4,FALSE),"No")</f>
        <v>Yes</v>
      </c>
      <c r="K502" s="109"/>
      <c r="L502" s="109"/>
      <c r="M502" s="110">
        <f>IFERROR(VLOOKUP($C502,'CEDARS School FRPL'!C:H,3,FALSE),0)</f>
        <v>0.64383333333333337</v>
      </c>
      <c r="N502" s="123" t="str">
        <f>IFERROR(VLOOKUP(C502,'CEDARS School FRPL'!C:H,6,FALSE),"No")</f>
        <v>No</v>
      </c>
      <c r="O502" s="147"/>
      <c r="P502" s="148"/>
    </row>
    <row r="503" spans="1:16">
      <c r="A503" s="95" t="s">
        <v>2475</v>
      </c>
      <c r="B503" s="95" t="s">
        <v>1645</v>
      </c>
      <c r="C503" s="4">
        <v>3754</v>
      </c>
      <c r="D503" s="95" t="s">
        <v>1677</v>
      </c>
      <c r="E503" s="145">
        <v>453.71</v>
      </c>
      <c r="F503" s="145">
        <v>0</v>
      </c>
      <c r="G503" s="145">
        <v>0</v>
      </c>
      <c r="H503" s="145">
        <v>0</v>
      </c>
      <c r="I503" s="77">
        <f t="shared" si="10"/>
        <v>453.71</v>
      </c>
      <c r="J503" s="123" t="str">
        <f>IFERROR(VLOOKUP($C503,'CEDARS School FRPL'!C:H,4,FALSE),"No")</f>
        <v>No</v>
      </c>
      <c r="K503" s="109"/>
      <c r="L503" s="109"/>
      <c r="M503" s="110">
        <f>IFERROR(VLOOKUP($C503,'CEDARS School FRPL'!C:H,3,FALSE),0)</f>
        <v>0.45183333333333331</v>
      </c>
      <c r="N503" s="123" t="str">
        <f>IFERROR(VLOOKUP(C503,'CEDARS School FRPL'!C:H,6,FALSE),"No")</f>
        <v>No</v>
      </c>
      <c r="O503" s="147"/>
      <c r="P503" s="148"/>
    </row>
    <row r="504" spans="1:16">
      <c r="A504" s="95" t="s">
        <v>2475</v>
      </c>
      <c r="B504" s="95" t="s">
        <v>1645</v>
      </c>
      <c r="C504" s="4">
        <v>3755</v>
      </c>
      <c r="D504" s="95" t="s">
        <v>1678</v>
      </c>
      <c r="E504" s="145">
        <v>1217.6400000000001</v>
      </c>
      <c r="F504" s="145">
        <v>92.149999999999991</v>
      </c>
      <c r="G504" s="145">
        <v>0</v>
      </c>
      <c r="H504" s="145">
        <v>0</v>
      </c>
      <c r="I504" s="77">
        <f t="shared" si="10"/>
        <v>1309.7900000000002</v>
      </c>
      <c r="J504" s="123" t="str">
        <f>IFERROR(VLOOKUP($C504,'CEDARS School FRPL'!C:H,4,FALSE),"No")</f>
        <v>No</v>
      </c>
      <c r="K504" s="109"/>
      <c r="L504" s="109"/>
      <c r="M504" s="110">
        <f>IFERROR(VLOOKUP($C504,'CEDARS School FRPL'!C:H,3,FALSE),0)</f>
        <v>0.43273333333333336</v>
      </c>
      <c r="N504" s="123" t="str">
        <f>IFERROR(VLOOKUP(C504,'CEDARS School FRPL'!C:H,6,FALSE),"No")</f>
        <v>No</v>
      </c>
      <c r="O504" s="147"/>
      <c r="P504" s="148"/>
    </row>
    <row r="505" spans="1:16">
      <c r="A505" s="95" t="s">
        <v>2475</v>
      </c>
      <c r="B505" s="95" t="s">
        <v>1645</v>
      </c>
      <c r="C505" s="4">
        <v>3854</v>
      </c>
      <c r="D505" s="95" t="s">
        <v>1679</v>
      </c>
      <c r="E505" s="145">
        <v>188.44</v>
      </c>
      <c r="F505" s="145">
        <v>0.83</v>
      </c>
      <c r="G505" s="145">
        <v>0</v>
      </c>
      <c r="H505" s="145">
        <v>0</v>
      </c>
      <c r="I505" s="77">
        <f t="shared" si="10"/>
        <v>189.27</v>
      </c>
      <c r="J505" s="123" t="str">
        <f>IFERROR(VLOOKUP($C505,'CEDARS School FRPL'!C:H,4,FALSE),"No")</f>
        <v>Yes</v>
      </c>
      <c r="K505" s="109"/>
      <c r="L505" s="109"/>
      <c r="M505" s="110">
        <f>IFERROR(VLOOKUP($C505,'CEDARS School FRPL'!C:H,3,FALSE),0)</f>
        <v>0.54893333333333338</v>
      </c>
      <c r="N505" s="123" t="str">
        <f>IFERROR(VLOOKUP(C505,'CEDARS School FRPL'!C:H,6,FALSE),"No")</f>
        <v>No</v>
      </c>
      <c r="O505" s="147"/>
      <c r="P505" s="148"/>
    </row>
    <row r="506" spans="1:16">
      <c r="A506" s="95" t="s">
        <v>2475</v>
      </c>
      <c r="B506" s="95" t="s">
        <v>1645</v>
      </c>
      <c r="C506" s="4">
        <v>5358</v>
      </c>
      <c r="D506" s="95" t="s">
        <v>1680</v>
      </c>
      <c r="E506" s="145">
        <v>0</v>
      </c>
      <c r="F506" s="145">
        <v>0</v>
      </c>
      <c r="G506" s="145">
        <v>117.27</v>
      </c>
      <c r="H506" s="145">
        <v>0</v>
      </c>
      <c r="I506" s="77">
        <f t="shared" si="10"/>
        <v>117.27</v>
      </c>
      <c r="J506" s="123" t="str">
        <f>IFERROR(VLOOKUP($C506,'CEDARS School FRPL'!C:H,4,FALSE),"No")</f>
        <v>No</v>
      </c>
      <c r="K506" s="109"/>
      <c r="L506" s="109"/>
      <c r="M506" s="110">
        <f>IFERROR(VLOOKUP($C506,'CEDARS School FRPL'!C:H,3,FALSE),0)</f>
        <v>0.38656666666666667</v>
      </c>
      <c r="N506" s="123" t="str">
        <f>IFERROR(VLOOKUP(C506,'CEDARS School FRPL'!C:H,6,FALSE),"No")</f>
        <v>No</v>
      </c>
      <c r="O506" s="147"/>
      <c r="P506" s="148"/>
    </row>
    <row r="507" spans="1:16">
      <c r="A507" s="95" t="s">
        <v>2475</v>
      </c>
      <c r="B507" s="95" t="s">
        <v>1645</v>
      </c>
      <c r="C507" s="4">
        <v>5669</v>
      </c>
      <c r="D507" s="95" t="s">
        <v>3011</v>
      </c>
      <c r="E507" s="145">
        <v>166.57</v>
      </c>
      <c r="F507" s="145">
        <v>0</v>
      </c>
      <c r="G507" s="145">
        <v>0</v>
      </c>
      <c r="H507" s="145">
        <v>0</v>
      </c>
      <c r="I507" s="77">
        <f t="shared" si="10"/>
        <v>166.57</v>
      </c>
      <c r="J507" s="123" t="str">
        <f>IFERROR(VLOOKUP($C507,'CEDARS School FRPL'!C:H,4,FALSE),"No")</f>
        <v>No</v>
      </c>
      <c r="K507" s="109"/>
      <c r="L507" s="109"/>
      <c r="M507" s="110">
        <f>IFERROR(VLOOKUP($C507,'CEDARS School FRPL'!C:H,3,FALSE),0)</f>
        <v>8.5900000000000004E-2</v>
      </c>
      <c r="N507" s="123" t="str">
        <f>IFERROR(VLOOKUP(C507,'CEDARS School FRPL'!C:H,6,FALSE),"No")</f>
        <v>No</v>
      </c>
      <c r="O507" s="147"/>
      <c r="P507" s="148"/>
    </row>
    <row r="508" spans="1:16">
      <c r="A508" s="95" t="s">
        <v>2475</v>
      </c>
      <c r="B508" s="95" t="s">
        <v>1645</v>
      </c>
      <c r="C508" s="4">
        <v>5706</v>
      </c>
      <c r="D508" s="95" t="s">
        <v>3010</v>
      </c>
      <c r="E508" s="145">
        <v>768.66</v>
      </c>
      <c r="F508" s="145">
        <v>0</v>
      </c>
      <c r="G508" s="145">
        <v>0</v>
      </c>
      <c r="H508" s="145">
        <v>0</v>
      </c>
      <c r="I508" s="77">
        <f t="shared" si="10"/>
        <v>768.66</v>
      </c>
      <c r="J508" s="123" t="str">
        <f>IFERROR(VLOOKUP($C508,'CEDARS School FRPL'!C:H,4,FALSE),"No")</f>
        <v>No</v>
      </c>
      <c r="K508" s="109"/>
      <c r="L508" s="109"/>
      <c r="M508" s="110">
        <f>IFERROR(VLOOKUP($C508,'CEDARS School FRPL'!C:H,3,FALSE),0)</f>
        <v>0.43390000000000001</v>
      </c>
      <c r="N508" s="123" t="str">
        <f>IFERROR(VLOOKUP(C508,'CEDARS School FRPL'!C:H,6,FALSE),"No")</f>
        <v>No</v>
      </c>
      <c r="O508" s="147"/>
      <c r="P508" s="148"/>
    </row>
    <row r="509" spans="1:16">
      <c r="A509" s="95" t="s">
        <v>2380</v>
      </c>
      <c r="B509" s="95" t="s">
        <v>1089</v>
      </c>
      <c r="C509" s="4">
        <v>2453</v>
      </c>
      <c r="D509" s="95" t="s">
        <v>1090</v>
      </c>
      <c r="E509" s="145">
        <v>754.89</v>
      </c>
      <c r="F509" s="145">
        <v>0</v>
      </c>
      <c r="G509" s="145">
        <v>0</v>
      </c>
      <c r="H509" s="145">
        <v>0</v>
      </c>
      <c r="I509" s="77">
        <f t="shared" si="10"/>
        <v>754.89</v>
      </c>
      <c r="J509" s="123" t="str">
        <f>IFERROR(VLOOKUP($C509,'CEDARS School FRPL'!C:H,4,FALSE),"No")</f>
        <v>No</v>
      </c>
      <c r="K509" s="109"/>
      <c r="L509" s="109"/>
      <c r="M509" s="110">
        <f>IFERROR(VLOOKUP($C509,'CEDARS School FRPL'!C:H,3,FALSE),0)</f>
        <v>0.4356666666666667</v>
      </c>
      <c r="N509" s="123" t="str">
        <f>IFERROR(VLOOKUP(C509,'CEDARS School FRPL'!C:H,6,FALSE),"No")</f>
        <v>No</v>
      </c>
      <c r="O509" s="147"/>
      <c r="P509" s="148"/>
    </row>
    <row r="510" spans="1:16">
      <c r="A510" s="95" t="s">
        <v>2380</v>
      </c>
      <c r="B510" s="95" t="s">
        <v>1089</v>
      </c>
      <c r="C510" s="4">
        <v>2741</v>
      </c>
      <c r="D510" s="95" t="s">
        <v>477</v>
      </c>
      <c r="E510" s="145">
        <v>450.84</v>
      </c>
      <c r="F510" s="145">
        <v>0</v>
      </c>
      <c r="G510" s="145">
        <v>0</v>
      </c>
      <c r="H510" s="145">
        <v>0</v>
      </c>
      <c r="I510" s="77">
        <f t="shared" si="10"/>
        <v>450.84</v>
      </c>
      <c r="J510" s="123" t="str">
        <f>IFERROR(VLOOKUP($C510,'CEDARS School FRPL'!C:H,4,FALSE),"No")</f>
        <v>No</v>
      </c>
      <c r="K510" s="109"/>
      <c r="L510" s="109"/>
      <c r="M510" s="110">
        <f>IFERROR(VLOOKUP($C510,'CEDARS School FRPL'!C:H,3,FALSE),0)</f>
        <v>0.37136666666666668</v>
      </c>
      <c r="N510" s="123" t="str">
        <f>IFERROR(VLOOKUP(C510,'CEDARS School FRPL'!C:H,6,FALSE),"No")</f>
        <v>No</v>
      </c>
      <c r="O510" s="147"/>
      <c r="P510" s="148"/>
    </row>
    <row r="511" spans="1:16">
      <c r="A511" s="95" t="s">
        <v>2380</v>
      </c>
      <c r="B511" s="95" t="s">
        <v>1089</v>
      </c>
      <c r="C511" s="4">
        <v>2996</v>
      </c>
      <c r="D511" s="95" t="s">
        <v>1091</v>
      </c>
      <c r="E511" s="145">
        <v>858.66</v>
      </c>
      <c r="F511" s="145">
        <v>88.86</v>
      </c>
      <c r="G511" s="145">
        <v>0</v>
      </c>
      <c r="H511" s="145">
        <v>0</v>
      </c>
      <c r="I511" s="77">
        <f t="shared" si="10"/>
        <v>947.52</v>
      </c>
      <c r="J511" s="123" t="str">
        <f>IFERROR(VLOOKUP($C511,'CEDARS School FRPL'!C:H,4,FALSE),"No")</f>
        <v>No</v>
      </c>
      <c r="K511" s="109"/>
      <c r="L511" s="109"/>
      <c r="M511" s="110">
        <f>IFERROR(VLOOKUP($C511,'CEDARS School FRPL'!C:H,3,FALSE),0)</f>
        <v>0.35256666666666669</v>
      </c>
      <c r="N511" s="123" t="str">
        <f>IFERROR(VLOOKUP(C511,'CEDARS School FRPL'!C:H,6,FALSE),"No")</f>
        <v>No</v>
      </c>
      <c r="O511" s="147"/>
      <c r="P511" s="148"/>
    </row>
    <row r="512" spans="1:16">
      <c r="A512" s="95" t="s">
        <v>2380</v>
      </c>
      <c r="B512" s="95" t="s">
        <v>1089</v>
      </c>
      <c r="C512" s="4">
        <v>3596</v>
      </c>
      <c r="D512" s="95" t="s">
        <v>1092</v>
      </c>
      <c r="E512" s="145">
        <v>458.51</v>
      </c>
      <c r="F512" s="145">
        <v>0</v>
      </c>
      <c r="G512" s="145">
        <v>0</v>
      </c>
      <c r="H512" s="145">
        <v>0</v>
      </c>
      <c r="I512" s="77">
        <f t="shared" si="10"/>
        <v>458.51</v>
      </c>
      <c r="J512" s="123" t="str">
        <f>IFERROR(VLOOKUP($C512,'CEDARS School FRPL'!C:H,4,FALSE),"No")</f>
        <v>Yes</v>
      </c>
      <c r="K512" s="109"/>
      <c r="L512" s="109"/>
      <c r="M512" s="110">
        <f>IFERROR(VLOOKUP($C512,'CEDARS School FRPL'!C:H,3,FALSE),0)</f>
        <v>0.5645</v>
      </c>
      <c r="N512" s="123" t="str">
        <f>IFERROR(VLOOKUP(C512,'CEDARS School FRPL'!C:H,6,FALSE),"No")</f>
        <v>No</v>
      </c>
      <c r="O512" s="147"/>
      <c r="P512" s="148"/>
    </row>
    <row r="513" spans="1:16">
      <c r="A513" s="95" t="s">
        <v>2380</v>
      </c>
      <c r="B513" s="95" t="s">
        <v>1089</v>
      </c>
      <c r="C513" s="4">
        <v>4411</v>
      </c>
      <c r="D513" s="95" t="s">
        <v>1093</v>
      </c>
      <c r="E513" s="145">
        <v>521.46</v>
      </c>
      <c r="F513" s="145">
        <v>0</v>
      </c>
      <c r="G513" s="145">
        <v>0</v>
      </c>
      <c r="H513" s="145">
        <v>0</v>
      </c>
      <c r="I513" s="77">
        <f t="shared" si="10"/>
        <v>521.46</v>
      </c>
      <c r="J513" s="123" t="str">
        <f>IFERROR(VLOOKUP($C513,'CEDARS School FRPL'!C:H,4,FALSE),"No")</f>
        <v>No</v>
      </c>
      <c r="K513" s="109"/>
      <c r="L513" s="109"/>
      <c r="M513" s="110">
        <f>IFERROR(VLOOKUP($C513,'CEDARS School FRPL'!C:H,3,FALSE),0)</f>
        <v>0.34426666666666667</v>
      </c>
      <c r="N513" s="123" t="str">
        <f>IFERROR(VLOOKUP(C513,'CEDARS School FRPL'!C:H,6,FALSE),"No")</f>
        <v>No</v>
      </c>
      <c r="O513" s="147"/>
      <c r="P513" s="148"/>
    </row>
    <row r="514" spans="1:16">
      <c r="A514" s="95" t="s">
        <v>2380</v>
      </c>
      <c r="B514" s="95" t="s">
        <v>1089</v>
      </c>
      <c r="C514" s="4">
        <v>5097</v>
      </c>
      <c r="D514" s="95" t="s">
        <v>1094</v>
      </c>
      <c r="E514" s="145">
        <v>95.98</v>
      </c>
      <c r="F514" s="145">
        <v>0</v>
      </c>
      <c r="G514" s="145">
        <v>2.29</v>
      </c>
      <c r="H514" s="145">
        <v>0</v>
      </c>
      <c r="I514" s="77">
        <f t="shared" si="10"/>
        <v>98.27000000000001</v>
      </c>
      <c r="J514" s="123" t="str">
        <f>IFERROR(VLOOKUP($C514,'CEDARS School FRPL'!C:H,4,FALSE),"No")</f>
        <v>Yes</v>
      </c>
      <c r="K514" s="109"/>
      <c r="L514" s="109"/>
      <c r="M514" s="110">
        <f>IFERROR(VLOOKUP($C514,'CEDARS School FRPL'!C:H,3,FALSE),0)</f>
        <v>0.5114333333333333</v>
      </c>
      <c r="N514" s="123" t="str">
        <f>IFERROR(VLOOKUP(C514,'CEDARS School FRPL'!C:H,6,FALSE),"No")</f>
        <v>No</v>
      </c>
      <c r="O514" s="147"/>
      <c r="P514" s="148"/>
    </row>
    <row r="515" spans="1:16">
      <c r="A515" s="95" t="s">
        <v>2332</v>
      </c>
      <c r="B515" s="95" t="s">
        <v>491</v>
      </c>
      <c r="C515" s="4">
        <v>1629</v>
      </c>
      <c r="D515" s="95" t="s">
        <v>492</v>
      </c>
      <c r="E515" s="145">
        <v>32.07</v>
      </c>
      <c r="F515" s="145">
        <v>0.87</v>
      </c>
      <c r="G515" s="145">
        <v>0</v>
      </c>
      <c r="H515" s="145">
        <v>0</v>
      </c>
      <c r="I515" s="77">
        <f t="shared" si="10"/>
        <v>32.94</v>
      </c>
      <c r="J515" s="123" t="str">
        <f>IFERROR(VLOOKUP($C515,'CEDARS School FRPL'!C:H,4,FALSE),"No")</f>
        <v>Yes</v>
      </c>
      <c r="K515" s="109"/>
      <c r="L515" s="109"/>
      <c r="M515" s="110">
        <f>IFERROR(VLOOKUP($C515,'CEDARS School FRPL'!C:H,3,FALSE),0)</f>
        <v>0.69539999999999991</v>
      </c>
      <c r="N515" s="123" t="str">
        <f>IFERROR(VLOOKUP(C515,'CEDARS School FRPL'!C:H,6,FALSE),"No")</f>
        <v>No</v>
      </c>
      <c r="O515" s="147"/>
      <c r="P515" s="148"/>
    </row>
    <row r="516" spans="1:16">
      <c r="A516" s="95" t="s">
        <v>2332</v>
      </c>
      <c r="B516" s="95" t="s">
        <v>491</v>
      </c>
      <c r="C516" s="4">
        <v>2137</v>
      </c>
      <c r="D516" s="95" t="s">
        <v>493</v>
      </c>
      <c r="E516" s="145">
        <v>449.09</v>
      </c>
      <c r="F516" s="145">
        <v>34.03</v>
      </c>
      <c r="G516" s="145">
        <v>0</v>
      </c>
      <c r="H516" s="145">
        <v>0</v>
      </c>
      <c r="I516" s="77">
        <f t="shared" ref="I516:I579" si="11">+E516+F516+G516+H516</f>
        <v>483.12</v>
      </c>
      <c r="J516" s="123" t="str">
        <f>IFERROR(VLOOKUP($C516,'CEDARS School FRPL'!C:H,4,FALSE),"No")</f>
        <v>Yes</v>
      </c>
      <c r="K516" s="109"/>
      <c r="L516" s="109"/>
      <c r="M516" s="110">
        <f>IFERROR(VLOOKUP($C516,'CEDARS School FRPL'!C:H,3,FALSE),0)</f>
        <v>0.72049999999999992</v>
      </c>
      <c r="N516" s="123" t="str">
        <f>IFERROR(VLOOKUP(C516,'CEDARS School FRPL'!C:H,6,FALSE),"No")</f>
        <v>No</v>
      </c>
      <c r="O516" s="147"/>
      <c r="P516" s="148"/>
    </row>
    <row r="517" spans="1:16">
      <c r="A517" s="95" t="s">
        <v>2332</v>
      </c>
      <c r="B517" s="95" t="s">
        <v>491</v>
      </c>
      <c r="C517" s="4">
        <v>3217</v>
      </c>
      <c r="D517" s="95" t="s">
        <v>494</v>
      </c>
      <c r="E517" s="145">
        <v>640.08000000000004</v>
      </c>
      <c r="F517" s="145">
        <v>0</v>
      </c>
      <c r="G517" s="145">
        <v>0</v>
      </c>
      <c r="H517" s="145">
        <v>0</v>
      </c>
      <c r="I517" s="77">
        <f t="shared" si="11"/>
        <v>640.08000000000004</v>
      </c>
      <c r="J517" s="123" t="str">
        <f>IFERROR(VLOOKUP($C517,'CEDARS School FRPL'!C:H,4,FALSE),"No")</f>
        <v>Yes</v>
      </c>
      <c r="K517" s="109"/>
      <c r="L517" s="109"/>
      <c r="M517" s="110">
        <f>IFERROR(VLOOKUP($C517,'CEDARS School FRPL'!C:H,3,FALSE),0)</f>
        <v>0.71860000000000002</v>
      </c>
      <c r="N517" s="123" t="str">
        <f>IFERROR(VLOOKUP(C517,'CEDARS School FRPL'!C:H,6,FALSE),"No")</f>
        <v>No</v>
      </c>
      <c r="O517" s="147"/>
      <c r="P517" s="148"/>
    </row>
    <row r="518" spans="1:16">
      <c r="A518" s="95" t="s">
        <v>2332</v>
      </c>
      <c r="B518" s="95" t="s">
        <v>491</v>
      </c>
      <c r="C518" s="4">
        <v>4245</v>
      </c>
      <c r="D518" s="95" t="s">
        <v>495</v>
      </c>
      <c r="E518" s="145">
        <v>370.06</v>
      </c>
      <c r="F518" s="145">
        <v>0</v>
      </c>
      <c r="G518" s="145">
        <v>0</v>
      </c>
      <c r="H518" s="145">
        <v>0</v>
      </c>
      <c r="I518" s="77">
        <f t="shared" si="11"/>
        <v>370.06</v>
      </c>
      <c r="J518" s="123" t="str">
        <f>IFERROR(VLOOKUP($C518,'CEDARS School FRPL'!C:H,4,FALSE),"No")</f>
        <v>Yes</v>
      </c>
      <c r="K518" s="109"/>
      <c r="L518" s="109"/>
      <c r="M518" s="110">
        <f>IFERROR(VLOOKUP($C518,'CEDARS School FRPL'!C:H,3,FALSE),0)</f>
        <v>0.75426666666666664</v>
      </c>
      <c r="N518" s="123" t="str">
        <f>IFERROR(VLOOKUP(C518,'CEDARS School FRPL'!C:H,6,FALSE),"No")</f>
        <v>No</v>
      </c>
      <c r="O518" s="147"/>
      <c r="P518" s="148"/>
    </row>
    <row r="519" spans="1:16">
      <c r="A519" s="95" t="s">
        <v>2332</v>
      </c>
      <c r="B519" s="95" t="s">
        <v>491</v>
      </c>
      <c r="C519" s="4">
        <v>5416</v>
      </c>
      <c r="D519" s="95" t="s">
        <v>496</v>
      </c>
      <c r="E519" s="145">
        <v>0</v>
      </c>
      <c r="F519" s="145">
        <v>0</v>
      </c>
      <c r="G519" s="145">
        <v>38.86</v>
      </c>
      <c r="H519" s="145">
        <v>0</v>
      </c>
      <c r="I519" s="77">
        <f t="shared" si="11"/>
        <v>38.86</v>
      </c>
      <c r="J519" s="123" t="str">
        <f>IFERROR(VLOOKUP($C519,'CEDARS School FRPL'!C:H,4,FALSE),"No")</f>
        <v>Yes</v>
      </c>
      <c r="K519" s="109"/>
      <c r="L519" s="109"/>
      <c r="M519" s="110">
        <f>IFERROR(VLOOKUP($C519,'CEDARS School FRPL'!C:H,3,FALSE),0)</f>
        <v>0.83406666666666673</v>
      </c>
      <c r="N519" s="123" t="str">
        <f>IFERROR(VLOOKUP(C519,'CEDARS School FRPL'!C:H,6,FALSE),"No")</f>
        <v>No</v>
      </c>
      <c r="O519" s="147"/>
      <c r="P519" s="148"/>
    </row>
    <row r="520" spans="1:16">
      <c r="A520" s="95" t="s">
        <v>2549</v>
      </c>
      <c r="B520" s="95" t="s">
        <v>2154</v>
      </c>
      <c r="C520" s="4">
        <v>2207</v>
      </c>
      <c r="D520" s="95" t="s">
        <v>2155</v>
      </c>
      <c r="E520" s="145">
        <v>73.39</v>
      </c>
      <c r="F520" s="145">
        <v>1.4</v>
      </c>
      <c r="G520" s="145">
        <v>0</v>
      </c>
      <c r="H520" s="145">
        <v>0</v>
      </c>
      <c r="I520" s="77">
        <f t="shared" si="11"/>
        <v>74.790000000000006</v>
      </c>
      <c r="J520" s="123" t="str">
        <f>IFERROR(VLOOKUP($C520,'CEDARS School FRPL'!C:H,4,FALSE),"No")</f>
        <v>Yes</v>
      </c>
      <c r="K520" s="109"/>
      <c r="L520" s="109"/>
      <c r="M520" s="110">
        <f>IFERROR(VLOOKUP($C520,'CEDARS School FRPL'!C:H,3,FALSE),0)</f>
        <v>0.57223333333333326</v>
      </c>
      <c r="N520" s="123" t="str">
        <f>IFERROR(VLOOKUP(C520,'CEDARS School FRPL'!C:H,6,FALSE),"No")</f>
        <v>No</v>
      </c>
      <c r="O520" s="147"/>
      <c r="P520" s="148"/>
    </row>
    <row r="521" spans="1:16">
      <c r="A521" s="95" t="s">
        <v>2272</v>
      </c>
      <c r="B521" s="95" t="s">
        <v>102</v>
      </c>
      <c r="C521" s="4">
        <v>2688</v>
      </c>
      <c r="D521" s="95" t="s">
        <v>103</v>
      </c>
      <c r="E521" s="145">
        <v>155.72999999999999</v>
      </c>
      <c r="F521" s="145">
        <v>0</v>
      </c>
      <c r="G521" s="145">
        <v>0</v>
      </c>
      <c r="H521" s="145">
        <v>0</v>
      </c>
      <c r="I521" s="77">
        <f t="shared" si="11"/>
        <v>155.72999999999999</v>
      </c>
      <c r="J521" s="123" t="str">
        <f>IFERROR(VLOOKUP($C521,'CEDARS School FRPL'!C:H,4,FALSE),"No")</f>
        <v>Yes</v>
      </c>
      <c r="K521" s="109"/>
      <c r="L521" s="109"/>
      <c r="M521" s="110">
        <f>IFERROR(VLOOKUP($C521,'CEDARS School FRPL'!C:H,3,FALSE),0)</f>
        <v>0.65960000000000008</v>
      </c>
      <c r="N521" s="123" t="str">
        <f>IFERROR(VLOOKUP(C521,'CEDARS School FRPL'!C:H,6,FALSE),"No")</f>
        <v>No</v>
      </c>
      <c r="O521" s="147"/>
      <c r="P521" s="148"/>
    </row>
    <row r="522" spans="1:16">
      <c r="A522" s="95" t="s">
        <v>2272</v>
      </c>
      <c r="B522" s="95" t="s">
        <v>102</v>
      </c>
      <c r="C522" s="4">
        <v>3317</v>
      </c>
      <c r="D522" s="95" t="s">
        <v>104</v>
      </c>
      <c r="E522" s="145">
        <v>146.69999999999999</v>
      </c>
      <c r="F522" s="145">
        <v>9.2899999999999991</v>
      </c>
      <c r="G522" s="145">
        <v>0</v>
      </c>
      <c r="H522" s="145">
        <v>0</v>
      </c>
      <c r="I522" s="77">
        <f t="shared" si="11"/>
        <v>155.98999999999998</v>
      </c>
      <c r="J522" s="123" t="str">
        <f>IFERROR(VLOOKUP($C522,'CEDARS School FRPL'!C:H,4,FALSE),"No")</f>
        <v>Yes</v>
      </c>
      <c r="K522" s="109"/>
      <c r="L522" s="109"/>
      <c r="M522" s="110">
        <f>IFERROR(VLOOKUP($C522,'CEDARS School FRPL'!C:H,3,FALSE),0)</f>
        <v>0.59620000000000006</v>
      </c>
      <c r="N522" s="123" t="str">
        <f>IFERROR(VLOOKUP(C522,'CEDARS School FRPL'!C:H,6,FALSE),"No")</f>
        <v>No</v>
      </c>
      <c r="O522" s="147"/>
      <c r="P522" s="148"/>
    </row>
    <row r="523" spans="1:16">
      <c r="A523" s="95" t="s">
        <v>2350</v>
      </c>
      <c r="B523" s="95" t="s">
        <v>685</v>
      </c>
      <c r="C523" s="4">
        <v>1523</v>
      </c>
      <c r="D523" s="95" t="s">
        <v>686</v>
      </c>
      <c r="E523" s="145">
        <v>9.6</v>
      </c>
      <c r="F523" s="145">
        <v>0</v>
      </c>
      <c r="G523" s="145">
        <v>0</v>
      </c>
      <c r="H523" s="145">
        <v>0</v>
      </c>
      <c r="I523" s="77">
        <f t="shared" si="11"/>
        <v>9.6</v>
      </c>
      <c r="J523" s="123" t="str">
        <f>IFERROR(VLOOKUP($C523,'CEDARS School FRPL'!C:H,4,FALSE),"No")</f>
        <v>Yes</v>
      </c>
      <c r="K523" s="109"/>
      <c r="L523" s="109"/>
      <c r="M523" s="110">
        <f>IFERROR(VLOOKUP($C523,'CEDARS School FRPL'!C:H,3,FALSE),0)</f>
        <v>0.61310000000000009</v>
      </c>
      <c r="N523" s="123" t="str">
        <f>IFERROR(VLOOKUP(C523,'CEDARS School FRPL'!C:H,6,FALSE),"No")</f>
        <v>No</v>
      </c>
      <c r="O523" s="147"/>
      <c r="P523" s="148"/>
    </row>
    <row r="524" spans="1:16">
      <c r="A524" s="95" t="s">
        <v>2350</v>
      </c>
      <c r="B524" s="95" t="s">
        <v>685</v>
      </c>
      <c r="C524" s="4">
        <v>2980</v>
      </c>
      <c r="D524" s="95" t="s">
        <v>687</v>
      </c>
      <c r="E524" s="145">
        <v>419.14</v>
      </c>
      <c r="F524" s="145">
        <v>0</v>
      </c>
      <c r="G524" s="145">
        <v>0</v>
      </c>
      <c r="H524" s="145">
        <v>0</v>
      </c>
      <c r="I524" s="77">
        <f t="shared" si="11"/>
        <v>419.14</v>
      </c>
      <c r="J524" s="123" t="str">
        <f>IFERROR(VLOOKUP($C524,'CEDARS School FRPL'!C:H,4,FALSE),"No")</f>
        <v>No</v>
      </c>
      <c r="K524" s="109"/>
      <c r="L524" s="109"/>
      <c r="M524" s="110">
        <f>IFERROR(VLOOKUP($C524,'CEDARS School FRPL'!C:H,3,FALSE),0)</f>
        <v>0.38873333333333332</v>
      </c>
      <c r="N524" s="123" t="str">
        <f>IFERROR(VLOOKUP(C524,'CEDARS School FRPL'!C:H,6,FALSE),"No")</f>
        <v>No</v>
      </c>
      <c r="O524" s="147"/>
      <c r="P524" s="148"/>
    </row>
    <row r="525" spans="1:16">
      <c r="A525" s="95" t="s">
        <v>2350</v>
      </c>
      <c r="B525" s="95" t="s">
        <v>685</v>
      </c>
      <c r="C525" s="4">
        <v>3330</v>
      </c>
      <c r="D525" s="95" t="s">
        <v>688</v>
      </c>
      <c r="E525" s="145">
        <v>1188.58</v>
      </c>
      <c r="F525" s="145">
        <v>90.899999999999991</v>
      </c>
      <c r="G525" s="145">
        <v>7.43</v>
      </c>
      <c r="H525" s="145">
        <v>0</v>
      </c>
      <c r="I525" s="77">
        <f t="shared" si="11"/>
        <v>1286.9100000000001</v>
      </c>
      <c r="J525" s="123" t="str">
        <f>IFERROR(VLOOKUP($C525,'CEDARS School FRPL'!C:H,4,FALSE),"No")</f>
        <v>No</v>
      </c>
      <c r="K525" s="109"/>
      <c r="L525" s="109"/>
      <c r="M525" s="110">
        <f>IFERROR(VLOOKUP($C525,'CEDARS School FRPL'!C:H,3,FALSE),0)</f>
        <v>0.27133333333333332</v>
      </c>
      <c r="N525" s="123" t="str">
        <f>IFERROR(VLOOKUP(C525,'CEDARS School FRPL'!C:H,6,FALSE),"No")</f>
        <v>No</v>
      </c>
      <c r="O525" s="147"/>
      <c r="P525" s="148"/>
    </row>
    <row r="526" spans="1:16">
      <c r="A526" s="95" t="s">
        <v>2350</v>
      </c>
      <c r="B526" s="95" t="s">
        <v>685</v>
      </c>
      <c r="C526" s="4">
        <v>3430</v>
      </c>
      <c r="D526" s="95" t="s">
        <v>689</v>
      </c>
      <c r="E526" s="145">
        <v>395.77</v>
      </c>
      <c r="F526" s="145">
        <v>0</v>
      </c>
      <c r="G526" s="145">
        <v>0</v>
      </c>
      <c r="H526" s="145">
        <v>0</v>
      </c>
      <c r="I526" s="77">
        <f t="shared" si="11"/>
        <v>395.77</v>
      </c>
      <c r="J526" s="123" t="str">
        <f>IFERROR(VLOOKUP($C526,'CEDARS School FRPL'!C:H,4,FALSE),"No")</f>
        <v>No</v>
      </c>
      <c r="K526" s="109"/>
      <c r="L526" s="109"/>
      <c r="M526" s="110">
        <f>IFERROR(VLOOKUP($C526,'CEDARS School FRPL'!C:H,3,FALSE),0)</f>
        <v>0.22676666666666667</v>
      </c>
      <c r="N526" s="123" t="str">
        <f>IFERROR(VLOOKUP(C526,'CEDARS School FRPL'!C:H,6,FALSE),"No")</f>
        <v>No</v>
      </c>
      <c r="O526" s="147"/>
      <c r="P526" s="148"/>
    </row>
    <row r="527" spans="1:16">
      <c r="A527" s="95" t="s">
        <v>2350</v>
      </c>
      <c r="B527" s="95" t="s">
        <v>685</v>
      </c>
      <c r="C527" s="4">
        <v>3585</v>
      </c>
      <c r="D527" s="95" t="s">
        <v>690</v>
      </c>
      <c r="E527" s="145">
        <v>287.17</v>
      </c>
      <c r="F527" s="145">
        <v>0</v>
      </c>
      <c r="G527" s="145">
        <v>0</v>
      </c>
      <c r="H527" s="145">
        <v>0</v>
      </c>
      <c r="I527" s="77">
        <f t="shared" si="11"/>
        <v>287.17</v>
      </c>
      <c r="J527" s="123" t="str">
        <f>IFERROR(VLOOKUP($C527,'CEDARS School FRPL'!C:H,4,FALSE),"No")</f>
        <v>No</v>
      </c>
      <c r="K527" s="109"/>
      <c r="L527" s="109"/>
      <c r="M527" s="110">
        <f>IFERROR(VLOOKUP($C527,'CEDARS School FRPL'!C:H,3,FALSE),0)</f>
        <v>0.24433333333333332</v>
      </c>
      <c r="N527" s="123" t="str">
        <f>IFERROR(VLOOKUP(C527,'CEDARS School FRPL'!C:H,6,FALSE),"No")</f>
        <v>No</v>
      </c>
      <c r="O527" s="147"/>
      <c r="P527" s="148"/>
    </row>
    <row r="528" spans="1:16">
      <c r="A528" s="95" t="s">
        <v>2350</v>
      </c>
      <c r="B528" s="95" t="s">
        <v>685</v>
      </c>
      <c r="C528" s="4">
        <v>3739</v>
      </c>
      <c r="D528" s="95" t="s">
        <v>691</v>
      </c>
      <c r="E528" s="145">
        <v>302.74</v>
      </c>
      <c r="F528" s="145">
        <v>0</v>
      </c>
      <c r="G528" s="145">
        <v>0</v>
      </c>
      <c r="H528" s="145">
        <v>0</v>
      </c>
      <c r="I528" s="77">
        <f t="shared" si="11"/>
        <v>302.74</v>
      </c>
      <c r="J528" s="123" t="str">
        <f>IFERROR(VLOOKUP($C528,'CEDARS School FRPL'!C:H,4,FALSE),"No")</f>
        <v>No</v>
      </c>
      <c r="K528" s="109"/>
      <c r="L528" s="109"/>
      <c r="M528" s="110">
        <f>IFERROR(VLOOKUP($C528,'CEDARS School FRPL'!C:H,3,FALSE),0)</f>
        <v>0.33823333333333333</v>
      </c>
      <c r="N528" s="123" t="str">
        <f>IFERROR(VLOOKUP(C528,'CEDARS School FRPL'!C:H,6,FALSE),"No")</f>
        <v>No</v>
      </c>
      <c r="O528" s="147"/>
      <c r="P528" s="148"/>
    </row>
    <row r="529" spans="1:16">
      <c r="A529" s="95" t="s">
        <v>2350</v>
      </c>
      <c r="B529" s="95" t="s">
        <v>685</v>
      </c>
      <c r="C529" s="4">
        <v>4210</v>
      </c>
      <c r="D529" s="95" t="s">
        <v>692</v>
      </c>
      <c r="E529" s="145">
        <v>486.84</v>
      </c>
      <c r="F529" s="145">
        <v>0</v>
      </c>
      <c r="G529" s="145">
        <v>0</v>
      </c>
      <c r="H529" s="145">
        <v>0</v>
      </c>
      <c r="I529" s="77">
        <f t="shared" si="11"/>
        <v>486.84</v>
      </c>
      <c r="J529" s="123" t="str">
        <f>IFERROR(VLOOKUP($C529,'CEDARS School FRPL'!C:H,4,FALSE),"No")</f>
        <v>No</v>
      </c>
      <c r="K529" s="109"/>
      <c r="L529" s="109"/>
      <c r="M529" s="110">
        <f>IFERROR(VLOOKUP($C529,'CEDARS School FRPL'!C:H,3,FALSE),0)</f>
        <v>0.33223333333333332</v>
      </c>
      <c r="N529" s="123" t="str">
        <f>IFERROR(VLOOKUP(C529,'CEDARS School FRPL'!C:H,6,FALSE),"No")</f>
        <v>No</v>
      </c>
      <c r="O529" s="147"/>
      <c r="P529" s="148"/>
    </row>
    <row r="530" spans="1:16">
      <c r="A530" s="95" t="s">
        <v>2350</v>
      </c>
      <c r="B530" s="95" t="s">
        <v>685</v>
      </c>
      <c r="C530" s="4">
        <v>4289</v>
      </c>
      <c r="D530" s="95" t="s">
        <v>693</v>
      </c>
      <c r="E530" s="145">
        <v>393.59</v>
      </c>
      <c r="F530" s="145">
        <v>0</v>
      </c>
      <c r="G530" s="145">
        <v>0</v>
      </c>
      <c r="H530" s="145">
        <v>0</v>
      </c>
      <c r="I530" s="77">
        <f t="shared" si="11"/>
        <v>393.59</v>
      </c>
      <c r="J530" s="123" t="str">
        <f>IFERROR(VLOOKUP($C530,'CEDARS School FRPL'!C:H,4,FALSE),"No")</f>
        <v>No</v>
      </c>
      <c r="K530" s="109"/>
      <c r="L530" s="109"/>
      <c r="M530" s="110">
        <f>IFERROR(VLOOKUP($C530,'CEDARS School FRPL'!C:H,3,FALSE),0)</f>
        <v>0.30383333333333334</v>
      </c>
      <c r="N530" s="123" t="str">
        <f>IFERROR(VLOOKUP(C530,'CEDARS School FRPL'!C:H,6,FALSE),"No")</f>
        <v>No</v>
      </c>
      <c r="O530" s="147"/>
      <c r="P530" s="148"/>
    </row>
    <row r="531" spans="1:16">
      <c r="A531" s="95" t="s">
        <v>2350</v>
      </c>
      <c r="B531" s="95" t="s">
        <v>685</v>
      </c>
      <c r="C531" s="4">
        <v>4550</v>
      </c>
      <c r="D531" s="95" t="s">
        <v>694</v>
      </c>
      <c r="E531" s="145">
        <v>485.22</v>
      </c>
      <c r="F531" s="145">
        <v>0</v>
      </c>
      <c r="G531" s="145">
        <v>0</v>
      </c>
      <c r="H531" s="145">
        <v>0</v>
      </c>
      <c r="I531" s="77">
        <f t="shared" si="11"/>
        <v>485.22</v>
      </c>
      <c r="J531" s="123" t="str">
        <f>IFERROR(VLOOKUP($C531,'CEDARS School FRPL'!C:H,4,FALSE),"No")</f>
        <v>No</v>
      </c>
      <c r="K531" s="109"/>
      <c r="L531" s="109"/>
      <c r="M531" s="110">
        <f>IFERROR(VLOOKUP($C531,'CEDARS School FRPL'!C:H,3,FALSE),0)</f>
        <v>0.26763333333333333</v>
      </c>
      <c r="N531" s="123" t="str">
        <f>IFERROR(VLOOKUP(C531,'CEDARS School FRPL'!C:H,6,FALSE),"No")</f>
        <v>No</v>
      </c>
      <c r="O531" s="147"/>
      <c r="P531" s="148"/>
    </row>
    <row r="532" spans="1:16">
      <c r="A532" s="95" t="s">
        <v>2350</v>
      </c>
      <c r="B532" s="95" t="s">
        <v>685</v>
      </c>
      <c r="C532" s="4">
        <v>5491</v>
      </c>
      <c r="D532" s="95" t="s">
        <v>3012</v>
      </c>
      <c r="E532" s="145">
        <v>19.71</v>
      </c>
      <c r="F532" s="145">
        <v>0</v>
      </c>
      <c r="G532" s="145">
        <v>0</v>
      </c>
      <c r="H532" s="145">
        <v>0</v>
      </c>
      <c r="I532" s="77">
        <f t="shared" si="11"/>
        <v>19.71</v>
      </c>
      <c r="J532" s="123" t="str">
        <f>IFERROR(VLOOKUP($C532,'CEDARS School FRPL'!C:H,4,FALSE),"No")</f>
        <v>No</v>
      </c>
      <c r="K532" s="109"/>
      <c r="L532" s="109"/>
      <c r="M532" s="110">
        <f>IFERROR(VLOOKUP($C532,'CEDARS School FRPL'!C:H,3,FALSE),0)</f>
        <v>0.05</v>
      </c>
      <c r="N532" s="123" t="str">
        <f>IFERROR(VLOOKUP(C532,'CEDARS School FRPL'!C:H,6,FALSE),"No")</f>
        <v>No</v>
      </c>
      <c r="O532" s="147"/>
      <c r="P532" s="148"/>
    </row>
    <row r="533" spans="1:16">
      <c r="A533" s="95" t="s">
        <v>2324</v>
      </c>
      <c r="B533" s="95" t="s">
        <v>452</v>
      </c>
      <c r="C533" s="4">
        <v>2695</v>
      </c>
      <c r="D533" s="95" t="s">
        <v>453</v>
      </c>
      <c r="E533" s="145">
        <v>386.14</v>
      </c>
      <c r="F533" s="145">
        <v>0</v>
      </c>
      <c r="G533" s="145">
        <v>0</v>
      </c>
      <c r="H533" s="145">
        <v>0</v>
      </c>
      <c r="I533" s="77">
        <f t="shared" si="11"/>
        <v>386.14</v>
      </c>
      <c r="J533" s="123" t="str">
        <f>IFERROR(VLOOKUP($C533,'CEDARS School FRPL'!C:H,4,FALSE),"No")</f>
        <v>Yes</v>
      </c>
      <c r="K533" s="109"/>
      <c r="L533" s="109"/>
      <c r="M533" s="110">
        <f>IFERROR(VLOOKUP($C533,'CEDARS School FRPL'!C:H,3,FALSE),0)</f>
        <v>0.59006666666666663</v>
      </c>
      <c r="N533" s="123" t="str">
        <f>IFERROR(VLOOKUP(C533,'CEDARS School FRPL'!C:H,6,FALSE),"No")</f>
        <v>No</v>
      </c>
      <c r="O533" s="147"/>
      <c r="P533" s="148"/>
    </row>
    <row r="534" spans="1:16">
      <c r="A534" s="95" t="s">
        <v>2324</v>
      </c>
      <c r="B534" s="95" t="s">
        <v>452</v>
      </c>
      <c r="C534" s="4">
        <v>2793</v>
      </c>
      <c r="D534" s="95" t="s">
        <v>454</v>
      </c>
      <c r="E534" s="145">
        <v>460.57</v>
      </c>
      <c r="F534" s="145">
        <v>0</v>
      </c>
      <c r="G534" s="145">
        <v>0</v>
      </c>
      <c r="H534" s="145">
        <v>0</v>
      </c>
      <c r="I534" s="77">
        <f t="shared" si="11"/>
        <v>460.57</v>
      </c>
      <c r="J534" s="123" t="str">
        <f>IFERROR(VLOOKUP($C534,'CEDARS School FRPL'!C:H,4,FALSE),"No")</f>
        <v>Yes</v>
      </c>
      <c r="K534" s="109"/>
      <c r="L534" s="109"/>
      <c r="M534" s="110">
        <f>IFERROR(VLOOKUP($C534,'CEDARS School FRPL'!C:H,3,FALSE),0)</f>
        <v>0.57666666666666666</v>
      </c>
      <c r="N534" s="123" t="str">
        <f>IFERROR(VLOOKUP(C534,'CEDARS School FRPL'!C:H,6,FALSE),"No")</f>
        <v>No</v>
      </c>
      <c r="O534" s="147"/>
      <c r="P534" s="148"/>
    </row>
    <row r="535" spans="1:16">
      <c r="A535" s="95" t="s">
        <v>2324</v>
      </c>
      <c r="B535" s="95" t="s">
        <v>452</v>
      </c>
      <c r="C535" s="4">
        <v>2920</v>
      </c>
      <c r="D535" s="95" t="s">
        <v>455</v>
      </c>
      <c r="E535" s="145">
        <v>783.28</v>
      </c>
      <c r="F535" s="145">
        <v>49.44</v>
      </c>
      <c r="G535" s="145">
        <v>0</v>
      </c>
      <c r="H535" s="145">
        <v>0</v>
      </c>
      <c r="I535" s="77">
        <f t="shared" si="11"/>
        <v>832.72</v>
      </c>
      <c r="J535" s="123" t="str">
        <f>IFERROR(VLOOKUP($C535,'CEDARS School FRPL'!C:H,4,FALSE),"No")</f>
        <v>No</v>
      </c>
      <c r="K535" s="109"/>
      <c r="L535" s="109"/>
      <c r="M535" s="110">
        <f>IFERROR(VLOOKUP($C535,'CEDARS School FRPL'!C:H,3,FALSE),0)</f>
        <v>0.49363333333333337</v>
      </c>
      <c r="N535" s="123" t="str">
        <f>IFERROR(VLOOKUP(C535,'CEDARS School FRPL'!C:H,6,FALSE),"No")</f>
        <v>No</v>
      </c>
      <c r="O535" s="147"/>
      <c r="P535" s="148"/>
    </row>
    <row r="536" spans="1:16">
      <c r="A536" s="95" t="s">
        <v>2324</v>
      </c>
      <c r="B536" s="95" t="s">
        <v>452</v>
      </c>
      <c r="C536" s="4">
        <v>3092</v>
      </c>
      <c r="D536" s="95" t="s">
        <v>456</v>
      </c>
      <c r="E536" s="145">
        <v>444.71</v>
      </c>
      <c r="F536" s="145">
        <v>0</v>
      </c>
      <c r="G536" s="145">
        <v>0</v>
      </c>
      <c r="H536" s="145">
        <v>0</v>
      </c>
      <c r="I536" s="77">
        <f t="shared" si="11"/>
        <v>444.71</v>
      </c>
      <c r="J536" s="123" t="str">
        <f>IFERROR(VLOOKUP($C536,'CEDARS School FRPL'!C:H,4,FALSE),"No")</f>
        <v>Yes</v>
      </c>
      <c r="K536" s="109"/>
      <c r="L536" s="109"/>
      <c r="M536" s="110">
        <f>IFERROR(VLOOKUP($C536,'CEDARS School FRPL'!C:H,3,FALSE),0)</f>
        <v>0.60133333333333339</v>
      </c>
      <c r="N536" s="123" t="str">
        <f>IFERROR(VLOOKUP(C536,'CEDARS School FRPL'!C:H,6,FALSE),"No")</f>
        <v>No</v>
      </c>
      <c r="O536" s="147"/>
      <c r="P536" s="148"/>
    </row>
    <row r="537" spans="1:16">
      <c r="A537" s="95" t="s">
        <v>2324</v>
      </c>
      <c r="B537" s="95" t="s">
        <v>452</v>
      </c>
      <c r="C537" s="4">
        <v>3373</v>
      </c>
      <c r="D537" s="95" t="s">
        <v>457</v>
      </c>
      <c r="E537" s="145">
        <v>442.62</v>
      </c>
      <c r="F537" s="145">
        <v>0</v>
      </c>
      <c r="G537" s="145">
        <v>0</v>
      </c>
      <c r="H537" s="145">
        <v>0</v>
      </c>
      <c r="I537" s="77">
        <f t="shared" si="11"/>
        <v>442.62</v>
      </c>
      <c r="J537" s="123" t="str">
        <f>IFERROR(VLOOKUP($C537,'CEDARS School FRPL'!C:H,4,FALSE),"No")</f>
        <v>Yes</v>
      </c>
      <c r="K537" s="109"/>
      <c r="L537" s="109"/>
      <c r="M537" s="110">
        <f>IFERROR(VLOOKUP($C537,'CEDARS School FRPL'!C:H,3,FALSE),0)</f>
        <v>0.5658333333333333</v>
      </c>
      <c r="N537" s="123" t="str">
        <f>IFERROR(VLOOKUP(C537,'CEDARS School FRPL'!C:H,6,FALSE),"No")</f>
        <v>No</v>
      </c>
      <c r="O537" s="147"/>
      <c r="P537" s="148"/>
    </row>
    <row r="538" spans="1:16">
      <c r="A538" s="95" t="s">
        <v>2324</v>
      </c>
      <c r="B538" s="95" t="s">
        <v>452</v>
      </c>
      <c r="C538" s="4">
        <v>5497</v>
      </c>
      <c r="D538" s="95" t="s">
        <v>2778</v>
      </c>
      <c r="E538" s="145">
        <v>0</v>
      </c>
      <c r="F538" s="145">
        <v>0</v>
      </c>
      <c r="G538" s="145">
        <v>11.86</v>
      </c>
      <c r="H538" s="145">
        <v>0</v>
      </c>
      <c r="I538" s="77">
        <f t="shared" si="11"/>
        <v>11.86</v>
      </c>
      <c r="J538" s="123" t="str">
        <f>IFERROR(VLOOKUP($C538,'CEDARS School FRPL'!C:H,4,FALSE),"No")</f>
        <v>Yes</v>
      </c>
      <c r="K538" s="109"/>
      <c r="L538" s="109"/>
      <c r="M538" s="110">
        <f>IFERROR(VLOOKUP($C538,'CEDARS School FRPL'!C:H,3,FALSE),0)</f>
        <v>0.77253333333333341</v>
      </c>
      <c r="N538" s="123" t="str">
        <f>IFERROR(VLOOKUP(C538,'CEDARS School FRPL'!C:H,6,FALSE),"No")</f>
        <v>No</v>
      </c>
      <c r="O538" s="147"/>
      <c r="P538" s="148"/>
    </row>
    <row r="539" spans="1:16">
      <c r="A539" s="95" t="s">
        <v>2394</v>
      </c>
      <c r="B539" s="95" t="s">
        <v>1136</v>
      </c>
      <c r="C539" s="4">
        <v>2355</v>
      </c>
      <c r="D539" s="95" t="s">
        <v>1137</v>
      </c>
      <c r="E539" s="145">
        <v>45.43</v>
      </c>
      <c r="F539" s="145">
        <v>0</v>
      </c>
      <c r="G539" s="145">
        <v>0</v>
      </c>
      <c r="H539" s="145">
        <v>0</v>
      </c>
      <c r="I539" s="77">
        <f t="shared" si="11"/>
        <v>45.43</v>
      </c>
      <c r="J539" s="123" t="str">
        <f>IFERROR(VLOOKUP($C539,'CEDARS School FRPL'!C:H,4,FALSE),"No")</f>
        <v>Yes</v>
      </c>
      <c r="K539" s="109"/>
      <c r="L539" s="109"/>
      <c r="M539" s="110">
        <f>IFERROR(VLOOKUP($C539,'CEDARS School FRPL'!C:H,3,FALSE),0)</f>
        <v>0.63856666666666662</v>
      </c>
      <c r="N539" s="123" t="str">
        <f>IFERROR(VLOOKUP(C539,'CEDARS School FRPL'!C:H,6,FALSE),"No")</f>
        <v>No</v>
      </c>
      <c r="O539" s="147"/>
      <c r="P539" s="148"/>
    </row>
    <row r="540" spans="1:16">
      <c r="A540" s="95" t="s">
        <v>2472</v>
      </c>
      <c r="B540" s="95" t="s">
        <v>1594</v>
      </c>
      <c r="C540" s="4">
        <v>1663</v>
      </c>
      <c r="D540" s="95" t="s">
        <v>1595</v>
      </c>
      <c r="E540" s="145">
        <v>0.56999999999999995</v>
      </c>
      <c r="F540" s="145">
        <v>0</v>
      </c>
      <c r="G540" s="145">
        <v>0</v>
      </c>
      <c r="H540" s="145">
        <v>0</v>
      </c>
      <c r="I540" s="77">
        <f t="shared" si="11"/>
        <v>0.56999999999999995</v>
      </c>
      <c r="J540" s="123" t="str">
        <f>IFERROR(VLOOKUP($C540,'CEDARS School FRPL'!C:H,4,FALSE),"No")</f>
        <v>No</v>
      </c>
      <c r="K540" s="109"/>
      <c r="L540" s="109"/>
      <c r="M540" s="110">
        <f>IFERROR(VLOOKUP($C540,'CEDARS School FRPL'!C:H,3,FALSE),0)</f>
        <v>0.27776666666666666</v>
      </c>
      <c r="N540" s="123" t="str">
        <f>IFERROR(VLOOKUP(C540,'CEDARS School FRPL'!C:H,6,FALSE),"No")</f>
        <v>No</v>
      </c>
      <c r="O540" s="147"/>
      <c r="P540" s="148"/>
    </row>
    <row r="541" spans="1:16">
      <c r="A541" s="95" t="s">
        <v>2472</v>
      </c>
      <c r="B541" s="95" t="s">
        <v>1594</v>
      </c>
      <c r="C541" s="4">
        <v>1907</v>
      </c>
      <c r="D541" s="95" t="s">
        <v>1596</v>
      </c>
      <c r="E541" s="145">
        <v>96.81</v>
      </c>
      <c r="F541" s="145">
        <v>9.08</v>
      </c>
      <c r="G541" s="145">
        <v>0</v>
      </c>
      <c r="H541" s="145">
        <v>0</v>
      </c>
      <c r="I541" s="77">
        <f t="shared" si="11"/>
        <v>105.89</v>
      </c>
      <c r="J541" s="123" t="str">
        <f>IFERROR(VLOOKUP($C541,'CEDARS School FRPL'!C:H,4,FALSE),"No")</f>
        <v>No</v>
      </c>
      <c r="K541" s="109"/>
      <c r="L541" s="109"/>
      <c r="M541" s="110">
        <f>IFERROR(VLOOKUP($C541,'CEDARS School FRPL'!C:H,3,FALSE),0)</f>
        <v>0.19003333333333336</v>
      </c>
      <c r="N541" s="123" t="str">
        <f>IFERROR(VLOOKUP(C541,'CEDARS School FRPL'!C:H,6,FALSE),"No")</f>
        <v>No</v>
      </c>
      <c r="O541" s="147"/>
      <c r="P541" s="148"/>
    </row>
    <row r="542" spans="1:16">
      <c r="A542" s="95" t="s">
        <v>2472</v>
      </c>
      <c r="B542" s="95" t="s">
        <v>1594</v>
      </c>
      <c r="C542" s="4">
        <v>2065</v>
      </c>
      <c r="D542" s="95" t="s">
        <v>1597</v>
      </c>
      <c r="E542" s="145">
        <v>386.71</v>
      </c>
      <c r="F542" s="145">
        <v>0</v>
      </c>
      <c r="G542" s="145">
        <v>0</v>
      </c>
      <c r="H542" s="145">
        <v>0</v>
      </c>
      <c r="I542" s="77">
        <f t="shared" si="11"/>
        <v>386.71</v>
      </c>
      <c r="J542" s="123" t="str">
        <f>IFERROR(VLOOKUP($C542,'CEDARS School FRPL'!C:H,4,FALSE),"No")</f>
        <v>Yes</v>
      </c>
      <c r="K542" s="109"/>
      <c r="L542" s="109"/>
      <c r="M542" s="110">
        <f>IFERROR(VLOOKUP($C542,'CEDARS School FRPL'!C:H,3,FALSE),0)</f>
        <v>0.61946666666666672</v>
      </c>
      <c r="N542" s="123" t="str">
        <f>IFERROR(VLOOKUP(C542,'CEDARS School FRPL'!C:H,6,FALSE),"No")</f>
        <v>No</v>
      </c>
      <c r="O542" s="147"/>
      <c r="P542" s="148"/>
    </row>
    <row r="543" spans="1:16">
      <c r="A543" s="95" t="s">
        <v>2472</v>
      </c>
      <c r="B543" s="95" t="s">
        <v>1594</v>
      </c>
      <c r="C543" s="4">
        <v>2126</v>
      </c>
      <c r="D543" s="95" t="s">
        <v>1598</v>
      </c>
      <c r="E543" s="145">
        <v>1473.58</v>
      </c>
      <c r="F543" s="145">
        <v>65.55</v>
      </c>
      <c r="G543" s="145">
        <v>0</v>
      </c>
      <c r="H543" s="145">
        <v>0</v>
      </c>
      <c r="I543" s="77">
        <f t="shared" si="11"/>
        <v>1539.1299999999999</v>
      </c>
      <c r="J543" s="123" t="str">
        <f>IFERROR(VLOOKUP($C543,'CEDARS School FRPL'!C:H,4,FALSE),"No")</f>
        <v>Yes</v>
      </c>
      <c r="K543" s="109"/>
      <c r="L543" s="109"/>
      <c r="M543" s="110">
        <f>IFERROR(VLOOKUP($C543,'CEDARS School FRPL'!C:H,3,FALSE),0)</f>
        <v>0.53123333333333334</v>
      </c>
      <c r="N543" s="123" t="str">
        <f>IFERROR(VLOOKUP(C543,'CEDARS School FRPL'!C:H,6,FALSE),"No")</f>
        <v>No</v>
      </c>
      <c r="O543" s="147"/>
      <c r="P543" s="148"/>
    </row>
    <row r="544" spans="1:16">
      <c r="A544" s="95" t="s">
        <v>2472</v>
      </c>
      <c r="B544" s="95" t="s">
        <v>1594</v>
      </c>
      <c r="C544" s="4">
        <v>2364</v>
      </c>
      <c r="D544" s="95" t="s">
        <v>1599</v>
      </c>
      <c r="E544" s="145">
        <v>691.51</v>
      </c>
      <c r="F544" s="145">
        <v>0</v>
      </c>
      <c r="G544" s="145">
        <v>0</v>
      </c>
      <c r="H544" s="145">
        <v>0</v>
      </c>
      <c r="I544" s="77">
        <f t="shared" si="11"/>
        <v>691.51</v>
      </c>
      <c r="J544" s="123" t="str">
        <f>IFERROR(VLOOKUP($C544,'CEDARS School FRPL'!C:H,4,FALSE),"No")</f>
        <v>Yes</v>
      </c>
      <c r="K544" s="109"/>
      <c r="L544" s="109"/>
      <c r="M544" s="110">
        <f>IFERROR(VLOOKUP($C544,'CEDARS School FRPL'!C:H,3,FALSE),0)</f>
        <v>0.63656666666666661</v>
      </c>
      <c r="N544" s="123" t="str">
        <f>IFERROR(VLOOKUP(C544,'CEDARS School FRPL'!C:H,6,FALSE),"No")</f>
        <v>No</v>
      </c>
      <c r="O544" s="147"/>
      <c r="P544" s="148"/>
    </row>
    <row r="545" spans="1:16">
      <c r="A545" s="95" t="s">
        <v>2472</v>
      </c>
      <c r="B545" s="95" t="s">
        <v>1594</v>
      </c>
      <c r="C545" s="4">
        <v>2545</v>
      </c>
      <c r="D545" s="95" t="s">
        <v>1600</v>
      </c>
      <c r="E545" s="145">
        <v>518.58000000000004</v>
      </c>
      <c r="F545" s="145">
        <v>0</v>
      </c>
      <c r="G545" s="145">
        <v>0</v>
      </c>
      <c r="H545" s="145">
        <v>0</v>
      </c>
      <c r="I545" s="77">
        <f t="shared" si="11"/>
        <v>518.58000000000004</v>
      </c>
      <c r="J545" s="123" t="str">
        <f>IFERROR(VLOOKUP($C545,'CEDARS School FRPL'!C:H,4,FALSE),"No")</f>
        <v>No</v>
      </c>
      <c r="K545" s="109"/>
      <c r="L545" s="109"/>
      <c r="M545" s="110">
        <f>IFERROR(VLOOKUP($C545,'CEDARS School FRPL'!C:H,3,FALSE),0)</f>
        <v>0.49503333333333338</v>
      </c>
      <c r="N545" s="123" t="str">
        <f>IFERROR(VLOOKUP(C545,'CEDARS School FRPL'!C:H,6,FALSE),"No")</f>
        <v>No</v>
      </c>
      <c r="O545" s="147"/>
      <c r="P545" s="148"/>
    </row>
    <row r="546" spans="1:16">
      <c r="A546" s="95" t="s">
        <v>2472</v>
      </c>
      <c r="B546" s="95" t="s">
        <v>1594</v>
      </c>
      <c r="C546" s="4">
        <v>2669</v>
      </c>
      <c r="D546" s="95" t="s">
        <v>1577</v>
      </c>
      <c r="E546" s="145">
        <v>375.57</v>
      </c>
      <c r="F546" s="145">
        <v>0</v>
      </c>
      <c r="G546" s="145">
        <v>0</v>
      </c>
      <c r="H546" s="145">
        <v>0</v>
      </c>
      <c r="I546" s="77">
        <f t="shared" si="11"/>
        <v>375.57</v>
      </c>
      <c r="J546" s="123" t="str">
        <f>IFERROR(VLOOKUP($C546,'CEDARS School FRPL'!C:H,4,FALSE),"No")</f>
        <v>Yes</v>
      </c>
      <c r="K546" s="109"/>
      <c r="L546" s="109"/>
      <c r="M546" s="110">
        <f>IFERROR(VLOOKUP($C546,'CEDARS School FRPL'!C:H,3,FALSE),0)</f>
        <v>0.65196666666666669</v>
      </c>
      <c r="N546" s="123" t="str">
        <f>IFERROR(VLOOKUP(C546,'CEDARS School FRPL'!C:H,6,FALSE),"No")</f>
        <v>No</v>
      </c>
      <c r="O546" s="147"/>
      <c r="P546" s="148"/>
    </row>
    <row r="547" spans="1:16">
      <c r="A547" s="95" t="s">
        <v>2472</v>
      </c>
      <c r="B547" s="95" t="s">
        <v>1594</v>
      </c>
      <c r="C547" s="4">
        <v>2751</v>
      </c>
      <c r="D547" s="95" t="s">
        <v>1601</v>
      </c>
      <c r="E547" s="145">
        <v>290</v>
      </c>
      <c r="F547" s="145">
        <v>0</v>
      </c>
      <c r="G547" s="145">
        <v>0</v>
      </c>
      <c r="H547" s="145">
        <v>0</v>
      </c>
      <c r="I547" s="77">
        <f t="shared" si="11"/>
        <v>290</v>
      </c>
      <c r="J547" s="123" t="str">
        <f>IFERROR(VLOOKUP($C547,'CEDARS School FRPL'!C:H,4,FALSE),"No")</f>
        <v>Yes</v>
      </c>
      <c r="K547" s="109"/>
      <c r="L547" s="109"/>
      <c r="M547" s="110">
        <f>IFERROR(VLOOKUP($C547,'CEDARS School FRPL'!C:H,3,FALSE),0)</f>
        <v>0.59116666666666662</v>
      </c>
      <c r="N547" s="123" t="str">
        <f>IFERROR(VLOOKUP(C547,'CEDARS School FRPL'!C:H,6,FALSE),"No")</f>
        <v>No</v>
      </c>
      <c r="O547" s="147"/>
      <c r="P547" s="148"/>
    </row>
    <row r="548" spans="1:16">
      <c r="A548" s="95" t="s">
        <v>2472</v>
      </c>
      <c r="B548" s="95" t="s">
        <v>1594</v>
      </c>
      <c r="C548" s="4">
        <v>2752</v>
      </c>
      <c r="D548" s="95" t="s">
        <v>382</v>
      </c>
      <c r="E548" s="145">
        <v>381.5</v>
      </c>
      <c r="F548" s="145">
        <v>0</v>
      </c>
      <c r="G548" s="145">
        <v>0</v>
      </c>
      <c r="H548" s="145">
        <v>0</v>
      </c>
      <c r="I548" s="77">
        <f t="shared" si="11"/>
        <v>381.5</v>
      </c>
      <c r="J548" s="123" t="str">
        <f>IFERROR(VLOOKUP($C548,'CEDARS School FRPL'!C:H,4,FALSE),"No")</f>
        <v>No</v>
      </c>
      <c r="K548" s="109"/>
      <c r="L548" s="109"/>
      <c r="M548" s="110">
        <f>IFERROR(VLOOKUP($C548,'CEDARS School FRPL'!C:H,3,FALSE),0)</f>
        <v>0.3528</v>
      </c>
      <c r="N548" s="123" t="str">
        <f>IFERROR(VLOOKUP(C548,'CEDARS School FRPL'!C:H,6,FALSE),"No")</f>
        <v>No</v>
      </c>
      <c r="O548" s="147"/>
      <c r="P548" s="148"/>
    </row>
    <row r="549" spans="1:16">
      <c r="A549" s="95" t="s">
        <v>2472</v>
      </c>
      <c r="B549" s="95" t="s">
        <v>1594</v>
      </c>
      <c r="C549" s="4">
        <v>2811</v>
      </c>
      <c r="D549" s="95" t="s">
        <v>1602</v>
      </c>
      <c r="E549" s="145">
        <v>455.86</v>
      </c>
      <c r="F549" s="145">
        <v>0</v>
      </c>
      <c r="G549" s="145">
        <v>0</v>
      </c>
      <c r="H549" s="145">
        <v>0</v>
      </c>
      <c r="I549" s="77">
        <f t="shared" si="11"/>
        <v>455.86</v>
      </c>
      <c r="J549" s="123" t="str">
        <f>IFERROR(VLOOKUP($C549,'CEDARS School FRPL'!C:H,4,FALSE),"No")</f>
        <v>Yes</v>
      </c>
      <c r="K549" s="109"/>
      <c r="L549" s="109"/>
      <c r="M549" s="110">
        <f>IFERROR(VLOOKUP($C549,'CEDARS School FRPL'!C:H,3,FALSE),0)</f>
        <v>0.58006666666666662</v>
      </c>
      <c r="N549" s="123" t="str">
        <f>IFERROR(VLOOKUP(C549,'CEDARS School FRPL'!C:H,6,FALSE),"No")</f>
        <v>No</v>
      </c>
      <c r="O549" s="147"/>
      <c r="P549" s="148"/>
    </row>
    <row r="550" spans="1:16">
      <c r="A550" s="95" t="s">
        <v>2472</v>
      </c>
      <c r="B550" s="95" t="s">
        <v>1594</v>
      </c>
      <c r="C550" s="4">
        <v>2883</v>
      </c>
      <c r="D550" s="95" t="s">
        <v>1603</v>
      </c>
      <c r="E550" s="145">
        <v>377.43</v>
      </c>
      <c r="F550" s="145">
        <v>0</v>
      </c>
      <c r="G550" s="145">
        <v>0</v>
      </c>
      <c r="H550" s="145">
        <v>0</v>
      </c>
      <c r="I550" s="77">
        <f t="shared" si="11"/>
        <v>377.43</v>
      </c>
      <c r="J550" s="123" t="str">
        <f>IFERROR(VLOOKUP($C550,'CEDARS School FRPL'!C:H,4,FALSE),"No")</f>
        <v>Yes</v>
      </c>
      <c r="K550" s="109"/>
      <c r="L550" s="109"/>
      <c r="M550" s="110">
        <f>IFERROR(VLOOKUP($C550,'CEDARS School FRPL'!C:H,3,FALSE),0)</f>
        <v>0.8167333333333332</v>
      </c>
      <c r="N550" s="123" t="str">
        <f>IFERROR(VLOOKUP(C550,'CEDARS School FRPL'!C:H,6,FALSE),"No")</f>
        <v>No</v>
      </c>
      <c r="O550" s="147"/>
      <c r="P550" s="148"/>
    </row>
    <row r="551" spans="1:16">
      <c r="A551" s="95" t="s">
        <v>2472</v>
      </c>
      <c r="B551" s="95" t="s">
        <v>1594</v>
      </c>
      <c r="C551" s="4">
        <v>3002</v>
      </c>
      <c r="D551" s="95" t="s">
        <v>1604</v>
      </c>
      <c r="E551" s="145">
        <v>461</v>
      </c>
      <c r="F551" s="145">
        <v>0</v>
      </c>
      <c r="G551" s="145">
        <v>0</v>
      </c>
      <c r="H551" s="145">
        <v>0</v>
      </c>
      <c r="I551" s="77">
        <f t="shared" si="11"/>
        <v>461</v>
      </c>
      <c r="J551" s="123" t="str">
        <f>IFERROR(VLOOKUP($C551,'CEDARS School FRPL'!C:H,4,FALSE),"No")</f>
        <v>No</v>
      </c>
      <c r="K551" s="109"/>
      <c r="L551" s="109"/>
      <c r="M551" s="110">
        <f>IFERROR(VLOOKUP($C551,'CEDARS School FRPL'!C:H,3,FALSE),0)</f>
        <v>0.39016666666666672</v>
      </c>
      <c r="N551" s="123" t="str">
        <f>IFERROR(VLOOKUP(C551,'CEDARS School FRPL'!C:H,6,FALSE),"No")</f>
        <v>No</v>
      </c>
      <c r="O551" s="147"/>
      <c r="P551" s="148"/>
    </row>
    <row r="552" spans="1:16">
      <c r="A552" s="95" t="s">
        <v>2472</v>
      </c>
      <c r="B552" s="95" t="s">
        <v>1594</v>
      </c>
      <c r="C552" s="4">
        <v>3184</v>
      </c>
      <c r="D552" s="95" t="s">
        <v>564</v>
      </c>
      <c r="E552" s="145">
        <v>555.29</v>
      </c>
      <c r="F552" s="145">
        <v>0</v>
      </c>
      <c r="G552" s="145">
        <v>0</v>
      </c>
      <c r="H552" s="145">
        <v>0</v>
      </c>
      <c r="I552" s="77">
        <f t="shared" si="11"/>
        <v>555.29</v>
      </c>
      <c r="J552" s="123" t="str">
        <f>IFERROR(VLOOKUP($C552,'CEDARS School FRPL'!C:H,4,FALSE),"No")</f>
        <v>Yes</v>
      </c>
      <c r="K552" s="109"/>
      <c r="L552" s="109"/>
      <c r="M552" s="110">
        <f>IFERROR(VLOOKUP($C552,'CEDARS School FRPL'!C:H,3,FALSE),0)</f>
        <v>0.63206666666666667</v>
      </c>
      <c r="N552" s="123" t="str">
        <f>IFERROR(VLOOKUP(C552,'CEDARS School FRPL'!C:H,6,FALSE),"No")</f>
        <v>No</v>
      </c>
      <c r="O552" s="147"/>
      <c r="P552" s="148"/>
    </row>
    <row r="553" spans="1:16">
      <c r="A553" s="95" t="s">
        <v>2472</v>
      </c>
      <c r="B553" s="95" t="s">
        <v>1594</v>
      </c>
      <c r="C553" s="4">
        <v>3253</v>
      </c>
      <c r="D553" s="95" t="s">
        <v>925</v>
      </c>
      <c r="E553" s="145">
        <v>959.64</v>
      </c>
      <c r="F553" s="145">
        <v>0</v>
      </c>
      <c r="G553" s="145">
        <v>0</v>
      </c>
      <c r="H553" s="145">
        <v>0</v>
      </c>
      <c r="I553" s="77">
        <f t="shared" si="11"/>
        <v>959.64</v>
      </c>
      <c r="J553" s="123" t="str">
        <f>IFERROR(VLOOKUP($C553,'CEDARS School FRPL'!C:H,4,FALSE),"No")</f>
        <v>Yes</v>
      </c>
      <c r="K553" s="109"/>
      <c r="L553" s="109"/>
      <c r="M553" s="110">
        <f>IFERROR(VLOOKUP($C553,'CEDARS School FRPL'!C:H,3,FALSE),0)</f>
        <v>0.60106666666666675</v>
      </c>
      <c r="N553" s="123" t="str">
        <f>IFERROR(VLOOKUP(C553,'CEDARS School FRPL'!C:H,6,FALSE),"No")</f>
        <v>No</v>
      </c>
      <c r="O553" s="147"/>
      <c r="P553" s="148"/>
    </row>
    <row r="554" spans="1:16">
      <c r="A554" s="95" t="s">
        <v>2472</v>
      </c>
      <c r="B554" s="95" t="s">
        <v>1594</v>
      </c>
      <c r="C554" s="4">
        <v>3407</v>
      </c>
      <c r="D554" s="95" t="s">
        <v>117</v>
      </c>
      <c r="E554" s="145">
        <v>1628.83</v>
      </c>
      <c r="F554" s="145">
        <v>100.75999999999999</v>
      </c>
      <c r="G554" s="145">
        <v>0</v>
      </c>
      <c r="H554" s="145">
        <v>0</v>
      </c>
      <c r="I554" s="77">
        <f t="shared" si="11"/>
        <v>1729.59</v>
      </c>
      <c r="J554" s="123" t="str">
        <f>IFERROR(VLOOKUP($C554,'CEDARS School FRPL'!C:H,4,FALSE),"No")</f>
        <v>Yes</v>
      </c>
      <c r="K554" s="109"/>
      <c r="L554" s="109"/>
      <c r="M554" s="110">
        <f>IFERROR(VLOOKUP($C554,'CEDARS School FRPL'!C:H,3,FALSE),0)</f>
        <v>0.50986666666666669</v>
      </c>
      <c r="N554" s="123" t="str">
        <f>IFERROR(VLOOKUP(C554,'CEDARS School FRPL'!C:H,6,FALSE),"No")</f>
        <v>No</v>
      </c>
      <c r="O554" s="147"/>
      <c r="P554" s="148"/>
    </row>
    <row r="555" spans="1:16">
      <c r="A555" s="95" t="s">
        <v>2472</v>
      </c>
      <c r="B555" s="95" t="s">
        <v>1594</v>
      </c>
      <c r="C555" s="4">
        <v>3533</v>
      </c>
      <c r="D555" s="95" t="s">
        <v>79</v>
      </c>
      <c r="E555" s="145">
        <v>475.21</v>
      </c>
      <c r="F555" s="145">
        <v>0</v>
      </c>
      <c r="G555" s="145">
        <v>0</v>
      </c>
      <c r="H555" s="145">
        <v>0</v>
      </c>
      <c r="I555" s="77">
        <f t="shared" si="11"/>
        <v>475.21</v>
      </c>
      <c r="J555" s="123" t="str">
        <f>IFERROR(VLOOKUP($C555,'CEDARS School FRPL'!C:H,4,FALSE),"No")</f>
        <v>No</v>
      </c>
      <c r="K555" s="109"/>
      <c r="L555" s="109"/>
      <c r="M555" s="110">
        <f>IFERROR(VLOOKUP($C555,'CEDARS School FRPL'!C:H,3,FALSE),0)</f>
        <v>0.35516666666666663</v>
      </c>
      <c r="N555" s="123" t="str">
        <f>IFERROR(VLOOKUP(C555,'CEDARS School FRPL'!C:H,6,FALSE),"No")</f>
        <v>No</v>
      </c>
      <c r="O555" s="147"/>
      <c r="P555" s="148"/>
    </row>
    <row r="556" spans="1:16">
      <c r="A556" s="95" t="s">
        <v>2472</v>
      </c>
      <c r="B556" s="95" t="s">
        <v>1594</v>
      </c>
      <c r="C556" s="4">
        <v>3686</v>
      </c>
      <c r="D556" s="95" t="s">
        <v>1605</v>
      </c>
      <c r="E556" s="145">
        <v>483.2</v>
      </c>
      <c r="F556" s="145">
        <v>0</v>
      </c>
      <c r="G556" s="145">
        <v>0</v>
      </c>
      <c r="H556" s="145">
        <v>0</v>
      </c>
      <c r="I556" s="77">
        <f t="shared" si="11"/>
        <v>483.2</v>
      </c>
      <c r="J556" s="123" t="str">
        <f>IFERROR(VLOOKUP($C556,'CEDARS School FRPL'!C:H,4,FALSE),"No")</f>
        <v>No</v>
      </c>
      <c r="K556" s="109"/>
      <c r="L556" s="109"/>
      <c r="M556" s="110">
        <f>IFERROR(VLOOKUP($C556,'CEDARS School FRPL'!C:H,3,FALSE),0)</f>
        <v>0.42050000000000004</v>
      </c>
      <c r="N556" s="123" t="str">
        <f>IFERROR(VLOOKUP(C556,'CEDARS School FRPL'!C:H,6,FALSE),"No")</f>
        <v>No</v>
      </c>
      <c r="O556" s="147"/>
      <c r="P556" s="148"/>
    </row>
    <row r="557" spans="1:16">
      <c r="A557" s="95" t="s">
        <v>2472</v>
      </c>
      <c r="B557" s="95" t="s">
        <v>1594</v>
      </c>
      <c r="C557" s="4">
        <v>3752</v>
      </c>
      <c r="D557" s="95" t="s">
        <v>1606</v>
      </c>
      <c r="E557" s="145">
        <v>892.11</v>
      </c>
      <c r="F557" s="145">
        <v>0</v>
      </c>
      <c r="G557" s="145">
        <v>0</v>
      </c>
      <c r="H557" s="145">
        <v>0</v>
      </c>
      <c r="I557" s="77">
        <f t="shared" si="11"/>
        <v>892.11</v>
      </c>
      <c r="J557" s="123" t="str">
        <f>IFERROR(VLOOKUP($C557,'CEDARS School FRPL'!C:H,4,FALSE),"No")</f>
        <v>No</v>
      </c>
      <c r="K557" s="109"/>
      <c r="L557" s="109"/>
      <c r="M557" s="110">
        <f>IFERROR(VLOOKUP($C557,'CEDARS School FRPL'!C:H,3,FALSE),0)</f>
        <v>0.44883333333333336</v>
      </c>
      <c r="N557" s="123" t="str">
        <f>IFERROR(VLOOKUP(C557,'CEDARS School FRPL'!C:H,6,FALSE),"No")</f>
        <v>No</v>
      </c>
      <c r="O557" s="147"/>
      <c r="P557" s="148"/>
    </row>
    <row r="558" spans="1:16">
      <c r="A558" s="95" t="s">
        <v>2472</v>
      </c>
      <c r="B558" s="95" t="s">
        <v>1594</v>
      </c>
      <c r="C558" s="4">
        <v>3903</v>
      </c>
      <c r="D558" s="95" t="s">
        <v>27</v>
      </c>
      <c r="E558" s="145">
        <v>8</v>
      </c>
      <c r="F558" s="145">
        <v>0</v>
      </c>
      <c r="G558" s="145">
        <v>0</v>
      </c>
      <c r="H558" s="145">
        <v>0</v>
      </c>
      <c r="I558" s="77">
        <f t="shared" si="11"/>
        <v>8</v>
      </c>
      <c r="J558" s="123" t="str">
        <f>IFERROR(VLOOKUP($C558,'CEDARS School FRPL'!C:H,4,FALSE),"No")</f>
        <v>No</v>
      </c>
      <c r="K558" s="109"/>
      <c r="L558" s="109"/>
      <c r="M558" s="110">
        <f>IFERROR(VLOOKUP($C558,'CEDARS School FRPL'!C:H,3,FALSE),0)</f>
        <v>0.33616666666666667</v>
      </c>
      <c r="N558" s="123" t="str">
        <f>IFERROR(VLOOKUP(C558,'CEDARS School FRPL'!C:H,6,FALSE),"No")</f>
        <v>No</v>
      </c>
      <c r="O558" s="147"/>
      <c r="P558" s="148"/>
    </row>
    <row r="559" spans="1:16">
      <c r="A559" s="95" t="s">
        <v>2472</v>
      </c>
      <c r="B559" s="95" t="s">
        <v>1594</v>
      </c>
      <c r="C559" s="4">
        <v>4125</v>
      </c>
      <c r="D559" s="95" t="s">
        <v>1607</v>
      </c>
      <c r="E559" s="145">
        <v>542.42999999999995</v>
      </c>
      <c r="F559" s="145">
        <v>0</v>
      </c>
      <c r="G559" s="145">
        <v>0</v>
      </c>
      <c r="H559" s="145">
        <v>0</v>
      </c>
      <c r="I559" s="77">
        <f t="shared" si="11"/>
        <v>542.42999999999995</v>
      </c>
      <c r="J559" s="123" t="str">
        <f>IFERROR(VLOOKUP($C559,'CEDARS School FRPL'!C:H,4,FALSE),"No")</f>
        <v>No</v>
      </c>
      <c r="K559" s="109"/>
      <c r="L559" s="109"/>
      <c r="M559" s="110">
        <f>IFERROR(VLOOKUP($C559,'CEDARS School FRPL'!C:H,3,FALSE),0)</f>
        <v>0.3372</v>
      </c>
      <c r="N559" s="123" t="str">
        <f>IFERROR(VLOOKUP(C559,'CEDARS School FRPL'!C:H,6,FALSE),"No")</f>
        <v>No</v>
      </c>
      <c r="O559" s="147"/>
      <c r="P559" s="148"/>
    </row>
    <row r="560" spans="1:16">
      <c r="A560" s="95" t="s">
        <v>2472</v>
      </c>
      <c r="B560" s="95" t="s">
        <v>1594</v>
      </c>
      <c r="C560" s="4">
        <v>4137</v>
      </c>
      <c r="D560" s="95" t="s">
        <v>1608</v>
      </c>
      <c r="E560" s="145">
        <v>126.67</v>
      </c>
      <c r="F560" s="145">
        <v>3.91</v>
      </c>
      <c r="G560" s="145">
        <v>0</v>
      </c>
      <c r="H560" s="145">
        <v>0</v>
      </c>
      <c r="I560" s="77">
        <f t="shared" si="11"/>
        <v>130.58000000000001</v>
      </c>
      <c r="J560" s="123" t="str">
        <f>IFERROR(VLOOKUP($C560,'CEDARS School FRPL'!C:H,4,FALSE),"No")</f>
        <v>Yes</v>
      </c>
      <c r="K560" s="109"/>
      <c r="L560" s="109"/>
      <c r="M560" s="110">
        <f>IFERROR(VLOOKUP($C560,'CEDARS School FRPL'!C:H,3,FALSE),0)</f>
        <v>0.63076666666666659</v>
      </c>
      <c r="N560" s="123" t="str">
        <f>IFERROR(VLOOKUP(C560,'CEDARS School FRPL'!C:H,6,FALSE),"No")</f>
        <v>No</v>
      </c>
      <c r="O560" s="147"/>
      <c r="P560" s="148"/>
    </row>
    <row r="561" spans="1:16">
      <c r="A561" s="95" t="s">
        <v>2472</v>
      </c>
      <c r="B561" s="95" t="s">
        <v>1594</v>
      </c>
      <c r="C561" s="4">
        <v>4298</v>
      </c>
      <c r="D561" s="95" t="s">
        <v>1609</v>
      </c>
      <c r="E561" s="145">
        <v>482.14</v>
      </c>
      <c r="F561" s="145">
        <v>0</v>
      </c>
      <c r="G561" s="145">
        <v>0</v>
      </c>
      <c r="H561" s="145">
        <v>0</v>
      </c>
      <c r="I561" s="77">
        <f t="shared" si="11"/>
        <v>482.14</v>
      </c>
      <c r="J561" s="123" t="str">
        <f>IFERROR(VLOOKUP($C561,'CEDARS School FRPL'!C:H,4,FALSE),"No")</f>
        <v>No</v>
      </c>
      <c r="K561" s="109"/>
      <c r="L561" s="109"/>
      <c r="M561" s="110">
        <f>IFERROR(VLOOKUP($C561,'CEDARS School FRPL'!C:H,3,FALSE),0)</f>
        <v>0.14263333333333336</v>
      </c>
      <c r="N561" s="123" t="str">
        <f>IFERROR(VLOOKUP(C561,'CEDARS School FRPL'!C:H,6,FALSE),"No")</f>
        <v>No</v>
      </c>
      <c r="O561" s="147"/>
      <c r="P561" s="148"/>
    </row>
    <row r="562" spans="1:16">
      <c r="A562" s="95" t="s">
        <v>2472</v>
      </c>
      <c r="B562" s="95" t="s">
        <v>1594</v>
      </c>
      <c r="C562" s="4">
        <v>4316</v>
      </c>
      <c r="D562" s="95" t="s">
        <v>1610</v>
      </c>
      <c r="E562" s="145">
        <v>639.57000000000005</v>
      </c>
      <c r="F562" s="145">
        <v>0</v>
      </c>
      <c r="G562" s="145">
        <v>0</v>
      </c>
      <c r="H562" s="145">
        <v>0</v>
      </c>
      <c r="I562" s="77">
        <f t="shared" si="11"/>
        <v>639.57000000000005</v>
      </c>
      <c r="J562" s="123" t="str">
        <f>IFERROR(VLOOKUP($C562,'CEDARS School FRPL'!C:H,4,FALSE),"No")</f>
        <v>No</v>
      </c>
      <c r="K562" s="109"/>
      <c r="L562" s="109"/>
      <c r="M562" s="110">
        <f>IFERROR(VLOOKUP($C562,'CEDARS School FRPL'!C:H,3,FALSE),0)</f>
        <v>0.21419999999999997</v>
      </c>
      <c r="N562" s="123" t="str">
        <f>IFERROR(VLOOKUP(C562,'CEDARS School FRPL'!C:H,6,FALSE),"No")</f>
        <v>No</v>
      </c>
      <c r="O562" s="147"/>
      <c r="P562" s="148"/>
    </row>
    <row r="563" spans="1:16">
      <c r="A563" s="95" t="s">
        <v>2472</v>
      </c>
      <c r="B563" s="95" t="s">
        <v>1594</v>
      </c>
      <c r="C563" s="4">
        <v>4334</v>
      </c>
      <c r="D563" s="95" t="s">
        <v>1611</v>
      </c>
      <c r="E563" s="145">
        <v>967.45</v>
      </c>
      <c r="F563" s="145">
        <v>0</v>
      </c>
      <c r="G563" s="145">
        <v>0</v>
      </c>
      <c r="H563" s="145">
        <v>0</v>
      </c>
      <c r="I563" s="77">
        <f t="shared" si="11"/>
        <v>967.45</v>
      </c>
      <c r="J563" s="123" t="str">
        <f>IFERROR(VLOOKUP($C563,'CEDARS School FRPL'!C:H,4,FALSE),"No")</f>
        <v>No</v>
      </c>
      <c r="K563" s="109"/>
      <c r="L563" s="109"/>
      <c r="M563" s="110">
        <f>IFERROR(VLOOKUP($C563,'CEDARS School FRPL'!C:H,3,FALSE),0)</f>
        <v>0.28113333333333329</v>
      </c>
      <c r="N563" s="123" t="str">
        <f>IFERROR(VLOOKUP(C563,'CEDARS School FRPL'!C:H,6,FALSE),"No")</f>
        <v>No</v>
      </c>
      <c r="O563" s="147"/>
      <c r="P563" s="148"/>
    </row>
    <row r="564" spans="1:16">
      <c r="A564" s="95" t="s">
        <v>2472</v>
      </c>
      <c r="B564" s="95" t="s">
        <v>1594</v>
      </c>
      <c r="C564" s="4">
        <v>4382</v>
      </c>
      <c r="D564" s="95" t="s">
        <v>1612</v>
      </c>
      <c r="E564" s="145">
        <v>645</v>
      </c>
      <c r="F564" s="145">
        <v>0</v>
      </c>
      <c r="G564" s="145">
        <v>0</v>
      </c>
      <c r="H564" s="145">
        <v>0</v>
      </c>
      <c r="I564" s="77">
        <f t="shared" si="11"/>
        <v>645</v>
      </c>
      <c r="J564" s="123" t="str">
        <f>IFERROR(VLOOKUP($C564,'CEDARS School FRPL'!C:H,4,FALSE),"No")</f>
        <v>No</v>
      </c>
      <c r="K564" s="109"/>
      <c r="L564" s="109"/>
      <c r="M564" s="110">
        <f>IFERROR(VLOOKUP($C564,'CEDARS School FRPL'!C:H,3,FALSE),0)</f>
        <v>0.14419999999999999</v>
      </c>
      <c r="N564" s="123" t="str">
        <f>IFERROR(VLOOKUP(C564,'CEDARS School FRPL'!C:H,6,FALSE),"No")</f>
        <v>No</v>
      </c>
      <c r="O564" s="147"/>
      <c r="P564" s="148"/>
    </row>
    <row r="565" spans="1:16">
      <c r="A565" s="95" t="s">
        <v>2472</v>
      </c>
      <c r="B565" s="95" t="s">
        <v>1594</v>
      </c>
      <c r="C565" s="4">
        <v>4437</v>
      </c>
      <c r="D565" s="95" t="s">
        <v>1613</v>
      </c>
      <c r="E565" s="145">
        <v>919.21</v>
      </c>
      <c r="F565" s="145">
        <v>0</v>
      </c>
      <c r="G565" s="145">
        <v>0</v>
      </c>
      <c r="H565" s="145">
        <v>0</v>
      </c>
      <c r="I565" s="77">
        <f t="shared" si="11"/>
        <v>919.21</v>
      </c>
      <c r="J565" s="123" t="str">
        <f>IFERROR(VLOOKUP($C565,'CEDARS School FRPL'!C:H,4,FALSE),"No")</f>
        <v>No</v>
      </c>
      <c r="K565" s="109"/>
      <c r="L565" s="109"/>
      <c r="M565" s="110">
        <f>IFERROR(VLOOKUP($C565,'CEDARS School FRPL'!C:H,3,FALSE),0)</f>
        <v>0.12856666666666669</v>
      </c>
      <c r="N565" s="123" t="str">
        <f>IFERROR(VLOOKUP(C565,'CEDARS School FRPL'!C:H,6,FALSE),"No")</f>
        <v>No</v>
      </c>
      <c r="O565" s="147"/>
      <c r="P565" s="148"/>
    </row>
    <row r="566" spans="1:16">
      <c r="A566" s="95" t="s">
        <v>2472</v>
      </c>
      <c r="B566" s="95" t="s">
        <v>1594</v>
      </c>
      <c r="C566" s="4">
        <v>4438</v>
      </c>
      <c r="D566" s="95" t="s">
        <v>1614</v>
      </c>
      <c r="E566" s="145">
        <v>1974.38</v>
      </c>
      <c r="F566" s="145">
        <v>148.92999999999998</v>
      </c>
      <c r="G566" s="145">
        <v>0</v>
      </c>
      <c r="H566" s="145">
        <v>0</v>
      </c>
      <c r="I566" s="77">
        <f t="shared" si="11"/>
        <v>2123.31</v>
      </c>
      <c r="J566" s="123" t="str">
        <f>IFERROR(VLOOKUP($C566,'CEDARS School FRPL'!C:H,4,FALSE),"No")</f>
        <v>No</v>
      </c>
      <c r="K566" s="109"/>
      <c r="L566" s="109"/>
      <c r="M566" s="110">
        <f>IFERROR(VLOOKUP($C566,'CEDARS School FRPL'!C:H,3,FALSE),0)</f>
        <v>0.20303333333333332</v>
      </c>
      <c r="N566" s="123" t="str">
        <f>IFERROR(VLOOKUP(C566,'CEDARS School FRPL'!C:H,6,FALSE),"No")</f>
        <v>No</v>
      </c>
      <c r="O566" s="147"/>
      <c r="P566" s="148"/>
    </row>
    <row r="567" spans="1:16">
      <c r="A567" s="95" t="s">
        <v>2472</v>
      </c>
      <c r="B567" s="95" t="s">
        <v>1594</v>
      </c>
      <c r="C567" s="4">
        <v>4530</v>
      </c>
      <c r="D567" s="95" t="s">
        <v>1615</v>
      </c>
      <c r="E567" s="145">
        <v>660.14</v>
      </c>
      <c r="F567" s="145">
        <v>0</v>
      </c>
      <c r="G567" s="145">
        <v>0</v>
      </c>
      <c r="H567" s="145">
        <v>0</v>
      </c>
      <c r="I567" s="77">
        <f t="shared" si="11"/>
        <v>660.14</v>
      </c>
      <c r="J567" s="123" t="str">
        <f>IFERROR(VLOOKUP($C567,'CEDARS School FRPL'!C:H,4,FALSE),"No")</f>
        <v>No</v>
      </c>
      <c r="K567" s="109"/>
      <c r="L567" s="109"/>
      <c r="M567" s="110">
        <f>IFERROR(VLOOKUP($C567,'CEDARS School FRPL'!C:H,3,FALSE),0)</f>
        <v>0.22786666666666666</v>
      </c>
      <c r="N567" s="123" t="str">
        <f>IFERROR(VLOOKUP(C567,'CEDARS School FRPL'!C:H,6,FALSE),"No")</f>
        <v>No</v>
      </c>
      <c r="O567" s="147"/>
      <c r="P567" s="148"/>
    </row>
    <row r="568" spans="1:16">
      <c r="A568" s="95" t="s">
        <v>2472</v>
      </c>
      <c r="B568" s="95" t="s">
        <v>1594</v>
      </c>
      <c r="C568" s="4">
        <v>5091</v>
      </c>
      <c r="D568" s="95" t="s">
        <v>1616</v>
      </c>
      <c r="E568" s="145">
        <v>590.57000000000005</v>
      </c>
      <c r="F568" s="145">
        <v>0</v>
      </c>
      <c r="G568" s="145">
        <v>0</v>
      </c>
      <c r="H568" s="145">
        <v>0</v>
      </c>
      <c r="I568" s="77">
        <f t="shared" si="11"/>
        <v>590.57000000000005</v>
      </c>
      <c r="J568" s="123" t="str">
        <f>IFERROR(VLOOKUP($C568,'CEDARS School FRPL'!C:H,4,FALSE),"No")</f>
        <v>No</v>
      </c>
      <c r="K568" s="109"/>
      <c r="L568" s="109"/>
      <c r="M568" s="110">
        <f>IFERROR(VLOOKUP($C568,'CEDARS School FRPL'!C:H,3,FALSE),0)</f>
        <v>0.1313</v>
      </c>
      <c r="N568" s="123" t="str">
        <f>IFERROR(VLOOKUP(C568,'CEDARS School FRPL'!C:H,6,FALSE),"No")</f>
        <v>No</v>
      </c>
      <c r="O568" s="147"/>
      <c r="P568" s="148"/>
    </row>
    <row r="569" spans="1:16">
      <c r="A569" s="95" t="s">
        <v>2472</v>
      </c>
      <c r="B569" s="95" t="s">
        <v>1594</v>
      </c>
      <c r="C569" s="4">
        <v>5330</v>
      </c>
      <c r="D569" s="95" t="s">
        <v>1617</v>
      </c>
      <c r="E569" s="145">
        <v>0</v>
      </c>
      <c r="F569" s="145">
        <v>0</v>
      </c>
      <c r="G569" s="145">
        <v>119.57</v>
      </c>
      <c r="H569" s="145">
        <v>0</v>
      </c>
      <c r="I569" s="77">
        <f t="shared" si="11"/>
        <v>119.57</v>
      </c>
      <c r="J569" s="123" t="str">
        <f>IFERROR(VLOOKUP($C569,'CEDARS School FRPL'!C:H,4,FALSE),"No")</f>
        <v>Yes</v>
      </c>
      <c r="K569" s="109"/>
      <c r="L569" s="109"/>
      <c r="M569" s="110">
        <f>IFERROR(VLOOKUP($C569,'CEDARS School FRPL'!C:H,3,FALSE),0)</f>
        <v>0.67536666666666667</v>
      </c>
      <c r="N569" s="123" t="str">
        <f>IFERROR(VLOOKUP(C569,'CEDARS School FRPL'!C:H,6,FALSE),"No")</f>
        <v>No</v>
      </c>
      <c r="O569" s="147"/>
      <c r="P569" s="148"/>
    </row>
    <row r="570" spans="1:16">
      <c r="A570" s="95" t="s">
        <v>2472</v>
      </c>
      <c r="B570" s="95" t="s">
        <v>1594</v>
      </c>
      <c r="C570" s="4">
        <v>5570</v>
      </c>
      <c r="D570" s="95" t="s">
        <v>2837</v>
      </c>
      <c r="E570" s="145">
        <v>625.27</v>
      </c>
      <c r="F570" s="145">
        <v>0</v>
      </c>
      <c r="G570" s="145">
        <v>0</v>
      </c>
      <c r="H570" s="145">
        <v>0</v>
      </c>
      <c r="I570" s="77">
        <f t="shared" si="11"/>
        <v>625.27</v>
      </c>
      <c r="J570" s="123" t="str">
        <f>IFERROR(VLOOKUP($C570,'CEDARS School FRPL'!C:H,4,FALSE),"No")</f>
        <v>No</v>
      </c>
      <c r="K570" s="109"/>
      <c r="L570" s="109"/>
      <c r="M570" s="110">
        <f>IFERROR(VLOOKUP($C570,'CEDARS School FRPL'!C:H,3,FALSE),0)</f>
        <v>5.8066666666666676E-2</v>
      </c>
      <c r="N570" s="123" t="str">
        <f>IFERROR(VLOOKUP(C570,'CEDARS School FRPL'!C:H,6,FALSE),"No")</f>
        <v>No</v>
      </c>
      <c r="O570" s="147"/>
      <c r="P570" s="148"/>
    </row>
    <row r="571" spans="1:16">
      <c r="A571" s="95" t="s">
        <v>2472</v>
      </c>
      <c r="B571" s="95" t="s">
        <v>1594</v>
      </c>
      <c r="C571" s="4">
        <v>5670</v>
      </c>
      <c r="D571" s="95" t="s">
        <v>3013</v>
      </c>
      <c r="E571" s="145">
        <v>629.04999999999995</v>
      </c>
      <c r="F571" s="145">
        <v>0</v>
      </c>
      <c r="G571" s="145">
        <v>0</v>
      </c>
      <c r="H571" s="145">
        <v>0</v>
      </c>
      <c r="I571" s="77">
        <f t="shared" si="11"/>
        <v>629.04999999999995</v>
      </c>
      <c r="J571" s="123" t="str">
        <f>IFERROR(VLOOKUP($C571,'CEDARS School FRPL'!C:H,4,FALSE),"No")</f>
        <v>No</v>
      </c>
      <c r="K571" s="109"/>
      <c r="L571" s="109"/>
      <c r="M571" s="110">
        <f>IFERROR(VLOOKUP($C571,'CEDARS School FRPL'!C:H,3,FALSE),0)</f>
        <v>0.32629999999999998</v>
      </c>
      <c r="N571" s="123" t="str">
        <f>IFERROR(VLOOKUP(C571,'CEDARS School FRPL'!C:H,6,FALSE),"No")</f>
        <v>No</v>
      </c>
      <c r="O571" s="147"/>
      <c r="P571" s="148"/>
    </row>
    <row r="572" spans="1:16">
      <c r="A572" s="95" t="s">
        <v>2288</v>
      </c>
      <c r="B572" s="95" t="s">
        <v>220</v>
      </c>
      <c r="C572" s="4">
        <v>1646</v>
      </c>
      <c r="D572" s="95" t="s">
        <v>221</v>
      </c>
      <c r="E572" s="145">
        <v>95.99</v>
      </c>
      <c r="F572" s="145">
        <v>0</v>
      </c>
      <c r="G572" s="145">
        <v>0</v>
      </c>
      <c r="H572" s="145">
        <v>0</v>
      </c>
      <c r="I572" s="77">
        <f t="shared" si="11"/>
        <v>95.99</v>
      </c>
      <c r="J572" s="123" t="str">
        <f>IFERROR(VLOOKUP($C572,'CEDARS School FRPL'!C:H,4,FALSE),"No")</f>
        <v>Yes</v>
      </c>
      <c r="K572" s="109"/>
      <c r="L572" s="109"/>
      <c r="M572" s="110">
        <f>IFERROR(VLOOKUP($C572,'CEDARS School FRPL'!C:H,3,FALSE),0)</f>
        <v>0.67566666666666675</v>
      </c>
      <c r="N572" s="123" t="str">
        <f>IFERROR(VLOOKUP(C572,'CEDARS School FRPL'!C:H,6,FALSE),"No")</f>
        <v>No</v>
      </c>
      <c r="O572" s="147"/>
      <c r="P572" s="148"/>
    </row>
    <row r="573" spans="1:16">
      <c r="A573" s="95" t="s">
        <v>2288</v>
      </c>
      <c r="B573" s="95" t="s">
        <v>220</v>
      </c>
      <c r="C573" s="4">
        <v>1926</v>
      </c>
      <c r="D573" s="95" t="s">
        <v>222</v>
      </c>
      <c r="E573" s="145">
        <v>414.06</v>
      </c>
      <c r="F573" s="145">
        <v>0</v>
      </c>
      <c r="G573" s="145">
        <v>0</v>
      </c>
      <c r="H573" s="145">
        <v>0</v>
      </c>
      <c r="I573" s="77">
        <f t="shared" si="11"/>
        <v>414.06</v>
      </c>
      <c r="J573" s="123" t="str">
        <f>IFERROR(VLOOKUP($C573,'CEDARS School FRPL'!C:H,4,FALSE),"No")</f>
        <v>No</v>
      </c>
      <c r="K573" s="109"/>
      <c r="L573" s="109"/>
      <c r="M573" s="110">
        <f>IFERROR(VLOOKUP($C573,'CEDARS School FRPL'!C:H,3,FALSE),0)</f>
        <v>0.45073333333333326</v>
      </c>
      <c r="N573" s="123" t="str">
        <f>IFERROR(VLOOKUP(C573,'CEDARS School FRPL'!C:H,6,FALSE),"No")</f>
        <v>No</v>
      </c>
      <c r="O573" s="147"/>
      <c r="P573" s="148"/>
    </row>
    <row r="574" spans="1:16">
      <c r="A574" s="95" t="s">
        <v>2288</v>
      </c>
      <c r="B574" s="95" t="s">
        <v>220</v>
      </c>
      <c r="C574" s="4">
        <v>2724</v>
      </c>
      <c r="D574" s="95" t="s">
        <v>223</v>
      </c>
      <c r="E574" s="145">
        <v>1394.39</v>
      </c>
      <c r="F574" s="145">
        <v>54.040000000000006</v>
      </c>
      <c r="G574" s="145">
        <v>0</v>
      </c>
      <c r="H574" s="145">
        <v>0</v>
      </c>
      <c r="I574" s="77">
        <f t="shared" si="11"/>
        <v>1448.43</v>
      </c>
      <c r="J574" s="123" t="str">
        <f>IFERROR(VLOOKUP($C574,'CEDARS School FRPL'!C:H,4,FALSE),"No")</f>
        <v>Yes</v>
      </c>
      <c r="K574" s="109"/>
      <c r="L574" s="109"/>
      <c r="M574" s="110">
        <f>IFERROR(VLOOKUP($C574,'CEDARS School FRPL'!C:H,3,FALSE),0)</f>
        <v>0.57943333333333324</v>
      </c>
      <c r="N574" s="123" t="str">
        <f>IFERROR(VLOOKUP(C574,'CEDARS School FRPL'!C:H,6,FALSE),"No")</f>
        <v>No</v>
      </c>
      <c r="O574" s="147"/>
      <c r="P574" s="148"/>
    </row>
    <row r="575" spans="1:16">
      <c r="A575" s="95" t="s">
        <v>2288</v>
      </c>
      <c r="B575" s="95" t="s">
        <v>220</v>
      </c>
      <c r="C575" s="4">
        <v>2829</v>
      </c>
      <c r="D575" s="95" t="s">
        <v>224</v>
      </c>
      <c r="E575" s="145">
        <v>307.33999999999997</v>
      </c>
      <c r="F575" s="145">
        <v>0</v>
      </c>
      <c r="G575" s="145">
        <v>0</v>
      </c>
      <c r="H575" s="145">
        <v>0</v>
      </c>
      <c r="I575" s="77">
        <f t="shared" si="11"/>
        <v>307.33999999999997</v>
      </c>
      <c r="J575" s="123" t="str">
        <f>IFERROR(VLOOKUP($C575,'CEDARS School FRPL'!C:H,4,FALSE),"No")</f>
        <v>Yes</v>
      </c>
      <c r="K575" s="109"/>
      <c r="L575" s="109"/>
      <c r="M575" s="110">
        <f>IFERROR(VLOOKUP($C575,'CEDARS School FRPL'!C:H,3,FALSE),0)</f>
        <v>0.6169</v>
      </c>
      <c r="N575" s="123" t="str">
        <f>IFERROR(VLOOKUP(C575,'CEDARS School FRPL'!C:H,6,FALSE),"No")</f>
        <v>No</v>
      </c>
      <c r="O575" s="147"/>
      <c r="P575" s="148"/>
    </row>
    <row r="576" spans="1:16">
      <c r="A576" s="95" t="s">
        <v>2288</v>
      </c>
      <c r="B576" s="95" t="s">
        <v>220</v>
      </c>
      <c r="C576" s="4">
        <v>2912</v>
      </c>
      <c r="D576" s="95" t="s">
        <v>225</v>
      </c>
      <c r="E576" s="145">
        <v>427.9</v>
      </c>
      <c r="F576" s="145">
        <v>0</v>
      </c>
      <c r="G576" s="145">
        <v>0</v>
      </c>
      <c r="H576" s="145">
        <v>0</v>
      </c>
      <c r="I576" s="77">
        <f t="shared" si="11"/>
        <v>427.9</v>
      </c>
      <c r="J576" s="123" t="str">
        <f>IFERROR(VLOOKUP($C576,'CEDARS School FRPL'!C:H,4,FALSE),"No")</f>
        <v>Yes</v>
      </c>
      <c r="K576" s="109"/>
      <c r="L576" s="109"/>
      <c r="M576" s="110">
        <f>IFERROR(VLOOKUP($C576,'CEDARS School FRPL'!C:H,3,FALSE),0)</f>
        <v>0.72020000000000006</v>
      </c>
      <c r="N576" s="123" t="str">
        <f>IFERROR(VLOOKUP(C576,'CEDARS School FRPL'!C:H,6,FALSE),"No")</f>
        <v>No</v>
      </c>
      <c r="O576" s="147"/>
      <c r="P576" s="148"/>
    </row>
    <row r="577" spans="1:16">
      <c r="A577" s="95" t="s">
        <v>2288</v>
      </c>
      <c r="B577" s="95" t="s">
        <v>220</v>
      </c>
      <c r="C577" s="4">
        <v>3148</v>
      </c>
      <c r="D577" s="95" t="s">
        <v>226</v>
      </c>
      <c r="E577" s="145">
        <v>383.88</v>
      </c>
      <c r="F577" s="145">
        <v>0</v>
      </c>
      <c r="G577" s="145">
        <v>0</v>
      </c>
      <c r="H577" s="145">
        <v>0</v>
      </c>
      <c r="I577" s="77">
        <f t="shared" si="11"/>
        <v>383.88</v>
      </c>
      <c r="J577" s="123" t="str">
        <f>IFERROR(VLOOKUP($C577,'CEDARS School FRPL'!C:H,4,FALSE),"No")</f>
        <v>Yes</v>
      </c>
      <c r="K577" s="109"/>
      <c r="L577" s="109"/>
      <c r="M577" s="110">
        <f>IFERROR(VLOOKUP($C577,'CEDARS School FRPL'!C:H,3,FALSE),0)</f>
        <v>0.61456666666666671</v>
      </c>
      <c r="N577" s="123" t="str">
        <f>IFERROR(VLOOKUP(C577,'CEDARS School FRPL'!C:H,6,FALSE),"No")</f>
        <v>No</v>
      </c>
      <c r="O577" s="147"/>
      <c r="P577" s="148"/>
    </row>
    <row r="578" spans="1:16">
      <c r="A578" s="95" t="s">
        <v>2288</v>
      </c>
      <c r="B578" s="95" t="s">
        <v>220</v>
      </c>
      <c r="C578" s="4">
        <v>3149</v>
      </c>
      <c r="D578" s="95" t="s">
        <v>227</v>
      </c>
      <c r="E578" s="145">
        <v>447.5</v>
      </c>
      <c r="F578" s="145">
        <v>0</v>
      </c>
      <c r="G578" s="145">
        <v>0</v>
      </c>
      <c r="H578" s="145">
        <v>0</v>
      </c>
      <c r="I578" s="77">
        <f t="shared" si="11"/>
        <v>447.5</v>
      </c>
      <c r="J578" s="123" t="str">
        <f>IFERROR(VLOOKUP($C578,'CEDARS School FRPL'!C:H,4,FALSE),"No")</f>
        <v>Yes</v>
      </c>
      <c r="K578" s="109"/>
      <c r="L578" s="109"/>
      <c r="M578" s="110">
        <f>IFERROR(VLOOKUP($C578,'CEDARS School FRPL'!C:H,3,FALSE),0)</f>
        <v>0.57143333333333335</v>
      </c>
      <c r="N578" s="123" t="str">
        <f>IFERROR(VLOOKUP(C578,'CEDARS School FRPL'!C:H,6,FALSE),"No")</f>
        <v>No</v>
      </c>
      <c r="O578" s="147"/>
      <c r="P578" s="148"/>
    </row>
    <row r="579" spans="1:16">
      <c r="A579" s="95" t="s">
        <v>2288</v>
      </c>
      <c r="B579" s="95" t="s">
        <v>220</v>
      </c>
      <c r="C579" s="4">
        <v>3320</v>
      </c>
      <c r="D579" s="95" t="s">
        <v>228</v>
      </c>
      <c r="E579" s="145">
        <v>910.15</v>
      </c>
      <c r="F579" s="145">
        <v>0</v>
      </c>
      <c r="G579" s="145">
        <v>0</v>
      </c>
      <c r="H579" s="145">
        <v>0</v>
      </c>
      <c r="I579" s="77">
        <f t="shared" si="11"/>
        <v>910.15</v>
      </c>
      <c r="J579" s="123" t="str">
        <f>IFERROR(VLOOKUP($C579,'CEDARS School FRPL'!C:H,4,FALSE),"No")</f>
        <v>Yes</v>
      </c>
      <c r="K579" s="109"/>
      <c r="L579" s="109"/>
      <c r="M579" s="110">
        <f>IFERROR(VLOOKUP($C579,'CEDARS School FRPL'!C:H,3,FALSE),0)</f>
        <v>0.67770000000000008</v>
      </c>
      <c r="N579" s="123" t="str">
        <f>IFERROR(VLOOKUP(C579,'CEDARS School FRPL'!C:H,6,FALSE),"No")</f>
        <v>No</v>
      </c>
      <c r="O579" s="147"/>
      <c r="P579" s="148"/>
    </row>
    <row r="580" spans="1:16">
      <c r="A580" s="95" t="s">
        <v>2288</v>
      </c>
      <c r="B580" s="95" t="s">
        <v>220</v>
      </c>
      <c r="C580" s="4">
        <v>3618</v>
      </c>
      <c r="D580" s="95" t="s">
        <v>229</v>
      </c>
      <c r="E580" s="145">
        <v>482.66</v>
      </c>
      <c r="F580" s="145">
        <v>0</v>
      </c>
      <c r="G580" s="145">
        <v>0</v>
      </c>
      <c r="H580" s="145">
        <v>0</v>
      </c>
      <c r="I580" s="77">
        <f t="shared" ref="I580:I643" si="12">+E580+F580+G580+H580</f>
        <v>482.66</v>
      </c>
      <c r="J580" s="123" t="str">
        <f>IFERROR(VLOOKUP($C580,'CEDARS School FRPL'!C:H,4,FALSE),"No")</f>
        <v>Yes</v>
      </c>
      <c r="K580" s="109"/>
      <c r="L580" s="109"/>
      <c r="M580" s="110">
        <f>IFERROR(VLOOKUP($C580,'CEDARS School FRPL'!C:H,3,FALSE),0)</f>
        <v>0.64933333333333332</v>
      </c>
      <c r="N580" s="123" t="str">
        <f>IFERROR(VLOOKUP(C580,'CEDARS School FRPL'!C:H,6,FALSE),"No")</f>
        <v>No</v>
      </c>
      <c r="O580" s="147"/>
      <c r="P580" s="148"/>
    </row>
    <row r="581" spans="1:16">
      <c r="A581" s="95" t="s">
        <v>2288</v>
      </c>
      <c r="B581" s="95" t="s">
        <v>220</v>
      </c>
      <c r="C581" s="4">
        <v>3736</v>
      </c>
      <c r="D581" s="95" t="s">
        <v>230</v>
      </c>
      <c r="E581" s="145">
        <v>332</v>
      </c>
      <c r="F581" s="145">
        <v>0</v>
      </c>
      <c r="G581" s="145">
        <v>0</v>
      </c>
      <c r="H581" s="145">
        <v>0</v>
      </c>
      <c r="I581" s="77">
        <f t="shared" si="12"/>
        <v>332</v>
      </c>
      <c r="J581" s="123" t="str">
        <f>IFERROR(VLOOKUP($C581,'CEDARS School FRPL'!C:H,4,FALSE),"No")</f>
        <v>Yes</v>
      </c>
      <c r="K581" s="109"/>
      <c r="L581" s="109"/>
      <c r="M581" s="110">
        <f>IFERROR(VLOOKUP($C581,'CEDARS School FRPL'!C:H,3,FALSE),0)</f>
        <v>0.67493333333333327</v>
      </c>
      <c r="N581" s="123" t="str">
        <f>IFERROR(VLOOKUP(C581,'CEDARS School FRPL'!C:H,6,FALSE),"No")</f>
        <v>No</v>
      </c>
      <c r="O581" s="147"/>
      <c r="P581" s="148"/>
    </row>
    <row r="582" spans="1:16">
      <c r="A582" s="95" t="s">
        <v>2288</v>
      </c>
      <c r="B582" s="95" t="s">
        <v>220</v>
      </c>
      <c r="C582" s="4">
        <v>3785</v>
      </c>
      <c r="D582" s="95" t="s">
        <v>231</v>
      </c>
      <c r="E582" s="145">
        <v>864.23</v>
      </c>
      <c r="F582" s="145">
        <v>0</v>
      </c>
      <c r="G582" s="145">
        <v>0</v>
      </c>
      <c r="H582" s="145">
        <v>0</v>
      </c>
      <c r="I582" s="77">
        <f t="shared" si="12"/>
        <v>864.23</v>
      </c>
      <c r="J582" s="123" t="str">
        <f>IFERROR(VLOOKUP($C582,'CEDARS School FRPL'!C:H,4,FALSE),"No")</f>
        <v>Yes</v>
      </c>
      <c r="K582" s="109"/>
      <c r="L582" s="109"/>
      <c r="M582" s="110">
        <f>IFERROR(VLOOKUP($C582,'CEDARS School FRPL'!C:H,3,FALSE),0)</f>
        <v>0.63930000000000009</v>
      </c>
      <c r="N582" s="123" t="str">
        <f>IFERROR(VLOOKUP(C582,'CEDARS School FRPL'!C:H,6,FALSE),"No")</f>
        <v>No</v>
      </c>
      <c r="O582" s="147"/>
      <c r="P582" s="148"/>
    </row>
    <row r="583" spans="1:16">
      <c r="A583" s="95" t="s">
        <v>2288</v>
      </c>
      <c r="B583" s="95" t="s">
        <v>220</v>
      </c>
      <c r="C583" s="4">
        <v>3822</v>
      </c>
      <c r="D583" s="95" t="s">
        <v>232</v>
      </c>
      <c r="E583" s="145">
        <v>453.38</v>
      </c>
      <c r="F583" s="145">
        <v>0</v>
      </c>
      <c r="G583" s="145">
        <v>0</v>
      </c>
      <c r="H583" s="145">
        <v>0</v>
      </c>
      <c r="I583" s="77">
        <f t="shared" si="12"/>
        <v>453.38</v>
      </c>
      <c r="J583" s="123" t="str">
        <f>IFERROR(VLOOKUP($C583,'CEDARS School FRPL'!C:H,4,FALSE),"No")</f>
        <v>Yes</v>
      </c>
      <c r="K583" s="109"/>
      <c r="L583" s="109"/>
      <c r="M583" s="110">
        <f>IFERROR(VLOOKUP($C583,'CEDARS School FRPL'!C:H,3,FALSE),0)</f>
        <v>0.67499999999999993</v>
      </c>
      <c r="N583" s="123" t="str">
        <f>IFERROR(VLOOKUP(C583,'CEDARS School FRPL'!C:H,6,FALSE),"No")</f>
        <v>No</v>
      </c>
      <c r="O583" s="147"/>
      <c r="P583" s="148"/>
    </row>
    <row r="584" spans="1:16">
      <c r="A584" s="95" t="s">
        <v>2288</v>
      </c>
      <c r="B584" s="95" t="s">
        <v>220</v>
      </c>
      <c r="C584" s="4">
        <v>3823</v>
      </c>
      <c r="D584" s="95" t="s">
        <v>233</v>
      </c>
      <c r="E584" s="145">
        <v>394.46</v>
      </c>
      <c r="F584" s="145">
        <v>0</v>
      </c>
      <c r="G584" s="145">
        <v>0</v>
      </c>
      <c r="H584" s="145">
        <v>0</v>
      </c>
      <c r="I584" s="77">
        <f t="shared" si="12"/>
        <v>394.46</v>
      </c>
      <c r="J584" s="123" t="str">
        <f>IFERROR(VLOOKUP($C584,'CEDARS School FRPL'!C:H,4,FALSE),"No")</f>
        <v>Yes</v>
      </c>
      <c r="K584" s="109"/>
      <c r="L584" s="109"/>
      <c r="M584" s="110">
        <f>IFERROR(VLOOKUP($C584,'CEDARS School FRPL'!C:H,3,FALSE),0)</f>
        <v>0.58203333333333329</v>
      </c>
      <c r="N584" s="123" t="str">
        <f>IFERROR(VLOOKUP(C584,'CEDARS School FRPL'!C:H,6,FALSE),"No")</f>
        <v>No</v>
      </c>
      <c r="O584" s="147"/>
      <c r="P584" s="148"/>
    </row>
    <row r="585" spans="1:16">
      <c r="A585" s="95" t="s">
        <v>2288</v>
      </c>
      <c r="B585" s="95" t="s">
        <v>220</v>
      </c>
      <c r="C585" s="4">
        <v>3970</v>
      </c>
      <c r="D585" s="95" t="s">
        <v>234</v>
      </c>
      <c r="E585" s="145">
        <v>421.95</v>
      </c>
      <c r="F585" s="145">
        <v>0</v>
      </c>
      <c r="G585" s="145">
        <v>0</v>
      </c>
      <c r="H585" s="145">
        <v>0</v>
      </c>
      <c r="I585" s="77">
        <f t="shared" si="12"/>
        <v>421.95</v>
      </c>
      <c r="J585" s="123" t="str">
        <f>IFERROR(VLOOKUP($C585,'CEDARS School FRPL'!C:H,4,FALSE),"No")</f>
        <v>Yes</v>
      </c>
      <c r="K585" s="109"/>
      <c r="L585" s="109"/>
      <c r="M585" s="110">
        <f>IFERROR(VLOOKUP($C585,'CEDARS School FRPL'!C:H,3,FALSE),0)</f>
        <v>0.55433333333333323</v>
      </c>
      <c r="N585" s="123" t="str">
        <f>IFERROR(VLOOKUP(C585,'CEDARS School FRPL'!C:H,6,FALSE),"No")</f>
        <v>No</v>
      </c>
      <c r="O585" s="147"/>
      <c r="P585" s="148"/>
    </row>
    <row r="586" spans="1:16">
      <c r="A586" s="95" t="s">
        <v>2288</v>
      </c>
      <c r="B586" s="95" t="s">
        <v>220</v>
      </c>
      <c r="C586" s="4">
        <v>3971</v>
      </c>
      <c r="D586" s="95" t="s">
        <v>235</v>
      </c>
      <c r="E586" s="145">
        <v>298.45</v>
      </c>
      <c r="F586" s="145">
        <v>0</v>
      </c>
      <c r="G586" s="145">
        <v>0</v>
      </c>
      <c r="H586" s="145">
        <v>0</v>
      </c>
      <c r="I586" s="77">
        <f t="shared" si="12"/>
        <v>298.45</v>
      </c>
      <c r="J586" s="123" t="str">
        <f>IFERROR(VLOOKUP($C586,'CEDARS School FRPL'!C:H,4,FALSE),"No")</f>
        <v>Yes</v>
      </c>
      <c r="K586" s="109"/>
      <c r="L586" s="109"/>
      <c r="M586" s="110">
        <f>IFERROR(VLOOKUP($C586,'CEDARS School FRPL'!C:H,3,FALSE),0)</f>
        <v>0.63659999999999994</v>
      </c>
      <c r="N586" s="123" t="str">
        <f>IFERROR(VLOOKUP(C586,'CEDARS School FRPL'!C:H,6,FALSE),"No")</f>
        <v>No</v>
      </c>
      <c r="O586" s="147"/>
      <c r="P586" s="148"/>
    </row>
    <row r="587" spans="1:16">
      <c r="A587" s="95" t="s">
        <v>2288</v>
      </c>
      <c r="B587" s="95" t="s">
        <v>220</v>
      </c>
      <c r="C587" s="4">
        <v>3994</v>
      </c>
      <c r="D587" s="95" t="s">
        <v>236</v>
      </c>
      <c r="E587" s="145">
        <v>445.43</v>
      </c>
      <c r="F587" s="145">
        <v>0</v>
      </c>
      <c r="G587" s="145">
        <v>0</v>
      </c>
      <c r="H587" s="145">
        <v>0</v>
      </c>
      <c r="I587" s="77">
        <f t="shared" si="12"/>
        <v>445.43</v>
      </c>
      <c r="J587" s="123" t="str">
        <f>IFERROR(VLOOKUP($C587,'CEDARS School FRPL'!C:H,4,FALSE),"No")</f>
        <v>Yes</v>
      </c>
      <c r="K587" s="109"/>
      <c r="L587" s="109"/>
      <c r="M587" s="110">
        <f>IFERROR(VLOOKUP($C587,'CEDARS School FRPL'!C:H,3,FALSE),0)</f>
        <v>0.5950333333333333</v>
      </c>
      <c r="N587" s="123" t="str">
        <f>IFERROR(VLOOKUP(C587,'CEDARS School FRPL'!C:H,6,FALSE),"No")</f>
        <v>No</v>
      </c>
      <c r="O587" s="147"/>
      <c r="P587" s="148"/>
    </row>
    <row r="588" spans="1:16">
      <c r="A588" s="95" t="s">
        <v>2288</v>
      </c>
      <c r="B588" s="95" t="s">
        <v>220</v>
      </c>
      <c r="C588" s="4">
        <v>3995</v>
      </c>
      <c r="D588" s="95" t="s">
        <v>237</v>
      </c>
      <c r="E588" s="145">
        <v>345.29</v>
      </c>
      <c r="F588" s="145">
        <v>0</v>
      </c>
      <c r="G588" s="145">
        <v>0</v>
      </c>
      <c r="H588" s="145">
        <v>0</v>
      </c>
      <c r="I588" s="77">
        <f t="shared" si="12"/>
        <v>345.29</v>
      </c>
      <c r="J588" s="123" t="str">
        <f>IFERROR(VLOOKUP($C588,'CEDARS School FRPL'!C:H,4,FALSE),"No")</f>
        <v>No</v>
      </c>
      <c r="K588" s="109"/>
      <c r="L588" s="109"/>
      <c r="M588" s="110">
        <f>IFERROR(VLOOKUP($C588,'CEDARS School FRPL'!C:H,3,FALSE),0)</f>
        <v>0.45990000000000003</v>
      </c>
      <c r="N588" s="123" t="str">
        <f>IFERROR(VLOOKUP(C588,'CEDARS School FRPL'!C:H,6,FALSE),"No")</f>
        <v>No</v>
      </c>
      <c r="O588" s="147"/>
      <c r="P588" s="148"/>
    </row>
    <row r="589" spans="1:16">
      <c r="A589" s="95" t="s">
        <v>2288</v>
      </c>
      <c r="B589" s="95" t="s">
        <v>220</v>
      </c>
      <c r="C589" s="4">
        <v>4042</v>
      </c>
      <c r="D589" s="95" t="s">
        <v>34</v>
      </c>
      <c r="E589" s="145">
        <v>351.93</v>
      </c>
      <c r="F589" s="145">
        <v>4.3099999999999996</v>
      </c>
      <c r="G589" s="145">
        <v>0</v>
      </c>
      <c r="H589" s="145">
        <v>0</v>
      </c>
      <c r="I589" s="77">
        <f t="shared" si="12"/>
        <v>356.24</v>
      </c>
      <c r="J589" s="123" t="str">
        <f>IFERROR(VLOOKUP($C589,'CEDARS School FRPL'!C:H,4,FALSE),"No")</f>
        <v>Yes</v>
      </c>
      <c r="K589" s="109"/>
      <c r="L589" s="109"/>
      <c r="M589" s="110">
        <f>IFERROR(VLOOKUP($C589,'CEDARS School FRPL'!C:H,3,FALSE),0)</f>
        <v>0.58346666666666669</v>
      </c>
      <c r="N589" s="123" t="str">
        <f>IFERROR(VLOOKUP(C589,'CEDARS School FRPL'!C:H,6,FALSE),"No")</f>
        <v>No</v>
      </c>
      <c r="O589" s="147"/>
      <c r="P589" s="148"/>
    </row>
    <row r="590" spans="1:16">
      <c r="A590" s="95" t="s">
        <v>2288</v>
      </c>
      <c r="B590" s="95" t="s">
        <v>220</v>
      </c>
      <c r="C590" s="4">
        <v>4051</v>
      </c>
      <c r="D590" s="95" t="s">
        <v>238</v>
      </c>
      <c r="E590" s="145">
        <v>784.74</v>
      </c>
      <c r="F590" s="145">
        <v>0</v>
      </c>
      <c r="G590" s="145">
        <v>0</v>
      </c>
      <c r="H590" s="145">
        <v>0</v>
      </c>
      <c r="I590" s="77">
        <f t="shared" si="12"/>
        <v>784.74</v>
      </c>
      <c r="J590" s="123" t="str">
        <f>IFERROR(VLOOKUP($C590,'CEDARS School FRPL'!C:H,4,FALSE),"No")</f>
        <v>Yes</v>
      </c>
      <c r="K590" s="107"/>
      <c r="L590" s="107"/>
      <c r="M590" s="110">
        <f>IFERROR(VLOOKUP($C590,'CEDARS School FRPL'!C:H,3,FALSE),0)</f>
        <v>0.623</v>
      </c>
      <c r="N590" s="123" t="str">
        <f>IFERROR(VLOOKUP(C590,'CEDARS School FRPL'!C:H,6,FALSE),"No")</f>
        <v>No</v>
      </c>
      <c r="O590" s="147"/>
      <c r="P590" s="148"/>
    </row>
    <row r="591" spans="1:16">
      <c r="A591" s="95" t="s">
        <v>2288</v>
      </c>
      <c r="B591" s="95" t="s">
        <v>220</v>
      </c>
      <c r="C591" s="4">
        <v>4162</v>
      </c>
      <c r="D591" s="95" t="s">
        <v>239</v>
      </c>
      <c r="E591" s="145">
        <v>1480.2</v>
      </c>
      <c r="F591" s="145">
        <v>72.94</v>
      </c>
      <c r="G591" s="145">
        <v>0</v>
      </c>
      <c r="H591" s="145">
        <v>0</v>
      </c>
      <c r="I591" s="77">
        <f t="shared" si="12"/>
        <v>1553.14</v>
      </c>
      <c r="J591" s="123" t="str">
        <f>IFERROR(VLOOKUP($C591,'CEDARS School FRPL'!C:H,4,FALSE),"No")</f>
        <v>No</v>
      </c>
      <c r="K591" s="109"/>
      <c r="L591" s="109"/>
      <c r="M591" s="110">
        <f>IFERROR(VLOOKUP($C591,'CEDARS School FRPL'!C:H,3,FALSE),0)</f>
        <v>0.46010000000000001</v>
      </c>
      <c r="N591" s="123" t="str">
        <f>IFERROR(VLOOKUP(C591,'CEDARS School FRPL'!C:H,6,FALSE),"No")</f>
        <v>No</v>
      </c>
      <c r="O591" s="147"/>
      <c r="P591" s="148"/>
    </row>
    <row r="592" spans="1:16">
      <c r="A592" s="95" t="s">
        <v>2288</v>
      </c>
      <c r="B592" s="95" t="s">
        <v>220</v>
      </c>
      <c r="C592" s="4">
        <v>4163</v>
      </c>
      <c r="D592" s="95" t="s">
        <v>240</v>
      </c>
      <c r="E592" s="145">
        <v>310.95999999999998</v>
      </c>
      <c r="F592" s="145">
        <v>0</v>
      </c>
      <c r="G592" s="145">
        <v>0</v>
      </c>
      <c r="H592" s="145">
        <v>0</v>
      </c>
      <c r="I592" s="77">
        <f t="shared" si="12"/>
        <v>310.95999999999998</v>
      </c>
      <c r="J592" s="123" t="str">
        <f>IFERROR(VLOOKUP($C592,'CEDARS School FRPL'!C:H,4,FALSE),"No")</f>
        <v>Yes</v>
      </c>
      <c r="K592" s="109"/>
      <c r="L592" s="109"/>
      <c r="M592" s="110">
        <f>IFERROR(VLOOKUP($C592,'CEDARS School FRPL'!C:H,3,FALSE),0)</f>
        <v>0.60973333333333335</v>
      </c>
      <c r="N592" s="123" t="str">
        <f>IFERROR(VLOOKUP(C592,'CEDARS School FRPL'!C:H,6,FALSE),"No")</f>
        <v>No</v>
      </c>
      <c r="O592" s="147"/>
      <c r="P592" s="148"/>
    </row>
    <row r="593" spans="1:16">
      <c r="A593" s="95" t="s">
        <v>2288</v>
      </c>
      <c r="B593" s="95" t="s">
        <v>220</v>
      </c>
      <c r="C593" s="4">
        <v>4203</v>
      </c>
      <c r="D593" s="95" t="s">
        <v>2779</v>
      </c>
      <c r="E593" s="145">
        <v>550.69000000000005</v>
      </c>
      <c r="F593" s="145">
        <v>0</v>
      </c>
      <c r="G593" s="145">
        <v>0</v>
      </c>
      <c r="H593" s="145">
        <v>0</v>
      </c>
      <c r="I593" s="77">
        <f t="shared" si="12"/>
        <v>550.69000000000005</v>
      </c>
      <c r="J593" s="123" t="str">
        <f>IFERROR(VLOOKUP($C593,'CEDARS School FRPL'!C:H,4,FALSE),"No")</f>
        <v>No</v>
      </c>
      <c r="K593" s="109"/>
      <c r="L593" s="109"/>
      <c r="M593" s="110">
        <f>IFERROR(VLOOKUP($C593,'CEDARS School FRPL'!C:H,3,FALSE),0)</f>
        <v>0</v>
      </c>
      <c r="N593" s="123" t="str">
        <f>IFERROR(VLOOKUP(C593,'CEDARS School FRPL'!C:H,6,FALSE),"No")</f>
        <v>No</v>
      </c>
      <c r="O593" s="147"/>
      <c r="P593" s="148"/>
    </row>
    <row r="594" spans="1:16">
      <c r="A594" s="95" t="s">
        <v>2288</v>
      </c>
      <c r="B594" s="95" t="s">
        <v>220</v>
      </c>
      <c r="C594" s="4">
        <v>4209</v>
      </c>
      <c r="D594" s="95" t="s">
        <v>241</v>
      </c>
      <c r="E594" s="145">
        <v>910.33</v>
      </c>
      <c r="F594" s="145">
        <v>0</v>
      </c>
      <c r="G594" s="145">
        <v>0</v>
      </c>
      <c r="H594" s="145">
        <v>0</v>
      </c>
      <c r="I594" s="77">
        <f t="shared" si="12"/>
        <v>910.33</v>
      </c>
      <c r="J594" s="123" t="str">
        <f>IFERROR(VLOOKUP($C594,'CEDARS School FRPL'!C:H,4,FALSE),"No")</f>
        <v>No</v>
      </c>
      <c r="K594" s="109"/>
      <c r="L594" s="109"/>
      <c r="M594" s="110">
        <f>IFERROR(VLOOKUP($C594,'CEDARS School FRPL'!C:H,3,FALSE),0)</f>
        <v>0.41539999999999999</v>
      </c>
      <c r="N594" s="123" t="str">
        <f>IFERROR(VLOOKUP(C594,'CEDARS School FRPL'!C:H,6,FALSE),"No")</f>
        <v>No</v>
      </c>
      <c r="O594" s="147"/>
      <c r="P594" s="148"/>
    </row>
    <row r="595" spans="1:16">
      <c r="A595" s="95" t="s">
        <v>2288</v>
      </c>
      <c r="B595" s="95" t="s">
        <v>220</v>
      </c>
      <c r="C595" s="4">
        <v>4299</v>
      </c>
      <c r="D595" s="95" t="s">
        <v>242</v>
      </c>
      <c r="E595" s="145">
        <v>371.43</v>
      </c>
      <c r="F595" s="145">
        <v>0</v>
      </c>
      <c r="G595" s="145">
        <v>0</v>
      </c>
      <c r="H595" s="145">
        <v>0</v>
      </c>
      <c r="I595" s="77">
        <f t="shared" si="12"/>
        <v>371.43</v>
      </c>
      <c r="J595" s="123" t="str">
        <f>IFERROR(VLOOKUP($C595,'CEDARS School FRPL'!C:H,4,FALSE),"No")</f>
        <v>Yes</v>
      </c>
      <c r="K595" s="109"/>
      <c r="L595" s="109"/>
      <c r="M595" s="110">
        <f>IFERROR(VLOOKUP($C595,'CEDARS School FRPL'!C:H,3,FALSE),0)</f>
        <v>0.52473333333333338</v>
      </c>
      <c r="N595" s="123" t="str">
        <f>IFERROR(VLOOKUP(C595,'CEDARS School FRPL'!C:H,6,FALSE),"No")</f>
        <v>No</v>
      </c>
      <c r="O595" s="147"/>
      <c r="P595" s="148"/>
    </row>
    <row r="596" spans="1:16">
      <c r="A596" s="95" t="s">
        <v>2288</v>
      </c>
      <c r="B596" s="95" t="s">
        <v>220</v>
      </c>
      <c r="C596" s="4">
        <v>4380</v>
      </c>
      <c r="D596" s="95" t="s">
        <v>243</v>
      </c>
      <c r="E596" s="145">
        <v>486.5</v>
      </c>
      <c r="F596" s="145">
        <v>0</v>
      </c>
      <c r="G596" s="145">
        <v>0</v>
      </c>
      <c r="H596" s="145">
        <v>0</v>
      </c>
      <c r="I596" s="77">
        <f t="shared" si="12"/>
        <v>486.5</v>
      </c>
      <c r="J596" s="123" t="str">
        <f>IFERROR(VLOOKUP($C596,'CEDARS School FRPL'!C:H,4,FALSE),"No")</f>
        <v>No</v>
      </c>
      <c r="K596" s="109"/>
      <c r="L596" s="109"/>
      <c r="M596" s="110">
        <f>IFERROR(VLOOKUP($C596,'CEDARS School FRPL'!C:H,3,FALSE),0)</f>
        <v>0.3550666666666667</v>
      </c>
      <c r="N596" s="123" t="str">
        <f>IFERROR(VLOOKUP(C596,'CEDARS School FRPL'!C:H,6,FALSE),"No")</f>
        <v>No</v>
      </c>
      <c r="O596" s="147"/>
      <c r="P596" s="148"/>
    </row>
    <row r="597" spans="1:16">
      <c r="A597" s="95" t="s">
        <v>2288</v>
      </c>
      <c r="B597" s="95" t="s">
        <v>220</v>
      </c>
      <c r="C597" s="4">
        <v>4445</v>
      </c>
      <c r="D597" s="95" t="s">
        <v>244</v>
      </c>
      <c r="E597" s="145">
        <v>548.17999999999995</v>
      </c>
      <c r="F597" s="145">
        <v>0</v>
      </c>
      <c r="G597" s="145">
        <v>0</v>
      </c>
      <c r="H597" s="145">
        <v>0</v>
      </c>
      <c r="I597" s="77">
        <f t="shared" si="12"/>
        <v>548.17999999999995</v>
      </c>
      <c r="J597" s="123" t="str">
        <f>IFERROR(VLOOKUP($C597,'CEDARS School FRPL'!C:H,4,FALSE),"No")</f>
        <v>No</v>
      </c>
      <c r="K597" s="109"/>
      <c r="L597" s="109"/>
      <c r="M597" s="110">
        <f>IFERROR(VLOOKUP($C597,'CEDARS School FRPL'!C:H,3,FALSE),0)</f>
        <v>0.49859999999999999</v>
      </c>
      <c r="N597" s="123" t="str">
        <f>IFERROR(VLOOKUP(C597,'CEDARS School FRPL'!C:H,6,FALSE),"No")</f>
        <v>Yes</v>
      </c>
      <c r="O597" s="147"/>
      <c r="P597" s="148"/>
    </row>
    <row r="598" spans="1:16">
      <c r="A598" s="95" t="s">
        <v>2288</v>
      </c>
      <c r="B598" s="95" t="s">
        <v>220</v>
      </c>
      <c r="C598" s="4">
        <v>4498</v>
      </c>
      <c r="D598" s="95" t="s">
        <v>245</v>
      </c>
      <c r="E598" s="145">
        <v>769.75</v>
      </c>
      <c r="F598" s="145">
        <v>0</v>
      </c>
      <c r="G598" s="145">
        <v>0</v>
      </c>
      <c r="H598" s="145">
        <v>0</v>
      </c>
      <c r="I598" s="77">
        <f t="shared" si="12"/>
        <v>769.75</v>
      </c>
      <c r="J598" s="123" t="str">
        <f>IFERROR(VLOOKUP($C598,'CEDARS School FRPL'!C:H,4,FALSE),"No")</f>
        <v>Yes</v>
      </c>
      <c r="K598" s="109"/>
      <c r="L598" s="109"/>
      <c r="M598" s="110">
        <f>IFERROR(VLOOKUP($C598,'CEDARS School FRPL'!C:H,3,FALSE),0)</f>
        <v>0.51146666666666663</v>
      </c>
      <c r="N598" s="123" t="str">
        <f>IFERROR(VLOOKUP(C598,'CEDARS School FRPL'!C:H,6,FALSE),"No")</f>
        <v>No</v>
      </c>
      <c r="O598" s="147"/>
      <c r="P598" s="148"/>
    </row>
    <row r="599" spans="1:16">
      <c r="A599" s="95" t="s">
        <v>2288</v>
      </c>
      <c r="B599" s="95" t="s">
        <v>220</v>
      </c>
      <c r="C599" s="4">
        <v>4499</v>
      </c>
      <c r="D599" s="95" t="s">
        <v>246</v>
      </c>
      <c r="E599" s="145">
        <v>472.65</v>
      </c>
      <c r="F599" s="145">
        <v>0</v>
      </c>
      <c r="G599" s="145">
        <v>0</v>
      </c>
      <c r="H599" s="145">
        <v>0</v>
      </c>
      <c r="I599" s="77">
        <f t="shared" si="12"/>
        <v>472.65</v>
      </c>
      <c r="J599" s="123" t="str">
        <f>IFERROR(VLOOKUP($C599,'CEDARS School FRPL'!C:H,4,FALSE),"No")</f>
        <v>No</v>
      </c>
      <c r="K599" s="109"/>
      <c r="L599" s="109"/>
      <c r="M599" s="110">
        <f>IFERROR(VLOOKUP($C599,'CEDARS School FRPL'!C:H,3,FALSE),0)</f>
        <v>0.19456666666666667</v>
      </c>
      <c r="N599" s="123" t="str">
        <f>IFERROR(VLOOKUP(C599,'CEDARS School FRPL'!C:H,6,FALSE),"No")</f>
        <v>No</v>
      </c>
      <c r="O599" s="147"/>
      <c r="P599" s="148"/>
    </row>
    <row r="600" spans="1:16">
      <c r="A600" s="95" t="s">
        <v>2288</v>
      </c>
      <c r="B600" s="95" t="s">
        <v>220</v>
      </c>
      <c r="C600" s="4">
        <v>4523</v>
      </c>
      <c r="D600" s="95" t="s">
        <v>247</v>
      </c>
      <c r="E600" s="145">
        <v>1564.31</v>
      </c>
      <c r="F600" s="145">
        <v>77.759999999999991</v>
      </c>
      <c r="G600" s="145">
        <v>0</v>
      </c>
      <c r="H600" s="145">
        <v>0</v>
      </c>
      <c r="I600" s="77">
        <f t="shared" si="12"/>
        <v>1642.07</v>
      </c>
      <c r="J600" s="123" t="str">
        <f>IFERROR(VLOOKUP($C600,'CEDARS School FRPL'!C:H,4,FALSE),"No")</f>
        <v>Yes</v>
      </c>
      <c r="K600" s="109"/>
      <c r="L600" s="109"/>
      <c r="M600" s="110">
        <f>IFERROR(VLOOKUP($C600,'CEDARS School FRPL'!C:H,3,FALSE),0)</f>
        <v>0.58796666666666664</v>
      </c>
      <c r="N600" s="123" t="str">
        <f>IFERROR(VLOOKUP(C600,'CEDARS School FRPL'!C:H,6,FALSE),"No")</f>
        <v>No</v>
      </c>
      <c r="O600" s="147"/>
      <c r="P600" s="148"/>
    </row>
    <row r="601" spans="1:16">
      <c r="A601" s="95" t="s">
        <v>2288</v>
      </c>
      <c r="B601" s="95" t="s">
        <v>220</v>
      </c>
      <c r="C601" s="4">
        <v>4560</v>
      </c>
      <c r="D601" s="95" t="s">
        <v>248</v>
      </c>
      <c r="E601" s="145">
        <v>418</v>
      </c>
      <c r="F601" s="145">
        <v>0</v>
      </c>
      <c r="G601" s="145">
        <v>0</v>
      </c>
      <c r="H601" s="145">
        <v>0</v>
      </c>
      <c r="I601" s="77">
        <f t="shared" si="12"/>
        <v>418</v>
      </c>
      <c r="J601" s="123" t="str">
        <f>IFERROR(VLOOKUP($C601,'CEDARS School FRPL'!C:H,4,FALSE),"No")</f>
        <v>No</v>
      </c>
      <c r="K601" s="109"/>
      <c r="L601" s="109"/>
      <c r="M601" s="110">
        <f>IFERROR(VLOOKUP($C601,'CEDARS School FRPL'!C:H,3,FALSE),0)</f>
        <v>0.23479999999999998</v>
      </c>
      <c r="N601" s="123" t="str">
        <f>IFERROR(VLOOKUP(C601,'CEDARS School FRPL'!C:H,6,FALSE),"No")</f>
        <v>No</v>
      </c>
      <c r="O601" s="147"/>
      <c r="P601" s="148"/>
    </row>
    <row r="602" spans="1:16">
      <c r="A602" s="95" t="s">
        <v>2288</v>
      </c>
      <c r="B602" s="95" t="s">
        <v>220</v>
      </c>
      <c r="C602" s="4">
        <v>4561</v>
      </c>
      <c r="D602" s="95" t="s">
        <v>249</v>
      </c>
      <c r="E602" s="145">
        <v>898.26</v>
      </c>
      <c r="F602" s="145">
        <v>0</v>
      </c>
      <c r="G602" s="145">
        <v>0</v>
      </c>
      <c r="H602" s="145">
        <v>0</v>
      </c>
      <c r="I602" s="77">
        <f t="shared" si="12"/>
        <v>898.26</v>
      </c>
      <c r="J602" s="123" t="str">
        <f>IFERROR(VLOOKUP($C602,'CEDARS School FRPL'!C:H,4,FALSE),"No")</f>
        <v>No</v>
      </c>
      <c r="K602" s="109"/>
      <c r="L602" s="109"/>
      <c r="M602" s="110">
        <f>IFERROR(VLOOKUP($C602,'CEDARS School FRPL'!C:H,3,FALSE),0)</f>
        <v>0.34036666666666671</v>
      </c>
      <c r="N602" s="123" t="str">
        <f>IFERROR(VLOOKUP(C602,'CEDARS School FRPL'!C:H,6,FALSE),"No")</f>
        <v>No</v>
      </c>
      <c r="O602" s="147"/>
      <c r="P602" s="148"/>
    </row>
    <row r="603" spans="1:16">
      <c r="A603" s="95" t="s">
        <v>2288</v>
      </c>
      <c r="B603" s="95" t="s">
        <v>220</v>
      </c>
      <c r="C603" s="4">
        <v>4579</v>
      </c>
      <c r="D603" s="95" t="s">
        <v>250</v>
      </c>
      <c r="E603" s="145">
        <v>378.57</v>
      </c>
      <c r="F603" s="145">
        <v>0</v>
      </c>
      <c r="G603" s="145">
        <v>0</v>
      </c>
      <c r="H603" s="145">
        <v>0</v>
      </c>
      <c r="I603" s="77">
        <f t="shared" si="12"/>
        <v>378.57</v>
      </c>
      <c r="J603" s="123" t="str">
        <f>IFERROR(VLOOKUP($C603,'CEDARS School FRPL'!C:H,4,FALSE),"No")</f>
        <v>No</v>
      </c>
      <c r="K603" s="109"/>
      <c r="L603" s="109"/>
      <c r="M603" s="110">
        <f>IFERROR(VLOOKUP($C603,'CEDARS School FRPL'!C:H,3,FALSE),0)</f>
        <v>0.44113333333333332</v>
      </c>
      <c r="N603" s="123" t="str">
        <f>IFERROR(VLOOKUP(C603,'CEDARS School FRPL'!C:H,6,FALSE),"No")</f>
        <v>No</v>
      </c>
      <c r="O603" s="147"/>
      <c r="P603" s="148"/>
    </row>
    <row r="604" spans="1:16">
      <c r="A604" s="95" t="s">
        <v>2288</v>
      </c>
      <c r="B604" s="95" t="s">
        <v>220</v>
      </c>
      <c r="C604" s="4">
        <v>4587</v>
      </c>
      <c r="D604" s="95" t="s">
        <v>251</v>
      </c>
      <c r="E604" s="145">
        <v>392.94</v>
      </c>
      <c r="F604" s="145">
        <v>0</v>
      </c>
      <c r="G604" s="145">
        <v>0</v>
      </c>
      <c r="H604" s="145">
        <v>0</v>
      </c>
      <c r="I604" s="77">
        <f t="shared" si="12"/>
        <v>392.94</v>
      </c>
      <c r="J604" s="123" t="str">
        <f>IFERROR(VLOOKUP($C604,'CEDARS School FRPL'!C:H,4,FALSE),"No")</f>
        <v>No</v>
      </c>
      <c r="K604" s="109"/>
      <c r="L604" s="109"/>
      <c r="M604" s="110">
        <f>IFERROR(VLOOKUP($C604,'CEDARS School FRPL'!C:H,3,FALSE),0)</f>
        <v>0.45676666666666671</v>
      </c>
      <c r="N604" s="123" t="str">
        <f>IFERROR(VLOOKUP(C604,'CEDARS School FRPL'!C:H,6,FALSE),"No")</f>
        <v>No</v>
      </c>
      <c r="O604" s="147"/>
      <c r="P604" s="148"/>
    </row>
    <row r="605" spans="1:16">
      <c r="A605" s="95" t="s">
        <v>2288</v>
      </c>
      <c r="B605" s="95" t="s">
        <v>220</v>
      </c>
      <c r="C605" s="4">
        <v>5111</v>
      </c>
      <c r="D605" s="95" t="s">
        <v>252</v>
      </c>
      <c r="E605" s="145">
        <v>1831.31</v>
      </c>
      <c r="F605" s="145">
        <v>142.29</v>
      </c>
      <c r="G605" s="145">
        <v>0</v>
      </c>
      <c r="H605" s="145">
        <v>0</v>
      </c>
      <c r="I605" s="77">
        <f t="shared" si="12"/>
        <v>1973.6</v>
      </c>
      <c r="J605" s="123" t="str">
        <f>IFERROR(VLOOKUP($C605,'CEDARS School FRPL'!C:H,4,FALSE),"No")</f>
        <v>No</v>
      </c>
      <c r="K605" s="109"/>
      <c r="L605" s="109"/>
      <c r="M605" s="110">
        <f>IFERROR(VLOOKUP($C605,'CEDARS School FRPL'!C:H,3,FALSE),0)</f>
        <v>0.30743333333333339</v>
      </c>
      <c r="N605" s="123" t="str">
        <f>IFERROR(VLOOKUP(C605,'CEDARS School FRPL'!C:H,6,FALSE),"No")</f>
        <v>No</v>
      </c>
      <c r="O605" s="147"/>
      <c r="P605" s="148"/>
    </row>
    <row r="606" spans="1:16">
      <c r="A606" s="95" t="s">
        <v>2288</v>
      </c>
      <c r="B606" s="95" t="s">
        <v>220</v>
      </c>
      <c r="C606" s="4">
        <v>5136</v>
      </c>
      <c r="D606" s="95" t="s">
        <v>253</v>
      </c>
      <c r="E606" s="145">
        <v>609.42999999999995</v>
      </c>
      <c r="F606" s="145">
        <v>0</v>
      </c>
      <c r="G606" s="145">
        <v>0</v>
      </c>
      <c r="H606" s="145">
        <v>0</v>
      </c>
      <c r="I606" s="77">
        <f t="shared" si="12"/>
        <v>609.42999999999995</v>
      </c>
      <c r="J606" s="123" t="str">
        <f>IFERROR(VLOOKUP($C606,'CEDARS School FRPL'!C:H,4,FALSE),"No")</f>
        <v>Yes</v>
      </c>
      <c r="K606" s="109"/>
      <c r="L606" s="109"/>
      <c r="M606" s="110">
        <f>IFERROR(VLOOKUP($C606,'CEDARS School FRPL'!C:H,3,FALSE),0)</f>
        <v>0.62423333333333331</v>
      </c>
      <c r="N606" s="123" t="str">
        <f>IFERROR(VLOOKUP(C606,'CEDARS School FRPL'!C:H,6,FALSE),"No")</f>
        <v>No</v>
      </c>
      <c r="O606" s="147"/>
      <c r="P606" s="148"/>
    </row>
    <row r="607" spans="1:16">
      <c r="A607" s="95" t="s">
        <v>2288</v>
      </c>
      <c r="B607" s="95" t="s">
        <v>220</v>
      </c>
      <c r="C607" s="4">
        <v>5310</v>
      </c>
      <c r="D607" s="95" t="s">
        <v>2883</v>
      </c>
      <c r="E607" s="145">
        <v>541.86</v>
      </c>
      <c r="F607" s="145">
        <v>0</v>
      </c>
      <c r="G607" s="145">
        <v>0</v>
      </c>
      <c r="H607" s="145">
        <v>0</v>
      </c>
      <c r="I607" s="77">
        <f t="shared" si="12"/>
        <v>541.86</v>
      </c>
      <c r="J607" s="123" t="str">
        <f>IFERROR(VLOOKUP($C607,'CEDARS School FRPL'!C:H,4,FALSE),"No")</f>
        <v>No</v>
      </c>
      <c r="K607" s="109"/>
      <c r="L607" s="109"/>
      <c r="M607" s="110">
        <f>IFERROR(VLOOKUP($C607,'CEDARS School FRPL'!C:H,3,FALSE),0)</f>
        <v>0.4491</v>
      </c>
      <c r="N607" s="123" t="str">
        <f>IFERROR(VLOOKUP(C607,'CEDARS School FRPL'!C:H,6,FALSE),"No")</f>
        <v>No</v>
      </c>
      <c r="O607" s="147"/>
      <c r="P607" s="148"/>
    </row>
    <row r="608" spans="1:16">
      <c r="A608" s="95" t="s">
        <v>2288</v>
      </c>
      <c r="B608" s="95" t="s">
        <v>220</v>
      </c>
      <c r="C608" s="4">
        <v>5435</v>
      </c>
      <c r="D608" s="95" t="s">
        <v>254</v>
      </c>
      <c r="E608" s="145">
        <v>0</v>
      </c>
      <c r="F608" s="145">
        <v>0</v>
      </c>
      <c r="G608" s="145">
        <v>74.709999999999994</v>
      </c>
      <c r="H608" s="145">
        <v>0</v>
      </c>
      <c r="I608" s="77">
        <f t="shared" si="12"/>
        <v>74.709999999999994</v>
      </c>
      <c r="J608" s="123" t="str">
        <f>IFERROR(VLOOKUP($C608,'CEDARS School FRPL'!C:H,4,FALSE),"No")</f>
        <v>Yes</v>
      </c>
      <c r="K608" s="109"/>
      <c r="L608" s="109"/>
      <c r="M608" s="110">
        <f>IFERROR(VLOOKUP($C608,'CEDARS School FRPL'!C:H,3,FALSE),0)</f>
        <v>0.56856666666666678</v>
      </c>
      <c r="N608" s="123" t="str">
        <f>IFERROR(VLOOKUP(C608,'CEDARS School FRPL'!C:H,6,FALSE),"No")</f>
        <v>No</v>
      </c>
      <c r="O608" s="147"/>
      <c r="P608" s="148"/>
    </row>
    <row r="609" spans="1:16">
      <c r="A609" s="95" t="s">
        <v>2288</v>
      </c>
      <c r="B609" s="95" t="s">
        <v>220</v>
      </c>
      <c r="C609" s="4">
        <v>5612</v>
      </c>
      <c r="D609" s="95" t="s">
        <v>2882</v>
      </c>
      <c r="E609" s="145">
        <v>443.33</v>
      </c>
      <c r="F609" s="145">
        <v>0</v>
      </c>
      <c r="G609" s="145">
        <v>0</v>
      </c>
      <c r="H609" s="145">
        <v>0</v>
      </c>
      <c r="I609" s="77">
        <f t="shared" si="12"/>
        <v>443.33</v>
      </c>
      <c r="J609" s="123" t="str">
        <f>IFERROR(VLOOKUP($C609,'CEDARS School FRPL'!C:H,4,FALSE),"No")</f>
        <v>No</v>
      </c>
      <c r="K609" s="109"/>
      <c r="L609" s="109"/>
      <c r="M609" s="110">
        <f>IFERROR(VLOOKUP($C609,'CEDARS School FRPL'!C:H,3,FALSE),0)</f>
        <v>0.40590000000000004</v>
      </c>
      <c r="N609" s="123" t="str">
        <f>IFERROR(VLOOKUP(C609,'CEDARS School FRPL'!C:H,6,FALSE),"No")</f>
        <v>No</v>
      </c>
      <c r="O609" s="147"/>
      <c r="P609" s="148"/>
    </row>
    <row r="610" spans="1:16">
      <c r="A610" s="95" t="s">
        <v>2510</v>
      </c>
      <c r="B610" s="95" t="s">
        <v>1947</v>
      </c>
      <c r="C610" s="4">
        <v>3197</v>
      </c>
      <c r="D610" s="95" t="s">
        <v>1948</v>
      </c>
      <c r="E610" s="145">
        <v>26.43</v>
      </c>
      <c r="F610" s="145">
        <v>0</v>
      </c>
      <c r="G610" s="145">
        <v>0</v>
      </c>
      <c r="H610" s="145">
        <v>0</v>
      </c>
      <c r="I610" s="77">
        <f t="shared" si="12"/>
        <v>26.43</v>
      </c>
      <c r="J610" s="123" t="str">
        <f>IFERROR(VLOOKUP($C610,'CEDARS School FRPL'!C:H,4,FALSE),"No")</f>
        <v>Yes</v>
      </c>
      <c r="K610" s="109"/>
      <c r="L610" s="109"/>
      <c r="M610" s="110">
        <f>IFERROR(VLOOKUP($C610,'CEDARS School FRPL'!C:H,3,FALSE),0)</f>
        <v>0.76736666666666675</v>
      </c>
      <c r="N610" s="123" t="str">
        <f>IFERROR(VLOOKUP(C610,'CEDARS School FRPL'!C:H,6,FALSE),"No")</f>
        <v>No</v>
      </c>
      <c r="O610" s="147"/>
      <c r="P610" s="148"/>
    </row>
    <row r="611" spans="1:16">
      <c r="A611" s="95" t="s">
        <v>2349</v>
      </c>
      <c r="B611" s="95" t="s">
        <v>645</v>
      </c>
      <c r="C611" s="4">
        <v>1759</v>
      </c>
      <c r="D611" s="95" t="s">
        <v>646</v>
      </c>
      <c r="E611" s="145">
        <v>826.82</v>
      </c>
      <c r="F611" s="145">
        <v>17.23</v>
      </c>
      <c r="G611" s="145">
        <v>0</v>
      </c>
      <c r="H611" s="145">
        <v>0</v>
      </c>
      <c r="I611" s="77">
        <f t="shared" si="12"/>
        <v>844.05000000000007</v>
      </c>
      <c r="J611" s="123" t="str">
        <f>IFERROR(VLOOKUP($C611,'CEDARS School FRPL'!C:H,4,FALSE),"No")</f>
        <v>No</v>
      </c>
      <c r="M611" s="110">
        <f>IFERROR(VLOOKUP($C611,'CEDARS School FRPL'!C:H,3,FALSE),0)</f>
        <v>0.36613333333333337</v>
      </c>
      <c r="N611" s="123" t="str">
        <f>IFERROR(VLOOKUP(C611,'CEDARS School FRPL'!C:H,6,FALSE),"No")</f>
        <v>No</v>
      </c>
      <c r="O611" s="147"/>
      <c r="P611" s="148"/>
    </row>
    <row r="612" spans="1:16">
      <c r="A612" s="95" t="s">
        <v>2349</v>
      </c>
      <c r="B612" s="95" t="s">
        <v>645</v>
      </c>
      <c r="C612" s="4">
        <v>1789</v>
      </c>
      <c r="D612" s="95" t="s">
        <v>647</v>
      </c>
      <c r="E612" s="145">
        <v>305.43</v>
      </c>
      <c r="F612" s="145">
        <v>0</v>
      </c>
      <c r="G612" s="145">
        <v>0</v>
      </c>
      <c r="H612" s="145">
        <v>0</v>
      </c>
      <c r="I612" s="77">
        <f t="shared" si="12"/>
        <v>305.43</v>
      </c>
      <c r="J612" s="123" t="str">
        <f>IFERROR(VLOOKUP($C612,'CEDARS School FRPL'!C:H,4,FALSE),"No")</f>
        <v>No</v>
      </c>
      <c r="K612" s="109"/>
      <c r="L612" s="109"/>
      <c r="M612" s="110">
        <f>IFERROR(VLOOKUP($C612,'CEDARS School FRPL'!C:H,3,FALSE),0)</f>
        <v>0.36936666666666668</v>
      </c>
      <c r="N612" s="123" t="str">
        <f>IFERROR(VLOOKUP(C612,'CEDARS School FRPL'!C:H,6,FALSE),"No")</f>
        <v>No</v>
      </c>
      <c r="O612" s="147"/>
      <c r="P612" s="148"/>
    </row>
    <row r="613" spans="1:16">
      <c r="A613" s="95" t="s">
        <v>2349</v>
      </c>
      <c r="B613" s="95" t="s">
        <v>645</v>
      </c>
      <c r="C613" s="4">
        <v>1950</v>
      </c>
      <c r="D613" s="95" t="s">
        <v>648</v>
      </c>
      <c r="E613" s="145">
        <v>49.86</v>
      </c>
      <c r="F613" s="145">
        <v>0</v>
      </c>
      <c r="G613" s="145">
        <v>0</v>
      </c>
      <c r="H613" s="145">
        <v>0</v>
      </c>
      <c r="I613" s="77">
        <f t="shared" si="12"/>
        <v>49.86</v>
      </c>
      <c r="J613" s="123" t="str">
        <f>IFERROR(VLOOKUP($C613,'CEDARS School FRPL'!C:H,4,FALSE),"No")</f>
        <v>Yes</v>
      </c>
      <c r="K613" s="109"/>
      <c r="L613" s="109"/>
      <c r="M613" s="110">
        <f>IFERROR(VLOOKUP($C613,'CEDARS School FRPL'!C:H,3,FALSE),0)</f>
        <v>0.69243333333333335</v>
      </c>
      <c r="N613" s="123" t="str">
        <f>IFERROR(VLOOKUP(C613,'CEDARS School FRPL'!C:H,6,FALSE),"No")</f>
        <v>No</v>
      </c>
      <c r="O613" s="147"/>
      <c r="P613" s="148"/>
    </row>
    <row r="614" spans="1:16">
      <c r="A614" s="95" t="s">
        <v>2349</v>
      </c>
      <c r="B614" s="95" t="s">
        <v>645</v>
      </c>
      <c r="C614" s="4">
        <v>1951</v>
      </c>
      <c r="D614" s="95" t="s">
        <v>649</v>
      </c>
      <c r="E614" s="145">
        <v>17.43</v>
      </c>
      <c r="F614" s="145">
        <v>0</v>
      </c>
      <c r="G614" s="145">
        <v>0</v>
      </c>
      <c r="H614" s="145">
        <v>0</v>
      </c>
      <c r="I614" s="77">
        <f t="shared" si="12"/>
        <v>17.43</v>
      </c>
      <c r="J614" s="123" t="str">
        <f>IFERROR(VLOOKUP($C614,'CEDARS School FRPL'!C:H,4,FALSE),"No")</f>
        <v>No</v>
      </c>
      <c r="K614" s="109"/>
      <c r="L614" s="109"/>
      <c r="M614" s="110">
        <f>IFERROR(VLOOKUP($C614,'CEDARS School FRPL'!C:H,3,FALSE),0)</f>
        <v>0.35849999999999999</v>
      </c>
      <c r="N614" s="123" t="str">
        <f>IFERROR(VLOOKUP(C614,'CEDARS School FRPL'!C:H,6,FALSE),"No")</f>
        <v>No</v>
      </c>
      <c r="O614" s="147"/>
      <c r="P614" s="148"/>
    </row>
    <row r="615" spans="1:16">
      <c r="A615" s="95" t="s">
        <v>2349</v>
      </c>
      <c r="B615" s="95" t="s">
        <v>645</v>
      </c>
      <c r="C615" s="4">
        <v>2417</v>
      </c>
      <c r="D615" s="95" t="s">
        <v>650</v>
      </c>
      <c r="E615" s="145">
        <v>1493.18</v>
      </c>
      <c r="F615" s="145">
        <v>85.559999999999988</v>
      </c>
      <c r="G615" s="145">
        <v>0</v>
      </c>
      <c r="H615" s="145">
        <v>0</v>
      </c>
      <c r="I615" s="77">
        <f t="shared" si="12"/>
        <v>1578.74</v>
      </c>
      <c r="J615" s="123" t="str">
        <f>IFERROR(VLOOKUP($C615,'CEDARS School FRPL'!C:H,4,FALSE),"No")</f>
        <v>Yes</v>
      </c>
      <c r="K615" s="109"/>
      <c r="L615" s="109"/>
      <c r="M615" s="110">
        <f>IFERROR(VLOOKUP($C615,'CEDARS School FRPL'!C:H,3,FALSE),0)</f>
        <v>0.66883333333333328</v>
      </c>
      <c r="N615" s="123" t="str">
        <f>IFERROR(VLOOKUP(C615,'CEDARS School FRPL'!C:H,6,FALSE),"No")</f>
        <v>No</v>
      </c>
      <c r="O615" s="147"/>
      <c r="P615" s="148"/>
    </row>
    <row r="616" spans="1:16">
      <c r="A616" s="95" t="s">
        <v>2349</v>
      </c>
      <c r="B616" s="95" t="s">
        <v>645</v>
      </c>
      <c r="C616" s="4">
        <v>2841</v>
      </c>
      <c r="D616" s="95" t="s">
        <v>651</v>
      </c>
      <c r="E616" s="145">
        <v>391.62</v>
      </c>
      <c r="F616" s="145">
        <v>0</v>
      </c>
      <c r="G616" s="145">
        <v>0</v>
      </c>
      <c r="H616" s="145">
        <v>0</v>
      </c>
      <c r="I616" s="77">
        <f t="shared" si="12"/>
        <v>391.62</v>
      </c>
      <c r="J616" s="123" t="str">
        <f>IFERROR(VLOOKUP($C616,'CEDARS School FRPL'!C:H,4,FALSE),"No")</f>
        <v>Yes</v>
      </c>
      <c r="K616" s="109"/>
      <c r="L616" s="109"/>
      <c r="M616" s="110">
        <f>IFERROR(VLOOKUP($C616,'CEDARS School FRPL'!C:H,3,FALSE),0)</f>
        <v>0.53973333333333329</v>
      </c>
      <c r="N616" s="123" t="str">
        <f>IFERROR(VLOOKUP(C616,'CEDARS School FRPL'!C:H,6,FALSE),"No")</f>
        <v>No</v>
      </c>
      <c r="O616" s="147"/>
      <c r="P616" s="148"/>
    </row>
    <row r="617" spans="1:16">
      <c r="A617" s="95" t="s">
        <v>2349</v>
      </c>
      <c r="B617" s="95" t="s">
        <v>645</v>
      </c>
      <c r="C617" s="4">
        <v>3159</v>
      </c>
      <c r="D617" s="95" t="s">
        <v>652</v>
      </c>
      <c r="E617" s="145">
        <v>428.29</v>
      </c>
      <c r="F617" s="145">
        <v>0</v>
      </c>
      <c r="G617" s="145">
        <v>0</v>
      </c>
      <c r="H617" s="145">
        <v>0</v>
      </c>
      <c r="I617" s="77">
        <f t="shared" si="12"/>
        <v>428.29</v>
      </c>
      <c r="J617" s="123" t="str">
        <f>IFERROR(VLOOKUP($C617,'CEDARS School FRPL'!C:H,4,FALSE),"No")</f>
        <v>Yes</v>
      </c>
      <c r="K617" s="109"/>
      <c r="L617" s="109"/>
      <c r="M617" s="110">
        <f>IFERROR(VLOOKUP($C617,'CEDARS School FRPL'!C:H,3,FALSE),0)</f>
        <v>0.84519999999999984</v>
      </c>
      <c r="N617" s="123" t="str">
        <f>IFERROR(VLOOKUP(C617,'CEDARS School FRPL'!C:H,6,FALSE),"No")</f>
        <v>No</v>
      </c>
      <c r="O617" s="147"/>
      <c r="P617" s="148"/>
    </row>
    <row r="618" spans="1:16">
      <c r="A618" s="95" t="s">
        <v>2349</v>
      </c>
      <c r="B618" s="95" t="s">
        <v>645</v>
      </c>
      <c r="C618" s="4">
        <v>3160</v>
      </c>
      <c r="D618" s="95" t="s">
        <v>653</v>
      </c>
      <c r="E618" s="145">
        <v>310.48</v>
      </c>
      <c r="F618" s="145">
        <v>0</v>
      </c>
      <c r="G618" s="145">
        <v>0</v>
      </c>
      <c r="H618" s="145">
        <v>0</v>
      </c>
      <c r="I618" s="77">
        <f t="shared" si="12"/>
        <v>310.48</v>
      </c>
      <c r="J618" s="123" t="str">
        <f>IFERROR(VLOOKUP($C618,'CEDARS School FRPL'!C:H,4,FALSE),"No")</f>
        <v>Yes</v>
      </c>
      <c r="K618" s="109"/>
      <c r="L618" s="109"/>
      <c r="M618" s="110">
        <f>IFERROR(VLOOKUP($C618,'CEDARS School FRPL'!C:H,3,FALSE),0)</f>
        <v>0.63109999999999999</v>
      </c>
      <c r="N618" s="123" t="str">
        <f>IFERROR(VLOOKUP(C618,'CEDARS School FRPL'!C:H,6,FALSE),"No")</f>
        <v>No</v>
      </c>
      <c r="O618" s="147"/>
      <c r="P618" s="148"/>
    </row>
    <row r="619" spans="1:16">
      <c r="A619" s="95" t="s">
        <v>2349</v>
      </c>
      <c r="B619" s="95" t="s">
        <v>645</v>
      </c>
      <c r="C619" s="4">
        <v>3328</v>
      </c>
      <c r="D619" s="95" t="s">
        <v>654</v>
      </c>
      <c r="E619" s="145">
        <v>426.22</v>
      </c>
      <c r="F619" s="145">
        <v>0</v>
      </c>
      <c r="G619" s="145">
        <v>0</v>
      </c>
      <c r="H619" s="145">
        <v>0</v>
      </c>
      <c r="I619" s="77">
        <f t="shared" si="12"/>
        <v>426.22</v>
      </c>
      <c r="J619" s="123" t="str">
        <f>IFERROR(VLOOKUP($C619,'CEDARS School FRPL'!C:H,4,FALSE),"No")</f>
        <v>Yes</v>
      </c>
      <c r="K619" s="109"/>
      <c r="L619" s="109"/>
      <c r="M619" s="110">
        <f>IFERROR(VLOOKUP($C619,'CEDARS School FRPL'!C:H,3,FALSE),0)</f>
        <v>0.56956666666666667</v>
      </c>
      <c r="N619" s="123" t="str">
        <f>IFERROR(VLOOKUP(C619,'CEDARS School FRPL'!C:H,6,FALSE),"No")</f>
        <v>No</v>
      </c>
      <c r="O619" s="147"/>
      <c r="P619" s="148"/>
    </row>
    <row r="620" spans="1:16">
      <c r="A620" s="95" t="s">
        <v>2349</v>
      </c>
      <c r="B620" s="95" t="s">
        <v>645</v>
      </c>
      <c r="C620" s="4">
        <v>3329</v>
      </c>
      <c r="D620" s="95" t="s">
        <v>655</v>
      </c>
      <c r="E620" s="145">
        <v>381.06</v>
      </c>
      <c r="F620" s="145">
        <v>0</v>
      </c>
      <c r="G620" s="145">
        <v>0</v>
      </c>
      <c r="H620" s="145">
        <v>0</v>
      </c>
      <c r="I620" s="77">
        <f t="shared" si="12"/>
        <v>381.06</v>
      </c>
      <c r="J620" s="123" t="str">
        <f>IFERROR(VLOOKUP($C620,'CEDARS School FRPL'!C:H,4,FALSE),"No")</f>
        <v>Yes</v>
      </c>
      <c r="K620" s="109"/>
      <c r="L620" s="109"/>
      <c r="M620" s="110">
        <f>IFERROR(VLOOKUP($C620,'CEDARS School FRPL'!C:H,3,FALSE),0)</f>
        <v>0.74693333333333334</v>
      </c>
      <c r="N620" s="123" t="str">
        <f>IFERROR(VLOOKUP(C620,'CEDARS School FRPL'!C:H,6,FALSE),"No")</f>
        <v>No</v>
      </c>
      <c r="O620" s="147"/>
      <c r="P620" s="148"/>
    </row>
    <row r="621" spans="1:16">
      <c r="A621" s="95" t="s">
        <v>2349</v>
      </c>
      <c r="B621" s="95" t="s">
        <v>645</v>
      </c>
      <c r="C621" s="4">
        <v>3381</v>
      </c>
      <c r="D621" s="95" t="s">
        <v>656</v>
      </c>
      <c r="E621" s="145">
        <v>647.57000000000005</v>
      </c>
      <c r="F621" s="145">
        <v>0</v>
      </c>
      <c r="G621" s="145">
        <v>0</v>
      </c>
      <c r="H621" s="145">
        <v>0</v>
      </c>
      <c r="I621" s="77">
        <f t="shared" si="12"/>
        <v>647.57000000000005</v>
      </c>
      <c r="J621" s="123" t="str">
        <f>IFERROR(VLOOKUP($C621,'CEDARS School FRPL'!C:H,4,FALSE),"No")</f>
        <v>Yes</v>
      </c>
      <c r="K621" s="109"/>
      <c r="L621" s="109"/>
      <c r="M621" s="110">
        <f>IFERROR(VLOOKUP($C621,'CEDARS School FRPL'!C:H,3,FALSE),0)</f>
        <v>0.61380000000000001</v>
      </c>
      <c r="N621" s="123" t="str">
        <f>IFERROR(VLOOKUP(C621,'CEDARS School FRPL'!C:H,6,FALSE),"No")</f>
        <v>No</v>
      </c>
      <c r="O621" s="147"/>
      <c r="P621" s="148"/>
    </row>
    <row r="622" spans="1:16">
      <c r="A622" s="95" t="s">
        <v>2349</v>
      </c>
      <c r="B622" s="95" t="s">
        <v>645</v>
      </c>
      <c r="C622" s="4">
        <v>3431</v>
      </c>
      <c r="D622" s="95" t="s">
        <v>657</v>
      </c>
      <c r="E622" s="145">
        <v>684.32</v>
      </c>
      <c r="F622" s="145">
        <v>0</v>
      </c>
      <c r="G622" s="145">
        <v>0</v>
      </c>
      <c r="H622" s="145">
        <v>0</v>
      </c>
      <c r="I622" s="77">
        <f t="shared" si="12"/>
        <v>684.32</v>
      </c>
      <c r="J622" s="123" t="str">
        <f>IFERROR(VLOOKUP($C622,'CEDARS School FRPL'!C:H,4,FALSE),"No")</f>
        <v>Yes</v>
      </c>
      <c r="K622" s="109"/>
      <c r="L622" s="109"/>
      <c r="M622" s="110">
        <f>IFERROR(VLOOKUP($C622,'CEDARS School FRPL'!C:H,3,FALSE),0)</f>
        <v>0.75896666666666668</v>
      </c>
      <c r="N622" s="123" t="str">
        <f>IFERROR(VLOOKUP(C622,'CEDARS School FRPL'!C:H,6,FALSE),"No")</f>
        <v>No</v>
      </c>
      <c r="O622" s="147"/>
      <c r="P622" s="148"/>
    </row>
    <row r="623" spans="1:16">
      <c r="A623" s="95" t="s">
        <v>2349</v>
      </c>
      <c r="B623" s="95" t="s">
        <v>645</v>
      </c>
      <c r="C623" s="4">
        <v>3432</v>
      </c>
      <c r="D623" s="95" t="s">
        <v>580</v>
      </c>
      <c r="E623" s="145">
        <v>405.71</v>
      </c>
      <c r="F623" s="145">
        <v>0</v>
      </c>
      <c r="G623" s="145">
        <v>0</v>
      </c>
      <c r="H623" s="145">
        <v>0</v>
      </c>
      <c r="I623" s="77">
        <f t="shared" si="12"/>
        <v>405.71</v>
      </c>
      <c r="J623" s="123" t="str">
        <f>IFERROR(VLOOKUP($C623,'CEDARS School FRPL'!C:H,4,FALSE),"No")</f>
        <v>Yes</v>
      </c>
      <c r="K623" s="109"/>
      <c r="L623" s="109"/>
      <c r="M623" s="110">
        <f>IFERROR(VLOOKUP($C623,'CEDARS School FRPL'!C:H,3,FALSE),0)</f>
        <v>0.81533333333333324</v>
      </c>
      <c r="N623" s="123" t="str">
        <f>IFERROR(VLOOKUP(C623,'CEDARS School FRPL'!C:H,6,FALSE),"No")</f>
        <v>No</v>
      </c>
      <c r="O623" s="147"/>
      <c r="P623" s="148"/>
    </row>
    <row r="624" spans="1:16">
      <c r="A624" s="95" t="s">
        <v>2349</v>
      </c>
      <c r="B624" s="95" t="s">
        <v>645</v>
      </c>
      <c r="C624" s="4">
        <v>3519</v>
      </c>
      <c r="D624" s="95" t="s">
        <v>658</v>
      </c>
      <c r="E624" s="145">
        <v>266.43</v>
      </c>
      <c r="F624" s="145">
        <v>0</v>
      </c>
      <c r="G624" s="145">
        <v>0</v>
      </c>
      <c r="H624" s="145">
        <v>0</v>
      </c>
      <c r="I624" s="77">
        <f t="shared" si="12"/>
        <v>266.43</v>
      </c>
      <c r="J624" s="123" t="str">
        <f>IFERROR(VLOOKUP($C624,'CEDARS School FRPL'!C:H,4,FALSE),"No")</f>
        <v>Yes</v>
      </c>
      <c r="K624" s="109"/>
      <c r="L624" s="109"/>
      <c r="M624" s="110">
        <f>IFERROR(VLOOKUP($C624,'CEDARS School FRPL'!C:H,3,FALSE),0)</f>
        <v>0.66476666666666662</v>
      </c>
      <c r="N624" s="123" t="str">
        <f>IFERROR(VLOOKUP(C624,'CEDARS School FRPL'!C:H,6,FALSE),"No")</f>
        <v>No</v>
      </c>
      <c r="O624" s="147"/>
      <c r="P624" s="148"/>
    </row>
    <row r="625" spans="1:16">
      <c r="A625" s="95" t="s">
        <v>2349</v>
      </c>
      <c r="B625" s="95" t="s">
        <v>645</v>
      </c>
      <c r="C625" s="4">
        <v>3547</v>
      </c>
      <c r="D625" s="95" t="s">
        <v>659</v>
      </c>
      <c r="E625" s="145">
        <v>254.35</v>
      </c>
      <c r="F625" s="145">
        <v>0</v>
      </c>
      <c r="G625" s="145">
        <v>0</v>
      </c>
      <c r="H625" s="145">
        <v>0</v>
      </c>
      <c r="I625" s="77">
        <f t="shared" si="12"/>
        <v>254.35</v>
      </c>
      <c r="J625" s="123" t="str">
        <f>IFERROR(VLOOKUP($C625,'CEDARS School FRPL'!C:H,4,FALSE),"No")</f>
        <v>Yes</v>
      </c>
      <c r="K625" s="109"/>
      <c r="L625" s="109"/>
      <c r="M625" s="110">
        <f>IFERROR(VLOOKUP($C625,'CEDARS School FRPL'!C:H,3,FALSE),0)</f>
        <v>0.53639999999999999</v>
      </c>
      <c r="N625" s="123" t="str">
        <f>IFERROR(VLOOKUP(C625,'CEDARS School FRPL'!C:H,6,FALSE),"No")</f>
        <v>No</v>
      </c>
      <c r="O625" s="147"/>
      <c r="P625" s="148"/>
    </row>
    <row r="626" spans="1:16">
      <c r="A626" s="95" t="s">
        <v>2349</v>
      </c>
      <c r="B626" s="95" t="s">
        <v>645</v>
      </c>
      <c r="C626" s="4">
        <v>3567</v>
      </c>
      <c r="D626" s="95" t="s">
        <v>660</v>
      </c>
      <c r="E626" s="145">
        <v>508.71</v>
      </c>
      <c r="F626" s="145">
        <v>0</v>
      </c>
      <c r="G626" s="145">
        <v>0</v>
      </c>
      <c r="H626" s="145">
        <v>0</v>
      </c>
      <c r="I626" s="77">
        <f t="shared" si="12"/>
        <v>508.71</v>
      </c>
      <c r="J626" s="123" t="str">
        <f>IFERROR(VLOOKUP($C626,'CEDARS School FRPL'!C:H,4,FALSE),"No")</f>
        <v>Yes</v>
      </c>
      <c r="K626" s="109"/>
      <c r="L626" s="109"/>
      <c r="M626" s="110">
        <f>IFERROR(VLOOKUP($C626,'CEDARS School FRPL'!C:H,3,FALSE),0)</f>
        <v>0.81366666666666676</v>
      </c>
      <c r="N626" s="123" t="str">
        <f>IFERROR(VLOOKUP(C626,'CEDARS School FRPL'!C:H,6,FALSE),"No")</f>
        <v>No</v>
      </c>
      <c r="O626" s="147"/>
      <c r="P626" s="148"/>
    </row>
    <row r="627" spans="1:16">
      <c r="A627" s="95" t="s">
        <v>2349</v>
      </c>
      <c r="B627" s="95" t="s">
        <v>645</v>
      </c>
      <c r="C627" s="4">
        <v>3568</v>
      </c>
      <c r="D627" s="95" t="s">
        <v>661</v>
      </c>
      <c r="E627" s="145">
        <v>346.71</v>
      </c>
      <c r="F627" s="145">
        <v>0</v>
      </c>
      <c r="G627" s="145">
        <v>0</v>
      </c>
      <c r="H627" s="145">
        <v>0</v>
      </c>
      <c r="I627" s="77">
        <f t="shared" si="12"/>
        <v>346.71</v>
      </c>
      <c r="J627" s="123" t="str">
        <f>IFERROR(VLOOKUP($C627,'CEDARS School FRPL'!C:H,4,FALSE),"No")</f>
        <v>Yes</v>
      </c>
      <c r="K627" s="109"/>
      <c r="L627" s="109"/>
      <c r="M627" s="110">
        <f>IFERROR(VLOOKUP($C627,'CEDARS School FRPL'!C:H,3,FALSE),0)</f>
        <v>0.68203333333333338</v>
      </c>
      <c r="N627" s="123" t="str">
        <f>IFERROR(VLOOKUP(C627,'CEDARS School FRPL'!C:H,6,FALSE),"No")</f>
        <v>No</v>
      </c>
      <c r="O627" s="147"/>
      <c r="P627" s="148"/>
    </row>
    <row r="628" spans="1:16">
      <c r="A628" s="95" t="s">
        <v>2349</v>
      </c>
      <c r="B628" s="95" t="s">
        <v>645</v>
      </c>
      <c r="C628" s="4">
        <v>3582</v>
      </c>
      <c r="D628" s="95" t="s">
        <v>662</v>
      </c>
      <c r="E628" s="145">
        <v>508.57</v>
      </c>
      <c r="F628" s="145">
        <v>0</v>
      </c>
      <c r="G628" s="145">
        <v>0</v>
      </c>
      <c r="H628" s="145">
        <v>0</v>
      </c>
      <c r="I628" s="77">
        <f t="shared" si="12"/>
        <v>508.57</v>
      </c>
      <c r="J628" s="123" t="str">
        <f>IFERROR(VLOOKUP($C628,'CEDARS School FRPL'!C:H,4,FALSE),"No")</f>
        <v>Yes</v>
      </c>
      <c r="K628" s="109"/>
      <c r="L628" s="109"/>
      <c r="M628" s="110">
        <f>IFERROR(VLOOKUP($C628,'CEDARS School FRPL'!C:H,3,FALSE),0)</f>
        <v>0.72656666666666669</v>
      </c>
      <c r="N628" s="123" t="str">
        <f>IFERROR(VLOOKUP(C628,'CEDARS School FRPL'!C:H,6,FALSE),"No")</f>
        <v>No</v>
      </c>
      <c r="O628" s="147"/>
      <c r="P628" s="148"/>
    </row>
    <row r="629" spans="1:16">
      <c r="A629" s="95" t="s">
        <v>2349</v>
      </c>
      <c r="B629" s="95" t="s">
        <v>645</v>
      </c>
      <c r="C629" s="4">
        <v>3583</v>
      </c>
      <c r="D629" s="95" t="s">
        <v>663</v>
      </c>
      <c r="E629" s="145">
        <v>446.57</v>
      </c>
      <c r="F629" s="145">
        <v>0</v>
      </c>
      <c r="G629" s="145">
        <v>0</v>
      </c>
      <c r="H629" s="145">
        <v>0</v>
      </c>
      <c r="I629" s="77">
        <f t="shared" si="12"/>
        <v>446.57</v>
      </c>
      <c r="J629" s="123" t="str">
        <f>IFERROR(VLOOKUP($C629,'CEDARS School FRPL'!C:H,4,FALSE),"No")</f>
        <v>Yes</v>
      </c>
      <c r="K629" s="109"/>
      <c r="L629" s="109"/>
      <c r="M629" s="110">
        <f>IFERROR(VLOOKUP($C629,'CEDARS School FRPL'!C:H,3,FALSE),0)</f>
        <v>0.77363333333333328</v>
      </c>
      <c r="N629" s="123" t="str">
        <f>IFERROR(VLOOKUP(C629,'CEDARS School FRPL'!C:H,6,FALSE),"No")</f>
        <v>No</v>
      </c>
      <c r="O629" s="147"/>
      <c r="P629" s="148"/>
    </row>
    <row r="630" spans="1:16">
      <c r="A630" s="95" t="s">
        <v>2349</v>
      </c>
      <c r="B630" s="95" t="s">
        <v>645</v>
      </c>
      <c r="C630" s="4">
        <v>3584</v>
      </c>
      <c r="D630" s="95" t="s">
        <v>664</v>
      </c>
      <c r="E630" s="145">
        <v>1464.18</v>
      </c>
      <c r="F630" s="145">
        <v>179.61</v>
      </c>
      <c r="G630" s="145">
        <v>0</v>
      </c>
      <c r="H630" s="145">
        <v>0</v>
      </c>
      <c r="I630" s="77">
        <f t="shared" si="12"/>
        <v>1643.79</v>
      </c>
      <c r="J630" s="123" t="str">
        <f>IFERROR(VLOOKUP($C630,'CEDARS School FRPL'!C:H,4,FALSE),"No")</f>
        <v>Yes</v>
      </c>
      <c r="K630" s="109"/>
      <c r="L630" s="109"/>
      <c r="M630" s="110">
        <f>IFERROR(VLOOKUP($C630,'CEDARS School FRPL'!C:H,3,FALSE),0)</f>
        <v>0.58453333333333324</v>
      </c>
      <c r="N630" s="123" t="str">
        <f>IFERROR(VLOOKUP(C630,'CEDARS School FRPL'!C:H,6,FALSE),"No")</f>
        <v>No</v>
      </c>
      <c r="O630" s="147"/>
      <c r="P630" s="148"/>
    </row>
    <row r="631" spans="1:16">
      <c r="A631" s="95" t="s">
        <v>2349</v>
      </c>
      <c r="B631" s="95" t="s">
        <v>645</v>
      </c>
      <c r="C631" s="4">
        <v>3625</v>
      </c>
      <c r="D631" s="95" t="s">
        <v>665</v>
      </c>
      <c r="E631" s="145">
        <v>469.57</v>
      </c>
      <c r="F631" s="145">
        <v>0</v>
      </c>
      <c r="G631" s="145">
        <v>0</v>
      </c>
      <c r="H631" s="145">
        <v>0</v>
      </c>
      <c r="I631" s="77">
        <f t="shared" si="12"/>
        <v>469.57</v>
      </c>
      <c r="J631" s="123" t="str">
        <f>IFERROR(VLOOKUP($C631,'CEDARS School FRPL'!C:H,4,FALSE),"No")</f>
        <v>Yes</v>
      </c>
      <c r="K631" s="109"/>
      <c r="L631" s="109"/>
      <c r="M631" s="110">
        <f>IFERROR(VLOOKUP($C631,'CEDARS School FRPL'!C:H,3,FALSE),0)</f>
        <v>0.58856666666666668</v>
      </c>
      <c r="N631" s="123" t="str">
        <f>IFERROR(VLOOKUP(C631,'CEDARS School FRPL'!C:H,6,FALSE),"No")</f>
        <v>No</v>
      </c>
      <c r="O631" s="147"/>
      <c r="P631" s="148"/>
    </row>
    <row r="632" spans="1:16">
      <c r="A632" s="95" t="s">
        <v>2349</v>
      </c>
      <c r="B632" s="95" t="s">
        <v>645</v>
      </c>
      <c r="C632" s="4">
        <v>3626</v>
      </c>
      <c r="D632" s="95" t="s">
        <v>666</v>
      </c>
      <c r="E632" s="145">
        <v>679.87</v>
      </c>
      <c r="F632" s="145">
        <v>0</v>
      </c>
      <c r="G632" s="145">
        <v>0</v>
      </c>
      <c r="H632" s="145">
        <v>0</v>
      </c>
      <c r="I632" s="77">
        <f t="shared" si="12"/>
        <v>679.87</v>
      </c>
      <c r="J632" s="123" t="str">
        <f>IFERROR(VLOOKUP($C632,'CEDARS School FRPL'!C:H,4,FALSE),"No")</f>
        <v>Yes</v>
      </c>
      <c r="K632" s="109"/>
      <c r="L632" s="109"/>
      <c r="M632" s="110">
        <f>IFERROR(VLOOKUP($C632,'CEDARS School FRPL'!C:H,3,FALSE),0)</f>
        <v>0.7301333333333333</v>
      </c>
      <c r="N632" s="123" t="str">
        <f>IFERROR(VLOOKUP(C632,'CEDARS School FRPL'!C:H,6,FALSE),"No")</f>
        <v>No</v>
      </c>
      <c r="O632" s="147"/>
      <c r="P632" s="148"/>
    </row>
    <row r="633" spans="1:16">
      <c r="A633" s="95" t="s">
        <v>2349</v>
      </c>
      <c r="B633" s="95" t="s">
        <v>645</v>
      </c>
      <c r="C633" s="4">
        <v>3627</v>
      </c>
      <c r="D633" s="95" t="s">
        <v>667</v>
      </c>
      <c r="E633" s="145">
        <v>470.39</v>
      </c>
      <c r="F633" s="145">
        <v>0</v>
      </c>
      <c r="G633" s="145">
        <v>0</v>
      </c>
      <c r="H633" s="145">
        <v>0</v>
      </c>
      <c r="I633" s="77">
        <f t="shared" si="12"/>
        <v>470.39</v>
      </c>
      <c r="J633" s="123" t="str">
        <f>IFERROR(VLOOKUP($C633,'CEDARS School FRPL'!C:H,4,FALSE),"No")</f>
        <v>Yes</v>
      </c>
      <c r="K633" s="107"/>
      <c r="L633" s="107"/>
      <c r="M633" s="110">
        <f>IFERROR(VLOOKUP($C633,'CEDARS School FRPL'!C:H,3,FALSE),0)</f>
        <v>0.93076666666666663</v>
      </c>
      <c r="N633" s="123" t="str">
        <f>IFERROR(VLOOKUP(C633,'CEDARS School FRPL'!C:H,6,FALSE),"No")</f>
        <v>No</v>
      </c>
      <c r="O633" s="147"/>
      <c r="P633" s="148"/>
    </row>
    <row r="634" spans="1:16">
      <c r="A634" s="95" t="s">
        <v>2349</v>
      </c>
      <c r="B634" s="95" t="s">
        <v>645</v>
      </c>
      <c r="C634" s="4">
        <v>3628</v>
      </c>
      <c r="D634" s="95" t="s">
        <v>668</v>
      </c>
      <c r="E634" s="145">
        <v>293.14</v>
      </c>
      <c r="F634" s="145">
        <v>0</v>
      </c>
      <c r="G634" s="145">
        <v>0</v>
      </c>
      <c r="H634" s="145">
        <v>0</v>
      </c>
      <c r="I634" s="77">
        <f t="shared" si="12"/>
        <v>293.14</v>
      </c>
      <c r="J634" s="123" t="str">
        <f>IFERROR(VLOOKUP($C634,'CEDARS School FRPL'!C:H,4,FALSE),"No")</f>
        <v>Yes</v>
      </c>
      <c r="K634" s="109"/>
      <c r="L634" s="109"/>
      <c r="M634" s="110">
        <f>IFERROR(VLOOKUP($C634,'CEDARS School FRPL'!C:H,3,FALSE),0)</f>
        <v>0.59870000000000001</v>
      </c>
      <c r="N634" s="123" t="str">
        <f>IFERROR(VLOOKUP(C634,'CEDARS School FRPL'!C:H,6,FALSE),"No")</f>
        <v>No</v>
      </c>
      <c r="O634" s="147"/>
      <c r="P634" s="148"/>
    </row>
    <row r="635" spans="1:16">
      <c r="A635" s="95" t="s">
        <v>2349</v>
      </c>
      <c r="B635" s="95" t="s">
        <v>645</v>
      </c>
      <c r="C635" s="4">
        <v>3700</v>
      </c>
      <c r="D635" s="95" t="s">
        <v>669</v>
      </c>
      <c r="E635" s="145">
        <v>281.70999999999998</v>
      </c>
      <c r="F635" s="145">
        <v>0</v>
      </c>
      <c r="G635" s="145">
        <v>0</v>
      </c>
      <c r="H635" s="145">
        <v>0</v>
      </c>
      <c r="I635" s="77">
        <f t="shared" si="12"/>
        <v>281.70999999999998</v>
      </c>
      <c r="J635" s="123" t="str">
        <f>IFERROR(VLOOKUP($C635,'CEDARS School FRPL'!C:H,4,FALSE),"No")</f>
        <v>Yes</v>
      </c>
      <c r="K635" s="109"/>
      <c r="L635" s="109"/>
      <c r="M635" s="110">
        <f>IFERROR(VLOOKUP($C635,'CEDARS School FRPL'!C:H,3,FALSE),0)</f>
        <v>0.61253333333333337</v>
      </c>
      <c r="N635" s="123" t="str">
        <f>IFERROR(VLOOKUP(C635,'CEDARS School FRPL'!C:H,6,FALSE),"No")</f>
        <v>No</v>
      </c>
      <c r="O635" s="147"/>
      <c r="P635" s="148"/>
    </row>
    <row r="636" spans="1:16">
      <c r="A636" s="95" t="s">
        <v>2349</v>
      </c>
      <c r="B636" s="95" t="s">
        <v>645</v>
      </c>
      <c r="C636" s="4">
        <v>3701</v>
      </c>
      <c r="D636" s="95" t="s">
        <v>670</v>
      </c>
      <c r="E636" s="145">
        <v>590.1</v>
      </c>
      <c r="F636" s="145">
        <v>0</v>
      </c>
      <c r="G636" s="145">
        <v>0</v>
      </c>
      <c r="H636" s="145">
        <v>0</v>
      </c>
      <c r="I636" s="77">
        <f t="shared" si="12"/>
        <v>590.1</v>
      </c>
      <c r="J636" s="123" t="str">
        <f>IFERROR(VLOOKUP($C636,'CEDARS School FRPL'!C:H,4,FALSE),"No")</f>
        <v>Yes</v>
      </c>
      <c r="K636" s="109"/>
      <c r="L636" s="109"/>
      <c r="M636" s="110">
        <f>IFERROR(VLOOKUP($C636,'CEDARS School FRPL'!C:H,3,FALSE),0)</f>
        <v>0.65749999999999997</v>
      </c>
      <c r="N636" s="123" t="str">
        <f>IFERROR(VLOOKUP(C636,'CEDARS School FRPL'!C:H,6,FALSE),"No")</f>
        <v>No</v>
      </c>
      <c r="O636" s="147"/>
      <c r="P636" s="148"/>
    </row>
    <row r="637" spans="1:16">
      <c r="A637" s="95" t="s">
        <v>2349</v>
      </c>
      <c r="B637" s="95" t="s">
        <v>645</v>
      </c>
      <c r="C637" s="4">
        <v>3738</v>
      </c>
      <c r="D637" s="95" t="s">
        <v>671</v>
      </c>
      <c r="E637" s="145">
        <v>413</v>
      </c>
      <c r="F637" s="145">
        <v>0</v>
      </c>
      <c r="G637" s="145">
        <v>0</v>
      </c>
      <c r="H637" s="145">
        <v>0</v>
      </c>
      <c r="I637" s="77">
        <f t="shared" si="12"/>
        <v>413</v>
      </c>
      <c r="J637" s="123" t="str">
        <f>IFERROR(VLOOKUP($C637,'CEDARS School FRPL'!C:H,4,FALSE),"No")</f>
        <v>Yes</v>
      </c>
      <c r="K637" s="109"/>
      <c r="L637" s="109"/>
      <c r="M637" s="110">
        <f>IFERROR(VLOOKUP($C637,'CEDARS School FRPL'!C:H,3,FALSE),0)</f>
        <v>0.72440000000000004</v>
      </c>
      <c r="N637" s="123" t="str">
        <f>IFERROR(VLOOKUP(C637,'CEDARS School FRPL'!C:H,6,FALSE),"No")</f>
        <v>No</v>
      </c>
      <c r="O637" s="147"/>
      <c r="P637" s="148"/>
    </row>
    <row r="638" spans="1:16">
      <c r="A638" s="95" t="s">
        <v>2349</v>
      </c>
      <c r="B638" s="95" t="s">
        <v>645</v>
      </c>
      <c r="C638" s="4">
        <v>3766</v>
      </c>
      <c r="D638" s="95" t="s">
        <v>672</v>
      </c>
      <c r="E638" s="145">
        <v>1159.03</v>
      </c>
      <c r="F638" s="145">
        <v>96.97</v>
      </c>
      <c r="G638" s="145">
        <v>0</v>
      </c>
      <c r="H638" s="145">
        <v>0</v>
      </c>
      <c r="I638" s="77">
        <f t="shared" si="12"/>
        <v>1256</v>
      </c>
      <c r="J638" s="123" t="str">
        <f>IFERROR(VLOOKUP($C638,'CEDARS School FRPL'!C:H,4,FALSE),"No")</f>
        <v>Yes</v>
      </c>
      <c r="K638" s="109"/>
      <c r="L638" s="109"/>
      <c r="M638" s="110">
        <f>IFERROR(VLOOKUP($C638,'CEDARS School FRPL'!C:H,3,FALSE),0)</f>
        <v>0.52866666666666662</v>
      </c>
      <c r="N638" s="123" t="str">
        <f>IFERROR(VLOOKUP(C638,'CEDARS School FRPL'!C:H,6,FALSE),"No")</f>
        <v>No</v>
      </c>
      <c r="O638" s="147"/>
      <c r="P638" s="148"/>
    </row>
    <row r="639" spans="1:16">
      <c r="A639" s="95" t="s">
        <v>2349</v>
      </c>
      <c r="B639" s="95" t="s">
        <v>645</v>
      </c>
      <c r="C639" s="4">
        <v>3898</v>
      </c>
      <c r="D639" s="95" t="s">
        <v>673</v>
      </c>
      <c r="E639" s="145">
        <v>700.06</v>
      </c>
      <c r="F639" s="145">
        <v>0</v>
      </c>
      <c r="G639" s="145">
        <v>0</v>
      </c>
      <c r="H639" s="145">
        <v>0</v>
      </c>
      <c r="I639" s="77">
        <f t="shared" si="12"/>
        <v>700.06</v>
      </c>
      <c r="J639" s="123" t="str">
        <f>IFERROR(VLOOKUP($C639,'CEDARS School FRPL'!C:H,4,FALSE),"No")</f>
        <v>Yes</v>
      </c>
      <c r="K639" s="109"/>
      <c r="L639" s="109"/>
      <c r="M639" s="110">
        <f>IFERROR(VLOOKUP($C639,'CEDARS School FRPL'!C:H,3,FALSE),0)</f>
        <v>0.64710000000000001</v>
      </c>
      <c r="N639" s="123" t="str">
        <f>IFERROR(VLOOKUP(C639,'CEDARS School FRPL'!C:H,6,FALSE),"No")</f>
        <v>No</v>
      </c>
      <c r="O639" s="147"/>
      <c r="P639" s="148"/>
    </row>
    <row r="640" spans="1:16">
      <c r="A640" s="95" t="s">
        <v>2349</v>
      </c>
      <c r="B640" s="95" t="s">
        <v>645</v>
      </c>
      <c r="C640" s="4">
        <v>4343</v>
      </c>
      <c r="D640" s="95" t="s">
        <v>674</v>
      </c>
      <c r="E640" s="145">
        <v>343.29</v>
      </c>
      <c r="F640" s="145">
        <v>0</v>
      </c>
      <c r="G640" s="145">
        <v>0</v>
      </c>
      <c r="H640" s="145">
        <v>0</v>
      </c>
      <c r="I640" s="77">
        <f t="shared" si="12"/>
        <v>343.29</v>
      </c>
      <c r="J640" s="123" t="str">
        <f>IFERROR(VLOOKUP($C640,'CEDARS School FRPL'!C:H,4,FALSE),"No")</f>
        <v>Yes</v>
      </c>
      <c r="K640" s="109"/>
      <c r="L640" s="109"/>
      <c r="M640" s="110">
        <f>IFERROR(VLOOKUP($C640,'CEDARS School FRPL'!C:H,3,FALSE),0)</f>
        <v>0.7319</v>
      </c>
      <c r="N640" s="123" t="str">
        <f>IFERROR(VLOOKUP(C640,'CEDARS School FRPL'!C:H,6,FALSE),"No")</f>
        <v>No</v>
      </c>
      <c r="O640" s="147"/>
      <c r="P640" s="148"/>
    </row>
    <row r="641" spans="1:16">
      <c r="A641" s="95" t="s">
        <v>2349</v>
      </c>
      <c r="B641" s="95" t="s">
        <v>645</v>
      </c>
      <c r="C641" s="4">
        <v>4374</v>
      </c>
      <c r="D641" s="95" t="s">
        <v>675</v>
      </c>
      <c r="E641" s="145">
        <v>366.03</v>
      </c>
      <c r="F641" s="145">
        <v>0</v>
      </c>
      <c r="G641" s="145">
        <v>0</v>
      </c>
      <c r="H641" s="145">
        <v>0</v>
      </c>
      <c r="I641" s="77">
        <f t="shared" si="12"/>
        <v>366.03</v>
      </c>
      <c r="J641" s="123" t="str">
        <f>IFERROR(VLOOKUP($C641,'CEDARS School FRPL'!C:H,4,FALSE),"No")</f>
        <v>Yes</v>
      </c>
      <c r="K641" s="109"/>
      <c r="L641" s="109"/>
      <c r="M641" s="110">
        <f>IFERROR(VLOOKUP($C641,'CEDARS School FRPL'!C:H,3,FALSE),0)</f>
        <v>0.51630000000000009</v>
      </c>
      <c r="N641" s="123" t="str">
        <f>IFERROR(VLOOKUP(C641,'CEDARS School FRPL'!C:H,6,FALSE),"No")</f>
        <v>No</v>
      </c>
      <c r="O641" s="147"/>
      <c r="P641" s="148"/>
    </row>
    <row r="642" spans="1:16">
      <c r="A642" s="95" t="s">
        <v>2349</v>
      </c>
      <c r="B642" s="95" t="s">
        <v>645</v>
      </c>
      <c r="C642" s="4">
        <v>4422</v>
      </c>
      <c r="D642" s="95" t="s">
        <v>615</v>
      </c>
      <c r="E642" s="145">
        <v>407.57</v>
      </c>
      <c r="F642" s="145">
        <v>0</v>
      </c>
      <c r="G642" s="145">
        <v>0</v>
      </c>
      <c r="H642" s="145">
        <v>0</v>
      </c>
      <c r="I642" s="77">
        <f t="shared" si="12"/>
        <v>407.57</v>
      </c>
      <c r="J642" s="123" t="str">
        <f>IFERROR(VLOOKUP($C642,'CEDARS School FRPL'!C:H,4,FALSE),"No")</f>
        <v>Yes</v>
      </c>
      <c r="K642" s="109"/>
      <c r="L642" s="109"/>
      <c r="M642" s="110">
        <f>IFERROR(VLOOKUP($C642,'CEDARS School FRPL'!C:H,3,FALSE),0)</f>
        <v>0.71309999999999996</v>
      </c>
      <c r="N642" s="123" t="str">
        <f>IFERROR(VLOOKUP(C642,'CEDARS School FRPL'!C:H,6,FALSE),"No")</f>
        <v>No</v>
      </c>
      <c r="O642" s="147"/>
      <c r="P642" s="148"/>
    </row>
    <row r="643" spans="1:16">
      <c r="A643" s="95" t="s">
        <v>2349</v>
      </c>
      <c r="B643" s="95" t="s">
        <v>645</v>
      </c>
      <c r="C643" s="4">
        <v>4426</v>
      </c>
      <c r="D643" s="95" t="s">
        <v>676</v>
      </c>
      <c r="E643" s="145">
        <v>327.86</v>
      </c>
      <c r="F643" s="145">
        <v>0</v>
      </c>
      <c r="G643" s="145">
        <v>0</v>
      </c>
      <c r="H643" s="145">
        <v>0</v>
      </c>
      <c r="I643" s="77">
        <f t="shared" si="12"/>
        <v>327.86</v>
      </c>
      <c r="J643" s="123" t="str">
        <f>IFERROR(VLOOKUP($C643,'CEDARS School FRPL'!C:H,4,FALSE),"No")</f>
        <v>No</v>
      </c>
      <c r="K643" s="109"/>
      <c r="L643" s="109"/>
      <c r="M643" s="110">
        <f>IFERROR(VLOOKUP($C643,'CEDARS School FRPL'!C:H,3,FALSE),0)</f>
        <v>0.47513333333333335</v>
      </c>
      <c r="N643" s="123" t="str">
        <f>IFERROR(VLOOKUP(C643,'CEDARS School FRPL'!C:H,6,FALSE),"No")</f>
        <v>No</v>
      </c>
      <c r="O643" s="147"/>
      <c r="P643" s="148"/>
    </row>
    <row r="644" spans="1:16">
      <c r="A644" s="95" t="s">
        <v>2349</v>
      </c>
      <c r="B644" s="95" t="s">
        <v>645</v>
      </c>
      <c r="C644" s="4">
        <v>4470</v>
      </c>
      <c r="D644" s="95" t="s">
        <v>677</v>
      </c>
      <c r="E644" s="145">
        <v>425.57</v>
      </c>
      <c r="F644" s="145">
        <v>0</v>
      </c>
      <c r="G644" s="145">
        <v>0</v>
      </c>
      <c r="H644" s="145">
        <v>0</v>
      </c>
      <c r="I644" s="77">
        <f t="shared" ref="I644:I707" si="13">+E644+F644+G644+H644</f>
        <v>425.57</v>
      </c>
      <c r="J644" s="123" t="str">
        <f>IFERROR(VLOOKUP($C644,'CEDARS School FRPL'!C:H,4,FALSE),"No")</f>
        <v>Yes</v>
      </c>
      <c r="K644" s="109"/>
      <c r="L644" s="109"/>
      <c r="M644" s="110">
        <f>IFERROR(VLOOKUP($C644,'CEDARS School FRPL'!C:H,3,FALSE),0)</f>
        <v>0.55700000000000005</v>
      </c>
      <c r="N644" s="123" t="str">
        <f>IFERROR(VLOOKUP(C644,'CEDARS School FRPL'!C:H,6,FALSE),"No")</f>
        <v>No</v>
      </c>
      <c r="O644" s="147"/>
      <c r="P644" s="148"/>
    </row>
    <row r="645" spans="1:16">
      <c r="A645" s="95" t="s">
        <v>2349</v>
      </c>
      <c r="B645" s="95" t="s">
        <v>645</v>
      </c>
      <c r="C645" s="4">
        <v>4480</v>
      </c>
      <c r="D645" s="95" t="s">
        <v>678</v>
      </c>
      <c r="E645" s="145">
        <v>385.09</v>
      </c>
      <c r="F645" s="145">
        <v>0</v>
      </c>
      <c r="G645" s="145">
        <v>0</v>
      </c>
      <c r="H645" s="145">
        <v>0</v>
      </c>
      <c r="I645" s="77">
        <f t="shared" si="13"/>
        <v>385.09</v>
      </c>
      <c r="J645" s="123" t="str">
        <f>IFERROR(VLOOKUP($C645,'CEDARS School FRPL'!C:H,4,FALSE),"No")</f>
        <v>No</v>
      </c>
      <c r="K645" s="109"/>
      <c r="L645" s="109"/>
      <c r="M645" s="110">
        <f>IFERROR(VLOOKUP($C645,'CEDARS School FRPL'!C:H,3,FALSE),0)</f>
        <v>0.4632</v>
      </c>
      <c r="N645" s="123" t="str">
        <f>IFERROR(VLOOKUP(C645,'CEDARS School FRPL'!C:H,6,FALSE),"No")</f>
        <v>No</v>
      </c>
      <c r="O645" s="147"/>
      <c r="P645" s="148"/>
    </row>
    <row r="646" spans="1:16">
      <c r="A646" s="95" t="s">
        <v>2349</v>
      </c>
      <c r="B646" s="95" t="s">
        <v>645</v>
      </c>
      <c r="C646" s="4">
        <v>4570</v>
      </c>
      <c r="D646" s="95" t="s">
        <v>679</v>
      </c>
      <c r="E646" s="145">
        <v>1159.3699999999999</v>
      </c>
      <c r="F646" s="145">
        <v>145.19</v>
      </c>
      <c r="G646" s="145">
        <v>0</v>
      </c>
      <c r="H646" s="145">
        <v>0</v>
      </c>
      <c r="I646" s="77">
        <f t="shared" si="13"/>
        <v>1304.56</v>
      </c>
      <c r="J646" s="123" t="str">
        <f>IFERROR(VLOOKUP($C646,'CEDARS School FRPL'!C:H,4,FALSE),"No")</f>
        <v>Yes</v>
      </c>
      <c r="K646" s="109"/>
      <c r="L646" s="109"/>
      <c r="M646" s="110">
        <f>IFERROR(VLOOKUP($C646,'CEDARS School FRPL'!C:H,3,FALSE),0)</f>
        <v>0.62360000000000004</v>
      </c>
      <c r="N646" s="123" t="str">
        <f>IFERROR(VLOOKUP(C646,'CEDARS School FRPL'!C:H,6,FALSE),"No")</f>
        <v>No</v>
      </c>
      <c r="O646" s="147"/>
      <c r="P646" s="148"/>
    </row>
    <row r="647" spans="1:16">
      <c r="A647" s="95" t="s">
        <v>2349</v>
      </c>
      <c r="B647" s="95" t="s">
        <v>645</v>
      </c>
      <c r="C647" s="4">
        <v>5029</v>
      </c>
      <c r="D647" s="95" t="s">
        <v>680</v>
      </c>
      <c r="E647" s="145">
        <v>536.34</v>
      </c>
      <c r="F647" s="145">
        <v>0</v>
      </c>
      <c r="G647" s="145">
        <v>0</v>
      </c>
      <c r="H647" s="145">
        <v>0</v>
      </c>
      <c r="I647" s="77">
        <f t="shared" si="13"/>
        <v>536.34</v>
      </c>
      <c r="J647" s="123" t="str">
        <f>IFERROR(VLOOKUP($C647,'CEDARS School FRPL'!C:H,4,FALSE),"No")</f>
        <v>Yes</v>
      </c>
      <c r="K647" s="109"/>
      <c r="L647" s="109"/>
      <c r="M647" s="110">
        <f>IFERROR(VLOOKUP($C647,'CEDARS School FRPL'!C:H,3,FALSE),0)</f>
        <v>0.71786666666666665</v>
      </c>
      <c r="N647" s="123" t="str">
        <f>IFERROR(VLOOKUP(C647,'CEDARS School FRPL'!C:H,6,FALSE),"No")</f>
        <v>No</v>
      </c>
      <c r="O647" s="147"/>
      <c r="P647" s="148"/>
    </row>
    <row r="648" spans="1:16">
      <c r="A648" s="95" t="s">
        <v>2349</v>
      </c>
      <c r="B648" s="95" t="s">
        <v>645</v>
      </c>
      <c r="C648" s="4">
        <v>5107</v>
      </c>
      <c r="D648" s="95" t="s">
        <v>681</v>
      </c>
      <c r="E648" s="145">
        <v>0</v>
      </c>
      <c r="F648" s="145">
        <v>18.53</v>
      </c>
      <c r="G648" s="145">
        <v>0</v>
      </c>
      <c r="H648" s="145">
        <v>0</v>
      </c>
      <c r="I648" s="77">
        <f t="shared" si="13"/>
        <v>18.53</v>
      </c>
      <c r="J648" s="123" t="str">
        <f>IFERROR(VLOOKUP($C648,'CEDARS School FRPL'!C:H,4,FALSE),"No")</f>
        <v>No</v>
      </c>
      <c r="K648" s="107"/>
      <c r="L648" s="107"/>
      <c r="M648" s="110">
        <f>IFERROR(VLOOKUP($C648,'CEDARS School FRPL'!C:H,3,FALSE),0)</f>
        <v>0</v>
      </c>
      <c r="N648" s="123" t="str">
        <f>IFERROR(VLOOKUP(C648,'CEDARS School FRPL'!C:H,6,FALSE),"No")</f>
        <v>No</v>
      </c>
      <c r="O648" s="147"/>
      <c r="P648" s="148"/>
    </row>
    <row r="649" spans="1:16">
      <c r="A649" s="95" t="s">
        <v>2349</v>
      </c>
      <c r="B649" s="95" t="s">
        <v>645</v>
      </c>
      <c r="C649" s="4">
        <v>5163</v>
      </c>
      <c r="D649" s="95" t="s">
        <v>682</v>
      </c>
      <c r="E649" s="145">
        <v>69.37</v>
      </c>
      <c r="F649" s="145">
        <v>0.5</v>
      </c>
      <c r="G649" s="145">
        <v>0</v>
      </c>
      <c r="H649" s="145">
        <v>0</v>
      </c>
      <c r="I649" s="77">
        <f t="shared" si="13"/>
        <v>69.87</v>
      </c>
      <c r="J649" s="123" t="str">
        <f>IFERROR(VLOOKUP($C649,'CEDARS School FRPL'!C:H,4,FALSE),"No")</f>
        <v>Yes</v>
      </c>
      <c r="K649" s="109"/>
      <c r="L649" s="109"/>
      <c r="M649" s="110">
        <f>IFERROR(VLOOKUP($C649,'CEDARS School FRPL'!C:H,3,FALSE),0)</f>
        <v>0.75913333333333333</v>
      </c>
      <c r="N649" s="123" t="str">
        <f>IFERROR(VLOOKUP(C649,'CEDARS School FRPL'!C:H,6,FALSE),"No")</f>
        <v>No</v>
      </c>
      <c r="O649" s="147"/>
      <c r="P649" s="148"/>
    </row>
    <row r="650" spans="1:16">
      <c r="A650" s="95" t="s">
        <v>2349</v>
      </c>
      <c r="B650" s="95" t="s">
        <v>645</v>
      </c>
      <c r="C650" s="4">
        <v>5255</v>
      </c>
      <c r="D650" s="95" t="s">
        <v>683</v>
      </c>
      <c r="E650" s="145">
        <v>6.25</v>
      </c>
      <c r="F650" s="145">
        <v>0</v>
      </c>
      <c r="G650" s="145">
        <v>0</v>
      </c>
      <c r="H650" s="145">
        <v>0</v>
      </c>
      <c r="I650" s="77">
        <f t="shared" si="13"/>
        <v>6.25</v>
      </c>
      <c r="J650" s="123" t="str">
        <f>IFERROR(VLOOKUP($C650,'CEDARS School FRPL'!C:H,4,FALSE),"No")</f>
        <v>No</v>
      </c>
      <c r="K650" s="109"/>
      <c r="L650" s="109"/>
      <c r="M650" s="110">
        <f>IFERROR(VLOOKUP($C650,'CEDARS School FRPL'!C:H,3,FALSE),0)</f>
        <v>0</v>
      </c>
      <c r="N650" s="123" t="str">
        <f>IFERROR(VLOOKUP(C650,'CEDARS School FRPL'!C:H,6,FALSE),"No")</f>
        <v>No</v>
      </c>
      <c r="O650" s="147"/>
      <c r="P650" s="148"/>
    </row>
    <row r="651" spans="1:16">
      <c r="A651" s="95" t="s">
        <v>2349</v>
      </c>
      <c r="B651" s="95" t="s">
        <v>645</v>
      </c>
      <c r="C651" s="4">
        <v>5348</v>
      </c>
      <c r="D651" s="95" t="s">
        <v>684</v>
      </c>
      <c r="E651" s="145">
        <v>0</v>
      </c>
      <c r="F651" s="145">
        <v>0.34</v>
      </c>
      <c r="G651" s="145">
        <v>121.94</v>
      </c>
      <c r="H651" s="145">
        <v>0</v>
      </c>
      <c r="I651" s="77">
        <f t="shared" si="13"/>
        <v>122.28</v>
      </c>
      <c r="J651" s="123" t="str">
        <f>IFERROR(VLOOKUP($C651,'CEDARS School FRPL'!C:H,4,FALSE),"No")</f>
        <v>Yes</v>
      </c>
      <c r="K651" s="109"/>
      <c r="L651" s="109"/>
      <c r="M651" s="110">
        <f>IFERROR(VLOOKUP($C651,'CEDARS School FRPL'!C:H,3,FALSE),0)</f>
        <v>0.70316666666666672</v>
      </c>
      <c r="N651" s="123" t="str">
        <f>IFERROR(VLOOKUP(C651,'CEDARS School FRPL'!C:H,6,FALSE),"No")</f>
        <v>No</v>
      </c>
      <c r="O651" s="147"/>
      <c r="P651" s="148"/>
    </row>
    <row r="652" spans="1:16">
      <c r="A652" s="95" t="s">
        <v>2349</v>
      </c>
      <c r="B652" s="95" t="s">
        <v>645</v>
      </c>
      <c r="C652" s="4">
        <v>5473</v>
      </c>
      <c r="D652" s="95" t="s">
        <v>2719</v>
      </c>
      <c r="E652" s="145">
        <v>504.23</v>
      </c>
      <c r="F652" s="145">
        <v>26.349999999999998</v>
      </c>
      <c r="G652" s="145">
        <v>0</v>
      </c>
      <c r="H652" s="145">
        <v>0</v>
      </c>
      <c r="I652" s="77">
        <f t="shared" si="13"/>
        <v>530.58000000000004</v>
      </c>
      <c r="J652" s="123" t="str">
        <f>IFERROR(VLOOKUP($C652,'CEDARS School FRPL'!C:H,4,FALSE),"No")</f>
        <v>Yes</v>
      </c>
      <c r="M652" s="110">
        <f>IFERROR(VLOOKUP($C652,'CEDARS School FRPL'!C:H,3,FALSE),0)</f>
        <v>0.64770000000000005</v>
      </c>
      <c r="N652" s="123" t="str">
        <f>IFERROR(VLOOKUP(C652,'CEDARS School FRPL'!C:H,6,FALSE),"No")</f>
        <v>No</v>
      </c>
      <c r="O652" s="147"/>
      <c r="P652" s="148"/>
    </row>
    <row r="653" spans="1:16">
      <c r="A653" s="95" t="s">
        <v>2533</v>
      </c>
      <c r="B653" s="95" t="s">
        <v>2088</v>
      </c>
      <c r="C653" s="4">
        <v>2263</v>
      </c>
      <c r="D653" s="95" t="s">
        <v>2089</v>
      </c>
      <c r="E653" s="145">
        <v>35.71</v>
      </c>
      <c r="F653" s="145">
        <v>0</v>
      </c>
      <c r="G653" s="145">
        <v>0</v>
      </c>
      <c r="H653" s="145">
        <v>0</v>
      </c>
      <c r="I653" s="77">
        <f t="shared" si="13"/>
        <v>35.71</v>
      </c>
      <c r="J653" s="123" t="str">
        <f>IFERROR(VLOOKUP($C653,'CEDARS School FRPL'!C:H,4,FALSE),"No")</f>
        <v>No</v>
      </c>
      <c r="K653" s="109"/>
      <c r="L653" s="109"/>
      <c r="M653" s="110">
        <f>IFERROR(VLOOKUP($C653,'CEDARS School FRPL'!C:H,3,FALSE),0)</f>
        <v>0.34260000000000002</v>
      </c>
      <c r="N653" s="123" t="str">
        <f>IFERROR(VLOOKUP(C653,'CEDARS School FRPL'!C:H,6,FALSE),"No")</f>
        <v>No</v>
      </c>
      <c r="O653" s="147"/>
      <c r="P653" s="148"/>
    </row>
    <row r="654" spans="1:16">
      <c r="A654" s="95" t="s">
        <v>2533</v>
      </c>
      <c r="B654" s="95" t="s">
        <v>2088</v>
      </c>
      <c r="C654" s="4">
        <v>2458</v>
      </c>
      <c r="D654" s="95" t="s">
        <v>1728</v>
      </c>
      <c r="E654" s="145">
        <v>298.58</v>
      </c>
      <c r="F654" s="145">
        <v>0</v>
      </c>
      <c r="G654" s="145">
        <v>0</v>
      </c>
      <c r="H654" s="145">
        <v>0</v>
      </c>
      <c r="I654" s="77">
        <f t="shared" si="13"/>
        <v>298.58</v>
      </c>
      <c r="J654" s="123" t="str">
        <f>IFERROR(VLOOKUP($C654,'CEDARS School FRPL'!C:H,4,FALSE),"No")</f>
        <v>Yes</v>
      </c>
      <c r="K654" s="109"/>
      <c r="L654" s="109"/>
      <c r="M654" s="110">
        <f>IFERROR(VLOOKUP($C654,'CEDARS School FRPL'!C:H,3,FALSE),0)</f>
        <v>0.52036666666666664</v>
      </c>
      <c r="N654" s="123" t="str">
        <f>IFERROR(VLOOKUP(C654,'CEDARS School FRPL'!C:H,6,FALSE),"No")</f>
        <v>No</v>
      </c>
      <c r="O654" s="147"/>
      <c r="P654" s="148"/>
    </row>
    <row r="655" spans="1:16">
      <c r="A655" s="95" t="s">
        <v>2533</v>
      </c>
      <c r="B655" s="95" t="s">
        <v>2088</v>
      </c>
      <c r="C655" s="4">
        <v>2488</v>
      </c>
      <c r="D655" s="95" t="s">
        <v>2090</v>
      </c>
      <c r="E655" s="145">
        <v>1178.71</v>
      </c>
      <c r="F655" s="145">
        <v>105.24</v>
      </c>
      <c r="G655" s="145">
        <v>6.29</v>
      </c>
      <c r="H655" s="145">
        <v>0</v>
      </c>
      <c r="I655" s="77">
        <f t="shared" si="13"/>
        <v>1290.24</v>
      </c>
      <c r="J655" s="123" t="str">
        <f>IFERROR(VLOOKUP($C655,'CEDARS School FRPL'!C:H,4,FALSE),"No")</f>
        <v>No</v>
      </c>
      <c r="K655" s="109"/>
      <c r="L655" s="109"/>
      <c r="M655" s="110">
        <f>IFERROR(VLOOKUP($C655,'CEDARS School FRPL'!C:H,3,FALSE),0)</f>
        <v>0.42060000000000003</v>
      </c>
      <c r="N655" s="123" t="str">
        <f>IFERROR(VLOOKUP(C655,'CEDARS School FRPL'!C:H,6,FALSE),"No")</f>
        <v>No</v>
      </c>
      <c r="O655" s="147"/>
      <c r="P655" s="148"/>
    </row>
    <row r="656" spans="1:16">
      <c r="A656" s="95" t="s">
        <v>2533</v>
      </c>
      <c r="B656" s="95" t="s">
        <v>2088</v>
      </c>
      <c r="C656" s="4">
        <v>2607</v>
      </c>
      <c r="D656" s="95" t="s">
        <v>2091</v>
      </c>
      <c r="E656" s="145">
        <v>306.14</v>
      </c>
      <c r="F656" s="145">
        <v>0</v>
      </c>
      <c r="G656" s="145">
        <v>0</v>
      </c>
      <c r="H656" s="145">
        <v>0</v>
      </c>
      <c r="I656" s="77">
        <f t="shared" si="13"/>
        <v>306.14</v>
      </c>
      <c r="J656" s="123" t="str">
        <f>IFERROR(VLOOKUP($C656,'CEDARS School FRPL'!C:H,4,FALSE),"No")</f>
        <v>No</v>
      </c>
      <c r="K656" s="109"/>
      <c r="L656" s="109"/>
      <c r="M656" s="110">
        <f>IFERROR(VLOOKUP($C656,'CEDARS School FRPL'!C:H,3,FALSE),0)</f>
        <v>0.44416666666666665</v>
      </c>
      <c r="N656" s="123" t="str">
        <f>IFERROR(VLOOKUP(C656,'CEDARS School FRPL'!C:H,6,FALSE),"No")</f>
        <v>No</v>
      </c>
      <c r="O656" s="147"/>
      <c r="P656" s="148"/>
    </row>
    <row r="657" spans="1:16">
      <c r="A657" s="95" t="s">
        <v>2533</v>
      </c>
      <c r="B657" s="95" t="s">
        <v>2088</v>
      </c>
      <c r="C657" s="4">
        <v>3762</v>
      </c>
      <c r="D657" s="95" t="s">
        <v>2092</v>
      </c>
      <c r="E657" s="145">
        <v>532.27</v>
      </c>
      <c r="F657" s="145">
        <v>0</v>
      </c>
      <c r="G657" s="145">
        <v>0</v>
      </c>
      <c r="H657" s="145">
        <v>0</v>
      </c>
      <c r="I657" s="77">
        <f t="shared" si="13"/>
        <v>532.27</v>
      </c>
      <c r="J657" s="123" t="str">
        <f>IFERROR(VLOOKUP($C657,'CEDARS School FRPL'!C:H,4,FALSE),"No")</f>
        <v>No</v>
      </c>
      <c r="K657" s="109"/>
      <c r="L657" s="109"/>
      <c r="M657" s="110">
        <f>IFERROR(VLOOKUP($C657,'CEDARS School FRPL'!C:H,3,FALSE),0)</f>
        <v>0.46126666666666666</v>
      </c>
      <c r="N657" s="123" t="str">
        <f>IFERROR(VLOOKUP(C657,'CEDARS School FRPL'!C:H,6,FALSE),"No")</f>
        <v>No</v>
      </c>
      <c r="O657" s="147"/>
      <c r="P657" s="148"/>
    </row>
    <row r="658" spans="1:16">
      <c r="A658" s="95" t="s">
        <v>2533</v>
      </c>
      <c r="B658" s="95" t="s">
        <v>2088</v>
      </c>
      <c r="C658" s="4">
        <v>4130</v>
      </c>
      <c r="D658" s="95" t="s">
        <v>2093</v>
      </c>
      <c r="E658" s="145">
        <v>413.14</v>
      </c>
      <c r="F658" s="145">
        <v>0</v>
      </c>
      <c r="G658" s="145">
        <v>0</v>
      </c>
      <c r="H658" s="145">
        <v>0</v>
      </c>
      <c r="I658" s="77">
        <f t="shared" si="13"/>
        <v>413.14</v>
      </c>
      <c r="J658" s="123" t="str">
        <f>IFERROR(VLOOKUP($C658,'CEDARS School FRPL'!C:H,4,FALSE),"No")</f>
        <v>No</v>
      </c>
      <c r="K658" s="109"/>
      <c r="L658" s="109"/>
      <c r="M658" s="110">
        <f>IFERROR(VLOOKUP($C658,'CEDARS School FRPL'!C:H,3,FALSE),0)</f>
        <v>0.45496666666666669</v>
      </c>
      <c r="N658" s="123" t="str">
        <f>IFERROR(VLOOKUP(C658,'CEDARS School FRPL'!C:H,6,FALSE),"No")</f>
        <v>No</v>
      </c>
      <c r="O658" s="147"/>
      <c r="P658" s="148"/>
    </row>
    <row r="659" spans="1:16">
      <c r="A659" s="95" t="s">
        <v>2533</v>
      </c>
      <c r="B659" s="95" t="s">
        <v>2088</v>
      </c>
      <c r="C659" s="4">
        <v>4482</v>
      </c>
      <c r="D659" s="95" t="s">
        <v>2094</v>
      </c>
      <c r="E659" s="145">
        <v>434.25</v>
      </c>
      <c r="F659" s="145">
        <v>0</v>
      </c>
      <c r="G659" s="145">
        <v>0</v>
      </c>
      <c r="H659" s="145">
        <v>0</v>
      </c>
      <c r="I659" s="77">
        <f t="shared" si="13"/>
        <v>434.25</v>
      </c>
      <c r="J659" s="123" t="str">
        <f>IFERROR(VLOOKUP($C659,'CEDARS School FRPL'!C:H,4,FALSE),"No")</f>
        <v>Yes</v>
      </c>
      <c r="K659" s="109"/>
      <c r="L659" s="109"/>
      <c r="M659" s="110">
        <f>IFERROR(VLOOKUP($C659,'CEDARS School FRPL'!C:H,3,FALSE),0)</f>
        <v>0.55346666666666666</v>
      </c>
      <c r="N659" s="123" t="str">
        <f>IFERROR(VLOOKUP(C659,'CEDARS School FRPL'!C:H,6,FALSE),"No")</f>
        <v>No</v>
      </c>
      <c r="O659" s="147"/>
      <c r="P659" s="148"/>
    </row>
    <row r="660" spans="1:16">
      <c r="A660" s="95" t="s">
        <v>2533</v>
      </c>
      <c r="B660" s="95" t="s">
        <v>2088</v>
      </c>
      <c r="C660" s="4">
        <v>4554</v>
      </c>
      <c r="D660" s="95" t="s">
        <v>1867</v>
      </c>
      <c r="E660" s="145">
        <v>441.71</v>
      </c>
      <c r="F660" s="145">
        <v>0</v>
      </c>
      <c r="G660" s="145">
        <v>0</v>
      </c>
      <c r="H660" s="145">
        <v>0</v>
      </c>
      <c r="I660" s="77">
        <f t="shared" si="13"/>
        <v>441.71</v>
      </c>
      <c r="J660" s="123" t="str">
        <f>IFERROR(VLOOKUP($C660,'CEDARS School FRPL'!C:H,4,FALSE),"No")</f>
        <v>Yes</v>
      </c>
      <c r="K660" s="109"/>
      <c r="L660" s="109"/>
      <c r="M660" s="110">
        <f>IFERROR(VLOOKUP($C660,'CEDARS School FRPL'!C:H,3,FALSE),0)</f>
        <v>0.51203333333333323</v>
      </c>
      <c r="N660" s="123" t="str">
        <f>IFERROR(VLOOKUP(C660,'CEDARS School FRPL'!C:H,6,FALSE),"No")</f>
        <v>No</v>
      </c>
      <c r="O660" s="147"/>
      <c r="P660" s="148"/>
    </row>
    <row r="661" spans="1:16">
      <c r="A661" s="95" t="s">
        <v>2533</v>
      </c>
      <c r="B661" s="95" t="s">
        <v>2088</v>
      </c>
      <c r="C661" s="4">
        <v>5207</v>
      </c>
      <c r="D661" s="95" t="s">
        <v>641</v>
      </c>
      <c r="E661" s="145">
        <v>397.63</v>
      </c>
      <c r="F661" s="145">
        <v>0</v>
      </c>
      <c r="G661" s="145">
        <v>0</v>
      </c>
      <c r="H661" s="145">
        <v>0</v>
      </c>
      <c r="I661" s="77">
        <f t="shared" si="13"/>
        <v>397.63</v>
      </c>
      <c r="J661" s="123" t="str">
        <f>IFERROR(VLOOKUP($C661,'CEDARS School FRPL'!C:H,4,FALSE),"No")</f>
        <v>Yes</v>
      </c>
      <c r="K661" s="109"/>
      <c r="L661" s="109"/>
      <c r="M661" s="110">
        <f>IFERROR(VLOOKUP($C661,'CEDARS School FRPL'!C:H,3,FALSE),0)</f>
        <v>0.50583333333333336</v>
      </c>
      <c r="N661" s="123" t="str">
        <f>IFERROR(VLOOKUP(C661,'CEDARS School FRPL'!C:H,6,FALSE),"No")</f>
        <v>No</v>
      </c>
      <c r="O661" s="147"/>
      <c r="P661" s="148"/>
    </row>
    <row r="662" spans="1:16">
      <c r="A662" s="95" t="s">
        <v>2533</v>
      </c>
      <c r="B662" s="95" t="s">
        <v>2088</v>
      </c>
      <c r="C662" s="4">
        <v>5464</v>
      </c>
      <c r="D662" s="95" t="s">
        <v>2095</v>
      </c>
      <c r="E662" s="145">
        <v>0</v>
      </c>
      <c r="F662" s="145">
        <v>0</v>
      </c>
      <c r="G662" s="145">
        <v>34.43</v>
      </c>
      <c r="H662" s="145">
        <v>0</v>
      </c>
      <c r="I662" s="77">
        <f t="shared" si="13"/>
        <v>34.43</v>
      </c>
      <c r="J662" s="123" t="str">
        <f>IFERROR(VLOOKUP($C662,'CEDARS School FRPL'!C:H,4,FALSE),"No")</f>
        <v>No</v>
      </c>
      <c r="K662" s="109"/>
      <c r="L662" s="109"/>
      <c r="M662" s="110">
        <f>IFERROR(VLOOKUP($C662,'CEDARS School FRPL'!C:H,3,FALSE),0)</f>
        <v>0.49036666666666667</v>
      </c>
      <c r="N662" s="123" t="str">
        <f>IFERROR(VLOOKUP(C662,'CEDARS School FRPL'!C:H,6,FALSE),"No")</f>
        <v>No</v>
      </c>
      <c r="O662" s="147"/>
      <c r="P662" s="148"/>
    </row>
    <row r="663" spans="1:16">
      <c r="A663" s="95" t="s">
        <v>2533</v>
      </c>
      <c r="B663" s="95" t="s">
        <v>2088</v>
      </c>
      <c r="C663" s="4">
        <v>5579</v>
      </c>
      <c r="D663" s="95" t="s">
        <v>2838</v>
      </c>
      <c r="E663" s="145">
        <v>105.7</v>
      </c>
      <c r="F663" s="145">
        <v>2.19</v>
      </c>
      <c r="G663" s="145">
        <v>0</v>
      </c>
      <c r="H663" s="145">
        <v>0</v>
      </c>
      <c r="I663" s="77">
        <f t="shared" si="13"/>
        <v>107.89</v>
      </c>
      <c r="J663" s="123" t="str">
        <f>IFERROR(VLOOKUP($C663,'CEDARS School FRPL'!C:H,4,FALSE),"No")</f>
        <v>No</v>
      </c>
      <c r="K663" s="109"/>
      <c r="L663" s="109"/>
      <c r="M663" s="110">
        <f>IFERROR(VLOOKUP($C663,'CEDARS School FRPL'!C:H,3,FALSE),0)</f>
        <v>0.42895</v>
      </c>
      <c r="N663" s="123" t="str">
        <f>IFERROR(VLOOKUP(C663,'CEDARS School FRPL'!C:H,6,FALSE),"No")</f>
        <v>Yes</v>
      </c>
      <c r="O663" s="147"/>
      <c r="P663" s="148"/>
    </row>
    <row r="664" spans="1:16">
      <c r="A664" s="95" t="s">
        <v>2533</v>
      </c>
      <c r="B664" s="95" t="s">
        <v>2088</v>
      </c>
      <c r="C664" s="4">
        <v>5655</v>
      </c>
      <c r="D664" s="95" t="s">
        <v>2970</v>
      </c>
      <c r="E664" s="145">
        <v>81.430000000000007</v>
      </c>
      <c r="F664" s="145">
        <v>0</v>
      </c>
      <c r="G664" s="145">
        <v>0</v>
      </c>
      <c r="H664" s="145">
        <v>0</v>
      </c>
      <c r="I664" s="77">
        <f t="shared" si="13"/>
        <v>81.430000000000007</v>
      </c>
      <c r="J664" s="123" t="str">
        <f>IFERROR(VLOOKUP($C664,'CEDARS School FRPL'!C:H,4,FALSE),"No")</f>
        <v>No</v>
      </c>
      <c r="K664" s="109"/>
      <c r="L664" s="109"/>
      <c r="M664" s="110">
        <f>IFERROR(VLOOKUP($C664,'CEDARS School FRPL'!C:H,3,FALSE),0)</f>
        <v>0.42470000000000002</v>
      </c>
      <c r="N664" s="123" t="str">
        <f>IFERROR(VLOOKUP(C664,'CEDARS School FRPL'!C:H,6,FALSE),"No")</f>
        <v>No</v>
      </c>
      <c r="O664" s="147"/>
      <c r="P664" s="148"/>
    </row>
    <row r="665" spans="1:16">
      <c r="A665" s="95" t="s">
        <v>2452</v>
      </c>
      <c r="B665" s="95" t="s">
        <v>1516</v>
      </c>
      <c r="C665" s="4">
        <v>2773</v>
      </c>
      <c r="D665" s="95" t="s">
        <v>1517</v>
      </c>
      <c r="E665" s="145">
        <v>770.14</v>
      </c>
      <c r="F665" s="145">
        <v>61.74</v>
      </c>
      <c r="G665" s="145">
        <v>19.14</v>
      </c>
      <c r="H665" s="145">
        <v>0</v>
      </c>
      <c r="I665" s="77">
        <f t="shared" si="13"/>
        <v>851.02</v>
      </c>
      <c r="J665" s="123" t="str">
        <f>IFERROR(VLOOKUP($C665,'CEDARS School FRPL'!C:H,4,FALSE),"No")</f>
        <v>No</v>
      </c>
      <c r="K665" s="109"/>
      <c r="L665" s="109"/>
      <c r="M665" s="110">
        <f>IFERROR(VLOOKUP($C665,'CEDARS School FRPL'!C:H,3,FALSE),0)</f>
        <v>0.42066666666666669</v>
      </c>
      <c r="N665" s="123" t="str">
        <f>IFERROR(VLOOKUP(C665,'CEDARS School FRPL'!C:H,6,FALSE),"No")</f>
        <v>No</v>
      </c>
      <c r="O665" s="147"/>
      <c r="P665" s="148"/>
    </row>
    <row r="666" spans="1:16">
      <c r="A666" s="95" t="s">
        <v>2452</v>
      </c>
      <c r="B666" s="95" t="s">
        <v>1516</v>
      </c>
      <c r="C666" s="4">
        <v>2878</v>
      </c>
      <c r="D666" s="95" t="s">
        <v>1518</v>
      </c>
      <c r="E666" s="145">
        <v>426.14</v>
      </c>
      <c r="F666" s="145">
        <v>0</v>
      </c>
      <c r="G666" s="145">
        <v>0</v>
      </c>
      <c r="H666" s="145">
        <v>0</v>
      </c>
      <c r="I666" s="77">
        <f t="shared" si="13"/>
        <v>426.14</v>
      </c>
      <c r="J666" s="123" t="str">
        <f>IFERROR(VLOOKUP($C666,'CEDARS School FRPL'!C:H,4,FALSE),"No")</f>
        <v>No</v>
      </c>
      <c r="K666" s="109"/>
      <c r="L666" s="109"/>
      <c r="M666" s="110">
        <f>IFERROR(VLOOKUP($C666,'CEDARS School FRPL'!C:H,3,FALSE),0)</f>
        <v>0.37736666666666663</v>
      </c>
      <c r="N666" s="123" t="str">
        <f>IFERROR(VLOOKUP(C666,'CEDARS School FRPL'!C:H,6,FALSE),"No")</f>
        <v>No</v>
      </c>
      <c r="O666" s="147"/>
      <c r="P666" s="148"/>
    </row>
    <row r="667" spans="1:16">
      <c r="A667" s="95" t="s">
        <v>2452</v>
      </c>
      <c r="B667" s="95" t="s">
        <v>1516</v>
      </c>
      <c r="C667" s="4">
        <v>3798</v>
      </c>
      <c r="D667" s="95" t="s">
        <v>1519</v>
      </c>
      <c r="E667" s="145">
        <v>588.03</v>
      </c>
      <c r="F667" s="145">
        <v>0</v>
      </c>
      <c r="G667" s="145">
        <v>0</v>
      </c>
      <c r="H667" s="145">
        <v>0</v>
      </c>
      <c r="I667" s="77">
        <f t="shared" si="13"/>
        <v>588.03</v>
      </c>
      <c r="J667" s="123" t="str">
        <f>IFERROR(VLOOKUP($C667,'CEDARS School FRPL'!C:H,4,FALSE),"No")</f>
        <v>No</v>
      </c>
      <c r="K667" s="109"/>
      <c r="L667" s="109"/>
      <c r="M667" s="110">
        <f>IFERROR(VLOOKUP($C667,'CEDARS School FRPL'!C:H,3,FALSE),0)</f>
        <v>0.47510000000000002</v>
      </c>
      <c r="N667" s="123" t="str">
        <f>IFERROR(VLOOKUP(C667,'CEDARS School FRPL'!C:H,6,FALSE),"No")</f>
        <v>No</v>
      </c>
      <c r="O667" s="147"/>
      <c r="P667" s="148"/>
    </row>
    <row r="668" spans="1:16">
      <c r="A668" s="95" t="s">
        <v>2452</v>
      </c>
      <c r="B668" s="95" t="s">
        <v>1516</v>
      </c>
      <c r="C668" s="4">
        <v>4557</v>
      </c>
      <c r="D668" s="95" t="s">
        <v>1520</v>
      </c>
      <c r="E668" s="145">
        <v>456.87</v>
      </c>
      <c r="F668" s="145">
        <v>0</v>
      </c>
      <c r="G668" s="145">
        <v>0</v>
      </c>
      <c r="H668" s="145">
        <v>0</v>
      </c>
      <c r="I668" s="77">
        <f t="shared" si="13"/>
        <v>456.87</v>
      </c>
      <c r="J668" s="123" t="str">
        <f>IFERROR(VLOOKUP($C668,'CEDARS School FRPL'!C:H,4,FALSE),"No")</f>
        <v>No</v>
      </c>
      <c r="K668" s="109"/>
      <c r="L668" s="109"/>
      <c r="M668" s="110">
        <f>IFERROR(VLOOKUP($C668,'CEDARS School FRPL'!C:H,3,FALSE),0)</f>
        <v>0.41749999999999998</v>
      </c>
      <c r="N668" s="123" t="str">
        <f>IFERROR(VLOOKUP(C668,'CEDARS School FRPL'!C:H,6,FALSE),"No")</f>
        <v>No</v>
      </c>
      <c r="O668" s="147"/>
      <c r="P668" s="148"/>
    </row>
    <row r="669" spans="1:16">
      <c r="A669" s="95" t="s">
        <v>2452</v>
      </c>
      <c r="B669" s="95" t="s">
        <v>1516</v>
      </c>
      <c r="C669" s="4">
        <v>4582</v>
      </c>
      <c r="D669" s="95" t="s">
        <v>1521</v>
      </c>
      <c r="E669" s="145">
        <v>568.72</v>
      </c>
      <c r="F669" s="145">
        <v>0</v>
      </c>
      <c r="G669" s="145">
        <v>0</v>
      </c>
      <c r="H669" s="145">
        <v>0</v>
      </c>
      <c r="I669" s="77">
        <f t="shared" si="13"/>
        <v>568.72</v>
      </c>
      <c r="J669" s="123" t="str">
        <f>IFERROR(VLOOKUP($C669,'CEDARS School FRPL'!C:H,4,FALSE),"No")</f>
        <v>No</v>
      </c>
      <c r="K669" s="109"/>
      <c r="L669" s="109"/>
      <c r="M669" s="110">
        <f>IFERROR(VLOOKUP($C669,'CEDARS School FRPL'!C:H,3,FALSE),0)</f>
        <v>0.47033333333333333</v>
      </c>
      <c r="N669" s="123" t="str">
        <f>IFERROR(VLOOKUP(C669,'CEDARS School FRPL'!C:H,6,FALSE),"No")</f>
        <v>No</v>
      </c>
      <c r="O669" s="147"/>
      <c r="P669" s="148"/>
    </row>
    <row r="670" spans="1:16">
      <c r="A670" s="95" t="s">
        <v>2452</v>
      </c>
      <c r="B670" s="95" t="s">
        <v>1516</v>
      </c>
      <c r="C670" s="4">
        <v>5671</v>
      </c>
      <c r="D670" s="95" t="s">
        <v>3015</v>
      </c>
      <c r="E670" s="145">
        <v>815.57</v>
      </c>
      <c r="F670" s="145">
        <v>0</v>
      </c>
      <c r="G670" s="145">
        <v>0</v>
      </c>
      <c r="H670" s="145">
        <v>0</v>
      </c>
      <c r="I670" s="77">
        <f t="shared" si="13"/>
        <v>815.57</v>
      </c>
      <c r="J670" s="123" t="str">
        <f>IFERROR(VLOOKUP($C670,'CEDARS School FRPL'!C:H,4,FALSE),"No")</f>
        <v>No</v>
      </c>
      <c r="K670" s="109"/>
      <c r="L670" s="109"/>
      <c r="M670" s="110">
        <f>IFERROR(VLOOKUP($C670,'CEDARS School FRPL'!C:H,3,FALSE),0)</f>
        <v>0.46989999999999998</v>
      </c>
      <c r="N670" s="123" t="str">
        <f>IFERROR(VLOOKUP(C670,'CEDARS School FRPL'!C:H,6,FALSE),"No")</f>
        <v>Yes</v>
      </c>
      <c r="O670" s="147"/>
      <c r="P670" s="148"/>
    </row>
    <row r="671" spans="1:16">
      <c r="A671" s="95" t="s">
        <v>2267</v>
      </c>
      <c r="B671" s="95" t="s">
        <v>67</v>
      </c>
      <c r="C671" s="4">
        <v>2367</v>
      </c>
      <c r="D671" s="95" t="s">
        <v>68</v>
      </c>
      <c r="E671" s="145">
        <v>255.77</v>
      </c>
      <c r="F671" s="145">
        <v>13.49</v>
      </c>
      <c r="G671" s="145">
        <v>0</v>
      </c>
      <c r="H671" s="145">
        <v>0</v>
      </c>
      <c r="I671" s="77">
        <f t="shared" si="13"/>
        <v>269.26</v>
      </c>
      <c r="J671" s="123" t="str">
        <f>IFERROR(VLOOKUP($C671,'CEDARS School FRPL'!C:H,4,FALSE),"No")</f>
        <v>Yes</v>
      </c>
      <c r="K671" s="109"/>
      <c r="L671" s="109"/>
      <c r="M671" s="110">
        <f>IFERROR(VLOOKUP($C671,'CEDARS School FRPL'!C:H,3,FALSE),0)</f>
        <v>0.72036666666666671</v>
      </c>
      <c r="N671" s="123" t="str">
        <f>IFERROR(VLOOKUP(C671,'CEDARS School FRPL'!C:H,6,FALSE),"No")</f>
        <v>No</v>
      </c>
      <c r="O671" s="147"/>
      <c r="P671" s="148"/>
    </row>
    <row r="672" spans="1:16">
      <c r="A672" s="95" t="s">
        <v>2267</v>
      </c>
      <c r="B672" s="95" t="s">
        <v>67</v>
      </c>
      <c r="C672" s="4">
        <v>3078</v>
      </c>
      <c r="D672" s="95" t="s">
        <v>69</v>
      </c>
      <c r="E672" s="145">
        <v>347.17</v>
      </c>
      <c r="F672" s="145">
        <v>0</v>
      </c>
      <c r="G672" s="145">
        <v>0</v>
      </c>
      <c r="H672" s="145">
        <v>0</v>
      </c>
      <c r="I672" s="77">
        <f t="shared" si="13"/>
        <v>347.17</v>
      </c>
      <c r="J672" s="123" t="str">
        <f>IFERROR(VLOOKUP($C672,'CEDARS School FRPL'!C:H,4,FALSE),"No")</f>
        <v>Yes</v>
      </c>
      <c r="K672" s="109"/>
      <c r="L672" s="109"/>
      <c r="M672" s="110">
        <f>IFERROR(VLOOKUP($C672,'CEDARS School FRPL'!C:H,3,FALSE),0)</f>
        <v>0.76043333333333329</v>
      </c>
      <c r="N672" s="123" t="str">
        <f>IFERROR(VLOOKUP(C672,'CEDARS School FRPL'!C:H,6,FALSE),"No")</f>
        <v>No</v>
      </c>
      <c r="O672" s="147"/>
      <c r="P672" s="148"/>
    </row>
    <row r="673" spans="1:16">
      <c r="A673" s="95" t="s">
        <v>2267</v>
      </c>
      <c r="B673" s="95" t="s">
        <v>67</v>
      </c>
      <c r="C673" s="4">
        <v>4031</v>
      </c>
      <c r="D673" s="95" t="s">
        <v>70</v>
      </c>
      <c r="E673" s="145">
        <v>227.24</v>
      </c>
      <c r="F673" s="145">
        <v>0</v>
      </c>
      <c r="G673" s="145">
        <v>0</v>
      </c>
      <c r="H673" s="145">
        <v>0</v>
      </c>
      <c r="I673" s="77">
        <f t="shared" si="13"/>
        <v>227.24</v>
      </c>
      <c r="J673" s="123" t="str">
        <f>IFERROR(VLOOKUP($C673,'CEDARS School FRPL'!C:H,4,FALSE),"No")</f>
        <v>Yes</v>
      </c>
      <c r="K673" s="109"/>
      <c r="L673" s="109"/>
      <c r="M673" s="110">
        <f>IFERROR(VLOOKUP($C673,'CEDARS School FRPL'!C:H,3,FALSE),0)</f>
        <v>0.79793333333333327</v>
      </c>
      <c r="N673" s="123" t="str">
        <f>IFERROR(VLOOKUP(C673,'CEDARS School FRPL'!C:H,6,FALSE),"No")</f>
        <v>No</v>
      </c>
      <c r="O673" s="147"/>
      <c r="P673" s="148"/>
    </row>
    <row r="674" spans="1:16">
      <c r="A674" s="95" t="s">
        <v>2448</v>
      </c>
      <c r="B674" s="95" t="s">
        <v>1459</v>
      </c>
      <c r="C674" s="4">
        <v>2257</v>
      </c>
      <c r="D674" s="95" t="s">
        <v>1460</v>
      </c>
      <c r="E674" s="145">
        <v>477.19</v>
      </c>
      <c r="F674" s="145">
        <v>0</v>
      </c>
      <c r="G674" s="145">
        <v>0</v>
      </c>
      <c r="H674" s="145">
        <v>0</v>
      </c>
      <c r="I674" s="77">
        <f t="shared" si="13"/>
        <v>477.19</v>
      </c>
      <c r="J674" s="123" t="str">
        <f>IFERROR(VLOOKUP($C674,'CEDARS School FRPL'!C:H,4,FALSE),"No")</f>
        <v>Yes</v>
      </c>
      <c r="K674" s="109"/>
      <c r="L674" s="109"/>
      <c r="M674" s="110">
        <f>IFERROR(VLOOKUP($C674,'CEDARS School FRPL'!C:H,3,FALSE),0)</f>
        <v>0.54086666666666661</v>
      </c>
      <c r="N674" s="123" t="str">
        <f>IFERROR(VLOOKUP(C674,'CEDARS School FRPL'!C:H,6,FALSE),"No")</f>
        <v>No</v>
      </c>
      <c r="O674" s="147"/>
      <c r="P674" s="148"/>
    </row>
    <row r="675" spans="1:16">
      <c r="A675" s="95" t="s">
        <v>2448</v>
      </c>
      <c r="B675" s="95" t="s">
        <v>1459</v>
      </c>
      <c r="C675" s="4">
        <v>2340</v>
      </c>
      <c r="D675" s="95" t="s">
        <v>1461</v>
      </c>
      <c r="E675" s="145">
        <v>495.29</v>
      </c>
      <c r="F675" s="145">
        <v>0</v>
      </c>
      <c r="G675" s="145">
        <v>0</v>
      </c>
      <c r="H675" s="145">
        <v>0</v>
      </c>
      <c r="I675" s="77">
        <f t="shared" si="13"/>
        <v>495.29</v>
      </c>
      <c r="J675" s="123" t="str">
        <f>IFERROR(VLOOKUP($C675,'CEDARS School FRPL'!C:H,4,FALSE),"No")</f>
        <v>Yes</v>
      </c>
      <c r="K675" s="109"/>
      <c r="L675" s="109"/>
      <c r="M675" s="110">
        <f>IFERROR(VLOOKUP($C675,'CEDARS School FRPL'!C:H,3,FALSE),0)</f>
        <v>0.72060000000000002</v>
      </c>
      <c r="N675" s="123" t="str">
        <f>IFERROR(VLOOKUP(C675,'CEDARS School FRPL'!C:H,6,FALSE),"No")</f>
        <v>No</v>
      </c>
      <c r="O675" s="147"/>
      <c r="P675" s="148"/>
    </row>
    <row r="676" spans="1:16">
      <c r="A676" s="95" t="s">
        <v>2448</v>
      </c>
      <c r="B676" s="95" t="s">
        <v>1459</v>
      </c>
      <c r="C676" s="4">
        <v>2398</v>
      </c>
      <c r="D676" s="95" t="s">
        <v>1462</v>
      </c>
      <c r="E676" s="145">
        <v>380.14</v>
      </c>
      <c r="F676" s="145">
        <v>0</v>
      </c>
      <c r="G676" s="145">
        <v>0</v>
      </c>
      <c r="H676" s="145">
        <v>0</v>
      </c>
      <c r="I676" s="77">
        <f t="shared" si="13"/>
        <v>380.14</v>
      </c>
      <c r="J676" s="123" t="str">
        <f>IFERROR(VLOOKUP($C676,'CEDARS School FRPL'!C:H,4,FALSE),"No")</f>
        <v>Yes</v>
      </c>
      <c r="K676" s="109"/>
      <c r="L676" s="109"/>
      <c r="M676" s="110">
        <f>IFERROR(VLOOKUP($C676,'CEDARS School FRPL'!C:H,3,FALSE),0)</f>
        <v>0.59376666666666666</v>
      </c>
      <c r="N676" s="123" t="str">
        <f>IFERROR(VLOOKUP(C676,'CEDARS School FRPL'!C:H,6,FALSE),"No")</f>
        <v>No</v>
      </c>
      <c r="O676" s="147"/>
      <c r="P676" s="148"/>
    </row>
    <row r="677" spans="1:16">
      <c r="A677" s="95" t="s">
        <v>2448</v>
      </c>
      <c r="B677" s="95" t="s">
        <v>1459</v>
      </c>
      <c r="C677" s="4">
        <v>2876</v>
      </c>
      <c r="D677" s="95" t="s">
        <v>1463</v>
      </c>
      <c r="E677" s="145">
        <v>1046.93</v>
      </c>
      <c r="F677" s="145">
        <v>85.11</v>
      </c>
      <c r="G677" s="145">
        <v>0</v>
      </c>
      <c r="H677" s="145">
        <v>0</v>
      </c>
      <c r="I677" s="77">
        <f t="shared" si="13"/>
        <v>1132.04</v>
      </c>
      <c r="J677" s="123" t="str">
        <f>IFERROR(VLOOKUP($C677,'CEDARS School FRPL'!C:H,4,FALSE),"No")</f>
        <v>Yes</v>
      </c>
      <c r="K677" s="109"/>
      <c r="L677" s="109"/>
      <c r="M677" s="110">
        <f>IFERROR(VLOOKUP($C677,'CEDARS School FRPL'!C:H,3,FALSE),0)</f>
        <v>0.63623333333333332</v>
      </c>
      <c r="N677" s="123" t="str">
        <f>IFERROR(VLOOKUP(C677,'CEDARS School FRPL'!C:H,6,FALSE),"No")</f>
        <v>No</v>
      </c>
      <c r="O677" s="147"/>
      <c r="P677" s="148"/>
    </row>
    <row r="678" spans="1:16">
      <c r="A678" s="95" t="s">
        <v>2448</v>
      </c>
      <c r="B678" s="95" t="s">
        <v>1459</v>
      </c>
      <c r="C678" s="4">
        <v>2945</v>
      </c>
      <c r="D678" s="95" t="s">
        <v>1464</v>
      </c>
      <c r="E678" s="145">
        <v>385</v>
      </c>
      <c r="F678" s="145">
        <v>0</v>
      </c>
      <c r="G678" s="145">
        <v>0</v>
      </c>
      <c r="H678" s="145">
        <v>0</v>
      </c>
      <c r="I678" s="77">
        <f t="shared" si="13"/>
        <v>385</v>
      </c>
      <c r="J678" s="123" t="str">
        <f>IFERROR(VLOOKUP($C678,'CEDARS School FRPL'!C:H,4,FALSE),"No")</f>
        <v>Yes</v>
      </c>
      <c r="K678" s="109"/>
      <c r="L678" s="109"/>
      <c r="M678" s="110">
        <f>IFERROR(VLOOKUP($C678,'CEDARS School FRPL'!C:H,3,FALSE),0)</f>
        <v>0.75700000000000001</v>
      </c>
      <c r="N678" s="123" t="str">
        <f>IFERROR(VLOOKUP(C678,'CEDARS School FRPL'!C:H,6,FALSE),"No")</f>
        <v>No</v>
      </c>
      <c r="O678" s="147"/>
      <c r="P678" s="148"/>
    </row>
    <row r="679" spans="1:16">
      <c r="A679" s="95" t="s">
        <v>2448</v>
      </c>
      <c r="B679" s="95" t="s">
        <v>1459</v>
      </c>
      <c r="C679" s="4">
        <v>3000</v>
      </c>
      <c r="D679" s="95" t="s">
        <v>1465</v>
      </c>
      <c r="E679" s="145">
        <v>409.86</v>
      </c>
      <c r="F679" s="145">
        <v>0</v>
      </c>
      <c r="G679" s="145">
        <v>0</v>
      </c>
      <c r="H679" s="145">
        <v>0</v>
      </c>
      <c r="I679" s="77">
        <f t="shared" si="13"/>
        <v>409.86</v>
      </c>
      <c r="J679" s="123" t="str">
        <f>IFERROR(VLOOKUP($C679,'CEDARS School FRPL'!C:H,4,FALSE),"No")</f>
        <v>Yes</v>
      </c>
      <c r="K679" s="109"/>
      <c r="L679" s="109"/>
      <c r="M679" s="110">
        <f>IFERROR(VLOOKUP($C679,'CEDARS School FRPL'!C:H,3,FALSE),0)</f>
        <v>0.73246666666666671</v>
      </c>
      <c r="N679" s="123" t="str">
        <f>IFERROR(VLOOKUP(C679,'CEDARS School FRPL'!C:H,6,FALSE),"No")</f>
        <v>No</v>
      </c>
      <c r="O679" s="147"/>
      <c r="P679" s="148"/>
    </row>
    <row r="680" spans="1:16">
      <c r="A680" s="95" t="s">
        <v>2448</v>
      </c>
      <c r="B680" s="95" t="s">
        <v>1459</v>
      </c>
      <c r="C680" s="4">
        <v>3180</v>
      </c>
      <c r="D680" s="95" t="s">
        <v>1466</v>
      </c>
      <c r="E680" s="145">
        <v>475.44</v>
      </c>
      <c r="F680" s="145">
        <v>0</v>
      </c>
      <c r="G680" s="145">
        <v>0</v>
      </c>
      <c r="H680" s="145">
        <v>0</v>
      </c>
      <c r="I680" s="77">
        <f t="shared" si="13"/>
        <v>475.44</v>
      </c>
      <c r="J680" s="123" t="str">
        <f>IFERROR(VLOOKUP($C680,'CEDARS School FRPL'!C:H,4,FALSE),"No")</f>
        <v>Yes</v>
      </c>
      <c r="K680" s="109"/>
      <c r="L680" s="109"/>
      <c r="M680" s="110">
        <f>IFERROR(VLOOKUP($C680,'CEDARS School FRPL'!C:H,3,FALSE),0)</f>
        <v>0.67653333333333343</v>
      </c>
      <c r="N680" s="123" t="str">
        <f>IFERROR(VLOOKUP(C680,'CEDARS School FRPL'!C:H,6,FALSE),"No")</f>
        <v>No</v>
      </c>
      <c r="O680" s="147"/>
      <c r="P680" s="148"/>
    </row>
    <row r="681" spans="1:16">
      <c r="A681" s="95" t="s">
        <v>2448</v>
      </c>
      <c r="B681" s="95" t="s">
        <v>1459</v>
      </c>
      <c r="C681" s="4">
        <v>3300</v>
      </c>
      <c r="D681" s="95" t="s">
        <v>1467</v>
      </c>
      <c r="E681" s="145">
        <v>938.16</v>
      </c>
      <c r="F681" s="145">
        <v>0</v>
      </c>
      <c r="G681" s="145">
        <v>0</v>
      </c>
      <c r="H681" s="145">
        <v>0</v>
      </c>
      <c r="I681" s="77">
        <f t="shared" si="13"/>
        <v>938.16</v>
      </c>
      <c r="J681" s="123" t="str">
        <f>IFERROR(VLOOKUP($C681,'CEDARS School FRPL'!C:H,4,FALSE),"No")</f>
        <v>Yes</v>
      </c>
      <c r="K681" s="109"/>
      <c r="L681" s="109"/>
      <c r="M681" s="110">
        <f>IFERROR(VLOOKUP($C681,'CEDARS School FRPL'!C:H,3,FALSE),0)</f>
        <v>0.67746666666666666</v>
      </c>
      <c r="N681" s="123" t="str">
        <f>IFERROR(VLOOKUP(C681,'CEDARS School FRPL'!C:H,6,FALSE),"No")</f>
        <v>No</v>
      </c>
      <c r="O681" s="147"/>
      <c r="P681" s="148"/>
    </row>
    <row r="682" spans="1:16">
      <c r="A682" s="95" t="s">
        <v>2448</v>
      </c>
      <c r="B682" s="95" t="s">
        <v>1459</v>
      </c>
      <c r="C682" s="4">
        <v>3301</v>
      </c>
      <c r="D682" s="95" t="s">
        <v>1468</v>
      </c>
      <c r="E682" s="145">
        <v>377.71</v>
      </c>
      <c r="F682" s="145">
        <v>0</v>
      </c>
      <c r="G682" s="145">
        <v>0</v>
      </c>
      <c r="H682" s="145">
        <v>0</v>
      </c>
      <c r="I682" s="77">
        <f t="shared" si="13"/>
        <v>377.71</v>
      </c>
      <c r="J682" s="123" t="str">
        <f>IFERROR(VLOOKUP($C682,'CEDARS School FRPL'!C:H,4,FALSE),"No")</f>
        <v>Yes</v>
      </c>
      <c r="K682" s="109"/>
      <c r="L682" s="109"/>
      <c r="M682" s="110">
        <f>IFERROR(VLOOKUP($C682,'CEDARS School FRPL'!C:H,3,FALSE),0)</f>
        <v>0.75620000000000009</v>
      </c>
      <c r="N682" s="123" t="str">
        <f>IFERROR(VLOOKUP(C682,'CEDARS School FRPL'!C:H,6,FALSE),"No")</f>
        <v>No</v>
      </c>
      <c r="O682" s="147"/>
      <c r="P682" s="148"/>
    </row>
    <row r="683" spans="1:16">
      <c r="A683" s="95" t="s">
        <v>2448</v>
      </c>
      <c r="B683" s="95" t="s">
        <v>1459</v>
      </c>
      <c r="C683" s="4">
        <v>3401</v>
      </c>
      <c r="D683" s="95" t="s">
        <v>1469</v>
      </c>
      <c r="E683" s="145">
        <v>784.25</v>
      </c>
      <c r="F683" s="145">
        <v>0</v>
      </c>
      <c r="G683" s="145">
        <v>0</v>
      </c>
      <c r="H683" s="145">
        <v>0</v>
      </c>
      <c r="I683" s="77">
        <f t="shared" si="13"/>
        <v>784.25</v>
      </c>
      <c r="J683" s="123" t="str">
        <f>IFERROR(VLOOKUP($C683,'CEDARS School FRPL'!C:H,4,FALSE),"No")</f>
        <v>Yes</v>
      </c>
      <c r="K683" s="107"/>
      <c r="L683" s="107"/>
      <c r="M683" s="110">
        <f>IFERROR(VLOOKUP($C683,'CEDARS School FRPL'!C:H,3,FALSE),0)</f>
        <v>0.74653333333333338</v>
      </c>
      <c r="N683" s="123" t="str">
        <f>IFERROR(VLOOKUP(C683,'CEDARS School FRPL'!C:H,6,FALSE),"No")</f>
        <v>No</v>
      </c>
      <c r="O683" s="147"/>
      <c r="P683" s="148"/>
    </row>
    <row r="684" spans="1:16">
      <c r="A684" s="95" t="s">
        <v>2448</v>
      </c>
      <c r="B684" s="95" t="s">
        <v>1459</v>
      </c>
      <c r="C684" s="4">
        <v>3532</v>
      </c>
      <c r="D684" s="95" t="s">
        <v>1470</v>
      </c>
      <c r="E684" s="145">
        <v>354</v>
      </c>
      <c r="F684" s="145">
        <v>0</v>
      </c>
      <c r="G684" s="145">
        <v>0</v>
      </c>
      <c r="H684" s="145">
        <v>0</v>
      </c>
      <c r="I684" s="77">
        <f t="shared" si="13"/>
        <v>354</v>
      </c>
      <c r="J684" s="123" t="str">
        <f>IFERROR(VLOOKUP($C684,'CEDARS School FRPL'!C:H,4,FALSE),"No")</f>
        <v>Yes</v>
      </c>
      <c r="K684" s="109"/>
      <c r="L684" s="109"/>
      <c r="M684" s="110">
        <f>IFERROR(VLOOKUP($C684,'CEDARS School FRPL'!C:H,3,FALSE),0)</f>
        <v>0.6694</v>
      </c>
      <c r="N684" s="123" t="str">
        <f>IFERROR(VLOOKUP(C684,'CEDARS School FRPL'!C:H,6,FALSE),"No")</f>
        <v>No</v>
      </c>
      <c r="O684" s="147"/>
      <c r="P684" s="148"/>
    </row>
    <row r="685" spans="1:16">
      <c r="A685" s="95" t="s">
        <v>2448</v>
      </c>
      <c r="B685" s="95" t="s">
        <v>1459</v>
      </c>
      <c r="C685" s="4">
        <v>3648</v>
      </c>
      <c r="D685" s="95" t="s">
        <v>1471</v>
      </c>
      <c r="E685" s="145">
        <v>922.39</v>
      </c>
      <c r="F685" s="145">
        <v>52.17</v>
      </c>
      <c r="G685" s="145">
        <v>0</v>
      </c>
      <c r="H685" s="145">
        <v>0</v>
      </c>
      <c r="I685" s="77">
        <f t="shared" si="13"/>
        <v>974.56</v>
      </c>
      <c r="J685" s="123" t="str">
        <f>IFERROR(VLOOKUP($C685,'CEDARS School FRPL'!C:H,4,FALSE),"No")</f>
        <v>Yes</v>
      </c>
      <c r="K685" s="109"/>
      <c r="L685" s="109"/>
      <c r="M685" s="110">
        <f>IFERROR(VLOOKUP($C685,'CEDARS School FRPL'!C:H,3,FALSE),0)</f>
        <v>0.6962666666666667</v>
      </c>
      <c r="N685" s="123" t="str">
        <f>IFERROR(VLOOKUP(C685,'CEDARS School FRPL'!C:H,6,FALSE),"No")</f>
        <v>No</v>
      </c>
      <c r="O685" s="147"/>
      <c r="P685" s="148"/>
    </row>
    <row r="686" spans="1:16">
      <c r="A686" s="95" t="s">
        <v>2448</v>
      </c>
      <c r="B686" s="95" t="s">
        <v>1459</v>
      </c>
      <c r="C686" s="4">
        <v>4063</v>
      </c>
      <c r="D686" s="95" t="s">
        <v>1472</v>
      </c>
      <c r="E686" s="145">
        <v>95.78</v>
      </c>
      <c r="F686" s="145">
        <v>2.33</v>
      </c>
      <c r="G686" s="145">
        <v>0</v>
      </c>
      <c r="H686" s="145">
        <v>0</v>
      </c>
      <c r="I686" s="77">
        <f t="shared" si="13"/>
        <v>98.11</v>
      </c>
      <c r="J686" s="123" t="str">
        <f>IFERROR(VLOOKUP($C686,'CEDARS School FRPL'!C:H,4,FALSE),"No")</f>
        <v>Yes</v>
      </c>
      <c r="K686" s="109"/>
      <c r="L686" s="107"/>
      <c r="M686" s="110">
        <f>IFERROR(VLOOKUP($C686,'CEDARS School FRPL'!C:H,3,FALSE),0)</f>
        <v>0.74003333333333332</v>
      </c>
      <c r="N686" s="123" t="str">
        <f>IFERROR(VLOOKUP(C686,'CEDARS School FRPL'!C:H,6,FALSE),"No")</f>
        <v>No</v>
      </c>
      <c r="O686" s="147"/>
      <c r="P686" s="148"/>
    </row>
    <row r="687" spans="1:16">
      <c r="A687" s="95" t="s">
        <v>2493</v>
      </c>
      <c r="B687" s="95" t="s">
        <v>1871</v>
      </c>
      <c r="C687" s="4">
        <v>3192</v>
      </c>
      <c r="D687" s="95" t="s">
        <v>1872</v>
      </c>
      <c r="E687" s="145">
        <v>273.82</v>
      </c>
      <c r="F687" s="145">
        <v>22.009999999999998</v>
      </c>
      <c r="G687" s="145">
        <v>1.1399999999999999</v>
      </c>
      <c r="H687" s="145">
        <v>0</v>
      </c>
      <c r="I687" s="77">
        <f t="shared" si="13"/>
        <v>296.96999999999997</v>
      </c>
      <c r="J687" s="123" t="str">
        <f>IFERROR(VLOOKUP($C687,'CEDARS School FRPL'!C:H,4,FALSE),"No")</f>
        <v>No</v>
      </c>
      <c r="K687" s="109"/>
      <c r="L687" s="109"/>
      <c r="M687" s="110">
        <f>IFERROR(VLOOKUP($C687,'CEDARS School FRPL'!C:H,3,FALSE),0)</f>
        <v>0.20646666666666666</v>
      </c>
      <c r="N687" s="123" t="str">
        <f>IFERROR(VLOOKUP(C687,'CEDARS School FRPL'!C:H,6,FALSE),"No")</f>
        <v>No</v>
      </c>
      <c r="O687" s="147"/>
      <c r="P687" s="148"/>
    </row>
    <row r="688" spans="1:16">
      <c r="A688" s="95" t="s">
        <v>2493</v>
      </c>
      <c r="B688" s="95" t="s">
        <v>1871</v>
      </c>
      <c r="C688" s="4">
        <v>3794</v>
      </c>
      <c r="D688" s="95" t="s">
        <v>1873</v>
      </c>
      <c r="E688" s="145">
        <v>338.2</v>
      </c>
      <c r="F688" s="145">
        <v>0</v>
      </c>
      <c r="G688" s="145">
        <v>0</v>
      </c>
      <c r="H688" s="145">
        <v>0</v>
      </c>
      <c r="I688" s="77">
        <f t="shared" si="13"/>
        <v>338.2</v>
      </c>
      <c r="J688" s="123" t="str">
        <f>IFERROR(VLOOKUP($C688,'CEDARS School FRPL'!C:H,4,FALSE),"No")</f>
        <v>No</v>
      </c>
      <c r="K688" s="109"/>
      <c r="L688" s="109"/>
      <c r="M688" s="110">
        <f>IFERROR(VLOOKUP($C688,'CEDARS School FRPL'!C:H,3,FALSE),0)</f>
        <v>0.22119999999999998</v>
      </c>
      <c r="N688" s="123" t="str">
        <f>IFERROR(VLOOKUP(C688,'CEDARS School FRPL'!C:H,6,FALSE),"No")</f>
        <v>No</v>
      </c>
      <c r="O688" s="147"/>
      <c r="P688" s="148"/>
    </row>
    <row r="689" spans="1:16">
      <c r="A689" s="95" t="s">
        <v>2493</v>
      </c>
      <c r="B689" s="95" t="s">
        <v>1871</v>
      </c>
      <c r="C689" s="4">
        <v>4593</v>
      </c>
      <c r="D689" s="95" t="s">
        <v>1874</v>
      </c>
      <c r="E689" s="145">
        <v>224.84</v>
      </c>
      <c r="F689" s="145">
        <v>0</v>
      </c>
      <c r="G689" s="145">
        <v>0</v>
      </c>
      <c r="H689" s="145">
        <v>0</v>
      </c>
      <c r="I689" s="77">
        <f t="shared" si="13"/>
        <v>224.84</v>
      </c>
      <c r="J689" s="123" t="str">
        <f>IFERROR(VLOOKUP($C689,'CEDARS School FRPL'!C:H,4,FALSE),"No")</f>
        <v>No</v>
      </c>
      <c r="K689" s="109"/>
      <c r="L689" s="109"/>
      <c r="M689" s="110">
        <f>IFERROR(VLOOKUP($C689,'CEDARS School FRPL'!C:H,3,FALSE),0)</f>
        <v>0.23696666666666666</v>
      </c>
      <c r="N689" s="123" t="str">
        <f>IFERROR(VLOOKUP(C689,'CEDARS School FRPL'!C:H,6,FALSE),"No")</f>
        <v>No</v>
      </c>
      <c r="O689" s="147"/>
      <c r="P689" s="148"/>
    </row>
    <row r="690" spans="1:16">
      <c r="A690" s="95" t="s">
        <v>2546</v>
      </c>
      <c r="B690" s="95" t="s">
        <v>2147</v>
      </c>
      <c r="C690" s="4">
        <v>1962</v>
      </c>
      <c r="D690" s="95" t="s">
        <v>2148</v>
      </c>
      <c r="E690" s="145">
        <v>22.26</v>
      </c>
      <c r="F690" s="145">
        <v>2.83</v>
      </c>
      <c r="G690" s="145">
        <v>0</v>
      </c>
      <c r="H690" s="145">
        <v>0</v>
      </c>
      <c r="I690" s="77">
        <f t="shared" si="13"/>
        <v>25.090000000000003</v>
      </c>
      <c r="J690" s="123" t="str">
        <f>IFERROR(VLOOKUP($C690,'CEDARS School FRPL'!C:H,4,FALSE),"No")</f>
        <v>No</v>
      </c>
      <c r="K690" s="109"/>
      <c r="L690" s="109"/>
      <c r="M690" s="110">
        <f>IFERROR(VLOOKUP($C690,'CEDARS School FRPL'!C:H,3,FALSE),0)</f>
        <v>0.42483333333333334</v>
      </c>
      <c r="N690" s="123" t="str">
        <f>IFERROR(VLOOKUP(C690,'CEDARS School FRPL'!C:H,6,FALSE),"No")</f>
        <v>No</v>
      </c>
      <c r="O690" s="147"/>
      <c r="P690" s="148"/>
    </row>
    <row r="691" spans="1:16">
      <c r="A691" s="95" t="s">
        <v>2546</v>
      </c>
      <c r="B691" s="95" t="s">
        <v>2147</v>
      </c>
      <c r="C691" s="4">
        <v>2895</v>
      </c>
      <c r="D691" s="95" t="s">
        <v>1812</v>
      </c>
      <c r="E691" s="145">
        <v>49.43</v>
      </c>
      <c r="F691" s="145">
        <v>0</v>
      </c>
      <c r="G691" s="145">
        <v>0</v>
      </c>
      <c r="H691" s="145">
        <v>0</v>
      </c>
      <c r="I691" s="77">
        <f t="shared" si="13"/>
        <v>49.43</v>
      </c>
      <c r="J691" s="123" t="str">
        <f>IFERROR(VLOOKUP($C691,'CEDARS School FRPL'!C:H,4,FALSE),"No")</f>
        <v>Yes</v>
      </c>
      <c r="K691" s="109"/>
      <c r="L691" s="109"/>
      <c r="M691" s="110">
        <f>IFERROR(VLOOKUP($C691,'CEDARS School FRPL'!C:H,3,FALSE),0)</f>
        <v>0.50206666666666666</v>
      </c>
      <c r="N691" s="123" t="str">
        <f>IFERROR(VLOOKUP(C691,'CEDARS School FRPL'!C:H,6,FALSE),"No")</f>
        <v>No</v>
      </c>
      <c r="O691" s="147"/>
      <c r="P691" s="148"/>
    </row>
    <row r="692" spans="1:16">
      <c r="A692" s="95" t="s">
        <v>2546</v>
      </c>
      <c r="B692" s="95" t="s">
        <v>2147</v>
      </c>
      <c r="C692" s="4">
        <v>2896</v>
      </c>
      <c r="D692" s="95" t="s">
        <v>2149</v>
      </c>
      <c r="E692" s="145">
        <v>31</v>
      </c>
      <c r="F692" s="145">
        <v>0</v>
      </c>
      <c r="G692" s="145">
        <v>0</v>
      </c>
      <c r="H692" s="145">
        <v>0</v>
      </c>
      <c r="I692" s="77">
        <f t="shared" si="13"/>
        <v>31</v>
      </c>
      <c r="J692" s="123" t="str">
        <f>IFERROR(VLOOKUP($C692,'CEDARS School FRPL'!C:H,4,FALSE),"No")</f>
        <v>No</v>
      </c>
      <c r="K692" s="109"/>
      <c r="L692" s="109"/>
      <c r="M692" s="110">
        <f>IFERROR(VLOOKUP($C692,'CEDARS School FRPL'!C:H,3,FALSE),0)</f>
        <v>0.49819999999999998</v>
      </c>
      <c r="N692" s="123" t="str">
        <f>IFERROR(VLOOKUP(C692,'CEDARS School FRPL'!C:H,6,FALSE),"No")</f>
        <v>Yes</v>
      </c>
      <c r="O692" s="147"/>
      <c r="P692" s="148"/>
    </row>
    <row r="693" spans="1:16">
      <c r="A693" s="95" t="s">
        <v>2387</v>
      </c>
      <c r="B693" s="95" t="s">
        <v>1113</v>
      </c>
      <c r="C693" s="4">
        <v>3047</v>
      </c>
      <c r="D693" s="95" t="s">
        <v>1114</v>
      </c>
      <c r="E693" s="145">
        <v>15.69</v>
      </c>
      <c r="F693" s="145">
        <v>0</v>
      </c>
      <c r="G693" s="145">
        <v>0</v>
      </c>
      <c r="H693" s="145">
        <v>0</v>
      </c>
      <c r="I693" s="77">
        <f t="shared" si="13"/>
        <v>15.69</v>
      </c>
      <c r="J693" s="123" t="str">
        <f>IFERROR(VLOOKUP($C693,'CEDARS School FRPL'!C:H,4,FALSE),"No")</f>
        <v>Yes</v>
      </c>
      <c r="K693" s="109"/>
      <c r="L693" s="109"/>
      <c r="M693" s="110">
        <f>IFERROR(VLOOKUP($C693,'CEDARS School FRPL'!C:H,3,FALSE),0)</f>
        <v>0.72223333333333339</v>
      </c>
      <c r="N693" s="123" t="str">
        <f>IFERROR(VLOOKUP(C693,'CEDARS School FRPL'!C:H,6,FALSE),"No")</f>
        <v>No</v>
      </c>
      <c r="O693" s="147"/>
      <c r="P693" s="148"/>
    </row>
    <row r="694" spans="1:16">
      <c r="A694" s="95" t="s">
        <v>2387</v>
      </c>
      <c r="B694" s="95" t="s">
        <v>1113</v>
      </c>
      <c r="C694" s="4">
        <v>3048</v>
      </c>
      <c r="D694" s="95" t="s">
        <v>1115</v>
      </c>
      <c r="E694" s="145">
        <v>35.57</v>
      </c>
      <c r="F694" s="145">
        <v>1</v>
      </c>
      <c r="G694" s="145">
        <v>0</v>
      </c>
      <c r="H694" s="145">
        <v>0</v>
      </c>
      <c r="I694" s="77">
        <f t="shared" si="13"/>
        <v>36.57</v>
      </c>
      <c r="J694" s="123" t="str">
        <f>IFERROR(VLOOKUP($C694,'CEDARS School FRPL'!C:H,4,FALSE),"No")</f>
        <v>No</v>
      </c>
      <c r="K694" s="109"/>
      <c r="L694" s="109"/>
      <c r="M694" s="110">
        <f>IFERROR(VLOOKUP($C694,'CEDARS School FRPL'!C:H,3,FALSE),0)</f>
        <v>0.45639999999999997</v>
      </c>
      <c r="N694" s="123" t="str">
        <f>IFERROR(VLOOKUP(C694,'CEDARS School FRPL'!C:H,6,FALSE),"No")</f>
        <v>No</v>
      </c>
      <c r="O694" s="147"/>
      <c r="P694" s="148"/>
    </row>
    <row r="695" spans="1:16">
      <c r="A695" s="95" t="s">
        <v>2390</v>
      </c>
      <c r="B695" s="95" t="s">
        <v>1119</v>
      </c>
      <c r="C695" s="4">
        <v>2677</v>
      </c>
      <c r="D695" s="95" t="s">
        <v>1120</v>
      </c>
      <c r="E695" s="145">
        <v>283.58</v>
      </c>
      <c r="F695" s="145">
        <v>0</v>
      </c>
      <c r="G695" s="145">
        <v>0</v>
      </c>
      <c r="H695" s="145">
        <v>0</v>
      </c>
      <c r="I695" s="77">
        <f t="shared" si="13"/>
        <v>283.58</v>
      </c>
      <c r="J695" s="123" t="str">
        <f>IFERROR(VLOOKUP($C695,'CEDARS School FRPL'!C:H,4,FALSE),"No")</f>
        <v>Yes</v>
      </c>
      <c r="K695" s="109"/>
      <c r="L695" s="109"/>
      <c r="M695" s="110">
        <f>IFERROR(VLOOKUP($C695,'CEDARS School FRPL'!C:H,3,FALSE),0)</f>
        <v>0.63063333333333338</v>
      </c>
      <c r="N695" s="123" t="str">
        <f>IFERROR(VLOOKUP(C695,'CEDARS School FRPL'!C:H,6,FALSE),"No")</f>
        <v>No</v>
      </c>
      <c r="O695" s="147"/>
      <c r="P695" s="148"/>
    </row>
    <row r="696" spans="1:16">
      <c r="A696" s="95" t="s">
        <v>2390</v>
      </c>
      <c r="B696" s="95" t="s">
        <v>1119</v>
      </c>
      <c r="C696" s="4">
        <v>2856</v>
      </c>
      <c r="D696" s="95" t="s">
        <v>1121</v>
      </c>
      <c r="E696" s="145">
        <v>310.07</v>
      </c>
      <c r="F696" s="145">
        <v>8.39</v>
      </c>
      <c r="G696" s="145">
        <v>0</v>
      </c>
      <c r="H696" s="145">
        <v>0</v>
      </c>
      <c r="I696" s="77">
        <f t="shared" si="13"/>
        <v>318.45999999999998</v>
      </c>
      <c r="J696" s="123" t="str">
        <f>IFERROR(VLOOKUP($C696,'CEDARS School FRPL'!C:H,4,FALSE),"No")</f>
        <v>No</v>
      </c>
      <c r="K696" s="109"/>
      <c r="L696" s="109"/>
      <c r="M696" s="110">
        <f>IFERROR(VLOOKUP($C696,'CEDARS School FRPL'!C:H,3,FALSE),0)</f>
        <v>0.49986666666666668</v>
      </c>
      <c r="N696" s="123" t="str">
        <f>IFERROR(VLOOKUP(C696,'CEDARS School FRPL'!C:H,6,FALSE),"No")</f>
        <v>No</v>
      </c>
      <c r="O696" s="147"/>
      <c r="P696" s="148"/>
    </row>
    <row r="697" spans="1:16">
      <c r="A697" s="95" t="s">
        <v>2390</v>
      </c>
      <c r="B697" s="95" t="s">
        <v>1119</v>
      </c>
      <c r="C697" s="4">
        <v>3393</v>
      </c>
      <c r="D697" s="95" t="s">
        <v>1122</v>
      </c>
      <c r="E697" s="145">
        <v>255.02</v>
      </c>
      <c r="F697" s="145">
        <v>0</v>
      </c>
      <c r="G697" s="145">
        <v>0</v>
      </c>
      <c r="H697" s="145">
        <v>0</v>
      </c>
      <c r="I697" s="77">
        <f t="shared" si="13"/>
        <v>255.02</v>
      </c>
      <c r="J697" s="123" t="str">
        <f>IFERROR(VLOOKUP($C697,'CEDARS School FRPL'!C:H,4,FALSE),"No")</f>
        <v>Yes</v>
      </c>
      <c r="K697" s="109"/>
      <c r="L697" s="109"/>
      <c r="M697" s="110">
        <f>IFERROR(VLOOKUP($C697,'CEDARS School FRPL'!C:H,3,FALSE),0)</f>
        <v>0.68080000000000007</v>
      </c>
      <c r="N697" s="123" t="str">
        <f>IFERROR(VLOOKUP(C697,'CEDARS School FRPL'!C:H,6,FALSE),"No")</f>
        <v>No</v>
      </c>
      <c r="O697" s="147"/>
      <c r="P697" s="148"/>
    </row>
    <row r="698" spans="1:16">
      <c r="A698" s="95" t="s">
        <v>2390</v>
      </c>
      <c r="B698" s="95" t="s">
        <v>1119</v>
      </c>
      <c r="C698" s="4">
        <v>5618</v>
      </c>
      <c r="D698" s="95" t="s">
        <v>2884</v>
      </c>
      <c r="E698" s="145">
        <v>1414.29</v>
      </c>
      <c r="F698" s="145">
        <v>0</v>
      </c>
      <c r="G698" s="145">
        <v>0</v>
      </c>
      <c r="H698" s="145">
        <v>0</v>
      </c>
      <c r="I698" s="77">
        <f t="shared" si="13"/>
        <v>1414.29</v>
      </c>
      <c r="J698" s="123" t="str">
        <f>IFERROR(VLOOKUP($C698,'CEDARS School FRPL'!C:H,4,FALSE),"No")</f>
        <v>No</v>
      </c>
      <c r="K698" s="109"/>
      <c r="L698" s="109"/>
      <c r="M698" s="110">
        <f>IFERROR(VLOOKUP($C698,'CEDARS School FRPL'!C:H,3,FALSE),0)</f>
        <v>0.34914999999999996</v>
      </c>
      <c r="N698" s="123" t="str">
        <f>IFERROR(VLOOKUP(C698,'CEDARS School FRPL'!C:H,6,FALSE),"No")</f>
        <v>No</v>
      </c>
      <c r="O698" s="147"/>
      <c r="P698" s="148"/>
    </row>
    <row r="699" spans="1:16">
      <c r="A699" s="95" t="s">
        <v>2326</v>
      </c>
      <c r="B699" s="95" t="s">
        <v>462</v>
      </c>
      <c r="C699" s="4">
        <v>2801</v>
      </c>
      <c r="D699" s="95" t="s">
        <v>463</v>
      </c>
      <c r="E699" s="145">
        <v>332.28</v>
      </c>
      <c r="F699" s="145">
        <v>12.59</v>
      </c>
      <c r="G699" s="145">
        <v>0</v>
      </c>
      <c r="H699" s="145">
        <v>0</v>
      </c>
      <c r="I699" s="77">
        <f t="shared" si="13"/>
        <v>344.86999999999995</v>
      </c>
      <c r="J699" s="123" t="str">
        <f>IFERROR(VLOOKUP($C699,'CEDARS School FRPL'!C:H,4,FALSE),"No")</f>
        <v>Yes</v>
      </c>
      <c r="K699" s="109"/>
      <c r="L699" s="109"/>
      <c r="M699" s="110">
        <f>IFERROR(VLOOKUP($C699,'CEDARS School FRPL'!C:H,3,FALSE),0)</f>
        <v>0.7228</v>
      </c>
      <c r="N699" s="123" t="str">
        <f>IFERROR(VLOOKUP(C699,'CEDARS School FRPL'!C:H,6,FALSE),"No")</f>
        <v>No</v>
      </c>
      <c r="O699" s="147"/>
      <c r="P699" s="148"/>
    </row>
    <row r="700" spans="1:16">
      <c r="A700" s="95" t="s">
        <v>2326</v>
      </c>
      <c r="B700" s="95" t="s">
        <v>462</v>
      </c>
      <c r="C700" s="4">
        <v>2802</v>
      </c>
      <c r="D700" s="95" t="s">
        <v>464</v>
      </c>
      <c r="E700" s="145">
        <v>339.54</v>
      </c>
      <c r="F700" s="145">
        <v>0</v>
      </c>
      <c r="G700" s="145">
        <v>0</v>
      </c>
      <c r="H700" s="145">
        <v>0</v>
      </c>
      <c r="I700" s="77">
        <f t="shared" si="13"/>
        <v>339.54</v>
      </c>
      <c r="J700" s="123" t="str">
        <f>IFERROR(VLOOKUP($C700,'CEDARS School FRPL'!C:H,4,FALSE),"No")</f>
        <v>Yes</v>
      </c>
      <c r="K700" s="109"/>
      <c r="L700" s="109"/>
      <c r="M700" s="110">
        <f>IFERROR(VLOOKUP($C700,'CEDARS School FRPL'!C:H,3,FALSE),0)</f>
        <v>0.70196666666666674</v>
      </c>
      <c r="N700" s="123" t="str">
        <f>IFERROR(VLOOKUP(C700,'CEDARS School FRPL'!C:H,6,FALSE),"No")</f>
        <v>No</v>
      </c>
      <c r="O700" s="147"/>
      <c r="P700" s="148"/>
    </row>
    <row r="701" spans="1:16">
      <c r="A701" s="95" t="s">
        <v>2326</v>
      </c>
      <c r="B701" s="95" t="s">
        <v>462</v>
      </c>
      <c r="C701" s="4">
        <v>5336</v>
      </c>
      <c r="D701" s="95" t="s">
        <v>2801</v>
      </c>
      <c r="E701" s="145">
        <v>33.409999999999997</v>
      </c>
      <c r="F701" s="145">
        <v>0</v>
      </c>
      <c r="G701" s="145">
        <v>0</v>
      </c>
      <c r="H701" s="145">
        <v>0</v>
      </c>
      <c r="I701" s="77">
        <f t="shared" si="13"/>
        <v>33.409999999999997</v>
      </c>
      <c r="J701" s="123" t="str">
        <f>IFERROR(VLOOKUP($C701,'CEDARS School FRPL'!C:H,4,FALSE),"No")</f>
        <v>Yes</v>
      </c>
      <c r="K701" s="109"/>
      <c r="L701" s="109"/>
      <c r="M701" s="110">
        <f>IFERROR(VLOOKUP($C701,'CEDARS School FRPL'!C:H,3,FALSE),0)</f>
        <v>0.79190000000000005</v>
      </c>
      <c r="N701" s="123" t="str">
        <f>IFERROR(VLOOKUP(C701,'CEDARS School FRPL'!C:H,6,FALSE),"No")</f>
        <v>No</v>
      </c>
      <c r="O701" s="147"/>
      <c r="P701" s="148"/>
    </row>
    <row r="702" spans="1:16">
      <c r="A702" s="95" t="s">
        <v>2559</v>
      </c>
      <c r="B702" s="95" t="s">
        <v>2204</v>
      </c>
      <c r="C702" s="4">
        <v>1776</v>
      </c>
      <c r="D702" s="95" t="s">
        <v>2205</v>
      </c>
      <c r="E702" s="145">
        <v>32.380000000000003</v>
      </c>
      <c r="F702" s="145">
        <v>0</v>
      </c>
      <c r="G702" s="145">
        <v>1.71</v>
      </c>
      <c r="H702" s="145">
        <v>0</v>
      </c>
      <c r="I702" s="77">
        <f t="shared" si="13"/>
        <v>34.090000000000003</v>
      </c>
      <c r="J702" s="123" t="str">
        <f>IFERROR(VLOOKUP($C702,'CEDARS School FRPL'!C:H,4,FALSE),"No")</f>
        <v>Yes</v>
      </c>
      <c r="K702" s="109"/>
      <c r="L702" s="109"/>
      <c r="M702" s="110">
        <f>IFERROR(VLOOKUP($C702,'CEDARS School FRPL'!C:H,3,FALSE),0)</f>
        <v>0.91389999999999993</v>
      </c>
      <c r="N702" s="123" t="str">
        <f>IFERROR(VLOOKUP(C702,'CEDARS School FRPL'!C:H,6,FALSE),"No")</f>
        <v>No</v>
      </c>
      <c r="O702" s="147"/>
      <c r="P702" s="148"/>
    </row>
    <row r="703" spans="1:16">
      <c r="A703" s="95" t="s">
        <v>2559</v>
      </c>
      <c r="B703" s="95" t="s">
        <v>2204</v>
      </c>
      <c r="C703" s="4">
        <v>2345</v>
      </c>
      <c r="D703" s="95" t="s">
        <v>2206</v>
      </c>
      <c r="E703" s="145">
        <v>520.14</v>
      </c>
      <c r="F703" s="145">
        <v>0</v>
      </c>
      <c r="G703" s="145">
        <v>0</v>
      </c>
      <c r="H703" s="145">
        <v>0</v>
      </c>
      <c r="I703" s="77">
        <f t="shared" si="13"/>
        <v>520.14</v>
      </c>
      <c r="J703" s="123" t="str">
        <f>IFERROR(VLOOKUP($C703,'CEDARS School FRPL'!C:H,4,FALSE),"No")</f>
        <v>Yes</v>
      </c>
      <c r="K703" s="109"/>
      <c r="L703" s="109"/>
      <c r="M703" s="110">
        <f>IFERROR(VLOOKUP($C703,'CEDARS School FRPL'!C:H,3,FALSE),0)</f>
        <v>0.89110000000000011</v>
      </c>
      <c r="N703" s="123" t="str">
        <f>IFERROR(VLOOKUP(C703,'CEDARS School FRPL'!C:H,6,FALSE),"No")</f>
        <v>No</v>
      </c>
      <c r="O703" s="147"/>
      <c r="P703" s="148"/>
    </row>
    <row r="704" spans="1:16">
      <c r="A704" s="95" t="s">
        <v>2559</v>
      </c>
      <c r="B704" s="95" t="s">
        <v>2204</v>
      </c>
      <c r="C704" s="4">
        <v>2555</v>
      </c>
      <c r="D704" s="95" t="s">
        <v>2207</v>
      </c>
      <c r="E704" s="145">
        <v>1026.23</v>
      </c>
      <c r="F704" s="145">
        <v>38.700000000000003</v>
      </c>
      <c r="G704" s="145">
        <v>0</v>
      </c>
      <c r="H704" s="145">
        <v>0</v>
      </c>
      <c r="I704" s="77">
        <f t="shared" si="13"/>
        <v>1064.93</v>
      </c>
      <c r="J704" s="123" t="str">
        <f>IFERROR(VLOOKUP($C704,'CEDARS School FRPL'!C:H,4,FALSE),"No")</f>
        <v>Yes</v>
      </c>
      <c r="K704" s="109"/>
      <c r="L704" s="109"/>
      <c r="M704" s="110">
        <f>IFERROR(VLOOKUP($C704,'CEDARS School FRPL'!C:H,3,FALSE),0)</f>
        <v>0.82566666666666666</v>
      </c>
      <c r="N704" s="123" t="str">
        <f>IFERROR(VLOOKUP(C704,'CEDARS School FRPL'!C:H,6,FALSE),"No")</f>
        <v>No</v>
      </c>
      <c r="O704" s="147"/>
      <c r="P704" s="148"/>
    </row>
    <row r="705" spans="1:16">
      <c r="A705" s="95" t="s">
        <v>2559</v>
      </c>
      <c r="B705" s="95" t="s">
        <v>2204</v>
      </c>
      <c r="C705" s="4">
        <v>2756</v>
      </c>
      <c r="D705" s="95" t="s">
        <v>2208</v>
      </c>
      <c r="E705" s="145">
        <v>508.44</v>
      </c>
      <c r="F705" s="145">
        <v>0</v>
      </c>
      <c r="G705" s="145">
        <v>0</v>
      </c>
      <c r="H705" s="145">
        <v>0</v>
      </c>
      <c r="I705" s="77">
        <f t="shared" si="13"/>
        <v>508.44</v>
      </c>
      <c r="J705" s="123" t="str">
        <f>IFERROR(VLOOKUP($C705,'CEDARS School FRPL'!C:H,4,FALSE),"No")</f>
        <v>Yes</v>
      </c>
      <c r="K705" s="109"/>
      <c r="L705" s="109"/>
      <c r="M705" s="110">
        <f>IFERROR(VLOOKUP($C705,'CEDARS School FRPL'!C:H,3,FALSE),0)</f>
        <v>0.82609999999999995</v>
      </c>
      <c r="N705" s="123" t="str">
        <f>IFERROR(VLOOKUP(C705,'CEDARS School FRPL'!C:H,6,FALSE),"No")</f>
        <v>No</v>
      </c>
      <c r="O705" s="147"/>
      <c r="P705" s="148"/>
    </row>
    <row r="706" spans="1:16">
      <c r="A706" s="95" t="s">
        <v>2559</v>
      </c>
      <c r="B706" s="95" t="s">
        <v>2204</v>
      </c>
      <c r="C706" s="4">
        <v>3013</v>
      </c>
      <c r="D706" s="95" t="s">
        <v>2209</v>
      </c>
      <c r="E706" s="145">
        <v>497.71</v>
      </c>
      <c r="F706" s="145">
        <v>0</v>
      </c>
      <c r="G706" s="145">
        <v>0</v>
      </c>
      <c r="H706" s="145">
        <v>0</v>
      </c>
      <c r="I706" s="77">
        <f t="shared" si="13"/>
        <v>497.71</v>
      </c>
      <c r="J706" s="123" t="str">
        <f>IFERROR(VLOOKUP($C706,'CEDARS School FRPL'!C:H,4,FALSE),"No")</f>
        <v>Yes</v>
      </c>
      <c r="K706" s="109"/>
      <c r="L706" s="109"/>
      <c r="M706" s="110">
        <f>IFERROR(VLOOKUP($C706,'CEDARS School FRPL'!C:H,3,FALSE),0)</f>
        <v>0.82566666666666666</v>
      </c>
      <c r="N706" s="123" t="str">
        <f>IFERROR(VLOOKUP(C706,'CEDARS School FRPL'!C:H,6,FALSE),"No")</f>
        <v>No</v>
      </c>
      <c r="O706" s="147"/>
      <c r="P706" s="148"/>
    </row>
    <row r="707" spans="1:16">
      <c r="A707" s="95" t="s">
        <v>2559</v>
      </c>
      <c r="B707" s="95" t="s">
        <v>2204</v>
      </c>
      <c r="C707" s="4">
        <v>3071</v>
      </c>
      <c r="D707" s="95" t="s">
        <v>2210</v>
      </c>
      <c r="E707" s="145">
        <v>864.34</v>
      </c>
      <c r="F707" s="145">
        <v>0</v>
      </c>
      <c r="G707" s="145">
        <v>0</v>
      </c>
      <c r="H707" s="145">
        <v>0</v>
      </c>
      <c r="I707" s="77">
        <f t="shared" si="13"/>
        <v>864.34</v>
      </c>
      <c r="J707" s="123" t="str">
        <f>IFERROR(VLOOKUP($C707,'CEDARS School FRPL'!C:H,4,FALSE),"No")</f>
        <v>Yes</v>
      </c>
      <c r="K707" s="109"/>
      <c r="L707" s="109"/>
      <c r="M707" s="110">
        <f>IFERROR(VLOOKUP($C707,'CEDARS School FRPL'!C:H,3,FALSE),0)</f>
        <v>0.84500000000000008</v>
      </c>
      <c r="N707" s="123" t="str">
        <f>IFERROR(VLOOKUP(C707,'CEDARS School FRPL'!C:H,6,FALSE),"No")</f>
        <v>No</v>
      </c>
      <c r="O707" s="147"/>
      <c r="P707" s="148"/>
    </row>
    <row r="708" spans="1:16">
      <c r="A708" s="95" t="s">
        <v>2559</v>
      </c>
      <c r="B708" s="95" t="s">
        <v>2204</v>
      </c>
      <c r="C708" s="4">
        <v>5399</v>
      </c>
      <c r="D708" s="95" t="s">
        <v>2211</v>
      </c>
      <c r="E708" s="145">
        <v>0</v>
      </c>
      <c r="F708" s="145">
        <v>0</v>
      </c>
      <c r="G708" s="145">
        <v>3.71</v>
      </c>
      <c r="H708" s="145">
        <v>0</v>
      </c>
      <c r="I708" s="77">
        <f t="shared" ref="I708:I771" si="14">+E708+F708+G708+H708</f>
        <v>3.71</v>
      </c>
      <c r="J708" s="123" t="str">
        <f>IFERROR(VLOOKUP($C708,'CEDARS School FRPL'!C:H,4,FALSE),"No")</f>
        <v>Yes</v>
      </c>
      <c r="K708" s="109"/>
      <c r="L708" s="109"/>
      <c r="M708" s="110">
        <f>IFERROR(VLOOKUP($C708,'CEDARS School FRPL'!C:H,3,FALSE),0)</f>
        <v>0.82179999999999997</v>
      </c>
      <c r="N708" s="123" t="str">
        <f>IFERROR(VLOOKUP(C708,'CEDARS School FRPL'!C:H,6,FALSE),"No")</f>
        <v>No</v>
      </c>
      <c r="O708" s="147"/>
      <c r="P708" s="148"/>
    </row>
    <row r="709" spans="1:16">
      <c r="A709" s="95" t="s">
        <v>2563</v>
      </c>
      <c r="B709" s="95" t="s">
        <v>2232</v>
      </c>
      <c r="C709" s="4">
        <v>2531</v>
      </c>
      <c r="D709" s="95" t="s">
        <v>2233</v>
      </c>
      <c r="E709" s="145">
        <v>466.57</v>
      </c>
      <c r="F709" s="145">
        <v>0</v>
      </c>
      <c r="G709" s="145">
        <v>0</v>
      </c>
      <c r="H709" s="145">
        <v>0</v>
      </c>
      <c r="I709" s="77">
        <f t="shared" si="14"/>
        <v>466.57</v>
      </c>
      <c r="J709" s="123" t="str">
        <f>IFERROR(VLOOKUP($C709,'CEDARS School FRPL'!C:H,4,FALSE),"No")</f>
        <v>Yes</v>
      </c>
      <c r="K709" s="109"/>
      <c r="L709" s="109"/>
      <c r="M709" s="110">
        <f>IFERROR(VLOOKUP($C709,'CEDARS School FRPL'!C:H,3,FALSE),0)</f>
        <v>0.91293333333333326</v>
      </c>
      <c r="N709" s="123" t="str">
        <f>IFERROR(VLOOKUP(C709,'CEDARS School FRPL'!C:H,6,FALSE),"No")</f>
        <v>No</v>
      </c>
      <c r="O709" s="147"/>
      <c r="P709" s="148"/>
    </row>
    <row r="710" spans="1:16">
      <c r="A710" s="95" t="s">
        <v>2563</v>
      </c>
      <c r="B710" s="95" t="s">
        <v>2232</v>
      </c>
      <c r="C710" s="4">
        <v>3314</v>
      </c>
      <c r="D710" s="95" t="s">
        <v>2234</v>
      </c>
      <c r="E710" s="145">
        <v>442.95</v>
      </c>
      <c r="F710" s="145">
        <v>19.55</v>
      </c>
      <c r="G710" s="145">
        <v>0</v>
      </c>
      <c r="H710" s="145">
        <v>0</v>
      </c>
      <c r="I710" s="77">
        <f t="shared" si="14"/>
        <v>462.5</v>
      </c>
      <c r="J710" s="123" t="str">
        <f>IFERROR(VLOOKUP($C710,'CEDARS School FRPL'!C:H,4,FALSE),"No")</f>
        <v>Yes</v>
      </c>
      <c r="K710" s="109"/>
      <c r="L710" s="109"/>
      <c r="M710" s="110">
        <f>IFERROR(VLOOKUP($C710,'CEDARS School FRPL'!C:H,3,FALSE),0)</f>
        <v>0.85403333333333331</v>
      </c>
      <c r="N710" s="123" t="str">
        <f>IFERROR(VLOOKUP(C710,'CEDARS School FRPL'!C:H,6,FALSE),"No")</f>
        <v>No</v>
      </c>
      <c r="O710" s="147"/>
      <c r="P710" s="148"/>
    </row>
    <row r="711" spans="1:16">
      <c r="A711" s="95" t="s">
        <v>2563</v>
      </c>
      <c r="B711" s="95" t="s">
        <v>2232</v>
      </c>
      <c r="C711" s="4">
        <v>4535</v>
      </c>
      <c r="D711" s="95" t="s">
        <v>1780</v>
      </c>
      <c r="E711" s="145">
        <v>523.69000000000005</v>
      </c>
      <c r="F711" s="145">
        <v>0</v>
      </c>
      <c r="G711" s="145">
        <v>0</v>
      </c>
      <c r="H711" s="145">
        <v>0</v>
      </c>
      <c r="I711" s="77">
        <f t="shared" si="14"/>
        <v>523.69000000000005</v>
      </c>
      <c r="J711" s="123" t="str">
        <f>IFERROR(VLOOKUP($C711,'CEDARS School FRPL'!C:H,4,FALSE),"No")</f>
        <v>Yes</v>
      </c>
      <c r="K711" s="109"/>
      <c r="L711" s="109"/>
      <c r="M711" s="110">
        <f>IFERROR(VLOOKUP($C711,'CEDARS School FRPL'!C:H,3,FALSE),0)</f>
        <v>0.88556666666666661</v>
      </c>
      <c r="N711" s="123" t="str">
        <f>IFERROR(VLOOKUP(C711,'CEDARS School FRPL'!C:H,6,FALSE),"No")</f>
        <v>No</v>
      </c>
      <c r="O711" s="147"/>
      <c r="P711" s="148"/>
    </row>
    <row r="712" spans="1:16">
      <c r="A712" s="95" t="s">
        <v>2484</v>
      </c>
      <c r="B712" s="95" t="s">
        <v>1754</v>
      </c>
      <c r="C712" s="4">
        <v>2580</v>
      </c>
      <c r="D712" s="95" t="s">
        <v>1755</v>
      </c>
      <c r="E712" s="145">
        <v>523.20000000000005</v>
      </c>
      <c r="F712" s="145">
        <v>11.12</v>
      </c>
      <c r="G712" s="145">
        <v>0</v>
      </c>
      <c r="H712" s="145">
        <v>0</v>
      </c>
      <c r="I712" s="77">
        <f t="shared" si="14"/>
        <v>534.32000000000005</v>
      </c>
      <c r="J712" s="123" t="str">
        <f>IFERROR(VLOOKUP($C712,'CEDARS School FRPL'!C:H,4,FALSE),"No")</f>
        <v>No</v>
      </c>
      <c r="K712" s="109"/>
      <c r="L712" s="109"/>
      <c r="M712" s="110">
        <f>IFERROR(VLOOKUP($C712,'CEDARS School FRPL'!C:H,3,FALSE),0)</f>
        <v>0.34620000000000001</v>
      </c>
      <c r="N712" s="123" t="str">
        <f>IFERROR(VLOOKUP(C712,'CEDARS School FRPL'!C:H,6,FALSE),"No")</f>
        <v>No</v>
      </c>
      <c r="O712" s="147"/>
      <c r="P712" s="148"/>
    </row>
    <row r="713" spans="1:16">
      <c r="A713" s="95" t="s">
        <v>2484</v>
      </c>
      <c r="B713" s="95" t="s">
        <v>1754</v>
      </c>
      <c r="C713" s="4">
        <v>4113</v>
      </c>
      <c r="D713" s="95" t="s">
        <v>1756</v>
      </c>
      <c r="E713" s="145">
        <v>502.1</v>
      </c>
      <c r="F713" s="145">
        <v>0</v>
      </c>
      <c r="G713" s="145">
        <v>0</v>
      </c>
      <c r="H713" s="145">
        <v>0</v>
      </c>
      <c r="I713" s="77">
        <f t="shared" si="14"/>
        <v>502.1</v>
      </c>
      <c r="J713" s="123" t="str">
        <f>IFERROR(VLOOKUP($C713,'CEDARS School FRPL'!C:H,4,FALSE),"No")</f>
        <v>No</v>
      </c>
      <c r="K713" s="107"/>
      <c r="L713" s="107"/>
      <c r="M713" s="110">
        <f>IFERROR(VLOOKUP($C713,'CEDARS School FRPL'!C:H,3,FALSE),0)</f>
        <v>0.43733333333333335</v>
      </c>
      <c r="N713" s="123" t="str">
        <f>IFERROR(VLOOKUP(C713,'CEDARS School FRPL'!C:H,6,FALSE),"No")</f>
        <v>No</v>
      </c>
      <c r="O713" s="147"/>
      <c r="P713" s="148"/>
    </row>
    <row r="714" spans="1:16">
      <c r="A714" s="95" t="s">
        <v>2484</v>
      </c>
      <c r="B714" s="95" t="s">
        <v>1754</v>
      </c>
      <c r="C714" s="4">
        <v>4330</v>
      </c>
      <c r="D714" s="95" t="s">
        <v>1757</v>
      </c>
      <c r="E714" s="145">
        <v>468</v>
      </c>
      <c r="F714" s="145">
        <v>0</v>
      </c>
      <c r="G714" s="145">
        <v>0</v>
      </c>
      <c r="H714" s="145">
        <v>0</v>
      </c>
      <c r="I714" s="77">
        <f t="shared" si="14"/>
        <v>468</v>
      </c>
      <c r="J714" s="123" t="str">
        <f>IFERROR(VLOOKUP($C714,'CEDARS School FRPL'!C:H,4,FALSE),"No")</f>
        <v>No</v>
      </c>
      <c r="K714" s="109"/>
      <c r="L714" s="109"/>
      <c r="M714" s="110">
        <f>IFERROR(VLOOKUP($C714,'CEDARS School FRPL'!C:H,3,FALSE),0)</f>
        <v>0.38286666666666669</v>
      </c>
      <c r="N714" s="123" t="str">
        <f>IFERROR(VLOOKUP(C714,'CEDARS School FRPL'!C:H,6,FALSE),"No")</f>
        <v>No</v>
      </c>
      <c r="O714" s="147"/>
      <c r="P714" s="148"/>
    </row>
    <row r="715" spans="1:16">
      <c r="A715" s="95" t="s">
        <v>2484</v>
      </c>
      <c r="B715" s="95" t="s">
        <v>1754</v>
      </c>
      <c r="C715" s="4">
        <v>4479</v>
      </c>
      <c r="D715" s="95" t="s">
        <v>1758</v>
      </c>
      <c r="E715" s="145">
        <v>422.25</v>
      </c>
      <c r="F715" s="145">
        <v>0</v>
      </c>
      <c r="G715" s="145">
        <v>0</v>
      </c>
      <c r="H715" s="145">
        <v>0</v>
      </c>
      <c r="I715" s="77">
        <f t="shared" si="14"/>
        <v>422.25</v>
      </c>
      <c r="J715" s="123" t="str">
        <f>IFERROR(VLOOKUP($C715,'CEDARS School FRPL'!C:H,4,FALSE),"No")</f>
        <v>No</v>
      </c>
      <c r="K715" s="109"/>
      <c r="L715" s="109"/>
      <c r="M715" s="110">
        <f>IFERROR(VLOOKUP($C715,'CEDARS School FRPL'!C:H,3,FALSE),0)</f>
        <v>0.41949999999999998</v>
      </c>
      <c r="N715" s="123" t="str">
        <f>IFERROR(VLOOKUP(C715,'CEDARS School FRPL'!C:H,6,FALSE),"No")</f>
        <v>No</v>
      </c>
      <c r="O715" s="147"/>
      <c r="P715" s="148"/>
    </row>
    <row r="716" spans="1:16">
      <c r="A716" s="95" t="s">
        <v>2484</v>
      </c>
      <c r="B716" s="95" t="s">
        <v>1754</v>
      </c>
      <c r="C716" s="4">
        <v>5171</v>
      </c>
      <c r="D716" s="95" t="s">
        <v>1759</v>
      </c>
      <c r="E716" s="145">
        <v>147.35</v>
      </c>
      <c r="F716" s="145">
        <v>0.74</v>
      </c>
      <c r="G716" s="145">
        <v>0</v>
      </c>
      <c r="H716" s="145">
        <v>0</v>
      </c>
      <c r="I716" s="77">
        <f t="shared" si="14"/>
        <v>148.09</v>
      </c>
      <c r="J716" s="123" t="str">
        <f>IFERROR(VLOOKUP($C716,'CEDARS School FRPL'!C:H,4,FALSE),"No")</f>
        <v>Yes</v>
      </c>
      <c r="K716" s="109"/>
      <c r="L716" s="109"/>
      <c r="M716" s="110">
        <f>IFERROR(VLOOKUP($C716,'CEDARS School FRPL'!C:H,3,FALSE),0)</f>
        <v>0.6331</v>
      </c>
      <c r="N716" s="123" t="str">
        <f>IFERROR(VLOOKUP(C716,'CEDARS School FRPL'!C:H,6,FALSE),"No")</f>
        <v>No</v>
      </c>
      <c r="O716" s="147"/>
      <c r="P716" s="148"/>
    </row>
    <row r="717" spans="1:16">
      <c r="A717" s="95" t="s">
        <v>2484</v>
      </c>
      <c r="B717" s="95" t="s">
        <v>1754</v>
      </c>
      <c r="C717" s="4">
        <v>5349</v>
      </c>
      <c r="D717" s="95" t="s">
        <v>1760</v>
      </c>
      <c r="E717" s="145">
        <v>50.86</v>
      </c>
      <c r="F717" s="145">
        <v>0</v>
      </c>
      <c r="G717" s="145">
        <v>50.86</v>
      </c>
      <c r="H717" s="145">
        <v>0</v>
      </c>
      <c r="I717" s="77">
        <f t="shared" si="14"/>
        <v>101.72</v>
      </c>
      <c r="J717" s="123" t="str">
        <f>IFERROR(VLOOKUP($C717,'CEDARS School FRPL'!C:H,4,FALSE),"No")</f>
        <v>Yes</v>
      </c>
      <c r="K717" s="109"/>
      <c r="L717" s="109"/>
      <c r="M717" s="110">
        <f>IFERROR(VLOOKUP($C717,'CEDARS School FRPL'!C:H,3,FALSE),0)</f>
        <v>0.68366666666666676</v>
      </c>
      <c r="N717" s="123" t="str">
        <f>IFERROR(VLOOKUP(C717,'CEDARS School FRPL'!C:H,6,FALSE),"No")</f>
        <v>No</v>
      </c>
      <c r="O717" s="147"/>
      <c r="P717" s="148"/>
    </row>
    <row r="718" spans="1:16">
      <c r="A718" s="95" t="s">
        <v>2415</v>
      </c>
      <c r="B718" s="95" t="s">
        <v>1206</v>
      </c>
      <c r="C718" s="4">
        <v>2145</v>
      </c>
      <c r="D718" s="95" t="s">
        <v>1207</v>
      </c>
      <c r="E718" s="145">
        <v>214.29</v>
      </c>
      <c r="F718" s="145">
        <v>0</v>
      </c>
      <c r="G718" s="145">
        <v>0</v>
      </c>
      <c r="H718" s="145">
        <v>0</v>
      </c>
      <c r="I718" s="77">
        <f t="shared" si="14"/>
        <v>214.29</v>
      </c>
      <c r="J718" s="123" t="str">
        <f>IFERROR(VLOOKUP($C718,'CEDARS School FRPL'!C:H,4,FALSE),"No")</f>
        <v>No</v>
      </c>
      <c r="K718" s="109"/>
      <c r="L718" s="109"/>
      <c r="M718" s="110">
        <f>IFERROR(VLOOKUP($C718,'CEDARS School FRPL'!C:H,3,FALSE),0)</f>
        <v>0.41409999999999997</v>
      </c>
      <c r="N718" s="123" t="str">
        <f>IFERROR(VLOOKUP(C718,'CEDARS School FRPL'!C:H,6,FALSE),"No")</f>
        <v>No</v>
      </c>
      <c r="O718" s="147"/>
      <c r="P718" s="148"/>
    </row>
    <row r="719" spans="1:16">
      <c r="A719" s="95" t="s">
        <v>2488</v>
      </c>
      <c r="B719" s="95" t="s">
        <v>1824</v>
      </c>
      <c r="C719" s="4">
        <v>2097</v>
      </c>
      <c r="D719" s="95" t="s">
        <v>1825</v>
      </c>
      <c r="E719" s="145">
        <v>28.14</v>
      </c>
      <c r="F719" s="145">
        <v>0</v>
      </c>
      <c r="G719" s="145">
        <v>0</v>
      </c>
      <c r="H719" s="145">
        <v>0</v>
      </c>
      <c r="I719" s="77">
        <f t="shared" si="14"/>
        <v>28.14</v>
      </c>
      <c r="J719" s="123" t="str">
        <f>IFERROR(VLOOKUP($C719,'CEDARS School FRPL'!C:H,4,FALSE),"No")</f>
        <v>No</v>
      </c>
      <c r="K719" s="109"/>
      <c r="L719" s="109"/>
      <c r="M719" s="110">
        <f>IFERROR(VLOOKUP($C719,'CEDARS School FRPL'!C:H,3,FALSE),0)</f>
        <v>0.23896666666666669</v>
      </c>
      <c r="N719" s="123" t="str">
        <f>IFERROR(VLOOKUP(C719,'CEDARS School FRPL'!C:H,6,FALSE),"No")</f>
        <v>No</v>
      </c>
      <c r="O719" s="147"/>
      <c r="P719" s="148"/>
    </row>
    <row r="720" spans="1:16">
      <c r="A720" s="95" t="s">
        <v>2286</v>
      </c>
      <c r="B720" s="95" t="s">
        <v>211</v>
      </c>
      <c r="C720" s="4">
        <v>2484</v>
      </c>
      <c r="D720" s="95" t="s">
        <v>212</v>
      </c>
      <c r="E720" s="145">
        <v>153.30000000000001</v>
      </c>
      <c r="F720" s="145">
        <v>0</v>
      </c>
      <c r="G720" s="145">
        <v>0</v>
      </c>
      <c r="H720" s="145">
        <v>0</v>
      </c>
      <c r="I720" s="77">
        <f t="shared" si="14"/>
        <v>153.30000000000001</v>
      </c>
      <c r="J720" s="123" t="str">
        <f>IFERROR(VLOOKUP($C720,'CEDARS School FRPL'!C:H,4,FALSE),"No")</f>
        <v>No</v>
      </c>
      <c r="K720" s="109"/>
      <c r="L720" s="109"/>
      <c r="M720" s="110">
        <f>IFERROR(VLOOKUP($C720,'CEDARS School FRPL'!C:H,3,FALSE),0)</f>
        <v>0.3842666666666667</v>
      </c>
      <c r="N720" s="123" t="str">
        <f>IFERROR(VLOOKUP(C720,'CEDARS School FRPL'!C:H,6,FALSE),"No")</f>
        <v>No</v>
      </c>
      <c r="O720" s="147"/>
      <c r="P720" s="148"/>
    </row>
    <row r="721" spans="1:16">
      <c r="A721" s="95" t="s">
        <v>2520</v>
      </c>
      <c r="B721" s="95" t="s">
        <v>2023</v>
      </c>
      <c r="C721" s="4">
        <v>2406</v>
      </c>
      <c r="D721" s="95" t="s">
        <v>2024</v>
      </c>
      <c r="E721" s="145">
        <v>603</v>
      </c>
      <c r="F721" s="145">
        <v>0</v>
      </c>
      <c r="G721" s="145">
        <v>0</v>
      </c>
      <c r="H721" s="145">
        <v>0</v>
      </c>
      <c r="I721" s="77">
        <f t="shared" si="14"/>
        <v>603</v>
      </c>
      <c r="J721" s="123" t="str">
        <f>IFERROR(VLOOKUP($C721,'CEDARS School FRPL'!C:H,4,FALSE),"No")</f>
        <v>No</v>
      </c>
      <c r="K721" s="109"/>
      <c r="L721" s="109"/>
      <c r="M721" s="110">
        <f>IFERROR(VLOOKUP($C721,'CEDARS School FRPL'!C:H,3,FALSE),0)</f>
        <v>0.16863333333333333</v>
      </c>
      <c r="N721" s="123" t="str">
        <f>IFERROR(VLOOKUP(C721,'CEDARS School FRPL'!C:H,6,FALSE),"No")</f>
        <v>No</v>
      </c>
      <c r="O721" s="147"/>
      <c r="P721" s="148"/>
    </row>
    <row r="722" spans="1:16">
      <c r="A722" s="95" t="s">
        <v>2412</v>
      </c>
      <c r="B722" s="95" t="s">
        <v>1198</v>
      </c>
      <c r="C722" s="4">
        <v>2743</v>
      </c>
      <c r="D722" s="95" t="s">
        <v>1199</v>
      </c>
      <c r="E722" s="145">
        <v>63.71</v>
      </c>
      <c r="F722" s="145">
        <v>0</v>
      </c>
      <c r="G722" s="145">
        <v>0</v>
      </c>
      <c r="H722" s="145">
        <v>0</v>
      </c>
      <c r="I722" s="77">
        <f t="shared" si="14"/>
        <v>63.71</v>
      </c>
      <c r="J722" s="123" t="str">
        <f>IFERROR(VLOOKUP($C722,'CEDARS School FRPL'!C:H,4,FALSE),"No")</f>
        <v>Yes</v>
      </c>
      <c r="K722" s="109"/>
      <c r="L722" s="109"/>
      <c r="M722" s="110">
        <f>IFERROR(VLOOKUP($C722,'CEDARS School FRPL'!C:H,3,FALSE),0)</f>
        <v>0.38410000000000005</v>
      </c>
      <c r="N722" s="123" t="str">
        <f>IFERROR(VLOOKUP(C722,'CEDARS School FRPL'!C:H,6,FALSE),"No")</f>
        <v>No</v>
      </c>
      <c r="O722" s="147"/>
      <c r="P722" s="148"/>
    </row>
    <row r="723" spans="1:16">
      <c r="A723" s="95" t="s">
        <v>2412</v>
      </c>
      <c r="B723" s="95" t="s">
        <v>1198</v>
      </c>
      <c r="C723" s="4">
        <v>3113</v>
      </c>
      <c r="D723" s="95" t="s">
        <v>1200</v>
      </c>
      <c r="E723" s="145">
        <v>47.13</v>
      </c>
      <c r="F723" s="145">
        <v>1</v>
      </c>
      <c r="G723" s="145">
        <v>0</v>
      </c>
      <c r="H723" s="145">
        <v>0</v>
      </c>
      <c r="I723" s="77">
        <f t="shared" si="14"/>
        <v>48.13</v>
      </c>
      <c r="J723" s="123" t="str">
        <f>IFERROR(VLOOKUP($C723,'CEDARS School FRPL'!C:H,4,FALSE),"No")</f>
        <v>Yes</v>
      </c>
      <c r="K723" s="109"/>
      <c r="L723" s="109"/>
      <c r="M723" s="110">
        <f>IFERROR(VLOOKUP($C723,'CEDARS School FRPL'!C:H,3,FALSE),0)</f>
        <v>0.44019999999999998</v>
      </c>
      <c r="N723" s="123" t="str">
        <f>IFERROR(VLOOKUP(C723,'CEDARS School FRPL'!C:H,6,FALSE),"No")</f>
        <v>No</v>
      </c>
      <c r="O723" s="147"/>
      <c r="P723" s="148"/>
    </row>
    <row r="724" spans="1:16">
      <c r="A724" s="95" t="s">
        <v>2562</v>
      </c>
      <c r="B724" s="95" t="s">
        <v>2227</v>
      </c>
      <c r="C724" s="4">
        <v>2718</v>
      </c>
      <c r="D724" s="95" t="s">
        <v>2228</v>
      </c>
      <c r="E724" s="145">
        <v>187.86</v>
      </c>
      <c r="F724" s="145">
        <v>0</v>
      </c>
      <c r="G724" s="145">
        <v>0</v>
      </c>
      <c r="H724" s="145">
        <v>0</v>
      </c>
      <c r="I724" s="77">
        <f t="shared" si="14"/>
        <v>187.86</v>
      </c>
      <c r="J724" s="123" t="str">
        <f>IFERROR(VLOOKUP($C724,'CEDARS School FRPL'!C:H,4,FALSE),"No")</f>
        <v>Yes</v>
      </c>
      <c r="K724" s="109"/>
      <c r="L724" s="109"/>
      <c r="M724" s="110">
        <f>IFERROR(VLOOKUP($C724,'CEDARS School FRPL'!C:H,3,FALSE),0)</f>
        <v>0.81333333333333335</v>
      </c>
      <c r="N724" s="123" t="str">
        <f>IFERROR(VLOOKUP(C724,'CEDARS School FRPL'!C:H,6,FALSE),"No")</f>
        <v>No</v>
      </c>
      <c r="O724" s="147"/>
      <c r="P724" s="148"/>
    </row>
    <row r="725" spans="1:16">
      <c r="A725" s="95" t="s">
        <v>2562</v>
      </c>
      <c r="B725" s="95" t="s">
        <v>2227</v>
      </c>
      <c r="C725" s="4">
        <v>3072</v>
      </c>
      <c r="D725" s="95" t="s">
        <v>2229</v>
      </c>
      <c r="E725" s="145">
        <v>260.43</v>
      </c>
      <c r="F725" s="145">
        <v>0</v>
      </c>
      <c r="G725" s="145">
        <v>0</v>
      </c>
      <c r="H725" s="145">
        <v>0</v>
      </c>
      <c r="I725" s="77">
        <f t="shared" si="14"/>
        <v>260.43</v>
      </c>
      <c r="J725" s="123" t="str">
        <f>IFERROR(VLOOKUP($C725,'CEDARS School FRPL'!C:H,4,FALSE),"No")</f>
        <v>Yes</v>
      </c>
      <c r="K725" s="109"/>
      <c r="L725" s="109"/>
      <c r="M725" s="110">
        <f>IFERROR(VLOOKUP($C725,'CEDARS School FRPL'!C:H,3,FALSE),0)</f>
        <v>0.75360000000000005</v>
      </c>
      <c r="N725" s="123" t="str">
        <f>IFERROR(VLOOKUP(C725,'CEDARS School FRPL'!C:H,6,FALSE),"No")</f>
        <v>No</v>
      </c>
      <c r="O725" s="147"/>
      <c r="P725" s="148"/>
    </row>
    <row r="726" spans="1:16">
      <c r="A726" s="95" t="s">
        <v>2562</v>
      </c>
      <c r="B726" s="95" t="s">
        <v>2227</v>
      </c>
      <c r="C726" s="4">
        <v>3073</v>
      </c>
      <c r="D726" s="95" t="s">
        <v>2230</v>
      </c>
      <c r="E726" s="145">
        <v>238.14</v>
      </c>
      <c r="F726" s="145">
        <v>0</v>
      </c>
      <c r="G726" s="145">
        <v>0</v>
      </c>
      <c r="H726" s="145">
        <v>0</v>
      </c>
      <c r="I726" s="77">
        <f t="shared" si="14"/>
        <v>238.14</v>
      </c>
      <c r="J726" s="123" t="str">
        <f>IFERROR(VLOOKUP($C726,'CEDARS School FRPL'!C:H,4,FALSE),"No")</f>
        <v>Yes</v>
      </c>
      <c r="K726" s="109"/>
      <c r="L726" s="109"/>
      <c r="M726" s="110">
        <f>IFERROR(VLOOKUP($C726,'CEDARS School FRPL'!C:H,3,FALSE),0)</f>
        <v>0.85553333333333326</v>
      </c>
      <c r="N726" s="123" t="str">
        <f>IFERROR(VLOOKUP(C726,'CEDARS School FRPL'!C:H,6,FALSE),"No")</f>
        <v>No</v>
      </c>
      <c r="O726" s="147"/>
      <c r="P726" s="148"/>
    </row>
    <row r="727" spans="1:16">
      <c r="A727" s="95" t="s">
        <v>2562</v>
      </c>
      <c r="B727" s="95" t="s">
        <v>2227</v>
      </c>
      <c r="C727" s="4">
        <v>4559</v>
      </c>
      <c r="D727" s="95" t="s">
        <v>2231</v>
      </c>
      <c r="E727" s="145">
        <v>329.36</v>
      </c>
      <c r="F727" s="145">
        <v>10.33</v>
      </c>
      <c r="G727" s="145">
        <v>6</v>
      </c>
      <c r="H727" s="145">
        <v>0</v>
      </c>
      <c r="I727" s="77">
        <f t="shared" si="14"/>
        <v>345.69</v>
      </c>
      <c r="J727" s="123" t="str">
        <f>IFERROR(VLOOKUP($C727,'CEDARS School FRPL'!C:H,4,FALSE),"No")</f>
        <v>Yes</v>
      </c>
      <c r="K727" s="109"/>
      <c r="L727" s="109"/>
      <c r="M727" s="110">
        <f>IFERROR(VLOOKUP($C727,'CEDARS School FRPL'!C:H,3,FALSE),0)</f>
        <v>0.81503333333333339</v>
      </c>
      <c r="N727" s="123" t="str">
        <f>IFERROR(VLOOKUP(C727,'CEDARS School FRPL'!C:H,6,FALSE),"No")</f>
        <v>No</v>
      </c>
      <c r="O727" s="147"/>
      <c r="P727" s="148"/>
    </row>
    <row r="728" spans="1:16">
      <c r="A728" s="95" t="s">
        <v>2352</v>
      </c>
      <c r="B728" s="95" t="s">
        <v>702</v>
      </c>
      <c r="C728" s="4">
        <v>1539</v>
      </c>
      <c r="D728" s="95" t="s">
        <v>703</v>
      </c>
      <c r="E728" s="145">
        <v>143.66</v>
      </c>
      <c r="F728" s="145">
        <v>25.290000000000003</v>
      </c>
      <c r="G728" s="145">
        <v>0</v>
      </c>
      <c r="H728" s="145">
        <v>0</v>
      </c>
      <c r="I728" s="77">
        <f t="shared" si="14"/>
        <v>168.95</v>
      </c>
      <c r="J728" s="123" t="str">
        <f>IFERROR(VLOOKUP($C728,'CEDARS School FRPL'!C:H,4,FALSE),"No")</f>
        <v>No</v>
      </c>
      <c r="K728" s="109"/>
      <c r="L728" s="109"/>
      <c r="M728" s="110">
        <f>IFERROR(VLOOKUP($C728,'CEDARS School FRPL'!C:H,3,FALSE),0)</f>
        <v>0.44103333333333339</v>
      </c>
      <c r="N728" s="123" t="str">
        <f>IFERROR(VLOOKUP(C728,'CEDARS School FRPL'!C:H,6,FALSE),"No")</f>
        <v>No</v>
      </c>
      <c r="O728" s="147"/>
      <c r="P728" s="148"/>
    </row>
    <row r="729" spans="1:16">
      <c r="A729" s="95" t="s">
        <v>2352</v>
      </c>
      <c r="B729" s="95" t="s">
        <v>702</v>
      </c>
      <c r="C729" s="4">
        <v>1972</v>
      </c>
      <c r="D729" s="95" t="s">
        <v>704</v>
      </c>
      <c r="E729" s="145">
        <v>109.84</v>
      </c>
      <c r="F729" s="145">
        <v>0.74</v>
      </c>
      <c r="G729" s="145">
        <v>0</v>
      </c>
      <c r="H729" s="145">
        <v>0</v>
      </c>
      <c r="I729" s="77">
        <f t="shared" si="14"/>
        <v>110.58</v>
      </c>
      <c r="J729" s="123" t="str">
        <f>IFERROR(VLOOKUP($C729,'CEDARS School FRPL'!C:H,4,FALSE),"No")</f>
        <v>Yes</v>
      </c>
      <c r="K729" s="109"/>
      <c r="L729" s="109"/>
      <c r="M729" s="110">
        <f>IFERROR(VLOOKUP($C729,'CEDARS School FRPL'!C:H,3,FALSE),0)</f>
        <v>0.78776666666666673</v>
      </c>
      <c r="N729" s="123" t="str">
        <f>IFERROR(VLOOKUP(C729,'CEDARS School FRPL'!C:H,6,FALSE),"No")</f>
        <v>No</v>
      </c>
      <c r="O729" s="147"/>
      <c r="P729" s="148"/>
    </row>
    <row r="730" spans="1:16">
      <c r="A730" s="95" t="s">
        <v>2352</v>
      </c>
      <c r="B730" s="95" t="s">
        <v>702</v>
      </c>
      <c r="C730" s="4">
        <v>1973</v>
      </c>
      <c r="D730" s="95" t="s">
        <v>2781</v>
      </c>
      <c r="E730" s="145">
        <v>66.42</v>
      </c>
      <c r="F730" s="145">
        <v>0</v>
      </c>
      <c r="G730" s="145">
        <v>0</v>
      </c>
      <c r="H730" s="145">
        <v>0</v>
      </c>
      <c r="I730" s="77">
        <f t="shared" si="14"/>
        <v>66.42</v>
      </c>
      <c r="J730" s="123" t="str">
        <f>IFERROR(VLOOKUP($C730,'CEDARS School FRPL'!C:H,4,FALSE),"No")</f>
        <v>No</v>
      </c>
      <c r="K730" s="109"/>
      <c r="L730" s="109"/>
      <c r="M730" s="110">
        <f>IFERROR(VLOOKUP($C730,'CEDARS School FRPL'!C:H,3,FALSE),0)</f>
        <v>0</v>
      </c>
      <c r="N730" s="123" t="str">
        <f>IFERROR(VLOOKUP(C730,'CEDARS School FRPL'!C:H,6,FALSE),"No")</f>
        <v>No</v>
      </c>
      <c r="O730" s="147"/>
      <c r="P730" s="148"/>
    </row>
    <row r="731" spans="1:16">
      <c r="A731" s="95" t="s">
        <v>2352</v>
      </c>
      <c r="B731" s="95" t="s">
        <v>702</v>
      </c>
      <c r="C731" s="4">
        <v>2144</v>
      </c>
      <c r="D731" s="95" t="s">
        <v>705</v>
      </c>
      <c r="E731" s="145">
        <v>433</v>
      </c>
      <c r="F731" s="145">
        <v>0</v>
      </c>
      <c r="G731" s="145">
        <v>0</v>
      </c>
      <c r="H731" s="145">
        <v>0</v>
      </c>
      <c r="I731" s="77">
        <f t="shared" si="14"/>
        <v>433</v>
      </c>
      <c r="J731" s="123" t="str">
        <f>IFERROR(VLOOKUP($C731,'CEDARS School FRPL'!C:H,4,FALSE),"No")</f>
        <v>Yes</v>
      </c>
      <c r="K731" s="109"/>
      <c r="L731" s="109"/>
      <c r="M731" s="110">
        <f>IFERROR(VLOOKUP($C731,'CEDARS School FRPL'!C:H,3,FALSE),0)</f>
        <v>0.76013333333333344</v>
      </c>
      <c r="N731" s="123" t="str">
        <f>IFERROR(VLOOKUP(C731,'CEDARS School FRPL'!C:H,6,FALSE),"No")</f>
        <v>No</v>
      </c>
      <c r="O731" s="147"/>
      <c r="P731" s="148"/>
    </row>
    <row r="732" spans="1:16">
      <c r="A732" s="95" t="s">
        <v>2352</v>
      </c>
      <c r="B732" s="95" t="s">
        <v>702</v>
      </c>
      <c r="C732" s="4">
        <v>2270</v>
      </c>
      <c r="D732" s="95" t="s">
        <v>2780</v>
      </c>
      <c r="E732" s="145">
        <v>358.83</v>
      </c>
      <c r="F732" s="145">
        <v>0</v>
      </c>
      <c r="G732" s="145">
        <v>0</v>
      </c>
      <c r="H732" s="145">
        <v>0</v>
      </c>
      <c r="I732" s="77">
        <f t="shared" si="14"/>
        <v>358.83</v>
      </c>
      <c r="J732" s="123" t="str">
        <f>IFERROR(VLOOKUP($C732,'CEDARS School FRPL'!C:H,4,FALSE),"No")</f>
        <v>No</v>
      </c>
      <c r="K732" s="107"/>
      <c r="L732" s="107"/>
      <c r="M732" s="110">
        <f>IFERROR(VLOOKUP($C732,'CEDARS School FRPL'!C:H,3,FALSE),0)</f>
        <v>0.24923333333333333</v>
      </c>
      <c r="N732" s="123" t="str">
        <f>IFERROR(VLOOKUP(C732,'CEDARS School FRPL'!C:H,6,FALSE),"No")</f>
        <v>No</v>
      </c>
      <c r="O732" s="147"/>
      <c r="P732" s="148"/>
    </row>
    <row r="733" spans="1:16">
      <c r="A733" s="95" t="s">
        <v>2352</v>
      </c>
      <c r="B733" s="95" t="s">
        <v>702</v>
      </c>
      <c r="C733" s="4">
        <v>2325</v>
      </c>
      <c r="D733" s="95" t="s">
        <v>706</v>
      </c>
      <c r="E733" s="145">
        <v>1006.06</v>
      </c>
      <c r="F733" s="145">
        <v>36.580000000000005</v>
      </c>
      <c r="G733" s="145">
        <v>0</v>
      </c>
      <c r="H733" s="145">
        <v>0</v>
      </c>
      <c r="I733" s="77">
        <f t="shared" si="14"/>
        <v>1042.6399999999999</v>
      </c>
      <c r="J733" s="123" t="str">
        <f>IFERROR(VLOOKUP($C733,'CEDARS School FRPL'!C:H,4,FALSE),"No")</f>
        <v>Yes</v>
      </c>
      <c r="K733" s="109"/>
      <c r="L733" s="109"/>
      <c r="M733" s="110">
        <f>IFERROR(VLOOKUP($C733,'CEDARS School FRPL'!C:H,3,FALSE),0)</f>
        <v>0.72346666666666659</v>
      </c>
      <c r="N733" s="123" t="str">
        <f>IFERROR(VLOOKUP(C733,'CEDARS School FRPL'!C:H,6,FALSE),"No")</f>
        <v>No</v>
      </c>
      <c r="O733" s="147"/>
      <c r="P733" s="148"/>
    </row>
    <row r="734" spans="1:16">
      <c r="A734" s="95" t="s">
        <v>2352</v>
      </c>
      <c r="B734" s="95" t="s">
        <v>702</v>
      </c>
      <c r="C734" s="4">
        <v>2418</v>
      </c>
      <c r="D734" s="95" t="s">
        <v>707</v>
      </c>
      <c r="E734" s="145">
        <v>496.14</v>
      </c>
      <c r="F734" s="145">
        <v>0</v>
      </c>
      <c r="G734" s="145">
        <v>0</v>
      </c>
      <c r="H734" s="145">
        <v>0</v>
      </c>
      <c r="I734" s="77">
        <f t="shared" si="14"/>
        <v>496.14</v>
      </c>
      <c r="J734" s="123" t="str">
        <f>IFERROR(VLOOKUP($C734,'CEDARS School FRPL'!C:H,4,FALSE),"No")</f>
        <v>Yes</v>
      </c>
      <c r="K734" s="109"/>
      <c r="L734" s="109"/>
      <c r="M734" s="110">
        <f>IFERROR(VLOOKUP($C734,'CEDARS School FRPL'!C:H,3,FALSE),0)</f>
        <v>0.56363333333333332</v>
      </c>
      <c r="N734" s="123" t="str">
        <f>IFERROR(VLOOKUP(C734,'CEDARS School FRPL'!C:H,6,FALSE),"No")</f>
        <v>No</v>
      </c>
      <c r="O734" s="147"/>
      <c r="P734" s="148"/>
    </row>
    <row r="735" spans="1:16">
      <c r="A735" s="95" t="s">
        <v>2352</v>
      </c>
      <c r="B735" s="95" t="s">
        <v>702</v>
      </c>
      <c r="C735" s="4">
        <v>2639</v>
      </c>
      <c r="D735" s="95" t="s">
        <v>708</v>
      </c>
      <c r="E735" s="145">
        <v>586</v>
      </c>
      <c r="F735" s="145">
        <v>0</v>
      </c>
      <c r="G735" s="145">
        <v>0</v>
      </c>
      <c r="H735" s="145">
        <v>0</v>
      </c>
      <c r="I735" s="77">
        <f t="shared" si="14"/>
        <v>586</v>
      </c>
      <c r="J735" s="123" t="str">
        <f>IFERROR(VLOOKUP($C735,'CEDARS School FRPL'!C:H,4,FALSE),"No")</f>
        <v>Yes</v>
      </c>
      <c r="K735" s="109"/>
      <c r="L735" s="109"/>
      <c r="M735" s="110">
        <f>IFERROR(VLOOKUP($C735,'CEDARS School FRPL'!C:H,3,FALSE),0)</f>
        <v>0.74590000000000012</v>
      </c>
      <c r="N735" s="123" t="str">
        <f>IFERROR(VLOOKUP(C735,'CEDARS School FRPL'!C:H,6,FALSE),"No")</f>
        <v>No</v>
      </c>
      <c r="O735" s="147"/>
      <c r="P735" s="148"/>
    </row>
    <row r="736" spans="1:16">
      <c r="A736" s="95" t="s">
        <v>2352</v>
      </c>
      <c r="B736" s="95" t="s">
        <v>702</v>
      </c>
      <c r="C736" s="4">
        <v>2699</v>
      </c>
      <c r="D736" s="95" t="s">
        <v>709</v>
      </c>
      <c r="E736" s="145">
        <v>443.5</v>
      </c>
      <c r="F736" s="145">
        <v>0</v>
      </c>
      <c r="G736" s="145">
        <v>0</v>
      </c>
      <c r="H736" s="145">
        <v>0</v>
      </c>
      <c r="I736" s="77">
        <f t="shared" si="14"/>
        <v>443.5</v>
      </c>
      <c r="J736" s="123" t="str">
        <f>IFERROR(VLOOKUP($C736,'CEDARS School FRPL'!C:H,4,FALSE),"No")</f>
        <v>Yes</v>
      </c>
      <c r="K736" s="109"/>
      <c r="L736" s="109"/>
      <c r="M736" s="110">
        <f>IFERROR(VLOOKUP($C736,'CEDARS School FRPL'!C:H,3,FALSE),0)</f>
        <v>0.71979999999999988</v>
      </c>
      <c r="N736" s="123" t="str">
        <f>IFERROR(VLOOKUP(C736,'CEDARS School FRPL'!C:H,6,FALSE),"No")</f>
        <v>No</v>
      </c>
      <c r="O736" s="147"/>
      <c r="P736" s="148"/>
    </row>
    <row r="737" spans="1:16">
      <c r="A737" s="95" t="s">
        <v>2352</v>
      </c>
      <c r="B737" s="95" t="s">
        <v>702</v>
      </c>
      <c r="C737" s="4">
        <v>2734</v>
      </c>
      <c r="D737" s="95" t="s">
        <v>710</v>
      </c>
      <c r="E737" s="145">
        <v>486.14</v>
      </c>
      <c r="F737" s="145">
        <v>0</v>
      </c>
      <c r="G737" s="145">
        <v>0</v>
      </c>
      <c r="H737" s="145">
        <v>0</v>
      </c>
      <c r="I737" s="77">
        <f t="shared" si="14"/>
        <v>486.14</v>
      </c>
      <c r="J737" s="123" t="str">
        <f>IFERROR(VLOOKUP($C737,'CEDARS School FRPL'!C:H,4,FALSE),"No")</f>
        <v>Yes</v>
      </c>
      <c r="K737" s="109"/>
      <c r="L737" s="109"/>
      <c r="M737" s="110">
        <f>IFERROR(VLOOKUP($C737,'CEDARS School FRPL'!C:H,3,FALSE),0)</f>
        <v>0.78333333333333333</v>
      </c>
      <c r="N737" s="123" t="str">
        <f>IFERROR(VLOOKUP(C737,'CEDARS School FRPL'!C:H,6,FALSE),"No")</f>
        <v>No</v>
      </c>
      <c r="O737" s="147"/>
      <c r="P737" s="148"/>
    </row>
    <row r="738" spans="1:16">
      <c r="A738" s="95" t="s">
        <v>2352</v>
      </c>
      <c r="B738" s="95" t="s">
        <v>702</v>
      </c>
      <c r="C738" s="4">
        <v>2765</v>
      </c>
      <c r="D738" s="95" t="s">
        <v>711</v>
      </c>
      <c r="E738" s="145">
        <v>304.57</v>
      </c>
      <c r="F738" s="145">
        <v>0</v>
      </c>
      <c r="G738" s="145">
        <v>0</v>
      </c>
      <c r="H738" s="145">
        <v>0</v>
      </c>
      <c r="I738" s="77">
        <f t="shared" si="14"/>
        <v>304.57</v>
      </c>
      <c r="J738" s="123" t="str">
        <f>IFERROR(VLOOKUP($C738,'CEDARS School FRPL'!C:H,4,FALSE),"No")</f>
        <v>Yes</v>
      </c>
      <c r="K738" s="109"/>
      <c r="L738" s="109"/>
      <c r="M738" s="110">
        <f>IFERROR(VLOOKUP($C738,'CEDARS School FRPL'!C:H,3,FALSE),0)</f>
        <v>0.74296666666666666</v>
      </c>
      <c r="N738" s="123" t="str">
        <f>IFERROR(VLOOKUP(C738,'CEDARS School FRPL'!C:H,6,FALSE),"No")</f>
        <v>No</v>
      </c>
      <c r="O738" s="147"/>
      <c r="P738" s="148"/>
    </row>
    <row r="739" spans="1:16">
      <c r="A739" s="95" t="s">
        <v>2352</v>
      </c>
      <c r="B739" s="95" t="s">
        <v>702</v>
      </c>
      <c r="C739" s="4">
        <v>2842</v>
      </c>
      <c r="D739" s="95" t="s">
        <v>712</v>
      </c>
      <c r="E739" s="145">
        <v>480.64</v>
      </c>
      <c r="F739" s="145">
        <v>0</v>
      </c>
      <c r="G739" s="145">
        <v>0</v>
      </c>
      <c r="H739" s="145">
        <v>0</v>
      </c>
      <c r="I739" s="77">
        <f t="shared" si="14"/>
        <v>480.64</v>
      </c>
      <c r="J739" s="123" t="str">
        <f>IFERROR(VLOOKUP($C739,'CEDARS School FRPL'!C:H,4,FALSE),"No")</f>
        <v>Yes</v>
      </c>
      <c r="K739" s="109"/>
      <c r="L739" s="109"/>
      <c r="M739" s="110">
        <f>IFERROR(VLOOKUP($C739,'CEDARS School FRPL'!C:H,3,FALSE),0)</f>
        <v>0.56576666666666664</v>
      </c>
      <c r="N739" s="123" t="str">
        <f>IFERROR(VLOOKUP(C739,'CEDARS School FRPL'!C:H,6,FALSE),"No")</f>
        <v>No</v>
      </c>
      <c r="O739" s="147"/>
      <c r="P739" s="148"/>
    </row>
    <row r="740" spans="1:16">
      <c r="A740" s="95" t="s">
        <v>2352</v>
      </c>
      <c r="B740" s="95" t="s">
        <v>702</v>
      </c>
      <c r="C740" s="4">
        <v>2844</v>
      </c>
      <c r="D740" s="95" t="s">
        <v>713</v>
      </c>
      <c r="E740" s="145">
        <v>417.34</v>
      </c>
      <c r="F740" s="145">
        <v>0</v>
      </c>
      <c r="G740" s="145">
        <v>0</v>
      </c>
      <c r="H740" s="145">
        <v>0</v>
      </c>
      <c r="I740" s="77">
        <f t="shared" si="14"/>
        <v>417.34</v>
      </c>
      <c r="J740" s="123" t="str">
        <f>IFERROR(VLOOKUP($C740,'CEDARS School FRPL'!C:H,4,FALSE),"No")</f>
        <v>No</v>
      </c>
      <c r="K740" s="109"/>
      <c r="L740" s="109"/>
      <c r="M740" s="110">
        <f>IFERROR(VLOOKUP($C740,'CEDARS School FRPL'!C:H,3,FALSE),0)</f>
        <v>0.49990000000000001</v>
      </c>
      <c r="N740" s="123" t="str">
        <f>IFERROR(VLOOKUP(C740,'CEDARS School FRPL'!C:H,6,FALSE),"No")</f>
        <v>Yes</v>
      </c>
      <c r="O740" s="147"/>
      <c r="P740" s="148"/>
    </row>
    <row r="741" spans="1:16">
      <c r="A741" s="95" t="s">
        <v>2352</v>
      </c>
      <c r="B741" s="95" t="s">
        <v>702</v>
      </c>
      <c r="C741" s="4">
        <v>2926</v>
      </c>
      <c r="D741" s="95" t="s">
        <v>714</v>
      </c>
      <c r="E741" s="145">
        <v>389.54</v>
      </c>
      <c r="F741" s="145">
        <v>0</v>
      </c>
      <c r="G741" s="145">
        <v>0</v>
      </c>
      <c r="H741" s="145">
        <v>0</v>
      </c>
      <c r="I741" s="77">
        <f t="shared" si="14"/>
        <v>389.54</v>
      </c>
      <c r="J741" s="123" t="str">
        <f>IFERROR(VLOOKUP($C741,'CEDARS School FRPL'!C:H,4,FALSE),"No")</f>
        <v>Yes</v>
      </c>
      <c r="K741" s="109"/>
      <c r="L741" s="109"/>
      <c r="M741" s="110">
        <f>IFERROR(VLOOKUP($C741,'CEDARS School FRPL'!C:H,3,FALSE),0)</f>
        <v>0.75139999999999996</v>
      </c>
      <c r="N741" s="123" t="str">
        <f>IFERROR(VLOOKUP(C741,'CEDARS School FRPL'!C:H,6,FALSE),"No")</f>
        <v>No</v>
      </c>
      <c r="O741" s="147"/>
      <c r="P741" s="148"/>
    </row>
    <row r="742" spans="1:16">
      <c r="A742" s="95" t="s">
        <v>2352</v>
      </c>
      <c r="B742" s="95" t="s">
        <v>702</v>
      </c>
      <c r="C742" s="4">
        <v>2927</v>
      </c>
      <c r="D742" s="95" t="s">
        <v>715</v>
      </c>
      <c r="E742" s="145">
        <v>643.30999999999995</v>
      </c>
      <c r="F742" s="145">
        <v>0</v>
      </c>
      <c r="G742" s="145">
        <v>0</v>
      </c>
      <c r="H742" s="145">
        <v>0</v>
      </c>
      <c r="I742" s="77">
        <f t="shared" si="14"/>
        <v>643.30999999999995</v>
      </c>
      <c r="J742" s="123" t="str">
        <f>IFERROR(VLOOKUP($C742,'CEDARS School FRPL'!C:H,4,FALSE),"No")</f>
        <v>No</v>
      </c>
      <c r="K742" s="109"/>
      <c r="L742" s="109"/>
      <c r="M742" s="110">
        <f>IFERROR(VLOOKUP($C742,'CEDARS School FRPL'!C:H,3,FALSE),0)</f>
        <v>0.47900000000000004</v>
      </c>
      <c r="N742" s="123" t="str">
        <f>IFERROR(VLOOKUP(C742,'CEDARS School FRPL'!C:H,6,FALSE),"No")</f>
        <v>Yes</v>
      </c>
      <c r="O742" s="147"/>
      <c r="P742" s="148"/>
    </row>
    <row r="743" spans="1:16">
      <c r="A743" s="95" t="s">
        <v>2352</v>
      </c>
      <c r="B743" s="95" t="s">
        <v>702</v>
      </c>
      <c r="C743" s="4">
        <v>2982</v>
      </c>
      <c r="D743" s="95" t="s">
        <v>716</v>
      </c>
      <c r="E743" s="145">
        <v>528.07000000000005</v>
      </c>
      <c r="F743" s="145">
        <v>0</v>
      </c>
      <c r="G743" s="145">
        <v>0</v>
      </c>
      <c r="H743" s="145">
        <v>0</v>
      </c>
      <c r="I743" s="77">
        <f t="shared" si="14"/>
        <v>528.07000000000005</v>
      </c>
      <c r="J743" s="123" t="str">
        <f>IFERROR(VLOOKUP($C743,'CEDARS School FRPL'!C:H,4,FALSE),"No")</f>
        <v>Yes</v>
      </c>
      <c r="K743" s="109"/>
      <c r="L743" s="109"/>
      <c r="M743" s="110">
        <f>IFERROR(VLOOKUP($C743,'CEDARS School FRPL'!C:H,3,FALSE),0)</f>
        <v>0.76406666666666678</v>
      </c>
      <c r="N743" s="123" t="str">
        <f>IFERROR(VLOOKUP(C743,'CEDARS School FRPL'!C:H,6,FALSE),"No")</f>
        <v>No</v>
      </c>
      <c r="O743" s="147"/>
      <c r="P743" s="148"/>
    </row>
    <row r="744" spans="1:16">
      <c r="A744" s="95" t="s">
        <v>2352</v>
      </c>
      <c r="B744" s="95" t="s">
        <v>702</v>
      </c>
      <c r="C744" s="4">
        <v>2983</v>
      </c>
      <c r="D744" s="95" t="s">
        <v>717</v>
      </c>
      <c r="E744" s="145">
        <v>485.71</v>
      </c>
      <c r="F744" s="145">
        <v>0</v>
      </c>
      <c r="G744" s="145">
        <v>0</v>
      </c>
      <c r="H744" s="145">
        <v>0</v>
      </c>
      <c r="I744" s="77">
        <f t="shared" si="14"/>
        <v>485.71</v>
      </c>
      <c r="J744" s="123" t="str">
        <f>IFERROR(VLOOKUP($C744,'CEDARS School FRPL'!C:H,4,FALSE),"No")</f>
        <v>No</v>
      </c>
      <c r="K744" s="109"/>
      <c r="L744" s="109"/>
      <c r="M744" s="110">
        <f>IFERROR(VLOOKUP($C744,'CEDARS School FRPL'!C:H,3,FALSE),0)</f>
        <v>0.38923333333333332</v>
      </c>
      <c r="N744" s="123" t="str">
        <f>IFERROR(VLOOKUP(C744,'CEDARS School FRPL'!C:H,6,FALSE),"No")</f>
        <v>No</v>
      </c>
      <c r="O744" s="147"/>
      <c r="P744" s="148"/>
    </row>
    <row r="745" spans="1:16">
      <c r="A745" s="95" t="s">
        <v>2352</v>
      </c>
      <c r="B745" s="95" t="s">
        <v>702</v>
      </c>
      <c r="C745" s="4">
        <v>2984</v>
      </c>
      <c r="D745" s="95" t="s">
        <v>440</v>
      </c>
      <c r="E745" s="145">
        <v>541.14</v>
      </c>
      <c r="F745" s="145">
        <v>0</v>
      </c>
      <c r="G745" s="145">
        <v>0</v>
      </c>
      <c r="H745" s="145">
        <v>0</v>
      </c>
      <c r="I745" s="77">
        <f t="shared" si="14"/>
        <v>541.14</v>
      </c>
      <c r="J745" s="123" t="str">
        <f>IFERROR(VLOOKUP($C745,'CEDARS School FRPL'!C:H,4,FALSE),"No")</f>
        <v>Yes</v>
      </c>
      <c r="K745" s="109"/>
      <c r="L745" s="109"/>
      <c r="M745" s="110">
        <f>IFERROR(VLOOKUP($C745,'CEDARS School FRPL'!C:H,3,FALSE),0)</f>
        <v>0.82073333333333343</v>
      </c>
      <c r="N745" s="123" t="str">
        <f>IFERROR(VLOOKUP(C745,'CEDARS School FRPL'!C:H,6,FALSE),"No")</f>
        <v>No</v>
      </c>
      <c r="O745" s="147"/>
      <c r="P745" s="148"/>
    </row>
    <row r="746" spans="1:16">
      <c r="A746" s="95" t="s">
        <v>2352</v>
      </c>
      <c r="B746" s="95" t="s">
        <v>702</v>
      </c>
      <c r="C746" s="4">
        <v>3032</v>
      </c>
      <c r="D746" s="95" t="s">
        <v>718</v>
      </c>
      <c r="E746" s="145">
        <v>215.86</v>
      </c>
      <c r="F746" s="145">
        <v>0</v>
      </c>
      <c r="G746" s="145">
        <v>0</v>
      </c>
      <c r="H746" s="145">
        <v>0</v>
      </c>
      <c r="I746" s="77">
        <f t="shared" si="14"/>
        <v>215.86</v>
      </c>
      <c r="J746" s="123" t="str">
        <f>IFERROR(VLOOKUP($C746,'CEDARS School FRPL'!C:H,4,FALSE),"No")</f>
        <v>Yes</v>
      </c>
      <c r="K746" s="109"/>
      <c r="L746" s="109"/>
      <c r="M746" s="110">
        <f>IFERROR(VLOOKUP($C746,'CEDARS School FRPL'!C:H,3,FALSE),0)</f>
        <v>0.71683333333333332</v>
      </c>
      <c r="N746" s="123" t="str">
        <f>IFERROR(VLOOKUP(C746,'CEDARS School FRPL'!C:H,6,FALSE),"No")</f>
        <v>No</v>
      </c>
      <c r="O746" s="147"/>
      <c r="P746" s="148"/>
    </row>
    <row r="747" spans="1:16">
      <c r="A747" s="95" t="s">
        <v>2352</v>
      </c>
      <c r="B747" s="95" t="s">
        <v>702</v>
      </c>
      <c r="C747" s="4">
        <v>3097</v>
      </c>
      <c r="D747" s="95" t="s">
        <v>719</v>
      </c>
      <c r="E747" s="145">
        <v>518.88</v>
      </c>
      <c r="F747" s="145">
        <v>0</v>
      </c>
      <c r="G747" s="145">
        <v>0</v>
      </c>
      <c r="H747" s="145">
        <v>0</v>
      </c>
      <c r="I747" s="77">
        <f t="shared" si="14"/>
        <v>518.88</v>
      </c>
      <c r="J747" s="123" t="str">
        <f>IFERROR(VLOOKUP($C747,'CEDARS School FRPL'!C:H,4,FALSE),"No")</f>
        <v>No</v>
      </c>
      <c r="K747" s="109"/>
      <c r="L747" s="109"/>
      <c r="M747" s="110">
        <f>IFERROR(VLOOKUP($C747,'CEDARS School FRPL'!C:H,3,FALSE),0)</f>
        <v>0.36943333333333334</v>
      </c>
      <c r="N747" s="123" t="str">
        <f>IFERROR(VLOOKUP(C747,'CEDARS School FRPL'!C:H,6,FALSE),"No")</f>
        <v>No</v>
      </c>
      <c r="O747" s="147"/>
      <c r="P747" s="148"/>
    </row>
    <row r="748" spans="1:16">
      <c r="A748" s="95" t="s">
        <v>2352</v>
      </c>
      <c r="B748" s="95" t="s">
        <v>702</v>
      </c>
      <c r="C748" s="4">
        <v>3098</v>
      </c>
      <c r="D748" s="95" t="s">
        <v>59</v>
      </c>
      <c r="E748" s="145">
        <v>612.02</v>
      </c>
      <c r="F748" s="145">
        <v>0</v>
      </c>
      <c r="G748" s="145">
        <v>0</v>
      </c>
      <c r="H748" s="145">
        <v>0</v>
      </c>
      <c r="I748" s="77">
        <f t="shared" si="14"/>
        <v>612.02</v>
      </c>
      <c r="J748" s="123" t="str">
        <f>IFERROR(VLOOKUP($C748,'CEDARS School FRPL'!C:H,4,FALSE),"No")</f>
        <v>Yes</v>
      </c>
      <c r="K748" s="109"/>
      <c r="L748" s="109"/>
      <c r="M748" s="110">
        <f>IFERROR(VLOOKUP($C748,'CEDARS School FRPL'!C:H,3,FALSE),0)</f>
        <v>0.78146666666666675</v>
      </c>
      <c r="N748" s="123" t="str">
        <f>IFERROR(VLOOKUP(C748,'CEDARS School FRPL'!C:H,6,FALSE),"No")</f>
        <v>No</v>
      </c>
      <c r="O748" s="147"/>
      <c r="P748" s="148"/>
    </row>
    <row r="749" spans="1:16">
      <c r="A749" s="95" t="s">
        <v>2352</v>
      </c>
      <c r="B749" s="95" t="s">
        <v>702</v>
      </c>
      <c r="C749" s="4">
        <v>3099</v>
      </c>
      <c r="D749" s="95" t="s">
        <v>223</v>
      </c>
      <c r="E749" s="145">
        <v>909.89</v>
      </c>
      <c r="F749" s="145">
        <v>60.87</v>
      </c>
      <c r="G749" s="145">
        <v>0</v>
      </c>
      <c r="H749" s="145">
        <v>0</v>
      </c>
      <c r="I749" s="77">
        <f t="shared" si="14"/>
        <v>970.76</v>
      </c>
      <c r="J749" s="123" t="str">
        <f>IFERROR(VLOOKUP($C749,'CEDARS School FRPL'!C:H,4,FALSE),"No")</f>
        <v>Yes</v>
      </c>
      <c r="M749" s="110">
        <f>IFERROR(VLOOKUP($C749,'CEDARS School FRPL'!C:H,3,FALSE),0)</f>
        <v>0.77750000000000019</v>
      </c>
      <c r="N749" s="123" t="str">
        <f>IFERROR(VLOOKUP(C749,'CEDARS School FRPL'!C:H,6,FALSE),"No")</f>
        <v>No</v>
      </c>
      <c r="O749" s="147"/>
      <c r="P749" s="148"/>
    </row>
    <row r="750" spans="1:16">
      <c r="A750" s="95" t="s">
        <v>2352</v>
      </c>
      <c r="B750" s="95" t="s">
        <v>702</v>
      </c>
      <c r="C750" s="4">
        <v>3163</v>
      </c>
      <c r="D750" s="95" t="s">
        <v>231</v>
      </c>
      <c r="E750" s="145">
        <v>683.97</v>
      </c>
      <c r="F750" s="145">
        <v>0</v>
      </c>
      <c r="G750" s="145">
        <v>0</v>
      </c>
      <c r="H750" s="145">
        <v>0</v>
      </c>
      <c r="I750" s="77">
        <f t="shared" si="14"/>
        <v>683.97</v>
      </c>
      <c r="J750" s="123" t="str">
        <f>IFERROR(VLOOKUP($C750,'CEDARS School FRPL'!C:H,4,FALSE),"No")</f>
        <v>Yes</v>
      </c>
      <c r="K750" s="109"/>
      <c r="L750" s="109"/>
      <c r="M750" s="110">
        <f>IFERROR(VLOOKUP($C750,'CEDARS School FRPL'!C:H,3,FALSE),0)</f>
        <v>0.8323666666666667</v>
      </c>
      <c r="N750" s="123" t="str">
        <f>IFERROR(VLOOKUP(C750,'CEDARS School FRPL'!C:H,6,FALSE),"No")</f>
        <v>No</v>
      </c>
      <c r="O750" s="147"/>
      <c r="P750" s="148"/>
    </row>
    <row r="751" spans="1:16">
      <c r="A751" s="95" t="s">
        <v>2352</v>
      </c>
      <c r="B751" s="95" t="s">
        <v>702</v>
      </c>
      <c r="C751" s="4">
        <v>3165</v>
      </c>
      <c r="D751" s="95" t="s">
        <v>720</v>
      </c>
      <c r="E751" s="145">
        <v>436.43</v>
      </c>
      <c r="F751" s="145">
        <v>0</v>
      </c>
      <c r="G751" s="145">
        <v>0</v>
      </c>
      <c r="H751" s="145">
        <v>0</v>
      </c>
      <c r="I751" s="77">
        <f t="shared" si="14"/>
        <v>436.43</v>
      </c>
      <c r="J751" s="123" t="str">
        <f>IFERROR(VLOOKUP($C751,'CEDARS School FRPL'!C:H,4,FALSE),"No")</f>
        <v>Yes</v>
      </c>
      <c r="K751" s="109"/>
      <c r="L751" s="109"/>
      <c r="M751" s="110">
        <f>IFERROR(VLOOKUP($C751,'CEDARS School FRPL'!C:H,3,FALSE),0)</f>
        <v>0.77776666666666661</v>
      </c>
      <c r="N751" s="123" t="str">
        <f>IFERROR(VLOOKUP(C751,'CEDARS School FRPL'!C:H,6,FALSE),"No")</f>
        <v>No</v>
      </c>
      <c r="O751" s="147"/>
      <c r="P751" s="148"/>
    </row>
    <row r="752" spans="1:16">
      <c r="A752" s="95" t="s">
        <v>2352</v>
      </c>
      <c r="B752" s="95" t="s">
        <v>702</v>
      </c>
      <c r="C752" s="4">
        <v>3278</v>
      </c>
      <c r="D752" s="95" t="s">
        <v>721</v>
      </c>
      <c r="E752" s="145">
        <v>370.38</v>
      </c>
      <c r="F752" s="145">
        <v>0</v>
      </c>
      <c r="G752" s="145">
        <v>0</v>
      </c>
      <c r="H752" s="145">
        <v>0</v>
      </c>
      <c r="I752" s="77">
        <f t="shared" si="14"/>
        <v>370.38</v>
      </c>
      <c r="J752" s="123" t="str">
        <f>IFERROR(VLOOKUP($C752,'CEDARS School FRPL'!C:H,4,FALSE),"No")</f>
        <v>Yes</v>
      </c>
      <c r="K752" s="109"/>
      <c r="L752" s="109"/>
      <c r="M752" s="110">
        <f>IFERROR(VLOOKUP($C752,'CEDARS School FRPL'!C:H,3,FALSE),0)</f>
        <v>0.79483333333333339</v>
      </c>
      <c r="N752" s="123" t="str">
        <f>IFERROR(VLOOKUP(C752,'CEDARS School FRPL'!C:H,6,FALSE),"No")</f>
        <v>No</v>
      </c>
      <c r="O752" s="147"/>
      <c r="P752" s="148"/>
    </row>
    <row r="753" spans="1:16">
      <c r="A753" s="95" t="s">
        <v>2352</v>
      </c>
      <c r="B753" s="95" t="s">
        <v>702</v>
      </c>
      <c r="C753" s="4">
        <v>3279</v>
      </c>
      <c r="D753" s="95" t="s">
        <v>722</v>
      </c>
      <c r="E753" s="145">
        <v>1396.3</v>
      </c>
      <c r="F753" s="145">
        <v>205.74</v>
      </c>
      <c r="G753" s="145">
        <v>0</v>
      </c>
      <c r="H753" s="145">
        <v>0</v>
      </c>
      <c r="I753" s="77">
        <f t="shared" si="14"/>
        <v>1602.04</v>
      </c>
      <c r="J753" s="123" t="str">
        <f>IFERROR(VLOOKUP($C753,'CEDARS School FRPL'!C:H,4,FALSE),"No")</f>
        <v>Yes</v>
      </c>
      <c r="K753" s="109"/>
      <c r="L753" s="109"/>
      <c r="M753" s="110">
        <f>IFERROR(VLOOKUP($C753,'CEDARS School FRPL'!C:H,3,FALSE),0)</f>
        <v>0.59030000000000005</v>
      </c>
      <c r="N753" s="123" t="str">
        <f>IFERROR(VLOOKUP(C753,'CEDARS School FRPL'!C:H,6,FALSE),"No")</f>
        <v>No</v>
      </c>
      <c r="O753" s="147"/>
      <c r="P753" s="148"/>
    </row>
    <row r="754" spans="1:16">
      <c r="A754" s="95" t="s">
        <v>2352</v>
      </c>
      <c r="B754" s="95" t="s">
        <v>702</v>
      </c>
      <c r="C754" s="4">
        <v>3333</v>
      </c>
      <c r="D754" s="95" t="s">
        <v>241</v>
      </c>
      <c r="E754" s="145">
        <v>651.51</v>
      </c>
      <c r="F754" s="145">
        <v>0</v>
      </c>
      <c r="G754" s="145">
        <v>0</v>
      </c>
      <c r="H754" s="145">
        <v>0</v>
      </c>
      <c r="I754" s="77">
        <f t="shared" si="14"/>
        <v>651.51</v>
      </c>
      <c r="J754" s="123" t="str">
        <f>IFERROR(VLOOKUP($C754,'CEDARS School FRPL'!C:H,4,FALSE),"No")</f>
        <v>Yes</v>
      </c>
      <c r="K754" s="109"/>
      <c r="L754" s="109"/>
      <c r="M754" s="110">
        <f>IFERROR(VLOOKUP($C754,'CEDARS School FRPL'!C:H,3,FALSE),0)</f>
        <v>0.74923333333333331</v>
      </c>
      <c r="N754" s="123" t="str">
        <f>IFERROR(VLOOKUP(C754,'CEDARS School FRPL'!C:H,6,FALSE),"No")</f>
        <v>No</v>
      </c>
      <c r="O754" s="147"/>
      <c r="P754" s="148"/>
    </row>
    <row r="755" spans="1:16">
      <c r="A755" s="95" t="s">
        <v>2352</v>
      </c>
      <c r="B755" s="95" t="s">
        <v>702</v>
      </c>
      <c r="C755" s="4">
        <v>3335</v>
      </c>
      <c r="D755" s="95" t="s">
        <v>723</v>
      </c>
      <c r="E755" s="145">
        <v>422.23</v>
      </c>
      <c r="F755" s="145">
        <v>0</v>
      </c>
      <c r="G755" s="145">
        <v>0</v>
      </c>
      <c r="H755" s="145">
        <v>0</v>
      </c>
      <c r="I755" s="77">
        <f t="shared" si="14"/>
        <v>422.23</v>
      </c>
      <c r="J755" s="123" t="str">
        <f>IFERROR(VLOOKUP($C755,'CEDARS School FRPL'!C:H,4,FALSE),"No")</f>
        <v>Yes</v>
      </c>
      <c r="K755" s="109"/>
      <c r="L755" s="109"/>
      <c r="M755" s="110">
        <f>IFERROR(VLOOKUP($C755,'CEDARS School FRPL'!C:H,3,FALSE),0)</f>
        <v>0.74656666666666671</v>
      </c>
      <c r="N755" s="123" t="str">
        <f>IFERROR(VLOOKUP(C755,'CEDARS School FRPL'!C:H,6,FALSE),"No")</f>
        <v>No</v>
      </c>
      <c r="O755" s="147"/>
      <c r="P755" s="148"/>
    </row>
    <row r="756" spans="1:16">
      <c r="A756" s="95" t="s">
        <v>2352</v>
      </c>
      <c r="B756" s="95" t="s">
        <v>702</v>
      </c>
      <c r="C756" s="4">
        <v>3382</v>
      </c>
      <c r="D756" s="95" t="s">
        <v>724</v>
      </c>
      <c r="E756" s="145">
        <v>319</v>
      </c>
      <c r="F756" s="145">
        <v>0</v>
      </c>
      <c r="G756" s="145">
        <v>0</v>
      </c>
      <c r="H756" s="145">
        <v>0</v>
      </c>
      <c r="I756" s="77">
        <f t="shared" si="14"/>
        <v>319</v>
      </c>
      <c r="J756" s="123" t="str">
        <f>IFERROR(VLOOKUP($C756,'CEDARS School FRPL'!C:H,4,FALSE),"No")</f>
        <v>Yes</v>
      </c>
      <c r="K756" s="109"/>
      <c r="L756" s="109"/>
      <c r="M756" s="110">
        <f>IFERROR(VLOOKUP($C756,'CEDARS School FRPL'!C:H,3,FALSE),0)</f>
        <v>0.70739999999999992</v>
      </c>
      <c r="N756" s="123" t="str">
        <f>IFERROR(VLOOKUP(C756,'CEDARS School FRPL'!C:H,6,FALSE),"No")</f>
        <v>No</v>
      </c>
      <c r="O756" s="147"/>
      <c r="P756" s="148"/>
    </row>
    <row r="757" spans="1:16">
      <c r="A757" s="95" t="s">
        <v>2352</v>
      </c>
      <c r="B757" s="95" t="s">
        <v>702</v>
      </c>
      <c r="C757" s="4">
        <v>3483</v>
      </c>
      <c r="D757" s="95" t="s">
        <v>2721</v>
      </c>
      <c r="E757" s="145">
        <v>590.1</v>
      </c>
      <c r="F757" s="145">
        <v>56.09</v>
      </c>
      <c r="G757" s="145">
        <v>0</v>
      </c>
      <c r="H757" s="145">
        <v>0</v>
      </c>
      <c r="I757" s="77">
        <f t="shared" si="14"/>
        <v>646.19000000000005</v>
      </c>
      <c r="J757" s="123" t="str">
        <f>IFERROR(VLOOKUP($C757,'CEDARS School FRPL'!C:H,4,FALSE),"No")</f>
        <v>Yes</v>
      </c>
      <c r="K757" s="109"/>
      <c r="L757" s="109"/>
      <c r="M757" s="110">
        <f>IFERROR(VLOOKUP($C757,'CEDARS School FRPL'!C:H,3,FALSE),0)</f>
        <v>0.81519999999999992</v>
      </c>
      <c r="N757" s="123" t="str">
        <f>IFERROR(VLOOKUP(C757,'CEDARS School FRPL'!C:H,6,FALSE),"No")</f>
        <v>No</v>
      </c>
      <c r="O757" s="147"/>
      <c r="P757" s="148"/>
    </row>
    <row r="758" spans="1:16">
      <c r="A758" s="95" t="s">
        <v>2352</v>
      </c>
      <c r="B758" s="95" t="s">
        <v>702</v>
      </c>
      <c r="C758" s="4">
        <v>3553</v>
      </c>
      <c r="D758" s="95" t="s">
        <v>725</v>
      </c>
      <c r="E758" s="145">
        <v>387.37</v>
      </c>
      <c r="F758" s="145">
        <v>14.8</v>
      </c>
      <c r="G758" s="145">
        <v>0</v>
      </c>
      <c r="H758" s="145">
        <v>0</v>
      </c>
      <c r="I758" s="77">
        <f t="shared" si="14"/>
        <v>402.17</v>
      </c>
      <c r="J758" s="123" t="str">
        <f>IFERROR(VLOOKUP($C758,'CEDARS School FRPL'!C:H,4,FALSE),"No")</f>
        <v>No</v>
      </c>
      <c r="K758" s="109"/>
      <c r="L758" s="109"/>
      <c r="M758" s="110">
        <f>IFERROR(VLOOKUP($C758,'CEDARS School FRPL'!C:H,3,FALSE),0)</f>
        <v>0.29199999999999998</v>
      </c>
      <c r="N758" s="123" t="str">
        <f>IFERROR(VLOOKUP(C758,'CEDARS School FRPL'!C:H,6,FALSE),"No")</f>
        <v>No</v>
      </c>
      <c r="O758" s="147"/>
      <c r="P758" s="148"/>
    </row>
    <row r="759" spans="1:16">
      <c r="A759" s="95" t="s">
        <v>2352</v>
      </c>
      <c r="B759" s="95" t="s">
        <v>702</v>
      </c>
      <c r="C759" s="4">
        <v>5028</v>
      </c>
      <c r="D759" s="95" t="s">
        <v>726</v>
      </c>
      <c r="E759" s="145">
        <v>229.42</v>
      </c>
      <c r="F759" s="145">
        <v>7.04</v>
      </c>
      <c r="G759" s="145">
        <v>0</v>
      </c>
      <c r="H759" s="145">
        <v>0</v>
      </c>
      <c r="I759" s="77">
        <f t="shared" si="14"/>
        <v>236.45999999999998</v>
      </c>
      <c r="J759" s="123" t="str">
        <f>IFERROR(VLOOKUP($C759,'CEDARS School FRPL'!C:H,4,FALSE),"No")</f>
        <v>Yes</v>
      </c>
      <c r="K759" s="109"/>
      <c r="L759" s="109"/>
      <c r="M759" s="110">
        <f>IFERROR(VLOOKUP($C759,'CEDARS School FRPL'!C:H,3,FALSE),0)</f>
        <v>0.53126666666666666</v>
      </c>
      <c r="N759" s="123" t="str">
        <f>IFERROR(VLOOKUP(C759,'CEDARS School FRPL'!C:H,6,FALSE),"No")</f>
        <v>No</v>
      </c>
      <c r="O759" s="147"/>
      <c r="P759" s="148"/>
    </row>
    <row r="760" spans="1:16">
      <c r="A760" s="95" t="s">
        <v>2352</v>
      </c>
      <c r="B760" s="95" t="s">
        <v>702</v>
      </c>
      <c r="C760" s="4">
        <v>5172</v>
      </c>
      <c r="D760" s="95" t="s">
        <v>727</v>
      </c>
      <c r="E760" s="145">
        <v>34.340000000000003</v>
      </c>
      <c r="F760" s="145">
        <v>0</v>
      </c>
      <c r="G760" s="145">
        <v>0</v>
      </c>
      <c r="H760" s="145">
        <v>0</v>
      </c>
      <c r="I760" s="77">
        <f t="shared" si="14"/>
        <v>34.340000000000003</v>
      </c>
      <c r="J760" s="123" t="str">
        <f>IFERROR(VLOOKUP($C760,'CEDARS School FRPL'!C:H,4,FALSE),"No")</f>
        <v>Yes</v>
      </c>
      <c r="K760" s="109"/>
      <c r="L760" s="109"/>
      <c r="M760" s="110">
        <f>IFERROR(VLOOKUP($C760,'CEDARS School FRPL'!C:H,3,FALSE),0)</f>
        <v>0.69426666666666659</v>
      </c>
      <c r="N760" s="123" t="str">
        <f>IFERROR(VLOOKUP(C760,'CEDARS School FRPL'!C:H,6,FALSE),"No")</f>
        <v>No</v>
      </c>
      <c r="O760" s="147"/>
      <c r="P760" s="148"/>
    </row>
    <row r="761" spans="1:16">
      <c r="A761" s="95" t="s">
        <v>2352</v>
      </c>
      <c r="B761" s="95" t="s">
        <v>702</v>
      </c>
      <c r="C761" s="4">
        <v>5370</v>
      </c>
      <c r="D761" s="95" t="s">
        <v>728</v>
      </c>
      <c r="E761" s="145">
        <v>0</v>
      </c>
      <c r="F761" s="145">
        <v>0</v>
      </c>
      <c r="G761" s="145">
        <v>193.24</v>
      </c>
      <c r="H761" s="145">
        <v>0</v>
      </c>
      <c r="I761" s="77">
        <f t="shared" si="14"/>
        <v>193.24</v>
      </c>
      <c r="J761" s="123" t="str">
        <f>IFERROR(VLOOKUP($C761,'CEDARS School FRPL'!C:H,4,FALSE),"No")</f>
        <v>No</v>
      </c>
      <c r="K761" s="109"/>
      <c r="L761" s="109"/>
      <c r="M761" s="110">
        <f>IFERROR(VLOOKUP($C761,'CEDARS School FRPL'!C:H,3,FALSE),0)</f>
        <v>0.36113333333333331</v>
      </c>
      <c r="N761" s="123" t="str">
        <f>IFERROR(VLOOKUP(C761,'CEDARS School FRPL'!C:H,6,FALSE),"No")</f>
        <v>No</v>
      </c>
      <c r="O761" s="147"/>
      <c r="P761" s="148"/>
    </row>
    <row r="762" spans="1:16">
      <c r="A762" s="95" t="s">
        <v>2352</v>
      </c>
      <c r="B762" s="95" t="s">
        <v>702</v>
      </c>
      <c r="C762" s="4">
        <v>5371</v>
      </c>
      <c r="D762" s="95" t="s">
        <v>729</v>
      </c>
      <c r="E762" s="145">
        <v>0</v>
      </c>
      <c r="F762" s="145">
        <v>5.1000000000000005</v>
      </c>
      <c r="G762" s="145">
        <v>0</v>
      </c>
      <c r="H762" s="145">
        <v>0</v>
      </c>
      <c r="I762" s="77">
        <f t="shared" si="14"/>
        <v>5.1000000000000005</v>
      </c>
      <c r="J762" s="123" t="str">
        <f>IFERROR(VLOOKUP($C762,'CEDARS School FRPL'!C:H,4,FALSE),"No")</f>
        <v>No</v>
      </c>
      <c r="K762" s="109"/>
      <c r="L762" s="109"/>
      <c r="M762" s="110">
        <f>IFERROR(VLOOKUP($C762,'CEDARS School FRPL'!C:H,3,FALSE),0)</f>
        <v>0.15596666666666667</v>
      </c>
      <c r="N762" s="123" t="str">
        <f>IFERROR(VLOOKUP(C762,'CEDARS School FRPL'!C:H,6,FALSE),"No")</f>
        <v>No</v>
      </c>
      <c r="O762" s="147"/>
      <c r="P762" s="148"/>
    </row>
    <row r="763" spans="1:16">
      <c r="A763" s="95" t="s">
        <v>2352</v>
      </c>
      <c r="B763" s="95" t="s">
        <v>702</v>
      </c>
      <c r="C763" s="4">
        <v>5551</v>
      </c>
      <c r="D763" s="95" t="s">
        <v>1510</v>
      </c>
      <c r="E763" s="145">
        <v>842.01</v>
      </c>
      <c r="F763" s="145">
        <v>0</v>
      </c>
      <c r="G763" s="145">
        <v>0</v>
      </c>
      <c r="H763" s="145">
        <v>0</v>
      </c>
      <c r="I763" s="77">
        <f t="shared" si="14"/>
        <v>842.01</v>
      </c>
      <c r="J763" s="123" t="str">
        <f>IFERROR(VLOOKUP($C763,'CEDARS School FRPL'!C:H,4,FALSE),"No")</f>
        <v>Yes</v>
      </c>
      <c r="K763" s="109"/>
      <c r="L763" s="109"/>
      <c r="M763" s="110">
        <f>IFERROR(VLOOKUP($C763,'CEDARS School FRPL'!C:H,3,FALSE),0)</f>
        <v>0.82726666666666671</v>
      </c>
      <c r="N763" s="123" t="str">
        <f>IFERROR(VLOOKUP(C763,'CEDARS School FRPL'!C:H,6,FALSE),"No")</f>
        <v>No</v>
      </c>
      <c r="O763" s="147"/>
      <c r="P763" s="148"/>
    </row>
    <row r="764" spans="1:16">
      <c r="A764" s="95" t="s">
        <v>2352</v>
      </c>
      <c r="B764" s="95" t="s">
        <v>702</v>
      </c>
      <c r="C764" s="4">
        <v>5622</v>
      </c>
      <c r="D764" s="95" t="s">
        <v>3016</v>
      </c>
      <c r="E764" s="145">
        <v>542.59</v>
      </c>
      <c r="F764" s="145">
        <v>1.64</v>
      </c>
      <c r="G764" s="145">
        <v>0</v>
      </c>
      <c r="H764" s="145">
        <v>0</v>
      </c>
      <c r="I764" s="77">
        <f t="shared" si="14"/>
        <v>544.23</v>
      </c>
      <c r="J764" s="123" t="str">
        <f>IFERROR(VLOOKUP($C764,'CEDARS School FRPL'!C:H,4,FALSE),"No")</f>
        <v>Yes</v>
      </c>
      <c r="K764" s="109"/>
      <c r="L764" s="109"/>
      <c r="M764" s="110">
        <f>IFERROR(VLOOKUP($C764,'CEDARS School FRPL'!C:H,3,FALSE),0)</f>
        <v>0.89529999999999998</v>
      </c>
      <c r="N764" s="123" t="str">
        <f>IFERROR(VLOOKUP(C764,'CEDARS School FRPL'!C:H,6,FALSE),"No")</f>
        <v>No</v>
      </c>
      <c r="O764" s="147"/>
      <c r="P764" s="148"/>
    </row>
    <row r="765" spans="1:16">
      <c r="A765" s="95" t="s">
        <v>2352</v>
      </c>
      <c r="B765" s="95" t="s">
        <v>702</v>
      </c>
      <c r="C765" s="4">
        <v>5672</v>
      </c>
      <c r="D765" s="95" t="s">
        <v>3017</v>
      </c>
      <c r="E765" s="145">
        <v>36.57</v>
      </c>
      <c r="F765" s="145">
        <v>0</v>
      </c>
      <c r="G765" s="145">
        <v>0</v>
      </c>
      <c r="H765" s="145">
        <v>0</v>
      </c>
      <c r="I765" s="77">
        <f t="shared" si="14"/>
        <v>36.57</v>
      </c>
      <c r="J765" s="123" t="str">
        <f>IFERROR(VLOOKUP($C765,'CEDARS School FRPL'!C:H,4,FALSE),"No")</f>
        <v>No</v>
      </c>
      <c r="K765" s="109"/>
      <c r="L765" s="109"/>
      <c r="M765" s="110">
        <f>IFERROR(VLOOKUP($C765,'CEDARS School FRPL'!C:H,3,FALSE),0)</f>
        <v>0.2571</v>
      </c>
      <c r="N765" s="123" t="str">
        <f>IFERROR(VLOOKUP(C765,'CEDARS School FRPL'!C:H,6,FALSE),"No")</f>
        <v>No</v>
      </c>
      <c r="O765" s="147"/>
      <c r="P765" s="148"/>
    </row>
    <row r="766" spans="1:16">
      <c r="A766" s="95" t="s">
        <v>2284</v>
      </c>
      <c r="B766" s="95" t="s">
        <v>202</v>
      </c>
      <c r="C766" s="4">
        <v>3319</v>
      </c>
      <c r="D766" s="95" t="s">
        <v>203</v>
      </c>
      <c r="E766" s="145">
        <v>460.08</v>
      </c>
      <c r="F766" s="145">
        <v>0</v>
      </c>
      <c r="G766" s="145">
        <v>0</v>
      </c>
      <c r="H766" s="145">
        <v>0</v>
      </c>
      <c r="I766" s="77">
        <f t="shared" si="14"/>
        <v>460.08</v>
      </c>
      <c r="J766" s="123" t="str">
        <f>IFERROR(VLOOKUP($C766,'CEDARS School FRPL'!C:H,4,FALSE),"No")</f>
        <v>No</v>
      </c>
      <c r="K766" s="109"/>
      <c r="L766" s="109"/>
      <c r="M766" s="110">
        <f>IFERROR(VLOOKUP($C766,'CEDARS School FRPL'!C:H,3,FALSE),0)</f>
        <v>0.18959999999999999</v>
      </c>
      <c r="N766" s="123" t="str">
        <f>IFERROR(VLOOKUP(C766,'CEDARS School FRPL'!C:H,6,FALSE),"No")</f>
        <v>No</v>
      </c>
      <c r="O766" s="147"/>
      <c r="P766" s="148"/>
    </row>
    <row r="767" spans="1:16">
      <c r="A767" s="95" t="s">
        <v>2284</v>
      </c>
      <c r="B767" s="95" t="s">
        <v>202</v>
      </c>
      <c r="C767" s="4">
        <v>4568</v>
      </c>
      <c r="D767" s="95" t="s">
        <v>204</v>
      </c>
      <c r="E767" s="145">
        <v>580.22</v>
      </c>
      <c r="F767" s="145">
        <v>64.58</v>
      </c>
      <c r="G767" s="145">
        <v>4</v>
      </c>
      <c r="H767" s="145">
        <v>0</v>
      </c>
      <c r="I767" s="77">
        <f t="shared" si="14"/>
        <v>648.80000000000007</v>
      </c>
      <c r="J767" s="123" t="str">
        <f>IFERROR(VLOOKUP($C767,'CEDARS School FRPL'!C:H,4,FALSE),"No")</f>
        <v>No</v>
      </c>
      <c r="K767" s="109"/>
      <c r="L767" s="109"/>
      <c r="M767" s="110">
        <f>IFERROR(VLOOKUP($C767,'CEDARS School FRPL'!C:H,3,FALSE),0)</f>
        <v>0.1671</v>
      </c>
      <c r="N767" s="123" t="str">
        <f>IFERROR(VLOOKUP(C767,'CEDARS School FRPL'!C:H,6,FALSE),"No")</f>
        <v>No</v>
      </c>
      <c r="O767" s="147"/>
      <c r="P767" s="148"/>
    </row>
    <row r="768" spans="1:16">
      <c r="A768" s="95" t="s">
        <v>2284</v>
      </c>
      <c r="B768" s="95" t="s">
        <v>202</v>
      </c>
      <c r="C768" s="4">
        <v>5311</v>
      </c>
      <c r="D768" s="95" t="s">
        <v>205</v>
      </c>
      <c r="E768" s="145">
        <v>808.12</v>
      </c>
      <c r="F768" s="145">
        <v>0</v>
      </c>
      <c r="G768" s="145">
        <v>0</v>
      </c>
      <c r="H768" s="145">
        <v>0</v>
      </c>
      <c r="I768" s="77">
        <f t="shared" si="14"/>
        <v>808.12</v>
      </c>
      <c r="J768" s="123" t="str">
        <f>IFERROR(VLOOKUP($C768,'CEDARS School FRPL'!C:H,4,FALSE),"No")</f>
        <v>No</v>
      </c>
      <c r="K768" s="109"/>
      <c r="L768" s="109"/>
      <c r="M768" s="110">
        <f>IFERROR(VLOOKUP($C768,'CEDARS School FRPL'!C:H,3,FALSE),0)</f>
        <v>0.19969999999999999</v>
      </c>
      <c r="N768" s="123" t="str">
        <f>IFERROR(VLOOKUP(C768,'CEDARS School FRPL'!C:H,6,FALSE),"No")</f>
        <v>No</v>
      </c>
      <c r="O768" s="147"/>
      <c r="P768" s="148"/>
    </row>
    <row r="769" spans="1:16">
      <c r="A769" s="95" t="s">
        <v>2420</v>
      </c>
      <c r="B769" s="95" t="s">
        <v>1224</v>
      </c>
      <c r="C769" s="4">
        <v>2310</v>
      </c>
      <c r="D769" s="95" t="s">
        <v>2782</v>
      </c>
      <c r="E769" s="145">
        <v>304.70999999999998</v>
      </c>
      <c r="F769" s="145">
        <v>0</v>
      </c>
      <c r="G769" s="145">
        <v>0</v>
      </c>
      <c r="H769" s="145">
        <v>0</v>
      </c>
      <c r="I769" s="77">
        <f t="shared" si="14"/>
        <v>304.70999999999998</v>
      </c>
      <c r="J769" s="123" t="str">
        <f>IFERROR(VLOOKUP($C769,'CEDARS School FRPL'!C:H,4,FALSE),"No")</f>
        <v>Yes</v>
      </c>
      <c r="K769" s="109"/>
      <c r="L769" s="109"/>
      <c r="M769" s="110">
        <f>IFERROR(VLOOKUP($C769,'CEDARS School FRPL'!C:H,3,FALSE),0)</f>
        <v>0.7567666666666667</v>
      </c>
      <c r="N769" s="123" t="str">
        <f>IFERROR(VLOOKUP(C769,'CEDARS School FRPL'!C:H,6,FALSE),"No")</f>
        <v>No</v>
      </c>
      <c r="O769" s="147"/>
      <c r="P769" s="148"/>
    </row>
    <row r="770" spans="1:16">
      <c r="A770" s="95" t="s">
        <v>2328</v>
      </c>
      <c r="B770" s="95" t="s">
        <v>474</v>
      </c>
      <c r="C770" s="4">
        <v>2268</v>
      </c>
      <c r="D770" s="95" t="s">
        <v>375</v>
      </c>
      <c r="E770" s="145">
        <v>213.86</v>
      </c>
      <c r="F770" s="145">
        <v>0</v>
      </c>
      <c r="G770" s="145">
        <v>0</v>
      </c>
      <c r="H770" s="145">
        <v>0</v>
      </c>
      <c r="I770" s="77">
        <f t="shared" si="14"/>
        <v>213.86</v>
      </c>
      <c r="J770" s="123" t="str">
        <f>IFERROR(VLOOKUP($C770,'CEDARS School FRPL'!C:H,4,FALSE),"No")</f>
        <v>Yes</v>
      </c>
      <c r="K770" s="109"/>
      <c r="L770" s="109"/>
      <c r="M770" s="110">
        <f>IFERROR(VLOOKUP($C770,'CEDARS School FRPL'!C:H,3,FALSE),0)</f>
        <v>0.7697666666666666</v>
      </c>
      <c r="N770" s="123" t="str">
        <f>IFERROR(VLOOKUP(C770,'CEDARS School FRPL'!C:H,6,FALSE),"No")</f>
        <v>No</v>
      </c>
      <c r="O770" s="147"/>
      <c r="P770" s="148"/>
    </row>
    <row r="771" spans="1:16">
      <c r="A771" s="95" t="s">
        <v>2328</v>
      </c>
      <c r="B771" s="95" t="s">
        <v>474</v>
      </c>
      <c r="C771" s="4">
        <v>2391</v>
      </c>
      <c r="D771" s="95" t="s">
        <v>475</v>
      </c>
      <c r="E771" s="145">
        <v>344.18</v>
      </c>
      <c r="F771" s="145">
        <v>0</v>
      </c>
      <c r="G771" s="145">
        <v>0</v>
      </c>
      <c r="H771" s="145">
        <v>0</v>
      </c>
      <c r="I771" s="77">
        <f t="shared" si="14"/>
        <v>344.18</v>
      </c>
      <c r="J771" s="123" t="str">
        <f>IFERROR(VLOOKUP($C771,'CEDARS School FRPL'!C:H,4,FALSE),"No")</f>
        <v>Yes</v>
      </c>
      <c r="K771" s="109"/>
      <c r="L771" s="109"/>
      <c r="M771" s="110">
        <f>IFERROR(VLOOKUP($C771,'CEDARS School FRPL'!C:H,3,FALSE),0)</f>
        <v>0.74853333333333338</v>
      </c>
      <c r="N771" s="123" t="str">
        <f>IFERROR(VLOOKUP(C771,'CEDARS School FRPL'!C:H,6,FALSE),"No")</f>
        <v>No</v>
      </c>
      <c r="O771" s="147"/>
      <c r="P771" s="148"/>
    </row>
    <row r="772" spans="1:16">
      <c r="A772" s="95" t="s">
        <v>2328</v>
      </c>
      <c r="B772" s="95" t="s">
        <v>474</v>
      </c>
      <c r="C772" s="4">
        <v>2972</v>
      </c>
      <c r="D772" s="95" t="s">
        <v>476</v>
      </c>
      <c r="E772" s="145">
        <v>226</v>
      </c>
      <c r="F772" s="145">
        <v>0</v>
      </c>
      <c r="G772" s="145">
        <v>0</v>
      </c>
      <c r="H772" s="145">
        <v>0</v>
      </c>
      <c r="I772" s="77">
        <f t="shared" ref="I772:I835" si="15">+E772+F772+G772+H772</f>
        <v>226</v>
      </c>
      <c r="J772" s="123" t="str">
        <f>IFERROR(VLOOKUP($C772,'CEDARS School FRPL'!C:H,4,FALSE),"No")</f>
        <v>Yes</v>
      </c>
      <c r="M772" s="110">
        <f>IFERROR(VLOOKUP($C772,'CEDARS School FRPL'!C:H,3,FALSE),0)</f>
        <v>0.77796666666666658</v>
      </c>
      <c r="N772" s="123" t="str">
        <f>IFERROR(VLOOKUP(C772,'CEDARS School FRPL'!C:H,6,FALSE),"No")</f>
        <v>No</v>
      </c>
      <c r="O772" s="147"/>
      <c r="P772" s="148"/>
    </row>
    <row r="773" spans="1:16">
      <c r="A773" s="95" t="s">
        <v>2328</v>
      </c>
      <c r="B773" s="95" t="s">
        <v>474</v>
      </c>
      <c r="C773" s="4">
        <v>3621</v>
      </c>
      <c r="D773" s="95" t="s">
        <v>477</v>
      </c>
      <c r="E773" s="145">
        <v>200.14</v>
      </c>
      <c r="F773" s="145">
        <v>0</v>
      </c>
      <c r="G773" s="145">
        <v>0</v>
      </c>
      <c r="H773" s="145">
        <v>0</v>
      </c>
      <c r="I773" s="77">
        <f t="shared" si="15"/>
        <v>200.14</v>
      </c>
      <c r="J773" s="123" t="str">
        <f>IFERROR(VLOOKUP($C773,'CEDARS School FRPL'!C:H,4,FALSE),"No")</f>
        <v>Yes</v>
      </c>
      <c r="K773" s="109"/>
      <c r="L773" s="109"/>
      <c r="M773" s="110">
        <f>IFERROR(VLOOKUP($C773,'CEDARS School FRPL'!C:H,3,FALSE),0)</f>
        <v>0.77596666666666669</v>
      </c>
      <c r="N773" s="123" t="str">
        <f>IFERROR(VLOOKUP(C773,'CEDARS School FRPL'!C:H,6,FALSE),"No")</f>
        <v>No</v>
      </c>
      <c r="O773" s="147"/>
      <c r="P773" s="148"/>
    </row>
    <row r="774" spans="1:16">
      <c r="A774" s="95" t="s">
        <v>2328</v>
      </c>
      <c r="B774" s="95" t="s">
        <v>474</v>
      </c>
      <c r="C774" s="4">
        <v>3622</v>
      </c>
      <c r="D774" s="95" t="s">
        <v>478</v>
      </c>
      <c r="E774" s="145">
        <v>420.12</v>
      </c>
      <c r="F774" s="145">
        <v>23.049999999999997</v>
      </c>
      <c r="G774" s="145">
        <v>13.23</v>
      </c>
      <c r="H774" s="145">
        <v>0</v>
      </c>
      <c r="I774" s="77">
        <f t="shared" si="15"/>
        <v>456.40000000000003</v>
      </c>
      <c r="J774" s="123" t="str">
        <f>IFERROR(VLOOKUP($C774,'CEDARS School FRPL'!C:H,4,FALSE),"No")</f>
        <v>Yes</v>
      </c>
      <c r="K774" s="109"/>
      <c r="L774" s="109"/>
      <c r="M774" s="110">
        <f>IFERROR(VLOOKUP($C774,'CEDARS School FRPL'!C:H,3,FALSE),0)</f>
        <v>0.67003333333333337</v>
      </c>
      <c r="N774" s="123" t="str">
        <f>IFERROR(VLOOKUP(C774,'CEDARS School FRPL'!C:H,6,FALSE),"No")</f>
        <v>No</v>
      </c>
      <c r="O774" s="147"/>
      <c r="P774" s="148"/>
    </row>
    <row r="775" spans="1:16">
      <c r="A775" s="95" t="s">
        <v>2328</v>
      </c>
      <c r="B775" s="95" t="s">
        <v>474</v>
      </c>
      <c r="C775" s="4">
        <v>5191</v>
      </c>
      <c r="D775" s="95" t="s">
        <v>479</v>
      </c>
      <c r="E775" s="145">
        <v>126.43</v>
      </c>
      <c r="F775" s="145">
        <v>0</v>
      </c>
      <c r="G775" s="145">
        <v>0</v>
      </c>
      <c r="H775" s="145">
        <v>0</v>
      </c>
      <c r="I775" s="77">
        <f t="shared" si="15"/>
        <v>126.43</v>
      </c>
      <c r="J775" s="123" t="str">
        <f>IFERROR(VLOOKUP($C775,'CEDARS School FRPL'!C:H,4,FALSE),"No")</f>
        <v>Yes</v>
      </c>
      <c r="K775" s="107"/>
      <c r="L775" s="107"/>
      <c r="M775" s="110">
        <f>IFERROR(VLOOKUP($C775,'CEDARS School FRPL'!C:H,3,FALSE),0)</f>
        <v>0.67903333333333338</v>
      </c>
      <c r="N775" s="123" t="str">
        <f>IFERROR(VLOOKUP(C775,'CEDARS School FRPL'!C:H,6,FALSE),"No")</f>
        <v>No</v>
      </c>
      <c r="O775" s="147"/>
      <c r="P775" s="148"/>
    </row>
    <row r="776" spans="1:16">
      <c r="A776" s="95" t="s">
        <v>2708</v>
      </c>
      <c r="B776" s="95" t="s">
        <v>2885</v>
      </c>
      <c r="C776" s="4">
        <v>5517</v>
      </c>
      <c r="D776" s="95" t="s">
        <v>2885</v>
      </c>
      <c r="E776" s="145">
        <v>591.14</v>
      </c>
      <c r="F776" s="145">
        <v>0</v>
      </c>
      <c r="G776" s="145">
        <v>0</v>
      </c>
      <c r="H776" s="145">
        <v>0</v>
      </c>
      <c r="I776" s="77">
        <f t="shared" si="15"/>
        <v>591.14</v>
      </c>
      <c r="J776" s="123" t="str">
        <f>IFERROR(VLOOKUP($C776,'CEDARS School FRPL'!C:H,4,FALSE),"No")</f>
        <v>Yes</v>
      </c>
      <c r="K776" s="109"/>
      <c r="L776" s="109"/>
      <c r="M776" s="110">
        <f>IFERROR(VLOOKUP($C776,'CEDARS School FRPL'!C:H,3,FALSE),0)</f>
        <v>0.62596666666666667</v>
      </c>
      <c r="N776" s="123" t="str">
        <f>IFERROR(VLOOKUP(C776,'CEDARS School FRPL'!C:H,6,FALSE),"No")</f>
        <v>No</v>
      </c>
      <c r="O776" s="147"/>
      <c r="P776" s="148"/>
    </row>
    <row r="777" spans="1:16">
      <c r="A777" s="95" t="s">
        <v>2853</v>
      </c>
      <c r="B777" s="95" t="s">
        <v>2886</v>
      </c>
      <c r="C777" s="4">
        <v>5608</v>
      </c>
      <c r="D777" s="95" t="s">
        <v>2886</v>
      </c>
      <c r="E777" s="145">
        <v>284.86</v>
      </c>
      <c r="F777" s="145">
        <v>0</v>
      </c>
      <c r="G777" s="145">
        <v>0</v>
      </c>
      <c r="H777" s="145">
        <v>0</v>
      </c>
      <c r="I777" s="77">
        <f t="shared" si="15"/>
        <v>284.86</v>
      </c>
      <c r="J777" s="123" t="str">
        <f>IFERROR(VLOOKUP($C777,'CEDARS School FRPL'!C:H,4,FALSE),"No")</f>
        <v>No</v>
      </c>
      <c r="K777" s="109"/>
      <c r="L777" s="109"/>
      <c r="M777" s="110">
        <f>IFERROR(VLOOKUP($C777,'CEDARS School FRPL'!C:H,3,FALSE),0)</f>
        <v>0.49814999999999998</v>
      </c>
      <c r="N777" s="123" t="str">
        <f>IFERROR(VLOOKUP(C777,'CEDARS School FRPL'!C:H,6,FALSE),"No")</f>
        <v>No</v>
      </c>
      <c r="O777" s="147"/>
      <c r="P777" s="148"/>
    </row>
    <row r="778" spans="1:16">
      <c r="A778" s="95" t="s">
        <v>2953</v>
      </c>
      <c r="B778" s="95" t="s">
        <v>2987</v>
      </c>
      <c r="C778" s="4">
        <v>5661</v>
      </c>
      <c r="D778" s="95" t="s">
        <v>3018</v>
      </c>
      <c r="E778" s="145">
        <v>265.86</v>
      </c>
      <c r="F778" s="145">
        <v>0</v>
      </c>
      <c r="G778" s="145">
        <v>0</v>
      </c>
      <c r="H778" s="145">
        <v>0</v>
      </c>
      <c r="I778" s="77">
        <f t="shared" si="15"/>
        <v>265.86</v>
      </c>
      <c r="J778" s="123" t="str">
        <f>IFERROR(VLOOKUP($C778,'CEDARS School FRPL'!C:H,4,FALSE),"No")</f>
        <v>Yes</v>
      </c>
      <c r="K778" s="107"/>
      <c r="L778" s="107"/>
      <c r="M778" s="110">
        <f>IFERROR(VLOOKUP($C778,'CEDARS School FRPL'!C:H,3,FALSE),0)</f>
        <v>0.54679999999999995</v>
      </c>
      <c r="N778" s="123" t="str">
        <f>IFERROR(VLOOKUP(C778,'CEDARS School FRPL'!C:H,6,FALSE),"No")</f>
        <v>No</v>
      </c>
      <c r="O778" s="147"/>
      <c r="P778" s="148"/>
    </row>
    <row r="779" spans="1:16">
      <c r="A779" s="95" t="s">
        <v>2310</v>
      </c>
      <c r="B779" s="95" t="s">
        <v>363</v>
      </c>
      <c r="C779" s="4">
        <v>2603</v>
      </c>
      <c r="D779" s="95" t="s">
        <v>364</v>
      </c>
      <c r="E779" s="145">
        <v>62.13</v>
      </c>
      <c r="F779" s="145">
        <v>4.79</v>
      </c>
      <c r="G779" s="145">
        <v>0</v>
      </c>
      <c r="H779" s="145">
        <v>0</v>
      </c>
      <c r="I779" s="77">
        <f t="shared" si="15"/>
        <v>66.92</v>
      </c>
      <c r="J779" s="123" t="str">
        <f>IFERROR(VLOOKUP($C779,'CEDARS School FRPL'!C:H,4,FALSE),"No")</f>
        <v>Yes</v>
      </c>
      <c r="K779" s="109"/>
      <c r="L779" s="109"/>
      <c r="M779" s="110">
        <f>IFERROR(VLOOKUP($C779,'CEDARS School FRPL'!C:H,3,FALSE),0)</f>
        <v>0.66033333333333333</v>
      </c>
      <c r="N779" s="123" t="str">
        <f>IFERROR(VLOOKUP(C779,'CEDARS School FRPL'!C:H,6,FALSE),"No")</f>
        <v>No</v>
      </c>
      <c r="O779" s="147"/>
      <c r="P779" s="148"/>
    </row>
    <row r="780" spans="1:16">
      <c r="A780" s="95" t="s">
        <v>2310</v>
      </c>
      <c r="B780" s="95" t="s">
        <v>363</v>
      </c>
      <c r="C780" s="4">
        <v>4214</v>
      </c>
      <c r="D780" s="95" t="s">
        <v>365</v>
      </c>
      <c r="E780" s="145">
        <v>54.14</v>
      </c>
      <c r="F780" s="145">
        <v>0</v>
      </c>
      <c r="G780" s="145">
        <v>0</v>
      </c>
      <c r="H780" s="145">
        <v>0</v>
      </c>
      <c r="I780" s="77">
        <f t="shared" si="15"/>
        <v>54.14</v>
      </c>
      <c r="J780" s="123" t="str">
        <f>IFERROR(VLOOKUP($C780,'CEDARS School FRPL'!C:H,4,FALSE),"No")</f>
        <v>Yes</v>
      </c>
      <c r="K780" s="109"/>
      <c r="L780" s="109"/>
      <c r="M780" s="110">
        <f>IFERROR(VLOOKUP($C780,'CEDARS School FRPL'!C:H,3,FALSE),0)</f>
        <v>0.78216666666666679</v>
      </c>
      <c r="N780" s="123" t="str">
        <f>IFERROR(VLOOKUP(C780,'CEDARS School FRPL'!C:H,6,FALSE),"No")</f>
        <v>No</v>
      </c>
      <c r="O780" s="147"/>
      <c r="P780" s="148"/>
    </row>
    <row r="781" spans="1:16">
      <c r="A781" s="95" t="s">
        <v>2310</v>
      </c>
      <c r="B781" s="95" t="s">
        <v>363</v>
      </c>
      <c r="C781" s="4">
        <v>4215</v>
      </c>
      <c r="D781" s="95" t="s">
        <v>366</v>
      </c>
      <c r="E781" s="145">
        <v>102.57</v>
      </c>
      <c r="F781" s="145">
        <v>0</v>
      </c>
      <c r="G781" s="145">
        <v>0</v>
      </c>
      <c r="H781" s="145">
        <v>0</v>
      </c>
      <c r="I781" s="77">
        <f t="shared" si="15"/>
        <v>102.57</v>
      </c>
      <c r="J781" s="123" t="str">
        <f>IFERROR(VLOOKUP($C781,'CEDARS School FRPL'!C:H,4,FALSE),"No")</f>
        <v>Yes</v>
      </c>
      <c r="K781" s="109"/>
      <c r="L781" s="109"/>
      <c r="M781" s="110">
        <f>IFERROR(VLOOKUP($C781,'CEDARS School FRPL'!C:H,3,FALSE),0)</f>
        <v>0.71910000000000007</v>
      </c>
      <c r="N781" s="123" t="str">
        <f>IFERROR(VLOOKUP(C781,'CEDARS School FRPL'!C:H,6,FALSE),"No")</f>
        <v>No</v>
      </c>
      <c r="O781" s="147"/>
      <c r="P781" s="148"/>
    </row>
    <row r="782" spans="1:16">
      <c r="A782" s="95" t="s">
        <v>2478</v>
      </c>
      <c r="B782" s="95" t="s">
        <v>1708</v>
      </c>
      <c r="C782" s="4">
        <v>2948</v>
      </c>
      <c r="D782" s="95" t="s">
        <v>1709</v>
      </c>
      <c r="E782" s="145">
        <v>24.22</v>
      </c>
      <c r="F782" s="145">
        <v>0</v>
      </c>
      <c r="G782" s="145">
        <v>0</v>
      </c>
      <c r="H782" s="145">
        <v>0</v>
      </c>
      <c r="I782" s="77">
        <f t="shared" si="15"/>
        <v>24.22</v>
      </c>
      <c r="J782" s="123" t="str">
        <f>IFERROR(VLOOKUP($C782,'CEDARS School FRPL'!C:H,4,FALSE),"No")</f>
        <v>No</v>
      </c>
      <c r="K782" s="109"/>
      <c r="L782" s="109"/>
      <c r="M782" s="110">
        <f>IFERROR(VLOOKUP($C782,'CEDARS School FRPL'!C:H,3,FALSE),0)</f>
        <v>0.41473333333333334</v>
      </c>
      <c r="N782" s="123" t="str">
        <f>IFERROR(VLOOKUP(C782,'CEDARS School FRPL'!C:H,6,FALSE),"No")</f>
        <v>No</v>
      </c>
      <c r="O782" s="147"/>
      <c r="P782" s="148"/>
    </row>
    <row r="783" spans="1:16">
      <c r="A783" s="95" t="s">
        <v>2362</v>
      </c>
      <c r="B783" s="95" t="s">
        <v>846</v>
      </c>
      <c r="C783" s="4">
        <v>1624</v>
      </c>
      <c r="D783" s="95" t="s">
        <v>847</v>
      </c>
      <c r="E783" s="145">
        <v>46.35</v>
      </c>
      <c r="F783" s="145">
        <v>0</v>
      </c>
      <c r="G783" s="145">
        <v>0</v>
      </c>
      <c r="H783" s="145">
        <v>0</v>
      </c>
      <c r="I783" s="77">
        <f t="shared" si="15"/>
        <v>46.35</v>
      </c>
      <c r="J783" s="123" t="str">
        <f>IFERROR(VLOOKUP($C783,'CEDARS School FRPL'!C:H,4,FALSE),"No")</f>
        <v>No</v>
      </c>
      <c r="K783" s="109"/>
      <c r="L783" s="109"/>
      <c r="M783" s="110">
        <f>IFERROR(VLOOKUP($C783,'CEDARS School FRPL'!C:H,3,FALSE),0)</f>
        <v>0.2024</v>
      </c>
      <c r="N783" s="123" t="str">
        <f>IFERROR(VLOOKUP(C783,'CEDARS School FRPL'!C:H,6,FALSE),"No")</f>
        <v>No</v>
      </c>
      <c r="O783" s="147"/>
      <c r="P783" s="148"/>
    </row>
    <row r="784" spans="1:16">
      <c r="A784" s="95" t="s">
        <v>2362</v>
      </c>
      <c r="B784" s="95" t="s">
        <v>846</v>
      </c>
      <c r="C784" s="4">
        <v>2738</v>
      </c>
      <c r="D784" s="95" t="s">
        <v>848</v>
      </c>
      <c r="E784" s="145">
        <v>572.49</v>
      </c>
      <c r="F784" s="145">
        <v>0</v>
      </c>
      <c r="G784" s="145">
        <v>0</v>
      </c>
      <c r="H784" s="145">
        <v>0</v>
      </c>
      <c r="I784" s="77">
        <f t="shared" si="15"/>
        <v>572.49</v>
      </c>
      <c r="J784" s="123" t="str">
        <f>IFERROR(VLOOKUP($C784,'CEDARS School FRPL'!C:H,4,FALSE),"No")</f>
        <v>No</v>
      </c>
      <c r="K784" s="109"/>
      <c r="L784" s="109"/>
      <c r="M784" s="110">
        <f>IFERROR(VLOOKUP($C784,'CEDARS School FRPL'!C:H,3,FALSE),0)</f>
        <v>0.20696666666666666</v>
      </c>
      <c r="N784" s="123" t="str">
        <f>IFERROR(VLOOKUP(C784,'CEDARS School FRPL'!C:H,6,FALSE),"No")</f>
        <v>No</v>
      </c>
      <c r="O784" s="147"/>
      <c r="P784" s="148"/>
    </row>
    <row r="785" spans="1:16">
      <c r="A785" s="95" t="s">
        <v>2362</v>
      </c>
      <c r="B785" s="95" t="s">
        <v>846</v>
      </c>
      <c r="C785" s="4">
        <v>3038</v>
      </c>
      <c r="D785" s="95" t="s">
        <v>849</v>
      </c>
      <c r="E785" s="145">
        <v>804.97</v>
      </c>
      <c r="F785" s="145">
        <v>0</v>
      </c>
      <c r="G785" s="145">
        <v>0</v>
      </c>
      <c r="H785" s="145">
        <v>0</v>
      </c>
      <c r="I785" s="77">
        <f t="shared" si="15"/>
        <v>804.97</v>
      </c>
      <c r="J785" s="123" t="str">
        <f>IFERROR(VLOOKUP($C785,'CEDARS School FRPL'!C:H,4,FALSE),"No")</f>
        <v>No</v>
      </c>
      <c r="K785" s="109"/>
      <c r="L785" s="109"/>
      <c r="M785" s="110">
        <f>IFERROR(VLOOKUP($C785,'CEDARS School FRPL'!C:H,3,FALSE),0)</f>
        <v>0.16783333333333336</v>
      </c>
      <c r="N785" s="123" t="str">
        <f>IFERROR(VLOOKUP(C785,'CEDARS School FRPL'!C:H,6,FALSE),"No")</f>
        <v>No</v>
      </c>
      <c r="O785" s="147"/>
      <c r="P785" s="148"/>
    </row>
    <row r="786" spans="1:16">
      <c r="A786" s="95" t="s">
        <v>2362</v>
      </c>
      <c r="B786" s="95" t="s">
        <v>846</v>
      </c>
      <c r="C786" s="4">
        <v>3228</v>
      </c>
      <c r="D786" s="95" t="s">
        <v>850</v>
      </c>
      <c r="E786" s="145">
        <v>524.80999999999995</v>
      </c>
      <c r="F786" s="145">
        <v>0</v>
      </c>
      <c r="G786" s="145">
        <v>0</v>
      </c>
      <c r="H786" s="145">
        <v>0</v>
      </c>
      <c r="I786" s="77">
        <f t="shared" si="15"/>
        <v>524.80999999999995</v>
      </c>
      <c r="J786" s="123" t="str">
        <f>IFERROR(VLOOKUP($C786,'CEDARS School FRPL'!C:H,4,FALSE),"No")</f>
        <v>No</v>
      </c>
      <c r="K786" s="109"/>
      <c r="L786" s="109"/>
      <c r="M786" s="110">
        <f>IFERROR(VLOOKUP($C786,'CEDARS School FRPL'!C:H,3,FALSE),0)</f>
        <v>0.10713333333333334</v>
      </c>
      <c r="N786" s="123" t="str">
        <f>IFERROR(VLOOKUP(C786,'CEDARS School FRPL'!C:H,6,FALSE),"No")</f>
        <v>No</v>
      </c>
      <c r="O786" s="147"/>
      <c r="P786" s="148"/>
    </row>
    <row r="787" spans="1:16">
      <c r="A787" s="95" t="s">
        <v>2362</v>
      </c>
      <c r="B787" s="95" t="s">
        <v>846</v>
      </c>
      <c r="C787" s="4">
        <v>3385</v>
      </c>
      <c r="D787" s="95" t="s">
        <v>851</v>
      </c>
      <c r="E787" s="145">
        <v>2158.9499999999998</v>
      </c>
      <c r="F787" s="145">
        <v>255.95</v>
      </c>
      <c r="G787" s="145">
        <v>0</v>
      </c>
      <c r="H787" s="145">
        <v>0</v>
      </c>
      <c r="I787" s="77">
        <f t="shared" si="15"/>
        <v>2414.8999999999996</v>
      </c>
      <c r="J787" s="123" t="str">
        <f>IFERROR(VLOOKUP($C787,'CEDARS School FRPL'!C:H,4,FALSE),"No")</f>
        <v>No</v>
      </c>
      <c r="K787" s="109"/>
      <c r="L787" s="109"/>
      <c r="M787" s="110">
        <f>IFERROR(VLOOKUP($C787,'CEDARS School FRPL'!C:H,3,FALSE),0)</f>
        <v>9.3233333333333335E-2</v>
      </c>
      <c r="N787" s="123" t="str">
        <f>IFERROR(VLOOKUP(C787,'CEDARS School FRPL'!C:H,6,FALSE),"No")</f>
        <v>No</v>
      </c>
      <c r="O787" s="147"/>
      <c r="P787" s="148"/>
    </row>
    <row r="788" spans="1:16">
      <c r="A788" s="95" t="s">
        <v>2362</v>
      </c>
      <c r="B788" s="95" t="s">
        <v>846</v>
      </c>
      <c r="C788" s="4">
        <v>3386</v>
      </c>
      <c r="D788" s="95" t="s">
        <v>852</v>
      </c>
      <c r="E788" s="145">
        <v>551.66999999999996</v>
      </c>
      <c r="F788" s="145">
        <v>0</v>
      </c>
      <c r="G788" s="145">
        <v>0</v>
      </c>
      <c r="H788" s="145">
        <v>0</v>
      </c>
      <c r="I788" s="77">
        <f t="shared" si="15"/>
        <v>551.66999999999996</v>
      </c>
      <c r="J788" s="123" t="str">
        <f>IFERROR(VLOOKUP($C788,'CEDARS School FRPL'!C:H,4,FALSE),"No")</f>
        <v>No</v>
      </c>
      <c r="K788" s="109"/>
      <c r="L788" s="109"/>
      <c r="M788" s="110">
        <f>IFERROR(VLOOKUP($C788,'CEDARS School FRPL'!C:H,3,FALSE),0)</f>
        <v>6.2199999999999998E-2</v>
      </c>
      <c r="N788" s="123" t="str">
        <f>IFERROR(VLOOKUP(C788,'CEDARS School FRPL'!C:H,6,FALSE),"No")</f>
        <v>No</v>
      </c>
      <c r="O788" s="147"/>
      <c r="P788" s="148"/>
    </row>
    <row r="789" spans="1:16">
      <c r="A789" s="95" t="s">
        <v>2362</v>
      </c>
      <c r="B789" s="95" t="s">
        <v>846</v>
      </c>
      <c r="C789" s="4">
        <v>3440</v>
      </c>
      <c r="D789" s="95" t="s">
        <v>853</v>
      </c>
      <c r="E789" s="145">
        <v>610.71</v>
      </c>
      <c r="F789" s="145">
        <v>0</v>
      </c>
      <c r="G789" s="145">
        <v>0</v>
      </c>
      <c r="H789" s="145">
        <v>0</v>
      </c>
      <c r="I789" s="77">
        <f t="shared" si="15"/>
        <v>610.71</v>
      </c>
      <c r="J789" s="123" t="str">
        <f>IFERROR(VLOOKUP($C789,'CEDARS School FRPL'!C:H,4,FALSE),"No")</f>
        <v>No</v>
      </c>
      <c r="K789" s="109"/>
      <c r="L789" s="109"/>
      <c r="M789" s="110">
        <f>IFERROR(VLOOKUP($C789,'CEDARS School FRPL'!C:H,3,FALSE),0)</f>
        <v>0.1176</v>
      </c>
      <c r="N789" s="123" t="str">
        <f>IFERROR(VLOOKUP(C789,'CEDARS School FRPL'!C:H,6,FALSE),"No")</f>
        <v>No</v>
      </c>
      <c r="O789" s="147"/>
      <c r="P789" s="148"/>
    </row>
    <row r="790" spans="1:16">
      <c r="A790" s="95" t="s">
        <v>2362</v>
      </c>
      <c r="B790" s="95" t="s">
        <v>846</v>
      </c>
      <c r="C790" s="4">
        <v>3569</v>
      </c>
      <c r="D790" s="95" t="s">
        <v>3071</v>
      </c>
      <c r="E790" s="145">
        <v>0</v>
      </c>
      <c r="F790" s="145">
        <v>0</v>
      </c>
      <c r="G790" s="145">
        <v>6.14</v>
      </c>
      <c r="H790" s="145">
        <v>0</v>
      </c>
      <c r="I790" s="77">
        <f t="shared" si="15"/>
        <v>6.14</v>
      </c>
      <c r="J790" s="123" t="str">
        <f>IFERROR(VLOOKUP($C790,'CEDARS School FRPL'!C:H,4,FALSE),"No")</f>
        <v>No</v>
      </c>
      <c r="K790" s="109"/>
      <c r="L790" s="109"/>
      <c r="M790" s="110">
        <f>IFERROR(VLOOKUP($C790,'CEDARS School FRPL'!C:H,3,FALSE),0)</f>
        <v>0</v>
      </c>
      <c r="N790" s="123" t="str">
        <f>IFERROR(VLOOKUP(C790,'CEDARS School FRPL'!C:H,6,FALSE),"No")</f>
        <v>No</v>
      </c>
      <c r="O790" s="147"/>
      <c r="P790" s="148"/>
    </row>
    <row r="791" spans="1:16">
      <c r="A791" s="95" t="s">
        <v>2362</v>
      </c>
      <c r="B791" s="95" t="s">
        <v>846</v>
      </c>
      <c r="C791" s="4">
        <v>3636</v>
      </c>
      <c r="D791" s="95" t="s">
        <v>854</v>
      </c>
      <c r="E791" s="145">
        <v>830.23</v>
      </c>
      <c r="F791" s="145">
        <v>0</v>
      </c>
      <c r="G791" s="145">
        <v>0</v>
      </c>
      <c r="H791" s="145">
        <v>0</v>
      </c>
      <c r="I791" s="77">
        <f t="shared" si="15"/>
        <v>830.23</v>
      </c>
      <c r="J791" s="123" t="str">
        <f>IFERROR(VLOOKUP($C791,'CEDARS School FRPL'!C:H,4,FALSE),"No")</f>
        <v>No</v>
      </c>
      <c r="K791" s="109"/>
      <c r="L791" s="109"/>
      <c r="M791" s="110">
        <f>IFERROR(VLOOKUP($C791,'CEDARS School FRPL'!C:H,3,FALSE),0)</f>
        <v>0.12586666666666665</v>
      </c>
      <c r="N791" s="123" t="str">
        <f>IFERROR(VLOOKUP(C791,'CEDARS School FRPL'!C:H,6,FALSE),"No")</f>
        <v>No</v>
      </c>
      <c r="O791" s="147"/>
      <c r="P791" s="148"/>
    </row>
    <row r="792" spans="1:16">
      <c r="A792" s="95" t="s">
        <v>2362</v>
      </c>
      <c r="B792" s="95" t="s">
        <v>846</v>
      </c>
      <c r="C792" s="4">
        <v>3637</v>
      </c>
      <c r="D792" s="95" t="s">
        <v>855</v>
      </c>
      <c r="E792" s="145">
        <v>418.95</v>
      </c>
      <c r="F792" s="145">
        <v>0</v>
      </c>
      <c r="G792" s="145">
        <v>0</v>
      </c>
      <c r="H792" s="145">
        <v>0</v>
      </c>
      <c r="I792" s="77">
        <f t="shared" si="15"/>
        <v>418.95</v>
      </c>
      <c r="J792" s="123" t="str">
        <f>IFERROR(VLOOKUP($C792,'CEDARS School FRPL'!C:H,4,FALSE),"No")</f>
        <v>No</v>
      </c>
      <c r="K792" s="109"/>
      <c r="L792" s="109"/>
      <c r="M792" s="110">
        <f>IFERROR(VLOOKUP($C792,'CEDARS School FRPL'!C:H,3,FALSE),0)</f>
        <v>0.10436666666666668</v>
      </c>
      <c r="N792" s="123" t="str">
        <f>IFERROR(VLOOKUP(C792,'CEDARS School FRPL'!C:H,6,FALSE),"No")</f>
        <v>No</v>
      </c>
      <c r="O792" s="147"/>
      <c r="P792" s="148"/>
    </row>
    <row r="793" spans="1:16">
      <c r="A793" s="95" t="s">
        <v>2362</v>
      </c>
      <c r="B793" s="95" t="s">
        <v>846</v>
      </c>
      <c r="C793" s="4">
        <v>3673</v>
      </c>
      <c r="D793" s="95" t="s">
        <v>856</v>
      </c>
      <c r="E793" s="145">
        <v>553.57000000000005</v>
      </c>
      <c r="F793" s="145">
        <v>0</v>
      </c>
      <c r="G793" s="145">
        <v>0</v>
      </c>
      <c r="H793" s="145">
        <v>0</v>
      </c>
      <c r="I793" s="77">
        <f t="shared" si="15"/>
        <v>553.57000000000005</v>
      </c>
      <c r="J793" s="123" t="str">
        <f>IFERROR(VLOOKUP($C793,'CEDARS School FRPL'!C:H,4,FALSE),"No")</f>
        <v>No</v>
      </c>
      <c r="K793" s="109"/>
      <c r="L793" s="109"/>
      <c r="M793" s="110">
        <f>IFERROR(VLOOKUP($C793,'CEDARS School FRPL'!C:H,3,FALSE),0)</f>
        <v>0.21356666666666668</v>
      </c>
      <c r="N793" s="123" t="str">
        <f>IFERROR(VLOOKUP(C793,'CEDARS School FRPL'!C:H,6,FALSE),"No")</f>
        <v>No</v>
      </c>
      <c r="O793" s="147"/>
      <c r="P793" s="148"/>
    </row>
    <row r="794" spans="1:16">
      <c r="A794" s="95" t="s">
        <v>2362</v>
      </c>
      <c r="B794" s="95" t="s">
        <v>846</v>
      </c>
      <c r="C794" s="4">
        <v>3746</v>
      </c>
      <c r="D794" s="95" t="s">
        <v>857</v>
      </c>
      <c r="E794" s="145">
        <v>500.6</v>
      </c>
      <c r="F794" s="145">
        <v>0</v>
      </c>
      <c r="G794" s="145">
        <v>0</v>
      </c>
      <c r="H794" s="145">
        <v>0</v>
      </c>
      <c r="I794" s="77">
        <f t="shared" si="15"/>
        <v>500.6</v>
      </c>
      <c r="J794" s="123" t="str">
        <f>IFERROR(VLOOKUP($C794,'CEDARS School FRPL'!C:H,4,FALSE),"No")</f>
        <v>No</v>
      </c>
      <c r="K794" s="109"/>
      <c r="L794" s="109"/>
      <c r="M794" s="110">
        <f>IFERROR(VLOOKUP($C794,'CEDARS School FRPL'!C:H,3,FALSE),0)</f>
        <v>0.13799999999999998</v>
      </c>
      <c r="N794" s="123" t="str">
        <f>IFERROR(VLOOKUP(C794,'CEDARS School FRPL'!C:H,6,FALSE),"No")</f>
        <v>No</v>
      </c>
      <c r="O794" s="147"/>
      <c r="P794" s="148"/>
    </row>
    <row r="795" spans="1:16">
      <c r="A795" s="95" t="s">
        <v>2362</v>
      </c>
      <c r="B795" s="95" t="s">
        <v>846</v>
      </c>
      <c r="C795" s="4">
        <v>3879</v>
      </c>
      <c r="D795" s="95" t="s">
        <v>858</v>
      </c>
      <c r="E795" s="145">
        <v>882.12</v>
      </c>
      <c r="F795" s="145">
        <v>0</v>
      </c>
      <c r="G795" s="145">
        <v>0</v>
      </c>
      <c r="H795" s="145">
        <v>0</v>
      </c>
      <c r="I795" s="77">
        <f t="shared" si="15"/>
        <v>882.12</v>
      </c>
      <c r="J795" s="123" t="str">
        <f>IFERROR(VLOOKUP($C795,'CEDARS School FRPL'!C:H,4,FALSE),"No")</f>
        <v>No</v>
      </c>
      <c r="K795" s="109"/>
      <c r="L795" s="109"/>
      <c r="M795" s="110">
        <f>IFERROR(VLOOKUP($C795,'CEDARS School FRPL'!C:H,3,FALSE),0)</f>
        <v>3.3133333333333327E-2</v>
      </c>
      <c r="N795" s="123" t="str">
        <f>IFERROR(VLOOKUP(C795,'CEDARS School FRPL'!C:H,6,FALSE),"No")</f>
        <v>No</v>
      </c>
      <c r="O795" s="147"/>
      <c r="P795" s="148"/>
    </row>
    <row r="796" spans="1:16">
      <c r="A796" s="95" t="s">
        <v>2362</v>
      </c>
      <c r="B796" s="95" t="s">
        <v>846</v>
      </c>
      <c r="C796" s="4">
        <v>3962</v>
      </c>
      <c r="D796" s="95" t="s">
        <v>859</v>
      </c>
      <c r="E796" s="145">
        <v>1300.48</v>
      </c>
      <c r="F796" s="145">
        <v>161.35999999999999</v>
      </c>
      <c r="G796" s="145">
        <v>0</v>
      </c>
      <c r="H796" s="145">
        <v>0</v>
      </c>
      <c r="I796" s="77">
        <f t="shared" si="15"/>
        <v>1461.84</v>
      </c>
      <c r="J796" s="123" t="str">
        <f>IFERROR(VLOOKUP($C796,'CEDARS School FRPL'!C:H,4,FALSE),"No")</f>
        <v>No</v>
      </c>
      <c r="K796" s="109"/>
      <c r="L796" s="109"/>
      <c r="M796" s="110">
        <f>IFERROR(VLOOKUP($C796,'CEDARS School FRPL'!C:H,3,FALSE),0)</f>
        <v>0.11823333333333334</v>
      </c>
      <c r="N796" s="123" t="str">
        <f>IFERROR(VLOOKUP(C796,'CEDARS School FRPL'!C:H,6,FALSE),"No")</f>
        <v>No</v>
      </c>
      <c r="O796" s="147"/>
      <c r="P796" s="148"/>
    </row>
    <row r="797" spans="1:16">
      <c r="A797" s="95" t="s">
        <v>2362</v>
      </c>
      <c r="B797" s="95" t="s">
        <v>846</v>
      </c>
      <c r="C797" s="4">
        <v>4300</v>
      </c>
      <c r="D797" s="95" t="s">
        <v>860</v>
      </c>
      <c r="E797" s="145">
        <v>430.41</v>
      </c>
      <c r="F797" s="145">
        <v>0</v>
      </c>
      <c r="G797" s="145">
        <v>0</v>
      </c>
      <c r="H797" s="145">
        <v>0</v>
      </c>
      <c r="I797" s="77">
        <f t="shared" si="15"/>
        <v>430.41</v>
      </c>
      <c r="J797" s="123" t="str">
        <f>IFERROR(VLOOKUP($C797,'CEDARS School FRPL'!C:H,4,FALSE),"No")</f>
        <v>No</v>
      </c>
      <c r="K797" s="109"/>
      <c r="L797" s="109"/>
      <c r="M797" s="110">
        <f>IFERROR(VLOOKUP($C797,'CEDARS School FRPL'!C:H,3,FALSE),0)</f>
        <v>8.7433333333333321E-2</v>
      </c>
      <c r="N797" s="123" t="str">
        <f>IFERROR(VLOOKUP(C797,'CEDARS School FRPL'!C:H,6,FALSE),"No")</f>
        <v>No</v>
      </c>
      <c r="O797" s="147"/>
      <c r="P797" s="148"/>
    </row>
    <row r="798" spans="1:16">
      <c r="A798" s="95" t="s">
        <v>2362</v>
      </c>
      <c r="B798" s="95" t="s">
        <v>846</v>
      </c>
      <c r="C798" s="4">
        <v>4375</v>
      </c>
      <c r="D798" s="95" t="s">
        <v>861</v>
      </c>
      <c r="E798" s="145">
        <v>516.88</v>
      </c>
      <c r="F798" s="145">
        <v>0</v>
      </c>
      <c r="G798" s="145">
        <v>0</v>
      </c>
      <c r="H798" s="145">
        <v>0</v>
      </c>
      <c r="I798" s="77">
        <f t="shared" si="15"/>
        <v>516.88</v>
      </c>
      <c r="J798" s="123" t="str">
        <f>IFERROR(VLOOKUP($C798,'CEDARS School FRPL'!C:H,4,FALSE),"No")</f>
        <v>No</v>
      </c>
      <c r="K798" s="109"/>
      <c r="L798" s="109"/>
      <c r="M798" s="110">
        <f>IFERROR(VLOOKUP($C798,'CEDARS School FRPL'!C:H,3,FALSE),0)</f>
        <v>4.413333333333333E-2</v>
      </c>
      <c r="N798" s="123" t="str">
        <f>IFERROR(VLOOKUP(C798,'CEDARS School FRPL'!C:H,6,FALSE),"No")</f>
        <v>No</v>
      </c>
      <c r="O798" s="147"/>
      <c r="P798" s="148"/>
    </row>
    <row r="799" spans="1:16">
      <c r="A799" s="95" t="s">
        <v>2362</v>
      </c>
      <c r="B799" s="95" t="s">
        <v>846</v>
      </c>
      <c r="C799" s="4">
        <v>4376</v>
      </c>
      <c r="D799" s="95" t="s">
        <v>862</v>
      </c>
      <c r="E799" s="145">
        <v>557.42999999999995</v>
      </c>
      <c r="F799" s="145">
        <v>0</v>
      </c>
      <c r="G799" s="145">
        <v>0</v>
      </c>
      <c r="H799" s="145">
        <v>0</v>
      </c>
      <c r="I799" s="77">
        <f t="shared" si="15"/>
        <v>557.42999999999995</v>
      </c>
      <c r="J799" s="123" t="str">
        <f>IFERROR(VLOOKUP($C799,'CEDARS School FRPL'!C:H,4,FALSE),"No")</f>
        <v>No</v>
      </c>
      <c r="K799" s="109"/>
      <c r="L799" s="109"/>
      <c r="M799" s="110">
        <f>IFERROR(VLOOKUP($C799,'CEDARS School FRPL'!C:H,3,FALSE),0)</f>
        <v>2.0799999999999999E-2</v>
      </c>
      <c r="N799" s="123" t="str">
        <f>IFERROR(VLOOKUP(C799,'CEDARS School FRPL'!C:H,6,FALSE),"No")</f>
        <v>No</v>
      </c>
      <c r="O799" s="147"/>
      <c r="P799" s="148"/>
    </row>
    <row r="800" spans="1:16">
      <c r="A800" s="95" t="s">
        <v>2362</v>
      </c>
      <c r="B800" s="95" t="s">
        <v>846</v>
      </c>
      <c r="C800" s="4">
        <v>4460</v>
      </c>
      <c r="D800" s="95" t="s">
        <v>863</v>
      </c>
      <c r="E800" s="145">
        <v>842.17</v>
      </c>
      <c r="F800" s="145">
        <v>0</v>
      </c>
      <c r="G800" s="145">
        <v>0</v>
      </c>
      <c r="H800" s="145">
        <v>0</v>
      </c>
      <c r="I800" s="77">
        <f t="shared" si="15"/>
        <v>842.17</v>
      </c>
      <c r="J800" s="123" t="str">
        <f>IFERROR(VLOOKUP($C800,'CEDARS School FRPL'!C:H,4,FALSE),"No")</f>
        <v>No</v>
      </c>
      <c r="K800" s="109"/>
      <c r="L800" s="109"/>
      <c r="M800" s="110">
        <f>IFERROR(VLOOKUP($C800,'CEDARS School FRPL'!C:H,3,FALSE),0)</f>
        <v>5.8933333333333338E-2</v>
      </c>
      <c r="N800" s="123" t="str">
        <f>IFERROR(VLOOKUP(C800,'CEDARS School FRPL'!C:H,6,FALSE),"No")</f>
        <v>No</v>
      </c>
      <c r="O800" s="147"/>
      <c r="P800" s="148"/>
    </row>
    <row r="801" spans="1:16">
      <c r="A801" s="95" t="s">
        <v>2362</v>
      </c>
      <c r="B801" s="95" t="s">
        <v>846</v>
      </c>
      <c r="C801" s="4">
        <v>4493</v>
      </c>
      <c r="D801" s="95" t="s">
        <v>253</v>
      </c>
      <c r="E801" s="145">
        <v>499.78</v>
      </c>
      <c r="F801" s="145">
        <v>0</v>
      </c>
      <c r="G801" s="145">
        <v>0</v>
      </c>
      <c r="H801" s="145">
        <v>0</v>
      </c>
      <c r="I801" s="77">
        <f t="shared" si="15"/>
        <v>499.78</v>
      </c>
      <c r="J801" s="123" t="str">
        <f>IFERROR(VLOOKUP($C801,'CEDARS School FRPL'!C:H,4,FALSE),"No")</f>
        <v>No</v>
      </c>
      <c r="K801" s="109"/>
      <c r="L801" s="109"/>
      <c r="M801" s="110">
        <f>IFERROR(VLOOKUP($C801,'CEDARS School FRPL'!C:H,3,FALSE),0)</f>
        <v>6.6366666666666671E-2</v>
      </c>
      <c r="N801" s="123" t="str">
        <f>IFERROR(VLOOKUP(C801,'CEDARS School FRPL'!C:H,6,FALSE),"No")</f>
        <v>No</v>
      </c>
      <c r="O801" s="147"/>
      <c r="P801" s="148"/>
    </row>
    <row r="802" spans="1:16">
      <c r="A802" s="95" t="s">
        <v>2362</v>
      </c>
      <c r="B802" s="95" t="s">
        <v>846</v>
      </c>
      <c r="C802" s="4">
        <v>4495</v>
      </c>
      <c r="D802" s="95" t="s">
        <v>864</v>
      </c>
      <c r="E802" s="145">
        <v>1989.83</v>
      </c>
      <c r="F802" s="145">
        <v>214.5</v>
      </c>
      <c r="G802" s="145">
        <v>0</v>
      </c>
      <c r="H802" s="145">
        <v>0</v>
      </c>
      <c r="I802" s="77">
        <f t="shared" si="15"/>
        <v>2204.33</v>
      </c>
      <c r="J802" s="123" t="str">
        <f>IFERROR(VLOOKUP($C802,'CEDARS School FRPL'!C:H,4,FALSE),"No")</f>
        <v>No</v>
      </c>
      <c r="K802" s="109"/>
      <c r="L802" s="109"/>
      <c r="M802" s="110">
        <f>IFERROR(VLOOKUP($C802,'CEDARS School FRPL'!C:H,3,FALSE),0)</f>
        <v>4.2466666666666673E-2</v>
      </c>
      <c r="N802" s="123" t="str">
        <f>IFERROR(VLOOKUP(C802,'CEDARS School FRPL'!C:H,6,FALSE),"No")</f>
        <v>No</v>
      </c>
      <c r="O802" s="147"/>
      <c r="P802" s="148"/>
    </row>
    <row r="803" spans="1:16">
      <c r="A803" s="95" t="s">
        <v>2362</v>
      </c>
      <c r="B803" s="95" t="s">
        <v>846</v>
      </c>
      <c r="C803" s="4">
        <v>4565</v>
      </c>
      <c r="D803" s="95" t="s">
        <v>865</v>
      </c>
      <c r="E803" s="145">
        <v>395.47</v>
      </c>
      <c r="F803" s="145">
        <v>0</v>
      </c>
      <c r="G803" s="145">
        <v>0</v>
      </c>
      <c r="H803" s="145">
        <v>0</v>
      </c>
      <c r="I803" s="77">
        <f t="shared" si="15"/>
        <v>395.47</v>
      </c>
      <c r="J803" s="123" t="str">
        <f>IFERROR(VLOOKUP($C803,'CEDARS School FRPL'!C:H,4,FALSE),"No")</f>
        <v>No</v>
      </c>
      <c r="K803" s="109"/>
      <c r="L803" s="109"/>
      <c r="M803" s="110">
        <f>IFERROR(VLOOKUP($C803,'CEDARS School FRPL'!C:H,3,FALSE),0)</f>
        <v>1.0433333333333334E-2</v>
      </c>
      <c r="N803" s="123" t="str">
        <f>IFERROR(VLOOKUP(C803,'CEDARS School FRPL'!C:H,6,FALSE),"No")</f>
        <v>No</v>
      </c>
      <c r="O803" s="147"/>
      <c r="P803" s="148"/>
    </row>
    <row r="804" spans="1:16">
      <c r="A804" s="95" t="s">
        <v>2362</v>
      </c>
      <c r="B804" s="95" t="s">
        <v>846</v>
      </c>
      <c r="C804" s="4">
        <v>4592</v>
      </c>
      <c r="D804" s="95" t="s">
        <v>866</v>
      </c>
      <c r="E804" s="145">
        <v>497.01</v>
      </c>
      <c r="F804" s="145">
        <v>0</v>
      </c>
      <c r="G804" s="145">
        <v>0</v>
      </c>
      <c r="H804" s="145">
        <v>0</v>
      </c>
      <c r="I804" s="77">
        <f t="shared" si="15"/>
        <v>497.01</v>
      </c>
      <c r="J804" s="123" t="str">
        <f>IFERROR(VLOOKUP($C804,'CEDARS School FRPL'!C:H,4,FALSE),"No")</f>
        <v>No</v>
      </c>
      <c r="K804" s="109"/>
      <c r="L804" s="109"/>
      <c r="M804" s="110">
        <f>IFERROR(VLOOKUP($C804,'CEDARS School FRPL'!C:H,3,FALSE),0)</f>
        <v>8.7033333333333338E-2</v>
      </c>
      <c r="N804" s="123" t="str">
        <f>IFERROR(VLOOKUP(C804,'CEDARS School FRPL'!C:H,6,FALSE),"No")</f>
        <v>No</v>
      </c>
      <c r="O804" s="147"/>
      <c r="P804" s="148"/>
    </row>
    <row r="805" spans="1:16">
      <c r="A805" s="95" t="s">
        <v>2362</v>
      </c>
      <c r="B805" s="95" t="s">
        <v>846</v>
      </c>
      <c r="C805" s="4">
        <v>5056</v>
      </c>
      <c r="D805" s="95" t="s">
        <v>867</v>
      </c>
      <c r="E805" s="145">
        <v>604.63</v>
      </c>
      <c r="F805" s="145">
        <v>0</v>
      </c>
      <c r="G805" s="145">
        <v>0</v>
      </c>
      <c r="H805" s="145">
        <v>0</v>
      </c>
      <c r="I805" s="77">
        <f t="shared" si="15"/>
        <v>604.63</v>
      </c>
      <c r="J805" s="123" t="str">
        <f>IFERROR(VLOOKUP($C805,'CEDARS School FRPL'!C:H,4,FALSE),"No")</f>
        <v>No</v>
      </c>
      <c r="K805" s="109"/>
      <c r="L805" s="109"/>
      <c r="M805" s="110">
        <f>IFERROR(VLOOKUP($C805,'CEDARS School FRPL'!C:H,3,FALSE),0)</f>
        <v>5.6033333333333331E-2</v>
      </c>
      <c r="N805" s="123" t="str">
        <f>IFERROR(VLOOKUP(C805,'CEDARS School FRPL'!C:H,6,FALSE),"No")</f>
        <v>No</v>
      </c>
      <c r="O805" s="147"/>
      <c r="P805" s="148"/>
    </row>
    <row r="806" spans="1:16">
      <c r="A806" s="95" t="s">
        <v>2362</v>
      </c>
      <c r="B806" s="95" t="s">
        <v>846</v>
      </c>
      <c r="C806" s="4">
        <v>5200</v>
      </c>
      <c r="D806" s="95" t="s">
        <v>868</v>
      </c>
      <c r="E806" s="145">
        <v>689.64</v>
      </c>
      <c r="F806" s="145">
        <v>0</v>
      </c>
      <c r="G806" s="145">
        <v>0</v>
      </c>
      <c r="H806" s="145">
        <v>0</v>
      </c>
      <c r="I806" s="77">
        <f t="shared" si="15"/>
        <v>689.64</v>
      </c>
      <c r="J806" s="123" t="str">
        <f>IFERROR(VLOOKUP($C806,'CEDARS School FRPL'!C:H,4,FALSE),"No")</f>
        <v>No</v>
      </c>
      <c r="K806" s="109"/>
      <c r="L806" s="109"/>
      <c r="M806" s="110">
        <f>IFERROR(VLOOKUP($C806,'CEDARS School FRPL'!C:H,3,FALSE),0)</f>
        <v>6.536666666666667E-2</v>
      </c>
      <c r="N806" s="123" t="str">
        <f>IFERROR(VLOOKUP(C806,'CEDARS School FRPL'!C:H,6,FALSE),"No")</f>
        <v>No</v>
      </c>
      <c r="O806" s="147"/>
      <c r="P806" s="148"/>
    </row>
    <row r="807" spans="1:16">
      <c r="A807" s="95" t="s">
        <v>2362</v>
      </c>
      <c r="B807" s="95" t="s">
        <v>846</v>
      </c>
      <c r="C807" s="4">
        <v>5201</v>
      </c>
      <c r="D807" s="95" t="s">
        <v>869</v>
      </c>
      <c r="E807" s="145">
        <v>635.04</v>
      </c>
      <c r="F807" s="145">
        <v>0</v>
      </c>
      <c r="G807" s="145">
        <v>0</v>
      </c>
      <c r="H807" s="145">
        <v>0</v>
      </c>
      <c r="I807" s="77">
        <f t="shared" si="15"/>
        <v>635.04</v>
      </c>
      <c r="J807" s="123" t="str">
        <f>IFERROR(VLOOKUP($C807,'CEDARS School FRPL'!C:H,4,FALSE),"No")</f>
        <v>No</v>
      </c>
      <c r="K807" s="109"/>
      <c r="L807" s="109"/>
      <c r="M807" s="110">
        <f>IFERROR(VLOOKUP($C807,'CEDARS School FRPL'!C:H,3,FALSE),0)</f>
        <v>1.7766666666666667E-2</v>
      </c>
      <c r="N807" s="123" t="str">
        <f>IFERROR(VLOOKUP(C807,'CEDARS School FRPL'!C:H,6,FALSE),"No")</f>
        <v>No</v>
      </c>
      <c r="O807" s="147"/>
      <c r="P807" s="148"/>
    </row>
    <row r="808" spans="1:16">
      <c r="A808" s="95" t="s">
        <v>2362</v>
      </c>
      <c r="B808" s="95" t="s">
        <v>846</v>
      </c>
      <c r="C808" s="4">
        <v>5437</v>
      </c>
      <c r="D808" s="95" t="s">
        <v>870</v>
      </c>
      <c r="E808" s="145">
        <v>177.28</v>
      </c>
      <c r="F808" s="145">
        <v>4.3499999999999996</v>
      </c>
      <c r="G808" s="145">
        <v>0</v>
      </c>
      <c r="H808" s="145">
        <v>0</v>
      </c>
      <c r="I808" s="77">
        <f t="shared" si="15"/>
        <v>181.63</v>
      </c>
      <c r="J808" s="123" t="str">
        <f>IFERROR(VLOOKUP($C808,'CEDARS School FRPL'!C:H,4,FALSE),"No")</f>
        <v>No</v>
      </c>
      <c r="K808" s="109"/>
      <c r="L808" s="109"/>
      <c r="M808" s="110">
        <f>IFERROR(VLOOKUP($C808,'CEDARS School FRPL'!C:H,3,FALSE),0)</f>
        <v>8.776666666666666E-2</v>
      </c>
      <c r="N808" s="123" t="str">
        <f>IFERROR(VLOOKUP(C808,'CEDARS School FRPL'!C:H,6,FALSE),"No")</f>
        <v>No</v>
      </c>
      <c r="O808" s="147"/>
      <c r="P808" s="148"/>
    </row>
    <row r="809" spans="1:16">
      <c r="A809" s="95" t="s">
        <v>2362</v>
      </c>
      <c r="B809" s="95" t="s">
        <v>846</v>
      </c>
      <c r="C809" s="4">
        <v>5673</v>
      </c>
      <c r="D809" s="95" t="s">
        <v>3019</v>
      </c>
      <c r="E809" s="145">
        <v>376.31</v>
      </c>
      <c r="F809" s="145">
        <v>0</v>
      </c>
      <c r="G809" s="145">
        <v>0</v>
      </c>
      <c r="H809" s="145">
        <v>0</v>
      </c>
      <c r="I809" s="77">
        <f t="shared" si="15"/>
        <v>376.31</v>
      </c>
      <c r="J809" s="123" t="str">
        <f>IFERROR(VLOOKUP($C809,'CEDARS School FRPL'!C:H,4,FALSE),"No")</f>
        <v>No</v>
      </c>
      <c r="K809" s="109"/>
      <c r="L809" s="109"/>
      <c r="M809" s="110">
        <f>IFERROR(VLOOKUP($C809,'CEDARS School FRPL'!C:H,3,FALSE),0)</f>
        <v>0.10340000000000001</v>
      </c>
      <c r="N809" s="123" t="str">
        <f>IFERROR(VLOOKUP(C809,'CEDARS School FRPL'!C:H,6,FALSE),"No")</f>
        <v>No</v>
      </c>
      <c r="O809" s="147"/>
      <c r="P809" s="148"/>
    </row>
    <row r="810" spans="1:16">
      <c r="A810" s="95" t="s">
        <v>2362</v>
      </c>
      <c r="B810" s="95" t="s">
        <v>846</v>
      </c>
      <c r="C810" s="4">
        <v>5674</v>
      </c>
      <c r="D810" s="95" t="s">
        <v>3020</v>
      </c>
      <c r="E810" s="145">
        <v>638.67999999999995</v>
      </c>
      <c r="F810" s="145">
        <v>0</v>
      </c>
      <c r="G810" s="145">
        <v>0</v>
      </c>
      <c r="H810" s="145">
        <v>0</v>
      </c>
      <c r="I810" s="77">
        <f t="shared" si="15"/>
        <v>638.67999999999995</v>
      </c>
      <c r="J810" s="123" t="str">
        <f>IFERROR(VLOOKUP($C810,'CEDARS School FRPL'!C:H,4,FALSE),"No")</f>
        <v>No</v>
      </c>
      <c r="K810" s="109"/>
      <c r="L810" s="109"/>
      <c r="M810" s="110">
        <f>IFERROR(VLOOKUP($C810,'CEDARS School FRPL'!C:H,3,FALSE),0)</f>
        <v>9.0300000000000005E-2</v>
      </c>
      <c r="N810" s="123" t="str">
        <f>IFERROR(VLOOKUP(C810,'CEDARS School FRPL'!C:H,6,FALSE),"No")</f>
        <v>No</v>
      </c>
      <c r="O810" s="147"/>
      <c r="P810" s="148"/>
    </row>
    <row r="811" spans="1:16">
      <c r="A811" s="95" t="s">
        <v>2315</v>
      </c>
      <c r="B811" s="95" t="s">
        <v>403</v>
      </c>
      <c r="C811" s="4">
        <v>3214</v>
      </c>
      <c r="D811" s="95" t="s">
        <v>404</v>
      </c>
      <c r="E811" s="145">
        <v>38.57</v>
      </c>
      <c r="F811" s="145">
        <v>0</v>
      </c>
      <c r="G811" s="145">
        <v>0</v>
      </c>
      <c r="H811" s="145">
        <v>0</v>
      </c>
      <c r="I811" s="77">
        <f t="shared" si="15"/>
        <v>38.57</v>
      </c>
      <c r="J811" s="123" t="str">
        <f>IFERROR(VLOOKUP($C811,'CEDARS School FRPL'!C:H,4,FALSE),"No")</f>
        <v>Yes</v>
      </c>
      <c r="K811" s="109"/>
      <c r="L811" s="109"/>
      <c r="M811" s="110">
        <f>IFERROR(VLOOKUP($C811,'CEDARS School FRPL'!C:H,3,FALSE),0)</f>
        <v>0.44749999999999995</v>
      </c>
      <c r="N811" s="123" t="str">
        <f>IFERROR(VLOOKUP(C811,'CEDARS School FRPL'!C:H,6,FALSE),"No")</f>
        <v>No</v>
      </c>
      <c r="O811" s="147"/>
      <c r="P811" s="148"/>
    </row>
    <row r="812" spans="1:16">
      <c r="A812" s="95" t="s">
        <v>2298</v>
      </c>
      <c r="B812" s="95" t="s">
        <v>318</v>
      </c>
      <c r="C812" s="4">
        <v>2561</v>
      </c>
      <c r="D812" s="95" t="s">
        <v>2783</v>
      </c>
      <c r="E812" s="145">
        <v>259</v>
      </c>
      <c r="F812" s="145">
        <v>0</v>
      </c>
      <c r="G812" s="145">
        <v>0</v>
      </c>
      <c r="H812" s="145">
        <v>0</v>
      </c>
      <c r="I812" s="77">
        <f t="shared" si="15"/>
        <v>259</v>
      </c>
      <c r="J812" s="123" t="str">
        <f>IFERROR(VLOOKUP($C812,'CEDARS School FRPL'!C:H,4,FALSE),"No")</f>
        <v>No</v>
      </c>
      <c r="K812" s="109"/>
      <c r="L812" s="109"/>
      <c r="M812" s="110">
        <f>IFERROR(VLOOKUP($C812,'CEDARS School FRPL'!C:H,3,FALSE),0)</f>
        <v>0.32526666666666665</v>
      </c>
      <c r="N812" s="123" t="str">
        <f>IFERROR(VLOOKUP(C812,'CEDARS School FRPL'!C:H,6,FALSE),"No")</f>
        <v>No</v>
      </c>
      <c r="O812" s="147"/>
      <c r="P812" s="148"/>
    </row>
    <row r="813" spans="1:16">
      <c r="A813" s="95" t="s">
        <v>2298</v>
      </c>
      <c r="B813" s="95" t="s">
        <v>318</v>
      </c>
      <c r="C813" s="4">
        <v>2915</v>
      </c>
      <c r="D813" s="95" t="s">
        <v>319</v>
      </c>
      <c r="E813" s="145">
        <v>485.12</v>
      </c>
      <c r="F813" s="145">
        <v>0</v>
      </c>
      <c r="G813" s="145">
        <v>0</v>
      </c>
      <c r="H813" s="145">
        <v>0</v>
      </c>
      <c r="I813" s="77">
        <f t="shared" si="15"/>
        <v>485.12</v>
      </c>
      <c r="J813" s="123" t="str">
        <f>IFERROR(VLOOKUP($C813,'CEDARS School FRPL'!C:H,4,FALSE),"No")</f>
        <v>No</v>
      </c>
      <c r="K813" s="109"/>
      <c r="L813" s="109"/>
      <c r="M813" s="110">
        <f>IFERROR(VLOOKUP($C813,'CEDARS School FRPL'!C:H,3,FALSE),0)</f>
        <v>0.31583333333333335</v>
      </c>
      <c r="N813" s="123" t="str">
        <f>IFERROR(VLOOKUP(C813,'CEDARS School FRPL'!C:H,6,FALSE),"No")</f>
        <v>No</v>
      </c>
      <c r="O813" s="147"/>
      <c r="P813" s="148"/>
    </row>
    <row r="814" spans="1:16">
      <c r="A814" s="95" t="s">
        <v>2298</v>
      </c>
      <c r="B814" s="95" t="s">
        <v>318</v>
      </c>
      <c r="C814" s="4">
        <v>5545</v>
      </c>
      <c r="D814" s="95" t="s">
        <v>2802</v>
      </c>
      <c r="E814" s="145">
        <v>260.49</v>
      </c>
      <c r="F814" s="145">
        <v>39</v>
      </c>
      <c r="G814" s="145">
        <v>0</v>
      </c>
      <c r="H814" s="145">
        <v>0</v>
      </c>
      <c r="I814" s="77">
        <f t="shared" si="15"/>
        <v>299.49</v>
      </c>
      <c r="J814" s="123" t="str">
        <f>IFERROR(VLOOKUP($C814,'CEDARS School FRPL'!C:H,4,FALSE),"No")</f>
        <v>No</v>
      </c>
      <c r="K814" s="109"/>
      <c r="L814" s="109"/>
      <c r="M814" s="110">
        <f>IFERROR(VLOOKUP($C814,'CEDARS School FRPL'!C:H,3,FALSE),0)</f>
        <v>0.30456666666666671</v>
      </c>
      <c r="N814" s="123" t="str">
        <f>IFERROR(VLOOKUP(C814,'CEDARS School FRPL'!C:H,6,FALSE),"No")</f>
        <v>No</v>
      </c>
      <c r="O814" s="147"/>
      <c r="P814" s="148"/>
    </row>
    <row r="815" spans="1:16">
      <c r="A815" s="95" t="s">
        <v>2307</v>
      </c>
      <c r="B815" s="95" t="s">
        <v>358</v>
      </c>
      <c r="C815" s="4">
        <v>2602</v>
      </c>
      <c r="D815" s="95" t="s">
        <v>359</v>
      </c>
      <c r="E815" s="145">
        <v>33.71</v>
      </c>
      <c r="F815" s="145">
        <v>0</v>
      </c>
      <c r="G815" s="145">
        <v>0</v>
      </c>
      <c r="H815" s="145">
        <v>0</v>
      </c>
      <c r="I815" s="77">
        <f t="shared" si="15"/>
        <v>33.71</v>
      </c>
      <c r="J815" s="123" t="str">
        <f>IFERROR(VLOOKUP($C815,'CEDARS School FRPL'!C:H,4,FALSE),"No")</f>
        <v>Yes</v>
      </c>
      <c r="K815" s="109"/>
      <c r="L815" s="109"/>
      <c r="M815" s="110">
        <f>IFERROR(VLOOKUP($C815,'CEDARS School FRPL'!C:H,3,FALSE),0)</f>
        <v>0.8306</v>
      </c>
      <c r="N815" s="123" t="str">
        <f>IFERROR(VLOOKUP(C815,'CEDARS School FRPL'!C:H,6,FALSE),"No")</f>
        <v>No</v>
      </c>
      <c r="O815" s="147"/>
      <c r="P815" s="148"/>
    </row>
    <row r="816" spans="1:16">
      <c r="A816" s="95" t="s">
        <v>2300</v>
      </c>
      <c r="B816" s="95" t="s">
        <v>326</v>
      </c>
      <c r="C816" s="4">
        <v>1934</v>
      </c>
      <c r="D816" s="95" t="s">
        <v>327</v>
      </c>
      <c r="E816" s="145">
        <v>4.8499999999999996</v>
      </c>
      <c r="F816" s="145">
        <v>0</v>
      </c>
      <c r="G816" s="145">
        <v>0</v>
      </c>
      <c r="H816" s="145">
        <v>0</v>
      </c>
      <c r="I816" s="77">
        <f t="shared" si="15"/>
        <v>4.8499999999999996</v>
      </c>
      <c r="J816" s="123" t="str">
        <f>IFERROR(VLOOKUP($C816,'CEDARS School FRPL'!C:H,4,FALSE),"No")</f>
        <v>Yes</v>
      </c>
      <c r="K816" s="109"/>
      <c r="L816" s="109"/>
      <c r="M816" s="110">
        <f>IFERROR(VLOOKUP($C816,'CEDARS School FRPL'!C:H,3,FALSE),0)</f>
        <v>0.6629666666666667</v>
      </c>
      <c r="N816" s="123" t="str">
        <f>IFERROR(VLOOKUP(C816,'CEDARS School FRPL'!C:H,6,FALSE),"No")</f>
        <v>No</v>
      </c>
      <c r="O816" s="147"/>
      <c r="P816" s="148"/>
    </row>
    <row r="817" spans="1:16">
      <c r="A817" s="95" t="s">
        <v>2300</v>
      </c>
      <c r="B817" s="95" t="s">
        <v>326</v>
      </c>
      <c r="C817" s="4">
        <v>2266</v>
      </c>
      <c r="D817" s="95" t="s">
        <v>328</v>
      </c>
      <c r="E817" s="145">
        <v>1315.23</v>
      </c>
      <c r="F817" s="145">
        <v>83.02</v>
      </c>
      <c r="G817" s="145">
        <v>0</v>
      </c>
      <c r="H817" s="145">
        <v>0</v>
      </c>
      <c r="I817" s="77">
        <f t="shared" si="15"/>
        <v>1398.25</v>
      </c>
      <c r="J817" s="123" t="str">
        <f>IFERROR(VLOOKUP($C817,'CEDARS School FRPL'!C:H,4,FALSE),"No")</f>
        <v>Yes</v>
      </c>
      <c r="K817" s="109"/>
      <c r="L817" s="109"/>
      <c r="M817" s="110">
        <f>IFERROR(VLOOKUP($C817,'CEDARS School FRPL'!C:H,3,FALSE),0)</f>
        <v>0.54786666666666672</v>
      </c>
      <c r="N817" s="123" t="str">
        <f>IFERROR(VLOOKUP(C817,'CEDARS School FRPL'!C:H,6,FALSE),"No")</f>
        <v>No</v>
      </c>
      <c r="O817" s="147"/>
      <c r="P817" s="148"/>
    </row>
    <row r="818" spans="1:16">
      <c r="A818" s="95" t="s">
        <v>2300</v>
      </c>
      <c r="B818" s="95" t="s">
        <v>326</v>
      </c>
      <c r="C818" s="4">
        <v>2596</v>
      </c>
      <c r="D818" s="95" t="s">
        <v>329</v>
      </c>
      <c r="E818" s="145">
        <v>161.41</v>
      </c>
      <c r="F818" s="145">
        <v>0</v>
      </c>
      <c r="G818" s="145">
        <v>0</v>
      </c>
      <c r="H818" s="145">
        <v>0</v>
      </c>
      <c r="I818" s="77">
        <f t="shared" si="15"/>
        <v>161.41</v>
      </c>
      <c r="J818" s="123" t="str">
        <f>IFERROR(VLOOKUP($C818,'CEDARS School FRPL'!C:H,4,FALSE),"No")</f>
        <v>No</v>
      </c>
      <c r="K818" s="107"/>
      <c r="L818" s="107"/>
      <c r="M818" s="110">
        <f>IFERROR(VLOOKUP($C818,'CEDARS School FRPL'!C:H,3,FALSE),0)</f>
        <v>0.33883333333333332</v>
      </c>
      <c r="N818" s="123" t="str">
        <f>IFERROR(VLOOKUP(C818,'CEDARS School FRPL'!C:H,6,FALSE),"No")</f>
        <v>No</v>
      </c>
      <c r="O818" s="147"/>
      <c r="P818" s="148"/>
    </row>
    <row r="819" spans="1:16">
      <c r="A819" s="95" t="s">
        <v>2300</v>
      </c>
      <c r="B819" s="95" t="s">
        <v>326</v>
      </c>
      <c r="C819" s="4">
        <v>2624</v>
      </c>
      <c r="D819" s="95" t="s">
        <v>330</v>
      </c>
      <c r="E819" s="145">
        <v>329.48</v>
      </c>
      <c r="F819" s="145">
        <v>0</v>
      </c>
      <c r="G819" s="145">
        <v>0</v>
      </c>
      <c r="H819" s="145">
        <v>0</v>
      </c>
      <c r="I819" s="77">
        <f t="shared" si="15"/>
        <v>329.48</v>
      </c>
      <c r="J819" s="123" t="str">
        <f>IFERROR(VLOOKUP($C819,'CEDARS School FRPL'!C:H,4,FALSE),"No")</f>
        <v>Yes</v>
      </c>
      <c r="K819" s="109"/>
      <c r="L819" s="109"/>
      <c r="M819" s="110">
        <f>IFERROR(VLOOKUP($C819,'CEDARS School FRPL'!C:H,3,FALSE),0)</f>
        <v>0.82493333333333341</v>
      </c>
      <c r="N819" s="123" t="str">
        <f>IFERROR(VLOOKUP(C819,'CEDARS School FRPL'!C:H,6,FALSE),"No")</f>
        <v>No</v>
      </c>
      <c r="O819" s="147"/>
      <c r="P819" s="148"/>
    </row>
    <row r="820" spans="1:16">
      <c r="A820" s="95" t="s">
        <v>2300</v>
      </c>
      <c r="B820" s="95" t="s">
        <v>326</v>
      </c>
      <c r="C820" s="4">
        <v>2913</v>
      </c>
      <c r="D820" s="95" t="s">
        <v>331</v>
      </c>
      <c r="E820" s="145">
        <v>90.29</v>
      </c>
      <c r="F820" s="145">
        <v>0</v>
      </c>
      <c r="G820" s="145">
        <v>0</v>
      </c>
      <c r="H820" s="145">
        <v>0</v>
      </c>
      <c r="I820" s="77">
        <f t="shared" si="15"/>
        <v>90.29</v>
      </c>
      <c r="J820" s="123" t="str">
        <f>IFERROR(VLOOKUP($C820,'CEDARS School FRPL'!C:H,4,FALSE),"No")</f>
        <v>No</v>
      </c>
      <c r="K820" s="109"/>
      <c r="L820" s="109"/>
      <c r="M820" s="110">
        <f>IFERROR(VLOOKUP($C820,'CEDARS School FRPL'!C:H,3,FALSE),0)</f>
        <v>0.40329999999999999</v>
      </c>
      <c r="N820" s="123" t="str">
        <f>IFERROR(VLOOKUP(C820,'CEDARS School FRPL'!C:H,6,FALSE),"No")</f>
        <v>No</v>
      </c>
      <c r="O820" s="147"/>
      <c r="P820" s="148"/>
    </row>
    <row r="821" spans="1:16">
      <c r="A821" s="95" t="s">
        <v>2300</v>
      </c>
      <c r="B821" s="95" t="s">
        <v>326</v>
      </c>
      <c r="C821" s="4">
        <v>2916</v>
      </c>
      <c r="D821" s="95" t="s">
        <v>332</v>
      </c>
      <c r="E821" s="145">
        <v>527.66</v>
      </c>
      <c r="F821" s="145">
        <v>0</v>
      </c>
      <c r="G821" s="145">
        <v>0</v>
      </c>
      <c r="H821" s="145">
        <v>0</v>
      </c>
      <c r="I821" s="77">
        <f t="shared" si="15"/>
        <v>527.66</v>
      </c>
      <c r="J821" s="123" t="str">
        <f>IFERROR(VLOOKUP($C821,'CEDARS School FRPL'!C:H,4,FALSE),"No")</f>
        <v>Yes</v>
      </c>
      <c r="K821" s="109"/>
      <c r="L821" s="109"/>
      <c r="M821" s="110">
        <f>IFERROR(VLOOKUP($C821,'CEDARS School FRPL'!C:H,3,FALSE),0)</f>
        <v>0.65</v>
      </c>
      <c r="N821" s="123" t="str">
        <f>IFERROR(VLOOKUP(C821,'CEDARS School FRPL'!C:H,6,FALSE),"No")</f>
        <v>No</v>
      </c>
      <c r="O821" s="147"/>
      <c r="P821" s="148"/>
    </row>
    <row r="822" spans="1:16">
      <c r="A822" s="95" t="s">
        <v>2300</v>
      </c>
      <c r="B822" s="95" t="s">
        <v>326</v>
      </c>
      <c r="C822" s="4">
        <v>3082</v>
      </c>
      <c r="D822" s="95" t="s">
        <v>333</v>
      </c>
      <c r="E822" s="145">
        <v>401.88</v>
      </c>
      <c r="F822" s="145">
        <v>0</v>
      </c>
      <c r="G822" s="145">
        <v>0</v>
      </c>
      <c r="H822" s="145">
        <v>0</v>
      </c>
      <c r="I822" s="77">
        <f t="shared" si="15"/>
        <v>401.88</v>
      </c>
      <c r="J822" s="123" t="str">
        <f>IFERROR(VLOOKUP($C822,'CEDARS School FRPL'!C:H,4,FALSE),"No")</f>
        <v>Yes</v>
      </c>
      <c r="K822" s="109"/>
      <c r="L822" s="109"/>
      <c r="M822" s="110">
        <f>IFERROR(VLOOKUP($C822,'CEDARS School FRPL'!C:H,3,FALSE),0)</f>
        <v>0.54110000000000003</v>
      </c>
      <c r="N822" s="123" t="str">
        <f>IFERROR(VLOOKUP(C822,'CEDARS School FRPL'!C:H,6,FALSE),"No")</f>
        <v>No</v>
      </c>
      <c r="O822" s="147"/>
      <c r="P822" s="148"/>
    </row>
    <row r="823" spans="1:16">
      <c r="A823" s="95" t="s">
        <v>2300</v>
      </c>
      <c r="B823" s="95" t="s">
        <v>326</v>
      </c>
      <c r="C823" s="4">
        <v>3322</v>
      </c>
      <c r="D823" s="95" t="s">
        <v>334</v>
      </c>
      <c r="E823" s="145">
        <v>557.32000000000005</v>
      </c>
      <c r="F823" s="145">
        <v>0</v>
      </c>
      <c r="G823" s="145">
        <v>0</v>
      </c>
      <c r="H823" s="145">
        <v>0</v>
      </c>
      <c r="I823" s="77">
        <f t="shared" si="15"/>
        <v>557.32000000000005</v>
      </c>
      <c r="J823" s="123" t="str">
        <f>IFERROR(VLOOKUP($C823,'CEDARS School FRPL'!C:H,4,FALSE),"No")</f>
        <v>Yes</v>
      </c>
      <c r="K823" s="109"/>
      <c r="L823" s="109"/>
      <c r="M823" s="110">
        <f>IFERROR(VLOOKUP($C823,'CEDARS School FRPL'!C:H,3,FALSE),0)</f>
        <v>0.59670000000000001</v>
      </c>
      <c r="N823" s="123" t="str">
        <f>IFERROR(VLOOKUP(C823,'CEDARS School FRPL'!C:H,6,FALSE),"No")</f>
        <v>No</v>
      </c>
      <c r="O823" s="147"/>
      <c r="P823" s="148"/>
    </row>
    <row r="824" spans="1:16">
      <c r="A824" s="95" t="s">
        <v>2300</v>
      </c>
      <c r="B824" s="95" t="s">
        <v>326</v>
      </c>
      <c r="C824" s="4">
        <v>3323</v>
      </c>
      <c r="D824" s="95" t="s">
        <v>335</v>
      </c>
      <c r="E824" s="145">
        <v>313.87</v>
      </c>
      <c r="F824" s="145">
        <v>0</v>
      </c>
      <c r="G824" s="145">
        <v>0</v>
      </c>
      <c r="H824" s="145">
        <v>0</v>
      </c>
      <c r="I824" s="77">
        <f t="shared" si="15"/>
        <v>313.87</v>
      </c>
      <c r="J824" s="123" t="str">
        <f>IFERROR(VLOOKUP($C824,'CEDARS School FRPL'!C:H,4,FALSE),"No")</f>
        <v>Yes</v>
      </c>
      <c r="K824" s="109"/>
      <c r="L824" s="109"/>
      <c r="M824" s="110">
        <f>IFERROR(VLOOKUP($C824,'CEDARS School FRPL'!C:H,3,FALSE),0)</f>
        <v>0.83293333333333341</v>
      </c>
      <c r="N824" s="123" t="str">
        <f>IFERROR(VLOOKUP(C824,'CEDARS School FRPL'!C:H,6,FALSE),"No")</f>
        <v>No</v>
      </c>
      <c r="O824" s="147"/>
      <c r="P824" s="148"/>
    </row>
    <row r="825" spans="1:16">
      <c r="A825" s="95" t="s">
        <v>2300</v>
      </c>
      <c r="B825" s="95" t="s">
        <v>326</v>
      </c>
      <c r="C825" s="4">
        <v>5194</v>
      </c>
      <c r="D825" s="95" t="s">
        <v>336</v>
      </c>
      <c r="E825" s="145">
        <v>241.35</v>
      </c>
      <c r="F825" s="145">
        <v>5.18</v>
      </c>
      <c r="G825" s="145">
        <v>0</v>
      </c>
      <c r="H825" s="145">
        <v>0</v>
      </c>
      <c r="I825" s="77">
        <f t="shared" si="15"/>
        <v>246.53</v>
      </c>
      <c r="J825" s="123" t="str">
        <f>IFERROR(VLOOKUP($C825,'CEDARS School FRPL'!C:H,4,FALSE),"No")</f>
        <v>Yes</v>
      </c>
      <c r="K825" s="109"/>
      <c r="L825" s="109"/>
      <c r="M825" s="110">
        <f>IFERROR(VLOOKUP($C825,'CEDARS School FRPL'!C:H,3,FALSE),0)</f>
        <v>0.54586666666666661</v>
      </c>
      <c r="N825" s="123" t="str">
        <f>IFERROR(VLOOKUP(C825,'CEDARS School FRPL'!C:H,6,FALSE),"No")</f>
        <v>No</v>
      </c>
      <c r="O825" s="147"/>
      <c r="P825" s="148"/>
    </row>
    <row r="826" spans="1:16">
      <c r="A826" s="95" t="s">
        <v>2300</v>
      </c>
      <c r="B826" s="95" t="s">
        <v>326</v>
      </c>
      <c r="C826" s="4">
        <v>5547</v>
      </c>
      <c r="D826" s="95" t="s">
        <v>2803</v>
      </c>
      <c r="E826" s="145">
        <v>0</v>
      </c>
      <c r="F826" s="145">
        <v>0</v>
      </c>
      <c r="G826" s="145">
        <v>16.32</v>
      </c>
      <c r="H826" s="145">
        <v>0</v>
      </c>
      <c r="I826" s="77">
        <f t="shared" si="15"/>
        <v>16.32</v>
      </c>
      <c r="J826" s="123" t="str">
        <f>IFERROR(VLOOKUP($C826,'CEDARS School FRPL'!C:H,4,FALSE),"No")</f>
        <v>Yes</v>
      </c>
      <c r="K826" s="109"/>
      <c r="L826" s="109"/>
      <c r="M826" s="110">
        <f>IFERROR(VLOOKUP($C826,'CEDARS School FRPL'!C:H,3,FALSE),0)</f>
        <v>0.82273333333333332</v>
      </c>
      <c r="N826" s="123" t="str">
        <f>IFERROR(VLOOKUP(C826,'CEDARS School FRPL'!C:H,6,FALSE),"No")</f>
        <v>No</v>
      </c>
      <c r="O826" s="147"/>
      <c r="P826" s="148"/>
    </row>
    <row r="827" spans="1:16">
      <c r="A827" s="95" t="s">
        <v>2300</v>
      </c>
      <c r="B827" s="95" t="s">
        <v>326</v>
      </c>
      <c r="C827" s="4">
        <v>5675</v>
      </c>
      <c r="D827" s="95" t="s">
        <v>3021</v>
      </c>
      <c r="E827" s="145">
        <v>761.71</v>
      </c>
      <c r="F827" s="145">
        <v>0</v>
      </c>
      <c r="G827" s="145">
        <v>0</v>
      </c>
      <c r="H827" s="145">
        <v>0</v>
      </c>
      <c r="I827" s="77">
        <f t="shared" si="15"/>
        <v>761.71</v>
      </c>
      <c r="J827" s="123" t="str">
        <f>IFERROR(VLOOKUP($C827,'CEDARS School FRPL'!C:H,4,FALSE),"No")</f>
        <v>Yes</v>
      </c>
      <c r="K827" s="109"/>
      <c r="L827" s="109"/>
      <c r="M827" s="110">
        <f>IFERROR(VLOOKUP($C827,'CEDARS School FRPL'!C:H,3,FALSE),0)</f>
        <v>0.60729999999999995</v>
      </c>
      <c r="N827" s="123" t="str">
        <f>IFERROR(VLOOKUP(C827,'CEDARS School FRPL'!C:H,6,FALSE),"No")</f>
        <v>No</v>
      </c>
      <c r="O827" s="147"/>
      <c r="P827" s="148"/>
    </row>
    <row r="828" spans="1:16">
      <c r="A828" s="95" t="s">
        <v>2264</v>
      </c>
      <c r="B828" s="95" t="s">
        <v>33</v>
      </c>
      <c r="C828" s="4">
        <v>1884</v>
      </c>
      <c r="D828" s="95" t="s">
        <v>34</v>
      </c>
      <c r="E828" s="145">
        <v>313.95999999999998</v>
      </c>
      <c r="F828" s="145">
        <v>1.68</v>
      </c>
      <c r="G828" s="145">
        <v>29</v>
      </c>
      <c r="H828" s="145">
        <v>0</v>
      </c>
      <c r="I828" s="77">
        <f t="shared" si="15"/>
        <v>344.64</v>
      </c>
      <c r="J828" s="123" t="str">
        <f>IFERROR(VLOOKUP($C828,'CEDARS School FRPL'!C:H,4,FALSE),"No")</f>
        <v>Yes</v>
      </c>
      <c r="K828" s="109"/>
      <c r="L828" s="109"/>
      <c r="M828" s="110">
        <f>IFERROR(VLOOKUP($C828,'CEDARS School FRPL'!C:H,3,FALSE),0)</f>
        <v>0.67106666666666681</v>
      </c>
      <c r="N828" s="123" t="str">
        <f>IFERROR(VLOOKUP(C828,'CEDARS School FRPL'!C:H,6,FALSE),"No")</f>
        <v>No</v>
      </c>
      <c r="O828" s="147"/>
      <c r="P828" s="148"/>
    </row>
    <row r="829" spans="1:16">
      <c r="A829" s="95" t="s">
        <v>2264</v>
      </c>
      <c r="B829" s="95" t="s">
        <v>33</v>
      </c>
      <c r="C829" s="4">
        <v>1941</v>
      </c>
      <c r="D829" s="95" t="s">
        <v>35</v>
      </c>
      <c r="E829" s="145">
        <v>611.57000000000005</v>
      </c>
      <c r="F829" s="145">
        <v>9.6</v>
      </c>
      <c r="G829" s="145">
        <v>0</v>
      </c>
      <c r="H829" s="145">
        <v>0</v>
      </c>
      <c r="I829" s="77">
        <f t="shared" si="15"/>
        <v>621.17000000000007</v>
      </c>
      <c r="J829" s="123" t="str">
        <f>IFERROR(VLOOKUP($C829,'CEDARS School FRPL'!C:H,4,FALSE),"No")</f>
        <v>No</v>
      </c>
      <c r="K829" s="109"/>
      <c r="L829" s="109"/>
      <c r="M829" s="110">
        <f>IFERROR(VLOOKUP($C829,'CEDARS School FRPL'!C:H,3,FALSE),0)</f>
        <v>0.29803333333333332</v>
      </c>
      <c r="N829" s="123" t="str">
        <f>IFERROR(VLOOKUP(C829,'CEDARS School FRPL'!C:H,6,FALSE),"No")</f>
        <v>No</v>
      </c>
      <c r="O829" s="147"/>
      <c r="P829" s="148"/>
    </row>
    <row r="830" spans="1:16">
      <c r="A830" s="95" t="s">
        <v>2264</v>
      </c>
      <c r="B830" s="95" t="s">
        <v>33</v>
      </c>
      <c r="C830" s="4">
        <v>2824</v>
      </c>
      <c r="D830" s="95" t="s">
        <v>36</v>
      </c>
      <c r="E830" s="145">
        <v>472.57</v>
      </c>
      <c r="F830" s="145">
        <v>0</v>
      </c>
      <c r="G830" s="145">
        <v>0</v>
      </c>
      <c r="H830" s="145">
        <v>0</v>
      </c>
      <c r="I830" s="77">
        <f t="shared" si="15"/>
        <v>472.57</v>
      </c>
      <c r="J830" s="123" t="str">
        <f>IFERROR(VLOOKUP($C830,'CEDARS School FRPL'!C:H,4,FALSE),"No")</f>
        <v>Yes</v>
      </c>
      <c r="K830" s="109"/>
      <c r="L830" s="109"/>
      <c r="M830" s="110">
        <f>IFERROR(VLOOKUP($C830,'CEDARS School FRPL'!C:H,3,FALSE),0)</f>
        <v>0.84383333333333332</v>
      </c>
      <c r="N830" s="123" t="str">
        <f>IFERROR(VLOOKUP(C830,'CEDARS School FRPL'!C:H,6,FALSE),"No")</f>
        <v>No</v>
      </c>
      <c r="O830" s="147"/>
      <c r="P830" s="148"/>
    </row>
    <row r="831" spans="1:16">
      <c r="A831" s="95" t="s">
        <v>2264</v>
      </c>
      <c r="B831" s="95" t="s">
        <v>33</v>
      </c>
      <c r="C831" s="4">
        <v>2825</v>
      </c>
      <c r="D831" s="95" t="s">
        <v>37</v>
      </c>
      <c r="E831" s="145">
        <v>432.86</v>
      </c>
      <c r="F831" s="145">
        <v>0</v>
      </c>
      <c r="G831" s="145">
        <v>0</v>
      </c>
      <c r="H831" s="145">
        <v>0</v>
      </c>
      <c r="I831" s="77">
        <f t="shared" si="15"/>
        <v>432.86</v>
      </c>
      <c r="J831" s="123" t="str">
        <f>IFERROR(VLOOKUP($C831,'CEDARS School FRPL'!C:H,4,FALSE),"No")</f>
        <v>Yes</v>
      </c>
      <c r="K831" s="109"/>
      <c r="L831" s="109"/>
      <c r="M831" s="110">
        <f>IFERROR(VLOOKUP($C831,'CEDARS School FRPL'!C:H,3,FALSE),0)</f>
        <v>0.83740000000000003</v>
      </c>
      <c r="N831" s="123" t="str">
        <f>IFERROR(VLOOKUP(C831,'CEDARS School FRPL'!C:H,6,FALSE),"No")</f>
        <v>No</v>
      </c>
      <c r="O831" s="147"/>
      <c r="P831" s="148"/>
    </row>
    <row r="832" spans="1:16">
      <c r="A832" s="95" t="s">
        <v>2264</v>
      </c>
      <c r="B832" s="95" t="s">
        <v>33</v>
      </c>
      <c r="C832" s="4">
        <v>2826</v>
      </c>
      <c r="D832" s="95" t="s">
        <v>38</v>
      </c>
      <c r="E832" s="145">
        <v>1592.74</v>
      </c>
      <c r="F832" s="145">
        <v>45.64</v>
      </c>
      <c r="G832" s="145">
        <v>0</v>
      </c>
      <c r="H832" s="145">
        <v>0</v>
      </c>
      <c r="I832" s="77">
        <f t="shared" si="15"/>
        <v>1638.38</v>
      </c>
      <c r="J832" s="123" t="str">
        <f>IFERROR(VLOOKUP($C832,'CEDARS School FRPL'!C:H,4,FALSE),"No")</f>
        <v>Yes</v>
      </c>
      <c r="K832" s="109"/>
      <c r="L832" s="109"/>
      <c r="M832" s="110">
        <f>IFERROR(VLOOKUP($C832,'CEDARS School FRPL'!C:H,3,FALSE),0)</f>
        <v>0.68610000000000004</v>
      </c>
      <c r="N832" s="123" t="str">
        <f>IFERROR(VLOOKUP(C832,'CEDARS School FRPL'!C:H,6,FALSE),"No")</f>
        <v>No</v>
      </c>
      <c r="O832" s="147"/>
      <c r="P832" s="148"/>
    </row>
    <row r="833" spans="1:16">
      <c r="A833" s="95" t="s">
        <v>2264</v>
      </c>
      <c r="B833" s="95" t="s">
        <v>33</v>
      </c>
      <c r="C833" s="4">
        <v>3077</v>
      </c>
      <c r="D833" s="95" t="s">
        <v>39</v>
      </c>
      <c r="E833" s="145">
        <v>415.29</v>
      </c>
      <c r="F833" s="145">
        <v>0</v>
      </c>
      <c r="G833" s="145">
        <v>0</v>
      </c>
      <c r="H833" s="145">
        <v>0</v>
      </c>
      <c r="I833" s="77">
        <f t="shared" si="15"/>
        <v>415.29</v>
      </c>
      <c r="J833" s="123" t="str">
        <f>IFERROR(VLOOKUP($C833,'CEDARS School FRPL'!C:H,4,FALSE),"No")</f>
        <v>Yes</v>
      </c>
      <c r="K833" s="109"/>
      <c r="L833" s="109"/>
      <c r="M833" s="110">
        <f>IFERROR(VLOOKUP($C833,'CEDARS School FRPL'!C:H,3,FALSE),0)</f>
        <v>0.75550000000000006</v>
      </c>
      <c r="N833" s="123" t="str">
        <f>IFERROR(VLOOKUP(C833,'CEDARS School FRPL'!C:H,6,FALSE),"No")</f>
        <v>No</v>
      </c>
      <c r="O833" s="147"/>
      <c r="P833" s="148"/>
    </row>
    <row r="834" spans="1:16">
      <c r="A834" s="95" t="s">
        <v>2264</v>
      </c>
      <c r="B834" s="95" t="s">
        <v>33</v>
      </c>
      <c r="C834" s="4">
        <v>3144</v>
      </c>
      <c r="D834" s="95" t="s">
        <v>40</v>
      </c>
      <c r="E834" s="145">
        <v>384.71</v>
      </c>
      <c r="F834" s="145">
        <v>0</v>
      </c>
      <c r="G834" s="145">
        <v>0</v>
      </c>
      <c r="H834" s="145">
        <v>0</v>
      </c>
      <c r="I834" s="77">
        <f t="shared" si="15"/>
        <v>384.71</v>
      </c>
      <c r="J834" s="123" t="str">
        <f>IFERROR(VLOOKUP($C834,'CEDARS School FRPL'!C:H,4,FALSE),"No")</f>
        <v>Yes</v>
      </c>
      <c r="K834" s="109"/>
      <c r="L834" s="109"/>
      <c r="M834" s="110">
        <f>IFERROR(VLOOKUP($C834,'CEDARS School FRPL'!C:H,3,FALSE),0)</f>
        <v>0.72746666666666682</v>
      </c>
      <c r="N834" s="123" t="str">
        <f>IFERROR(VLOOKUP(C834,'CEDARS School FRPL'!C:H,6,FALSE),"No")</f>
        <v>No</v>
      </c>
      <c r="O834" s="147"/>
      <c r="P834" s="148"/>
    </row>
    <row r="835" spans="1:16">
      <c r="A835" s="95" t="s">
        <v>2264</v>
      </c>
      <c r="B835" s="95" t="s">
        <v>33</v>
      </c>
      <c r="C835" s="4">
        <v>3267</v>
      </c>
      <c r="D835" s="95" t="s">
        <v>41</v>
      </c>
      <c r="E835" s="145">
        <v>761.48</v>
      </c>
      <c r="F835" s="145">
        <v>0</v>
      </c>
      <c r="G835" s="145">
        <v>0</v>
      </c>
      <c r="H835" s="145">
        <v>0</v>
      </c>
      <c r="I835" s="77">
        <f t="shared" si="15"/>
        <v>761.48</v>
      </c>
      <c r="J835" s="123" t="str">
        <f>IFERROR(VLOOKUP($C835,'CEDARS School FRPL'!C:H,4,FALSE),"No")</f>
        <v>Yes</v>
      </c>
      <c r="K835" s="109"/>
      <c r="L835" s="109"/>
      <c r="M835" s="110">
        <f>IFERROR(VLOOKUP($C835,'CEDARS School FRPL'!C:H,3,FALSE),0)</f>
        <v>0.81176666666666675</v>
      </c>
      <c r="N835" s="123" t="str">
        <f>IFERROR(VLOOKUP(C835,'CEDARS School FRPL'!C:H,6,FALSE),"No")</f>
        <v>No</v>
      </c>
      <c r="O835" s="147"/>
      <c r="P835" s="148"/>
    </row>
    <row r="836" spans="1:16">
      <c r="A836" s="95" t="s">
        <v>2264</v>
      </c>
      <c r="B836" s="95" t="s">
        <v>33</v>
      </c>
      <c r="C836" s="4">
        <v>3315</v>
      </c>
      <c r="D836" s="95" t="s">
        <v>42</v>
      </c>
      <c r="E836" s="145">
        <v>333.57</v>
      </c>
      <c r="F836" s="145">
        <v>0</v>
      </c>
      <c r="G836" s="145">
        <v>0</v>
      </c>
      <c r="H836" s="145">
        <v>0</v>
      </c>
      <c r="I836" s="77">
        <f t="shared" ref="I836:I899" si="16">+E836+F836+G836+H836</f>
        <v>333.57</v>
      </c>
      <c r="J836" s="123" t="str">
        <f>IFERROR(VLOOKUP($C836,'CEDARS School FRPL'!C:H,4,FALSE),"No")</f>
        <v>Yes</v>
      </c>
      <c r="K836" s="109"/>
      <c r="L836" s="109"/>
      <c r="M836" s="110">
        <f>IFERROR(VLOOKUP($C836,'CEDARS School FRPL'!C:H,3,FALSE),0)</f>
        <v>0.78166666666666673</v>
      </c>
      <c r="N836" s="123" t="str">
        <f>IFERROR(VLOOKUP(C836,'CEDARS School FRPL'!C:H,6,FALSE),"No")</f>
        <v>No</v>
      </c>
      <c r="O836" s="147"/>
      <c r="P836" s="148"/>
    </row>
    <row r="837" spans="1:16">
      <c r="A837" s="95" t="s">
        <v>2264</v>
      </c>
      <c r="B837" s="95" t="s">
        <v>33</v>
      </c>
      <c r="C837" s="4">
        <v>3369</v>
      </c>
      <c r="D837" s="95" t="s">
        <v>43</v>
      </c>
      <c r="E837" s="145">
        <v>355.14</v>
      </c>
      <c r="F837" s="145">
        <v>0</v>
      </c>
      <c r="G837" s="145">
        <v>0</v>
      </c>
      <c r="H837" s="145">
        <v>0</v>
      </c>
      <c r="I837" s="77">
        <f t="shared" si="16"/>
        <v>355.14</v>
      </c>
      <c r="J837" s="123" t="str">
        <f>IFERROR(VLOOKUP($C837,'CEDARS School FRPL'!C:H,4,FALSE),"No")</f>
        <v>Yes</v>
      </c>
      <c r="K837" s="109"/>
      <c r="L837" s="109"/>
      <c r="M837" s="110">
        <f>IFERROR(VLOOKUP($C837,'CEDARS School FRPL'!C:H,3,FALSE),0)</f>
        <v>0.67996666666666661</v>
      </c>
      <c r="N837" s="123" t="str">
        <f>IFERROR(VLOOKUP(C837,'CEDARS School FRPL'!C:H,6,FALSE),"No")</f>
        <v>No</v>
      </c>
      <c r="O837" s="147"/>
      <c r="P837" s="148"/>
    </row>
    <row r="838" spans="1:16">
      <c r="A838" s="95" t="s">
        <v>2264</v>
      </c>
      <c r="B838" s="95" t="s">
        <v>33</v>
      </c>
      <c r="C838" s="4">
        <v>3472</v>
      </c>
      <c r="D838" s="95" t="s">
        <v>44</v>
      </c>
      <c r="E838" s="145">
        <v>708.51</v>
      </c>
      <c r="F838" s="145">
        <v>0</v>
      </c>
      <c r="G838" s="145">
        <v>0</v>
      </c>
      <c r="H838" s="145">
        <v>0</v>
      </c>
      <c r="I838" s="77">
        <f t="shared" si="16"/>
        <v>708.51</v>
      </c>
      <c r="J838" s="123" t="str">
        <f>IFERROR(VLOOKUP($C838,'CEDARS School FRPL'!C:H,4,FALSE),"No")</f>
        <v>Yes</v>
      </c>
      <c r="K838" s="109"/>
      <c r="L838" s="109"/>
      <c r="M838" s="110">
        <f>IFERROR(VLOOKUP($C838,'CEDARS School FRPL'!C:H,3,FALSE),0)</f>
        <v>0.88463333333333338</v>
      </c>
      <c r="N838" s="123" t="str">
        <f>IFERROR(VLOOKUP(C838,'CEDARS School FRPL'!C:H,6,FALSE),"No")</f>
        <v>No</v>
      </c>
      <c r="O838" s="147"/>
      <c r="P838" s="148"/>
    </row>
    <row r="839" spans="1:16">
      <c r="A839" s="95" t="s">
        <v>2264</v>
      </c>
      <c r="B839" s="95" t="s">
        <v>33</v>
      </c>
      <c r="C839" s="4">
        <v>3731</v>
      </c>
      <c r="D839" s="95" t="s">
        <v>45</v>
      </c>
      <c r="E839" s="145">
        <v>1626.8</v>
      </c>
      <c r="F839" s="145">
        <v>106.43</v>
      </c>
      <c r="G839" s="145">
        <v>0</v>
      </c>
      <c r="H839" s="145">
        <v>0</v>
      </c>
      <c r="I839" s="77">
        <f t="shared" si="16"/>
        <v>1733.23</v>
      </c>
      <c r="J839" s="123" t="str">
        <f>IFERROR(VLOOKUP($C839,'CEDARS School FRPL'!C:H,4,FALSE),"No")</f>
        <v>No</v>
      </c>
      <c r="K839" s="109"/>
      <c r="L839" s="109"/>
      <c r="M839" s="110">
        <f>IFERROR(VLOOKUP($C839,'CEDARS School FRPL'!C:H,3,FALSE),0)</f>
        <v>0.40773333333333328</v>
      </c>
      <c r="N839" s="123" t="str">
        <f>IFERROR(VLOOKUP(C839,'CEDARS School FRPL'!C:H,6,FALSE),"No")</f>
        <v>No</v>
      </c>
      <c r="O839" s="147"/>
      <c r="P839" s="148"/>
    </row>
    <row r="840" spans="1:16">
      <c r="A840" s="95" t="s">
        <v>2264</v>
      </c>
      <c r="B840" s="95" t="s">
        <v>33</v>
      </c>
      <c r="C840" s="4">
        <v>4028</v>
      </c>
      <c r="D840" s="95" t="s">
        <v>46</v>
      </c>
      <c r="E840" s="145">
        <v>852.89</v>
      </c>
      <c r="F840" s="145">
        <v>0</v>
      </c>
      <c r="G840" s="145">
        <v>0</v>
      </c>
      <c r="H840" s="145">
        <v>0</v>
      </c>
      <c r="I840" s="77">
        <f t="shared" si="16"/>
        <v>852.89</v>
      </c>
      <c r="J840" s="123" t="str">
        <f>IFERROR(VLOOKUP($C840,'CEDARS School FRPL'!C:H,4,FALSE),"No")</f>
        <v>No</v>
      </c>
      <c r="K840" s="109"/>
      <c r="L840" s="109"/>
      <c r="M840" s="110">
        <f>IFERROR(VLOOKUP($C840,'CEDARS School FRPL'!C:H,3,FALSE),0)</f>
        <v>0.26256666666666667</v>
      </c>
      <c r="N840" s="123" t="str">
        <f>IFERROR(VLOOKUP(C840,'CEDARS School FRPL'!C:H,6,FALSE),"No")</f>
        <v>No</v>
      </c>
      <c r="O840" s="147"/>
      <c r="P840" s="148"/>
    </row>
    <row r="841" spans="1:16">
      <c r="A841" s="95" t="s">
        <v>2264</v>
      </c>
      <c r="B841" s="95" t="s">
        <v>33</v>
      </c>
      <c r="C841" s="4">
        <v>4072</v>
      </c>
      <c r="D841" s="95" t="s">
        <v>47</v>
      </c>
      <c r="E841" s="145">
        <v>398.79</v>
      </c>
      <c r="F841" s="145">
        <v>0</v>
      </c>
      <c r="G841" s="145">
        <v>0</v>
      </c>
      <c r="H841" s="145">
        <v>0</v>
      </c>
      <c r="I841" s="77">
        <f t="shared" si="16"/>
        <v>398.79</v>
      </c>
      <c r="J841" s="123" t="str">
        <f>IFERROR(VLOOKUP($C841,'CEDARS School FRPL'!C:H,4,FALSE),"No")</f>
        <v>Yes</v>
      </c>
      <c r="K841" s="109"/>
      <c r="L841" s="109"/>
      <c r="M841" s="110">
        <f>IFERROR(VLOOKUP($C841,'CEDARS School FRPL'!C:H,3,FALSE),0)</f>
        <v>0.65056666666666674</v>
      </c>
      <c r="N841" s="123" t="str">
        <f>IFERROR(VLOOKUP(C841,'CEDARS School FRPL'!C:H,6,FALSE),"No")</f>
        <v>No</v>
      </c>
      <c r="O841" s="147"/>
      <c r="P841" s="148"/>
    </row>
    <row r="842" spans="1:16">
      <c r="A842" s="95" t="s">
        <v>2264</v>
      </c>
      <c r="B842" s="95" t="s">
        <v>33</v>
      </c>
      <c r="C842" s="4">
        <v>4073</v>
      </c>
      <c r="D842" s="95" t="s">
        <v>48</v>
      </c>
      <c r="E842" s="145">
        <v>430.43</v>
      </c>
      <c r="F842" s="145">
        <v>0</v>
      </c>
      <c r="G842" s="145">
        <v>0</v>
      </c>
      <c r="H842" s="145">
        <v>0</v>
      </c>
      <c r="I842" s="77">
        <f t="shared" si="16"/>
        <v>430.43</v>
      </c>
      <c r="J842" s="123" t="str">
        <f>IFERROR(VLOOKUP($C842,'CEDARS School FRPL'!C:H,4,FALSE),"No")</f>
        <v>Yes</v>
      </c>
      <c r="K842" s="109"/>
      <c r="L842" s="109"/>
      <c r="M842" s="110">
        <f>IFERROR(VLOOKUP($C842,'CEDARS School FRPL'!C:H,3,FALSE),0)</f>
        <v>0.62390000000000001</v>
      </c>
      <c r="N842" s="123" t="str">
        <f>IFERROR(VLOOKUP(C842,'CEDARS School FRPL'!C:H,6,FALSE),"No")</f>
        <v>No</v>
      </c>
      <c r="O842" s="147"/>
      <c r="P842" s="148"/>
    </row>
    <row r="843" spans="1:16">
      <c r="A843" s="95" t="s">
        <v>2264</v>
      </c>
      <c r="B843" s="95" t="s">
        <v>33</v>
      </c>
      <c r="C843" s="4">
        <v>4118</v>
      </c>
      <c r="D843" s="95" t="s">
        <v>2784</v>
      </c>
      <c r="E843" s="145">
        <v>428.75</v>
      </c>
      <c r="F843" s="145">
        <v>0</v>
      </c>
      <c r="G843" s="145">
        <v>0</v>
      </c>
      <c r="H843" s="145">
        <v>0</v>
      </c>
      <c r="I843" s="77">
        <f t="shared" si="16"/>
        <v>428.75</v>
      </c>
      <c r="J843" s="123" t="str">
        <f>IFERROR(VLOOKUP($C843,'CEDARS School FRPL'!C:H,4,FALSE),"No")</f>
        <v>No</v>
      </c>
      <c r="K843" s="109"/>
      <c r="L843" s="109"/>
      <c r="M843" s="110">
        <f>IFERROR(VLOOKUP($C843,'CEDARS School FRPL'!C:H,3,FALSE),0)</f>
        <v>0.23710000000000001</v>
      </c>
      <c r="N843" s="123" t="str">
        <f>IFERROR(VLOOKUP(C843,'CEDARS School FRPL'!C:H,6,FALSE),"No")</f>
        <v>No</v>
      </c>
      <c r="O843" s="147"/>
      <c r="P843" s="148"/>
    </row>
    <row r="844" spans="1:16">
      <c r="A844" s="95" t="s">
        <v>2264</v>
      </c>
      <c r="B844" s="95" t="s">
        <v>33</v>
      </c>
      <c r="C844" s="4">
        <v>4136</v>
      </c>
      <c r="D844" s="95" t="s">
        <v>49</v>
      </c>
      <c r="E844" s="145">
        <v>384.55</v>
      </c>
      <c r="F844" s="145">
        <v>0</v>
      </c>
      <c r="G844" s="145">
        <v>0</v>
      </c>
      <c r="H844" s="145">
        <v>0</v>
      </c>
      <c r="I844" s="77">
        <f t="shared" si="16"/>
        <v>384.55</v>
      </c>
      <c r="J844" s="123" t="str">
        <f>IFERROR(VLOOKUP($C844,'CEDARS School FRPL'!C:H,4,FALSE),"No")</f>
        <v>Yes</v>
      </c>
      <c r="K844" s="109"/>
      <c r="L844" s="109"/>
      <c r="M844" s="110">
        <f>IFERROR(VLOOKUP($C844,'CEDARS School FRPL'!C:H,3,FALSE),0)</f>
        <v>0.53276666666666672</v>
      </c>
      <c r="N844" s="123" t="str">
        <f>IFERROR(VLOOKUP(C844,'CEDARS School FRPL'!C:H,6,FALSE),"No")</f>
        <v>No</v>
      </c>
      <c r="O844" s="147"/>
      <c r="P844" s="148"/>
    </row>
    <row r="845" spans="1:16">
      <c r="A845" s="95" t="s">
        <v>2264</v>
      </c>
      <c r="B845" s="95" t="s">
        <v>33</v>
      </c>
      <c r="C845" s="4">
        <v>4181</v>
      </c>
      <c r="D845" s="95" t="s">
        <v>50</v>
      </c>
      <c r="E845" s="145">
        <v>444.42</v>
      </c>
      <c r="F845" s="145">
        <v>0</v>
      </c>
      <c r="G845" s="145">
        <v>0</v>
      </c>
      <c r="H845" s="145">
        <v>0</v>
      </c>
      <c r="I845" s="77">
        <f t="shared" si="16"/>
        <v>444.42</v>
      </c>
      <c r="J845" s="123" t="str">
        <f>IFERROR(VLOOKUP($C845,'CEDARS School FRPL'!C:H,4,FALSE),"No")</f>
        <v>Yes</v>
      </c>
      <c r="K845" s="109"/>
      <c r="L845" s="109"/>
      <c r="M845" s="110">
        <f>IFERROR(VLOOKUP($C845,'CEDARS School FRPL'!C:H,3,FALSE),0)</f>
        <v>0.58760000000000001</v>
      </c>
      <c r="N845" s="123" t="str">
        <f>IFERROR(VLOOKUP(C845,'CEDARS School FRPL'!C:H,6,FALSE),"No")</f>
        <v>No</v>
      </c>
      <c r="O845" s="147"/>
      <c r="P845" s="148"/>
    </row>
    <row r="846" spans="1:16">
      <c r="A846" s="95" t="s">
        <v>2264</v>
      </c>
      <c r="B846" s="95" t="s">
        <v>33</v>
      </c>
      <c r="C846" s="4">
        <v>4202</v>
      </c>
      <c r="D846" s="95" t="s">
        <v>51</v>
      </c>
      <c r="E846" s="145">
        <v>518.29999999999995</v>
      </c>
      <c r="F846" s="145">
        <v>0</v>
      </c>
      <c r="G846" s="145">
        <v>0</v>
      </c>
      <c r="H846" s="145">
        <v>0</v>
      </c>
      <c r="I846" s="77">
        <f t="shared" si="16"/>
        <v>518.29999999999995</v>
      </c>
      <c r="J846" s="123" t="str">
        <f>IFERROR(VLOOKUP($C846,'CEDARS School FRPL'!C:H,4,FALSE),"No")</f>
        <v>Yes</v>
      </c>
      <c r="K846" s="109"/>
      <c r="L846" s="109"/>
      <c r="M846" s="110">
        <f>IFERROR(VLOOKUP($C846,'CEDARS School FRPL'!C:H,3,FALSE),0)</f>
        <v>0.56259999999999999</v>
      </c>
      <c r="N846" s="123" t="str">
        <f>IFERROR(VLOOKUP(C846,'CEDARS School FRPL'!C:H,6,FALSE),"No")</f>
        <v>No</v>
      </c>
      <c r="O846" s="147"/>
      <c r="P846" s="148"/>
    </row>
    <row r="847" spans="1:16">
      <c r="A847" s="95" t="s">
        <v>2264</v>
      </c>
      <c r="B847" s="95" t="s">
        <v>33</v>
      </c>
      <c r="C847" s="4">
        <v>4418</v>
      </c>
      <c r="D847" s="95" t="s">
        <v>52</v>
      </c>
      <c r="E847" s="145">
        <v>646.86</v>
      </c>
      <c r="F847" s="145">
        <v>0</v>
      </c>
      <c r="G847" s="145">
        <v>0</v>
      </c>
      <c r="H847" s="145">
        <v>0</v>
      </c>
      <c r="I847" s="77">
        <f t="shared" si="16"/>
        <v>646.86</v>
      </c>
      <c r="J847" s="123" t="str">
        <f>IFERROR(VLOOKUP($C847,'CEDARS School FRPL'!C:H,4,FALSE),"No")</f>
        <v>Yes</v>
      </c>
      <c r="K847" s="109"/>
      <c r="L847" s="109"/>
      <c r="M847" s="110">
        <f>IFERROR(VLOOKUP($C847,'CEDARS School FRPL'!C:H,3,FALSE),0)</f>
        <v>0.9130666666666668</v>
      </c>
      <c r="N847" s="123" t="str">
        <f>IFERROR(VLOOKUP(C847,'CEDARS School FRPL'!C:H,6,FALSE),"No")</f>
        <v>No</v>
      </c>
      <c r="O847" s="147"/>
      <c r="P847" s="148"/>
    </row>
    <row r="848" spans="1:16">
      <c r="A848" s="95" t="s">
        <v>2264</v>
      </c>
      <c r="B848" s="95" t="s">
        <v>33</v>
      </c>
      <c r="C848" s="4">
        <v>4429</v>
      </c>
      <c r="D848" s="95" t="s">
        <v>53</v>
      </c>
      <c r="E848" s="145">
        <v>794.37</v>
      </c>
      <c r="F848" s="145">
        <v>0</v>
      </c>
      <c r="G848" s="145">
        <v>0</v>
      </c>
      <c r="H848" s="145">
        <v>0</v>
      </c>
      <c r="I848" s="77">
        <f t="shared" si="16"/>
        <v>794.37</v>
      </c>
      <c r="J848" s="123" t="str">
        <f>IFERROR(VLOOKUP($C848,'CEDARS School FRPL'!C:H,4,FALSE),"No")</f>
        <v>Yes</v>
      </c>
      <c r="K848" s="109"/>
      <c r="L848" s="109"/>
      <c r="M848" s="110">
        <f>IFERROR(VLOOKUP($C848,'CEDARS School FRPL'!C:H,3,FALSE),0)</f>
        <v>0.58683333333333332</v>
      </c>
      <c r="N848" s="123" t="str">
        <f>IFERROR(VLOOKUP(C848,'CEDARS School FRPL'!C:H,6,FALSE),"No")</f>
        <v>No</v>
      </c>
      <c r="O848" s="147"/>
      <c r="P848" s="148"/>
    </row>
    <row r="849" spans="1:16">
      <c r="A849" s="95" t="s">
        <v>2264</v>
      </c>
      <c r="B849" s="95" t="s">
        <v>33</v>
      </c>
      <c r="C849" s="4">
        <v>4446</v>
      </c>
      <c r="D849" s="95" t="s">
        <v>54</v>
      </c>
      <c r="E849" s="145">
        <v>373.86</v>
      </c>
      <c r="F849" s="145">
        <v>0</v>
      </c>
      <c r="G849" s="145">
        <v>0</v>
      </c>
      <c r="H849" s="145">
        <v>0</v>
      </c>
      <c r="I849" s="77">
        <f t="shared" si="16"/>
        <v>373.86</v>
      </c>
      <c r="J849" s="123" t="str">
        <f>IFERROR(VLOOKUP($C849,'CEDARS School FRPL'!C:H,4,FALSE),"No")</f>
        <v>No</v>
      </c>
      <c r="K849" s="109"/>
      <c r="L849" s="109"/>
      <c r="M849" s="110">
        <f>IFERROR(VLOOKUP($C849,'CEDARS School FRPL'!C:H,3,FALSE),0)</f>
        <v>0.32356666666666672</v>
      </c>
      <c r="N849" s="123" t="str">
        <f>IFERROR(VLOOKUP(C849,'CEDARS School FRPL'!C:H,6,FALSE),"No")</f>
        <v>No</v>
      </c>
      <c r="O849" s="147"/>
      <c r="P849" s="148"/>
    </row>
    <row r="850" spans="1:16">
      <c r="A850" s="95" t="s">
        <v>2264</v>
      </c>
      <c r="B850" s="95" t="s">
        <v>33</v>
      </c>
      <c r="C850" s="4">
        <v>4484</v>
      </c>
      <c r="D850" s="95" t="s">
        <v>55</v>
      </c>
      <c r="E850" s="145">
        <v>1507.93</v>
      </c>
      <c r="F850" s="145">
        <v>114</v>
      </c>
      <c r="G850" s="145">
        <v>0</v>
      </c>
      <c r="H850" s="145">
        <v>0</v>
      </c>
      <c r="I850" s="77">
        <f t="shared" si="16"/>
        <v>1621.93</v>
      </c>
      <c r="J850" s="123" t="str">
        <f>IFERROR(VLOOKUP($C850,'CEDARS School FRPL'!C:H,4,FALSE),"No")</f>
        <v>Yes</v>
      </c>
      <c r="K850" s="109"/>
      <c r="L850" s="109"/>
      <c r="M850" s="110">
        <f>IFERROR(VLOOKUP($C850,'CEDARS School FRPL'!C:H,3,FALSE),0)</f>
        <v>0.52736666666666665</v>
      </c>
      <c r="N850" s="123" t="str">
        <f>IFERROR(VLOOKUP(C850,'CEDARS School FRPL'!C:H,6,FALSE),"No")</f>
        <v>No</v>
      </c>
      <c r="O850" s="147"/>
      <c r="P850" s="148"/>
    </row>
    <row r="851" spans="1:16">
      <c r="A851" s="95" t="s">
        <v>2264</v>
      </c>
      <c r="B851" s="95" t="s">
        <v>33</v>
      </c>
      <c r="C851" s="4">
        <v>5106</v>
      </c>
      <c r="D851" s="95" t="s">
        <v>56</v>
      </c>
      <c r="E851" s="145">
        <v>51.09</v>
      </c>
      <c r="F851" s="145">
        <v>0</v>
      </c>
      <c r="G851" s="145">
        <v>0</v>
      </c>
      <c r="H851" s="145">
        <v>0</v>
      </c>
      <c r="I851" s="77">
        <f t="shared" si="16"/>
        <v>51.09</v>
      </c>
      <c r="J851" s="123" t="str">
        <f>IFERROR(VLOOKUP($C851,'CEDARS School FRPL'!C:H,4,FALSE),"No")</f>
        <v>Yes</v>
      </c>
      <c r="K851" s="109"/>
      <c r="L851" s="109"/>
      <c r="M851" s="110">
        <f>IFERROR(VLOOKUP($C851,'CEDARS School FRPL'!C:H,3,FALSE),0)</f>
        <v>0.66766666666666652</v>
      </c>
      <c r="N851" s="123" t="str">
        <f>IFERROR(VLOOKUP(C851,'CEDARS School FRPL'!C:H,6,FALSE),"No")</f>
        <v>No</v>
      </c>
      <c r="O851" s="147"/>
      <c r="P851" s="148"/>
    </row>
    <row r="852" spans="1:16">
      <c r="A852" s="95" t="s">
        <v>2264</v>
      </c>
      <c r="B852" s="95" t="s">
        <v>33</v>
      </c>
      <c r="C852" s="4">
        <v>5220</v>
      </c>
      <c r="D852" s="95" t="s">
        <v>57</v>
      </c>
      <c r="E852" s="145">
        <v>434.93</v>
      </c>
      <c r="F852" s="145">
        <v>0</v>
      </c>
      <c r="G852" s="145">
        <v>0</v>
      </c>
      <c r="H852" s="145">
        <v>0</v>
      </c>
      <c r="I852" s="77">
        <f t="shared" si="16"/>
        <v>434.93</v>
      </c>
      <c r="J852" s="123" t="str">
        <f>IFERROR(VLOOKUP($C852,'CEDARS School FRPL'!C:H,4,FALSE),"No")</f>
        <v>No</v>
      </c>
      <c r="K852" s="109"/>
      <c r="L852" s="109"/>
      <c r="M852" s="110">
        <f>IFERROR(VLOOKUP($C852,'CEDARS School FRPL'!C:H,3,FALSE),0)</f>
        <v>0.16456666666666667</v>
      </c>
      <c r="N852" s="123" t="str">
        <f>IFERROR(VLOOKUP(C852,'CEDARS School FRPL'!C:H,6,FALSE),"No")</f>
        <v>No</v>
      </c>
      <c r="O852" s="147"/>
      <c r="P852" s="148"/>
    </row>
    <row r="853" spans="1:16">
      <c r="A853" s="95" t="s">
        <v>2264</v>
      </c>
      <c r="B853" s="95" t="s">
        <v>33</v>
      </c>
      <c r="C853" s="4">
        <v>5438</v>
      </c>
      <c r="D853" s="95" t="s">
        <v>58</v>
      </c>
      <c r="E853" s="145">
        <v>560.23</v>
      </c>
      <c r="F853" s="145">
        <v>0</v>
      </c>
      <c r="G853" s="145">
        <v>0</v>
      </c>
      <c r="H853" s="145">
        <v>0</v>
      </c>
      <c r="I853" s="77">
        <f t="shared" si="16"/>
        <v>560.23</v>
      </c>
      <c r="J853" s="123" t="str">
        <f>IFERROR(VLOOKUP($C853,'CEDARS School FRPL'!C:H,4,FALSE),"No")</f>
        <v>No</v>
      </c>
      <c r="K853" s="109"/>
      <c r="L853" s="109"/>
      <c r="M853" s="110">
        <f>IFERROR(VLOOKUP($C853,'CEDARS School FRPL'!C:H,3,FALSE),0)</f>
        <v>0.36509999999999998</v>
      </c>
      <c r="N853" s="123" t="str">
        <f>IFERROR(VLOOKUP(C853,'CEDARS School FRPL'!C:H,6,FALSE),"No")</f>
        <v>No</v>
      </c>
      <c r="O853" s="147"/>
      <c r="P853" s="148"/>
    </row>
    <row r="854" spans="1:16">
      <c r="A854" s="95" t="s">
        <v>2264</v>
      </c>
      <c r="B854" s="95" t="s">
        <v>33</v>
      </c>
      <c r="C854" s="4">
        <v>5439</v>
      </c>
      <c r="D854" s="95" t="s">
        <v>59</v>
      </c>
      <c r="E854" s="145">
        <v>839.42</v>
      </c>
      <c r="F854" s="145">
        <v>0</v>
      </c>
      <c r="G854" s="145">
        <v>0</v>
      </c>
      <c r="H854" s="145">
        <v>0</v>
      </c>
      <c r="I854" s="77">
        <f t="shared" si="16"/>
        <v>839.42</v>
      </c>
      <c r="J854" s="123" t="str">
        <f>IFERROR(VLOOKUP($C854,'CEDARS School FRPL'!C:H,4,FALSE),"No")</f>
        <v>Yes</v>
      </c>
      <c r="K854" s="109"/>
      <c r="L854" s="109"/>
      <c r="M854" s="110">
        <f>IFERROR(VLOOKUP($C854,'CEDARS School FRPL'!C:H,3,FALSE),0)</f>
        <v>0.49416666666666664</v>
      </c>
      <c r="N854" s="123" t="str">
        <f>IFERROR(VLOOKUP(C854,'CEDARS School FRPL'!C:H,6,FALSE),"No")</f>
        <v>No</v>
      </c>
      <c r="O854" s="147"/>
      <c r="P854" s="148"/>
    </row>
    <row r="855" spans="1:16">
      <c r="A855" s="95" t="s">
        <v>2264</v>
      </c>
      <c r="B855" s="95" t="s">
        <v>33</v>
      </c>
      <c r="C855" s="4">
        <v>5520</v>
      </c>
      <c r="D855" s="95" t="s">
        <v>2793</v>
      </c>
      <c r="E855" s="145">
        <v>744.77</v>
      </c>
      <c r="F855" s="145">
        <v>0</v>
      </c>
      <c r="G855" s="145">
        <v>0</v>
      </c>
      <c r="H855" s="145">
        <v>0</v>
      </c>
      <c r="I855" s="77">
        <f t="shared" si="16"/>
        <v>744.77</v>
      </c>
      <c r="J855" s="123" t="str">
        <f>IFERROR(VLOOKUP($C855,'CEDARS School FRPL'!C:H,4,FALSE),"No")</f>
        <v>No</v>
      </c>
      <c r="K855" s="109"/>
      <c r="L855" s="109"/>
      <c r="M855" s="110">
        <f>IFERROR(VLOOKUP($C855,'CEDARS School FRPL'!C:H,3,FALSE),0)</f>
        <v>0.23963333333333334</v>
      </c>
      <c r="N855" s="123" t="str">
        <f>IFERROR(VLOOKUP(C855,'CEDARS School FRPL'!C:H,6,FALSE),"No")</f>
        <v>No</v>
      </c>
      <c r="O855" s="147"/>
      <c r="P855" s="148"/>
    </row>
    <row r="856" spans="1:16">
      <c r="A856" s="95" t="s">
        <v>2264</v>
      </c>
      <c r="B856" s="95" t="s">
        <v>33</v>
      </c>
      <c r="C856" s="4">
        <v>5521</v>
      </c>
      <c r="D856" s="95" t="s">
        <v>2794</v>
      </c>
      <c r="E856" s="145">
        <v>574.42999999999995</v>
      </c>
      <c r="F856" s="145">
        <v>0</v>
      </c>
      <c r="G856" s="145">
        <v>0</v>
      </c>
      <c r="H856" s="145">
        <v>0</v>
      </c>
      <c r="I856" s="77">
        <f t="shared" si="16"/>
        <v>574.42999999999995</v>
      </c>
      <c r="J856" s="123" t="str">
        <f>IFERROR(VLOOKUP($C856,'CEDARS School FRPL'!C:H,4,FALSE),"No")</f>
        <v>Yes</v>
      </c>
      <c r="K856" s="109"/>
      <c r="L856" s="109"/>
      <c r="M856" s="110">
        <f>IFERROR(VLOOKUP($C856,'CEDARS School FRPL'!C:H,3,FALSE),0)</f>
        <v>0.65303333333333347</v>
      </c>
      <c r="N856" s="123" t="str">
        <f>IFERROR(VLOOKUP(C856,'CEDARS School FRPL'!C:H,6,FALSE),"No")</f>
        <v>No</v>
      </c>
      <c r="O856" s="147"/>
      <c r="P856" s="148"/>
    </row>
    <row r="857" spans="1:16">
      <c r="A857" s="95" t="s">
        <v>2365</v>
      </c>
      <c r="B857" s="95" t="s">
        <v>939</v>
      </c>
      <c r="C857" s="4">
        <v>1807</v>
      </c>
      <c r="D857" s="95" t="s">
        <v>2785</v>
      </c>
      <c r="E857" s="145">
        <v>5.71</v>
      </c>
      <c r="F857" s="145">
        <v>0</v>
      </c>
      <c r="G857" s="145">
        <v>0</v>
      </c>
      <c r="H857" s="145">
        <v>0</v>
      </c>
      <c r="I857" s="77">
        <f t="shared" si="16"/>
        <v>5.71</v>
      </c>
      <c r="J857" s="123" t="str">
        <f>IFERROR(VLOOKUP($C857,'CEDARS School FRPL'!C:H,4,FALSE),"No")</f>
        <v>No</v>
      </c>
      <c r="K857" s="109"/>
      <c r="L857" s="109"/>
      <c r="M857" s="110">
        <f>IFERROR(VLOOKUP($C857,'CEDARS School FRPL'!C:H,3,FALSE),0)</f>
        <v>0</v>
      </c>
      <c r="N857" s="123" t="str">
        <f>IFERROR(VLOOKUP(C857,'CEDARS School FRPL'!C:H,6,FALSE),"No")</f>
        <v>No</v>
      </c>
      <c r="O857" s="147"/>
      <c r="P857" s="148"/>
    </row>
    <row r="858" spans="1:16">
      <c r="A858" s="95" t="s">
        <v>2365</v>
      </c>
      <c r="B858" s="95" t="s">
        <v>939</v>
      </c>
      <c r="C858" s="4">
        <v>2565</v>
      </c>
      <c r="D858" s="95" t="s">
        <v>940</v>
      </c>
      <c r="E858" s="145">
        <v>494.45</v>
      </c>
      <c r="F858" s="145">
        <v>0</v>
      </c>
      <c r="G858" s="145">
        <v>0</v>
      </c>
      <c r="H858" s="145">
        <v>0</v>
      </c>
      <c r="I858" s="77">
        <f t="shared" si="16"/>
        <v>494.45</v>
      </c>
      <c r="J858" s="123" t="str">
        <f>IFERROR(VLOOKUP($C858,'CEDARS School FRPL'!C:H,4,FALSE),"No")</f>
        <v>No</v>
      </c>
      <c r="K858" s="109"/>
      <c r="L858" s="109"/>
      <c r="M858" s="110">
        <f>IFERROR(VLOOKUP($C858,'CEDARS School FRPL'!C:H,3,FALSE),0)</f>
        <v>0.45433333333333331</v>
      </c>
      <c r="N858" s="123" t="str">
        <f>IFERROR(VLOOKUP(C858,'CEDARS School FRPL'!C:H,6,FALSE),"No")</f>
        <v>No</v>
      </c>
      <c r="O858" s="147"/>
      <c r="P858" s="148"/>
    </row>
    <row r="859" spans="1:16">
      <c r="A859" s="95" t="s">
        <v>2365</v>
      </c>
      <c r="B859" s="95" t="s">
        <v>939</v>
      </c>
      <c r="C859" s="4">
        <v>2797</v>
      </c>
      <c r="D859" s="95" t="s">
        <v>941</v>
      </c>
      <c r="E859" s="145">
        <v>1897.55</v>
      </c>
      <c r="F859" s="145">
        <v>139.4</v>
      </c>
      <c r="G859" s="145">
        <v>0</v>
      </c>
      <c r="H859" s="145">
        <v>0</v>
      </c>
      <c r="I859" s="77">
        <f t="shared" si="16"/>
        <v>2036.95</v>
      </c>
      <c r="J859" s="123" t="str">
        <f>IFERROR(VLOOKUP($C859,'CEDARS School FRPL'!C:H,4,FALSE),"No")</f>
        <v>Yes</v>
      </c>
      <c r="K859" s="109"/>
      <c r="L859" s="109"/>
      <c r="M859" s="110">
        <f>IFERROR(VLOOKUP($C859,'CEDARS School FRPL'!C:H,3,FALSE),0)</f>
        <v>0.70546666666666669</v>
      </c>
      <c r="N859" s="123" t="str">
        <f>IFERROR(VLOOKUP(C859,'CEDARS School FRPL'!C:H,6,FALSE),"No")</f>
        <v>No</v>
      </c>
      <c r="O859" s="147"/>
      <c r="P859" s="148"/>
    </row>
    <row r="860" spans="1:16">
      <c r="A860" s="95" t="s">
        <v>2365</v>
      </c>
      <c r="B860" s="95" t="s">
        <v>939</v>
      </c>
      <c r="C860" s="4">
        <v>2851</v>
      </c>
      <c r="D860" s="95" t="s">
        <v>942</v>
      </c>
      <c r="E860" s="145">
        <v>458.14</v>
      </c>
      <c r="F860" s="145">
        <v>0</v>
      </c>
      <c r="G860" s="145">
        <v>0</v>
      </c>
      <c r="H860" s="145">
        <v>0</v>
      </c>
      <c r="I860" s="77">
        <f t="shared" si="16"/>
        <v>458.14</v>
      </c>
      <c r="J860" s="123" t="str">
        <f>IFERROR(VLOOKUP($C860,'CEDARS School FRPL'!C:H,4,FALSE),"No")</f>
        <v>Yes</v>
      </c>
      <c r="K860" s="109"/>
      <c r="L860" s="109"/>
      <c r="M860" s="110">
        <f>IFERROR(VLOOKUP($C860,'CEDARS School FRPL'!C:H,3,FALSE),0)</f>
        <v>0.73563333333333336</v>
      </c>
      <c r="N860" s="123" t="str">
        <f>IFERROR(VLOOKUP(C860,'CEDARS School FRPL'!C:H,6,FALSE),"No")</f>
        <v>No</v>
      </c>
      <c r="O860" s="147"/>
      <c r="P860" s="148"/>
    </row>
    <row r="861" spans="1:16">
      <c r="A861" s="95" t="s">
        <v>2365</v>
      </c>
      <c r="B861" s="95" t="s">
        <v>939</v>
      </c>
      <c r="C861" s="4">
        <v>3233</v>
      </c>
      <c r="D861" s="95" t="s">
        <v>943</v>
      </c>
      <c r="E861" s="145">
        <v>567.30999999999995</v>
      </c>
      <c r="F861" s="145">
        <v>0</v>
      </c>
      <c r="G861" s="145">
        <v>0</v>
      </c>
      <c r="H861" s="145">
        <v>0</v>
      </c>
      <c r="I861" s="77">
        <f t="shared" si="16"/>
        <v>567.30999999999995</v>
      </c>
      <c r="J861" s="123" t="str">
        <f>IFERROR(VLOOKUP($C861,'CEDARS School FRPL'!C:H,4,FALSE),"No")</f>
        <v>Yes</v>
      </c>
      <c r="K861" s="109"/>
      <c r="L861" s="109"/>
      <c r="M861" s="110">
        <f>IFERROR(VLOOKUP($C861,'CEDARS School FRPL'!C:H,3,FALSE),0)</f>
        <v>0.57423333333333337</v>
      </c>
      <c r="N861" s="123" t="str">
        <f>IFERROR(VLOOKUP(C861,'CEDARS School FRPL'!C:H,6,FALSE),"No")</f>
        <v>No</v>
      </c>
      <c r="O861" s="147"/>
      <c r="P861" s="148"/>
    </row>
    <row r="862" spans="1:16">
      <c r="A862" s="95" t="s">
        <v>2365</v>
      </c>
      <c r="B862" s="95" t="s">
        <v>939</v>
      </c>
      <c r="C862" s="4">
        <v>3388</v>
      </c>
      <c r="D862" s="95" t="s">
        <v>944</v>
      </c>
      <c r="E862" s="145">
        <v>601.86</v>
      </c>
      <c r="F862" s="145">
        <v>0</v>
      </c>
      <c r="G862" s="145">
        <v>0</v>
      </c>
      <c r="H862" s="145">
        <v>0</v>
      </c>
      <c r="I862" s="77">
        <f t="shared" si="16"/>
        <v>601.86</v>
      </c>
      <c r="J862" s="123" t="str">
        <f>IFERROR(VLOOKUP($C862,'CEDARS School FRPL'!C:H,4,FALSE),"No")</f>
        <v>Yes</v>
      </c>
      <c r="K862" s="109"/>
      <c r="L862" s="109"/>
      <c r="M862" s="110">
        <f>IFERROR(VLOOKUP($C862,'CEDARS School FRPL'!C:H,3,FALSE),0)</f>
        <v>0.50436666666666674</v>
      </c>
      <c r="N862" s="123" t="str">
        <f>IFERROR(VLOOKUP(C862,'CEDARS School FRPL'!C:H,6,FALSE),"No")</f>
        <v>No</v>
      </c>
      <c r="O862" s="147"/>
      <c r="P862" s="148"/>
    </row>
    <row r="863" spans="1:16">
      <c r="A863" s="95" t="s">
        <v>2365</v>
      </c>
      <c r="B863" s="95" t="s">
        <v>939</v>
      </c>
      <c r="C863" s="4">
        <v>3389</v>
      </c>
      <c r="D863" s="95" t="s">
        <v>945</v>
      </c>
      <c r="E863" s="145">
        <v>547.29</v>
      </c>
      <c r="F863" s="145">
        <v>0</v>
      </c>
      <c r="G863" s="145">
        <v>0</v>
      </c>
      <c r="H863" s="145">
        <v>0</v>
      </c>
      <c r="I863" s="77">
        <f t="shared" si="16"/>
        <v>547.29</v>
      </c>
      <c r="J863" s="123" t="str">
        <f>IFERROR(VLOOKUP($C863,'CEDARS School FRPL'!C:H,4,FALSE),"No")</f>
        <v>Yes</v>
      </c>
      <c r="K863" s="109"/>
      <c r="L863" s="109"/>
      <c r="M863" s="110">
        <f>IFERROR(VLOOKUP($C863,'CEDARS School FRPL'!C:H,3,FALSE),0)</f>
        <v>0.76716666666666666</v>
      </c>
      <c r="N863" s="123" t="str">
        <f>IFERROR(VLOOKUP(C863,'CEDARS School FRPL'!C:H,6,FALSE),"No")</f>
        <v>No</v>
      </c>
      <c r="O863" s="147"/>
      <c r="P863" s="148"/>
    </row>
    <row r="864" spans="1:16">
      <c r="A864" s="95" t="s">
        <v>2365</v>
      </c>
      <c r="B864" s="95" t="s">
        <v>939</v>
      </c>
      <c r="C864" s="4">
        <v>3491</v>
      </c>
      <c r="D864" s="95" t="s">
        <v>946</v>
      </c>
      <c r="E864" s="145">
        <v>345.65</v>
      </c>
      <c r="F864" s="145">
        <v>0</v>
      </c>
      <c r="G864" s="145">
        <v>0</v>
      </c>
      <c r="H864" s="145">
        <v>0</v>
      </c>
      <c r="I864" s="77">
        <f t="shared" si="16"/>
        <v>345.65</v>
      </c>
      <c r="J864" s="123" t="str">
        <f>IFERROR(VLOOKUP($C864,'CEDARS School FRPL'!C:H,4,FALSE),"No")</f>
        <v>Yes</v>
      </c>
      <c r="K864" s="109"/>
      <c r="L864" s="109"/>
      <c r="M864" s="110">
        <f>IFERROR(VLOOKUP($C864,'CEDARS School FRPL'!C:H,3,FALSE),0)</f>
        <v>0.67266666666666675</v>
      </c>
      <c r="N864" s="123" t="str">
        <f>IFERROR(VLOOKUP(C864,'CEDARS School FRPL'!C:H,6,FALSE),"No")</f>
        <v>No</v>
      </c>
      <c r="O864" s="147"/>
      <c r="P864" s="148"/>
    </row>
    <row r="865" spans="1:16">
      <c r="A865" s="95" t="s">
        <v>2365</v>
      </c>
      <c r="B865" s="95" t="s">
        <v>939</v>
      </c>
      <c r="C865" s="4">
        <v>3550</v>
      </c>
      <c r="D865" s="95" t="s">
        <v>947</v>
      </c>
      <c r="E865" s="145">
        <v>482.24</v>
      </c>
      <c r="F865" s="145">
        <v>0</v>
      </c>
      <c r="G865" s="145">
        <v>0</v>
      </c>
      <c r="H865" s="145">
        <v>0</v>
      </c>
      <c r="I865" s="77">
        <f t="shared" si="16"/>
        <v>482.24</v>
      </c>
      <c r="J865" s="123" t="str">
        <f>IFERROR(VLOOKUP($C865,'CEDARS School FRPL'!C:H,4,FALSE),"No")</f>
        <v>No</v>
      </c>
      <c r="K865" s="109"/>
      <c r="L865" s="109"/>
      <c r="M865" s="110">
        <f>IFERROR(VLOOKUP($C865,'CEDARS School FRPL'!C:H,3,FALSE),0)</f>
        <v>0.29853333333333332</v>
      </c>
      <c r="N865" s="123" t="str">
        <f>IFERROR(VLOOKUP(C865,'CEDARS School FRPL'!C:H,6,FALSE),"No")</f>
        <v>No</v>
      </c>
      <c r="O865" s="147"/>
      <c r="P865" s="148"/>
    </row>
    <row r="866" spans="1:16">
      <c r="A866" s="95" t="s">
        <v>2365</v>
      </c>
      <c r="B866" s="95" t="s">
        <v>939</v>
      </c>
      <c r="C866" s="4">
        <v>3593</v>
      </c>
      <c r="D866" s="95" t="s">
        <v>948</v>
      </c>
      <c r="E866" s="145">
        <v>382.4</v>
      </c>
      <c r="F866" s="145">
        <v>0</v>
      </c>
      <c r="G866" s="145">
        <v>0</v>
      </c>
      <c r="H866" s="145">
        <v>0</v>
      </c>
      <c r="I866" s="77">
        <f t="shared" si="16"/>
        <v>382.4</v>
      </c>
      <c r="J866" s="123" t="str">
        <f>IFERROR(VLOOKUP($C866,'CEDARS School FRPL'!C:H,4,FALSE),"No")</f>
        <v>Yes</v>
      </c>
      <c r="K866" s="109"/>
      <c r="L866" s="109"/>
      <c r="M866" s="110">
        <f>IFERROR(VLOOKUP($C866,'CEDARS School FRPL'!C:H,3,FALSE),0)</f>
        <v>0.69793333333333329</v>
      </c>
      <c r="N866" s="123" t="str">
        <f>IFERROR(VLOOKUP(C866,'CEDARS School FRPL'!C:H,6,FALSE),"No")</f>
        <v>No</v>
      </c>
      <c r="O866" s="147"/>
      <c r="P866" s="148"/>
    </row>
    <row r="867" spans="1:16">
      <c r="A867" s="95" t="s">
        <v>2365</v>
      </c>
      <c r="B867" s="95" t="s">
        <v>939</v>
      </c>
      <c r="C867" s="4">
        <v>3640</v>
      </c>
      <c r="D867" s="95" t="s">
        <v>949</v>
      </c>
      <c r="E867" s="145">
        <v>1789.87</v>
      </c>
      <c r="F867" s="145">
        <v>264.82</v>
      </c>
      <c r="G867" s="145">
        <v>0</v>
      </c>
      <c r="H867" s="145">
        <v>0</v>
      </c>
      <c r="I867" s="77">
        <f t="shared" si="16"/>
        <v>2054.69</v>
      </c>
      <c r="J867" s="123" t="str">
        <f>IFERROR(VLOOKUP($C867,'CEDARS School FRPL'!C:H,4,FALSE),"No")</f>
        <v>No</v>
      </c>
      <c r="K867" s="109"/>
      <c r="L867" s="109"/>
      <c r="M867" s="110">
        <f>IFERROR(VLOOKUP($C867,'CEDARS School FRPL'!C:H,3,FALSE),0)</f>
        <v>0.33706666666666663</v>
      </c>
      <c r="N867" s="123" t="str">
        <f>IFERROR(VLOOKUP(C867,'CEDARS School FRPL'!C:H,6,FALSE),"No")</f>
        <v>No</v>
      </c>
      <c r="O867" s="147"/>
      <c r="P867" s="148"/>
    </row>
    <row r="868" spans="1:16">
      <c r="A868" s="95" t="s">
        <v>2365</v>
      </c>
      <c r="B868" s="95" t="s">
        <v>939</v>
      </c>
      <c r="C868" s="4">
        <v>3676</v>
      </c>
      <c r="D868" s="95" t="s">
        <v>950</v>
      </c>
      <c r="E868" s="145">
        <v>206.43</v>
      </c>
      <c r="F868" s="145">
        <v>0</v>
      </c>
      <c r="G868" s="145">
        <v>0</v>
      </c>
      <c r="H868" s="145">
        <v>0</v>
      </c>
      <c r="I868" s="77">
        <f t="shared" si="16"/>
        <v>206.43</v>
      </c>
      <c r="J868" s="123" t="str">
        <f>IFERROR(VLOOKUP($C868,'CEDARS School FRPL'!C:H,4,FALSE),"No")</f>
        <v>No</v>
      </c>
      <c r="K868" s="109"/>
      <c r="L868" s="109"/>
      <c r="M868" s="110">
        <f>IFERROR(VLOOKUP($C868,'CEDARS School FRPL'!C:H,3,FALSE),0)</f>
        <v>0.48283333333333339</v>
      </c>
      <c r="N868" s="123" t="str">
        <f>IFERROR(VLOOKUP(C868,'CEDARS School FRPL'!C:H,6,FALSE),"No")</f>
        <v>No</v>
      </c>
      <c r="O868" s="147"/>
      <c r="P868" s="148"/>
    </row>
    <row r="869" spans="1:16">
      <c r="A869" s="95" t="s">
        <v>2365</v>
      </c>
      <c r="B869" s="95" t="s">
        <v>939</v>
      </c>
      <c r="C869" s="4">
        <v>3677</v>
      </c>
      <c r="D869" s="95" t="s">
        <v>951</v>
      </c>
      <c r="E869" s="145">
        <v>355.57</v>
      </c>
      <c r="F869" s="145">
        <v>0</v>
      </c>
      <c r="G869" s="145">
        <v>0</v>
      </c>
      <c r="H869" s="145">
        <v>0</v>
      </c>
      <c r="I869" s="77">
        <f t="shared" si="16"/>
        <v>355.57</v>
      </c>
      <c r="J869" s="123" t="str">
        <f>IFERROR(VLOOKUP($C869,'CEDARS School FRPL'!C:H,4,FALSE),"No")</f>
        <v>Yes</v>
      </c>
      <c r="K869" s="109"/>
      <c r="L869" s="109"/>
      <c r="M869" s="110">
        <f>IFERROR(VLOOKUP($C869,'CEDARS School FRPL'!C:H,3,FALSE),0)</f>
        <v>0.68763333333333332</v>
      </c>
      <c r="N869" s="123" t="str">
        <f>IFERROR(VLOOKUP(C869,'CEDARS School FRPL'!C:H,6,FALSE),"No")</f>
        <v>No</v>
      </c>
      <c r="O869" s="147"/>
      <c r="P869" s="148"/>
    </row>
    <row r="870" spans="1:16">
      <c r="A870" s="95" t="s">
        <v>2365</v>
      </c>
      <c r="B870" s="95" t="s">
        <v>939</v>
      </c>
      <c r="C870" s="4">
        <v>3678</v>
      </c>
      <c r="D870" s="95" t="s">
        <v>952</v>
      </c>
      <c r="E870" s="145">
        <v>331.69</v>
      </c>
      <c r="F870" s="145">
        <v>0</v>
      </c>
      <c r="G870" s="145">
        <v>0</v>
      </c>
      <c r="H870" s="145">
        <v>0</v>
      </c>
      <c r="I870" s="77">
        <f t="shared" si="16"/>
        <v>331.69</v>
      </c>
      <c r="J870" s="123" t="str">
        <f>IFERROR(VLOOKUP($C870,'CEDARS School FRPL'!C:H,4,FALSE),"No")</f>
        <v>No</v>
      </c>
      <c r="K870" s="109"/>
      <c r="L870" s="109"/>
      <c r="M870" s="110">
        <f>IFERROR(VLOOKUP($C870,'CEDARS School FRPL'!C:H,3,FALSE),0)</f>
        <v>0.33533333333333332</v>
      </c>
      <c r="N870" s="123" t="str">
        <f>IFERROR(VLOOKUP(C870,'CEDARS School FRPL'!C:H,6,FALSE),"No")</f>
        <v>No</v>
      </c>
      <c r="O870" s="147"/>
      <c r="P870" s="148"/>
    </row>
    <row r="871" spans="1:16">
      <c r="A871" s="95" t="s">
        <v>2365</v>
      </c>
      <c r="B871" s="95" t="s">
        <v>939</v>
      </c>
      <c r="C871" s="4">
        <v>3707</v>
      </c>
      <c r="D871" s="95" t="s">
        <v>953</v>
      </c>
      <c r="E871" s="145">
        <v>333.29</v>
      </c>
      <c r="F871" s="145">
        <v>0</v>
      </c>
      <c r="G871" s="145">
        <v>0</v>
      </c>
      <c r="H871" s="145">
        <v>0</v>
      </c>
      <c r="I871" s="77">
        <f t="shared" si="16"/>
        <v>333.29</v>
      </c>
      <c r="J871" s="123" t="str">
        <f>IFERROR(VLOOKUP($C871,'CEDARS School FRPL'!C:H,4,FALSE),"No")</f>
        <v>No</v>
      </c>
      <c r="K871" s="109"/>
      <c r="L871" s="109"/>
      <c r="M871" s="110">
        <f>IFERROR(VLOOKUP($C871,'CEDARS School FRPL'!C:H,3,FALSE),0)</f>
        <v>0.44823333333333332</v>
      </c>
      <c r="N871" s="123" t="str">
        <f>IFERROR(VLOOKUP(C871,'CEDARS School FRPL'!C:H,6,FALSE),"No")</f>
        <v>No</v>
      </c>
      <c r="O871" s="147"/>
      <c r="P871" s="148"/>
    </row>
    <row r="872" spans="1:16">
      <c r="A872" s="95" t="s">
        <v>2365</v>
      </c>
      <c r="B872" s="95" t="s">
        <v>939</v>
      </c>
      <c r="C872" s="4">
        <v>3708</v>
      </c>
      <c r="D872" s="95" t="s">
        <v>954</v>
      </c>
      <c r="E872" s="145">
        <v>365.78</v>
      </c>
      <c r="F872" s="145">
        <v>0</v>
      </c>
      <c r="G872" s="145">
        <v>0</v>
      </c>
      <c r="H872" s="145">
        <v>0</v>
      </c>
      <c r="I872" s="77">
        <f t="shared" si="16"/>
        <v>365.78</v>
      </c>
      <c r="J872" s="123" t="str">
        <f>IFERROR(VLOOKUP($C872,'CEDARS School FRPL'!C:H,4,FALSE),"No")</f>
        <v>No</v>
      </c>
      <c r="K872" s="109"/>
      <c r="L872" s="109"/>
      <c r="M872" s="110">
        <f>IFERROR(VLOOKUP($C872,'CEDARS School FRPL'!C:H,3,FALSE),0)</f>
        <v>0.25669999999999998</v>
      </c>
      <c r="N872" s="123" t="str">
        <f>IFERROR(VLOOKUP(C872,'CEDARS School FRPL'!C:H,6,FALSE),"No")</f>
        <v>No</v>
      </c>
      <c r="O872" s="147"/>
      <c r="P872" s="148"/>
    </row>
    <row r="873" spans="1:16">
      <c r="A873" s="95" t="s">
        <v>2365</v>
      </c>
      <c r="B873" s="95" t="s">
        <v>939</v>
      </c>
      <c r="C873" s="4">
        <v>3764</v>
      </c>
      <c r="D873" s="95" t="s">
        <v>955</v>
      </c>
      <c r="E873" s="145">
        <v>633.63</v>
      </c>
      <c r="F873" s="145">
        <v>0</v>
      </c>
      <c r="G873" s="145">
        <v>0</v>
      </c>
      <c r="H873" s="145">
        <v>0</v>
      </c>
      <c r="I873" s="77">
        <f t="shared" si="16"/>
        <v>633.63</v>
      </c>
      <c r="J873" s="123" t="str">
        <f>IFERROR(VLOOKUP($C873,'CEDARS School FRPL'!C:H,4,FALSE),"No")</f>
        <v>Yes</v>
      </c>
      <c r="K873" s="109"/>
      <c r="L873" s="109"/>
      <c r="M873" s="110">
        <f>IFERROR(VLOOKUP($C873,'CEDARS School FRPL'!C:H,3,FALSE),0)</f>
        <v>0.58233333333333337</v>
      </c>
      <c r="N873" s="123" t="str">
        <f>IFERROR(VLOOKUP(C873,'CEDARS School FRPL'!C:H,6,FALSE),"No")</f>
        <v>No</v>
      </c>
      <c r="O873" s="147"/>
      <c r="P873" s="148"/>
    </row>
    <row r="874" spans="1:16">
      <c r="A874" s="95" t="s">
        <v>2365</v>
      </c>
      <c r="B874" s="95" t="s">
        <v>939</v>
      </c>
      <c r="C874" s="4">
        <v>4126</v>
      </c>
      <c r="D874" s="95" t="s">
        <v>956</v>
      </c>
      <c r="E874" s="145">
        <v>439.58</v>
      </c>
      <c r="F874" s="145">
        <v>0</v>
      </c>
      <c r="G874" s="145">
        <v>0</v>
      </c>
      <c r="H874" s="145">
        <v>0</v>
      </c>
      <c r="I874" s="77">
        <f t="shared" si="16"/>
        <v>439.58</v>
      </c>
      <c r="J874" s="123" t="str">
        <f>IFERROR(VLOOKUP($C874,'CEDARS School FRPL'!C:H,4,FALSE),"No")</f>
        <v>No</v>
      </c>
      <c r="K874" s="109"/>
      <c r="L874" s="109"/>
      <c r="M874" s="110">
        <f>IFERROR(VLOOKUP($C874,'CEDARS School FRPL'!C:H,3,FALSE),0)</f>
        <v>0.32956666666666662</v>
      </c>
      <c r="N874" s="123" t="str">
        <f>IFERROR(VLOOKUP(C874,'CEDARS School FRPL'!C:H,6,FALSE),"No")</f>
        <v>No</v>
      </c>
      <c r="O874" s="147"/>
      <c r="P874" s="148"/>
    </row>
    <row r="875" spans="1:16">
      <c r="A875" s="95" t="s">
        <v>2365</v>
      </c>
      <c r="B875" s="95" t="s">
        <v>939</v>
      </c>
      <c r="C875" s="4">
        <v>4127</v>
      </c>
      <c r="D875" s="95" t="s">
        <v>957</v>
      </c>
      <c r="E875" s="145">
        <v>587.27</v>
      </c>
      <c r="F875" s="145">
        <v>0</v>
      </c>
      <c r="G875" s="145">
        <v>0</v>
      </c>
      <c r="H875" s="145">
        <v>0</v>
      </c>
      <c r="I875" s="77">
        <f t="shared" si="16"/>
        <v>587.27</v>
      </c>
      <c r="J875" s="123" t="str">
        <f>IFERROR(VLOOKUP($C875,'CEDARS School FRPL'!C:H,4,FALSE),"No")</f>
        <v>No</v>
      </c>
      <c r="K875" s="109"/>
      <c r="L875" s="109"/>
      <c r="M875" s="110">
        <f>IFERROR(VLOOKUP($C875,'CEDARS School FRPL'!C:H,3,FALSE),0)</f>
        <v>0.41716666666666669</v>
      </c>
      <c r="N875" s="123" t="str">
        <f>IFERROR(VLOOKUP(C875,'CEDARS School FRPL'!C:H,6,FALSE),"No")</f>
        <v>No</v>
      </c>
      <c r="O875" s="147"/>
      <c r="P875" s="148"/>
    </row>
    <row r="876" spans="1:16">
      <c r="A876" s="95" t="s">
        <v>2365</v>
      </c>
      <c r="B876" s="95" t="s">
        <v>939</v>
      </c>
      <c r="C876" s="4">
        <v>4128</v>
      </c>
      <c r="D876" s="95" t="s">
        <v>958</v>
      </c>
      <c r="E876" s="145">
        <v>1584.5</v>
      </c>
      <c r="F876" s="145">
        <v>224.04</v>
      </c>
      <c r="G876" s="145">
        <v>0</v>
      </c>
      <c r="H876" s="145">
        <v>0</v>
      </c>
      <c r="I876" s="77">
        <f t="shared" si="16"/>
        <v>1808.54</v>
      </c>
      <c r="J876" s="123" t="str">
        <f>IFERROR(VLOOKUP($C876,'CEDARS School FRPL'!C:H,4,FALSE),"No")</f>
        <v>No</v>
      </c>
      <c r="K876" s="109"/>
      <c r="L876" s="109"/>
      <c r="M876" s="110">
        <f>IFERROR(VLOOKUP($C876,'CEDARS School FRPL'!C:H,3,FALSE),0)</f>
        <v>0.40293333333333337</v>
      </c>
      <c r="N876" s="123" t="str">
        <f>IFERROR(VLOOKUP(C876,'CEDARS School FRPL'!C:H,6,FALSE),"No")</f>
        <v>No</v>
      </c>
      <c r="O876" s="147"/>
      <c r="P876" s="148"/>
    </row>
    <row r="877" spans="1:16">
      <c r="A877" s="95" t="s">
        <v>2365</v>
      </c>
      <c r="B877" s="95" t="s">
        <v>939</v>
      </c>
      <c r="C877" s="4">
        <v>4293</v>
      </c>
      <c r="D877" s="95" t="s">
        <v>959</v>
      </c>
      <c r="E877" s="145">
        <v>474.01</v>
      </c>
      <c r="F877" s="145">
        <v>0</v>
      </c>
      <c r="G877" s="145">
        <v>0</v>
      </c>
      <c r="H877" s="145">
        <v>0</v>
      </c>
      <c r="I877" s="77">
        <f t="shared" si="16"/>
        <v>474.01</v>
      </c>
      <c r="J877" s="123" t="str">
        <f>IFERROR(VLOOKUP($C877,'CEDARS School FRPL'!C:H,4,FALSE),"No")</f>
        <v>No</v>
      </c>
      <c r="K877" s="109"/>
      <c r="L877" s="109"/>
      <c r="M877" s="110">
        <f>IFERROR(VLOOKUP($C877,'CEDARS School FRPL'!C:H,3,FALSE),0)</f>
        <v>0.15233333333333335</v>
      </c>
      <c r="N877" s="123" t="str">
        <f>IFERROR(VLOOKUP(C877,'CEDARS School FRPL'!C:H,6,FALSE),"No")</f>
        <v>No</v>
      </c>
      <c r="O877" s="147"/>
      <c r="P877" s="148"/>
    </row>
    <row r="878" spans="1:16">
      <c r="A878" s="95" t="s">
        <v>2365</v>
      </c>
      <c r="B878" s="95" t="s">
        <v>939</v>
      </c>
      <c r="C878" s="4">
        <v>4294</v>
      </c>
      <c r="D878" s="95" t="s">
        <v>960</v>
      </c>
      <c r="E878" s="145">
        <v>568</v>
      </c>
      <c r="F878" s="145">
        <v>0</v>
      </c>
      <c r="G878" s="145">
        <v>0</v>
      </c>
      <c r="H878" s="145">
        <v>0</v>
      </c>
      <c r="I878" s="77">
        <f t="shared" si="16"/>
        <v>568</v>
      </c>
      <c r="J878" s="123" t="str">
        <f>IFERROR(VLOOKUP($C878,'CEDARS School FRPL'!C:H,4,FALSE),"No")</f>
        <v>Yes</v>
      </c>
      <c r="K878" s="109"/>
      <c r="L878" s="109"/>
      <c r="M878" s="110">
        <f>IFERROR(VLOOKUP($C878,'CEDARS School FRPL'!C:H,3,FALSE),0)</f>
        <v>0.53663333333333341</v>
      </c>
      <c r="N878" s="123" t="str">
        <f>IFERROR(VLOOKUP(C878,'CEDARS School FRPL'!C:H,6,FALSE),"No")</f>
        <v>No</v>
      </c>
      <c r="O878" s="147"/>
      <c r="P878" s="148"/>
    </row>
    <row r="879" spans="1:16">
      <c r="A879" s="95" t="s">
        <v>2365</v>
      </c>
      <c r="B879" s="95" t="s">
        <v>939</v>
      </c>
      <c r="C879" s="4">
        <v>4301</v>
      </c>
      <c r="D879" s="95" t="s">
        <v>961</v>
      </c>
      <c r="E879" s="145">
        <v>408.57</v>
      </c>
      <c r="F879" s="145">
        <v>0</v>
      </c>
      <c r="G879" s="145">
        <v>0</v>
      </c>
      <c r="H879" s="145">
        <v>0</v>
      </c>
      <c r="I879" s="77">
        <f t="shared" si="16"/>
        <v>408.57</v>
      </c>
      <c r="J879" s="123" t="str">
        <f>IFERROR(VLOOKUP($C879,'CEDARS School FRPL'!C:H,4,FALSE),"No")</f>
        <v>No</v>
      </c>
      <c r="K879" s="109"/>
      <c r="L879" s="109"/>
      <c r="M879" s="110">
        <f>IFERROR(VLOOKUP($C879,'CEDARS School FRPL'!C:H,3,FALSE),0)</f>
        <v>0.38929999999999998</v>
      </c>
      <c r="N879" s="123" t="str">
        <f>IFERROR(VLOOKUP(C879,'CEDARS School FRPL'!C:H,6,FALSE),"No")</f>
        <v>No</v>
      </c>
      <c r="O879" s="147"/>
      <c r="P879" s="148"/>
    </row>
    <row r="880" spans="1:16">
      <c r="A880" s="95" t="s">
        <v>2365</v>
      </c>
      <c r="B880" s="95" t="s">
        <v>939</v>
      </c>
      <c r="C880" s="4">
        <v>4345</v>
      </c>
      <c r="D880" s="95" t="s">
        <v>962</v>
      </c>
      <c r="E880" s="145">
        <v>392.29</v>
      </c>
      <c r="F880" s="145">
        <v>0</v>
      </c>
      <c r="G880" s="145">
        <v>0</v>
      </c>
      <c r="H880" s="145">
        <v>0</v>
      </c>
      <c r="I880" s="77">
        <f t="shared" si="16"/>
        <v>392.29</v>
      </c>
      <c r="J880" s="123" t="str">
        <f>IFERROR(VLOOKUP($C880,'CEDARS School FRPL'!C:H,4,FALSE),"No")</f>
        <v>Yes</v>
      </c>
      <c r="K880" s="109"/>
      <c r="L880" s="109"/>
      <c r="M880" s="110">
        <f>IFERROR(VLOOKUP($C880,'CEDARS School FRPL'!C:H,3,FALSE),0)</f>
        <v>0.51169999999999993</v>
      </c>
      <c r="N880" s="123" t="str">
        <f>IFERROR(VLOOKUP(C880,'CEDARS School FRPL'!C:H,6,FALSE),"No")</f>
        <v>No</v>
      </c>
      <c r="O880" s="147"/>
      <c r="P880" s="148"/>
    </row>
    <row r="881" spans="1:16">
      <c r="A881" s="95" t="s">
        <v>2365</v>
      </c>
      <c r="B881" s="95" t="s">
        <v>939</v>
      </c>
      <c r="C881" s="4">
        <v>4353</v>
      </c>
      <c r="D881" s="95" t="s">
        <v>963</v>
      </c>
      <c r="E881" s="145">
        <v>433.15</v>
      </c>
      <c r="F881" s="145">
        <v>0</v>
      </c>
      <c r="G881" s="145">
        <v>0</v>
      </c>
      <c r="H881" s="145">
        <v>0</v>
      </c>
      <c r="I881" s="77">
        <f t="shared" si="16"/>
        <v>433.15</v>
      </c>
      <c r="J881" s="123" t="str">
        <f>IFERROR(VLOOKUP($C881,'CEDARS School FRPL'!C:H,4,FALSE),"No")</f>
        <v>No</v>
      </c>
      <c r="K881" s="109"/>
      <c r="L881" s="109"/>
      <c r="M881" s="110">
        <f>IFERROR(VLOOKUP($C881,'CEDARS School FRPL'!C:H,3,FALSE),0)</f>
        <v>0.23393333333333333</v>
      </c>
      <c r="N881" s="123" t="str">
        <f>IFERROR(VLOOKUP(C881,'CEDARS School FRPL'!C:H,6,FALSE),"No")</f>
        <v>No</v>
      </c>
      <c r="O881" s="147"/>
      <c r="P881" s="148"/>
    </row>
    <row r="882" spans="1:16">
      <c r="A882" s="95" t="s">
        <v>2365</v>
      </c>
      <c r="B882" s="95" t="s">
        <v>939</v>
      </c>
      <c r="C882" s="4">
        <v>4356</v>
      </c>
      <c r="D882" s="95" t="s">
        <v>964</v>
      </c>
      <c r="E882" s="145">
        <v>465.3</v>
      </c>
      <c r="F882" s="145">
        <v>0</v>
      </c>
      <c r="G882" s="145">
        <v>0</v>
      </c>
      <c r="H882" s="145">
        <v>0</v>
      </c>
      <c r="I882" s="77">
        <f t="shared" si="16"/>
        <v>465.3</v>
      </c>
      <c r="J882" s="123" t="str">
        <f>IFERROR(VLOOKUP($C882,'CEDARS School FRPL'!C:H,4,FALSE),"No")</f>
        <v>Yes</v>
      </c>
      <c r="M882" s="110">
        <f>IFERROR(VLOOKUP($C882,'CEDARS School FRPL'!C:H,3,FALSE),0)</f>
        <v>0.72430000000000005</v>
      </c>
      <c r="N882" s="123" t="str">
        <f>IFERROR(VLOOKUP(C882,'CEDARS School FRPL'!C:H,6,FALSE),"No")</f>
        <v>No</v>
      </c>
      <c r="O882" s="147"/>
      <c r="P882" s="148"/>
    </row>
    <row r="883" spans="1:16">
      <c r="A883" s="95" t="s">
        <v>2365</v>
      </c>
      <c r="B883" s="95" t="s">
        <v>939</v>
      </c>
      <c r="C883" s="4">
        <v>4413</v>
      </c>
      <c r="D883" s="95" t="s">
        <v>965</v>
      </c>
      <c r="E883" s="145">
        <v>460.57</v>
      </c>
      <c r="F883" s="145">
        <v>0</v>
      </c>
      <c r="G883" s="145">
        <v>0</v>
      </c>
      <c r="H883" s="145">
        <v>0</v>
      </c>
      <c r="I883" s="77">
        <f t="shared" si="16"/>
        <v>460.57</v>
      </c>
      <c r="J883" s="123" t="str">
        <f>IFERROR(VLOOKUP($C883,'CEDARS School FRPL'!C:H,4,FALSE),"No")</f>
        <v>Yes</v>
      </c>
      <c r="K883" s="109"/>
      <c r="L883" s="109"/>
      <c r="M883" s="110">
        <f>IFERROR(VLOOKUP($C883,'CEDARS School FRPL'!C:H,3,FALSE),0)</f>
        <v>0.77349999999999997</v>
      </c>
      <c r="N883" s="123" t="str">
        <f>IFERROR(VLOOKUP(C883,'CEDARS School FRPL'!C:H,6,FALSE),"No")</f>
        <v>No</v>
      </c>
      <c r="O883" s="147"/>
      <c r="P883" s="148"/>
    </row>
    <row r="884" spans="1:16">
      <c r="A884" s="95" t="s">
        <v>2365</v>
      </c>
      <c r="B884" s="95" t="s">
        <v>939</v>
      </c>
      <c r="C884" s="4">
        <v>4420</v>
      </c>
      <c r="D884" s="95" t="s">
        <v>966</v>
      </c>
      <c r="E884" s="145">
        <v>588.77</v>
      </c>
      <c r="F884" s="145">
        <v>0</v>
      </c>
      <c r="G884" s="145">
        <v>0</v>
      </c>
      <c r="H884" s="145">
        <v>0</v>
      </c>
      <c r="I884" s="77">
        <f t="shared" si="16"/>
        <v>588.77</v>
      </c>
      <c r="J884" s="123" t="str">
        <f>IFERROR(VLOOKUP($C884,'CEDARS School FRPL'!C:H,4,FALSE),"No")</f>
        <v>No</v>
      </c>
      <c r="K884" s="109"/>
      <c r="L884" s="109"/>
      <c r="M884" s="110">
        <f>IFERROR(VLOOKUP($C884,'CEDARS School FRPL'!C:H,3,FALSE),0)</f>
        <v>0.35546666666666665</v>
      </c>
      <c r="N884" s="123" t="str">
        <f>IFERROR(VLOOKUP(C884,'CEDARS School FRPL'!C:H,6,FALSE),"No")</f>
        <v>No</v>
      </c>
      <c r="O884" s="147"/>
      <c r="P884" s="148"/>
    </row>
    <row r="885" spans="1:16">
      <c r="A885" s="95" t="s">
        <v>2365</v>
      </c>
      <c r="B885" s="95" t="s">
        <v>939</v>
      </c>
      <c r="C885" s="4">
        <v>4440</v>
      </c>
      <c r="D885" s="95" t="s">
        <v>967</v>
      </c>
      <c r="E885" s="145">
        <v>597.76</v>
      </c>
      <c r="F885" s="145">
        <v>0</v>
      </c>
      <c r="G885" s="145">
        <v>0</v>
      </c>
      <c r="H885" s="145">
        <v>0</v>
      </c>
      <c r="I885" s="77">
        <f t="shared" si="16"/>
        <v>597.76</v>
      </c>
      <c r="J885" s="123" t="str">
        <f>IFERROR(VLOOKUP($C885,'CEDARS School FRPL'!C:H,4,FALSE),"No")</f>
        <v>No</v>
      </c>
      <c r="K885" s="109"/>
      <c r="L885" s="109"/>
      <c r="M885" s="110">
        <f>IFERROR(VLOOKUP($C885,'CEDARS School FRPL'!C:H,3,FALSE),0)</f>
        <v>0.47773333333333334</v>
      </c>
      <c r="N885" s="123" t="str">
        <f>IFERROR(VLOOKUP(C885,'CEDARS School FRPL'!C:H,6,FALSE),"No")</f>
        <v>No</v>
      </c>
      <c r="O885" s="147"/>
      <c r="P885" s="148"/>
    </row>
    <row r="886" spans="1:16">
      <c r="A886" s="95" t="s">
        <v>2365</v>
      </c>
      <c r="B886" s="95" t="s">
        <v>939</v>
      </c>
      <c r="C886" s="4">
        <v>4465</v>
      </c>
      <c r="D886" s="95" t="s">
        <v>968</v>
      </c>
      <c r="E886" s="145">
        <v>315.16000000000003</v>
      </c>
      <c r="F886" s="145">
        <v>0</v>
      </c>
      <c r="G886" s="145">
        <v>0</v>
      </c>
      <c r="H886" s="145">
        <v>0</v>
      </c>
      <c r="I886" s="77">
        <f t="shared" si="16"/>
        <v>315.16000000000003</v>
      </c>
      <c r="J886" s="123" t="str">
        <f>IFERROR(VLOOKUP($C886,'CEDARS School FRPL'!C:H,4,FALSE),"No")</f>
        <v>Yes</v>
      </c>
      <c r="K886" s="109"/>
      <c r="L886" s="109"/>
      <c r="M886" s="110">
        <f>IFERROR(VLOOKUP($C886,'CEDARS School FRPL'!C:H,3,FALSE),0)</f>
        <v>0.68403333333333338</v>
      </c>
      <c r="N886" s="123" t="str">
        <f>IFERROR(VLOOKUP(C886,'CEDARS School FRPL'!C:H,6,FALSE),"No")</f>
        <v>No</v>
      </c>
      <c r="O886" s="147"/>
      <c r="P886" s="148"/>
    </row>
    <row r="887" spans="1:16">
      <c r="A887" s="95" t="s">
        <v>2365</v>
      </c>
      <c r="B887" s="95" t="s">
        <v>939</v>
      </c>
      <c r="C887" s="4">
        <v>4466</v>
      </c>
      <c r="D887" s="95" t="s">
        <v>969</v>
      </c>
      <c r="E887" s="145">
        <v>402.71</v>
      </c>
      <c r="F887" s="145">
        <v>0</v>
      </c>
      <c r="G887" s="145">
        <v>0</v>
      </c>
      <c r="H887" s="145">
        <v>0</v>
      </c>
      <c r="I887" s="77">
        <f t="shared" si="16"/>
        <v>402.71</v>
      </c>
      <c r="J887" s="123" t="str">
        <f>IFERROR(VLOOKUP($C887,'CEDARS School FRPL'!C:H,4,FALSE),"No")</f>
        <v>No</v>
      </c>
      <c r="K887" s="109"/>
      <c r="L887" s="109"/>
      <c r="M887" s="110">
        <f>IFERROR(VLOOKUP($C887,'CEDARS School FRPL'!C:H,3,FALSE),0)</f>
        <v>0.21789999999999998</v>
      </c>
      <c r="N887" s="123" t="str">
        <f>IFERROR(VLOOKUP(C887,'CEDARS School FRPL'!C:H,6,FALSE),"No")</f>
        <v>No</v>
      </c>
      <c r="O887" s="147"/>
      <c r="P887" s="148"/>
    </row>
    <row r="888" spans="1:16">
      <c r="A888" s="95" t="s">
        <v>2365</v>
      </c>
      <c r="B888" s="95" t="s">
        <v>939</v>
      </c>
      <c r="C888" s="4">
        <v>4485</v>
      </c>
      <c r="D888" s="95" t="s">
        <v>970</v>
      </c>
      <c r="E888" s="145">
        <v>564.66999999999996</v>
      </c>
      <c r="F888" s="145">
        <v>0</v>
      </c>
      <c r="G888" s="145">
        <v>0</v>
      </c>
      <c r="H888" s="145">
        <v>0</v>
      </c>
      <c r="I888" s="77">
        <f t="shared" si="16"/>
        <v>564.66999999999996</v>
      </c>
      <c r="J888" s="123" t="str">
        <f>IFERROR(VLOOKUP($C888,'CEDARS School FRPL'!C:H,4,FALSE),"No")</f>
        <v>No</v>
      </c>
      <c r="K888" s="109"/>
      <c r="L888" s="109"/>
      <c r="M888" s="110">
        <f>IFERROR(VLOOKUP($C888,'CEDARS School FRPL'!C:H,3,FALSE),0)</f>
        <v>0.30279999999999996</v>
      </c>
      <c r="N888" s="123" t="str">
        <f>IFERROR(VLOOKUP(C888,'CEDARS School FRPL'!C:H,6,FALSE),"No")</f>
        <v>No</v>
      </c>
      <c r="O888" s="147"/>
      <c r="P888" s="148"/>
    </row>
    <row r="889" spans="1:16">
      <c r="A889" s="95" t="s">
        <v>2365</v>
      </c>
      <c r="B889" s="95" t="s">
        <v>939</v>
      </c>
      <c r="C889" s="4">
        <v>4489</v>
      </c>
      <c r="D889" s="95" t="s">
        <v>971</v>
      </c>
      <c r="E889" s="145">
        <v>451.89</v>
      </c>
      <c r="F889" s="145">
        <v>0</v>
      </c>
      <c r="G889" s="145">
        <v>0</v>
      </c>
      <c r="H889" s="145">
        <v>0</v>
      </c>
      <c r="I889" s="77">
        <f t="shared" si="16"/>
        <v>451.89</v>
      </c>
      <c r="J889" s="123" t="str">
        <f>IFERROR(VLOOKUP($C889,'CEDARS School FRPL'!C:H,4,FALSE),"No")</f>
        <v>No</v>
      </c>
      <c r="K889" s="109"/>
      <c r="L889" s="109"/>
      <c r="M889" s="110">
        <f>IFERROR(VLOOKUP($C889,'CEDARS School FRPL'!C:H,3,FALSE),0)</f>
        <v>0.49286666666666673</v>
      </c>
      <c r="N889" s="123" t="str">
        <f>IFERROR(VLOOKUP(C889,'CEDARS School FRPL'!C:H,6,FALSE),"No")</f>
        <v>No</v>
      </c>
      <c r="O889" s="147"/>
      <c r="P889" s="148"/>
    </row>
    <row r="890" spans="1:16">
      <c r="A890" s="95" t="s">
        <v>2365</v>
      </c>
      <c r="B890" s="95" t="s">
        <v>939</v>
      </c>
      <c r="C890" s="4">
        <v>4492</v>
      </c>
      <c r="D890" s="95" t="s">
        <v>972</v>
      </c>
      <c r="E890" s="145">
        <v>1351.63</v>
      </c>
      <c r="F890" s="145">
        <v>132.24</v>
      </c>
      <c r="G890" s="145">
        <v>0</v>
      </c>
      <c r="H890" s="145">
        <v>0</v>
      </c>
      <c r="I890" s="77">
        <f t="shared" si="16"/>
        <v>1483.8700000000001</v>
      </c>
      <c r="J890" s="123" t="str">
        <f>IFERROR(VLOOKUP($C890,'CEDARS School FRPL'!C:H,4,FALSE),"No")</f>
        <v>No</v>
      </c>
      <c r="K890" s="109"/>
      <c r="L890" s="109"/>
      <c r="M890" s="110">
        <f>IFERROR(VLOOKUP($C890,'CEDARS School FRPL'!C:H,3,FALSE),0)</f>
        <v>0.43759999999999999</v>
      </c>
      <c r="N890" s="123" t="str">
        <f>IFERROR(VLOOKUP(C890,'CEDARS School FRPL'!C:H,6,FALSE),"No")</f>
        <v>No</v>
      </c>
      <c r="O890" s="147"/>
      <c r="P890" s="148"/>
    </row>
    <row r="891" spans="1:16">
      <c r="A891" s="95" t="s">
        <v>2365</v>
      </c>
      <c r="B891" s="95" t="s">
        <v>939</v>
      </c>
      <c r="C891" s="4">
        <v>4520</v>
      </c>
      <c r="D891" s="95" t="s">
        <v>973</v>
      </c>
      <c r="E891" s="145">
        <v>601.71</v>
      </c>
      <c r="F891" s="145">
        <v>0</v>
      </c>
      <c r="G891" s="145">
        <v>0</v>
      </c>
      <c r="H891" s="145">
        <v>0</v>
      </c>
      <c r="I891" s="77">
        <f t="shared" si="16"/>
        <v>601.71</v>
      </c>
      <c r="J891" s="123" t="str">
        <f>IFERROR(VLOOKUP($C891,'CEDARS School FRPL'!C:H,4,FALSE),"No")</f>
        <v>Yes</v>
      </c>
      <c r="K891" s="109"/>
      <c r="L891" s="109"/>
      <c r="M891" s="110">
        <f>IFERROR(VLOOKUP($C891,'CEDARS School FRPL'!C:H,3,FALSE),0)</f>
        <v>0.72270000000000001</v>
      </c>
      <c r="N891" s="123" t="str">
        <f>IFERROR(VLOOKUP(C891,'CEDARS School FRPL'!C:H,6,FALSE),"No")</f>
        <v>No</v>
      </c>
      <c r="O891" s="147"/>
      <c r="P891" s="148"/>
    </row>
    <row r="892" spans="1:16">
      <c r="A892" s="95" t="s">
        <v>2365</v>
      </c>
      <c r="B892" s="95" t="s">
        <v>939</v>
      </c>
      <c r="C892" s="4">
        <v>4545</v>
      </c>
      <c r="D892" s="95" t="s">
        <v>974</v>
      </c>
      <c r="E892" s="145">
        <v>406.62</v>
      </c>
      <c r="F892" s="145">
        <v>0</v>
      </c>
      <c r="G892" s="145">
        <v>0</v>
      </c>
      <c r="H892" s="145">
        <v>0</v>
      </c>
      <c r="I892" s="77">
        <f t="shared" si="16"/>
        <v>406.62</v>
      </c>
      <c r="J892" s="123" t="str">
        <f>IFERROR(VLOOKUP($C892,'CEDARS School FRPL'!C:H,4,FALSE),"No")</f>
        <v>No</v>
      </c>
      <c r="K892" s="109"/>
      <c r="L892" s="109"/>
      <c r="M892" s="110">
        <f>IFERROR(VLOOKUP($C892,'CEDARS School FRPL'!C:H,3,FALSE),0)</f>
        <v>0.4733</v>
      </c>
      <c r="N892" s="123" t="str">
        <f>IFERROR(VLOOKUP(C892,'CEDARS School FRPL'!C:H,6,FALSE),"No")</f>
        <v>No</v>
      </c>
      <c r="O892" s="147"/>
      <c r="P892" s="148"/>
    </row>
    <row r="893" spans="1:16">
      <c r="A893" s="95" t="s">
        <v>2365</v>
      </c>
      <c r="B893" s="95" t="s">
        <v>939</v>
      </c>
      <c r="C893" s="4">
        <v>4581</v>
      </c>
      <c r="D893" s="95" t="s">
        <v>975</v>
      </c>
      <c r="E893" s="145">
        <v>526.29</v>
      </c>
      <c r="F893" s="145">
        <v>0</v>
      </c>
      <c r="G893" s="145">
        <v>0</v>
      </c>
      <c r="H893" s="145">
        <v>0</v>
      </c>
      <c r="I893" s="77">
        <f t="shared" si="16"/>
        <v>526.29</v>
      </c>
      <c r="J893" s="123" t="str">
        <f>IFERROR(VLOOKUP($C893,'CEDARS School FRPL'!C:H,4,FALSE),"No")</f>
        <v>Yes</v>
      </c>
      <c r="K893" s="109"/>
      <c r="L893" s="109"/>
      <c r="M893" s="110">
        <f>IFERROR(VLOOKUP($C893,'CEDARS School FRPL'!C:H,3,FALSE),0)</f>
        <v>0.70653333333333335</v>
      </c>
      <c r="N893" s="123" t="str">
        <f>IFERROR(VLOOKUP(C893,'CEDARS School FRPL'!C:H,6,FALSE),"No")</f>
        <v>No</v>
      </c>
      <c r="O893" s="147"/>
      <c r="P893" s="148"/>
    </row>
    <row r="894" spans="1:16">
      <c r="A894" s="95" t="s">
        <v>2365</v>
      </c>
      <c r="B894" s="95" t="s">
        <v>939</v>
      </c>
      <c r="C894" s="4">
        <v>5016</v>
      </c>
      <c r="D894" s="95" t="s">
        <v>976</v>
      </c>
      <c r="E894" s="145">
        <v>833.69</v>
      </c>
      <c r="F894" s="145">
        <v>0</v>
      </c>
      <c r="G894" s="145">
        <v>0</v>
      </c>
      <c r="H894" s="145">
        <v>0</v>
      </c>
      <c r="I894" s="77">
        <f t="shared" si="16"/>
        <v>833.69</v>
      </c>
      <c r="J894" s="123" t="str">
        <f>IFERROR(VLOOKUP($C894,'CEDARS School FRPL'!C:H,4,FALSE),"No")</f>
        <v>Yes</v>
      </c>
      <c r="K894" s="109"/>
      <c r="L894" s="109"/>
      <c r="M894" s="110">
        <f>IFERROR(VLOOKUP($C894,'CEDARS School FRPL'!C:H,3,FALSE),0)</f>
        <v>0.74440000000000006</v>
      </c>
      <c r="N894" s="123" t="str">
        <f>IFERROR(VLOOKUP(C894,'CEDARS School FRPL'!C:H,6,FALSE),"No")</f>
        <v>No</v>
      </c>
      <c r="O894" s="147"/>
      <c r="P894" s="148"/>
    </row>
    <row r="895" spans="1:16">
      <c r="A895" s="95" t="s">
        <v>2365</v>
      </c>
      <c r="B895" s="95" t="s">
        <v>939</v>
      </c>
      <c r="C895" s="4">
        <v>5178</v>
      </c>
      <c r="D895" s="95" t="s">
        <v>655</v>
      </c>
      <c r="E895" s="145">
        <v>518.39</v>
      </c>
      <c r="F895" s="145">
        <v>0</v>
      </c>
      <c r="G895" s="145">
        <v>0</v>
      </c>
      <c r="H895" s="145">
        <v>0</v>
      </c>
      <c r="I895" s="77">
        <f t="shared" si="16"/>
        <v>518.39</v>
      </c>
      <c r="J895" s="123" t="str">
        <f>IFERROR(VLOOKUP($C895,'CEDARS School FRPL'!C:H,4,FALSE),"No")</f>
        <v>Yes</v>
      </c>
      <c r="K895" s="109"/>
      <c r="L895" s="109"/>
      <c r="M895" s="110">
        <f>IFERROR(VLOOKUP($C895,'CEDARS School FRPL'!C:H,3,FALSE),0)</f>
        <v>0.68853333333333333</v>
      </c>
      <c r="N895" s="123" t="str">
        <f>IFERROR(VLOOKUP(C895,'CEDARS School FRPL'!C:H,6,FALSE),"No")</f>
        <v>No</v>
      </c>
      <c r="O895" s="147"/>
      <c r="P895" s="148"/>
    </row>
    <row r="896" spans="1:16">
      <c r="A896" s="95" t="s">
        <v>2365</v>
      </c>
      <c r="B896" s="95" t="s">
        <v>939</v>
      </c>
      <c r="C896" s="4">
        <v>5275</v>
      </c>
      <c r="D896" s="95" t="s">
        <v>977</v>
      </c>
      <c r="E896" s="145">
        <v>0</v>
      </c>
      <c r="F896" s="145">
        <v>0</v>
      </c>
      <c r="G896" s="145">
        <v>203.32</v>
      </c>
      <c r="H896" s="145">
        <v>0</v>
      </c>
      <c r="I896" s="77">
        <f t="shared" si="16"/>
        <v>203.32</v>
      </c>
      <c r="J896" s="123" t="str">
        <f>IFERROR(VLOOKUP($C896,'CEDARS School FRPL'!C:H,4,FALSE),"No")</f>
        <v>Yes</v>
      </c>
      <c r="K896" s="109"/>
      <c r="L896" s="109"/>
      <c r="M896" s="110">
        <f>IFERROR(VLOOKUP($C896,'CEDARS School FRPL'!C:H,3,FALSE),0)</f>
        <v>0.55696666666666672</v>
      </c>
      <c r="N896" s="123" t="str">
        <f>IFERROR(VLOOKUP(C896,'CEDARS School FRPL'!C:H,6,FALSE),"No")</f>
        <v>No</v>
      </c>
      <c r="O896" s="147"/>
      <c r="P896" s="148"/>
    </row>
    <row r="897" spans="1:16">
      <c r="A897" s="95" t="s">
        <v>2365</v>
      </c>
      <c r="B897" s="95" t="s">
        <v>939</v>
      </c>
      <c r="C897" s="4">
        <v>5440</v>
      </c>
      <c r="D897" s="95" t="s">
        <v>978</v>
      </c>
      <c r="E897" s="145">
        <v>73.709999999999994</v>
      </c>
      <c r="F897" s="145">
        <v>0</v>
      </c>
      <c r="G897" s="145">
        <v>0</v>
      </c>
      <c r="H897" s="145">
        <v>0</v>
      </c>
      <c r="I897" s="77">
        <f t="shared" si="16"/>
        <v>73.709999999999994</v>
      </c>
      <c r="J897" s="123" t="str">
        <f>IFERROR(VLOOKUP($C897,'CEDARS School FRPL'!C:H,4,FALSE),"No")</f>
        <v>Yes</v>
      </c>
      <c r="K897" s="109"/>
      <c r="L897" s="109"/>
      <c r="M897" s="110">
        <f>IFERROR(VLOOKUP($C897,'CEDARS School FRPL'!C:H,3,FALSE),0)</f>
        <v>0.60960000000000003</v>
      </c>
      <c r="N897" s="123" t="str">
        <f>IFERROR(VLOOKUP(C897,'CEDARS School FRPL'!C:H,6,FALSE),"No")</f>
        <v>No</v>
      </c>
      <c r="O897" s="147"/>
      <c r="P897" s="148"/>
    </row>
    <row r="898" spans="1:16">
      <c r="A898" s="95" t="s">
        <v>2365</v>
      </c>
      <c r="B898" s="95" t="s">
        <v>939</v>
      </c>
      <c r="C898" s="4">
        <v>5676</v>
      </c>
      <c r="D898" s="95" t="s">
        <v>3022</v>
      </c>
      <c r="E898" s="145">
        <v>287.68</v>
      </c>
      <c r="F898" s="145">
        <v>14.9</v>
      </c>
      <c r="G898" s="145">
        <v>0</v>
      </c>
      <c r="H898" s="145">
        <v>0</v>
      </c>
      <c r="I898" s="77">
        <f t="shared" si="16"/>
        <v>302.58</v>
      </c>
      <c r="J898" s="123" t="str">
        <f>IFERROR(VLOOKUP($C898,'CEDARS School FRPL'!C:H,4,FALSE),"No")</f>
        <v>No</v>
      </c>
      <c r="K898" s="109"/>
      <c r="L898" s="109"/>
      <c r="M898" s="110">
        <f>IFERROR(VLOOKUP($C898,'CEDARS School FRPL'!C:H,3,FALSE),0)</f>
        <v>0.37290000000000001</v>
      </c>
      <c r="N898" s="123" t="str">
        <f>IFERROR(VLOOKUP(C898,'CEDARS School FRPL'!C:H,6,FALSE),"No")</f>
        <v>No</v>
      </c>
      <c r="O898" s="147"/>
      <c r="P898" s="148"/>
    </row>
    <row r="899" spans="1:16">
      <c r="A899" s="95" t="s">
        <v>2365</v>
      </c>
      <c r="B899" s="95" t="s">
        <v>939</v>
      </c>
      <c r="C899" s="4">
        <v>5677</v>
      </c>
      <c r="D899" s="95" t="s">
        <v>3023</v>
      </c>
      <c r="E899" s="145">
        <v>569.73</v>
      </c>
      <c r="F899" s="145">
        <v>0</v>
      </c>
      <c r="G899" s="145">
        <v>0</v>
      </c>
      <c r="H899" s="145">
        <v>0</v>
      </c>
      <c r="I899" s="77">
        <f t="shared" si="16"/>
        <v>569.73</v>
      </c>
      <c r="J899" s="123" t="str">
        <f>IFERROR(VLOOKUP($C899,'CEDARS School FRPL'!C:H,4,FALSE),"No")</f>
        <v>Yes</v>
      </c>
      <c r="K899" s="109"/>
      <c r="L899" s="109"/>
      <c r="M899" s="110">
        <f>IFERROR(VLOOKUP($C899,'CEDARS School FRPL'!C:H,3,FALSE),0)</f>
        <v>0.7026</v>
      </c>
      <c r="N899" s="123" t="str">
        <f>IFERROR(VLOOKUP(C899,'CEDARS School FRPL'!C:H,6,FALSE),"No")</f>
        <v>No</v>
      </c>
      <c r="O899" s="147"/>
      <c r="P899" s="148"/>
    </row>
    <row r="900" spans="1:16">
      <c r="A900" s="95" t="s">
        <v>2514</v>
      </c>
      <c r="B900" s="95" t="s">
        <v>1959</v>
      </c>
      <c r="C900" s="4">
        <v>2385</v>
      </c>
      <c r="D900" s="95" t="s">
        <v>1960</v>
      </c>
      <c r="E900" s="145">
        <v>269.86</v>
      </c>
      <c r="F900" s="145">
        <v>0</v>
      </c>
      <c r="G900" s="145">
        <v>0</v>
      </c>
      <c r="H900" s="145">
        <v>0</v>
      </c>
      <c r="I900" s="77">
        <f t="shared" ref="I900:I963" si="17">+E900+F900+G900+H900</f>
        <v>269.86</v>
      </c>
      <c r="J900" s="123" t="str">
        <f>IFERROR(VLOOKUP($C900,'CEDARS School FRPL'!C:H,4,FALSE),"No")</f>
        <v>Yes</v>
      </c>
      <c r="K900" s="109"/>
      <c r="L900" s="109"/>
      <c r="M900" s="110">
        <f>IFERROR(VLOOKUP($C900,'CEDARS School FRPL'!C:H,3,FALSE),0)</f>
        <v>0.57650000000000001</v>
      </c>
      <c r="N900" s="123" t="str">
        <f>IFERROR(VLOOKUP(C900,'CEDARS School FRPL'!C:H,6,FALSE),"No")</f>
        <v>No</v>
      </c>
      <c r="O900" s="147"/>
      <c r="P900" s="148"/>
    </row>
    <row r="901" spans="1:16">
      <c r="A901" s="95" t="s">
        <v>2514</v>
      </c>
      <c r="B901" s="95" t="s">
        <v>1959</v>
      </c>
      <c r="C901" s="4">
        <v>3198</v>
      </c>
      <c r="D901" s="95" t="s">
        <v>1961</v>
      </c>
      <c r="E901" s="145">
        <v>219.57</v>
      </c>
      <c r="F901" s="145">
        <v>0</v>
      </c>
      <c r="G901" s="145">
        <v>0</v>
      </c>
      <c r="H901" s="145">
        <v>0</v>
      </c>
      <c r="I901" s="77">
        <f t="shared" si="17"/>
        <v>219.57</v>
      </c>
      <c r="J901" s="123" t="str">
        <f>IFERROR(VLOOKUP($C901,'CEDARS School FRPL'!C:H,4,FALSE),"No")</f>
        <v>Yes</v>
      </c>
      <c r="K901" s="109"/>
      <c r="L901" s="109"/>
      <c r="M901" s="110">
        <f>IFERROR(VLOOKUP($C901,'CEDARS School FRPL'!C:H,3,FALSE),0)</f>
        <v>0.6081333333333333</v>
      </c>
      <c r="N901" s="123" t="str">
        <f>IFERROR(VLOOKUP(C901,'CEDARS School FRPL'!C:H,6,FALSE),"No")</f>
        <v>No</v>
      </c>
      <c r="O901" s="147"/>
      <c r="P901" s="148"/>
    </row>
    <row r="902" spans="1:16">
      <c r="A902" s="95" t="s">
        <v>2514</v>
      </c>
      <c r="B902" s="95" t="s">
        <v>1959</v>
      </c>
      <c r="C902" s="4">
        <v>4206</v>
      </c>
      <c r="D902" s="95" t="s">
        <v>1962</v>
      </c>
      <c r="E902" s="145">
        <v>218.07</v>
      </c>
      <c r="F902" s="145">
        <v>16.62</v>
      </c>
      <c r="G902" s="145">
        <v>0</v>
      </c>
      <c r="H902" s="145">
        <v>0</v>
      </c>
      <c r="I902" s="77">
        <f t="shared" si="17"/>
        <v>234.69</v>
      </c>
      <c r="J902" s="123" t="str">
        <f>IFERROR(VLOOKUP($C902,'CEDARS School FRPL'!C:H,4,FALSE),"No")</f>
        <v>Yes</v>
      </c>
      <c r="K902" s="109"/>
      <c r="L902" s="109"/>
      <c r="M902" s="110">
        <f>IFERROR(VLOOKUP($C902,'CEDARS School FRPL'!C:H,3,FALSE),0)</f>
        <v>0.56290000000000007</v>
      </c>
      <c r="N902" s="123" t="str">
        <f>IFERROR(VLOOKUP(C902,'CEDARS School FRPL'!C:H,6,FALSE),"No")</f>
        <v>No</v>
      </c>
      <c r="O902" s="147"/>
      <c r="P902" s="148"/>
    </row>
    <row r="903" spans="1:16">
      <c r="A903" s="95" t="s">
        <v>2514</v>
      </c>
      <c r="B903" s="95" t="s">
        <v>1959</v>
      </c>
      <c r="C903" s="4">
        <v>5180</v>
      </c>
      <c r="D903" s="95" t="s">
        <v>1963</v>
      </c>
      <c r="E903" s="145">
        <v>321.54000000000002</v>
      </c>
      <c r="F903" s="145">
        <v>0</v>
      </c>
      <c r="G903" s="145">
        <v>0</v>
      </c>
      <c r="H903" s="145">
        <v>0</v>
      </c>
      <c r="I903" s="77">
        <f t="shared" si="17"/>
        <v>321.54000000000002</v>
      </c>
      <c r="J903" s="123" t="str">
        <f>IFERROR(VLOOKUP($C903,'CEDARS School FRPL'!C:H,4,FALSE),"No")</f>
        <v>No</v>
      </c>
      <c r="K903" s="109"/>
      <c r="L903" s="109"/>
      <c r="M903" s="110">
        <f>IFERROR(VLOOKUP($C903,'CEDARS School FRPL'!C:H,3,FALSE),0)</f>
        <v>0.26763333333333333</v>
      </c>
      <c r="N903" s="123" t="str">
        <f>IFERROR(VLOOKUP(C903,'CEDARS School FRPL'!C:H,6,FALSE),"No")</f>
        <v>No</v>
      </c>
      <c r="O903" s="147"/>
      <c r="P903" s="148"/>
    </row>
    <row r="904" spans="1:16">
      <c r="A904" s="95" t="s">
        <v>2266</v>
      </c>
      <c r="B904" s="95" t="s">
        <v>62</v>
      </c>
      <c r="C904" s="4">
        <v>2759</v>
      </c>
      <c r="D904" s="95" t="s">
        <v>63</v>
      </c>
      <c r="E904" s="145">
        <v>317.86</v>
      </c>
      <c r="F904" s="145">
        <v>0</v>
      </c>
      <c r="G904" s="145">
        <v>0</v>
      </c>
      <c r="H904" s="145">
        <v>0</v>
      </c>
      <c r="I904" s="77">
        <f t="shared" si="17"/>
        <v>317.86</v>
      </c>
      <c r="J904" s="123" t="str">
        <f>IFERROR(VLOOKUP($C904,'CEDARS School FRPL'!C:H,4,FALSE),"No")</f>
        <v>Yes</v>
      </c>
      <c r="K904" s="109"/>
      <c r="L904" s="109"/>
      <c r="M904" s="110">
        <f>IFERROR(VLOOKUP($C904,'CEDARS School FRPL'!C:H,3,FALSE),0)</f>
        <v>0.64746666666666675</v>
      </c>
      <c r="N904" s="123" t="str">
        <f>IFERROR(VLOOKUP(C904,'CEDARS School FRPL'!C:H,6,FALSE),"No")</f>
        <v>No</v>
      </c>
      <c r="O904" s="147"/>
      <c r="P904" s="148"/>
    </row>
    <row r="905" spans="1:16">
      <c r="A905" s="95" t="s">
        <v>2266</v>
      </c>
      <c r="B905" s="95" t="s">
        <v>62</v>
      </c>
      <c r="C905" s="4">
        <v>2904</v>
      </c>
      <c r="D905" s="95" t="s">
        <v>64</v>
      </c>
      <c r="E905" s="145">
        <v>369.6</v>
      </c>
      <c r="F905" s="145">
        <v>24.66</v>
      </c>
      <c r="G905" s="145">
        <v>3</v>
      </c>
      <c r="H905" s="145">
        <v>0</v>
      </c>
      <c r="I905" s="77">
        <f t="shared" si="17"/>
        <v>397.26000000000005</v>
      </c>
      <c r="J905" s="123" t="str">
        <f>IFERROR(VLOOKUP($C905,'CEDARS School FRPL'!C:H,4,FALSE),"No")</f>
        <v>Yes</v>
      </c>
      <c r="K905" s="109"/>
      <c r="L905" s="109"/>
      <c r="M905" s="110">
        <f>IFERROR(VLOOKUP($C905,'CEDARS School FRPL'!C:H,3,FALSE),0)</f>
        <v>0.68096666666666661</v>
      </c>
      <c r="N905" s="123" t="str">
        <f>IFERROR(VLOOKUP(C905,'CEDARS School FRPL'!C:H,6,FALSE),"No")</f>
        <v>No</v>
      </c>
      <c r="O905" s="147"/>
      <c r="P905" s="148"/>
    </row>
    <row r="906" spans="1:16">
      <c r="A906" s="95" t="s">
        <v>2266</v>
      </c>
      <c r="B906" s="95" t="s">
        <v>62</v>
      </c>
      <c r="C906" s="4">
        <v>3961</v>
      </c>
      <c r="D906" s="95" t="s">
        <v>65</v>
      </c>
      <c r="E906" s="145">
        <v>334.49</v>
      </c>
      <c r="F906" s="145">
        <v>0</v>
      </c>
      <c r="G906" s="145">
        <v>0</v>
      </c>
      <c r="H906" s="145">
        <v>0</v>
      </c>
      <c r="I906" s="77">
        <f t="shared" si="17"/>
        <v>334.49</v>
      </c>
      <c r="J906" s="123" t="str">
        <f>IFERROR(VLOOKUP($C906,'CEDARS School FRPL'!C:H,4,FALSE),"No")</f>
        <v>Yes</v>
      </c>
      <c r="K906" s="109"/>
      <c r="L906" s="109"/>
      <c r="M906" s="110">
        <f>IFERROR(VLOOKUP($C906,'CEDARS School FRPL'!C:H,3,FALSE),0)</f>
        <v>0.74239999999999995</v>
      </c>
      <c r="N906" s="123" t="str">
        <f>IFERROR(VLOOKUP(C906,'CEDARS School FRPL'!C:H,6,FALSE),"No")</f>
        <v>No</v>
      </c>
      <c r="O906" s="147"/>
      <c r="P906" s="148"/>
    </row>
    <row r="907" spans="1:16">
      <c r="A907" s="95" t="s">
        <v>2266</v>
      </c>
      <c r="B907" s="95" t="s">
        <v>62</v>
      </c>
      <c r="C907" s="4">
        <v>4217</v>
      </c>
      <c r="D907" s="95" t="s">
        <v>66</v>
      </c>
      <c r="E907" s="145">
        <v>345.86</v>
      </c>
      <c r="F907" s="145">
        <v>0</v>
      </c>
      <c r="G907" s="145">
        <v>0</v>
      </c>
      <c r="H907" s="145">
        <v>0</v>
      </c>
      <c r="I907" s="77">
        <f t="shared" si="17"/>
        <v>345.86</v>
      </c>
      <c r="J907" s="123" t="str">
        <f>IFERROR(VLOOKUP($C907,'CEDARS School FRPL'!C:H,4,FALSE),"No")</f>
        <v>Yes</v>
      </c>
      <c r="K907" s="109"/>
      <c r="L907" s="109"/>
      <c r="M907" s="110">
        <f>IFERROR(VLOOKUP($C907,'CEDARS School FRPL'!C:H,3,FALSE),0)</f>
        <v>0.75146666666666662</v>
      </c>
      <c r="N907" s="123" t="str">
        <f>IFERROR(VLOOKUP(C907,'CEDARS School FRPL'!C:H,6,FALSE),"No")</f>
        <v>No</v>
      </c>
      <c r="O907" s="147"/>
      <c r="P907" s="148"/>
    </row>
    <row r="908" spans="1:16">
      <c r="A908" s="95" t="s">
        <v>2381</v>
      </c>
      <c r="B908" s="95" t="s">
        <v>1095</v>
      </c>
      <c r="C908" s="4">
        <v>2569</v>
      </c>
      <c r="D908" s="95" t="s">
        <v>1096</v>
      </c>
      <c r="E908" s="145">
        <v>251.29</v>
      </c>
      <c r="F908" s="145">
        <v>0</v>
      </c>
      <c r="G908" s="145">
        <v>0</v>
      </c>
      <c r="H908" s="145">
        <v>0</v>
      </c>
      <c r="I908" s="77">
        <f t="shared" si="17"/>
        <v>251.29</v>
      </c>
      <c r="J908" s="123" t="str">
        <f>IFERROR(VLOOKUP($C908,'CEDARS School FRPL'!C:H,4,FALSE),"No")</f>
        <v>No</v>
      </c>
      <c r="K908" s="109"/>
      <c r="L908" s="109"/>
      <c r="M908" s="110">
        <f>IFERROR(VLOOKUP($C908,'CEDARS School FRPL'!C:H,3,FALSE),0)</f>
        <v>0.46173333333333333</v>
      </c>
      <c r="N908" s="123" t="str">
        <f>IFERROR(VLOOKUP(C908,'CEDARS School FRPL'!C:H,6,FALSE),"No")</f>
        <v>No</v>
      </c>
      <c r="O908" s="147"/>
      <c r="P908" s="148"/>
    </row>
    <row r="909" spans="1:16">
      <c r="A909" s="95" t="s">
        <v>2381</v>
      </c>
      <c r="B909" s="95" t="s">
        <v>1095</v>
      </c>
      <c r="C909" s="4">
        <v>2766</v>
      </c>
      <c r="D909" s="95" t="s">
        <v>1097</v>
      </c>
      <c r="E909" s="145">
        <v>315.22000000000003</v>
      </c>
      <c r="F909" s="145">
        <v>12.62</v>
      </c>
      <c r="G909" s="145">
        <v>0</v>
      </c>
      <c r="H909" s="145">
        <v>0</v>
      </c>
      <c r="I909" s="77">
        <f t="shared" si="17"/>
        <v>327.84000000000003</v>
      </c>
      <c r="J909" s="123" t="str">
        <f>IFERROR(VLOOKUP($C909,'CEDARS School FRPL'!C:H,4,FALSE),"No")</f>
        <v>No</v>
      </c>
      <c r="K909" s="109"/>
      <c r="L909" s="109"/>
      <c r="M909" s="110">
        <f>IFERROR(VLOOKUP($C909,'CEDARS School FRPL'!C:H,3,FALSE),0)</f>
        <v>0.46379999999999999</v>
      </c>
      <c r="N909" s="123" t="str">
        <f>IFERROR(VLOOKUP(C909,'CEDARS School FRPL'!C:H,6,FALSE),"No")</f>
        <v>No</v>
      </c>
      <c r="O909" s="147"/>
      <c r="P909" s="148"/>
    </row>
    <row r="910" spans="1:16">
      <c r="A910" s="95" t="s">
        <v>2388</v>
      </c>
      <c r="B910" s="95" t="s">
        <v>1116</v>
      </c>
      <c r="C910" s="4">
        <v>3494</v>
      </c>
      <c r="D910" s="95" t="s">
        <v>1117</v>
      </c>
      <c r="E910" s="145">
        <v>92.98</v>
      </c>
      <c r="F910" s="145">
        <v>0.61</v>
      </c>
      <c r="G910" s="145">
        <v>0</v>
      </c>
      <c r="H910" s="145">
        <v>0</v>
      </c>
      <c r="I910" s="77">
        <f t="shared" si="17"/>
        <v>93.59</v>
      </c>
      <c r="J910" s="123" t="str">
        <f>IFERROR(VLOOKUP($C910,'CEDARS School FRPL'!C:H,4,FALSE),"No")</f>
        <v>Yes</v>
      </c>
      <c r="K910" s="109"/>
      <c r="L910" s="109"/>
      <c r="M910" s="110">
        <f>IFERROR(VLOOKUP($C910,'CEDARS School FRPL'!C:H,3,FALSE),0)</f>
        <v>0.50873333333333326</v>
      </c>
      <c r="N910" s="123" t="str">
        <f>IFERROR(VLOOKUP(C910,'CEDARS School FRPL'!C:H,6,FALSE),"No")</f>
        <v>No</v>
      </c>
      <c r="O910" s="147"/>
      <c r="P910" s="148"/>
    </row>
    <row r="911" spans="1:16">
      <c r="A911" s="95" t="s">
        <v>2464</v>
      </c>
      <c r="B911" s="95" t="s">
        <v>1569</v>
      </c>
      <c r="C911" s="4">
        <v>2276</v>
      </c>
      <c r="D911" s="95" t="s">
        <v>1570</v>
      </c>
      <c r="E911" s="145">
        <v>193.63</v>
      </c>
      <c r="F911" s="145">
        <v>16.82</v>
      </c>
      <c r="G911" s="145">
        <v>0.71</v>
      </c>
      <c r="H911" s="145">
        <v>0</v>
      </c>
      <c r="I911" s="77">
        <f t="shared" si="17"/>
        <v>211.16</v>
      </c>
      <c r="J911" s="123" t="str">
        <f>IFERROR(VLOOKUP($C911,'CEDARS School FRPL'!C:H,4,FALSE),"No")</f>
        <v>Yes</v>
      </c>
      <c r="K911" s="109"/>
      <c r="L911" s="109"/>
      <c r="M911" s="110">
        <f>IFERROR(VLOOKUP($C911,'CEDARS School FRPL'!C:H,3,FALSE),0)</f>
        <v>0.5159666666666668</v>
      </c>
      <c r="N911" s="123" t="str">
        <f>IFERROR(VLOOKUP(C911,'CEDARS School FRPL'!C:H,6,FALSE),"No")</f>
        <v>No</v>
      </c>
      <c r="O911" s="147"/>
      <c r="P911" s="148"/>
    </row>
    <row r="912" spans="1:16">
      <c r="A912" s="95" t="s">
        <v>2464</v>
      </c>
      <c r="B912" s="95" t="s">
        <v>1569</v>
      </c>
      <c r="C912" s="4">
        <v>2522</v>
      </c>
      <c r="D912" s="95" t="s">
        <v>1571</v>
      </c>
      <c r="E912" s="145">
        <v>229</v>
      </c>
      <c r="F912" s="145">
        <v>0</v>
      </c>
      <c r="G912" s="145">
        <v>0</v>
      </c>
      <c r="H912" s="145">
        <v>0</v>
      </c>
      <c r="I912" s="77">
        <f t="shared" si="17"/>
        <v>229</v>
      </c>
      <c r="J912" s="123" t="str">
        <f>IFERROR(VLOOKUP($C912,'CEDARS School FRPL'!C:H,4,FALSE),"No")</f>
        <v>Yes</v>
      </c>
      <c r="K912" s="109"/>
      <c r="L912" s="109"/>
      <c r="M912" s="110">
        <f>IFERROR(VLOOKUP($C912,'CEDARS School FRPL'!C:H,3,FALSE),0)</f>
        <v>0.54640000000000011</v>
      </c>
      <c r="N912" s="123" t="str">
        <f>IFERROR(VLOOKUP(C912,'CEDARS School FRPL'!C:H,6,FALSE),"No")</f>
        <v>No</v>
      </c>
      <c r="O912" s="147"/>
      <c r="P912" s="148"/>
    </row>
    <row r="913" spans="1:16">
      <c r="A913" s="95" t="s">
        <v>2464</v>
      </c>
      <c r="B913" s="95" t="s">
        <v>1569</v>
      </c>
      <c r="C913" s="4">
        <v>3900</v>
      </c>
      <c r="D913" s="95" t="s">
        <v>1572</v>
      </c>
      <c r="E913" s="145">
        <v>132.01</v>
      </c>
      <c r="F913" s="145">
        <v>0</v>
      </c>
      <c r="G913" s="145">
        <v>0</v>
      </c>
      <c r="H913" s="145">
        <v>0</v>
      </c>
      <c r="I913" s="77">
        <f t="shared" si="17"/>
        <v>132.01</v>
      </c>
      <c r="J913" s="123" t="str">
        <f>IFERROR(VLOOKUP($C913,'CEDARS School FRPL'!C:H,4,FALSE),"No")</f>
        <v>Yes</v>
      </c>
      <c r="K913" s="109"/>
      <c r="L913" s="109"/>
      <c r="M913" s="110">
        <f>IFERROR(VLOOKUP($C913,'CEDARS School FRPL'!C:H,3,FALSE),0)</f>
        <v>0.62863333333333338</v>
      </c>
      <c r="N913" s="123" t="str">
        <f>IFERROR(VLOOKUP(C913,'CEDARS School FRPL'!C:H,6,FALSE),"No")</f>
        <v>No</v>
      </c>
      <c r="O913" s="147"/>
      <c r="P913" s="148"/>
    </row>
    <row r="914" spans="1:16">
      <c r="A914" s="95" t="s">
        <v>2285</v>
      </c>
      <c r="B914" s="95" t="s">
        <v>206</v>
      </c>
      <c r="C914" s="4">
        <v>2558</v>
      </c>
      <c r="D914" s="95" t="s">
        <v>207</v>
      </c>
      <c r="E914" s="145">
        <v>697.15</v>
      </c>
      <c r="F914" s="145">
        <v>0</v>
      </c>
      <c r="G914" s="145">
        <v>0</v>
      </c>
      <c r="H914" s="145">
        <v>0</v>
      </c>
      <c r="I914" s="77">
        <f t="shared" si="17"/>
        <v>697.15</v>
      </c>
      <c r="J914" s="123" t="str">
        <f>IFERROR(VLOOKUP($C914,'CEDARS School FRPL'!C:H,4,FALSE),"No")</f>
        <v>No</v>
      </c>
      <c r="K914" s="109"/>
      <c r="L914" s="109"/>
      <c r="M914" s="110">
        <f>IFERROR(VLOOKUP($C914,'CEDARS School FRPL'!C:H,3,FALSE),0)</f>
        <v>0.24243333333333336</v>
      </c>
      <c r="N914" s="123" t="str">
        <f>IFERROR(VLOOKUP(C914,'CEDARS School FRPL'!C:H,6,FALSE),"No")</f>
        <v>No</v>
      </c>
      <c r="O914" s="147"/>
      <c r="P914" s="148"/>
    </row>
    <row r="915" spans="1:16">
      <c r="A915" s="95" t="s">
        <v>2285</v>
      </c>
      <c r="B915" s="95" t="s">
        <v>206</v>
      </c>
      <c r="C915" s="4">
        <v>3371</v>
      </c>
      <c r="D915" s="95" t="s">
        <v>208</v>
      </c>
      <c r="E915" s="145">
        <v>409.3</v>
      </c>
      <c r="F915" s="145">
        <v>0</v>
      </c>
      <c r="G915" s="145">
        <v>0</v>
      </c>
      <c r="H915" s="145">
        <v>0</v>
      </c>
      <c r="I915" s="77">
        <f t="shared" si="17"/>
        <v>409.3</v>
      </c>
      <c r="J915" s="123" t="str">
        <f>IFERROR(VLOOKUP($C915,'CEDARS School FRPL'!C:H,4,FALSE),"No")</f>
        <v>No</v>
      </c>
      <c r="K915" s="109"/>
      <c r="L915" s="109"/>
      <c r="M915" s="110">
        <f>IFERROR(VLOOKUP($C915,'CEDARS School FRPL'!C:H,3,FALSE),0)</f>
        <v>0.24126666666666666</v>
      </c>
      <c r="N915" s="123" t="str">
        <f>IFERROR(VLOOKUP(C915,'CEDARS School FRPL'!C:H,6,FALSE),"No")</f>
        <v>No</v>
      </c>
      <c r="O915" s="147"/>
      <c r="P915" s="148"/>
    </row>
    <row r="916" spans="1:16">
      <c r="A916" s="95" t="s">
        <v>2285</v>
      </c>
      <c r="B916" s="95" t="s">
        <v>206</v>
      </c>
      <c r="C916" s="4">
        <v>4431</v>
      </c>
      <c r="D916" s="95" t="s">
        <v>209</v>
      </c>
      <c r="E916" s="145">
        <v>431.54</v>
      </c>
      <c r="F916" s="145">
        <v>46.72</v>
      </c>
      <c r="G916" s="145">
        <v>2.57</v>
      </c>
      <c r="H916" s="145">
        <v>0</v>
      </c>
      <c r="I916" s="77">
        <f t="shared" si="17"/>
        <v>480.83</v>
      </c>
      <c r="J916" s="123" t="str">
        <f>IFERROR(VLOOKUP($C916,'CEDARS School FRPL'!C:H,4,FALSE),"No")</f>
        <v>No</v>
      </c>
      <c r="K916" s="109"/>
      <c r="L916" s="109"/>
      <c r="M916" s="110">
        <f>IFERROR(VLOOKUP($C916,'CEDARS School FRPL'!C:H,3,FALSE),0)</f>
        <v>0.21766666666666667</v>
      </c>
      <c r="N916" s="123" t="str">
        <f>IFERROR(VLOOKUP(C916,'CEDARS School FRPL'!C:H,6,FALSE),"No")</f>
        <v>No</v>
      </c>
      <c r="O916" s="147"/>
      <c r="P916" s="148"/>
    </row>
    <row r="917" spans="1:16">
      <c r="A917" s="95" t="s">
        <v>2285</v>
      </c>
      <c r="B917" s="95" t="s">
        <v>206</v>
      </c>
      <c r="C917" s="4">
        <v>5326</v>
      </c>
      <c r="D917" s="95" t="s">
        <v>210</v>
      </c>
      <c r="E917" s="145">
        <v>85.35</v>
      </c>
      <c r="F917" s="145">
        <v>0</v>
      </c>
      <c r="G917" s="145">
        <v>0</v>
      </c>
      <c r="H917" s="145">
        <v>0</v>
      </c>
      <c r="I917" s="77">
        <f t="shared" si="17"/>
        <v>85.35</v>
      </c>
      <c r="J917" s="123" t="str">
        <f>IFERROR(VLOOKUP($C917,'CEDARS School FRPL'!C:H,4,FALSE),"No")</f>
        <v>No</v>
      </c>
      <c r="K917" s="109"/>
      <c r="L917" s="109"/>
      <c r="M917" s="110">
        <f>IFERROR(VLOOKUP($C917,'CEDARS School FRPL'!C:H,3,FALSE),0)</f>
        <v>0.16973333333333332</v>
      </c>
      <c r="N917" s="123" t="str">
        <f>IFERROR(VLOOKUP(C917,'CEDARS School FRPL'!C:H,6,FALSE),"No")</f>
        <v>No</v>
      </c>
      <c r="O917" s="147"/>
      <c r="P917" s="148"/>
    </row>
    <row r="918" spans="1:16">
      <c r="A918" s="95" t="s">
        <v>2540</v>
      </c>
      <c r="B918" s="95" t="s">
        <v>2130</v>
      </c>
      <c r="C918" s="4">
        <v>2087</v>
      </c>
      <c r="D918" s="95" t="s">
        <v>2131</v>
      </c>
      <c r="E918" s="145">
        <v>37.43</v>
      </c>
      <c r="F918" s="145">
        <v>0</v>
      </c>
      <c r="G918" s="145">
        <v>0</v>
      </c>
      <c r="H918" s="145">
        <v>0</v>
      </c>
      <c r="I918" s="77">
        <f t="shared" si="17"/>
        <v>37.43</v>
      </c>
      <c r="J918" s="123" t="str">
        <f>IFERROR(VLOOKUP($C918,'CEDARS School FRPL'!C:H,4,FALSE),"No")</f>
        <v>No</v>
      </c>
      <c r="K918" s="109"/>
      <c r="L918" s="109"/>
      <c r="M918" s="110">
        <f>IFERROR(VLOOKUP($C918,'CEDARS School FRPL'!C:H,3,FALSE),0)</f>
        <v>0.48303333333333337</v>
      </c>
      <c r="N918" s="123" t="str">
        <f>IFERROR(VLOOKUP(C918,'CEDARS School FRPL'!C:H,6,FALSE),"No")</f>
        <v>No</v>
      </c>
      <c r="O918" s="147"/>
      <c r="P918" s="148"/>
    </row>
    <row r="919" spans="1:16">
      <c r="A919" s="95" t="s">
        <v>2540</v>
      </c>
      <c r="B919" s="95" t="s">
        <v>2130</v>
      </c>
      <c r="C919" s="4">
        <v>2088</v>
      </c>
      <c r="D919" s="95" t="s">
        <v>2132</v>
      </c>
      <c r="E919" s="145">
        <v>42.86</v>
      </c>
      <c r="F919" s="145">
        <v>0</v>
      </c>
      <c r="G919" s="145">
        <v>0</v>
      </c>
      <c r="H919" s="145">
        <v>0</v>
      </c>
      <c r="I919" s="77">
        <f t="shared" si="17"/>
        <v>42.86</v>
      </c>
      <c r="J919" s="123" t="str">
        <f>IFERROR(VLOOKUP($C919,'CEDARS School FRPL'!C:H,4,FALSE),"No")</f>
        <v>No</v>
      </c>
      <c r="K919" s="109"/>
      <c r="L919" s="109"/>
      <c r="M919" s="110">
        <f>IFERROR(VLOOKUP($C919,'CEDARS School FRPL'!C:H,3,FALSE),0)</f>
        <v>0.3177666666666667</v>
      </c>
      <c r="N919" s="123" t="str">
        <f>IFERROR(VLOOKUP(C919,'CEDARS School FRPL'!C:H,6,FALSE),"No")</f>
        <v>No</v>
      </c>
      <c r="O919" s="147"/>
      <c r="P919" s="148"/>
    </row>
    <row r="920" spans="1:16">
      <c r="A920" s="95" t="s">
        <v>2273</v>
      </c>
      <c r="B920" s="95" t="s">
        <v>105</v>
      </c>
      <c r="C920" s="4">
        <v>1940</v>
      </c>
      <c r="D920" s="95" t="s">
        <v>106</v>
      </c>
      <c r="E920" s="145">
        <v>25.29</v>
      </c>
      <c r="F920" s="145">
        <v>0</v>
      </c>
      <c r="G920" s="145">
        <v>0</v>
      </c>
      <c r="H920" s="145">
        <v>0</v>
      </c>
      <c r="I920" s="77">
        <f t="shared" si="17"/>
        <v>25.29</v>
      </c>
      <c r="J920" s="123" t="str">
        <f>IFERROR(VLOOKUP($C920,'CEDARS School FRPL'!C:H,4,FALSE),"No")</f>
        <v>Yes</v>
      </c>
      <c r="K920" s="109"/>
      <c r="L920" s="109"/>
      <c r="M920" s="110">
        <f>IFERROR(VLOOKUP($C920,'CEDARS School FRPL'!C:H,3,FALSE),0)</f>
        <v>0.68603333333333338</v>
      </c>
      <c r="N920" s="123" t="str">
        <f>IFERROR(VLOOKUP(C920,'CEDARS School FRPL'!C:H,6,FALSE),"No")</f>
        <v>No</v>
      </c>
      <c r="O920" s="147"/>
      <c r="P920" s="148"/>
    </row>
    <row r="921" spans="1:16">
      <c r="A921" s="95" t="s">
        <v>2273</v>
      </c>
      <c r="B921" s="95" t="s">
        <v>105</v>
      </c>
      <c r="C921" s="4">
        <v>2317</v>
      </c>
      <c r="D921" s="95" t="s">
        <v>107</v>
      </c>
      <c r="E921" s="145">
        <v>305.97000000000003</v>
      </c>
      <c r="F921" s="145">
        <v>0</v>
      </c>
      <c r="G921" s="145">
        <v>0</v>
      </c>
      <c r="H921" s="145">
        <v>0</v>
      </c>
      <c r="I921" s="77">
        <f t="shared" si="17"/>
        <v>305.97000000000003</v>
      </c>
      <c r="J921" s="123" t="str">
        <f>IFERROR(VLOOKUP($C921,'CEDARS School FRPL'!C:H,4,FALSE),"No")</f>
        <v>Yes</v>
      </c>
      <c r="K921" s="109"/>
      <c r="L921" s="109"/>
      <c r="M921" s="110">
        <f>IFERROR(VLOOKUP($C921,'CEDARS School FRPL'!C:H,3,FALSE),0)</f>
        <v>0.63576666666666659</v>
      </c>
      <c r="N921" s="123" t="str">
        <f>IFERROR(VLOOKUP(C921,'CEDARS School FRPL'!C:H,6,FALSE),"No")</f>
        <v>No</v>
      </c>
      <c r="O921" s="147"/>
      <c r="P921" s="148"/>
    </row>
    <row r="922" spans="1:16">
      <c r="A922" s="95" t="s">
        <v>2273</v>
      </c>
      <c r="B922" s="95" t="s">
        <v>105</v>
      </c>
      <c r="C922" s="4">
        <v>2689</v>
      </c>
      <c r="D922" s="95" t="s">
        <v>108</v>
      </c>
      <c r="E922" s="145">
        <v>493.58</v>
      </c>
      <c r="F922" s="145">
        <v>0</v>
      </c>
      <c r="G922" s="145">
        <v>0</v>
      </c>
      <c r="H922" s="145">
        <v>0</v>
      </c>
      <c r="I922" s="77">
        <f t="shared" si="17"/>
        <v>493.58</v>
      </c>
      <c r="J922" s="123" t="str">
        <f>IFERROR(VLOOKUP($C922,'CEDARS School FRPL'!C:H,4,FALSE),"No")</f>
        <v>Yes</v>
      </c>
      <c r="K922" s="109"/>
      <c r="L922" s="109"/>
      <c r="M922" s="110">
        <f>IFERROR(VLOOKUP($C922,'CEDARS School FRPL'!C:H,3,FALSE),0)</f>
        <v>0.6001333333333333</v>
      </c>
      <c r="N922" s="123" t="str">
        <f>IFERROR(VLOOKUP(C922,'CEDARS School FRPL'!C:H,6,FALSE),"No")</f>
        <v>No</v>
      </c>
      <c r="O922" s="147"/>
      <c r="P922" s="148"/>
    </row>
    <row r="923" spans="1:16">
      <c r="A923" s="95" t="s">
        <v>2273</v>
      </c>
      <c r="B923" s="95" t="s">
        <v>105</v>
      </c>
      <c r="C923" s="4">
        <v>3861</v>
      </c>
      <c r="D923" s="95" t="s">
        <v>109</v>
      </c>
      <c r="E923" s="145">
        <v>4</v>
      </c>
      <c r="F923" s="145">
        <v>0</v>
      </c>
      <c r="G923" s="145">
        <v>0</v>
      </c>
      <c r="H923" s="145">
        <v>0</v>
      </c>
      <c r="I923" s="77">
        <f t="shared" si="17"/>
        <v>4</v>
      </c>
      <c r="J923" s="123" t="str">
        <f>IFERROR(VLOOKUP($C923,'CEDARS School FRPL'!C:H,4,FALSE),"No")</f>
        <v>No</v>
      </c>
      <c r="K923" s="109"/>
      <c r="L923" s="109"/>
      <c r="M923" s="110">
        <f>IFERROR(VLOOKUP($C923,'CEDARS School FRPL'!C:H,3,FALSE),0)</f>
        <v>0</v>
      </c>
      <c r="N923" s="123" t="str">
        <f>IFERROR(VLOOKUP(C923,'CEDARS School FRPL'!C:H,6,FALSE),"No")</f>
        <v>No</v>
      </c>
      <c r="O923" s="147"/>
      <c r="P923" s="148"/>
    </row>
    <row r="924" spans="1:16">
      <c r="A924" s="95" t="s">
        <v>2273</v>
      </c>
      <c r="B924" s="95" t="s">
        <v>105</v>
      </c>
      <c r="C924" s="4">
        <v>4260</v>
      </c>
      <c r="D924" s="95" t="s">
        <v>110</v>
      </c>
      <c r="E924" s="145">
        <v>408</v>
      </c>
      <c r="F924" s="145">
        <v>18.450000000000003</v>
      </c>
      <c r="G924" s="145">
        <v>0</v>
      </c>
      <c r="H924" s="145">
        <v>0</v>
      </c>
      <c r="I924" s="77">
        <f t="shared" si="17"/>
        <v>426.45</v>
      </c>
      <c r="J924" s="123" t="str">
        <f>IFERROR(VLOOKUP($C924,'CEDARS School FRPL'!C:H,4,FALSE),"No")</f>
        <v>Yes</v>
      </c>
      <c r="K924" s="109"/>
      <c r="L924" s="109"/>
      <c r="M924" s="110">
        <f>IFERROR(VLOOKUP($C924,'CEDARS School FRPL'!C:H,3,FALSE),0)</f>
        <v>0.53389999999999993</v>
      </c>
      <c r="N924" s="123" t="str">
        <f>IFERROR(VLOOKUP(C924,'CEDARS School FRPL'!C:H,6,FALSE),"No")</f>
        <v>No</v>
      </c>
      <c r="O924" s="147"/>
      <c r="P924" s="148"/>
    </row>
    <row r="925" spans="1:16">
      <c r="A925" s="95" t="s">
        <v>2473</v>
      </c>
      <c r="B925" s="95" t="s">
        <v>1618</v>
      </c>
      <c r="C925" s="4">
        <v>1753</v>
      </c>
      <c r="D925" s="95" t="s">
        <v>1619</v>
      </c>
      <c r="E925" s="145">
        <v>180.9</v>
      </c>
      <c r="F925" s="145">
        <v>0</v>
      </c>
      <c r="G925" s="145">
        <v>0</v>
      </c>
      <c r="H925" s="145">
        <v>0</v>
      </c>
      <c r="I925" s="77">
        <f t="shared" si="17"/>
        <v>180.9</v>
      </c>
      <c r="J925" s="123" t="str">
        <f>IFERROR(VLOOKUP($C925,'CEDARS School FRPL'!C:H,4,FALSE),"No")</f>
        <v>No</v>
      </c>
      <c r="K925" s="109"/>
      <c r="L925" s="109"/>
      <c r="M925" s="110">
        <f>IFERROR(VLOOKUP($C925,'CEDARS School FRPL'!C:H,3,FALSE),0)</f>
        <v>0.13490000000000002</v>
      </c>
      <c r="N925" s="123" t="str">
        <f>IFERROR(VLOOKUP(C925,'CEDARS School FRPL'!C:H,6,FALSE),"No")</f>
        <v>No</v>
      </c>
      <c r="O925" s="147"/>
      <c r="P925" s="148"/>
    </row>
    <row r="926" spans="1:16">
      <c r="A926" s="95" t="s">
        <v>2473</v>
      </c>
      <c r="B926" s="95" t="s">
        <v>1618</v>
      </c>
      <c r="C926" s="4">
        <v>2426</v>
      </c>
      <c r="D926" s="95" t="s">
        <v>1620</v>
      </c>
      <c r="E926" s="145">
        <v>1860.76</v>
      </c>
      <c r="F926" s="145">
        <v>160.15</v>
      </c>
      <c r="G926" s="145">
        <v>0</v>
      </c>
      <c r="H926" s="145">
        <v>0</v>
      </c>
      <c r="I926" s="77">
        <f t="shared" si="17"/>
        <v>2020.91</v>
      </c>
      <c r="J926" s="123" t="str">
        <f>IFERROR(VLOOKUP($C926,'CEDARS School FRPL'!C:H,4,FALSE),"No")</f>
        <v>No</v>
      </c>
      <c r="M926" s="110">
        <f>IFERROR(VLOOKUP($C926,'CEDARS School FRPL'!C:H,3,FALSE),0)</f>
        <v>0.23250000000000001</v>
      </c>
      <c r="N926" s="123" t="str">
        <f>IFERROR(VLOOKUP(C926,'CEDARS School FRPL'!C:H,6,FALSE),"No")</f>
        <v>No</v>
      </c>
      <c r="O926" s="147"/>
      <c r="P926" s="148"/>
    </row>
    <row r="927" spans="1:16">
      <c r="A927" s="95" t="s">
        <v>2473</v>
      </c>
      <c r="B927" s="95" t="s">
        <v>1618</v>
      </c>
      <c r="C927" s="4">
        <v>2884</v>
      </c>
      <c r="D927" s="95" t="s">
        <v>1621</v>
      </c>
      <c r="E927" s="145">
        <v>474.52</v>
      </c>
      <c r="F927" s="145">
        <v>0</v>
      </c>
      <c r="G927" s="145">
        <v>0</v>
      </c>
      <c r="H927" s="145">
        <v>0</v>
      </c>
      <c r="I927" s="77">
        <f t="shared" si="17"/>
        <v>474.52</v>
      </c>
      <c r="J927" s="123" t="str">
        <f>IFERROR(VLOOKUP($C927,'CEDARS School FRPL'!C:H,4,FALSE),"No")</f>
        <v>No</v>
      </c>
      <c r="K927" s="107"/>
      <c r="L927" s="107"/>
      <c r="M927" s="110">
        <f>IFERROR(VLOOKUP($C927,'CEDARS School FRPL'!C:H,3,FALSE),0)</f>
        <v>0.26026666666666665</v>
      </c>
      <c r="N927" s="123" t="str">
        <f>IFERROR(VLOOKUP(C927,'CEDARS School FRPL'!C:H,6,FALSE),"No")</f>
        <v>No</v>
      </c>
      <c r="O927" s="147"/>
      <c r="P927" s="148"/>
    </row>
    <row r="928" spans="1:16">
      <c r="A928" s="95" t="s">
        <v>2473</v>
      </c>
      <c r="B928" s="95" t="s">
        <v>1618</v>
      </c>
      <c r="C928" s="4">
        <v>2885</v>
      </c>
      <c r="D928" s="95" t="s">
        <v>1622</v>
      </c>
      <c r="E928" s="145">
        <v>761.17</v>
      </c>
      <c r="F928" s="145">
        <v>0</v>
      </c>
      <c r="G928" s="145">
        <v>0</v>
      </c>
      <c r="H928" s="145">
        <v>0</v>
      </c>
      <c r="I928" s="77">
        <f t="shared" si="17"/>
        <v>761.17</v>
      </c>
      <c r="J928" s="123" t="str">
        <f>IFERROR(VLOOKUP($C928,'CEDARS School FRPL'!C:H,4,FALSE),"No")</f>
        <v>No</v>
      </c>
      <c r="K928" s="109"/>
      <c r="L928" s="109"/>
      <c r="M928" s="110">
        <f>IFERROR(VLOOKUP($C928,'CEDARS School FRPL'!C:H,3,FALSE),0)</f>
        <v>0.20780000000000001</v>
      </c>
      <c r="N928" s="123" t="str">
        <f>IFERROR(VLOOKUP(C928,'CEDARS School FRPL'!C:H,6,FALSE),"No")</f>
        <v>No</v>
      </c>
      <c r="O928" s="147"/>
      <c r="P928" s="148"/>
    </row>
    <row r="929" spans="1:16">
      <c r="A929" s="95" t="s">
        <v>2473</v>
      </c>
      <c r="B929" s="95" t="s">
        <v>1618</v>
      </c>
      <c r="C929" s="4">
        <v>3408</v>
      </c>
      <c r="D929" s="95" t="s">
        <v>1623</v>
      </c>
      <c r="E929" s="145">
        <v>665.5</v>
      </c>
      <c r="F929" s="145">
        <v>0</v>
      </c>
      <c r="G929" s="145">
        <v>0</v>
      </c>
      <c r="H929" s="145">
        <v>0</v>
      </c>
      <c r="I929" s="77">
        <f t="shared" si="17"/>
        <v>665.5</v>
      </c>
      <c r="J929" s="123" t="str">
        <f>IFERROR(VLOOKUP($C929,'CEDARS School FRPL'!C:H,4,FALSE),"No")</f>
        <v>No</v>
      </c>
      <c r="K929" s="109"/>
      <c r="L929" s="109"/>
      <c r="M929" s="110">
        <f>IFERROR(VLOOKUP($C929,'CEDARS School FRPL'!C:H,3,FALSE),0)</f>
        <v>0.26013333333333333</v>
      </c>
      <c r="N929" s="123" t="str">
        <f>IFERROR(VLOOKUP(C929,'CEDARS School FRPL'!C:H,6,FALSE),"No")</f>
        <v>No</v>
      </c>
      <c r="O929" s="147"/>
      <c r="P929" s="148"/>
    </row>
    <row r="930" spans="1:16">
      <c r="A930" s="95" t="s">
        <v>2473</v>
      </c>
      <c r="B930" s="95" t="s">
        <v>1618</v>
      </c>
      <c r="C930" s="4">
        <v>3753</v>
      </c>
      <c r="D930" s="95" t="s">
        <v>660</v>
      </c>
      <c r="E930" s="145">
        <v>683.86</v>
      </c>
      <c r="F930" s="145">
        <v>0</v>
      </c>
      <c r="G930" s="145">
        <v>0</v>
      </c>
      <c r="H930" s="145">
        <v>0</v>
      </c>
      <c r="I930" s="77">
        <f t="shared" si="17"/>
        <v>683.86</v>
      </c>
      <c r="J930" s="123" t="str">
        <f>IFERROR(VLOOKUP($C930,'CEDARS School FRPL'!C:H,4,FALSE),"No")</f>
        <v>No</v>
      </c>
      <c r="K930" s="109"/>
      <c r="L930" s="109"/>
      <c r="M930" s="110">
        <f>IFERROR(VLOOKUP($C930,'CEDARS School FRPL'!C:H,3,FALSE),0)</f>
        <v>0.22199999999999998</v>
      </c>
      <c r="N930" s="123" t="str">
        <f>IFERROR(VLOOKUP(C930,'CEDARS School FRPL'!C:H,6,FALSE),"No")</f>
        <v>No</v>
      </c>
      <c r="O930" s="147"/>
      <c r="P930" s="148"/>
    </row>
    <row r="931" spans="1:16">
      <c r="A931" s="95" t="s">
        <v>2473</v>
      </c>
      <c r="B931" s="95" t="s">
        <v>1618</v>
      </c>
      <c r="C931" s="4">
        <v>4139</v>
      </c>
      <c r="D931" s="95" t="s">
        <v>1624</v>
      </c>
      <c r="E931" s="145">
        <v>756.72</v>
      </c>
      <c r="F931" s="145">
        <v>0</v>
      </c>
      <c r="G931" s="145">
        <v>0</v>
      </c>
      <c r="H931" s="145">
        <v>0</v>
      </c>
      <c r="I931" s="77">
        <f t="shared" si="17"/>
        <v>756.72</v>
      </c>
      <c r="J931" s="123" t="str">
        <f>IFERROR(VLOOKUP($C931,'CEDARS School FRPL'!C:H,4,FALSE),"No")</f>
        <v>No</v>
      </c>
      <c r="K931" s="109"/>
      <c r="L931" s="109"/>
      <c r="M931" s="110">
        <f>IFERROR(VLOOKUP($C931,'CEDARS School FRPL'!C:H,3,FALSE),0)</f>
        <v>0.27150000000000002</v>
      </c>
      <c r="N931" s="123" t="str">
        <f>IFERROR(VLOOKUP(C931,'CEDARS School FRPL'!C:H,6,FALSE),"No")</f>
        <v>No</v>
      </c>
      <c r="O931" s="147"/>
      <c r="P931" s="148"/>
    </row>
    <row r="932" spans="1:16">
      <c r="A932" s="95" t="s">
        <v>2473</v>
      </c>
      <c r="B932" s="95" t="s">
        <v>1618</v>
      </c>
      <c r="C932" s="4">
        <v>4391</v>
      </c>
      <c r="D932" s="95" t="s">
        <v>1114</v>
      </c>
      <c r="E932" s="145">
        <v>582.76</v>
      </c>
      <c r="F932" s="145">
        <v>0</v>
      </c>
      <c r="G932" s="145">
        <v>0</v>
      </c>
      <c r="H932" s="145">
        <v>0</v>
      </c>
      <c r="I932" s="77">
        <f t="shared" si="17"/>
        <v>582.76</v>
      </c>
      <c r="J932" s="123" t="str">
        <f>IFERROR(VLOOKUP($C932,'CEDARS School FRPL'!C:H,4,FALSE),"No")</f>
        <v>No</v>
      </c>
      <c r="K932" s="109"/>
      <c r="L932" s="109"/>
      <c r="M932" s="110">
        <f>IFERROR(VLOOKUP($C932,'CEDARS School FRPL'!C:H,3,FALSE),0)</f>
        <v>0.19239999999999999</v>
      </c>
      <c r="N932" s="123" t="str">
        <f>IFERROR(VLOOKUP(C932,'CEDARS School FRPL'!C:H,6,FALSE),"No")</f>
        <v>No</v>
      </c>
      <c r="O932" s="147"/>
      <c r="P932" s="148"/>
    </row>
    <row r="933" spans="1:16">
      <c r="A933" s="95" t="s">
        <v>2473</v>
      </c>
      <c r="B933" s="95" t="s">
        <v>1618</v>
      </c>
      <c r="C933" s="4">
        <v>4392</v>
      </c>
      <c r="D933" s="95" t="s">
        <v>1625</v>
      </c>
      <c r="E933" s="145">
        <v>526.73</v>
      </c>
      <c r="F933" s="145">
        <v>0</v>
      </c>
      <c r="G933" s="145">
        <v>0</v>
      </c>
      <c r="H933" s="145">
        <v>0</v>
      </c>
      <c r="I933" s="77">
        <f t="shared" si="17"/>
        <v>526.73</v>
      </c>
      <c r="J933" s="123" t="str">
        <f>IFERROR(VLOOKUP($C933,'CEDARS School FRPL'!C:H,4,FALSE),"No")</f>
        <v>No</v>
      </c>
      <c r="K933" s="109"/>
      <c r="L933" s="109"/>
      <c r="M933" s="110">
        <f>IFERROR(VLOOKUP($C933,'CEDARS School FRPL'!C:H,3,FALSE),0)</f>
        <v>0.25600000000000001</v>
      </c>
      <c r="N933" s="123" t="str">
        <f>IFERROR(VLOOKUP(C933,'CEDARS School FRPL'!C:H,6,FALSE),"No")</f>
        <v>No</v>
      </c>
      <c r="O933" s="147"/>
      <c r="P933" s="148"/>
    </row>
    <row r="934" spans="1:16">
      <c r="A934" s="95" t="s">
        <v>2473</v>
      </c>
      <c r="B934" s="95" t="s">
        <v>1618</v>
      </c>
      <c r="C934" s="4">
        <v>4534</v>
      </c>
      <c r="D934" s="95" t="s">
        <v>26</v>
      </c>
      <c r="E934" s="145">
        <v>608.1</v>
      </c>
      <c r="F934" s="145">
        <v>0</v>
      </c>
      <c r="G934" s="145">
        <v>0</v>
      </c>
      <c r="H934" s="145">
        <v>0</v>
      </c>
      <c r="I934" s="77">
        <f t="shared" si="17"/>
        <v>608.1</v>
      </c>
      <c r="J934" s="123" t="str">
        <f>IFERROR(VLOOKUP($C934,'CEDARS School FRPL'!C:H,4,FALSE),"No")</f>
        <v>No</v>
      </c>
      <c r="K934" s="109"/>
      <c r="L934" s="109"/>
      <c r="M934" s="110">
        <f>IFERROR(VLOOKUP($C934,'CEDARS School FRPL'!C:H,3,FALSE),0)</f>
        <v>0.20203333333333337</v>
      </c>
      <c r="N934" s="123" t="str">
        <f>IFERROR(VLOOKUP(C934,'CEDARS School FRPL'!C:H,6,FALSE),"No")</f>
        <v>No</v>
      </c>
      <c r="O934" s="147"/>
      <c r="P934" s="148"/>
    </row>
    <row r="935" spans="1:16">
      <c r="A935" s="95" t="s">
        <v>2473</v>
      </c>
      <c r="B935" s="95" t="s">
        <v>1618</v>
      </c>
      <c r="C935" s="4">
        <v>5099</v>
      </c>
      <c r="D935" s="95" t="s">
        <v>1626</v>
      </c>
      <c r="E935" s="145">
        <v>1506.03</v>
      </c>
      <c r="F935" s="145">
        <v>0</v>
      </c>
      <c r="G935" s="145">
        <v>0</v>
      </c>
      <c r="H935" s="145">
        <v>0</v>
      </c>
      <c r="I935" s="77">
        <f t="shared" si="17"/>
        <v>1506.03</v>
      </c>
      <c r="J935" s="123" t="str">
        <f>IFERROR(VLOOKUP($C935,'CEDARS School FRPL'!C:H,4,FALSE),"No")</f>
        <v>No</v>
      </c>
      <c r="K935" s="109"/>
      <c r="L935" s="109"/>
      <c r="M935" s="110">
        <f>IFERROR(VLOOKUP($C935,'CEDARS School FRPL'!C:H,3,FALSE),0)</f>
        <v>0.26930000000000004</v>
      </c>
      <c r="N935" s="123" t="str">
        <f>IFERROR(VLOOKUP(C935,'CEDARS School FRPL'!C:H,6,FALSE),"No")</f>
        <v>No</v>
      </c>
      <c r="O935" s="147"/>
      <c r="P935" s="148"/>
    </row>
    <row r="936" spans="1:16">
      <c r="A936" s="95" t="s">
        <v>2473</v>
      </c>
      <c r="B936" s="95" t="s">
        <v>1618</v>
      </c>
      <c r="C936" s="4">
        <v>5477</v>
      </c>
      <c r="D936" s="95" t="s">
        <v>2804</v>
      </c>
      <c r="E936" s="145">
        <v>514.75</v>
      </c>
      <c r="F936" s="145">
        <v>0</v>
      </c>
      <c r="G936" s="145">
        <v>0</v>
      </c>
      <c r="H936" s="145">
        <v>0</v>
      </c>
      <c r="I936" s="77">
        <f t="shared" si="17"/>
        <v>514.75</v>
      </c>
      <c r="J936" s="123" t="str">
        <f>IFERROR(VLOOKUP($C936,'CEDARS School FRPL'!C:H,4,FALSE),"No")</f>
        <v>No</v>
      </c>
      <c r="K936" s="109"/>
      <c r="L936" s="109"/>
      <c r="M936" s="110">
        <f>IFERROR(VLOOKUP($C936,'CEDARS School FRPL'!C:H,3,FALSE),0)</f>
        <v>0.26216666666666666</v>
      </c>
      <c r="N936" s="123" t="str">
        <f>IFERROR(VLOOKUP(C936,'CEDARS School FRPL'!C:H,6,FALSE),"No")</f>
        <v>No</v>
      </c>
      <c r="O936" s="147"/>
      <c r="P936" s="148"/>
    </row>
    <row r="937" spans="1:16">
      <c r="A937" s="95" t="s">
        <v>2364</v>
      </c>
      <c r="B937" s="95" t="s">
        <v>888</v>
      </c>
      <c r="C937" s="4">
        <v>1649</v>
      </c>
      <c r="D937" s="95" t="s">
        <v>889</v>
      </c>
      <c r="E937" s="145">
        <v>41.7</v>
      </c>
      <c r="F937" s="145">
        <v>0</v>
      </c>
      <c r="G937" s="145">
        <v>0</v>
      </c>
      <c r="H937" s="145">
        <v>0</v>
      </c>
      <c r="I937" s="77">
        <f t="shared" si="17"/>
        <v>41.7</v>
      </c>
      <c r="J937" s="123" t="str">
        <f>IFERROR(VLOOKUP($C937,'CEDARS School FRPL'!C:H,4,FALSE),"No")</f>
        <v>No</v>
      </c>
      <c r="K937" s="109"/>
      <c r="L937" s="109"/>
      <c r="M937" s="110">
        <f>IFERROR(VLOOKUP($C937,'CEDARS School FRPL'!C:H,3,FALSE),0)</f>
        <v>0.11116666666666668</v>
      </c>
      <c r="N937" s="123" t="str">
        <f>IFERROR(VLOOKUP(C937,'CEDARS School FRPL'!C:H,6,FALSE),"No")</f>
        <v>No</v>
      </c>
      <c r="O937" s="147"/>
      <c r="P937" s="148"/>
    </row>
    <row r="938" spans="1:16">
      <c r="A938" s="95" t="s">
        <v>2364</v>
      </c>
      <c r="B938" s="95" t="s">
        <v>888</v>
      </c>
      <c r="C938" s="4">
        <v>1658</v>
      </c>
      <c r="D938" s="95" t="s">
        <v>890</v>
      </c>
      <c r="E938" s="145">
        <v>68</v>
      </c>
      <c r="F938" s="145">
        <v>0</v>
      </c>
      <c r="G938" s="145">
        <v>0</v>
      </c>
      <c r="H938" s="145">
        <v>0</v>
      </c>
      <c r="I938" s="77">
        <f t="shared" si="17"/>
        <v>68</v>
      </c>
      <c r="J938" s="123" t="str">
        <f>IFERROR(VLOOKUP($C938,'CEDARS School FRPL'!C:H,4,FALSE),"No")</f>
        <v>No</v>
      </c>
      <c r="K938" s="109"/>
      <c r="L938" s="109"/>
      <c r="M938" s="110">
        <f>IFERROR(VLOOKUP($C938,'CEDARS School FRPL'!C:H,3,FALSE),0)</f>
        <v>4.2833333333333334E-2</v>
      </c>
      <c r="N938" s="123" t="str">
        <f>IFERROR(VLOOKUP(C938,'CEDARS School FRPL'!C:H,6,FALSE),"No")</f>
        <v>No</v>
      </c>
      <c r="O938" s="147"/>
      <c r="P938" s="148"/>
    </row>
    <row r="939" spans="1:16">
      <c r="A939" s="95" t="s">
        <v>2364</v>
      </c>
      <c r="B939" s="95" t="s">
        <v>888</v>
      </c>
      <c r="C939" s="4">
        <v>1687</v>
      </c>
      <c r="D939" s="95" t="s">
        <v>891</v>
      </c>
      <c r="E939" s="145">
        <v>59.71</v>
      </c>
      <c r="F939" s="145">
        <v>0</v>
      </c>
      <c r="G939" s="145">
        <v>0</v>
      </c>
      <c r="H939" s="145">
        <v>0</v>
      </c>
      <c r="I939" s="77">
        <f t="shared" si="17"/>
        <v>59.71</v>
      </c>
      <c r="J939" s="123" t="str">
        <f>IFERROR(VLOOKUP($C939,'CEDARS School FRPL'!C:H,4,FALSE),"No")</f>
        <v>No</v>
      </c>
      <c r="K939" s="109"/>
      <c r="L939" s="109"/>
      <c r="M939" s="110">
        <f>IFERROR(VLOOKUP($C939,'CEDARS School FRPL'!C:H,3,FALSE),0)</f>
        <v>0.02</v>
      </c>
      <c r="N939" s="123" t="str">
        <f>IFERROR(VLOOKUP(C939,'CEDARS School FRPL'!C:H,6,FALSE),"No")</f>
        <v>No</v>
      </c>
      <c r="O939" s="147"/>
      <c r="P939" s="148"/>
    </row>
    <row r="940" spans="1:16">
      <c r="A940" s="95" t="s">
        <v>2364</v>
      </c>
      <c r="B940" s="95" t="s">
        <v>888</v>
      </c>
      <c r="C940" s="4">
        <v>1688</v>
      </c>
      <c r="D940" s="95" t="s">
        <v>892</v>
      </c>
      <c r="E940" s="145">
        <v>59.91</v>
      </c>
      <c r="F940" s="145">
        <v>5.76</v>
      </c>
      <c r="G940" s="145">
        <v>0</v>
      </c>
      <c r="H940" s="145">
        <v>0</v>
      </c>
      <c r="I940" s="77">
        <f t="shared" si="17"/>
        <v>65.67</v>
      </c>
      <c r="J940" s="123" t="str">
        <f>IFERROR(VLOOKUP($C940,'CEDARS School FRPL'!C:H,4,FALSE),"No")</f>
        <v>No</v>
      </c>
      <c r="K940" s="109"/>
      <c r="L940" s="109"/>
      <c r="M940" s="110">
        <f>IFERROR(VLOOKUP($C940,'CEDARS School FRPL'!C:H,3,FALSE),0)</f>
        <v>6.7733333333333326E-2</v>
      </c>
      <c r="N940" s="123" t="str">
        <f>IFERROR(VLOOKUP(C940,'CEDARS School FRPL'!C:H,6,FALSE),"No")</f>
        <v>No</v>
      </c>
      <c r="O940" s="147"/>
      <c r="P940" s="148"/>
    </row>
    <row r="941" spans="1:16">
      <c r="A941" s="95" t="s">
        <v>2364</v>
      </c>
      <c r="B941" s="95" t="s">
        <v>888</v>
      </c>
      <c r="C941" s="4">
        <v>1706</v>
      </c>
      <c r="D941" s="95" t="s">
        <v>893</v>
      </c>
      <c r="E941" s="145">
        <v>427.16</v>
      </c>
      <c r="F941" s="145">
        <v>2.02</v>
      </c>
      <c r="G941" s="145">
        <v>0</v>
      </c>
      <c r="H941" s="145">
        <v>0</v>
      </c>
      <c r="I941" s="77">
        <f t="shared" si="17"/>
        <v>429.18</v>
      </c>
      <c r="J941" s="123" t="str">
        <f>IFERROR(VLOOKUP($C941,'CEDARS School FRPL'!C:H,4,FALSE),"No")</f>
        <v>No</v>
      </c>
      <c r="K941" s="109"/>
      <c r="L941" s="109"/>
      <c r="M941" s="110">
        <f>IFERROR(VLOOKUP($C941,'CEDARS School FRPL'!C:H,3,FALSE),0)</f>
        <v>2.2799999999999997E-2</v>
      </c>
      <c r="N941" s="123" t="str">
        <f>IFERROR(VLOOKUP(C941,'CEDARS School FRPL'!C:H,6,FALSE),"No")</f>
        <v>No</v>
      </c>
      <c r="O941" s="147"/>
      <c r="P941" s="148"/>
    </row>
    <row r="942" spans="1:16">
      <c r="A942" s="95" t="s">
        <v>2364</v>
      </c>
      <c r="B942" s="95" t="s">
        <v>888</v>
      </c>
      <c r="C942" s="4">
        <v>1800</v>
      </c>
      <c r="D942" s="95" t="s">
        <v>894</v>
      </c>
      <c r="E942" s="145">
        <v>139.13999999999999</v>
      </c>
      <c r="F942" s="145">
        <v>0</v>
      </c>
      <c r="G942" s="145">
        <v>0</v>
      </c>
      <c r="H942" s="145">
        <v>0</v>
      </c>
      <c r="I942" s="77">
        <f t="shared" si="17"/>
        <v>139.13999999999999</v>
      </c>
      <c r="J942" s="123" t="str">
        <f>IFERROR(VLOOKUP($C942,'CEDARS School FRPL'!C:H,4,FALSE),"No")</f>
        <v>No</v>
      </c>
      <c r="K942" s="109"/>
      <c r="L942" s="109"/>
      <c r="M942" s="110">
        <f>IFERROR(VLOOKUP($C942,'CEDARS School FRPL'!C:H,3,FALSE),0)</f>
        <v>3.8300000000000001E-2</v>
      </c>
      <c r="N942" s="123" t="str">
        <f>IFERROR(VLOOKUP(C942,'CEDARS School FRPL'!C:H,6,FALSE),"No")</f>
        <v>No</v>
      </c>
      <c r="O942" s="147"/>
      <c r="P942" s="148"/>
    </row>
    <row r="943" spans="1:16">
      <c r="A943" s="95" t="s">
        <v>2364</v>
      </c>
      <c r="B943" s="95" t="s">
        <v>888</v>
      </c>
      <c r="C943" s="4">
        <v>1804</v>
      </c>
      <c r="D943" s="95" t="s">
        <v>895</v>
      </c>
      <c r="E943" s="145">
        <v>22.43</v>
      </c>
      <c r="F943" s="145">
        <v>0</v>
      </c>
      <c r="G943" s="145">
        <v>0</v>
      </c>
      <c r="H943" s="145">
        <v>0</v>
      </c>
      <c r="I943" s="77">
        <f t="shared" si="17"/>
        <v>22.43</v>
      </c>
      <c r="J943" s="123" t="str">
        <f>IFERROR(VLOOKUP($C943,'CEDARS School FRPL'!C:H,4,FALSE),"No")</f>
        <v>No</v>
      </c>
      <c r="K943" s="109"/>
      <c r="L943" s="109"/>
      <c r="M943" s="110">
        <f>IFERROR(VLOOKUP($C943,'CEDARS School FRPL'!C:H,3,FALSE),0)</f>
        <v>0.33516666666666667</v>
      </c>
      <c r="N943" s="123" t="str">
        <f>IFERROR(VLOOKUP(C943,'CEDARS School FRPL'!C:H,6,FALSE),"No")</f>
        <v>No</v>
      </c>
      <c r="O943" s="147"/>
      <c r="P943" s="148"/>
    </row>
    <row r="944" spans="1:16">
      <c r="A944" s="95" t="s">
        <v>2364</v>
      </c>
      <c r="B944" s="95" t="s">
        <v>888</v>
      </c>
      <c r="C944" s="4">
        <v>1975</v>
      </c>
      <c r="D944" s="95" t="s">
        <v>896</v>
      </c>
      <c r="E944" s="145">
        <v>89.14</v>
      </c>
      <c r="F944" s="145">
        <v>0</v>
      </c>
      <c r="G944" s="145">
        <v>0</v>
      </c>
      <c r="H944" s="145">
        <v>0</v>
      </c>
      <c r="I944" s="77">
        <f t="shared" si="17"/>
        <v>89.14</v>
      </c>
      <c r="J944" s="123" t="str">
        <f>IFERROR(VLOOKUP($C944,'CEDARS School FRPL'!C:H,4,FALSE),"No")</f>
        <v>No</v>
      </c>
      <c r="K944" s="109"/>
      <c r="L944" s="109"/>
      <c r="M944" s="110">
        <f>IFERROR(VLOOKUP($C944,'CEDARS School FRPL'!C:H,3,FALSE),0)</f>
        <v>3.7366666666666666E-2</v>
      </c>
      <c r="N944" s="123" t="str">
        <f>IFERROR(VLOOKUP(C944,'CEDARS School FRPL'!C:H,6,FALSE),"No")</f>
        <v>No</v>
      </c>
      <c r="O944" s="147"/>
      <c r="P944" s="148"/>
    </row>
    <row r="945" spans="1:16">
      <c r="A945" s="95" t="s">
        <v>2364</v>
      </c>
      <c r="B945" s="95" t="s">
        <v>888</v>
      </c>
      <c r="C945" s="4">
        <v>2289</v>
      </c>
      <c r="D945" s="95" t="s">
        <v>897</v>
      </c>
      <c r="E945" s="145">
        <v>532.29</v>
      </c>
      <c r="F945" s="145">
        <v>0</v>
      </c>
      <c r="G945" s="145">
        <v>0</v>
      </c>
      <c r="H945" s="145">
        <v>0</v>
      </c>
      <c r="I945" s="77">
        <f t="shared" si="17"/>
        <v>532.29</v>
      </c>
      <c r="J945" s="123" t="str">
        <f>IFERROR(VLOOKUP($C945,'CEDARS School FRPL'!C:H,4,FALSE),"No")</f>
        <v>No</v>
      </c>
      <c r="K945" s="109"/>
      <c r="L945" s="109"/>
      <c r="M945" s="110">
        <f>IFERROR(VLOOKUP($C945,'CEDARS School FRPL'!C:H,3,FALSE),0)</f>
        <v>0.17403333333333335</v>
      </c>
      <c r="N945" s="123" t="str">
        <f>IFERROR(VLOOKUP(C945,'CEDARS School FRPL'!C:H,6,FALSE),"No")</f>
        <v>No</v>
      </c>
      <c r="O945" s="147"/>
      <c r="P945" s="148"/>
    </row>
    <row r="946" spans="1:16">
      <c r="A946" s="95" t="s">
        <v>2364</v>
      </c>
      <c r="B946" s="95" t="s">
        <v>888</v>
      </c>
      <c r="C946" s="4">
        <v>2308</v>
      </c>
      <c r="D946" s="95" t="s">
        <v>898</v>
      </c>
      <c r="E946" s="145">
        <v>541.88</v>
      </c>
      <c r="F946" s="145">
        <v>0</v>
      </c>
      <c r="G946" s="145">
        <v>0</v>
      </c>
      <c r="H946" s="145">
        <v>0</v>
      </c>
      <c r="I946" s="77">
        <f t="shared" si="17"/>
        <v>541.88</v>
      </c>
      <c r="J946" s="123" t="str">
        <f>IFERROR(VLOOKUP($C946,'CEDARS School FRPL'!C:H,4,FALSE),"No")</f>
        <v>No</v>
      </c>
      <c r="K946" s="109"/>
      <c r="L946" s="109"/>
      <c r="M946" s="110">
        <f>IFERROR(VLOOKUP($C946,'CEDARS School FRPL'!C:H,3,FALSE),0)</f>
        <v>9.6233333333333337E-2</v>
      </c>
      <c r="N946" s="123" t="str">
        <f>IFERROR(VLOOKUP(C946,'CEDARS School FRPL'!C:H,6,FALSE),"No")</f>
        <v>No</v>
      </c>
      <c r="O946" s="147"/>
      <c r="P946" s="148"/>
    </row>
    <row r="947" spans="1:16">
      <c r="A947" s="95" t="s">
        <v>2364</v>
      </c>
      <c r="B947" s="95" t="s">
        <v>888</v>
      </c>
      <c r="C947" s="4">
        <v>2739</v>
      </c>
      <c r="D947" s="95" t="s">
        <v>899</v>
      </c>
      <c r="E947" s="145">
        <v>1740.48</v>
      </c>
      <c r="F947" s="145">
        <v>142.68</v>
      </c>
      <c r="G947" s="145">
        <v>0</v>
      </c>
      <c r="H947" s="145">
        <v>0</v>
      </c>
      <c r="I947" s="77">
        <f t="shared" si="17"/>
        <v>1883.16</v>
      </c>
      <c r="J947" s="123" t="str">
        <f>IFERROR(VLOOKUP($C947,'CEDARS School FRPL'!C:H,4,FALSE),"No")</f>
        <v>No</v>
      </c>
      <c r="K947" s="109"/>
      <c r="L947" s="109"/>
      <c r="M947" s="110">
        <f>IFERROR(VLOOKUP($C947,'CEDARS School FRPL'!C:H,3,FALSE),0)</f>
        <v>0.12136666666666666</v>
      </c>
      <c r="N947" s="123" t="str">
        <f>IFERROR(VLOOKUP(C947,'CEDARS School FRPL'!C:H,6,FALSE),"No")</f>
        <v>No</v>
      </c>
      <c r="O947" s="147"/>
      <c r="P947" s="148"/>
    </row>
    <row r="948" spans="1:16">
      <c r="A948" s="95" t="s">
        <v>2364</v>
      </c>
      <c r="B948" s="95" t="s">
        <v>888</v>
      </c>
      <c r="C948" s="4">
        <v>2796</v>
      </c>
      <c r="D948" s="95" t="s">
        <v>900</v>
      </c>
      <c r="E948" s="145">
        <v>286.83</v>
      </c>
      <c r="F948" s="145">
        <v>0</v>
      </c>
      <c r="G948" s="145">
        <v>0</v>
      </c>
      <c r="H948" s="145">
        <v>0</v>
      </c>
      <c r="I948" s="77">
        <f t="shared" si="17"/>
        <v>286.83</v>
      </c>
      <c r="J948" s="123" t="str">
        <f>IFERROR(VLOOKUP($C948,'CEDARS School FRPL'!C:H,4,FALSE),"No")</f>
        <v>No</v>
      </c>
      <c r="K948" s="109"/>
      <c r="L948" s="109"/>
      <c r="M948" s="110">
        <f>IFERROR(VLOOKUP($C948,'CEDARS School FRPL'!C:H,3,FALSE),0)</f>
        <v>0.18356666666666666</v>
      </c>
      <c r="N948" s="123" t="str">
        <f>IFERROR(VLOOKUP(C948,'CEDARS School FRPL'!C:H,6,FALSE),"No")</f>
        <v>No</v>
      </c>
      <c r="O948" s="147"/>
      <c r="P948" s="148"/>
    </row>
    <row r="949" spans="1:16">
      <c r="A949" s="95" t="s">
        <v>2364</v>
      </c>
      <c r="B949" s="95" t="s">
        <v>888</v>
      </c>
      <c r="C949" s="4">
        <v>2992</v>
      </c>
      <c r="D949" s="95" t="s">
        <v>901</v>
      </c>
      <c r="E949" s="145">
        <v>440.71</v>
      </c>
      <c r="F949" s="145">
        <v>0</v>
      </c>
      <c r="G949" s="145">
        <v>0</v>
      </c>
      <c r="H949" s="145">
        <v>0</v>
      </c>
      <c r="I949" s="77">
        <f t="shared" si="17"/>
        <v>440.71</v>
      </c>
      <c r="J949" s="123" t="str">
        <f>IFERROR(VLOOKUP($C949,'CEDARS School FRPL'!C:H,4,FALSE),"No")</f>
        <v>No</v>
      </c>
      <c r="K949" s="109"/>
      <c r="L949" s="109"/>
      <c r="M949" s="110">
        <f>IFERROR(VLOOKUP($C949,'CEDARS School FRPL'!C:H,3,FALSE),0)</f>
        <v>0.17336666666666667</v>
      </c>
      <c r="N949" s="123" t="str">
        <f>IFERROR(VLOOKUP(C949,'CEDARS School FRPL'!C:H,6,FALSE),"No")</f>
        <v>No</v>
      </c>
      <c r="O949" s="147"/>
      <c r="P949" s="148"/>
    </row>
    <row r="950" spans="1:16">
      <c r="A950" s="95" t="s">
        <v>2364</v>
      </c>
      <c r="B950" s="95" t="s">
        <v>888</v>
      </c>
      <c r="C950" s="4">
        <v>3041</v>
      </c>
      <c r="D950" s="95" t="s">
        <v>902</v>
      </c>
      <c r="E950" s="145">
        <v>448.31</v>
      </c>
      <c r="F950" s="145">
        <v>0</v>
      </c>
      <c r="G950" s="145">
        <v>0</v>
      </c>
      <c r="H950" s="145">
        <v>0</v>
      </c>
      <c r="I950" s="77">
        <f t="shared" si="17"/>
        <v>448.31</v>
      </c>
      <c r="J950" s="123" t="str">
        <f>IFERROR(VLOOKUP($C950,'CEDARS School FRPL'!C:H,4,FALSE),"No")</f>
        <v>No</v>
      </c>
      <c r="K950" s="109"/>
      <c r="L950" s="109"/>
      <c r="M950" s="110">
        <f>IFERROR(VLOOKUP($C950,'CEDARS School FRPL'!C:H,3,FALSE),0)</f>
        <v>0.12726666666666667</v>
      </c>
      <c r="N950" s="123" t="str">
        <f>IFERROR(VLOOKUP(C950,'CEDARS School FRPL'!C:H,6,FALSE),"No")</f>
        <v>No</v>
      </c>
      <c r="O950" s="147"/>
      <c r="P950" s="148"/>
    </row>
    <row r="951" spans="1:16">
      <c r="A951" s="95" t="s">
        <v>2364</v>
      </c>
      <c r="B951" s="95" t="s">
        <v>888</v>
      </c>
      <c r="C951" s="4">
        <v>3232</v>
      </c>
      <c r="D951" s="95" t="s">
        <v>903</v>
      </c>
      <c r="E951" s="145">
        <v>952.94</v>
      </c>
      <c r="F951" s="145">
        <v>0</v>
      </c>
      <c r="G951" s="145">
        <v>0</v>
      </c>
      <c r="H951" s="145">
        <v>0</v>
      </c>
      <c r="I951" s="77">
        <f t="shared" si="17"/>
        <v>952.94</v>
      </c>
      <c r="J951" s="123" t="str">
        <f>IFERROR(VLOOKUP($C951,'CEDARS School FRPL'!C:H,4,FALSE),"No")</f>
        <v>No</v>
      </c>
      <c r="K951" s="109"/>
      <c r="L951" s="109"/>
      <c r="M951" s="110">
        <f>IFERROR(VLOOKUP($C951,'CEDARS School FRPL'!C:H,3,FALSE),0)</f>
        <v>0.13039999999999999</v>
      </c>
      <c r="N951" s="123" t="str">
        <f>IFERROR(VLOOKUP(C951,'CEDARS School FRPL'!C:H,6,FALSE),"No")</f>
        <v>No</v>
      </c>
      <c r="O951" s="147"/>
      <c r="P951" s="148"/>
    </row>
    <row r="952" spans="1:16">
      <c r="A952" s="95" t="s">
        <v>2364</v>
      </c>
      <c r="B952" s="95" t="s">
        <v>888</v>
      </c>
      <c r="C952" s="4">
        <v>3441</v>
      </c>
      <c r="D952" s="95" t="s">
        <v>904</v>
      </c>
      <c r="E952" s="145">
        <v>617.5</v>
      </c>
      <c r="F952" s="145">
        <v>0</v>
      </c>
      <c r="G952" s="145">
        <v>0</v>
      </c>
      <c r="H952" s="145">
        <v>0</v>
      </c>
      <c r="I952" s="77">
        <f t="shared" si="17"/>
        <v>617.5</v>
      </c>
      <c r="J952" s="123" t="str">
        <f>IFERROR(VLOOKUP($C952,'CEDARS School FRPL'!C:H,4,FALSE),"No")</f>
        <v>No</v>
      </c>
      <c r="K952" s="107"/>
      <c r="L952" s="107"/>
      <c r="M952" s="110">
        <f>IFERROR(VLOOKUP($C952,'CEDARS School FRPL'!C:H,3,FALSE),0)</f>
        <v>0.11969999999999999</v>
      </c>
      <c r="N952" s="123" t="str">
        <f>IFERROR(VLOOKUP(C952,'CEDARS School FRPL'!C:H,6,FALSE),"No")</f>
        <v>No</v>
      </c>
      <c r="O952" s="147"/>
      <c r="P952" s="148"/>
    </row>
    <row r="953" spans="1:16">
      <c r="A953" s="95" t="s">
        <v>2364</v>
      </c>
      <c r="B953" s="95" t="s">
        <v>888</v>
      </c>
      <c r="C953" s="4">
        <v>3490</v>
      </c>
      <c r="D953" s="95" t="s">
        <v>905</v>
      </c>
      <c r="E953" s="145">
        <v>417.02</v>
      </c>
      <c r="F953" s="145">
        <v>0</v>
      </c>
      <c r="G953" s="145">
        <v>0</v>
      </c>
      <c r="H953" s="145">
        <v>0</v>
      </c>
      <c r="I953" s="77">
        <f t="shared" si="17"/>
        <v>417.02</v>
      </c>
      <c r="J953" s="123" t="str">
        <f>IFERROR(VLOOKUP($C953,'CEDARS School FRPL'!C:H,4,FALSE),"No")</f>
        <v>No</v>
      </c>
      <c r="K953" s="109"/>
      <c r="L953" s="109"/>
      <c r="M953" s="110">
        <f>IFERROR(VLOOKUP($C953,'CEDARS School FRPL'!C:H,3,FALSE),0)</f>
        <v>9.6999999999999989E-2</v>
      </c>
      <c r="N953" s="123" t="str">
        <f>IFERROR(VLOOKUP(C953,'CEDARS School FRPL'!C:H,6,FALSE),"No")</f>
        <v>No</v>
      </c>
      <c r="O953" s="147"/>
      <c r="P953" s="148"/>
    </row>
    <row r="954" spans="1:16">
      <c r="A954" s="95" t="s">
        <v>2364</v>
      </c>
      <c r="B954" s="95" t="s">
        <v>888</v>
      </c>
      <c r="C954" s="4">
        <v>3528</v>
      </c>
      <c r="D954" s="95" t="s">
        <v>906</v>
      </c>
      <c r="E954" s="145">
        <v>1943.21</v>
      </c>
      <c r="F954" s="145">
        <v>166.99</v>
      </c>
      <c r="G954" s="145">
        <v>0</v>
      </c>
      <c r="H954" s="145">
        <v>0</v>
      </c>
      <c r="I954" s="77">
        <f t="shared" si="17"/>
        <v>2110.1999999999998</v>
      </c>
      <c r="J954" s="123" t="str">
        <f>IFERROR(VLOOKUP($C954,'CEDARS School FRPL'!C:H,4,FALSE),"No")</f>
        <v>No</v>
      </c>
      <c r="K954" s="109"/>
      <c r="L954" s="109"/>
      <c r="M954" s="110">
        <f>IFERROR(VLOOKUP($C954,'CEDARS School FRPL'!C:H,3,FALSE),0)</f>
        <v>0.11699999999999999</v>
      </c>
      <c r="N954" s="123" t="str">
        <f>IFERROR(VLOOKUP(C954,'CEDARS School FRPL'!C:H,6,FALSE),"No")</f>
        <v>No</v>
      </c>
      <c r="O954" s="147"/>
      <c r="P954" s="148"/>
    </row>
    <row r="955" spans="1:16">
      <c r="A955" s="95" t="s">
        <v>2364</v>
      </c>
      <c r="B955" s="95" t="s">
        <v>888</v>
      </c>
      <c r="C955" s="4">
        <v>3529</v>
      </c>
      <c r="D955" s="95" t="s">
        <v>907</v>
      </c>
      <c r="E955" s="145">
        <v>307.61</v>
      </c>
      <c r="F955" s="145">
        <v>0</v>
      </c>
      <c r="G955" s="145">
        <v>0</v>
      </c>
      <c r="H955" s="145">
        <v>0</v>
      </c>
      <c r="I955" s="77">
        <f t="shared" si="17"/>
        <v>307.61</v>
      </c>
      <c r="J955" s="123" t="str">
        <f>IFERROR(VLOOKUP($C955,'CEDARS School FRPL'!C:H,4,FALSE),"No")</f>
        <v>No</v>
      </c>
      <c r="K955" s="109"/>
      <c r="L955" s="109"/>
      <c r="M955" s="110">
        <f>IFERROR(VLOOKUP($C955,'CEDARS School FRPL'!C:H,3,FALSE),0)</f>
        <v>3.7233333333333334E-2</v>
      </c>
      <c r="N955" s="123" t="str">
        <f>IFERROR(VLOOKUP(C955,'CEDARS School FRPL'!C:H,6,FALSE),"No")</f>
        <v>No</v>
      </c>
      <c r="O955" s="147"/>
      <c r="P955" s="148"/>
    </row>
    <row r="956" spans="1:16">
      <c r="A956" s="95" t="s">
        <v>2364</v>
      </c>
      <c r="B956" s="95" t="s">
        <v>888</v>
      </c>
      <c r="C956" s="4">
        <v>3548</v>
      </c>
      <c r="D956" s="95" t="s">
        <v>908</v>
      </c>
      <c r="E956" s="145">
        <v>460.97</v>
      </c>
      <c r="F956" s="145">
        <v>0</v>
      </c>
      <c r="G956" s="145">
        <v>0</v>
      </c>
      <c r="H956" s="145">
        <v>0</v>
      </c>
      <c r="I956" s="77">
        <f t="shared" si="17"/>
        <v>460.97</v>
      </c>
      <c r="J956" s="123" t="str">
        <f>IFERROR(VLOOKUP($C956,'CEDARS School FRPL'!C:H,4,FALSE),"No")</f>
        <v>No</v>
      </c>
      <c r="K956" s="109"/>
      <c r="L956" s="109"/>
      <c r="M956" s="110">
        <f>IFERROR(VLOOKUP($C956,'CEDARS School FRPL'!C:H,3,FALSE),0)</f>
        <v>4.1066666666666661E-2</v>
      </c>
      <c r="N956" s="123" t="str">
        <f>IFERROR(VLOOKUP(C956,'CEDARS School FRPL'!C:H,6,FALSE),"No")</f>
        <v>No</v>
      </c>
      <c r="O956" s="147"/>
      <c r="P956" s="148"/>
    </row>
    <row r="957" spans="1:16">
      <c r="A957" s="95" t="s">
        <v>2364</v>
      </c>
      <c r="B957" s="95" t="s">
        <v>888</v>
      </c>
      <c r="C957" s="4">
        <v>3590</v>
      </c>
      <c r="D957" s="95" t="s">
        <v>909</v>
      </c>
      <c r="E957" s="145">
        <v>665.77</v>
      </c>
      <c r="F957" s="145">
        <v>0</v>
      </c>
      <c r="G957" s="145">
        <v>0</v>
      </c>
      <c r="H957" s="145">
        <v>0</v>
      </c>
      <c r="I957" s="77">
        <f t="shared" si="17"/>
        <v>665.77</v>
      </c>
      <c r="J957" s="123" t="str">
        <f>IFERROR(VLOOKUP($C957,'CEDARS School FRPL'!C:H,4,FALSE),"No")</f>
        <v>No</v>
      </c>
      <c r="K957" s="109"/>
      <c r="L957" s="109"/>
      <c r="M957" s="110">
        <f>IFERROR(VLOOKUP($C957,'CEDARS School FRPL'!C:H,3,FALSE),0)</f>
        <v>0.16159999999999999</v>
      </c>
      <c r="N957" s="123" t="str">
        <f>IFERROR(VLOOKUP(C957,'CEDARS School FRPL'!C:H,6,FALSE),"No")</f>
        <v>No</v>
      </c>
      <c r="O957" s="147"/>
      <c r="P957" s="148"/>
    </row>
    <row r="958" spans="1:16">
      <c r="A958" s="95" t="s">
        <v>2364</v>
      </c>
      <c r="B958" s="95" t="s">
        <v>888</v>
      </c>
      <c r="C958" s="4">
        <v>3591</v>
      </c>
      <c r="D958" s="95" t="s">
        <v>139</v>
      </c>
      <c r="E958" s="145">
        <v>405.61</v>
      </c>
      <c r="F958" s="145">
        <v>0</v>
      </c>
      <c r="G958" s="145">
        <v>0</v>
      </c>
      <c r="H958" s="145">
        <v>0</v>
      </c>
      <c r="I958" s="77">
        <f t="shared" si="17"/>
        <v>405.61</v>
      </c>
      <c r="J958" s="123" t="str">
        <f>IFERROR(VLOOKUP($C958,'CEDARS School FRPL'!C:H,4,FALSE),"No")</f>
        <v>No</v>
      </c>
      <c r="K958" s="109"/>
      <c r="L958" s="109"/>
      <c r="M958" s="110">
        <f>IFERROR(VLOOKUP($C958,'CEDARS School FRPL'!C:H,3,FALSE),0)</f>
        <v>5.4433333333333334E-2</v>
      </c>
      <c r="N958" s="123" t="str">
        <f>IFERROR(VLOOKUP(C958,'CEDARS School FRPL'!C:H,6,FALSE),"No")</f>
        <v>No</v>
      </c>
      <c r="O958" s="147"/>
      <c r="P958" s="148"/>
    </row>
    <row r="959" spans="1:16">
      <c r="A959" s="95" t="s">
        <v>2364</v>
      </c>
      <c r="B959" s="95" t="s">
        <v>888</v>
      </c>
      <c r="C959" s="4">
        <v>3592</v>
      </c>
      <c r="D959" s="95" t="s">
        <v>910</v>
      </c>
      <c r="E959" s="145">
        <v>408.72</v>
      </c>
      <c r="F959" s="145">
        <v>0</v>
      </c>
      <c r="G959" s="145">
        <v>0</v>
      </c>
      <c r="H959" s="145">
        <v>0</v>
      </c>
      <c r="I959" s="77">
        <f t="shared" si="17"/>
        <v>408.72</v>
      </c>
      <c r="J959" s="123" t="str">
        <f>IFERROR(VLOOKUP($C959,'CEDARS School FRPL'!C:H,4,FALSE),"No")</f>
        <v>No</v>
      </c>
      <c r="K959" s="109"/>
      <c r="L959" s="109"/>
      <c r="M959" s="110">
        <f>IFERROR(VLOOKUP($C959,'CEDARS School FRPL'!C:H,3,FALSE),0)</f>
        <v>0.19026666666666667</v>
      </c>
      <c r="N959" s="123" t="str">
        <f>IFERROR(VLOOKUP(C959,'CEDARS School FRPL'!C:H,6,FALSE),"No")</f>
        <v>No</v>
      </c>
      <c r="O959" s="147"/>
      <c r="P959" s="148"/>
    </row>
    <row r="960" spans="1:16">
      <c r="A960" s="95" t="s">
        <v>2364</v>
      </c>
      <c r="B960" s="95" t="s">
        <v>888</v>
      </c>
      <c r="C960" s="4">
        <v>3675</v>
      </c>
      <c r="D960" s="95" t="s">
        <v>911</v>
      </c>
      <c r="E960" s="145">
        <v>411.71</v>
      </c>
      <c r="F960" s="145">
        <v>0</v>
      </c>
      <c r="G960" s="145">
        <v>0</v>
      </c>
      <c r="H960" s="145">
        <v>0</v>
      </c>
      <c r="I960" s="77">
        <f t="shared" si="17"/>
        <v>411.71</v>
      </c>
      <c r="J960" s="123" t="str">
        <f>IFERROR(VLOOKUP($C960,'CEDARS School FRPL'!C:H,4,FALSE),"No")</f>
        <v>No</v>
      </c>
      <c r="K960" s="109"/>
      <c r="L960" s="109"/>
      <c r="M960" s="110">
        <f>IFERROR(VLOOKUP($C960,'CEDARS School FRPL'!C:H,3,FALSE),0)</f>
        <v>0.26233333333333331</v>
      </c>
      <c r="N960" s="123" t="str">
        <f>IFERROR(VLOOKUP(C960,'CEDARS School FRPL'!C:H,6,FALSE),"No")</f>
        <v>No</v>
      </c>
      <c r="O960" s="147"/>
      <c r="P960" s="148"/>
    </row>
    <row r="961" spans="1:16">
      <c r="A961" s="95" t="s">
        <v>2364</v>
      </c>
      <c r="B961" s="95" t="s">
        <v>888</v>
      </c>
      <c r="C961" s="4">
        <v>3703</v>
      </c>
      <c r="D961" s="95" t="s">
        <v>912</v>
      </c>
      <c r="E961" s="145">
        <v>589.29</v>
      </c>
      <c r="F961" s="145">
        <v>0</v>
      </c>
      <c r="G961" s="145">
        <v>0</v>
      </c>
      <c r="H961" s="145">
        <v>0</v>
      </c>
      <c r="I961" s="77">
        <f t="shared" si="17"/>
        <v>589.29</v>
      </c>
      <c r="J961" s="123" t="str">
        <f>IFERROR(VLOOKUP($C961,'CEDARS School FRPL'!C:H,4,FALSE),"No")</f>
        <v>No</v>
      </c>
      <c r="K961" s="109"/>
      <c r="L961" s="109"/>
      <c r="M961" s="110">
        <f>IFERROR(VLOOKUP($C961,'CEDARS School FRPL'!C:H,3,FALSE),0)</f>
        <v>4.6533333333333336E-2</v>
      </c>
      <c r="N961" s="123" t="str">
        <f>IFERROR(VLOOKUP(C961,'CEDARS School FRPL'!C:H,6,FALSE),"No")</f>
        <v>No</v>
      </c>
      <c r="O961" s="147"/>
      <c r="P961" s="148"/>
    </row>
    <row r="962" spans="1:16">
      <c r="A962" s="95" t="s">
        <v>2364</v>
      </c>
      <c r="B962" s="95" t="s">
        <v>888</v>
      </c>
      <c r="C962" s="4">
        <v>3704</v>
      </c>
      <c r="D962" s="95" t="s">
        <v>913</v>
      </c>
      <c r="E962" s="145">
        <v>299.83999999999997</v>
      </c>
      <c r="F962" s="145">
        <v>0</v>
      </c>
      <c r="G962" s="145">
        <v>0</v>
      </c>
      <c r="H962" s="145">
        <v>0</v>
      </c>
      <c r="I962" s="77">
        <f t="shared" si="17"/>
        <v>299.83999999999997</v>
      </c>
      <c r="J962" s="123" t="str">
        <f>IFERROR(VLOOKUP($C962,'CEDARS School FRPL'!C:H,4,FALSE),"No")</f>
        <v>No</v>
      </c>
      <c r="K962" s="109"/>
      <c r="L962" s="109"/>
      <c r="M962" s="110">
        <f>IFERROR(VLOOKUP($C962,'CEDARS School FRPL'!C:H,3,FALSE),0)</f>
        <v>0.19266666666666668</v>
      </c>
      <c r="N962" s="123" t="str">
        <f>IFERROR(VLOOKUP(C962,'CEDARS School FRPL'!C:H,6,FALSE),"No")</f>
        <v>No</v>
      </c>
      <c r="O962" s="147"/>
      <c r="P962" s="148"/>
    </row>
    <row r="963" spans="1:16">
      <c r="A963" s="95" t="s">
        <v>2364</v>
      </c>
      <c r="B963" s="95" t="s">
        <v>888</v>
      </c>
      <c r="C963" s="4">
        <v>3706</v>
      </c>
      <c r="D963" s="95" t="s">
        <v>914</v>
      </c>
      <c r="E963" s="145">
        <v>937.76</v>
      </c>
      <c r="F963" s="145">
        <v>0</v>
      </c>
      <c r="G963" s="145">
        <v>0</v>
      </c>
      <c r="H963" s="145">
        <v>0</v>
      </c>
      <c r="I963" s="77">
        <f t="shared" si="17"/>
        <v>937.76</v>
      </c>
      <c r="J963" s="123" t="str">
        <f>IFERROR(VLOOKUP($C963,'CEDARS School FRPL'!C:H,4,FALSE),"No")</f>
        <v>No</v>
      </c>
      <c r="K963" s="109"/>
      <c r="L963" s="109"/>
      <c r="M963" s="110">
        <f>IFERROR(VLOOKUP($C963,'CEDARS School FRPL'!C:H,3,FALSE),0)</f>
        <v>0.12636666666666665</v>
      </c>
      <c r="N963" s="123" t="str">
        <f>IFERROR(VLOOKUP(C963,'CEDARS School FRPL'!C:H,6,FALSE),"No")</f>
        <v>No</v>
      </c>
      <c r="O963" s="147"/>
      <c r="P963" s="148"/>
    </row>
    <row r="964" spans="1:16">
      <c r="A964" s="95" t="s">
        <v>2364</v>
      </c>
      <c r="B964" s="95" t="s">
        <v>888</v>
      </c>
      <c r="C964" s="4">
        <v>3747</v>
      </c>
      <c r="D964" s="95" t="s">
        <v>915</v>
      </c>
      <c r="E964" s="145">
        <v>380.5</v>
      </c>
      <c r="F964" s="145">
        <v>0</v>
      </c>
      <c r="G964" s="145">
        <v>0</v>
      </c>
      <c r="H964" s="145">
        <v>0</v>
      </c>
      <c r="I964" s="77">
        <f t="shared" ref="I964:I1027" si="18">+E964+F964+G964+H964</f>
        <v>380.5</v>
      </c>
      <c r="J964" s="123" t="str">
        <f>IFERROR(VLOOKUP($C964,'CEDARS School FRPL'!C:H,4,FALSE),"No")</f>
        <v>No</v>
      </c>
      <c r="K964" s="109"/>
      <c r="L964" s="109"/>
      <c r="M964" s="110">
        <f>IFERROR(VLOOKUP($C964,'CEDARS School FRPL'!C:H,3,FALSE),0)</f>
        <v>6.246666666666667E-2</v>
      </c>
      <c r="N964" s="123" t="str">
        <f>IFERROR(VLOOKUP(C964,'CEDARS School FRPL'!C:H,6,FALSE),"No")</f>
        <v>No</v>
      </c>
      <c r="O964" s="147"/>
      <c r="P964" s="148"/>
    </row>
    <row r="965" spans="1:16">
      <c r="A965" s="95" t="s">
        <v>2364</v>
      </c>
      <c r="B965" s="95" t="s">
        <v>888</v>
      </c>
      <c r="C965" s="4">
        <v>3748</v>
      </c>
      <c r="D965" s="95" t="s">
        <v>916</v>
      </c>
      <c r="E965" s="145">
        <v>338.71</v>
      </c>
      <c r="F965" s="145">
        <v>0</v>
      </c>
      <c r="G965" s="145">
        <v>0</v>
      </c>
      <c r="H965" s="145">
        <v>0</v>
      </c>
      <c r="I965" s="77">
        <f t="shared" si="18"/>
        <v>338.71</v>
      </c>
      <c r="J965" s="123" t="str">
        <f>IFERROR(VLOOKUP($C965,'CEDARS School FRPL'!C:H,4,FALSE),"No")</f>
        <v>No</v>
      </c>
      <c r="K965" s="109"/>
      <c r="L965" s="109"/>
      <c r="M965" s="110">
        <f>IFERROR(VLOOKUP($C965,'CEDARS School FRPL'!C:H,3,FALSE),0)</f>
        <v>0.29093333333333332</v>
      </c>
      <c r="N965" s="123" t="str">
        <f>IFERROR(VLOOKUP(C965,'CEDARS School FRPL'!C:H,6,FALSE),"No")</f>
        <v>No</v>
      </c>
      <c r="O965" s="147"/>
      <c r="P965" s="148"/>
    </row>
    <row r="966" spans="1:16">
      <c r="A966" s="95" t="s">
        <v>2364</v>
      </c>
      <c r="B966" s="95" t="s">
        <v>888</v>
      </c>
      <c r="C966" s="4">
        <v>3771</v>
      </c>
      <c r="D966" s="95" t="s">
        <v>917</v>
      </c>
      <c r="E966" s="145">
        <v>1458.02</v>
      </c>
      <c r="F966" s="145">
        <v>92.899999999999991</v>
      </c>
      <c r="G966" s="145">
        <v>0</v>
      </c>
      <c r="H966" s="145">
        <v>0</v>
      </c>
      <c r="I966" s="77">
        <f t="shared" si="18"/>
        <v>1550.92</v>
      </c>
      <c r="J966" s="123" t="str">
        <f>IFERROR(VLOOKUP($C966,'CEDARS School FRPL'!C:H,4,FALSE),"No")</f>
        <v>No</v>
      </c>
      <c r="K966" s="109"/>
      <c r="L966" s="109"/>
      <c r="M966" s="110">
        <f>IFERROR(VLOOKUP($C966,'CEDARS School FRPL'!C:H,3,FALSE),0)</f>
        <v>0.20109999999999997</v>
      </c>
      <c r="N966" s="123" t="str">
        <f>IFERROR(VLOOKUP(C966,'CEDARS School FRPL'!C:H,6,FALSE),"No")</f>
        <v>No</v>
      </c>
      <c r="O966" s="147"/>
      <c r="P966" s="148"/>
    </row>
    <row r="967" spans="1:16">
      <c r="A967" s="95" t="s">
        <v>2364</v>
      </c>
      <c r="B967" s="95" t="s">
        <v>888</v>
      </c>
      <c r="C967" s="4">
        <v>3855</v>
      </c>
      <c r="D967" s="95" t="s">
        <v>918</v>
      </c>
      <c r="E967" s="145">
        <v>24.8</v>
      </c>
      <c r="F967" s="145">
        <v>3.33</v>
      </c>
      <c r="G967" s="145">
        <v>0</v>
      </c>
      <c r="H967" s="145">
        <v>0</v>
      </c>
      <c r="I967" s="77">
        <f t="shared" si="18"/>
        <v>28.130000000000003</v>
      </c>
      <c r="J967" s="123" t="str">
        <f>IFERROR(VLOOKUP($C967,'CEDARS School FRPL'!C:H,4,FALSE),"No")</f>
        <v>No</v>
      </c>
      <c r="K967" s="109"/>
      <c r="L967" s="109"/>
      <c r="M967" s="110">
        <f>IFERROR(VLOOKUP($C967,'CEDARS School FRPL'!C:H,3,FALSE),0)</f>
        <v>0.18520000000000003</v>
      </c>
      <c r="N967" s="123" t="str">
        <f>IFERROR(VLOOKUP(C967,'CEDARS School FRPL'!C:H,6,FALSE),"No")</f>
        <v>No</v>
      </c>
      <c r="O967" s="147"/>
      <c r="P967" s="148"/>
    </row>
    <row r="968" spans="1:16">
      <c r="A968" s="95" t="s">
        <v>2364</v>
      </c>
      <c r="B968" s="95" t="s">
        <v>888</v>
      </c>
      <c r="C968" s="4">
        <v>3856</v>
      </c>
      <c r="D968" s="95" t="s">
        <v>919</v>
      </c>
      <c r="E968" s="145">
        <v>66.86</v>
      </c>
      <c r="F968" s="145">
        <v>0</v>
      </c>
      <c r="G968" s="145">
        <v>0</v>
      </c>
      <c r="H968" s="145">
        <v>0</v>
      </c>
      <c r="I968" s="77">
        <f t="shared" si="18"/>
        <v>66.86</v>
      </c>
      <c r="J968" s="123" t="str">
        <f>IFERROR(VLOOKUP($C968,'CEDARS School FRPL'!C:H,4,FALSE),"No")</f>
        <v>No</v>
      </c>
      <c r="K968" s="109"/>
      <c r="L968" s="109"/>
      <c r="M968" s="110">
        <f>IFERROR(VLOOKUP($C968,'CEDARS School FRPL'!C:H,3,FALSE),0)</f>
        <v>3.4133333333333335E-2</v>
      </c>
      <c r="N968" s="123" t="str">
        <f>IFERROR(VLOOKUP(C968,'CEDARS School FRPL'!C:H,6,FALSE),"No")</f>
        <v>No</v>
      </c>
      <c r="O968" s="147"/>
      <c r="P968" s="148"/>
    </row>
    <row r="969" spans="1:16">
      <c r="A969" s="95" t="s">
        <v>2364</v>
      </c>
      <c r="B969" s="95" t="s">
        <v>888</v>
      </c>
      <c r="C969" s="4">
        <v>3922</v>
      </c>
      <c r="D969" s="95" t="s">
        <v>920</v>
      </c>
      <c r="E969" s="145">
        <v>619.23</v>
      </c>
      <c r="F969" s="145">
        <v>0</v>
      </c>
      <c r="G969" s="145">
        <v>0</v>
      </c>
      <c r="H969" s="145">
        <v>0</v>
      </c>
      <c r="I969" s="77">
        <f t="shared" si="18"/>
        <v>619.23</v>
      </c>
      <c r="J969" s="123" t="str">
        <f>IFERROR(VLOOKUP($C969,'CEDARS School FRPL'!C:H,4,FALSE),"No")</f>
        <v>No</v>
      </c>
      <c r="K969" s="109"/>
      <c r="L969" s="109"/>
      <c r="M969" s="110">
        <f>IFERROR(VLOOKUP($C969,'CEDARS School FRPL'!C:H,3,FALSE),0)</f>
        <v>0.2679333333333333</v>
      </c>
      <c r="N969" s="123" t="str">
        <f>IFERROR(VLOOKUP(C969,'CEDARS School FRPL'!C:H,6,FALSE),"No")</f>
        <v>No</v>
      </c>
      <c r="O969" s="147"/>
      <c r="P969" s="148"/>
    </row>
    <row r="970" spans="1:16">
      <c r="A970" s="95" t="s">
        <v>2364</v>
      </c>
      <c r="B970" s="95" t="s">
        <v>888</v>
      </c>
      <c r="C970" s="4">
        <v>3941</v>
      </c>
      <c r="D970" s="95" t="s">
        <v>921</v>
      </c>
      <c r="E970" s="145">
        <v>581.14</v>
      </c>
      <c r="F970" s="145">
        <v>0</v>
      </c>
      <c r="G970" s="145">
        <v>0</v>
      </c>
      <c r="H970" s="145">
        <v>0</v>
      </c>
      <c r="I970" s="77">
        <f t="shared" si="18"/>
        <v>581.14</v>
      </c>
      <c r="J970" s="123" t="str">
        <f>IFERROR(VLOOKUP($C970,'CEDARS School FRPL'!C:H,4,FALSE),"No")</f>
        <v>No</v>
      </c>
      <c r="K970" s="109"/>
      <c r="L970" s="109"/>
      <c r="M970" s="110">
        <f>IFERROR(VLOOKUP($C970,'CEDARS School FRPL'!C:H,3,FALSE),0)</f>
        <v>3.676666666666667E-2</v>
      </c>
      <c r="N970" s="123" t="str">
        <f>IFERROR(VLOOKUP(C970,'CEDARS School FRPL'!C:H,6,FALSE),"No")</f>
        <v>No</v>
      </c>
      <c r="O970" s="147"/>
      <c r="P970" s="148"/>
    </row>
    <row r="971" spans="1:16">
      <c r="A971" s="95" t="s">
        <v>2364</v>
      </c>
      <c r="B971" s="95" t="s">
        <v>888</v>
      </c>
      <c r="C971" s="4">
        <v>4018</v>
      </c>
      <c r="D971" s="95" t="s">
        <v>922</v>
      </c>
      <c r="E971" s="145">
        <v>290.13</v>
      </c>
      <c r="F971" s="145">
        <v>0</v>
      </c>
      <c r="G971" s="145">
        <v>0</v>
      </c>
      <c r="H971" s="145">
        <v>0</v>
      </c>
      <c r="I971" s="77">
        <f t="shared" si="18"/>
        <v>290.13</v>
      </c>
      <c r="J971" s="123" t="str">
        <f>IFERROR(VLOOKUP($C971,'CEDARS School FRPL'!C:H,4,FALSE),"No")</f>
        <v>No</v>
      </c>
      <c r="K971" s="109"/>
      <c r="L971" s="109"/>
      <c r="M971" s="110">
        <f>IFERROR(VLOOKUP($C971,'CEDARS School FRPL'!C:H,3,FALSE),0)</f>
        <v>6.6100000000000006E-2</v>
      </c>
      <c r="N971" s="123" t="str">
        <f>IFERROR(VLOOKUP(C971,'CEDARS School FRPL'!C:H,6,FALSE),"No")</f>
        <v>No</v>
      </c>
      <c r="O971" s="147"/>
      <c r="P971" s="148"/>
    </row>
    <row r="972" spans="1:16">
      <c r="A972" s="95" t="s">
        <v>2364</v>
      </c>
      <c r="B972" s="95" t="s">
        <v>888</v>
      </c>
      <c r="C972" s="4">
        <v>4096</v>
      </c>
      <c r="D972" s="95" t="s">
        <v>923</v>
      </c>
      <c r="E972" s="145">
        <v>594.16999999999996</v>
      </c>
      <c r="F972" s="145">
        <v>0</v>
      </c>
      <c r="G972" s="145">
        <v>0</v>
      </c>
      <c r="H972" s="145">
        <v>0</v>
      </c>
      <c r="I972" s="77">
        <f t="shared" si="18"/>
        <v>594.16999999999996</v>
      </c>
      <c r="J972" s="123" t="str">
        <f>IFERROR(VLOOKUP($C972,'CEDARS School FRPL'!C:H,4,FALSE),"No")</f>
        <v>No</v>
      </c>
      <c r="K972" s="109"/>
      <c r="L972" s="109"/>
      <c r="M972" s="110">
        <f>IFERROR(VLOOKUP($C972,'CEDARS School FRPL'!C:H,3,FALSE),0)</f>
        <v>2.9833333333333333E-2</v>
      </c>
      <c r="N972" s="123" t="str">
        <f>IFERROR(VLOOKUP(C972,'CEDARS School FRPL'!C:H,6,FALSE),"No")</f>
        <v>No</v>
      </c>
      <c r="O972" s="147"/>
      <c r="P972" s="148"/>
    </row>
    <row r="973" spans="1:16">
      <c r="A973" s="95" t="s">
        <v>2364</v>
      </c>
      <c r="B973" s="95" t="s">
        <v>888</v>
      </c>
      <c r="C973" s="4">
        <v>4147</v>
      </c>
      <c r="D973" s="95" t="s">
        <v>924</v>
      </c>
      <c r="E973" s="145">
        <v>443.14</v>
      </c>
      <c r="F973" s="145">
        <v>0</v>
      </c>
      <c r="G973" s="145">
        <v>0</v>
      </c>
      <c r="H973" s="145">
        <v>0</v>
      </c>
      <c r="I973" s="77">
        <f t="shared" si="18"/>
        <v>443.14</v>
      </c>
      <c r="J973" s="123" t="str">
        <f>IFERROR(VLOOKUP($C973,'CEDARS School FRPL'!C:H,4,FALSE),"No")</f>
        <v>No</v>
      </c>
      <c r="K973" s="109"/>
      <c r="L973" s="109"/>
      <c r="M973" s="110">
        <f>IFERROR(VLOOKUP($C973,'CEDARS School FRPL'!C:H,3,FALSE),0)</f>
        <v>5.6833333333333326E-2</v>
      </c>
      <c r="N973" s="123" t="str">
        <f>IFERROR(VLOOKUP(C973,'CEDARS School FRPL'!C:H,6,FALSE),"No")</f>
        <v>No</v>
      </c>
      <c r="O973" s="147"/>
      <c r="P973" s="148"/>
    </row>
    <row r="974" spans="1:16">
      <c r="A974" s="95" t="s">
        <v>2364</v>
      </c>
      <c r="B974" s="95" t="s">
        <v>888</v>
      </c>
      <c r="C974" s="4">
        <v>4148</v>
      </c>
      <c r="D974" s="95" t="s">
        <v>925</v>
      </c>
      <c r="E974" s="145">
        <v>741.51</v>
      </c>
      <c r="F974" s="145">
        <v>0</v>
      </c>
      <c r="G974" s="145">
        <v>0</v>
      </c>
      <c r="H974" s="145">
        <v>0</v>
      </c>
      <c r="I974" s="77">
        <f t="shared" si="18"/>
        <v>741.51</v>
      </c>
      <c r="J974" s="123" t="str">
        <f>IFERROR(VLOOKUP($C974,'CEDARS School FRPL'!C:H,4,FALSE),"No")</f>
        <v>No</v>
      </c>
      <c r="K974" s="109"/>
      <c r="L974" s="109"/>
      <c r="M974" s="110">
        <f>IFERROR(VLOOKUP($C974,'CEDARS School FRPL'!C:H,3,FALSE),0)</f>
        <v>7.226666666666666E-2</v>
      </c>
      <c r="N974" s="123" t="str">
        <f>IFERROR(VLOOKUP(C974,'CEDARS School FRPL'!C:H,6,FALSE),"No")</f>
        <v>No</v>
      </c>
      <c r="O974" s="147"/>
      <c r="P974" s="148"/>
    </row>
    <row r="975" spans="1:16">
      <c r="A975" s="95" t="s">
        <v>2364</v>
      </c>
      <c r="B975" s="95" t="s">
        <v>888</v>
      </c>
      <c r="C975" s="4">
        <v>4167</v>
      </c>
      <c r="D975" s="95" t="s">
        <v>926</v>
      </c>
      <c r="E975" s="145">
        <v>88</v>
      </c>
      <c r="F975" s="145">
        <v>0</v>
      </c>
      <c r="G975" s="145">
        <v>0</v>
      </c>
      <c r="H975" s="145">
        <v>0</v>
      </c>
      <c r="I975" s="77">
        <f t="shared" si="18"/>
        <v>88</v>
      </c>
      <c r="J975" s="123" t="str">
        <f>IFERROR(VLOOKUP($C975,'CEDARS School FRPL'!C:H,4,FALSE),"No")</f>
        <v>No</v>
      </c>
      <c r="K975" s="109"/>
      <c r="L975" s="109"/>
      <c r="M975" s="110">
        <f>IFERROR(VLOOKUP($C975,'CEDARS School FRPL'!C:H,3,FALSE),0)</f>
        <v>0</v>
      </c>
      <c r="N975" s="123" t="str">
        <f>IFERROR(VLOOKUP(C975,'CEDARS School FRPL'!C:H,6,FALSE),"No")</f>
        <v>No</v>
      </c>
      <c r="O975" s="147"/>
      <c r="P975" s="148"/>
    </row>
    <row r="976" spans="1:16">
      <c r="A976" s="95" t="s">
        <v>2364</v>
      </c>
      <c r="B976" s="95" t="s">
        <v>888</v>
      </c>
      <c r="C976" s="4">
        <v>4256</v>
      </c>
      <c r="D976" s="95" t="s">
        <v>927</v>
      </c>
      <c r="E976" s="145">
        <v>579.86</v>
      </c>
      <c r="F976" s="145">
        <v>0</v>
      </c>
      <c r="G976" s="145">
        <v>0</v>
      </c>
      <c r="H976" s="145">
        <v>0</v>
      </c>
      <c r="I976" s="77">
        <f t="shared" si="18"/>
        <v>579.86</v>
      </c>
      <c r="J976" s="123" t="str">
        <f>IFERROR(VLOOKUP($C976,'CEDARS School FRPL'!C:H,4,FALSE),"No")</f>
        <v>No</v>
      </c>
      <c r="K976" s="109"/>
      <c r="L976" s="109"/>
      <c r="M976" s="110">
        <f>IFERROR(VLOOKUP($C976,'CEDARS School FRPL'!C:H,3,FALSE),0)</f>
        <v>3.0166666666666665E-2</v>
      </c>
      <c r="N976" s="123" t="str">
        <f>IFERROR(VLOOKUP(C976,'CEDARS School FRPL'!C:H,6,FALSE),"No")</f>
        <v>No</v>
      </c>
      <c r="O976" s="147"/>
      <c r="P976" s="148"/>
    </row>
    <row r="977" spans="1:16">
      <c r="A977" s="95" t="s">
        <v>2364</v>
      </c>
      <c r="B977" s="95" t="s">
        <v>888</v>
      </c>
      <c r="C977" s="4">
        <v>4302</v>
      </c>
      <c r="D977" s="95" t="s">
        <v>928</v>
      </c>
      <c r="E977" s="145">
        <v>609.86</v>
      </c>
      <c r="F977" s="145">
        <v>0</v>
      </c>
      <c r="G977" s="145">
        <v>0</v>
      </c>
      <c r="H977" s="145">
        <v>0</v>
      </c>
      <c r="I977" s="77">
        <f t="shared" si="18"/>
        <v>609.86</v>
      </c>
      <c r="J977" s="123" t="str">
        <f>IFERROR(VLOOKUP($C977,'CEDARS School FRPL'!C:H,4,FALSE),"No")</f>
        <v>No</v>
      </c>
      <c r="K977" s="109"/>
      <c r="L977" s="109"/>
      <c r="M977" s="110">
        <f>IFERROR(VLOOKUP($C977,'CEDARS School FRPL'!C:H,3,FALSE),0)</f>
        <v>1.3766666666666665E-2</v>
      </c>
      <c r="N977" s="123" t="str">
        <f>IFERROR(VLOOKUP(C977,'CEDARS School FRPL'!C:H,6,FALSE),"No")</f>
        <v>No</v>
      </c>
      <c r="O977" s="147"/>
      <c r="P977" s="148"/>
    </row>
    <row r="978" spans="1:16">
      <c r="A978" s="95" t="s">
        <v>2364</v>
      </c>
      <c r="B978" s="95" t="s">
        <v>888</v>
      </c>
      <c r="C978" s="4">
        <v>4336</v>
      </c>
      <c r="D978" s="95" t="s">
        <v>929</v>
      </c>
      <c r="E978" s="145">
        <v>308.19</v>
      </c>
      <c r="F978" s="145">
        <v>0</v>
      </c>
      <c r="G978" s="145">
        <v>0</v>
      </c>
      <c r="H978" s="145">
        <v>0</v>
      </c>
      <c r="I978" s="77">
        <f t="shared" si="18"/>
        <v>308.19</v>
      </c>
      <c r="J978" s="123" t="str">
        <f>IFERROR(VLOOKUP($C978,'CEDARS School FRPL'!C:H,4,FALSE),"No")</f>
        <v>No</v>
      </c>
      <c r="K978" s="109"/>
      <c r="L978" s="109"/>
      <c r="M978" s="110">
        <f>IFERROR(VLOOKUP($C978,'CEDARS School FRPL'!C:H,3,FALSE),0)</f>
        <v>2.6400000000000003E-2</v>
      </c>
      <c r="N978" s="123" t="str">
        <f>IFERROR(VLOOKUP(C978,'CEDARS School FRPL'!C:H,6,FALSE),"No")</f>
        <v>No</v>
      </c>
      <c r="O978" s="147"/>
      <c r="P978" s="148"/>
    </row>
    <row r="979" spans="1:16">
      <c r="A979" s="95" t="s">
        <v>2364</v>
      </c>
      <c r="B979" s="95" t="s">
        <v>888</v>
      </c>
      <c r="C979" s="4">
        <v>4354</v>
      </c>
      <c r="D979" s="95" t="s">
        <v>930</v>
      </c>
      <c r="E979" s="145">
        <v>483.43</v>
      </c>
      <c r="F979" s="145">
        <v>0</v>
      </c>
      <c r="G979" s="145">
        <v>0</v>
      </c>
      <c r="H979" s="145">
        <v>0</v>
      </c>
      <c r="I979" s="77">
        <f t="shared" si="18"/>
        <v>483.43</v>
      </c>
      <c r="J979" s="123" t="str">
        <f>IFERROR(VLOOKUP($C979,'CEDARS School FRPL'!C:H,4,FALSE),"No")</f>
        <v>No</v>
      </c>
      <c r="K979" s="109"/>
      <c r="L979" s="109"/>
      <c r="M979" s="110">
        <f>IFERROR(VLOOKUP($C979,'CEDARS School FRPL'!C:H,3,FALSE),0)</f>
        <v>1.6899999999999998E-2</v>
      </c>
      <c r="N979" s="123" t="str">
        <f>IFERROR(VLOOKUP(C979,'CEDARS School FRPL'!C:H,6,FALSE),"No")</f>
        <v>No</v>
      </c>
      <c r="O979" s="147"/>
      <c r="P979" s="148"/>
    </row>
    <row r="980" spans="1:16">
      <c r="A980" s="95" t="s">
        <v>2364</v>
      </c>
      <c r="B980" s="95" t="s">
        <v>888</v>
      </c>
      <c r="C980" s="4">
        <v>4386</v>
      </c>
      <c r="D980" s="95" t="s">
        <v>931</v>
      </c>
      <c r="E980" s="145">
        <v>1175.3699999999999</v>
      </c>
      <c r="F980" s="145">
        <v>0</v>
      </c>
      <c r="G980" s="145">
        <v>0</v>
      </c>
      <c r="H980" s="145">
        <v>0</v>
      </c>
      <c r="I980" s="77">
        <f t="shared" si="18"/>
        <v>1175.3699999999999</v>
      </c>
      <c r="J980" s="123" t="str">
        <f>IFERROR(VLOOKUP($C980,'CEDARS School FRPL'!C:H,4,FALSE),"No")</f>
        <v>No</v>
      </c>
      <c r="K980" s="109"/>
      <c r="L980" s="109"/>
      <c r="M980" s="110">
        <f>IFERROR(VLOOKUP($C980,'CEDARS School FRPL'!C:H,3,FALSE),0)</f>
        <v>3.203333333333333E-2</v>
      </c>
      <c r="N980" s="123" t="str">
        <f>IFERROR(VLOOKUP(C980,'CEDARS School FRPL'!C:H,6,FALSE),"No")</f>
        <v>No</v>
      </c>
      <c r="O980" s="147"/>
      <c r="P980" s="148"/>
    </row>
    <row r="981" spans="1:16">
      <c r="A981" s="95" t="s">
        <v>2364</v>
      </c>
      <c r="B981" s="95" t="s">
        <v>888</v>
      </c>
      <c r="C981" s="4">
        <v>4424</v>
      </c>
      <c r="D981" s="95" t="s">
        <v>932</v>
      </c>
      <c r="E981" s="145">
        <v>477.13</v>
      </c>
      <c r="F981" s="145">
        <v>0</v>
      </c>
      <c r="G981" s="145">
        <v>0</v>
      </c>
      <c r="H981" s="145">
        <v>0</v>
      </c>
      <c r="I981" s="77">
        <f t="shared" si="18"/>
        <v>477.13</v>
      </c>
      <c r="J981" s="123" t="str">
        <f>IFERROR(VLOOKUP($C981,'CEDARS School FRPL'!C:H,4,FALSE),"No")</f>
        <v>No</v>
      </c>
      <c r="K981" s="109"/>
      <c r="L981" s="109"/>
      <c r="M981" s="110">
        <f>IFERROR(VLOOKUP($C981,'CEDARS School FRPL'!C:H,3,FALSE),0)</f>
        <v>0.14673333333333335</v>
      </c>
      <c r="N981" s="123" t="str">
        <f>IFERROR(VLOOKUP(C981,'CEDARS School FRPL'!C:H,6,FALSE),"No")</f>
        <v>No</v>
      </c>
      <c r="O981" s="147"/>
      <c r="P981" s="148"/>
    </row>
    <row r="982" spans="1:16">
      <c r="A982" s="95" t="s">
        <v>2364</v>
      </c>
      <c r="B982" s="95" t="s">
        <v>888</v>
      </c>
      <c r="C982" s="4">
        <v>4439</v>
      </c>
      <c r="D982" s="95" t="s">
        <v>933</v>
      </c>
      <c r="E982" s="145">
        <v>2119.4499999999998</v>
      </c>
      <c r="F982" s="145">
        <v>130.66</v>
      </c>
      <c r="G982" s="145">
        <v>0</v>
      </c>
      <c r="H982" s="145">
        <v>0</v>
      </c>
      <c r="I982" s="77">
        <f t="shared" si="18"/>
        <v>2250.1099999999997</v>
      </c>
      <c r="J982" s="123" t="str">
        <f>IFERROR(VLOOKUP($C982,'CEDARS School FRPL'!C:H,4,FALSE),"No")</f>
        <v>No</v>
      </c>
      <c r="K982" s="109"/>
      <c r="L982" s="109"/>
      <c r="M982" s="110">
        <f>IFERROR(VLOOKUP($C982,'CEDARS School FRPL'!C:H,3,FALSE),0)</f>
        <v>3.266666666666667E-2</v>
      </c>
      <c r="N982" s="123" t="str">
        <f>IFERROR(VLOOKUP(C982,'CEDARS School FRPL'!C:H,6,FALSE),"No")</f>
        <v>No</v>
      </c>
      <c r="O982" s="147"/>
      <c r="P982" s="148"/>
    </row>
    <row r="983" spans="1:16">
      <c r="A983" s="95" t="s">
        <v>2364</v>
      </c>
      <c r="B983" s="95" t="s">
        <v>888</v>
      </c>
      <c r="C983" s="4">
        <v>4532</v>
      </c>
      <c r="D983" s="95" t="s">
        <v>934</v>
      </c>
      <c r="E983" s="145">
        <v>473.06</v>
      </c>
      <c r="F983" s="145">
        <v>0</v>
      </c>
      <c r="G983" s="145">
        <v>0</v>
      </c>
      <c r="H983" s="145">
        <v>0</v>
      </c>
      <c r="I983" s="77">
        <f t="shared" si="18"/>
        <v>473.06</v>
      </c>
      <c r="J983" s="123" t="str">
        <f>IFERROR(VLOOKUP($C983,'CEDARS School FRPL'!C:H,4,FALSE),"No")</f>
        <v>No</v>
      </c>
      <c r="K983" s="109"/>
      <c r="L983" s="109"/>
      <c r="M983" s="110">
        <f>IFERROR(VLOOKUP($C983,'CEDARS School FRPL'!C:H,3,FALSE),0)</f>
        <v>1.5133333333333332E-2</v>
      </c>
      <c r="N983" s="123" t="str">
        <f>IFERROR(VLOOKUP(C983,'CEDARS School FRPL'!C:H,6,FALSE),"No")</f>
        <v>No</v>
      </c>
      <c r="O983" s="147"/>
      <c r="P983" s="148"/>
    </row>
    <row r="984" spans="1:16">
      <c r="A984" s="95" t="s">
        <v>2364</v>
      </c>
      <c r="B984" s="95" t="s">
        <v>888</v>
      </c>
      <c r="C984" s="4">
        <v>5053</v>
      </c>
      <c r="D984" s="95" t="s">
        <v>935</v>
      </c>
      <c r="E984" s="145">
        <v>540.98</v>
      </c>
      <c r="F984" s="145">
        <v>0</v>
      </c>
      <c r="G984" s="145">
        <v>0</v>
      </c>
      <c r="H984" s="145">
        <v>0</v>
      </c>
      <c r="I984" s="77">
        <f t="shared" si="18"/>
        <v>540.98</v>
      </c>
      <c r="J984" s="123" t="str">
        <f>IFERROR(VLOOKUP($C984,'CEDARS School FRPL'!C:H,4,FALSE),"No")</f>
        <v>No</v>
      </c>
      <c r="K984" s="109"/>
      <c r="L984" s="109"/>
      <c r="M984" s="110">
        <f>IFERROR(VLOOKUP($C984,'CEDARS School FRPL'!C:H,3,FALSE),0)</f>
        <v>2.3533333333333333E-2</v>
      </c>
      <c r="N984" s="123" t="str">
        <f>IFERROR(VLOOKUP(C984,'CEDARS School FRPL'!C:H,6,FALSE),"No")</f>
        <v>No</v>
      </c>
      <c r="O984" s="147"/>
      <c r="P984" s="148"/>
    </row>
    <row r="985" spans="1:16">
      <c r="A985" s="95" t="s">
        <v>2364</v>
      </c>
      <c r="B985" s="95" t="s">
        <v>888</v>
      </c>
      <c r="C985" s="4">
        <v>5057</v>
      </c>
      <c r="D985" s="95" t="s">
        <v>936</v>
      </c>
      <c r="E985" s="145">
        <v>93.59</v>
      </c>
      <c r="F985" s="145">
        <v>0</v>
      </c>
      <c r="G985" s="145">
        <v>0</v>
      </c>
      <c r="H985" s="145">
        <v>0</v>
      </c>
      <c r="I985" s="77">
        <f t="shared" si="18"/>
        <v>93.59</v>
      </c>
      <c r="J985" s="123" t="str">
        <f>IFERROR(VLOOKUP($C985,'CEDARS School FRPL'!C:H,4,FALSE),"No")</f>
        <v>No</v>
      </c>
      <c r="K985" s="109"/>
      <c r="L985" s="109"/>
      <c r="M985" s="110">
        <f>IFERROR(VLOOKUP($C985,'CEDARS School FRPL'!C:H,3,FALSE),0)</f>
        <v>6.1766666666666664E-2</v>
      </c>
      <c r="N985" s="123" t="str">
        <f>IFERROR(VLOOKUP(C985,'CEDARS School FRPL'!C:H,6,FALSE),"No")</f>
        <v>No</v>
      </c>
      <c r="O985" s="147"/>
      <c r="P985" s="148"/>
    </row>
    <row r="986" spans="1:16">
      <c r="A986" s="95" t="s">
        <v>2364</v>
      </c>
      <c r="B986" s="95" t="s">
        <v>888</v>
      </c>
      <c r="C986" s="4">
        <v>5139</v>
      </c>
      <c r="D986" s="95" t="s">
        <v>937</v>
      </c>
      <c r="E986" s="145">
        <v>449.36</v>
      </c>
      <c r="F986" s="145">
        <v>0</v>
      </c>
      <c r="G986" s="145">
        <v>0</v>
      </c>
      <c r="H986" s="145">
        <v>0</v>
      </c>
      <c r="I986" s="77">
        <f t="shared" si="18"/>
        <v>449.36</v>
      </c>
      <c r="J986" s="123" t="str">
        <f>IFERROR(VLOOKUP($C986,'CEDARS School FRPL'!C:H,4,FALSE),"No")</f>
        <v>No</v>
      </c>
      <c r="K986" s="109"/>
      <c r="L986" s="109"/>
      <c r="M986" s="110">
        <f>IFERROR(VLOOKUP($C986,'CEDARS School FRPL'!C:H,3,FALSE),0)</f>
        <v>2.0933333333333332E-2</v>
      </c>
      <c r="N986" s="123" t="str">
        <f>IFERROR(VLOOKUP(C986,'CEDARS School FRPL'!C:H,6,FALSE),"No")</f>
        <v>No</v>
      </c>
      <c r="O986" s="147"/>
      <c r="P986" s="148"/>
    </row>
    <row r="987" spans="1:16">
      <c r="A987" s="95" t="s">
        <v>2364</v>
      </c>
      <c r="B987" s="95" t="s">
        <v>888</v>
      </c>
      <c r="C987" s="4">
        <v>5265</v>
      </c>
      <c r="D987" s="95" t="s">
        <v>938</v>
      </c>
      <c r="E987" s="145">
        <v>606.73</v>
      </c>
      <c r="F987" s="145">
        <v>0</v>
      </c>
      <c r="G987" s="145">
        <v>0</v>
      </c>
      <c r="H987" s="145">
        <v>0</v>
      </c>
      <c r="I987" s="77">
        <f t="shared" si="18"/>
        <v>606.73</v>
      </c>
      <c r="J987" s="123" t="str">
        <f>IFERROR(VLOOKUP($C987,'CEDARS School FRPL'!C:H,4,FALSE),"No")</f>
        <v>No</v>
      </c>
      <c r="K987" s="107"/>
      <c r="L987" s="107"/>
      <c r="M987" s="110">
        <f>IFERROR(VLOOKUP($C987,'CEDARS School FRPL'!C:H,3,FALSE),0)</f>
        <v>1.8133333333333335E-2</v>
      </c>
      <c r="N987" s="123" t="str">
        <f>IFERROR(VLOOKUP(C987,'CEDARS School FRPL'!C:H,6,FALSE),"No")</f>
        <v>No</v>
      </c>
      <c r="O987" s="147"/>
      <c r="P987" s="148"/>
    </row>
    <row r="988" spans="1:16">
      <c r="A988" s="95" t="s">
        <v>2364</v>
      </c>
      <c r="B988" s="95" t="s">
        <v>888</v>
      </c>
      <c r="C988" s="4">
        <v>5511</v>
      </c>
      <c r="D988" s="95" t="s">
        <v>2805</v>
      </c>
      <c r="E988" s="145">
        <v>515.94000000000005</v>
      </c>
      <c r="F988" s="145">
        <v>0</v>
      </c>
      <c r="G988" s="145">
        <v>0</v>
      </c>
      <c r="H988" s="145">
        <v>0</v>
      </c>
      <c r="I988" s="77">
        <f t="shared" si="18"/>
        <v>515.94000000000005</v>
      </c>
      <c r="J988" s="123" t="str">
        <f>IFERROR(VLOOKUP($C988,'CEDARS School FRPL'!C:H,4,FALSE),"No")</f>
        <v>No</v>
      </c>
      <c r="K988" s="109"/>
      <c r="L988" s="109"/>
      <c r="M988" s="110">
        <f>IFERROR(VLOOKUP($C988,'CEDARS School FRPL'!C:H,3,FALSE),0)</f>
        <v>0.14229999999999998</v>
      </c>
      <c r="N988" s="123" t="str">
        <f>IFERROR(VLOOKUP(C988,'CEDARS School FRPL'!C:H,6,FALSE),"No")</f>
        <v>No</v>
      </c>
      <c r="O988" s="147"/>
      <c r="P988" s="148"/>
    </row>
    <row r="989" spans="1:16">
      <c r="A989" s="95" t="s">
        <v>2364</v>
      </c>
      <c r="B989" s="95" t="s">
        <v>888</v>
      </c>
      <c r="C989" s="4">
        <v>5512</v>
      </c>
      <c r="D989" s="95" t="s">
        <v>2806</v>
      </c>
      <c r="E989" s="145">
        <v>468.29</v>
      </c>
      <c r="F989" s="145">
        <v>0</v>
      </c>
      <c r="G989" s="145">
        <v>0</v>
      </c>
      <c r="H989" s="145">
        <v>0</v>
      </c>
      <c r="I989" s="77">
        <f t="shared" si="18"/>
        <v>468.29</v>
      </c>
      <c r="J989" s="123" t="str">
        <f>IFERROR(VLOOKUP($C989,'CEDARS School FRPL'!C:H,4,FALSE),"No")</f>
        <v>No</v>
      </c>
      <c r="K989" s="109"/>
      <c r="L989" s="109"/>
      <c r="M989" s="110">
        <f>IFERROR(VLOOKUP($C989,'CEDARS School FRPL'!C:H,3,FALSE),0)</f>
        <v>0.11509999999999999</v>
      </c>
      <c r="N989" s="123" t="str">
        <f>IFERROR(VLOOKUP(C989,'CEDARS School FRPL'!C:H,6,FALSE),"No")</f>
        <v>No</v>
      </c>
      <c r="O989" s="147"/>
      <c r="P989" s="148"/>
    </row>
    <row r="990" spans="1:16">
      <c r="A990" s="95" t="s">
        <v>2364</v>
      </c>
      <c r="B990" s="95" t="s">
        <v>888</v>
      </c>
      <c r="C990" s="4">
        <v>5597</v>
      </c>
      <c r="D990" s="95" t="s">
        <v>2828</v>
      </c>
      <c r="E990" s="145">
        <v>776.17</v>
      </c>
      <c r="F990" s="145">
        <v>0</v>
      </c>
      <c r="G990" s="145">
        <v>0</v>
      </c>
      <c r="H990" s="145">
        <v>0</v>
      </c>
      <c r="I990" s="77">
        <f t="shared" si="18"/>
        <v>776.17</v>
      </c>
      <c r="J990" s="123" t="str">
        <f>IFERROR(VLOOKUP($C990,'CEDARS School FRPL'!C:H,4,FALSE),"No")</f>
        <v>No</v>
      </c>
      <c r="K990" s="109"/>
      <c r="L990" s="109"/>
      <c r="M990" s="110">
        <f>IFERROR(VLOOKUP($C990,'CEDARS School FRPL'!C:H,3,FALSE),0)</f>
        <v>7.3666666666666672E-2</v>
      </c>
      <c r="N990" s="123" t="str">
        <f>IFERROR(VLOOKUP(C990,'CEDARS School FRPL'!C:H,6,FALSE),"No")</f>
        <v>No</v>
      </c>
      <c r="O990" s="147"/>
      <c r="P990" s="148"/>
    </row>
    <row r="991" spans="1:16">
      <c r="A991" s="95" t="s">
        <v>2364</v>
      </c>
      <c r="B991" s="95" t="s">
        <v>888</v>
      </c>
      <c r="C991" s="4">
        <v>5678</v>
      </c>
      <c r="D991" s="95" t="s">
        <v>3024</v>
      </c>
      <c r="E991" s="145">
        <v>1102.69</v>
      </c>
      <c r="F991" s="145">
        <v>1.78</v>
      </c>
      <c r="G991" s="145">
        <v>0</v>
      </c>
      <c r="H991" s="145">
        <v>0</v>
      </c>
      <c r="I991" s="77">
        <f t="shared" si="18"/>
        <v>1104.47</v>
      </c>
      <c r="J991" s="123" t="str">
        <f>IFERROR(VLOOKUP($C991,'CEDARS School FRPL'!C:H,4,FALSE),"No")</f>
        <v>No</v>
      </c>
      <c r="K991" s="109"/>
      <c r="L991" s="109"/>
      <c r="M991" s="110">
        <f>IFERROR(VLOOKUP($C991,'CEDARS School FRPL'!C:H,3,FALSE),0)</f>
        <v>7.2099999999999997E-2</v>
      </c>
      <c r="N991" s="123" t="str">
        <f>IFERROR(VLOOKUP(C991,'CEDARS School FRPL'!C:H,6,FALSE),"No")</f>
        <v>No</v>
      </c>
      <c r="O991" s="147"/>
      <c r="P991" s="148"/>
    </row>
    <row r="992" spans="1:16">
      <c r="A992" s="95" t="s">
        <v>2364</v>
      </c>
      <c r="B992" s="95" t="s">
        <v>888</v>
      </c>
      <c r="C992" s="4">
        <v>5958</v>
      </c>
      <c r="D992" s="95" t="s">
        <v>2722</v>
      </c>
      <c r="E992" s="145">
        <v>311.39999999999998</v>
      </c>
      <c r="F992" s="145">
        <v>0</v>
      </c>
      <c r="G992" s="145">
        <v>0</v>
      </c>
      <c r="H992" s="145">
        <v>0</v>
      </c>
      <c r="I992" s="77">
        <f t="shared" si="18"/>
        <v>311.39999999999998</v>
      </c>
      <c r="J992" s="123" t="str">
        <f>IFERROR(VLOOKUP($C992,'CEDARS School FRPL'!C:H,4,FALSE),"No")</f>
        <v>No</v>
      </c>
      <c r="K992" s="109"/>
      <c r="L992" s="109"/>
      <c r="M992" s="110">
        <f>IFERROR(VLOOKUP($C992,'CEDARS School FRPL'!C:H,3,FALSE),0)</f>
        <v>6.133333333333333E-2</v>
      </c>
      <c r="N992" s="123" t="str">
        <f>IFERROR(VLOOKUP(C992,'CEDARS School FRPL'!C:H,6,FALSE),"No")</f>
        <v>No</v>
      </c>
      <c r="O992" s="147"/>
      <c r="P992" s="148"/>
    </row>
    <row r="993" spans="1:16">
      <c r="A993" s="95" t="s">
        <v>2481</v>
      </c>
      <c r="B993" s="95" t="s">
        <v>1740</v>
      </c>
      <c r="C993" s="4">
        <v>3255</v>
      </c>
      <c r="D993" s="95" t="s">
        <v>1741</v>
      </c>
      <c r="E993" s="145">
        <v>426.69</v>
      </c>
      <c r="F993" s="145">
        <v>0</v>
      </c>
      <c r="G993" s="145">
        <v>0</v>
      </c>
      <c r="H993" s="145">
        <v>0</v>
      </c>
      <c r="I993" s="77">
        <f t="shared" si="18"/>
        <v>426.69</v>
      </c>
      <c r="J993" s="123" t="str">
        <f>IFERROR(VLOOKUP($C993,'CEDARS School FRPL'!C:H,4,FALSE),"No")</f>
        <v>No</v>
      </c>
      <c r="K993" s="109"/>
      <c r="L993" s="109"/>
      <c r="M993" s="110">
        <f>IFERROR(VLOOKUP($C993,'CEDARS School FRPL'!C:H,3,FALSE),0)</f>
        <v>0.45460000000000006</v>
      </c>
      <c r="N993" s="123" t="str">
        <f>IFERROR(VLOOKUP(C993,'CEDARS School FRPL'!C:H,6,FALSE),"No")</f>
        <v>No</v>
      </c>
      <c r="O993" s="147"/>
      <c r="P993" s="148"/>
    </row>
    <row r="994" spans="1:16">
      <c r="A994" s="95" t="s">
        <v>2481</v>
      </c>
      <c r="B994" s="95" t="s">
        <v>1740</v>
      </c>
      <c r="C994" s="4">
        <v>3893</v>
      </c>
      <c r="D994" s="95" t="s">
        <v>1742</v>
      </c>
      <c r="E994" s="145">
        <v>582.16999999999996</v>
      </c>
      <c r="F994" s="145">
        <v>0</v>
      </c>
      <c r="G994" s="145">
        <v>0</v>
      </c>
      <c r="H994" s="145">
        <v>0</v>
      </c>
      <c r="I994" s="77">
        <f t="shared" si="18"/>
        <v>582.16999999999996</v>
      </c>
      <c r="J994" s="123" t="str">
        <f>IFERROR(VLOOKUP($C994,'CEDARS School FRPL'!C:H,4,FALSE),"No")</f>
        <v>No</v>
      </c>
      <c r="K994" s="109"/>
      <c r="L994" s="109"/>
      <c r="M994" s="110">
        <f>IFERROR(VLOOKUP($C994,'CEDARS School FRPL'!C:H,3,FALSE),0)</f>
        <v>0.42073333333333335</v>
      </c>
      <c r="N994" s="123" t="str">
        <f>IFERROR(VLOOKUP(C994,'CEDARS School FRPL'!C:H,6,FALSE),"No")</f>
        <v>No</v>
      </c>
      <c r="O994" s="147"/>
      <c r="P994" s="148"/>
    </row>
    <row r="995" spans="1:16">
      <c r="A995" s="95" t="s">
        <v>2481</v>
      </c>
      <c r="B995" s="95" t="s">
        <v>1740</v>
      </c>
      <c r="C995" s="4">
        <v>4204</v>
      </c>
      <c r="D995" s="95" t="s">
        <v>1743</v>
      </c>
      <c r="E995" s="145">
        <v>787.31</v>
      </c>
      <c r="F995" s="145">
        <v>33.480000000000004</v>
      </c>
      <c r="G995" s="145">
        <v>0</v>
      </c>
      <c r="H995" s="145">
        <v>0</v>
      </c>
      <c r="I995" s="77">
        <f t="shared" si="18"/>
        <v>820.79</v>
      </c>
      <c r="J995" s="123" t="str">
        <f>IFERROR(VLOOKUP($C995,'CEDARS School FRPL'!C:H,4,FALSE),"No")</f>
        <v>No</v>
      </c>
      <c r="K995" s="109"/>
      <c r="L995" s="109"/>
      <c r="M995" s="110">
        <f>IFERROR(VLOOKUP($C995,'CEDARS School FRPL'!C:H,3,FALSE),0)</f>
        <v>0.3508</v>
      </c>
      <c r="N995" s="123" t="str">
        <f>IFERROR(VLOOKUP(C995,'CEDARS School FRPL'!C:H,6,FALSE),"No")</f>
        <v>No</v>
      </c>
      <c r="O995" s="147"/>
      <c r="P995" s="148"/>
    </row>
    <row r="996" spans="1:16">
      <c r="A996" s="95" t="s">
        <v>2481</v>
      </c>
      <c r="B996" s="95" t="s">
        <v>1740</v>
      </c>
      <c r="C996" s="4">
        <v>4477</v>
      </c>
      <c r="D996" s="95" t="s">
        <v>1744</v>
      </c>
      <c r="E996" s="145">
        <v>329.33</v>
      </c>
      <c r="F996" s="145">
        <v>0</v>
      </c>
      <c r="G996" s="145">
        <v>0</v>
      </c>
      <c r="H996" s="145">
        <v>0</v>
      </c>
      <c r="I996" s="77">
        <f t="shared" si="18"/>
        <v>329.33</v>
      </c>
      <c r="J996" s="123" t="str">
        <f>IFERROR(VLOOKUP($C996,'CEDARS School FRPL'!C:H,4,FALSE),"No")</f>
        <v>No</v>
      </c>
      <c r="K996" s="109"/>
      <c r="L996" s="109"/>
      <c r="M996" s="110">
        <f>IFERROR(VLOOKUP($C996,'CEDARS School FRPL'!C:H,3,FALSE),0)</f>
        <v>0.45166666666666666</v>
      </c>
      <c r="N996" s="123" t="str">
        <f>IFERROR(VLOOKUP(C996,'CEDARS School FRPL'!C:H,6,FALSE),"No")</f>
        <v>No</v>
      </c>
      <c r="O996" s="147"/>
      <c r="P996" s="148"/>
    </row>
    <row r="997" spans="1:16">
      <c r="A997" s="95" t="s">
        <v>2481</v>
      </c>
      <c r="B997" s="95" t="s">
        <v>1740</v>
      </c>
      <c r="C997" s="4">
        <v>4576</v>
      </c>
      <c r="D997" s="95" t="s">
        <v>1745</v>
      </c>
      <c r="E997" s="145">
        <v>376.95</v>
      </c>
      <c r="F997" s="145">
        <v>0</v>
      </c>
      <c r="G997" s="145">
        <v>0</v>
      </c>
      <c r="H997" s="145">
        <v>0</v>
      </c>
      <c r="I997" s="77">
        <f t="shared" si="18"/>
        <v>376.95</v>
      </c>
      <c r="J997" s="123" t="str">
        <f>IFERROR(VLOOKUP($C997,'CEDARS School FRPL'!C:H,4,FALSE),"No")</f>
        <v>No</v>
      </c>
      <c r="K997" s="109"/>
      <c r="L997" s="109"/>
      <c r="M997" s="110">
        <f>IFERROR(VLOOKUP($C997,'CEDARS School FRPL'!C:H,3,FALSE),0)</f>
        <v>0.3715</v>
      </c>
      <c r="N997" s="123" t="str">
        <f>IFERROR(VLOOKUP(C997,'CEDARS School FRPL'!C:H,6,FALSE),"No")</f>
        <v>No</v>
      </c>
      <c r="O997" s="147"/>
      <c r="P997" s="148"/>
    </row>
    <row r="998" spans="1:16">
      <c r="A998" s="95" t="s">
        <v>2541</v>
      </c>
      <c r="B998" s="95" t="s">
        <v>2133</v>
      </c>
      <c r="C998" s="4">
        <v>3137</v>
      </c>
      <c r="D998" s="95" t="s">
        <v>2134</v>
      </c>
      <c r="E998" s="145">
        <v>36.29</v>
      </c>
      <c r="F998" s="145">
        <v>0</v>
      </c>
      <c r="G998" s="145">
        <v>0</v>
      </c>
      <c r="H998" s="145">
        <v>0</v>
      </c>
      <c r="I998" s="77">
        <f t="shared" si="18"/>
        <v>36.29</v>
      </c>
      <c r="J998" s="123" t="str">
        <f>IFERROR(VLOOKUP($C998,'CEDARS School FRPL'!C:H,4,FALSE),"No")</f>
        <v>Yes</v>
      </c>
      <c r="K998" s="109"/>
      <c r="L998" s="109"/>
      <c r="M998" s="110">
        <f>IFERROR(VLOOKUP($C998,'CEDARS School FRPL'!C:H,3,FALSE),0)</f>
        <v>0.57726666666666671</v>
      </c>
      <c r="N998" s="123" t="str">
        <f>IFERROR(VLOOKUP(C998,'CEDARS School FRPL'!C:H,6,FALSE),"No")</f>
        <v>No</v>
      </c>
      <c r="O998" s="147"/>
      <c r="P998" s="148"/>
    </row>
    <row r="999" spans="1:16">
      <c r="A999" s="95" t="s">
        <v>2496</v>
      </c>
      <c r="B999" s="95" t="s">
        <v>1895</v>
      </c>
      <c r="C999" s="4">
        <v>3416</v>
      </c>
      <c r="D999" s="95" t="s">
        <v>1896</v>
      </c>
      <c r="E999" s="145">
        <v>168.75</v>
      </c>
      <c r="F999" s="145">
        <v>7.37</v>
      </c>
      <c r="G999" s="145">
        <v>0</v>
      </c>
      <c r="H999" s="145">
        <v>0</v>
      </c>
      <c r="I999" s="77">
        <f t="shared" si="18"/>
        <v>176.12</v>
      </c>
      <c r="J999" s="123" t="str">
        <f>IFERROR(VLOOKUP($C999,'CEDARS School FRPL'!C:H,4,FALSE),"No")</f>
        <v>No</v>
      </c>
      <c r="K999" s="109"/>
      <c r="L999" s="109"/>
      <c r="M999" s="110">
        <f>IFERROR(VLOOKUP($C999,'CEDARS School FRPL'!C:H,3,FALSE),0)</f>
        <v>0.27046666666666669</v>
      </c>
      <c r="N999" s="123" t="str">
        <f>IFERROR(VLOOKUP(C999,'CEDARS School FRPL'!C:H,6,FALSE),"No")</f>
        <v>No</v>
      </c>
      <c r="O999" s="147"/>
      <c r="P999" s="148"/>
    </row>
    <row r="1000" spans="1:16">
      <c r="A1000" s="95" t="s">
        <v>2496</v>
      </c>
      <c r="B1000" s="95" t="s">
        <v>1895</v>
      </c>
      <c r="C1000" s="4">
        <v>4226</v>
      </c>
      <c r="D1000" s="95" t="s">
        <v>1897</v>
      </c>
      <c r="E1000" s="145">
        <v>390.59</v>
      </c>
      <c r="F1000" s="145">
        <v>0</v>
      </c>
      <c r="G1000" s="145">
        <v>0</v>
      </c>
      <c r="H1000" s="145">
        <v>0</v>
      </c>
      <c r="I1000" s="77">
        <f t="shared" si="18"/>
        <v>390.59</v>
      </c>
      <c r="J1000" s="123" t="str">
        <f>IFERROR(VLOOKUP($C1000,'CEDARS School FRPL'!C:H,4,FALSE),"No")</f>
        <v>No</v>
      </c>
      <c r="K1000" s="109"/>
      <c r="L1000" s="109"/>
      <c r="M1000" s="110">
        <f>IFERROR(VLOOKUP($C1000,'CEDARS School FRPL'!C:H,3,FALSE),0)</f>
        <v>0.32503333333333334</v>
      </c>
      <c r="N1000" s="123" t="str">
        <f>IFERROR(VLOOKUP(C1000,'CEDARS School FRPL'!C:H,6,FALSE),"No")</f>
        <v>No</v>
      </c>
      <c r="O1000" s="147"/>
      <c r="P1000" s="148"/>
    </row>
    <row r="1001" spans="1:16">
      <c r="A1001" s="95" t="s">
        <v>2260</v>
      </c>
      <c r="B1001" s="95" t="s">
        <v>12</v>
      </c>
      <c r="C1001" s="4">
        <v>2903</v>
      </c>
      <c r="D1001" s="95" t="s">
        <v>13</v>
      </c>
      <c r="E1001" s="145">
        <v>50.86</v>
      </c>
      <c r="F1001" s="145">
        <v>1</v>
      </c>
      <c r="G1001" s="145">
        <v>0</v>
      </c>
      <c r="H1001" s="145">
        <v>0</v>
      </c>
      <c r="I1001" s="77">
        <f t="shared" si="18"/>
        <v>51.86</v>
      </c>
      <c r="J1001" s="123" t="str">
        <f>IFERROR(VLOOKUP($C1001,'CEDARS School FRPL'!C:H,4,FALSE),"No")</f>
        <v>Yes</v>
      </c>
      <c r="K1001" s="109"/>
      <c r="L1001" s="109"/>
      <c r="M1001" s="110">
        <f>IFERROR(VLOOKUP($C1001,'CEDARS School FRPL'!C:H,3,FALSE),0)</f>
        <v>0.71896666666666664</v>
      </c>
      <c r="N1001" s="123" t="str">
        <f>IFERROR(VLOOKUP(C1001,'CEDARS School FRPL'!C:H,6,FALSE),"No")</f>
        <v>No</v>
      </c>
      <c r="O1001" s="147"/>
      <c r="P1001" s="148"/>
    </row>
    <row r="1002" spans="1:16">
      <c r="A1002" s="95" t="s">
        <v>2260</v>
      </c>
      <c r="B1002" s="95" t="s">
        <v>12</v>
      </c>
      <c r="C1002" s="4">
        <v>3421</v>
      </c>
      <c r="D1002" s="95" t="s">
        <v>14</v>
      </c>
      <c r="E1002" s="145">
        <v>92.71</v>
      </c>
      <c r="F1002" s="145">
        <v>0</v>
      </c>
      <c r="G1002" s="145">
        <v>0</v>
      </c>
      <c r="H1002" s="145">
        <v>0</v>
      </c>
      <c r="I1002" s="77">
        <f t="shared" si="18"/>
        <v>92.71</v>
      </c>
      <c r="J1002" s="123" t="str">
        <f>IFERROR(VLOOKUP($C1002,'CEDARS School FRPL'!C:H,4,FALSE),"No")</f>
        <v>Yes</v>
      </c>
      <c r="K1002" s="109"/>
      <c r="L1002" s="109"/>
      <c r="M1002" s="110">
        <f>IFERROR(VLOOKUP($C1002,'CEDARS School FRPL'!C:H,3,FALSE),0)</f>
        <v>0.66849999999999998</v>
      </c>
      <c r="N1002" s="123" t="str">
        <f>IFERROR(VLOOKUP(C1002,'CEDARS School FRPL'!C:H,6,FALSE),"No")</f>
        <v>No</v>
      </c>
      <c r="O1002" s="147"/>
      <c r="P1002" s="148"/>
    </row>
    <row r="1003" spans="1:16">
      <c r="A1003" s="95" t="s">
        <v>2260</v>
      </c>
      <c r="B1003" s="95" t="s">
        <v>12</v>
      </c>
      <c r="C1003" s="4">
        <v>5293</v>
      </c>
      <c r="D1003" s="95" t="s">
        <v>15</v>
      </c>
      <c r="E1003" s="145">
        <v>45.29</v>
      </c>
      <c r="F1003" s="145">
        <v>0</v>
      </c>
      <c r="G1003" s="145">
        <v>0</v>
      </c>
      <c r="H1003" s="145">
        <v>0</v>
      </c>
      <c r="I1003" s="77">
        <f t="shared" si="18"/>
        <v>45.29</v>
      </c>
      <c r="J1003" s="123" t="str">
        <f>IFERROR(VLOOKUP($C1003,'CEDARS School FRPL'!C:H,4,FALSE),"No")</f>
        <v>Yes</v>
      </c>
      <c r="K1003" s="109"/>
      <c r="L1003" s="109"/>
      <c r="M1003" s="110">
        <f>IFERROR(VLOOKUP($C1003,'CEDARS School FRPL'!C:H,3,FALSE),0)</f>
        <v>0.66876666666666662</v>
      </c>
      <c r="N1003" s="123" t="str">
        <f>IFERROR(VLOOKUP(C1003,'CEDARS School FRPL'!C:H,6,FALSE),"No")</f>
        <v>No</v>
      </c>
      <c r="O1003" s="147"/>
      <c r="P1003" s="148"/>
    </row>
    <row r="1004" spans="1:16">
      <c r="A1004" s="95" t="s">
        <v>2295</v>
      </c>
      <c r="B1004" s="95" t="s">
        <v>296</v>
      </c>
      <c r="C1004" s="4">
        <v>2319</v>
      </c>
      <c r="D1004" s="95" t="s">
        <v>297</v>
      </c>
      <c r="E1004" s="145">
        <v>273.94</v>
      </c>
      <c r="F1004" s="145">
        <v>0</v>
      </c>
      <c r="G1004" s="145">
        <v>0</v>
      </c>
      <c r="H1004" s="145">
        <v>0</v>
      </c>
      <c r="I1004" s="77">
        <f t="shared" si="18"/>
        <v>273.94</v>
      </c>
      <c r="J1004" s="123" t="str">
        <f>IFERROR(VLOOKUP($C1004,'CEDARS School FRPL'!C:H,4,FALSE),"No")</f>
        <v>Yes</v>
      </c>
      <c r="K1004" s="107"/>
      <c r="L1004" s="107"/>
      <c r="M1004" s="110">
        <f>IFERROR(VLOOKUP($C1004,'CEDARS School FRPL'!C:H,3,FALSE),0)</f>
        <v>0.78469999999999995</v>
      </c>
      <c r="N1004" s="123" t="str">
        <f>IFERROR(VLOOKUP(C1004,'CEDARS School FRPL'!C:H,6,FALSE),"No")</f>
        <v>No</v>
      </c>
      <c r="O1004" s="147"/>
      <c r="P1004" s="148"/>
    </row>
    <row r="1005" spans="1:16">
      <c r="A1005" s="95" t="s">
        <v>2295</v>
      </c>
      <c r="B1005" s="95" t="s">
        <v>296</v>
      </c>
      <c r="C1005" s="4">
        <v>2369</v>
      </c>
      <c r="D1005" s="95" t="s">
        <v>298</v>
      </c>
      <c r="E1005" s="145">
        <v>364.24</v>
      </c>
      <c r="F1005" s="145">
        <v>0</v>
      </c>
      <c r="G1005" s="145">
        <v>0</v>
      </c>
      <c r="H1005" s="145">
        <v>0</v>
      </c>
      <c r="I1005" s="77">
        <f t="shared" si="18"/>
        <v>364.24</v>
      </c>
      <c r="J1005" s="123" t="str">
        <f>IFERROR(VLOOKUP($C1005,'CEDARS School FRPL'!C:H,4,FALSE),"No")</f>
        <v>No</v>
      </c>
      <c r="K1005" s="109"/>
      <c r="L1005" s="109"/>
      <c r="M1005" s="110">
        <f>IFERROR(VLOOKUP($C1005,'CEDARS School FRPL'!C:H,3,FALSE),0)</f>
        <v>0.4931666666666667</v>
      </c>
      <c r="N1005" s="123" t="str">
        <f>IFERROR(VLOOKUP(C1005,'CEDARS School FRPL'!C:H,6,FALSE),"No")</f>
        <v>No</v>
      </c>
      <c r="O1005" s="147"/>
      <c r="P1005" s="148"/>
    </row>
    <row r="1006" spans="1:16">
      <c r="A1006" s="95" t="s">
        <v>2295</v>
      </c>
      <c r="B1006" s="95" t="s">
        <v>296</v>
      </c>
      <c r="C1006" s="4">
        <v>2370</v>
      </c>
      <c r="D1006" s="95" t="s">
        <v>299</v>
      </c>
      <c r="E1006" s="145">
        <v>293.63</v>
      </c>
      <c r="F1006" s="145">
        <v>0</v>
      </c>
      <c r="G1006" s="145">
        <v>0</v>
      </c>
      <c r="H1006" s="145">
        <v>0</v>
      </c>
      <c r="I1006" s="77">
        <f t="shared" si="18"/>
        <v>293.63</v>
      </c>
      <c r="J1006" s="123" t="str">
        <f>IFERROR(VLOOKUP($C1006,'CEDARS School FRPL'!C:H,4,FALSE),"No")</f>
        <v>Yes</v>
      </c>
      <c r="K1006" s="109"/>
      <c r="L1006" s="109"/>
      <c r="M1006" s="110">
        <f>IFERROR(VLOOKUP($C1006,'CEDARS School FRPL'!C:H,3,FALSE),0)</f>
        <v>0.8454666666666667</v>
      </c>
      <c r="N1006" s="123" t="str">
        <f>IFERROR(VLOOKUP(C1006,'CEDARS School FRPL'!C:H,6,FALSE),"No")</f>
        <v>No</v>
      </c>
      <c r="O1006" s="147"/>
      <c r="P1006" s="148"/>
    </row>
    <row r="1007" spans="1:16">
      <c r="A1007" s="95" t="s">
        <v>2295</v>
      </c>
      <c r="B1007" s="95" t="s">
        <v>296</v>
      </c>
      <c r="C1007" s="4">
        <v>2416</v>
      </c>
      <c r="D1007" s="95" t="s">
        <v>300</v>
      </c>
      <c r="E1007" s="145">
        <v>838.57</v>
      </c>
      <c r="F1007" s="145">
        <v>60.91</v>
      </c>
      <c r="G1007" s="145">
        <v>0</v>
      </c>
      <c r="H1007" s="145">
        <v>0</v>
      </c>
      <c r="I1007" s="77">
        <f t="shared" si="18"/>
        <v>899.48</v>
      </c>
      <c r="J1007" s="123" t="str">
        <f>IFERROR(VLOOKUP($C1007,'CEDARS School FRPL'!C:H,4,FALSE),"No")</f>
        <v>Yes</v>
      </c>
      <c r="K1007" s="109"/>
      <c r="L1007" s="109"/>
      <c r="M1007" s="110">
        <f>IFERROR(VLOOKUP($C1007,'CEDARS School FRPL'!C:H,3,FALSE),0)</f>
        <v>0.65070000000000006</v>
      </c>
      <c r="N1007" s="123" t="str">
        <f>IFERROR(VLOOKUP(C1007,'CEDARS School FRPL'!C:H,6,FALSE),"No")</f>
        <v>No</v>
      </c>
      <c r="O1007" s="147"/>
      <c r="P1007" s="148"/>
    </row>
    <row r="1008" spans="1:16">
      <c r="A1008" s="95" t="s">
        <v>2295</v>
      </c>
      <c r="B1008" s="95" t="s">
        <v>296</v>
      </c>
      <c r="C1008" s="4">
        <v>2726</v>
      </c>
      <c r="D1008" s="95" t="s">
        <v>301</v>
      </c>
      <c r="E1008" s="145">
        <v>349.37</v>
      </c>
      <c r="F1008" s="145">
        <v>0</v>
      </c>
      <c r="G1008" s="145">
        <v>0</v>
      </c>
      <c r="H1008" s="145">
        <v>0</v>
      </c>
      <c r="I1008" s="77">
        <f t="shared" si="18"/>
        <v>349.37</v>
      </c>
      <c r="J1008" s="123" t="str">
        <f>IFERROR(VLOOKUP($C1008,'CEDARS School FRPL'!C:H,4,FALSE),"No")</f>
        <v>Yes</v>
      </c>
      <c r="K1008" s="109"/>
      <c r="L1008" s="109"/>
      <c r="M1008" s="110">
        <f>IFERROR(VLOOKUP($C1008,'CEDARS School FRPL'!C:H,3,FALSE),0)</f>
        <v>0.71986666666666677</v>
      </c>
      <c r="N1008" s="123" t="str">
        <f>IFERROR(VLOOKUP(C1008,'CEDARS School FRPL'!C:H,6,FALSE),"No")</f>
        <v>No</v>
      </c>
      <c r="O1008" s="147"/>
      <c r="P1008" s="148"/>
    </row>
    <row r="1009" spans="1:16">
      <c r="A1009" s="95" t="s">
        <v>2295</v>
      </c>
      <c r="B1009" s="95" t="s">
        <v>296</v>
      </c>
      <c r="C1009" s="4">
        <v>2831</v>
      </c>
      <c r="D1009" s="95" t="s">
        <v>302</v>
      </c>
      <c r="E1009" s="145">
        <v>515.92999999999995</v>
      </c>
      <c r="F1009" s="145">
        <v>0</v>
      </c>
      <c r="G1009" s="145">
        <v>0</v>
      </c>
      <c r="H1009" s="145">
        <v>0</v>
      </c>
      <c r="I1009" s="77">
        <f t="shared" si="18"/>
        <v>515.92999999999995</v>
      </c>
      <c r="J1009" s="123" t="str">
        <f>IFERROR(VLOOKUP($C1009,'CEDARS School FRPL'!C:H,4,FALSE),"No")</f>
        <v>Yes</v>
      </c>
      <c r="K1009" s="109"/>
      <c r="L1009" s="109"/>
      <c r="M1009" s="110">
        <f>IFERROR(VLOOKUP($C1009,'CEDARS School FRPL'!C:H,3,FALSE),0)</f>
        <v>0.74026666666666652</v>
      </c>
      <c r="N1009" s="123" t="str">
        <f>IFERROR(VLOOKUP(C1009,'CEDARS School FRPL'!C:H,6,FALSE),"No")</f>
        <v>No</v>
      </c>
      <c r="O1009" s="147"/>
      <c r="P1009" s="148"/>
    </row>
    <row r="1010" spans="1:16">
      <c r="A1010" s="95" t="s">
        <v>2295</v>
      </c>
      <c r="B1010" s="95" t="s">
        <v>296</v>
      </c>
      <c r="C1010" s="4">
        <v>2914</v>
      </c>
      <c r="D1010" s="95" t="s">
        <v>303</v>
      </c>
      <c r="E1010" s="145">
        <v>319.39</v>
      </c>
      <c r="F1010" s="145">
        <v>0</v>
      </c>
      <c r="G1010" s="145">
        <v>0</v>
      </c>
      <c r="H1010" s="145">
        <v>0</v>
      </c>
      <c r="I1010" s="77">
        <f t="shared" si="18"/>
        <v>319.39</v>
      </c>
      <c r="J1010" s="123" t="str">
        <f>IFERROR(VLOOKUP($C1010,'CEDARS School FRPL'!C:H,4,FALSE),"No")</f>
        <v>Yes</v>
      </c>
      <c r="K1010" s="109"/>
      <c r="L1010" s="109"/>
      <c r="M1010" s="110">
        <f>IFERROR(VLOOKUP($C1010,'CEDARS School FRPL'!C:H,3,FALSE),0)</f>
        <v>0.72506666666666675</v>
      </c>
      <c r="N1010" s="123" t="str">
        <f>IFERROR(VLOOKUP(C1010,'CEDARS School FRPL'!C:H,6,FALSE),"No")</f>
        <v>No</v>
      </c>
      <c r="O1010" s="147"/>
      <c r="P1010" s="148"/>
    </row>
    <row r="1011" spans="1:16">
      <c r="A1011" s="95" t="s">
        <v>2295</v>
      </c>
      <c r="B1011" s="95" t="s">
        <v>296</v>
      </c>
      <c r="C1011" s="4">
        <v>3019</v>
      </c>
      <c r="D1011" s="95" t="s">
        <v>304</v>
      </c>
      <c r="E1011" s="145">
        <v>413.3</v>
      </c>
      <c r="F1011" s="145">
        <v>0</v>
      </c>
      <c r="G1011" s="145">
        <v>0</v>
      </c>
      <c r="H1011" s="145">
        <v>0</v>
      </c>
      <c r="I1011" s="77">
        <f t="shared" si="18"/>
        <v>413.3</v>
      </c>
      <c r="J1011" s="123" t="str">
        <f>IFERROR(VLOOKUP($C1011,'CEDARS School FRPL'!C:H,4,FALSE),"No")</f>
        <v>No</v>
      </c>
      <c r="K1011" s="109"/>
      <c r="L1011" s="109"/>
      <c r="M1011" s="110">
        <f>IFERROR(VLOOKUP($C1011,'CEDARS School FRPL'!C:H,3,FALSE),0)</f>
        <v>0.41143333333333337</v>
      </c>
      <c r="N1011" s="123" t="str">
        <f>IFERROR(VLOOKUP(C1011,'CEDARS School FRPL'!C:H,6,FALSE),"No")</f>
        <v>No</v>
      </c>
      <c r="O1011" s="147"/>
      <c r="P1011" s="148"/>
    </row>
    <row r="1012" spans="1:16">
      <c r="A1012" s="95" t="s">
        <v>2295</v>
      </c>
      <c r="B1012" s="95" t="s">
        <v>296</v>
      </c>
      <c r="C1012" s="4">
        <v>3151</v>
      </c>
      <c r="D1012" s="95" t="s">
        <v>305</v>
      </c>
      <c r="E1012" s="145">
        <v>815.46</v>
      </c>
      <c r="F1012" s="145">
        <v>80.849999999999994</v>
      </c>
      <c r="G1012" s="145">
        <v>0</v>
      </c>
      <c r="H1012" s="145">
        <v>0</v>
      </c>
      <c r="I1012" s="77">
        <f t="shared" si="18"/>
        <v>896.31000000000006</v>
      </c>
      <c r="J1012" s="123" t="str">
        <f>IFERROR(VLOOKUP($C1012,'CEDARS School FRPL'!C:H,4,FALSE),"No")</f>
        <v>No</v>
      </c>
      <c r="K1012" s="109"/>
      <c r="L1012" s="109"/>
      <c r="M1012" s="110">
        <f>IFERROR(VLOOKUP($C1012,'CEDARS School FRPL'!C:H,3,FALSE),0)</f>
        <v>0.47120000000000006</v>
      </c>
      <c r="N1012" s="123" t="str">
        <f>IFERROR(VLOOKUP(C1012,'CEDARS School FRPL'!C:H,6,FALSE),"No")</f>
        <v>No</v>
      </c>
      <c r="O1012" s="147"/>
      <c r="P1012" s="148"/>
    </row>
    <row r="1013" spans="1:16">
      <c r="A1013" s="95" t="s">
        <v>2295</v>
      </c>
      <c r="B1013" s="95" t="s">
        <v>296</v>
      </c>
      <c r="C1013" s="4">
        <v>3211</v>
      </c>
      <c r="D1013" s="95" t="s">
        <v>306</v>
      </c>
      <c r="E1013" s="145">
        <v>367.5</v>
      </c>
      <c r="F1013" s="145">
        <v>0</v>
      </c>
      <c r="G1013" s="145">
        <v>0</v>
      </c>
      <c r="H1013" s="145">
        <v>0</v>
      </c>
      <c r="I1013" s="77">
        <f t="shared" si="18"/>
        <v>367.5</v>
      </c>
      <c r="J1013" s="123" t="str">
        <f>IFERROR(VLOOKUP($C1013,'CEDARS School FRPL'!C:H,4,FALSE),"No")</f>
        <v>Yes</v>
      </c>
      <c r="K1013" s="109"/>
      <c r="L1013" s="109"/>
      <c r="M1013" s="110">
        <f>IFERROR(VLOOKUP($C1013,'CEDARS School FRPL'!C:H,3,FALSE),0)</f>
        <v>0.51616666666666655</v>
      </c>
      <c r="N1013" s="123" t="str">
        <f>IFERROR(VLOOKUP(C1013,'CEDARS School FRPL'!C:H,6,FALSE),"No")</f>
        <v>No</v>
      </c>
      <c r="O1013" s="147"/>
      <c r="P1013" s="148"/>
    </row>
    <row r="1014" spans="1:16">
      <c r="A1014" s="95" t="s">
        <v>2295</v>
      </c>
      <c r="B1014" s="95" t="s">
        <v>296</v>
      </c>
      <c r="C1014" s="4">
        <v>3475</v>
      </c>
      <c r="D1014" s="95" t="s">
        <v>231</v>
      </c>
      <c r="E1014" s="145">
        <v>471.58</v>
      </c>
      <c r="F1014" s="145">
        <v>0</v>
      </c>
      <c r="G1014" s="145">
        <v>0</v>
      </c>
      <c r="H1014" s="145">
        <v>0</v>
      </c>
      <c r="I1014" s="77">
        <f t="shared" si="18"/>
        <v>471.58</v>
      </c>
      <c r="J1014" s="123" t="str">
        <f>IFERROR(VLOOKUP($C1014,'CEDARS School FRPL'!C:H,4,FALSE),"No")</f>
        <v>Yes</v>
      </c>
      <c r="K1014" s="109"/>
      <c r="L1014" s="109"/>
      <c r="M1014" s="110">
        <f>IFERROR(VLOOKUP($C1014,'CEDARS School FRPL'!C:H,3,FALSE),0)</f>
        <v>0.6222333333333333</v>
      </c>
      <c r="N1014" s="123" t="str">
        <f>IFERROR(VLOOKUP(C1014,'CEDARS School FRPL'!C:H,6,FALSE),"No")</f>
        <v>No</v>
      </c>
      <c r="O1014" s="147"/>
      <c r="P1014" s="148"/>
    </row>
    <row r="1015" spans="1:16">
      <c r="A1015" s="95" t="s">
        <v>2295</v>
      </c>
      <c r="B1015" s="95" t="s">
        <v>296</v>
      </c>
      <c r="C1015" s="4">
        <v>3658</v>
      </c>
      <c r="D1015" s="95" t="s">
        <v>307</v>
      </c>
      <c r="E1015" s="145">
        <v>385.74</v>
      </c>
      <c r="F1015" s="145">
        <v>0</v>
      </c>
      <c r="G1015" s="145">
        <v>0</v>
      </c>
      <c r="H1015" s="145">
        <v>0</v>
      </c>
      <c r="I1015" s="77">
        <f t="shared" si="18"/>
        <v>385.74</v>
      </c>
      <c r="J1015" s="123" t="str">
        <f>IFERROR(VLOOKUP($C1015,'CEDARS School FRPL'!C:H,4,FALSE),"No")</f>
        <v>Yes</v>
      </c>
      <c r="K1015" s="109"/>
      <c r="L1015" s="109"/>
      <c r="M1015" s="110">
        <f>IFERROR(VLOOKUP($C1015,'CEDARS School FRPL'!C:H,3,FALSE),0)</f>
        <v>0.72773333333333345</v>
      </c>
      <c r="N1015" s="123" t="str">
        <f>IFERROR(VLOOKUP(C1015,'CEDARS School FRPL'!C:H,6,FALSE),"No")</f>
        <v>No</v>
      </c>
      <c r="O1015" s="147"/>
      <c r="P1015" s="148"/>
    </row>
    <row r="1016" spans="1:16">
      <c r="A1016" s="95" t="s">
        <v>2295</v>
      </c>
      <c r="B1016" s="95" t="s">
        <v>296</v>
      </c>
      <c r="C1016" s="4">
        <v>4574</v>
      </c>
      <c r="D1016" s="95" t="s">
        <v>308</v>
      </c>
      <c r="E1016" s="145">
        <v>395.2</v>
      </c>
      <c r="F1016" s="145">
        <v>0</v>
      </c>
      <c r="G1016" s="145">
        <v>0</v>
      </c>
      <c r="H1016" s="145">
        <v>0</v>
      </c>
      <c r="I1016" s="77">
        <f t="shared" si="18"/>
        <v>395.2</v>
      </c>
      <c r="J1016" s="123" t="str">
        <f>IFERROR(VLOOKUP($C1016,'CEDARS School FRPL'!C:H,4,FALSE),"No")</f>
        <v>Yes</v>
      </c>
      <c r="K1016" s="109"/>
      <c r="L1016" s="109"/>
      <c r="M1016" s="110">
        <f>IFERROR(VLOOKUP($C1016,'CEDARS School FRPL'!C:H,3,FALSE),0)</f>
        <v>0.53860000000000008</v>
      </c>
      <c r="N1016" s="123" t="str">
        <f>IFERROR(VLOOKUP(C1016,'CEDARS School FRPL'!C:H,6,FALSE),"No")</f>
        <v>No</v>
      </c>
      <c r="O1016" s="147"/>
      <c r="P1016" s="148"/>
    </row>
    <row r="1017" spans="1:16">
      <c r="A1017" s="95" t="s">
        <v>2295</v>
      </c>
      <c r="B1017" s="95" t="s">
        <v>296</v>
      </c>
      <c r="C1017" s="4">
        <v>5312</v>
      </c>
      <c r="D1017" s="95" t="s">
        <v>309</v>
      </c>
      <c r="E1017" s="145">
        <v>70.25</v>
      </c>
      <c r="F1017" s="145">
        <v>0</v>
      </c>
      <c r="G1017" s="145">
        <v>0</v>
      </c>
      <c r="H1017" s="145">
        <v>0</v>
      </c>
      <c r="I1017" s="77">
        <f t="shared" si="18"/>
        <v>70.25</v>
      </c>
      <c r="J1017" s="123" t="str">
        <f>IFERROR(VLOOKUP($C1017,'CEDARS School FRPL'!C:H,4,FALSE),"No")</f>
        <v>Yes</v>
      </c>
      <c r="K1017" s="109"/>
      <c r="L1017" s="109"/>
      <c r="M1017" s="110">
        <f>IFERROR(VLOOKUP($C1017,'CEDARS School FRPL'!C:H,3,FALSE),0)</f>
        <v>0.73556666666666659</v>
      </c>
      <c r="N1017" s="123" t="str">
        <f>IFERROR(VLOOKUP(C1017,'CEDARS School FRPL'!C:H,6,FALSE),"No")</f>
        <v>No</v>
      </c>
      <c r="O1017" s="147"/>
      <c r="P1017" s="148"/>
    </row>
    <row r="1018" spans="1:16">
      <c r="A1018" s="95" t="s">
        <v>2295</v>
      </c>
      <c r="B1018" s="95" t="s">
        <v>296</v>
      </c>
      <c r="C1018" s="4">
        <v>5400</v>
      </c>
      <c r="D1018" s="95" t="s">
        <v>310</v>
      </c>
      <c r="E1018" s="145">
        <v>0</v>
      </c>
      <c r="F1018" s="145">
        <v>0</v>
      </c>
      <c r="G1018" s="145">
        <v>32.72</v>
      </c>
      <c r="H1018" s="145">
        <v>0</v>
      </c>
      <c r="I1018" s="77">
        <f t="shared" si="18"/>
        <v>32.72</v>
      </c>
      <c r="J1018" s="123" t="str">
        <f>IFERROR(VLOOKUP($C1018,'CEDARS School FRPL'!C:H,4,FALSE),"No")</f>
        <v>Yes</v>
      </c>
      <c r="K1018" s="109"/>
      <c r="L1018" s="109"/>
      <c r="M1018" s="110">
        <f>IFERROR(VLOOKUP($C1018,'CEDARS School FRPL'!C:H,3,FALSE),0)</f>
        <v>0.68593333333333339</v>
      </c>
      <c r="N1018" s="123" t="str">
        <f>IFERROR(VLOOKUP(C1018,'CEDARS School FRPL'!C:H,6,FALSE),"No")</f>
        <v>No</v>
      </c>
      <c r="O1018" s="147"/>
      <c r="P1018" s="148"/>
    </row>
    <row r="1019" spans="1:16">
      <c r="A1019" s="95" t="s">
        <v>2295</v>
      </c>
      <c r="B1019" s="95" t="s">
        <v>296</v>
      </c>
      <c r="C1019" s="4">
        <v>5614</v>
      </c>
      <c r="D1019" s="95" t="s">
        <v>2887</v>
      </c>
      <c r="E1019" s="145">
        <v>110.56</v>
      </c>
      <c r="F1019" s="145">
        <v>0</v>
      </c>
      <c r="G1019" s="145">
        <v>0</v>
      </c>
      <c r="H1019" s="145">
        <v>0</v>
      </c>
      <c r="I1019" s="77">
        <f t="shared" si="18"/>
        <v>110.56</v>
      </c>
      <c r="J1019" s="123" t="str">
        <f>IFERROR(VLOOKUP($C1019,'CEDARS School FRPL'!C:H,4,FALSE),"No")</f>
        <v>Yes</v>
      </c>
      <c r="K1019" s="109"/>
      <c r="L1019" s="109"/>
      <c r="M1019" s="110">
        <f>IFERROR(VLOOKUP($C1019,'CEDARS School FRPL'!C:H,3,FALSE),0)</f>
        <v>0.58010000000000006</v>
      </c>
      <c r="N1019" s="123" t="str">
        <f>IFERROR(VLOOKUP(C1019,'CEDARS School FRPL'!C:H,6,FALSE),"No")</f>
        <v>No</v>
      </c>
      <c r="O1019" s="147"/>
      <c r="P1019" s="148"/>
    </row>
    <row r="1020" spans="1:16">
      <c r="A1020" s="95" t="s">
        <v>2508</v>
      </c>
      <c r="B1020" s="95" t="s">
        <v>1942</v>
      </c>
      <c r="C1020" s="4">
        <v>1922</v>
      </c>
      <c r="D1020" s="95" t="s">
        <v>1943</v>
      </c>
      <c r="E1020" s="145">
        <v>128.56</v>
      </c>
      <c r="F1020" s="145">
        <v>0</v>
      </c>
      <c r="G1020" s="145">
        <v>0</v>
      </c>
      <c r="H1020" s="145">
        <v>0</v>
      </c>
      <c r="I1020" s="77">
        <f t="shared" si="18"/>
        <v>128.56</v>
      </c>
      <c r="J1020" s="123" t="str">
        <f>IFERROR(VLOOKUP($C1020,'CEDARS School FRPL'!C:H,4,FALSE),"No")</f>
        <v>No</v>
      </c>
      <c r="K1020" s="107"/>
      <c r="L1020" s="107"/>
      <c r="M1020" s="110">
        <f>IFERROR(VLOOKUP($C1020,'CEDARS School FRPL'!C:H,3,FALSE),0)</f>
        <v>0.35783333333333339</v>
      </c>
      <c r="N1020" s="123" t="str">
        <f>IFERROR(VLOOKUP(C1020,'CEDARS School FRPL'!C:H,6,FALSE),"No")</f>
        <v>No</v>
      </c>
      <c r="O1020" s="147"/>
      <c r="P1020" s="148"/>
    </row>
    <row r="1021" spans="1:16">
      <c r="A1021" s="95" t="s">
        <v>2508</v>
      </c>
      <c r="B1021" s="95" t="s">
        <v>1942</v>
      </c>
      <c r="C1021" s="4">
        <v>2480</v>
      </c>
      <c r="D1021" s="95" t="s">
        <v>1944</v>
      </c>
      <c r="E1021" s="145">
        <v>104</v>
      </c>
      <c r="F1021" s="145">
        <v>0</v>
      </c>
      <c r="G1021" s="145">
        <v>0</v>
      </c>
      <c r="H1021" s="145">
        <v>0</v>
      </c>
      <c r="I1021" s="77">
        <f t="shared" si="18"/>
        <v>104</v>
      </c>
      <c r="J1021" s="123" t="str">
        <f>IFERROR(VLOOKUP($C1021,'CEDARS School FRPL'!C:H,4,FALSE),"No")</f>
        <v>Yes</v>
      </c>
      <c r="K1021" s="109"/>
      <c r="L1021" s="109"/>
      <c r="M1021" s="110">
        <f>IFERROR(VLOOKUP($C1021,'CEDARS School FRPL'!C:H,3,FALSE),0)</f>
        <v>0.75393333333333334</v>
      </c>
      <c r="N1021" s="123" t="str">
        <f>IFERROR(VLOOKUP(C1021,'CEDARS School FRPL'!C:H,6,FALSE),"No")</f>
        <v>No</v>
      </c>
      <c r="O1021" s="147"/>
      <c r="P1021" s="148"/>
    </row>
    <row r="1022" spans="1:16">
      <c r="A1022" s="95" t="s">
        <v>2458</v>
      </c>
      <c r="B1022" s="95" t="s">
        <v>1533</v>
      </c>
      <c r="C1022" s="4">
        <v>2632</v>
      </c>
      <c r="D1022" s="95" t="s">
        <v>1534</v>
      </c>
      <c r="E1022" s="145">
        <v>130.32</v>
      </c>
      <c r="F1022" s="145">
        <v>1.83</v>
      </c>
      <c r="G1022" s="145">
        <v>0</v>
      </c>
      <c r="H1022" s="145">
        <v>0</v>
      </c>
      <c r="I1022" s="77">
        <f t="shared" si="18"/>
        <v>132.15</v>
      </c>
      <c r="J1022" s="123" t="str">
        <f>IFERROR(VLOOKUP($C1022,'CEDARS School FRPL'!C:H,4,FALSE),"No")</f>
        <v>No</v>
      </c>
      <c r="K1022" s="109"/>
      <c r="L1022" s="109"/>
      <c r="M1022" s="110">
        <f>IFERROR(VLOOKUP($C1022,'CEDARS School FRPL'!C:H,3,FALSE),0)</f>
        <v>0.49836666666666662</v>
      </c>
      <c r="N1022" s="123" t="str">
        <f>IFERROR(VLOOKUP(C1022,'CEDARS School FRPL'!C:H,6,FALSE),"No")</f>
        <v>No</v>
      </c>
      <c r="O1022" s="147"/>
      <c r="P1022" s="148"/>
    </row>
    <row r="1023" spans="1:16">
      <c r="A1023" s="95" t="s">
        <v>2458</v>
      </c>
      <c r="B1023" s="95" t="s">
        <v>1533</v>
      </c>
      <c r="C1023" s="4">
        <v>4107</v>
      </c>
      <c r="D1023" s="95" t="s">
        <v>1535</v>
      </c>
      <c r="E1023" s="145">
        <v>102.34</v>
      </c>
      <c r="F1023" s="145">
        <v>0</v>
      </c>
      <c r="G1023" s="145">
        <v>0</v>
      </c>
      <c r="H1023" s="145">
        <v>0</v>
      </c>
      <c r="I1023" s="77">
        <f t="shared" si="18"/>
        <v>102.34</v>
      </c>
      <c r="J1023" s="123" t="str">
        <f>IFERROR(VLOOKUP($C1023,'CEDARS School FRPL'!C:H,4,FALSE),"No")</f>
        <v>No</v>
      </c>
      <c r="M1023" s="110">
        <f>IFERROR(VLOOKUP($C1023,'CEDARS School FRPL'!C:H,3,FALSE),0)</f>
        <v>0.43009999999999998</v>
      </c>
      <c r="N1023" s="123" t="str">
        <f>IFERROR(VLOOKUP(C1023,'CEDARS School FRPL'!C:H,6,FALSE),"No")</f>
        <v>No</v>
      </c>
      <c r="O1023" s="147"/>
      <c r="P1023" s="148"/>
    </row>
    <row r="1024" spans="1:16">
      <c r="A1024" s="95" t="s">
        <v>2458</v>
      </c>
      <c r="B1024" s="95" t="s">
        <v>1533</v>
      </c>
      <c r="C1024" s="4">
        <v>4178</v>
      </c>
      <c r="D1024" s="95" t="s">
        <v>1536</v>
      </c>
      <c r="E1024" s="145">
        <v>7.57</v>
      </c>
      <c r="F1024" s="145">
        <v>0</v>
      </c>
      <c r="G1024" s="145">
        <v>0</v>
      </c>
      <c r="H1024" s="145">
        <v>0</v>
      </c>
      <c r="I1024" s="77">
        <f t="shared" si="18"/>
        <v>7.57</v>
      </c>
      <c r="J1024" s="123" t="str">
        <f>IFERROR(VLOOKUP($C1024,'CEDARS School FRPL'!C:H,4,FALSE),"No")</f>
        <v>No</v>
      </c>
      <c r="K1024" s="109"/>
      <c r="L1024" s="109"/>
      <c r="M1024" s="110">
        <f>IFERROR(VLOOKUP($C1024,'CEDARS School FRPL'!C:H,3,FALSE),0)</f>
        <v>4.1666666666666664E-2</v>
      </c>
      <c r="N1024" s="123" t="str">
        <f>IFERROR(VLOOKUP(C1024,'CEDARS School FRPL'!C:H,6,FALSE),"No")</f>
        <v>No</v>
      </c>
      <c r="O1024" s="147"/>
      <c r="P1024" s="148"/>
    </row>
    <row r="1025" spans="1:16">
      <c r="A1025" s="95" t="s">
        <v>2857</v>
      </c>
      <c r="B1025" s="95" t="s">
        <v>2965</v>
      </c>
      <c r="C1025" s="4">
        <v>5609</v>
      </c>
      <c r="D1025" s="95" t="s">
        <v>2888</v>
      </c>
      <c r="E1025" s="145">
        <v>35</v>
      </c>
      <c r="F1025" s="145">
        <v>0</v>
      </c>
      <c r="G1025" s="145">
        <v>0.71</v>
      </c>
      <c r="H1025" s="145">
        <v>0</v>
      </c>
      <c r="I1025" s="77">
        <f t="shared" si="18"/>
        <v>35.71</v>
      </c>
      <c r="J1025" s="123" t="str">
        <f>IFERROR(VLOOKUP($C1025,'CEDARS School FRPL'!C:H,4,FALSE),"No")</f>
        <v>Yes</v>
      </c>
      <c r="K1025" s="109"/>
      <c r="L1025" s="109"/>
      <c r="M1025" s="110">
        <f>IFERROR(VLOOKUP($C1025,'CEDARS School FRPL'!C:H,3,FALSE),0)</f>
        <v>0.88905000000000001</v>
      </c>
      <c r="N1025" s="123" t="str">
        <f>IFERROR(VLOOKUP(C1025,'CEDARS School FRPL'!C:H,6,FALSE),"No")</f>
        <v>No</v>
      </c>
      <c r="O1025" s="147"/>
      <c r="P1025" s="148"/>
    </row>
    <row r="1026" spans="1:16">
      <c r="A1026" s="95" t="s">
        <v>2539</v>
      </c>
      <c r="B1026" s="95" t="s">
        <v>2128</v>
      </c>
      <c r="C1026" s="4">
        <v>5373</v>
      </c>
      <c r="D1026" s="95" t="s">
        <v>2129</v>
      </c>
      <c r="E1026" s="145">
        <v>395.42</v>
      </c>
      <c r="F1026" s="145">
        <v>1.87</v>
      </c>
      <c r="G1026" s="145">
        <v>0</v>
      </c>
      <c r="H1026" s="145">
        <v>0</v>
      </c>
      <c r="I1026" s="77">
        <f t="shared" si="18"/>
        <v>397.29</v>
      </c>
      <c r="J1026" s="123" t="str">
        <f>IFERROR(VLOOKUP($C1026,'CEDARS School FRPL'!C:H,4,FALSE),"No")</f>
        <v>Yes</v>
      </c>
      <c r="K1026" s="109"/>
      <c r="L1026" s="109"/>
      <c r="M1026" s="110">
        <f>IFERROR(VLOOKUP($C1026,'CEDARS School FRPL'!C:H,3,FALSE),0)</f>
        <v>0.74883333333333335</v>
      </c>
      <c r="N1026" s="123" t="str">
        <f>IFERROR(VLOOKUP(C1026,'CEDARS School FRPL'!C:H,6,FALSE),"No")</f>
        <v>No</v>
      </c>
      <c r="O1026" s="147"/>
      <c r="P1026" s="148"/>
    </row>
    <row r="1027" spans="1:16">
      <c r="A1027" s="95" t="s">
        <v>2392</v>
      </c>
      <c r="B1027" s="95" t="s">
        <v>1129</v>
      </c>
      <c r="C1027" s="4">
        <v>3049</v>
      </c>
      <c r="D1027" s="95" t="s">
        <v>1130</v>
      </c>
      <c r="E1027" s="145">
        <v>97.31</v>
      </c>
      <c r="F1027" s="145">
        <v>0</v>
      </c>
      <c r="G1027" s="145">
        <v>0</v>
      </c>
      <c r="H1027" s="145">
        <v>0</v>
      </c>
      <c r="I1027" s="77">
        <f t="shared" si="18"/>
        <v>97.31</v>
      </c>
      <c r="J1027" s="123" t="str">
        <f>IFERROR(VLOOKUP($C1027,'CEDARS School FRPL'!C:H,4,FALSE),"No")</f>
        <v>Yes</v>
      </c>
      <c r="K1027" s="109"/>
      <c r="L1027" s="109"/>
      <c r="M1027" s="110">
        <f>IFERROR(VLOOKUP($C1027,'CEDARS School FRPL'!C:H,3,FALSE),0)</f>
        <v>0.69990000000000008</v>
      </c>
      <c r="N1027" s="123" t="str">
        <f>IFERROR(VLOOKUP(C1027,'CEDARS School FRPL'!C:H,6,FALSE),"No")</f>
        <v>No</v>
      </c>
      <c r="O1027" s="147"/>
      <c r="P1027" s="148"/>
    </row>
    <row r="1028" spans="1:16">
      <c r="A1028" s="95" t="s">
        <v>2392</v>
      </c>
      <c r="B1028" s="95" t="s">
        <v>1129</v>
      </c>
      <c r="C1028" s="4">
        <v>3111</v>
      </c>
      <c r="D1028" s="95" t="s">
        <v>1131</v>
      </c>
      <c r="E1028" s="145">
        <v>52.17</v>
      </c>
      <c r="F1028" s="145">
        <v>13.81</v>
      </c>
      <c r="G1028" s="145">
        <v>0</v>
      </c>
      <c r="H1028" s="145">
        <v>0</v>
      </c>
      <c r="I1028" s="77">
        <f t="shared" ref="I1028:I1091" si="19">+E1028+F1028+G1028+H1028</f>
        <v>65.98</v>
      </c>
      <c r="J1028" s="123" t="str">
        <f>IFERROR(VLOOKUP($C1028,'CEDARS School FRPL'!C:H,4,FALSE),"No")</f>
        <v>Yes</v>
      </c>
      <c r="K1028" s="107"/>
      <c r="L1028" s="107"/>
      <c r="M1028" s="110">
        <f>IFERROR(VLOOKUP($C1028,'CEDARS School FRPL'!C:H,3,FALSE),0)</f>
        <v>0.67279999999999995</v>
      </c>
      <c r="N1028" s="123" t="str">
        <f>IFERROR(VLOOKUP(C1028,'CEDARS School FRPL'!C:H,6,FALSE),"No")</f>
        <v>No</v>
      </c>
      <c r="O1028" s="147"/>
      <c r="P1028" s="148"/>
    </row>
    <row r="1029" spans="1:16">
      <c r="A1029" s="95" t="s">
        <v>2392</v>
      </c>
      <c r="B1029" s="95" t="s">
        <v>1129</v>
      </c>
      <c r="C1029" s="4">
        <v>3643</v>
      </c>
      <c r="D1029" s="95" t="s">
        <v>1132</v>
      </c>
      <c r="E1029" s="145">
        <v>46.71</v>
      </c>
      <c r="F1029" s="145">
        <v>0</v>
      </c>
      <c r="G1029" s="145">
        <v>0</v>
      </c>
      <c r="H1029" s="145">
        <v>0</v>
      </c>
      <c r="I1029" s="77">
        <f t="shared" si="19"/>
        <v>46.71</v>
      </c>
      <c r="J1029" s="123" t="str">
        <f>IFERROR(VLOOKUP($C1029,'CEDARS School FRPL'!C:H,4,FALSE),"No")</f>
        <v>Yes</v>
      </c>
      <c r="K1029" s="109"/>
      <c r="L1029" s="109"/>
      <c r="M1029" s="110">
        <f>IFERROR(VLOOKUP($C1029,'CEDARS School FRPL'!C:H,3,FALSE),0)</f>
        <v>0.72420000000000007</v>
      </c>
      <c r="N1029" s="123" t="str">
        <f>IFERROR(VLOOKUP(C1029,'CEDARS School FRPL'!C:H,6,FALSE),"No")</f>
        <v>No</v>
      </c>
      <c r="O1029" s="147"/>
      <c r="P1029" s="148"/>
    </row>
    <row r="1030" spans="1:16">
      <c r="A1030" s="95" t="s">
        <v>2535</v>
      </c>
      <c r="B1030" s="95" t="s">
        <v>2103</v>
      </c>
      <c r="C1030" s="4">
        <v>1983</v>
      </c>
      <c r="D1030" s="95" t="s">
        <v>2104</v>
      </c>
      <c r="E1030" s="145">
        <v>389.97</v>
      </c>
      <c r="F1030" s="145">
        <v>17.399999999999999</v>
      </c>
      <c r="G1030" s="145">
        <v>0</v>
      </c>
      <c r="H1030" s="145">
        <v>0</v>
      </c>
      <c r="I1030" s="77">
        <f t="shared" si="19"/>
        <v>407.37</v>
      </c>
      <c r="J1030" s="123" t="str">
        <f>IFERROR(VLOOKUP($C1030,'CEDARS School FRPL'!C:H,4,FALSE),"No")</f>
        <v>No</v>
      </c>
      <c r="K1030" s="109"/>
      <c r="L1030" s="109"/>
      <c r="M1030" s="110">
        <f>IFERROR(VLOOKUP($C1030,'CEDARS School FRPL'!C:H,3,FALSE),0)</f>
        <v>6.8666666666666668E-2</v>
      </c>
      <c r="N1030" s="123" t="str">
        <f>IFERROR(VLOOKUP(C1030,'CEDARS School FRPL'!C:H,6,FALSE),"No")</f>
        <v>No</v>
      </c>
      <c r="O1030" s="147"/>
      <c r="P1030" s="148"/>
    </row>
    <row r="1031" spans="1:16">
      <c r="A1031" s="95" t="s">
        <v>2535</v>
      </c>
      <c r="B1031" s="95" t="s">
        <v>2103</v>
      </c>
      <c r="C1031" s="4">
        <v>2219</v>
      </c>
      <c r="D1031" s="95" t="s">
        <v>2105</v>
      </c>
      <c r="E1031" s="145">
        <v>644.07000000000005</v>
      </c>
      <c r="F1031" s="145">
        <v>0</v>
      </c>
      <c r="G1031" s="145">
        <v>0</v>
      </c>
      <c r="H1031" s="145">
        <v>0</v>
      </c>
      <c r="I1031" s="77">
        <f t="shared" si="19"/>
        <v>644.07000000000005</v>
      </c>
      <c r="J1031" s="123" t="str">
        <f>IFERROR(VLOOKUP($C1031,'CEDARS School FRPL'!C:H,4,FALSE),"No")</f>
        <v>No</v>
      </c>
      <c r="M1031" s="110">
        <f>IFERROR(VLOOKUP($C1031,'CEDARS School FRPL'!C:H,3,FALSE),0)</f>
        <v>0.35573333333333329</v>
      </c>
      <c r="N1031" s="123" t="str">
        <f>IFERROR(VLOOKUP(C1031,'CEDARS School FRPL'!C:H,6,FALSE),"No")</f>
        <v>No</v>
      </c>
      <c r="O1031" s="147"/>
      <c r="P1031" s="148"/>
    </row>
    <row r="1032" spans="1:16">
      <c r="A1032" s="95" t="s">
        <v>2535</v>
      </c>
      <c r="B1032" s="95" t="s">
        <v>2103</v>
      </c>
      <c r="C1032" s="4">
        <v>3417</v>
      </c>
      <c r="D1032" s="95" t="s">
        <v>2106</v>
      </c>
      <c r="E1032" s="145">
        <v>472.74</v>
      </c>
      <c r="F1032" s="145">
        <v>0</v>
      </c>
      <c r="G1032" s="145">
        <v>0</v>
      </c>
      <c r="H1032" s="145">
        <v>0</v>
      </c>
      <c r="I1032" s="77">
        <f t="shared" si="19"/>
        <v>472.74</v>
      </c>
      <c r="J1032" s="123" t="str">
        <f>IFERROR(VLOOKUP($C1032,'CEDARS School FRPL'!C:H,4,FALSE),"No")</f>
        <v>No</v>
      </c>
      <c r="K1032" s="109"/>
      <c r="L1032" s="109"/>
      <c r="M1032" s="110">
        <f>IFERROR(VLOOKUP($C1032,'CEDARS School FRPL'!C:H,3,FALSE),0)</f>
        <v>0.37080000000000002</v>
      </c>
      <c r="N1032" s="123" t="str">
        <f>IFERROR(VLOOKUP(C1032,'CEDARS School FRPL'!C:H,6,FALSE),"No")</f>
        <v>No</v>
      </c>
      <c r="O1032" s="147"/>
      <c r="P1032" s="148"/>
    </row>
    <row r="1033" spans="1:16">
      <c r="A1033" s="95" t="s">
        <v>2535</v>
      </c>
      <c r="B1033" s="95" t="s">
        <v>2103</v>
      </c>
      <c r="C1033" s="4">
        <v>4201</v>
      </c>
      <c r="D1033" s="95" t="s">
        <v>2107</v>
      </c>
      <c r="E1033" s="145">
        <v>828.32</v>
      </c>
      <c r="F1033" s="145">
        <v>98.72</v>
      </c>
      <c r="G1033" s="145">
        <v>18.57</v>
      </c>
      <c r="H1033" s="145">
        <v>0</v>
      </c>
      <c r="I1033" s="77">
        <f t="shared" si="19"/>
        <v>945.61000000000013</v>
      </c>
      <c r="J1033" s="123" t="str">
        <f>IFERROR(VLOOKUP($C1033,'CEDARS School FRPL'!C:H,4,FALSE),"No")</f>
        <v>No</v>
      </c>
      <c r="K1033" s="109"/>
      <c r="L1033" s="109"/>
      <c r="M1033" s="110">
        <f>IFERROR(VLOOKUP($C1033,'CEDARS School FRPL'!C:H,3,FALSE),0)</f>
        <v>0.29726666666666673</v>
      </c>
      <c r="N1033" s="123" t="str">
        <f>IFERROR(VLOOKUP(C1033,'CEDARS School FRPL'!C:H,6,FALSE),"No")</f>
        <v>No</v>
      </c>
      <c r="O1033" s="147"/>
      <c r="P1033" s="148"/>
    </row>
    <row r="1034" spans="1:16">
      <c r="A1034" s="95" t="s">
        <v>2535</v>
      </c>
      <c r="B1034" s="95" t="s">
        <v>2103</v>
      </c>
      <c r="C1034" s="4">
        <v>4324</v>
      </c>
      <c r="D1034" s="95" t="s">
        <v>2108</v>
      </c>
      <c r="E1034" s="145">
        <v>403.45</v>
      </c>
      <c r="F1034" s="145">
        <v>0</v>
      </c>
      <c r="G1034" s="145">
        <v>0</v>
      </c>
      <c r="H1034" s="145">
        <v>0</v>
      </c>
      <c r="I1034" s="77">
        <f t="shared" si="19"/>
        <v>403.45</v>
      </c>
      <c r="J1034" s="123" t="str">
        <f>IFERROR(VLOOKUP($C1034,'CEDARS School FRPL'!C:H,4,FALSE),"No")</f>
        <v>No</v>
      </c>
      <c r="K1034" s="107"/>
      <c r="L1034" s="107"/>
      <c r="M1034" s="110">
        <f>IFERROR(VLOOKUP($C1034,'CEDARS School FRPL'!C:H,3,FALSE),0)</f>
        <v>0.26956666666666668</v>
      </c>
      <c r="N1034" s="123" t="str">
        <f>IFERROR(VLOOKUP(C1034,'CEDARS School FRPL'!C:H,6,FALSE),"No")</f>
        <v>No</v>
      </c>
      <c r="O1034" s="147"/>
      <c r="P1034" s="148"/>
    </row>
    <row r="1035" spans="1:16">
      <c r="A1035" s="95" t="s">
        <v>2535</v>
      </c>
      <c r="B1035" s="95" t="s">
        <v>2103</v>
      </c>
      <c r="C1035" s="4">
        <v>4517</v>
      </c>
      <c r="D1035" s="95" t="s">
        <v>2109</v>
      </c>
      <c r="E1035" s="145">
        <v>444.72</v>
      </c>
      <c r="F1035" s="145">
        <v>0</v>
      </c>
      <c r="G1035" s="145">
        <v>0</v>
      </c>
      <c r="H1035" s="145">
        <v>0</v>
      </c>
      <c r="I1035" s="77">
        <f t="shared" si="19"/>
        <v>444.72</v>
      </c>
      <c r="J1035" s="123" t="str">
        <f>IFERROR(VLOOKUP($C1035,'CEDARS School FRPL'!C:H,4,FALSE),"No")</f>
        <v>No</v>
      </c>
      <c r="K1035" s="109"/>
      <c r="L1035" s="109"/>
      <c r="M1035" s="110">
        <f>IFERROR(VLOOKUP($C1035,'CEDARS School FRPL'!C:H,3,FALSE),0)</f>
        <v>0.29950000000000004</v>
      </c>
      <c r="N1035" s="123" t="str">
        <f>IFERROR(VLOOKUP(C1035,'CEDARS School FRPL'!C:H,6,FALSE),"No")</f>
        <v>No</v>
      </c>
      <c r="O1035" s="147"/>
      <c r="P1035" s="148"/>
    </row>
    <row r="1036" spans="1:16">
      <c r="A1036" s="95" t="s">
        <v>2558</v>
      </c>
      <c r="B1036" s="95" t="s">
        <v>2201</v>
      </c>
      <c r="C1036" s="4">
        <v>3070</v>
      </c>
      <c r="D1036" s="95" t="s">
        <v>2202</v>
      </c>
      <c r="E1036" s="145">
        <v>423.43</v>
      </c>
      <c r="F1036" s="145">
        <v>0</v>
      </c>
      <c r="G1036" s="145">
        <v>0</v>
      </c>
      <c r="H1036" s="145">
        <v>0</v>
      </c>
      <c r="I1036" s="77">
        <f t="shared" si="19"/>
        <v>423.43</v>
      </c>
      <c r="J1036" s="123" t="str">
        <f>IFERROR(VLOOKUP($C1036,'CEDARS School FRPL'!C:H,4,FALSE),"No")</f>
        <v>Yes</v>
      </c>
      <c r="K1036" s="109"/>
      <c r="L1036" s="109"/>
      <c r="M1036" s="110">
        <f>IFERROR(VLOOKUP($C1036,'CEDARS School FRPL'!C:H,3,FALSE),0)</f>
        <v>0.91380000000000006</v>
      </c>
      <c r="N1036" s="123" t="str">
        <f>IFERROR(VLOOKUP(C1036,'CEDARS School FRPL'!C:H,6,FALSE),"No")</f>
        <v>No</v>
      </c>
      <c r="O1036" s="147"/>
      <c r="P1036" s="148"/>
    </row>
    <row r="1037" spans="1:16">
      <c r="A1037" s="95" t="s">
        <v>2558</v>
      </c>
      <c r="B1037" s="95" t="s">
        <v>2201</v>
      </c>
      <c r="C1037" s="4">
        <v>5289</v>
      </c>
      <c r="D1037" s="95" t="s">
        <v>2203</v>
      </c>
      <c r="E1037" s="145">
        <v>368.95</v>
      </c>
      <c r="F1037" s="145">
        <v>10.050000000000001</v>
      </c>
      <c r="G1037" s="145">
        <v>0.86</v>
      </c>
      <c r="H1037" s="145">
        <v>0</v>
      </c>
      <c r="I1037" s="77">
        <f t="shared" si="19"/>
        <v>379.86</v>
      </c>
      <c r="J1037" s="123" t="str">
        <f>IFERROR(VLOOKUP($C1037,'CEDARS School FRPL'!C:H,4,FALSE),"No")</f>
        <v>Yes</v>
      </c>
      <c r="K1037" s="109"/>
      <c r="L1037" s="109"/>
      <c r="M1037" s="110">
        <f>IFERROR(VLOOKUP($C1037,'CEDARS School FRPL'!C:H,3,FALSE),0)</f>
        <v>0.92210000000000003</v>
      </c>
      <c r="N1037" s="123" t="str">
        <f>IFERROR(VLOOKUP(C1037,'CEDARS School FRPL'!C:H,6,FALSE),"No")</f>
        <v>No</v>
      </c>
      <c r="O1037" s="147"/>
      <c r="P1037" s="148"/>
    </row>
    <row r="1038" spans="1:16">
      <c r="A1038" s="95" t="s">
        <v>2558</v>
      </c>
      <c r="B1038" s="95" t="s">
        <v>2201</v>
      </c>
      <c r="C1038" s="4">
        <v>5443</v>
      </c>
      <c r="D1038" s="95" t="s">
        <v>2786</v>
      </c>
      <c r="E1038" s="145">
        <v>0</v>
      </c>
      <c r="F1038" s="145">
        <v>1.83</v>
      </c>
      <c r="G1038" s="145">
        <v>2.29</v>
      </c>
      <c r="H1038" s="145">
        <v>0</v>
      </c>
      <c r="I1038" s="77">
        <f t="shared" si="19"/>
        <v>4.12</v>
      </c>
      <c r="J1038" s="123" t="str">
        <f>IFERROR(VLOOKUP($C1038,'CEDARS School FRPL'!C:H,4,FALSE),"No")</f>
        <v>Yes</v>
      </c>
      <c r="K1038" s="109"/>
      <c r="L1038" s="109"/>
      <c r="M1038" s="110">
        <f>IFERROR(VLOOKUP($C1038,'CEDARS School FRPL'!C:H,3,FALSE),0)</f>
        <v>0.83330000000000004</v>
      </c>
      <c r="N1038" s="123" t="str">
        <f>IFERROR(VLOOKUP(C1038,'CEDARS School FRPL'!C:H,6,FALSE),"No")</f>
        <v>No</v>
      </c>
      <c r="O1038" s="147"/>
      <c r="P1038" s="148"/>
    </row>
    <row r="1039" spans="1:16">
      <c r="A1039" s="95" t="s">
        <v>2305</v>
      </c>
      <c r="B1039" s="95" t="s">
        <v>353</v>
      </c>
      <c r="C1039" s="4">
        <v>2233</v>
      </c>
      <c r="D1039" s="95" t="s">
        <v>354</v>
      </c>
      <c r="E1039" s="145">
        <v>89.97</v>
      </c>
      <c r="F1039" s="145">
        <v>0</v>
      </c>
      <c r="G1039" s="145">
        <v>0</v>
      </c>
      <c r="H1039" s="145">
        <v>0</v>
      </c>
      <c r="I1039" s="77">
        <f t="shared" si="19"/>
        <v>89.97</v>
      </c>
      <c r="J1039" s="123" t="str">
        <f>IFERROR(VLOOKUP($C1039,'CEDARS School FRPL'!C:H,4,FALSE),"No")</f>
        <v>Yes</v>
      </c>
      <c r="K1039" s="109"/>
      <c r="L1039" s="109"/>
      <c r="M1039" s="110">
        <f>IFERROR(VLOOKUP($C1039,'CEDARS School FRPL'!C:H,3,FALSE),0)</f>
        <v>0.6579666666666667</v>
      </c>
      <c r="N1039" s="123" t="str">
        <f>IFERROR(VLOOKUP(C1039,'CEDARS School FRPL'!C:H,6,FALSE),"No")</f>
        <v>No</v>
      </c>
      <c r="O1039" s="147"/>
      <c r="P1039" s="148"/>
    </row>
    <row r="1040" spans="1:16">
      <c r="A1040" s="95" t="s">
        <v>2270</v>
      </c>
      <c r="B1040" s="95" t="s">
        <v>96</v>
      </c>
      <c r="C1040" s="4">
        <v>2196</v>
      </c>
      <c r="D1040" s="95" t="s">
        <v>97</v>
      </c>
      <c r="E1040" s="145">
        <v>245.15</v>
      </c>
      <c r="F1040" s="145">
        <v>0</v>
      </c>
      <c r="G1040" s="145">
        <v>0</v>
      </c>
      <c r="H1040" s="145">
        <v>0</v>
      </c>
      <c r="I1040" s="77">
        <f t="shared" si="19"/>
        <v>245.15</v>
      </c>
      <c r="J1040" s="123" t="str">
        <f>IFERROR(VLOOKUP($C1040,'CEDARS School FRPL'!C:H,4,FALSE),"No")</f>
        <v>Yes</v>
      </c>
      <c r="K1040" s="109"/>
      <c r="L1040" s="109"/>
      <c r="M1040" s="110">
        <f>IFERROR(VLOOKUP($C1040,'CEDARS School FRPL'!C:H,3,FALSE),0)</f>
        <v>0.69346666666666668</v>
      </c>
      <c r="N1040" s="123" t="str">
        <f>IFERROR(VLOOKUP(C1040,'CEDARS School FRPL'!C:H,6,FALSE),"No")</f>
        <v>No</v>
      </c>
      <c r="O1040" s="147"/>
      <c r="P1040" s="148"/>
    </row>
    <row r="1041" spans="1:16">
      <c r="A1041" s="95" t="s">
        <v>2270</v>
      </c>
      <c r="B1041" s="95" t="s">
        <v>96</v>
      </c>
      <c r="C1041" s="4">
        <v>2623</v>
      </c>
      <c r="D1041" s="95" t="s">
        <v>98</v>
      </c>
      <c r="E1041" s="145">
        <v>200.13</v>
      </c>
      <c r="F1041" s="145">
        <v>0</v>
      </c>
      <c r="G1041" s="145">
        <v>0</v>
      </c>
      <c r="H1041" s="145">
        <v>0</v>
      </c>
      <c r="I1041" s="77">
        <f t="shared" si="19"/>
        <v>200.13</v>
      </c>
      <c r="J1041" s="123" t="str">
        <f>IFERROR(VLOOKUP($C1041,'CEDARS School FRPL'!C:H,4,FALSE),"No")</f>
        <v>Yes</v>
      </c>
      <c r="K1041" s="109"/>
      <c r="L1041" s="109"/>
      <c r="M1041" s="110">
        <f>IFERROR(VLOOKUP($C1041,'CEDARS School FRPL'!C:H,3,FALSE),0)</f>
        <v>0.66786666666666672</v>
      </c>
      <c r="N1041" s="123" t="str">
        <f>IFERROR(VLOOKUP(C1041,'CEDARS School FRPL'!C:H,6,FALSE),"No")</f>
        <v>No</v>
      </c>
      <c r="O1041" s="147"/>
      <c r="P1041" s="148"/>
    </row>
    <row r="1042" spans="1:16">
      <c r="A1042" s="95" t="s">
        <v>2270</v>
      </c>
      <c r="B1042" s="95" t="s">
        <v>96</v>
      </c>
      <c r="C1042" s="4">
        <v>5286</v>
      </c>
      <c r="D1042" s="95" t="s">
        <v>99</v>
      </c>
      <c r="E1042" s="145">
        <v>151.94999999999999</v>
      </c>
      <c r="F1042" s="145">
        <v>0</v>
      </c>
      <c r="G1042" s="145">
        <v>0</v>
      </c>
      <c r="H1042" s="145">
        <v>0</v>
      </c>
      <c r="I1042" s="77">
        <f t="shared" si="19"/>
        <v>151.94999999999999</v>
      </c>
      <c r="J1042" s="123" t="str">
        <f>IFERROR(VLOOKUP($C1042,'CEDARS School FRPL'!C:H,4,FALSE),"No")</f>
        <v>Yes</v>
      </c>
      <c r="K1042" s="109"/>
      <c r="L1042" s="109"/>
      <c r="M1042" s="110">
        <f>IFERROR(VLOOKUP($C1042,'CEDARS School FRPL'!C:H,3,FALSE),0)</f>
        <v>0.68079999999999996</v>
      </c>
      <c r="N1042" s="123" t="str">
        <f>IFERROR(VLOOKUP(C1042,'CEDARS School FRPL'!C:H,6,FALSE),"No")</f>
        <v>No</v>
      </c>
      <c r="O1042" s="147"/>
      <c r="P1042" s="148"/>
    </row>
    <row r="1043" spans="1:16">
      <c r="A1043" s="95" t="s">
        <v>2417</v>
      </c>
      <c r="B1043" s="95" t="s">
        <v>1213</v>
      </c>
      <c r="C1043" s="4">
        <v>5444</v>
      </c>
      <c r="D1043" s="95" t="s">
        <v>1214</v>
      </c>
      <c r="E1043" s="145">
        <v>161.62</v>
      </c>
      <c r="F1043" s="145">
        <v>4.71</v>
      </c>
      <c r="G1043" s="145">
        <v>0</v>
      </c>
      <c r="H1043" s="145">
        <v>0</v>
      </c>
      <c r="I1043" s="77">
        <f t="shared" si="19"/>
        <v>166.33</v>
      </c>
      <c r="J1043" s="123" t="str">
        <f>IFERROR(VLOOKUP($C1043,'CEDARS School FRPL'!C:H,4,FALSE),"No")</f>
        <v>Yes</v>
      </c>
      <c r="K1043" s="109"/>
      <c r="L1043" s="109"/>
      <c r="M1043" s="110">
        <f>IFERROR(VLOOKUP($C1043,'CEDARS School FRPL'!C:H,3,FALSE),0)</f>
        <v>0.69873333333333332</v>
      </c>
      <c r="N1043" s="123" t="str">
        <f>IFERROR(VLOOKUP(C1043,'CEDARS School FRPL'!C:H,6,FALSE),"No")</f>
        <v>No</v>
      </c>
      <c r="O1043" s="147"/>
      <c r="P1043" s="148"/>
    </row>
    <row r="1044" spans="1:16">
      <c r="A1044" s="95" t="s">
        <v>2417</v>
      </c>
      <c r="B1044" s="95" t="s">
        <v>1213</v>
      </c>
      <c r="C1044" s="4">
        <v>5445</v>
      </c>
      <c r="D1044" s="95" t="s">
        <v>1215</v>
      </c>
      <c r="E1044" s="145">
        <v>1268.3599999999999</v>
      </c>
      <c r="F1044" s="145">
        <v>0</v>
      </c>
      <c r="G1044" s="145">
        <v>0</v>
      </c>
      <c r="H1044" s="145">
        <v>0</v>
      </c>
      <c r="I1044" s="77">
        <f t="shared" si="19"/>
        <v>1268.3599999999999</v>
      </c>
      <c r="J1044" s="123" t="str">
        <f>IFERROR(VLOOKUP($C1044,'CEDARS School FRPL'!C:H,4,FALSE),"No")</f>
        <v>No</v>
      </c>
      <c r="K1044" s="109"/>
      <c r="L1044" s="109"/>
      <c r="M1044" s="110">
        <f>IFERROR(VLOOKUP($C1044,'CEDARS School FRPL'!C:H,3,FALSE),0)</f>
        <v>0.15590000000000001</v>
      </c>
      <c r="N1044" s="123" t="str">
        <f>IFERROR(VLOOKUP(C1044,'CEDARS School FRPL'!C:H,6,FALSE),"No")</f>
        <v>No</v>
      </c>
      <c r="O1044" s="147"/>
      <c r="P1044" s="148"/>
    </row>
    <row r="1045" spans="1:16">
      <c r="A1045" s="95" t="s">
        <v>2512</v>
      </c>
      <c r="B1045" s="95" t="s">
        <v>1951</v>
      </c>
      <c r="C1045" s="4">
        <v>2297</v>
      </c>
      <c r="D1045" s="95" t="s">
        <v>1952</v>
      </c>
      <c r="E1045" s="145">
        <v>175.71</v>
      </c>
      <c r="F1045" s="145">
        <v>0</v>
      </c>
      <c r="G1045" s="145">
        <v>0</v>
      </c>
      <c r="H1045" s="145">
        <v>0</v>
      </c>
      <c r="I1045" s="77">
        <f t="shared" si="19"/>
        <v>175.71</v>
      </c>
      <c r="J1045" s="123" t="str">
        <f>IFERROR(VLOOKUP($C1045,'CEDARS School FRPL'!C:H,4,FALSE),"No")</f>
        <v>Yes</v>
      </c>
      <c r="K1045" s="109"/>
      <c r="L1045" s="109"/>
      <c r="M1045" s="110">
        <f>IFERROR(VLOOKUP($C1045,'CEDARS School FRPL'!C:H,3,FALSE),0)</f>
        <v>0.73196666666666665</v>
      </c>
      <c r="N1045" s="123" t="str">
        <f>IFERROR(VLOOKUP(C1045,'CEDARS School FRPL'!C:H,6,FALSE),"No")</f>
        <v>No</v>
      </c>
      <c r="O1045" s="147"/>
      <c r="P1045" s="148"/>
    </row>
    <row r="1046" spans="1:16">
      <c r="A1046" s="95" t="s">
        <v>2512</v>
      </c>
      <c r="B1046" s="95" t="s">
        <v>1951</v>
      </c>
      <c r="C1046" s="4">
        <v>3311</v>
      </c>
      <c r="D1046" s="95" t="s">
        <v>1953</v>
      </c>
      <c r="E1046" s="145">
        <v>135.13999999999999</v>
      </c>
      <c r="F1046" s="145">
        <v>6.9</v>
      </c>
      <c r="G1046" s="145">
        <v>0</v>
      </c>
      <c r="H1046" s="145">
        <v>0</v>
      </c>
      <c r="I1046" s="77">
        <f t="shared" si="19"/>
        <v>142.04</v>
      </c>
      <c r="J1046" s="123" t="str">
        <f>IFERROR(VLOOKUP($C1046,'CEDARS School FRPL'!C:H,4,FALSE),"No")</f>
        <v>Yes</v>
      </c>
      <c r="K1046" s="109"/>
      <c r="L1046" s="109"/>
      <c r="M1046" s="110">
        <f>IFERROR(VLOOKUP($C1046,'CEDARS School FRPL'!C:H,3,FALSE),0)</f>
        <v>0.70643333333333336</v>
      </c>
      <c r="N1046" s="123" t="str">
        <f>IFERROR(VLOOKUP(C1046,'CEDARS School FRPL'!C:H,6,FALSE),"No")</f>
        <v>No</v>
      </c>
      <c r="O1046" s="147"/>
      <c r="P1046" s="148"/>
    </row>
    <row r="1047" spans="1:16">
      <c r="A1047" s="95" t="s">
        <v>2512</v>
      </c>
      <c r="B1047" s="95" t="s">
        <v>1951</v>
      </c>
      <c r="C1047" s="4">
        <v>3894</v>
      </c>
      <c r="D1047" s="95" t="s">
        <v>1954</v>
      </c>
      <c r="E1047" s="145">
        <v>94.29</v>
      </c>
      <c r="F1047" s="145">
        <v>0</v>
      </c>
      <c r="G1047" s="145">
        <v>0</v>
      </c>
      <c r="H1047" s="145">
        <v>0</v>
      </c>
      <c r="I1047" s="77">
        <f t="shared" si="19"/>
        <v>94.29</v>
      </c>
      <c r="J1047" s="123" t="str">
        <f>IFERROR(VLOOKUP($C1047,'CEDARS School FRPL'!C:H,4,FALSE),"No")</f>
        <v>Yes</v>
      </c>
      <c r="K1047" s="109"/>
      <c r="L1047" s="109"/>
      <c r="M1047" s="110">
        <f>IFERROR(VLOOKUP($C1047,'CEDARS School FRPL'!C:H,3,FALSE),0)</f>
        <v>0.76989999999999992</v>
      </c>
      <c r="N1047" s="123" t="str">
        <f>IFERROR(VLOOKUP(C1047,'CEDARS School FRPL'!C:H,6,FALSE),"No")</f>
        <v>No</v>
      </c>
      <c r="O1047" s="147"/>
      <c r="P1047" s="148"/>
    </row>
    <row r="1048" spans="1:16">
      <c r="A1048" s="95" t="s">
        <v>2512</v>
      </c>
      <c r="B1048" s="95" t="s">
        <v>1951</v>
      </c>
      <c r="C1048" s="4">
        <v>5446</v>
      </c>
      <c r="D1048" s="95" t="s">
        <v>2889</v>
      </c>
      <c r="E1048" s="145">
        <v>42.94</v>
      </c>
      <c r="F1048" s="145">
        <v>0</v>
      </c>
      <c r="G1048" s="145">
        <v>0</v>
      </c>
      <c r="H1048" s="145">
        <v>0</v>
      </c>
      <c r="I1048" s="77">
        <f t="shared" si="19"/>
        <v>42.94</v>
      </c>
      <c r="J1048" s="123" t="str">
        <f>IFERROR(VLOOKUP($C1048,'CEDARS School FRPL'!C:H,4,FALSE),"No")</f>
        <v>Yes</v>
      </c>
      <c r="K1048" s="109"/>
      <c r="L1048" s="109"/>
      <c r="M1048" s="110">
        <f>IFERROR(VLOOKUP($C1048,'CEDARS School FRPL'!C:H,3,FALSE),0)</f>
        <v>0.71823333333333339</v>
      </c>
      <c r="N1048" s="123" t="str">
        <f>IFERROR(VLOOKUP(C1048,'CEDARS School FRPL'!C:H,6,FALSE),"No")</f>
        <v>No</v>
      </c>
      <c r="O1048" s="147"/>
      <c r="P1048" s="148"/>
    </row>
    <row r="1049" spans="1:16">
      <c r="A1049" s="95" t="s">
        <v>2477</v>
      </c>
      <c r="B1049" s="95" t="s">
        <v>1689</v>
      </c>
      <c r="C1049" s="4">
        <v>1656</v>
      </c>
      <c r="D1049" s="95" t="s">
        <v>1690</v>
      </c>
      <c r="E1049" s="145">
        <v>165.71</v>
      </c>
      <c r="F1049" s="145">
        <v>0</v>
      </c>
      <c r="G1049" s="145">
        <v>0</v>
      </c>
      <c r="H1049" s="145">
        <v>0</v>
      </c>
      <c r="I1049" s="77">
        <f t="shared" si="19"/>
        <v>165.71</v>
      </c>
      <c r="J1049" s="123" t="str">
        <f>IFERROR(VLOOKUP($C1049,'CEDARS School FRPL'!C:H,4,FALSE),"No")</f>
        <v>No</v>
      </c>
      <c r="K1049" s="109"/>
      <c r="L1049" s="109"/>
      <c r="M1049" s="110">
        <f>IFERROR(VLOOKUP($C1049,'CEDARS School FRPL'!C:H,3,FALSE),0)</f>
        <v>0.33929999999999999</v>
      </c>
      <c r="N1049" s="123" t="str">
        <f>IFERROR(VLOOKUP(C1049,'CEDARS School FRPL'!C:H,6,FALSE),"No")</f>
        <v>No</v>
      </c>
      <c r="O1049" s="147"/>
      <c r="P1049" s="148"/>
    </row>
    <row r="1050" spans="1:16">
      <c r="A1050" s="95" t="s">
        <v>2477</v>
      </c>
      <c r="B1050" s="95" t="s">
        <v>1689</v>
      </c>
      <c r="C1050" s="4">
        <v>1657</v>
      </c>
      <c r="D1050" s="95" t="s">
        <v>1691</v>
      </c>
      <c r="E1050" s="145">
        <v>84.61</v>
      </c>
      <c r="F1050" s="145">
        <v>1.28</v>
      </c>
      <c r="G1050" s="145">
        <v>0</v>
      </c>
      <c r="H1050" s="145">
        <v>0</v>
      </c>
      <c r="I1050" s="77">
        <f t="shared" si="19"/>
        <v>85.89</v>
      </c>
      <c r="J1050" s="123" t="str">
        <f>IFERROR(VLOOKUP($C1050,'CEDARS School FRPL'!C:H,4,FALSE),"No")</f>
        <v>Yes</v>
      </c>
      <c r="K1050" s="109"/>
      <c r="L1050" s="109"/>
      <c r="M1050" s="110">
        <f>IFERROR(VLOOKUP($C1050,'CEDARS School FRPL'!C:H,3,FALSE),0)</f>
        <v>0.67649999999999999</v>
      </c>
      <c r="N1050" s="123" t="str">
        <f>IFERROR(VLOOKUP(C1050,'CEDARS School FRPL'!C:H,6,FALSE),"No")</f>
        <v>No</v>
      </c>
      <c r="O1050" s="147"/>
      <c r="P1050" s="148"/>
    </row>
    <row r="1051" spans="1:16">
      <c r="A1051" s="95" t="s">
        <v>2477</v>
      </c>
      <c r="B1051" s="95" t="s">
        <v>1689</v>
      </c>
      <c r="C1051" s="4">
        <v>1744</v>
      </c>
      <c r="D1051" s="95" t="s">
        <v>1692</v>
      </c>
      <c r="E1051" s="145">
        <v>210.07</v>
      </c>
      <c r="F1051" s="145">
        <v>0</v>
      </c>
      <c r="G1051" s="145">
        <v>0</v>
      </c>
      <c r="H1051" s="145">
        <v>0</v>
      </c>
      <c r="I1051" s="77">
        <f t="shared" si="19"/>
        <v>210.07</v>
      </c>
      <c r="J1051" s="123" t="str">
        <f>IFERROR(VLOOKUP($C1051,'CEDARS School FRPL'!C:H,4,FALSE),"No")</f>
        <v>Yes</v>
      </c>
      <c r="K1051" s="109"/>
      <c r="L1051" s="109"/>
      <c r="M1051" s="110">
        <f>IFERROR(VLOOKUP($C1051,'CEDARS School FRPL'!C:H,3,FALSE),0)</f>
        <v>0.50953333333333328</v>
      </c>
      <c r="N1051" s="123" t="str">
        <f>IFERROR(VLOOKUP(C1051,'CEDARS School FRPL'!C:H,6,FALSE),"No")</f>
        <v>No</v>
      </c>
      <c r="O1051" s="147"/>
      <c r="P1051" s="148"/>
    </row>
    <row r="1052" spans="1:16">
      <c r="A1052" s="95" t="s">
        <v>2477</v>
      </c>
      <c r="B1052" s="95" t="s">
        <v>1689</v>
      </c>
      <c r="C1052" s="4">
        <v>1862</v>
      </c>
      <c r="D1052" s="95" t="s">
        <v>1693</v>
      </c>
      <c r="E1052" s="145">
        <v>189.57</v>
      </c>
      <c r="F1052" s="145">
        <v>0</v>
      </c>
      <c r="G1052" s="145">
        <v>0</v>
      </c>
      <c r="H1052" s="145">
        <v>0</v>
      </c>
      <c r="I1052" s="77">
        <f t="shared" si="19"/>
        <v>189.57</v>
      </c>
      <c r="J1052" s="123" t="str">
        <f>IFERROR(VLOOKUP($C1052,'CEDARS School FRPL'!C:H,4,FALSE),"No")</f>
        <v>No</v>
      </c>
      <c r="K1052" s="109"/>
      <c r="L1052" s="109"/>
      <c r="M1052" s="110">
        <f>IFERROR(VLOOKUP($C1052,'CEDARS School FRPL'!C:H,3,FALSE),0)</f>
        <v>0.22053333333333333</v>
      </c>
      <c r="N1052" s="123" t="str">
        <f>IFERROR(VLOOKUP(C1052,'CEDARS School FRPL'!C:H,6,FALSE),"No")</f>
        <v>No</v>
      </c>
      <c r="O1052" s="147"/>
      <c r="P1052" s="148"/>
    </row>
    <row r="1053" spans="1:16">
      <c r="A1053" s="95" t="s">
        <v>2477</v>
      </c>
      <c r="B1053" s="95" t="s">
        <v>1689</v>
      </c>
      <c r="C1053" s="4">
        <v>1910</v>
      </c>
      <c r="D1053" s="95" t="s">
        <v>1694</v>
      </c>
      <c r="E1053" s="145">
        <v>23.94</v>
      </c>
      <c r="F1053" s="145">
        <v>0</v>
      </c>
      <c r="G1053" s="145">
        <v>0</v>
      </c>
      <c r="H1053" s="145">
        <v>0</v>
      </c>
      <c r="I1053" s="77">
        <f t="shared" si="19"/>
        <v>23.94</v>
      </c>
      <c r="J1053" s="123" t="str">
        <f>IFERROR(VLOOKUP($C1053,'CEDARS School FRPL'!C:H,4,FALSE),"No")</f>
        <v>No</v>
      </c>
      <c r="K1053" s="109"/>
      <c r="L1053" s="109"/>
      <c r="M1053" s="110">
        <f>IFERROR(VLOOKUP($C1053,'CEDARS School FRPL'!C:H,3,FALSE),0)</f>
        <v>0.44403333333333334</v>
      </c>
      <c r="N1053" s="123" t="str">
        <f>IFERROR(VLOOKUP(C1053,'CEDARS School FRPL'!C:H,6,FALSE),"No")</f>
        <v>No</v>
      </c>
      <c r="O1053" s="147"/>
      <c r="P1053" s="148"/>
    </row>
    <row r="1054" spans="1:16">
      <c r="A1054" s="95" t="s">
        <v>2477</v>
      </c>
      <c r="B1054" s="95" t="s">
        <v>1689</v>
      </c>
      <c r="C1054" s="4">
        <v>1927</v>
      </c>
      <c r="D1054" s="95" t="s">
        <v>34</v>
      </c>
      <c r="E1054" s="145">
        <v>306.7</v>
      </c>
      <c r="F1054" s="145">
        <v>5.22</v>
      </c>
      <c r="G1054" s="145">
        <v>0</v>
      </c>
      <c r="H1054" s="145">
        <v>0</v>
      </c>
      <c r="I1054" s="77">
        <f t="shared" si="19"/>
        <v>311.92</v>
      </c>
      <c r="J1054" s="123" t="str">
        <f>IFERROR(VLOOKUP($C1054,'CEDARS School FRPL'!C:H,4,FALSE),"No")</f>
        <v>Yes</v>
      </c>
      <c r="K1054" s="109"/>
      <c r="L1054" s="109"/>
      <c r="M1054" s="110">
        <f>IFERROR(VLOOKUP($C1054,'CEDARS School FRPL'!C:H,3,FALSE),0)</f>
        <v>0.54723333333333335</v>
      </c>
      <c r="N1054" s="123" t="str">
        <f>IFERROR(VLOOKUP(C1054,'CEDARS School FRPL'!C:H,6,FALSE),"No")</f>
        <v>No</v>
      </c>
      <c r="O1054" s="147"/>
      <c r="P1054" s="148"/>
    </row>
    <row r="1055" spans="1:16">
      <c r="A1055" s="95" t="s">
        <v>2477</v>
      </c>
      <c r="B1055" s="95" t="s">
        <v>1689</v>
      </c>
      <c r="C1055" s="4">
        <v>2813</v>
      </c>
      <c r="D1055" s="95" t="s">
        <v>657</v>
      </c>
      <c r="E1055" s="145">
        <v>553.58000000000004</v>
      </c>
      <c r="F1055" s="145">
        <v>0</v>
      </c>
      <c r="G1055" s="145">
        <v>0</v>
      </c>
      <c r="H1055" s="145">
        <v>0</v>
      </c>
      <c r="I1055" s="77">
        <f t="shared" si="19"/>
        <v>553.58000000000004</v>
      </c>
      <c r="J1055" s="123" t="str">
        <f>IFERROR(VLOOKUP($C1055,'CEDARS School FRPL'!C:H,4,FALSE),"No")</f>
        <v>Yes</v>
      </c>
      <c r="K1055" s="109"/>
      <c r="L1055" s="109"/>
      <c r="M1055" s="110">
        <f>IFERROR(VLOOKUP($C1055,'CEDARS School FRPL'!C:H,3,FALSE),0)</f>
        <v>0.60353333333333337</v>
      </c>
      <c r="N1055" s="123" t="str">
        <f>IFERROR(VLOOKUP(C1055,'CEDARS School FRPL'!C:H,6,FALSE),"No")</f>
        <v>No</v>
      </c>
      <c r="O1055" s="147"/>
      <c r="P1055" s="148"/>
    </row>
    <row r="1056" spans="1:16">
      <c r="A1056" s="95" t="s">
        <v>2477</v>
      </c>
      <c r="B1056" s="95" t="s">
        <v>1689</v>
      </c>
      <c r="C1056" s="4">
        <v>3059</v>
      </c>
      <c r="D1056" s="95" t="s">
        <v>352</v>
      </c>
      <c r="E1056" s="145">
        <v>383.71</v>
      </c>
      <c r="F1056" s="145">
        <v>0</v>
      </c>
      <c r="G1056" s="145">
        <v>0</v>
      </c>
      <c r="H1056" s="145">
        <v>0</v>
      </c>
      <c r="I1056" s="77">
        <f t="shared" si="19"/>
        <v>383.71</v>
      </c>
      <c r="J1056" s="123" t="str">
        <f>IFERROR(VLOOKUP($C1056,'CEDARS School FRPL'!C:H,4,FALSE),"No")</f>
        <v>Yes</v>
      </c>
      <c r="K1056" s="109"/>
      <c r="L1056" s="109"/>
      <c r="M1056" s="110">
        <f>IFERROR(VLOOKUP($C1056,'CEDARS School FRPL'!C:H,3,FALSE),0)</f>
        <v>0.53233333333333344</v>
      </c>
      <c r="N1056" s="123" t="str">
        <f>IFERROR(VLOOKUP(C1056,'CEDARS School FRPL'!C:H,6,FALSE),"No")</f>
        <v>No</v>
      </c>
      <c r="O1056" s="147"/>
      <c r="P1056" s="148"/>
    </row>
    <row r="1057" spans="1:16">
      <c r="A1057" s="95" t="s">
        <v>2477</v>
      </c>
      <c r="B1057" s="95" t="s">
        <v>1689</v>
      </c>
      <c r="C1057" s="4">
        <v>3187</v>
      </c>
      <c r="D1057" s="95" t="s">
        <v>1695</v>
      </c>
      <c r="E1057" s="145">
        <v>387.7</v>
      </c>
      <c r="F1057" s="145">
        <v>0</v>
      </c>
      <c r="G1057" s="145">
        <v>0</v>
      </c>
      <c r="H1057" s="145">
        <v>0</v>
      </c>
      <c r="I1057" s="77">
        <f t="shared" si="19"/>
        <v>387.7</v>
      </c>
      <c r="J1057" s="123" t="str">
        <f>IFERROR(VLOOKUP($C1057,'CEDARS School FRPL'!C:H,4,FALSE),"No")</f>
        <v>Yes</v>
      </c>
      <c r="K1057" s="109"/>
      <c r="L1057" s="109"/>
      <c r="M1057" s="110">
        <f>IFERROR(VLOOKUP($C1057,'CEDARS School FRPL'!C:H,3,FALSE),0)</f>
        <v>0.52453333333333341</v>
      </c>
      <c r="N1057" s="123" t="str">
        <f>IFERROR(VLOOKUP(C1057,'CEDARS School FRPL'!C:H,6,FALSE),"No")</f>
        <v>No</v>
      </c>
      <c r="O1057" s="147"/>
      <c r="P1057" s="148"/>
    </row>
    <row r="1058" spans="1:16">
      <c r="A1058" s="95" t="s">
        <v>2477</v>
      </c>
      <c r="B1058" s="95" t="s">
        <v>1689</v>
      </c>
      <c r="C1058" s="4">
        <v>3355</v>
      </c>
      <c r="D1058" s="95" t="s">
        <v>1696</v>
      </c>
      <c r="E1058" s="145">
        <v>728.37</v>
      </c>
      <c r="F1058" s="145">
        <v>0</v>
      </c>
      <c r="G1058" s="145">
        <v>0</v>
      </c>
      <c r="H1058" s="145">
        <v>0</v>
      </c>
      <c r="I1058" s="77">
        <f t="shared" si="19"/>
        <v>728.37</v>
      </c>
      <c r="J1058" s="123" t="str">
        <f>IFERROR(VLOOKUP($C1058,'CEDARS School FRPL'!C:H,4,FALSE),"No")</f>
        <v>Yes</v>
      </c>
      <c r="K1058" s="109"/>
      <c r="L1058" s="109"/>
      <c r="M1058" s="110">
        <f>IFERROR(VLOOKUP($C1058,'CEDARS School FRPL'!C:H,3,FALSE),0)</f>
        <v>0.5364000000000001</v>
      </c>
      <c r="N1058" s="123" t="str">
        <f>IFERROR(VLOOKUP(C1058,'CEDARS School FRPL'!C:H,6,FALSE),"No")</f>
        <v>No</v>
      </c>
      <c r="O1058" s="147"/>
      <c r="P1058" s="148"/>
    </row>
    <row r="1059" spans="1:16">
      <c r="A1059" s="95" t="s">
        <v>2477</v>
      </c>
      <c r="B1059" s="95" t="s">
        <v>1689</v>
      </c>
      <c r="C1059" s="4">
        <v>3537</v>
      </c>
      <c r="D1059" s="95" t="s">
        <v>1697</v>
      </c>
      <c r="E1059" s="145">
        <v>475.02</v>
      </c>
      <c r="F1059" s="145">
        <v>0</v>
      </c>
      <c r="G1059" s="145">
        <v>0</v>
      </c>
      <c r="H1059" s="145">
        <v>0</v>
      </c>
      <c r="I1059" s="77">
        <f t="shared" si="19"/>
        <v>475.02</v>
      </c>
      <c r="J1059" s="123" t="str">
        <f>IFERROR(VLOOKUP($C1059,'CEDARS School FRPL'!C:H,4,FALSE),"No")</f>
        <v>No</v>
      </c>
      <c r="K1059" s="109"/>
      <c r="L1059" s="109"/>
      <c r="M1059" s="110">
        <f>IFERROR(VLOOKUP($C1059,'CEDARS School FRPL'!C:H,3,FALSE),0)</f>
        <v>0.34993333333333326</v>
      </c>
      <c r="N1059" s="123" t="str">
        <f>IFERROR(VLOOKUP(C1059,'CEDARS School FRPL'!C:H,6,FALSE),"No")</f>
        <v>No</v>
      </c>
      <c r="O1059" s="147"/>
      <c r="P1059" s="148"/>
    </row>
    <row r="1060" spans="1:16">
      <c r="A1060" s="95" t="s">
        <v>2477</v>
      </c>
      <c r="B1060" s="95" t="s">
        <v>1689</v>
      </c>
      <c r="C1060" s="4">
        <v>3651</v>
      </c>
      <c r="D1060" s="95" t="s">
        <v>1698</v>
      </c>
      <c r="E1060" s="145">
        <v>471.43</v>
      </c>
      <c r="F1060" s="145">
        <v>0</v>
      </c>
      <c r="G1060" s="145">
        <v>0</v>
      </c>
      <c r="H1060" s="145">
        <v>0</v>
      </c>
      <c r="I1060" s="77">
        <f t="shared" si="19"/>
        <v>471.43</v>
      </c>
      <c r="J1060" s="123" t="str">
        <f>IFERROR(VLOOKUP($C1060,'CEDARS School FRPL'!C:H,4,FALSE),"No")</f>
        <v>No</v>
      </c>
      <c r="K1060" s="109"/>
      <c r="L1060" s="109"/>
      <c r="M1060" s="110">
        <f>IFERROR(VLOOKUP($C1060,'CEDARS School FRPL'!C:H,3,FALSE),0)</f>
        <v>0.42609999999999998</v>
      </c>
      <c r="N1060" s="123" t="str">
        <f>IFERROR(VLOOKUP(C1060,'CEDARS School FRPL'!C:H,6,FALSE),"No")</f>
        <v>No</v>
      </c>
      <c r="O1060" s="147"/>
      <c r="P1060" s="148"/>
    </row>
    <row r="1061" spans="1:16">
      <c r="A1061" s="95" t="s">
        <v>2477</v>
      </c>
      <c r="B1061" s="95" t="s">
        <v>1689</v>
      </c>
      <c r="C1061" s="4">
        <v>3964</v>
      </c>
      <c r="D1061" s="95" t="s">
        <v>1699</v>
      </c>
      <c r="E1061" s="145">
        <v>416.33</v>
      </c>
      <c r="F1061" s="145">
        <v>0</v>
      </c>
      <c r="G1061" s="145">
        <v>0</v>
      </c>
      <c r="H1061" s="145">
        <v>0</v>
      </c>
      <c r="I1061" s="77">
        <f t="shared" si="19"/>
        <v>416.33</v>
      </c>
      <c r="J1061" s="123" t="str">
        <f>IFERROR(VLOOKUP($C1061,'CEDARS School FRPL'!C:H,4,FALSE),"No")</f>
        <v>Yes</v>
      </c>
      <c r="K1061" s="109"/>
      <c r="L1061" s="109"/>
      <c r="M1061" s="110">
        <f>IFERROR(VLOOKUP($C1061,'CEDARS School FRPL'!C:H,3,FALSE),0)</f>
        <v>0.70000000000000007</v>
      </c>
      <c r="N1061" s="123" t="str">
        <f>IFERROR(VLOOKUP(C1061,'CEDARS School FRPL'!C:H,6,FALSE),"No")</f>
        <v>No</v>
      </c>
      <c r="O1061" s="147"/>
      <c r="P1061" s="148"/>
    </row>
    <row r="1062" spans="1:16">
      <c r="A1062" s="95" t="s">
        <v>2477</v>
      </c>
      <c r="B1062" s="95" t="s">
        <v>1689</v>
      </c>
      <c r="C1062" s="4">
        <v>4150</v>
      </c>
      <c r="D1062" s="95" t="s">
        <v>1700</v>
      </c>
      <c r="E1062" s="145">
        <v>327.9</v>
      </c>
      <c r="F1062" s="145">
        <v>0</v>
      </c>
      <c r="G1062" s="145">
        <v>0</v>
      </c>
      <c r="H1062" s="145">
        <v>0</v>
      </c>
      <c r="I1062" s="77">
        <f t="shared" si="19"/>
        <v>327.9</v>
      </c>
      <c r="J1062" s="123" t="str">
        <f>IFERROR(VLOOKUP($C1062,'CEDARS School FRPL'!C:H,4,FALSE),"No")</f>
        <v>Yes</v>
      </c>
      <c r="K1062" s="109"/>
      <c r="L1062" s="109"/>
      <c r="M1062" s="110">
        <f>IFERROR(VLOOKUP($C1062,'CEDARS School FRPL'!C:H,3,FALSE),0)</f>
        <v>0.53853333333333342</v>
      </c>
      <c r="N1062" s="123" t="str">
        <f>IFERROR(VLOOKUP(C1062,'CEDARS School FRPL'!C:H,6,FALSE),"No")</f>
        <v>No</v>
      </c>
      <c r="O1062" s="147"/>
      <c r="P1062" s="148"/>
    </row>
    <row r="1063" spans="1:16">
      <c r="A1063" s="95" t="s">
        <v>2477</v>
      </c>
      <c r="B1063" s="95" t="s">
        <v>1689</v>
      </c>
      <c r="C1063" s="4">
        <v>4323</v>
      </c>
      <c r="D1063" s="95" t="s">
        <v>1701</v>
      </c>
      <c r="E1063" s="145">
        <v>461.41</v>
      </c>
      <c r="F1063" s="145">
        <v>0</v>
      </c>
      <c r="G1063" s="145">
        <v>0</v>
      </c>
      <c r="H1063" s="145">
        <v>0</v>
      </c>
      <c r="I1063" s="77">
        <f t="shared" si="19"/>
        <v>461.41</v>
      </c>
      <c r="J1063" s="123" t="str">
        <f>IFERROR(VLOOKUP($C1063,'CEDARS School FRPL'!C:H,4,FALSE),"No")</f>
        <v>Yes</v>
      </c>
      <c r="K1063" s="109"/>
      <c r="L1063" s="109"/>
      <c r="M1063" s="110">
        <f>IFERROR(VLOOKUP($C1063,'CEDARS School FRPL'!C:H,3,FALSE),0)</f>
        <v>0.51223333333333343</v>
      </c>
      <c r="N1063" s="123" t="str">
        <f>IFERROR(VLOOKUP(C1063,'CEDARS School FRPL'!C:H,6,FALSE),"No")</f>
        <v>No</v>
      </c>
      <c r="O1063" s="147"/>
      <c r="P1063" s="148"/>
    </row>
    <row r="1064" spans="1:16">
      <c r="A1064" s="95" t="s">
        <v>2477</v>
      </c>
      <c r="B1064" s="95" t="s">
        <v>1689</v>
      </c>
      <c r="C1064" s="4">
        <v>4357</v>
      </c>
      <c r="D1064" s="95" t="s">
        <v>1702</v>
      </c>
      <c r="E1064" s="145">
        <v>793.45</v>
      </c>
      <c r="F1064" s="145">
        <v>0</v>
      </c>
      <c r="G1064" s="145">
        <v>0</v>
      </c>
      <c r="H1064" s="145">
        <v>0</v>
      </c>
      <c r="I1064" s="77">
        <f t="shared" si="19"/>
        <v>793.45</v>
      </c>
      <c r="J1064" s="123" t="str">
        <f>IFERROR(VLOOKUP($C1064,'CEDARS School FRPL'!C:H,4,FALSE),"No")</f>
        <v>Yes</v>
      </c>
      <c r="K1064" s="109"/>
      <c r="L1064" s="109"/>
      <c r="M1064" s="110">
        <f>IFERROR(VLOOKUP($C1064,'CEDARS School FRPL'!C:H,3,FALSE),0)</f>
        <v>0.53323333333333334</v>
      </c>
      <c r="N1064" s="123" t="str">
        <f>IFERROR(VLOOKUP(C1064,'CEDARS School FRPL'!C:H,6,FALSE),"No")</f>
        <v>No</v>
      </c>
      <c r="O1064" s="147"/>
      <c r="P1064" s="148"/>
    </row>
    <row r="1065" spans="1:16">
      <c r="A1065" s="95" t="s">
        <v>2477</v>
      </c>
      <c r="B1065" s="95" t="s">
        <v>1689</v>
      </c>
      <c r="C1065" s="4">
        <v>4454</v>
      </c>
      <c r="D1065" s="95" t="s">
        <v>1703</v>
      </c>
      <c r="E1065" s="145">
        <v>425.36</v>
      </c>
      <c r="F1065" s="145">
        <v>0</v>
      </c>
      <c r="G1065" s="145">
        <v>0</v>
      </c>
      <c r="H1065" s="145">
        <v>0</v>
      </c>
      <c r="I1065" s="77">
        <f t="shared" si="19"/>
        <v>425.36</v>
      </c>
      <c r="J1065" s="123" t="str">
        <f>IFERROR(VLOOKUP($C1065,'CEDARS School FRPL'!C:H,4,FALSE),"No")</f>
        <v>No</v>
      </c>
      <c r="K1065" s="109"/>
      <c r="L1065" s="109"/>
      <c r="M1065" s="110">
        <f>IFERROR(VLOOKUP($C1065,'CEDARS School FRPL'!C:H,3,FALSE),0)</f>
        <v>0.42406666666666665</v>
      </c>
      <c r="N1065" s="123" t="str">
        <f>IFERROR(VLOOKUP(C1065,'CEDARS School FRPL'!C:H,6,FALSE),"No")</f>
        <v>No</v>
      </c>
      <c r="O1065" s="147"/>
      <c r="P1065" s="148"/>
    </row>
    <row r="1066" spans="1:16">
      <c r="A1066" s="95" t="s">
        <v>2477</v>
      </c>
      <c r="B1066" s="95" t="s">
        <v>1689</v>
      </c>
      <c r="C1066" s="4">
        <v>5123</v>
      </c>
      <c r="D1066" s="95" t="s">
        <v>1704</v>
      </c>
      <c r="E1066" s="145">
        <v>364.21</v>
      </c>
      <c r="F1066" s="145">
        <v>0</v>
      </c>
      <c r="G1066" s="145">
        <v>0</v>
      </c>
      <c r="H1066" s="145">
        <v>0</v>
      </c>
      <c r="I1066" s="77">
        <f t="shared" si="19"/>
        <v>364.21</v>
      </c>
      <c r="J1066" s="123" t="str">
        <f>IFERROR(VLOOKUP($C1066,'CEDARS School FRPL'!C:H,4,FALSE),"No")</f>
        <v>No</v>
      </c>
      <c r="K1066" s="109"/>
      <c r="L1066" s="109"/>
      <c r="M1066" s="110">
        <f>IFERROR(VLOOKUP($C1066,'CEDARS School FRPL'!C:H,3,FALSE),0)</f>
        <v>0.42846666666666672</v>
      </c>
      <c r="N1066" s="123" t="str">
        <f>IFERROR(VLOOKUP(C1066,'CEDARS School FRPL'!C:H,6,FALSE),"No")</f>
        <v>No</v>
      </c>
      <c r="O1066" s="147"/>
      <c r="P1066" s="148"/>
    </row>
    <row r="1067" spans="1:16">
      <c r="A1067" s="95" t="s">
        <v>2477</v>
      </c>
      <c r="B1067" s="95" t="s">
        <v>1689</v>
      </c>
      <c r="C1067" s="4">
        <v>5213</v>
      </c>
      <c r="D1067" s="95" t="s">
        <v>1705</v>
      </c>
      <c r="E1067" s="145">
        <v>1097</v>
      </c>
      <c r="F1067" s="145">
        <v>45.83</v>
      </c>
      <c r="G1067" s="145">
        <v>0</v>
      </c>
      <c r="H1067" s="145">
        <v>0</v>
      </c>
      <c r="I1067" s="77">
        <f t="shared" si="19"/>
        <v>1142.83</v>
      </c>
      <c r="J1067" s="123" t="str">
        <f>IFERROR(VLOOKUP($C1067,'CEDARS School FRPL'!C:H,4,FALSE),"No")</f>
        <v>Yes</v>
      </c>
      <c r="K1067" s="109"/>
      <c r="L1067" s="109"/>
      <c r="M1067" s="110">
        <f>IFERROR(VLOOKUP($C1067,'CEDARS School FRPL'!C:H,3,FALSE),0)</f>
        <v>0.51739999999999997</v>
      </c>
      <c r="N1067" s="123" t="str">
        <f>IFERROR(VLOOKUP(C1067,'CEDARS School FRPL'!C:H,6,FALSE),"No")</f>
        <v>No</v>
      </c>
      <c r="O1067" s="147"/>
      <c r="P1067" s="148"/>
    </row>
    <row r="1068" spans="1:16">
      <c r="A1068" s="95" t="s">
        <v>2477</v>
      </c>
      <c r="B1068" s="95" t="s">
        <v>1689</v>
      </c>
      <c r="C1068" s="4">
        <v>5350</v>
      </c>
      <c r="D1068" s="95" t="s">
        <v>1706</v>
      </c>
      <c r="E1068" s="145">
        <v>474.31</v>
      </c>
      <c r="F1068" s="145">
        <v>0</v>
      </c>
      <c r="G1068" s="145">
        <v>0</v>
      </c>
      <c r="H1068" s="145">
        <v>0</v>
      </c>
      <c r="I1068" s="77">
        <f t="shared" si="19"/>
        <v>474.31</v>
      </c>
      <c r="J1068" s="123" t="str">
        <f>IFERROR(VLOOKUP($C1068,'CEDARS School FRPL'!C:H,4,FALSE),"No")</f>
        <v>Yes</v>
      </c>
      <c r="K1068" s="109"/>
      <c r="L1068" s="109"/>
      <c r="M1068" s="110">
        <f>IFERROR(VLOOKUP($C1068,'CEDARS School FRPL'!C:H,3,FALSE),0)</f>
        <v>0.69123333333333337</v>
      </c>
      <c r="N1068" s="123" t="str">
        <f>IFERROR(VLOOKUP(C1068,'CEDARS School FRPL'!C:H,6,FALSE),"No")</f>
        <v>No</v>
      </c>
      <c r="O1068" s="147"/>
      <c r="P1068" s="148"/>
    </row>
    <row r="1069" spans="1:16">
      <c r="A1069" s="95" t="s">
        <v>2477</v>
      </c>
      <c r="B1069" s="95" t="s">
        <v>1689</v>
      </c>
      <c r="C1069" s="4">
        <v>5402</v>
      </c>
      <c r="D1069" s="95" t="s">
        <v>1707</v>
      </c>
      <c r="E1069" s="145">
        <v>0</v>
      </c>
      <c r="F1069" s="145">
        <v>0</v>
      </c>
      <c r="G1069" s="145">
        <v>79.94</v>
      </c>
      <c r="H1069" s="145">
        <v>0</v>
      </c>
      <c r="I1069" s="77">
        <f t="shared" si="19"/>
        <v>79.94</v>
      </c>
      <c r="J1069" s="123" t="str">
        <f>IFERROR(VLOOKUP($C1069,'CEDARS School FRPL'!C:H,4,FALSE),"No")</f>
        <v>Yes</v>
      </c>
      <c r="K1069" s="109"/>
      <c r="L1069" s="109"/>
      <c r="M1069" s="110">
        <f>IFERROR(VLOOKUP($C1069,'CEDARS School FRPL'!C:H,3,FALSE),0)</f>
        <v>0.58040000000000003</v>
      </c>
      <c r="N1069" s="123" t="str">
        <f>IFERROR(VLOOKUP(C1069,'CEDARS School FRPL'!C:H,6,FALSE),"No")</f>
        <v>No</v>
      </c>
      <c r="O1069" s="147"/>
      <c r="P1069" s="148"/>
    </row>
    <row r="1070" spans="1:16">
      <c r="A1070" s="95" t="s">
        <v>2477</v>
      </c>
      <c r="B1070" s="95" t="s">
        <v>1689</v>
      </c>
      <c r="C1070" s="4">
        <v>5478</v>
      </c>
      <c r="D1070" s="95" t="s">
        <v>2723</v>
      </c>
      <c r="E1070" s="145">
        <v>1311.73</v>
      </c>
      <c r="F1070" s="145">
        <v>109.07</v>
      </c>
      <c r="G1070" s="145">
        <v>0</v>
      </c>
      <c r="H1070" s="145">
        <v>0</v>
      </c>
      <c r="I1070" s="77">
        <f t="shared" si="19"/>
        <v>1420.8</v>
      </c>
      <c r="J1070" s="123" t="str">
        <f>IFERROR(VLOOKUP($C1070,'CEDARS School FRPL'!C:H,4,FALSE),"No")</f>
        <v>No</v>
      </c>
      <c r="K1070" s="109"/>
      <c r="L1070" s="109"/>
      <c r="M1070" s="110">
        <f>IFERROR(VLOOKUP($C1070,'CEDARS School FRPL'!C:H,3,FALSE),0)</f>
        <v>0.37633333333333335</v>
      </c>
      <c r="N1070" s="123" t="str">
        <f>IFERROR(VLOOKUP(C1070,'CEDARS School FRPL'!C:H,6,FALSE),"No")</f>
        <v>No</v>
      </c>
      <c r="O1070" s="147"/>
      <c r="P1070" s="148"/>
    </row>
    <row r="1071" spans="1:16">
      <c r="A1071" s="95" t="s">
        <v>2330</v>
      </c>
      <c r="B1071" s="95" t="s">
        <v>485</v>
      </c>
      <c r="C1071" s="4">
        <v>2835</v>
      </c>
      <c r="D1071" s="95" t="s">
        <v>486</v>
      </c>
      <c r="E1071" s="145">
        <v>290.92</v>
      </c>
      <c r="F1071" s="145">
        <v>0</v>
      </c>
      <c r="G1071" s="145">
        <v>0</v>
      </c>
      <c r="H1071" s="145">
        <v>0</v>
      </c>
      <c r="I1071" s="77">
        <f t="shared" si="19"/>
        <v>290.92</v>
      </c>
      <c r="J1071" s="123" t="str">
        <f>IFERROR(VLOOKUP($C1071,'CEDARS School FRPL'!C:H,4,FALSE),"No")</f>
        <v>Yes</v>
      </c>
      <c r="K1071" s="109"/>
      <c r="L1071" s="109"/>
      <c r="M1071" s="110">
        <f>IFERROR(VLOOKUP($C1071,'CEDARS School FRPL'!C:H,3,FALSE),0)</f>
        <v>0.48996666666666666</v>
      </c>
      <c r="N1071" s="123" t="str">
        <f>IFERROR(VLOOKUP(C1071,'CEDARS School FRPL'!C:H,6,FALSE),"No")</f>
        <v>No</v>
      </c>
      <c r="O1071" s="147"/>
      <c r="P1071" s="148"/>
    </row>
    <row r="1072" spans="1:16">
      <c r="A1072" s="95" t="s">
        <v>2491</v>
      </c>
      <c r="B1072" s="95" t="s">
        <v>1837</v>
      </c>
      <c r="C1072" s="4">
        <v>1858</v>
      </c>
      <c r="D1072" s="95" t="s">
        <v>1838</v>
      </c>
      <c r="E1072" s="145">
        <v>591.11</v>
      </c>
      <c r="F1072" s="145">
        <v>39.07</v>
      </c>
      <c r="G1072" s="145">
        <v>0</v>
      </c>
      <c r="H1072" s="145">
        <v>0</v>
      </c>
      <c r="I1072" s="77">
        <f t="shared" si="19"/>
        <v>630.18000000000006</v>
      </c>
      <c r="J1072" s="123" t="str">
        <f>IFERROR(VLOOKUP($C1072,'CEDARS School FRPL'!C:H,4,FALSE),"No")</f>
        <v>No</v>
      </c>
      <c r="K1072" s="109"/>
      <c r="L1072" s="109"/>
      <c r="M1072" s="110">
        <f>IFERROR(VLOOKUP($C1072,'CEDARS School FRPL'!C:H,3,FALSE),0)</f>
        <v>0.25409999999999999</v>
      </c>
      <c r="N1072" s="123" t="str">
        <f>IFERROR(VLOOKUP(C1072,'CEDARS School FRPL'!C:H,6,FALSE),"No")</f>
        <v>No</v>
      </c>
      <c r="O1072" s="147"/>
      <c r="P1072" s="148"/>
    </row>
    <row r="1073" spans="1:16">
      <c r="A1073" s="95" t="s">
        <v>2491</v>
      </c>
      <c r="B1073" s="95" t="s">
        <v>1837</v>
      </c>
      <c r="C1073" s="4">
        <v>2402</v>
      </c>
      <c r="D1073" s="95" t="s">
        <v>1839</v>
      </c>
      <c r="E1073" s="145">
        <v>1629.48</v>
      </c>
      <c r="F1073" s="145">
        <v>131.53</v>
      </c>
      <c r="G1073" s="145">
        <v>0</v>
      </c>
      <c r="H1073" s="145">
        <v>0</v>
      </c>
      <c r="I1073" s="77">
        <f t="shared" si="19"/>
        <v>1761.01</v>
      </c>
      <c r="J1073" s="123" t="str">
        <f>IFERROR(VLOOKUP($C1073,'CEDARS School FRPL'!C:H,4,FALSE),"No")</f>
        <v>No</v>
      </c>
      <c r="K1073" s="109"/>
      <c r="L1073" s="109"/>
      <c r="M1073" s="110">
        <f>IFERROR(VLOOKUP($C1073,'CEDARS School FRPL'!C:H,3,FALSE),0)</f>
        <v>0.22823333333333332</v>
      </c>
      <c r="N1073" s="123" t="str">
        <f>IFERROR(VLOOKUP(C1073,'CEDARS School FRPL'!C:H,6,FALSE),"No")</f>
        <v>No</v>
      </c>
      <c r="O1073" s="147"/>
      <c r="P1073" s="148"/>
    </row>
    <row r="1074" spans="1:16">
      <c r="A1074" s="95" t="s">
        <v>2491</v>
      </c>
      <c r="B1074" s="95" t="s">
        <v>1837</v>
      </c>
      <c r="C1074" s="4">
        <v>3191</v>
      </c>
      <c r="D1074" s="95" t="s">
        <v>1840</v>
      </c>
      <c r="E1074" s="145">
        <v>755.12</v>
      </c>
      <c r="F1074" s="145">
        <v>0</v>
      </c>
      <c r="G1074" s="145">
        <v>0</v>
      </c>
      <c r="H1074" s="145">
        <v>0</v>
      </c>
      <c r="I1074" s="77">
        <f t="shared" si="19"/>
        <v>755.12</v>
      </c>
      <c r="J1074" s="123" t="str">
        <f>IFERROR(VLOOKUP($C1074,'CEDARS School FRPL'!C:H,4,FALSE),"No")</f>
        <v>No</v>
      </c>
      <c r="K1074" s="109"/>
      <c r="L1074" s="109"/>
      <c r="M1074" s="110">
        <f>IFERROR(VLOOKUP($C1074,'CEDARS School FRPL'!C:H,3,FALSE),0)</f>
        <v>0.31929999999999997</v>
      </c>
      <c r="N1074" s="123" t="str">
        <f>IFERROR(VLOOKUP(C1074,'CEDARS School FRPL'!C:H,6,FALSE),"No")</f>
        <v>No</v>
      </c>
      <c r="O1074" s="147"/>
      <c r="P1074" s="148"/>
    </row>
    <row r="1075" spans="1:16">
      <c r="A1075" s="95" t="s">
        <v>2491</v>
      </c>
      <c r="B1075" s="95" t="s">
        <v>1837</v>
      </c>
      <c r="C1075" s="4">
        <v>3414</v>
      </c>
      <c r="D1075" s="95" t="s">
        <v>1209</v>
      </c>
      <c r="E1075" s="145">
        <v>482.14</v>
      </c>
      <c r="F1075" s="145">
        <v>0</v>
      </c>
      <c r="G1075" s="145">
        <v>0</v>
      </c>
      <c r="H1075" s="145">
        <v>0</v>
      </c>
      <c r="I1075" s="77">
        <f t="shared" si="19"/>
        <v>482.14</v>
      </c>
      <c r="J1075" s="123" t="str">
        <f>IFERROR(VLOOKUP($C1075,'CEDARS School FRPL'!C:H,4,FALSE),"No")</f>
        <v>No</v>
      </c>
      <c r="K1075" s="109"/>
      <c r="L1075" s="109"/>
      <c r="M1075" s="110">
        <f>IFERROR(VLOOKUP($C1075,'CEDARS School FRPL'!C:H,3,FALSE),0)</f>
        <v>0.39860000000000001</v>
      </c>
      <c r="N1075" s="123" t="str">
        <f>IFERROR(VLOOKUP(C1075,'CEDARS School FRPL'!C:H,6,FALSE),"No")</f>
        <v>No</v>
      </c>
      <c r="O1075" s="147"/>
      <c r="P1075" s="148"/>
    </row>
    <row r="1076" spans="1:16">
      <c r="A1076" s="95" t="s">
        <v>2491</v>
      </c>
      <c r="B1076" s="95" t="s">
        <v>1837</v>
      </c>
      <c r="C1076" s="4">
        <v>3562</v>
      </c>
      <c r="D1076" s="95" t="s">
        <v>1841</v>
      </c>
      <c r="E1076" s="145">
        <v>426.86</v>
      </c>
      <c r="F1076" s="145">
        <v>0</v>
      </c>
      <c r="G1076" s="145">
        <v>0</v>
      </c>
      <c r="H1076" s="145">
        <v>0</v>
      </c>
      <c r="I1076" s="77">
        <f t="shared" si="19"/>
        <v>426.86</v>
      </c>
      <c r="J1076" s="123" t="str">
        <f>IFERROR(VLOOKUP($C1076,'CEDARS School FRPL'!C:H,4,FALSE),"No")</f>
        <v>No</v>
      </c>
      <c r="K1076" s="109"/>
      <c r="L1076" s="109"/>
      <c r="M1076" s="110">
        <f>IFERROR(VLOOKUP($C1076,'CEDARS School FRPL'!C:H,3,FALSE),0)</f>
        <v>0.18933333333333333</v>
      </c>
      <c r="N1076" s="123" t="str">
        <f>IFERROR(VLOOKUP(C1076,'CEDARS School FRPL'!C:H,6,FALSE),"No")</f>
        <v>No</v>
      </c>
      <c r="O1076" s="147"/>
      <c r="P1076" s="148"/>
    </row>
    <row r="1077" spans="1:16">
      <c r="A1077" s="95" t="s">
        <v>2491</v>
      </c>
      <c r="B1077" s="95" t="s">
        <v>1837</v>
      </c>
      <c r="C1077" s="4">
        <v>3693</v>
      </c>
      <c r="D1077" s="95" t="s">
        <v>1842</v>
      </c>
      <c r="E1077" s="145">
        <v>474.63</v>
      </c>
      <c r="F1077" s="145">
        <v>0</v>
      </c>
      <c r="G1077" s="145">
        <v>0</v>
      </c>
      <c r="H1077" s="145">
        <v>0</v>
      </c>
      <c r="I1077" s="77">
        <f t="shared" si="19"/>
        <v>474.63</v>
      </c>
      <c r="J1077" s="123" t="str">
        <f>IFERROR(VLOOKUP($C1077,'CEDARS School FRPL'!C:H,4,FALSE),"No")</f>
        <v>No</v>
      </c>
      <c r="K1077" s="109"/>
      <c r="L1077" s="109"/>
      <c r="M1077" s="110">
        <f>IFERROR(VLOOKUP($C1077,'CEDARS School FRPL'!C:H,3,FALSE),0)</f>
        <v>0.28583333333333333</v>
      </c>
      <c r="N1077" s="123" t="str">
        <f>IFERROR(VLOOKUP(C1077,'CEDARS School FRPL'!C:H,6,FALSE),"No")</f>
        <v>No</v>
      </c>
      <c r="O1077" s="147"/>
      <c r="P1077" s="148"/>
    </row>
    <row r="1078" spans="1:16">
      <c r="A1078" s="95" t="s">
        <v>2491</v>
      </c>
      <c r="B1078" s="95" t="s">
        <v>1837</v>
      </c>
      <c r="C1078" s="4">
        <v>3759</v>
      </c>
      <c r="D1078" s="95" t="s">
        <v>1843</v>
      </c>
      <c r="E1078" s="145">
        <v>434</v>
      </c>
      <c r="F1078" s="145">
        <v>0</v>
      </c>
      <c r="G1078" s="145">
        <v>0</v>
      </c>
      <c r="H1078" s="145">
        <v>0</v>
      </c>
      <c r="I1078" s="77">
        <f t="shared" si="19"/>
        <v>434</v>
      </c>
      <c r="J1078" s="123" t="str">
        <f>IFERROR(VLOOKUP($C1078,'CEDARS School FRPL'!C:H,4,FALSE),"No")</f>
        <v>No</v>
      </c>
      <c r="K1078" s="109"/>
      <c r="L1078" s="109"/>
      <c r="M1078" s="110">
        <f>IFERROR(VLOOKUP($C1078,'CEDARS School FRPL'!C:H,3,FALSE),0)</f>
        <v>0.30396666666666666</v>
      </c>
      <c r="N1078" s="123" t="str">
        <f>IFERROR(VLOOKUP(C1078,'CEDARS School FRPL'!C:H,6,FALSE),"No")</f>
        <v>No</v>
      </c>
      <c r="O1078" s="147"/>
      <c r="P1078" s="148"/>
    </row>
    <row r="1079" spans="1:16">
      <c r="A1079" s="95" t="s">
        <v>2491</v>
      </c>
      <c r="B1079" s="95" t="s">
        <v>1837</v>
      </c>
      <c r="C1079" s="4">
        <v>3851</v>
      </c>
      <c r="D1079" s="95" t="s">
        <v>970</v>
      </c>
      <c r="E1079" s="145">
        <v>785.41</v>
      </c>
      <c r="F1079" s="145">
        <v>0</v>
      </c>
      <c r="G1079" s="145">
        <v>0</v>
      </c>
      <c r="H1079" s="145">
        <v>0</v>
      </c>
      <c r="I1079" s="77">
        <f t="shared" si="19"/>
        <v>785.41</v>
      </c>
      <c r="J1079" s="123" t="str">
        <f>IFERROR(VLOOKUP($C1079,'CEDARS School FRPL'!C:H,4,FALSE),"No")</f>
        <v>No</v>
      </c>
      <c r="K1079" s="109"/>
      <c r="L1079" s="109"/>
      <c r="M1079" s="110">
        <f>IFERROR(VLOOKUP($C1079,'CEDARS School FRPL'!C:H,3,FALSE),0)</f>
        <v>0.23820000000000005</v>
      </c>
      <c r="N1079" s="123" t="str">
        <f>IFERROR(VLOOKUP(C1079,'CEDARS School FRPL'!C:H,6,FALSE),"No")</f>
        <v>No</v>
      </c>
      <c r="O1079" s="147"/>
      <c r="P1079" s="148"/>
    </row>
    <row r="1080" spans="1:16">
      <c r="A1080" s="95" t="s">
        <v>2491</v>
      </c>
      <c r="B1080" s="95" t="s">
        <v>1837</v>
      </c>
      <c r="C1080" s="4">
        <v>4133</v>
      </c>
      <c r="D1080" s="95" t="s">
        <v>440</v>
      </c>
      <c r="E1080" s="145">
        <v>423.71</v>
      </c>
      <c r="F1080" s="145">
        <v>0</v>
      </c>
      <c r="G1080" s="145">
        <v>0</v>
      </c>
      <c r="H1080" s="145">
        <v>0</v>
      </c>
      <c r="I1080" s="77">
        <f t="shared" si="19"/>
        <v>423.71</v>
      </c>
      <c r="J1080" s="123" t="str">
        <f>IFERROR(VLOOKUP($C1080,'CEDARS School FRPL'!C:H,4,FALSE),"No")</f>
        <v>No</v>
      </c>
      <c r="K1080" s="109"/>
      <c r="L1080" s="109"/>
      <c r="M1080" s="110">
        <f>IFERROR(VLOOKUP($C1080,'CEDARS School FRPL'!C:H,3,FALSE),0)</f>
        <v>0.14940000000000001</v>
      </c>
      <c r="N1080" s="123" t="str">
        <f>IFERROR(VLOOKUP(C1080,'CEDARS School FRPL'!C:H,6,FALSE),"No")</f>
        <v>No</v>
      </c>
      <c r="O1080" s="147"/>
      <c r="P1080" s="148"/>
    </row>
    <row r="1081" spans="1:16">
      <c r="A1081" s="95" t="s">
        <v>2491</v>
      </c>
      <c r="B1081" s="95" t="s">
        <v>1837</v>
      </c>
      <c r="C1081" s="4">
        <v>4134</v>
      </c>
      <c r="D1081" s="95" t="s">
        <v>1844</v>
      </c>
      <c r="E1081" s="145">
        <v>365.14</v>
      </c>
      <c r="F1081" s="145">
        <v>0</v>
      </c>
      <c r="G1081" s="145">
        <v>0</v>
      </c>
      <c r="H1081" s="145">
        <v>0</v>
      </c>
      <c r="I1081" s="77">
        <f t="shared" si="19"/>
        <v>365.14</v>
      </c>
      <c r="J1081" s="123" t="str">
        <f>IFERROR(VLOOKUP($C1081,'CEDARS School FRPL'!C:H,4,FALSE),"No")</f>
        <v>Yes</v>
      </c>
      <c r="K1081" s="109"/>
      <c r="L1081" s="109"/>
      <c r="M1081" s="110">
        <f>IFERROR(VLOOKUP($C1081,'CEDARS School FRPL'!C:H,3,FALSE),0)</f>
        <v>0.60716666666666663</v>
      </c>
      <c r="N1081" s="123" t="str">
        <f>IFERROR(VLOOKUP(C1081,'CEDARS School FRPL'!C:H,6,FALSE),"No")</f>
        <v>No</v>
      </c>
      <c r="O1081" s="147"/>
      <c r="P1081" s="148"/>
    </row>
    <row r="1082" spans="1:16">
      <c r="A1082" s="95" t="s">
        <v>2491</v>
      </c>
      <c r="B1082" s="95" t="s">
        <v>1837</v>
      </c>
      <c r="C1082" s="4">
        <v>4400</v>
      </c>
      <c r="D1082" s="95" t="s">
        <v>1845</v>
      </c>
      <c r="E1082" s="145">
        <v>376.71</v>
      </c>
      <c r="F1082" s="145">
        <v>0</v>
      </c>
      <c r="G1082" s="145">
        <v>0</v>
      </c>
      <c r="H1082" s="145">
        <v>0</v>
      </c>
      <c r="I1082" s="77">
        <f t="shared" si="19"/>
        <v>376.71</v>
      </c>
      <c r="J1082" s="123" t="str">
        <f>IFERROR(VLOOKUP($C1082,'CEDARS School FRPL'!C:H,4,FALSE),"No")</f>
        <v>No</v>
      </c>
      <c r="K1082" s="109"/>
      <c r="L1082" s="109"/>
      <c r="M1082" s="110">
        <f>IFERROR(VLOOKUP($C1082,'CEDARS School FRPL'!C:H,3,FALSE),0)</f>
        <v>0.21433333333333335</v>
      </c>
      <c r="N1082" s="123" t="str">
        <f>IFERROR(VLOOKUP(C1082,'CEDARS School FRPL'!C:H,6,FALSE),"No")</f>
        <v>No</v>
      </c>
      <c r="O1082" s="147"/>
      <c r="P1082" s="148"/>
    </row>
    <row r="1083" spans="1:16">
      <c r="A1083" s="95" t="s">
        <v>2491</v>
      </c>
      <c r="B1083" s="95" t="s">
        <v>1837</v>
      </c>
      <c r="C1083" s="4">
        <v>4491</v>
      </c>
      <c r="D1083" s="95" t="s">
        <v>1846</v>
      </c>
      <c r="E1083" s="145">
        <v>1371.59</v>
      </c>
      <c r="F1083" s="145">
        <v>142.94999999999999</v>
      </c>
      <c r="G1083" s="145">
        <v>0</v>
      </c>
      <c r="H1083" s="145">
        <v>0</v>
      </c>
      <c r="I1083" s="77">
        <f t="shared" si="19"/>
        <v>1514.54</v>
      </c>
      <c r="J1083" s="123" t="str">
        <f>IFERROR(VLOOKUP($C1083,'CEDARS School FRPL'!C:H,4,FALSE),"No")</f>
        <v>No</v>
      </c>
      <c r="K1083" s="109"/>
      <c r="L1083" s="109"/>
      <c r="M1083" s="110">
        <f>IFERROR(VLOOKUP($C1083,'CEDARS School FRPL'!C:H,3,FALSE),0)</f>
        <v>0.25179999999999997</v>
      </c>
      <c r="N1083" s="123" t="str">
        <f>IFERROR(VLOOKUP(C1083,'CEDARS School FRPL'!C:H,6,FALSE),"No")</f>
        <v>No</v>
      </c>
      <c r="O1083" s="147"/>
      <c r="P1083" s="148"/>
    </row>
    <row r="1084" spans="1:16">
      <c r="A1084" s="95" t="s">
        <v>2491</v>
      </c>
      <c r="B1084" s="95" t="s">
        <v>1837</v>
      </c>
      <c r="C1084" s="4">
        <v>5094</v>
      </c>
      <c r="D1084" s="95" t="s">
        <v>1847</v>
      </c>
      <c r="E1084" s="145">
        <v>415</v>
      </c>
      <c r="F1084" s="145">
        <v>0</v>
      </c>
      <c r="G1084" s="145">
        <v>0</v>
      </c>
      <c r="H1084" s="145">
        <v>0</v>
      </c>
      <c r="I1084" s="77">
        <f t="shared" si="19"/>
        <v>415</v>
      </c>
      <c r="J1084" s="123" t="str">
        <f>IFERROR(VLOOKUP($C1084,'CEDARS School FRPL'!C:H,4,FALSE),"No")</f>
        <v>No</v>
      </c>
      <c r="K1084" s="109"/>
      <c r="L1084" s="109"/>
      <c r="M1084" s="110">
        <f>IFERROR(VLOOKUP($C1084,'CEDARS School FRPL'!C:H,3,FALSE),0)</f>
        <v>0.12476666666666665</v>
      </c>
      <c r="N1084" s="123" t="str">
        <f>IFERROR(VLOOKUP(C1084,'CEDARS School FRPL'!C:H,6,FALSE),"No")</f>
        <v>No</v>
      </c>
      <c r="O1084" s="147"/>
      <c r="P1084" s="148"/>
    </row>
    <row r="1085" spans="1:16">
      <c r="A1085" s="95" t="s">
        <v>2491</v>
      </c>
      <c r="B1085" s="95" t="s">
        <v>1837</v>
      </c>
      <c r="C1085" s="4">
        <v>5401</v>
      </c>
      <c r="D1085" s="95" t="s">
        <v>1848</v>
      </c>
      <c r="E1085" s="145">
        <v>0</v>
      </c>
      <c r="F1085" s="145">
        <v>0</v>
      </c>
      <c r="G1085" s="145">
        <v>12.63</v>
      </c>
      <c r="H1085" s="145">
        <v>0</v>
      </c>
      <c r="I1085" s="77">
        <f t="shared" si="19"/>
        <v>12.63</v>
      </c>
      <c r="J1085" s="123" t="str">
        <f>IFERROR(VLOOKUP($C1085,'CEDARS School FRPL'!C:H,4,FALSE),"No")</f>
        <v>No</v>
      </c>
      <c r="K1085" s="109"/>
      <c r="L1085" s="109"/>
      <c r="M1085" s="110">
        <f>IFERROR(VLOOKUP($C1085,'CEDARS School FRPL'!C:H,3,FALSE),0)</f>
        <v>0.12330000000000002</v>
      </c>
      <c r="N1085" s="123" t="str">
        <f>IFERROR(VLOOKUP(C1085,'CEDARS School FRPL'!C:H,6,FALSE),"No")</f>
        <v>No</v>
      </c>
      <c r="O1085" s="147"/>
      <c r="P1085" s="148"/>
    </row>
    <row r="1086" spans="1:16">
      <c r="A1086" s="95" t="s">
        <v>2491</v>
      </c>
      <c r="B1086" s="95" t="s">
        <v>1837</v>
      </c>
      <c r="C1086" s="4">
        <v>5571</v>
      </c>
      <c r="D1086" s="95" t="s">
        <v>768</v>
      </c>
      <c r="E1086" s="145">
        <v>757.11</v>
      </c>
      <c r="F1086" s="145">
        <v>0</v>
      </c>
      <c r="G1086" s="145">
        <v>0</v>
      </c>
      <c r="H1086" s="145">
        <v>0</v>
      </c>
      <c r="I1086" s="77">
        <f t="shared" si="19"/>
        <v>757.11</v>
      </c>
      <c r="J1086" s="123" t="str">
        <f>IFERROR(VLOOKUP($C1086,'CEDARS School FRPL'!C:H,4,FALSE),"No")</f>
        <v>No</v>
      </c>
      <c r="K1086" s="109"/>
      <c r="L1086" s="109"/>
      <c r="M1086" s="110">
        <f>IFERROR(VLOOKUP($C1086,'CEDARS School FRPL'!C:H,3,FALSE),0)</f>
        <v>0.21989999999999998</v>
      </c>
      <c r="N1086" s="123" t="str">
        <f>IFERROR(VLOOKUP(C1086,'CEDARS School FRPL'!C:H,6,FALSE),"No")</f>
        <v>No</v>
      </c>
      <c r="O1086" s="147"/>
      <c r="P1086" s="148"/>
    </row>
    <row r="1087" spans="1:16">
      <c r="A1087" s="95" t="s">
        <v>2491</v>
      </c>
      <c r="B1087" s="95" t="s">
        <v>1837</v>
      </c>
      <c r="C1087" s="4">
        <v>5572</v>
      </c>
      <c r="D1087" s="95" t="s">
        <v>2890</v>
      </c>
      <c r="E1087" s="145">
        <v>223.11</v>
      </c>
      <c r="F1087" s="145">
        <v>0</v>
      </c>
      <c r="G1087" s="145">
        <v>0</v>
      </c>
      <c r="H1087" s="145">
        <v>0</v>
      </c>
      <c r="I1087" s="77">
        <f t="shared" si="19"/>
        <v>223.11</v>
      </c>
      <c r="J1087" s="123" t="str">
        <f>IFERROR(VLOOKUP($C1087,'CEDARS School FRPL'!C:H,4,FALSE),"No")</f>
        <v>No</v>
      </c>
      <c r="K1087" s="109"/>
      <c r="L1087" s="109"/>
      <c r="M1087" s="110">
        <f>IFERROR(VLOOKUP($C1087,'CEDARS School FRPL'!C:H,3,FALSE),0)</f>
        <v>0.42859999999999998</v>
      </c>
      <c r="N1087" s="123" t="str">
        <f>IFERROR(VLOOKUP(C1087,'CEDARS School FRPL'!C:H,6,FALSE),"No")</f>
        <v>No</v>
      </c>
      <c r="O1087" s="147"/>
      <c r="P1087" s="148"/>
    </row>
    <row r="1088" spans="1:16">
      <c r="A1088" s="95" t="s">
        <v>2491</v>
      </c>
      <c r="B1088" s="95" t="s">
        <v>1837</v>
      </c>
      <c r="C1088" s="4">
        <v>5658</v>
      </c>
      <c r="D1088" s="95" t="s">
        <v>1625</v>
      </c>
      <c r="E1088" s="145">
        <v>360.43</v>
      </c>
      <c r="F1088" s="145">
        <v>0</v>
      </c>
      <c r="G1088" s="145">
        <v>0</v>
      </c>
      <c r="H1088" s="145">
        <v>0</v>
      </c>
      <c r="I1088" s="77">
        <f t="shared" si="19"/>
        <v>360.43</v>
      </c>
      <c r="J1088" s="123" t="str">
        <f>IFERROR(VLOOKUP($C1088,'CEDARS School FRPL'!C:H,4,FALSE),"No")</f>
        <v>No</v>
      </c>
      <c r="K1088" s="109"/>
      <c r="L1088" s="109"/>
      <c r="M1088" s="110">
        <f>IFERROR(VLOOKUP($C1088,'CEDARS School FRPL'!C:H,3,FALSE),0)</f>
        <v>6.4199999999999993E-2</v>
      </c>
      <c r="N1088" s="123" t="str">
        <f>IFERROR(VLOOKUP(C1088,'CEDARS School FRPL'!C:H,6,FALSE),"No")</f>
        <v>No</v>
      </c>
      <c r="O1088" s="147"/>
      <c r="P1088" s="148"/>
    </row>
    <row r="1089" spans="1:16">
      <c r="A1089" s="95" t="s">
        <v>2490</v>
      </c>
      <c r="B1089" s="95" t="s">
        <v>1832</v>
      </c>
      <c r="C1089" s="4">
        <v>2890</v>
      </c>
      <c r="D1089" s="95" t="s">
        <v>1833</v>
      </c>
      <c r="E1089" s="145">
        <v>459.8</v>
      </c>
      <c r="F1089" s="145">
        <v>24.020000000000003</v>
      </c>
      <c r="G1089" s="145">
        <v>0</v>
      </c>
      <c r="H1089" s="145">
        <v>0</v>
      </c>
      <c r="I1089" s="77">
        <f t="shared" si="19"/>
        <v>483.82</v>
      </c>
      <c r="J1089" s="123" t="str">
        <f>IFERROR(VLOOKUP($C1089,'CEDARS School FRPL'!C:H,4,FALSE),"No")</f>
        <v>No</v>
      </c>
      <c r="K1089" s="109"/>
      <c r="L1089" s="109"/>
      <c r="M1089" s="110">
        <f>IFERROR(VLOOKUP($C1089,'CEDARS School FRPL'!C:H,3,FALSE),0)</f>
        <v>0.33096666666666663</v>
      </c>
      <c r="N1089" s="123" t="str">
        <f>IFERROR(VLOOKUP(C1089,'CEDARS School FRPL'!C:H,6,FALSE),"No")</f>
        <v>No</v>
      </c>
      <c r="O1089" s="147"/>
      <c r="P1089" s="148"/>
    </row>
    <row r="1090" spans="1:16">
      <c r="A1090" s="95" t="s">
        <v>2490</v>
      </c>
      <c r="B1090" s="95" t="s">
        <v>1832</v>
      </c>
      <c r="C1090" s="4">
        <v>3965</v>
      </c>
      <c r="D1090" s="95" t="s">
        <v>1834</v>
      </c>
      <c r="E1090" s="145">
        <v>399.39</v>
      </c>
      <c r="F1090" s="145">
        <v>0</v>
      </c>
      <c r="G1090" s="145">
        <v>0</v>
      </c>
      <c r="H1090" s="145">
        <v>0</v>
      </c>
      <c r="I1090" s="77">
        <f t="shared" si="19"/>
        <v>399.39</v>
      </c>
      <c r="J1090" s="123" t="str">
        <f>IFERROR(VLOOKUP($C1090,'CEDARS School FRPL'!C:H,4,FALSE),"No")</f>
        <v>No</v>
      </c>
      <c r="K1090" s="109"/>
      <c r="L1090" s="109"/>
      <c r="M1090" s="110">
        <f>IFERROR(VLOOKUP($C1090,'CEDARS School FRPL'!C:H,3,FALSE),0)</f>
        <v>0.38393333333333329</v>
      </c>
      <c r="N1090" s="123" t="str">
        <f>IFERROR(VLOOKUP(C1090,'CEDARS School FRPL'!C:H,6,FALSE),"No")</f>
        <v>No</v>
      </c>
      <c r="O1090" s="147"/>
      <c r="P1090" s="148"/>
    </row>
    <row r="1091" spans="1:16">
      <c r="A1091" s="95" t="s">
        <v>2490</v>
      </c>
      <c r="B1091" s="95" t="s">
        <v>1832</v>
      </c>
      <c r="C1091" s="4">
        <v>4483</v>
      </c>
      <c r="D1091" s="95" t="s">
        <v>1835</v>
      </c>
      <c r="E1091" s="145">
        <v>470.88</v>
      </c>
      <c r="F1091" s="145">
        <v>0</v>
      </c>
      <c r="G1091" s="145">
        <v>0</v>
      </c>
      <c r="H1091" s="145">
        <v>0</v>
      </c>
      <c r="I1091" s="77">
        <f t="shared" si="19"/>
        <v>470.88</v>
      </c>
      <c r="J1091" s="123" t="str">
        <f>IFERROR(VLOOKUP($C1091,'CEDARS School FRPL'!C:H,4,FALSE),"No")</f>
        <v>No</v>
      </c>
      <c r="K1091" s="109"/>
      <c r="L1091" s="109"/>
      <c r="M1091" s="110">
        <f>IFERROR(VLOOKUP($C1091,'CEDARS School FRPL'!C:H,3,FALSE),0)</f>
        <v>0.43233333333333329</v>
      </c>
      <c r="N1091" s="123" t="str">
        <f>IFERROR(VLOOKUP(C1091,'CEDARS School FRPL'!C:H,6,FALSE),"No")</f>
        <v>No</v>
      </c>
      <c r="O1091" s="147"/>
      <c r="P1091" s="148"/>
    </row>
    <row r="1092" spans="1:16">
      <c r="A1092" s="95" t="s">
        <v>2490</v>
      </c>
      <c r="B1092" s="95" t="s">
        <v>1832</v>
      </c>
      <c r="C1092" s="4">
        <v>4577</v>
      </c>
      <c r="D1092" s="95" t="s">
        <v>1836</v>
      </c>
      <c r="E1092" s="145">
        <v>376.29</v>
      </c>
      <c r="F1092" s="145">
        <v>0</v>
      </c>
      <c r="G1092" s="145">
        <v>0</v>
      </c>
      <c r="H1092" s="145">
        <v>0</v>
      </c>
      <c r="I1092" s="77">
        <f t="shared" ref="I1092:I1155" si="20">+E1092+F1092+G1092+H1092</f>
        <v>376.29</v>
      </c>
      <c r="J1092" s="123" t="str">
        <f>IFERROR(VLOOKUP($C1092,'CEDARS School FRPL'!C:H,4,FALSE),"No")</f>
        <v>No</v>
      </c>
      <c r="K1092" s="109"/>
      <c r="L1092" s="109"/>
      <c r="M1092" s="110">
        <f>IFERROR(VLOOKUP($C1092,'CEDARS School FRPL'!C:H,3,FALSE),0)</f>
        <v>0.26926666666666671</v>
      </c>
      <c r="N1092" s="123" t="str">
        <f>IFERROR(VLOOKUP(C1092,'CEDARS School FRPL'!C:H,6,FALSE),"No")</f>
        <v>No</v>
      </c>
      <c r="O1092" s="147"/>
      <c r="P1092" s="148"/>
    </row>
    <row r="1093" spans="1:16">
      <c r="A1093" s="95" t="s">
        <v>2490</v>
      </c>
      <c r="B1093" s="95" t="s">
        <v>1832</v>
      </c>
      <c r="C1093" s="4">
        <v>5042</v>
      </c>
      <c r="D1093" s="95" t="s">
        <v>2787</v>
      </c>
      <c r="E1093" s="145">
        <v>23.41</v>
      </c>
      <c r="F1093" s="145">
        <v>0</v>
      </c>
      <c r="G1093" s="145">
        <v>0</v>
      </c>
      <c r="H1093" s="145">
        <v>0</v>
      </c>
      <c r="I1093" s="77">
        <f t="shared" si="20"/>
        <v>23.41</v>
      </c>
      <c r="J1093" s="123" t="str">
        <f>IFERROR(VLOOKUP($C1093,'CEDARS School FRPL'!C:H,4,FALSE),"No")</f>
        <v>Yes</v>
      </c>
      <c r="K1093" s="109"/>
      <c r="L1093" s="109"/>
      <c r="M1093" s="110">
        <f>IFERROR(VLOOKUP($C1093,'CEDARS School FRPL'!C:H,3,FALSE),0)</f>
        <v>0.50173333333333325</v>
      </c>
      <c r="N1093" s="123" t="str">
        <f>IFERROR(VLOOKUP(C1093,'CEDARS School FRPL'!C:H,6,FALSE),"No")</f>
        <v>No</v>
      </c>
      <c r="O1093" s="147"/>
      <c r="P1093" s="148"/>
    </row>
    <row r="1094" spans="1:16">
      <c r="A1094" s="95" t="s">
        <v>2351</v>
      </c>
      <c r="B1094" s="95" t="s">
        <v>695</v>
      </c>
      <c r="C1094" s="4">
        <v>2981</v>
      </c>
      <c r="D1094" s="95" t="s">
        <v>696</v>
      </c>
      <c r="E1094" s="145">
        <v>375.58</v>
      </c>
      <c r="F1094" s="145">
        <v>0</v>
      </c>
      <c r="G1094" s="145">
        <v>0</v>
      </c>
      <c r="H1094" s="145">
        <v>0</v>
      </c>
      <c r="I1094" s="77">
        <f t="shared" si="20"/>
        <v>375.58</v>
      </c>
      <c r="J1094" s="123" t="str">
        <f>IFERROR(VLOOKUP($C1094,'CEDARS School FRPL'!C:H,4,FALSE),"No")</f>
        <v>No</v>
      </c>
      <c r="K1094" s="109"/>
      <c r="L1094" s="109"/>
      <c r="M1094" s="110">
        <f>IFERROR(VLOOKUP($C1094,'CEDARS School FRPL'!C:H,3,FALSE),0)</f>
        <v>1.3199999999999998E-2</v>
      </c>
      <c r="N1094" s="123" t="str">
        <f>IFERROR(VLOOKUP(C1094,'CEDARS School FRPL'!C:H,6,FALSE),"No")</f>
        <v>No</v>
      </c>
      <c r="O1094" s="147"/>
      <c r="P1094" s="148"/>
    </row>
    <row r="1095" spans="1:16">
      <c r="A1095" s="95" t="s">
        <v>2351</v>
      </c>
      <c r="B1095" s="95" t="s">
        <v>695</v>
      </c>
      <c r="C1095" s="4">
        <v>3029</v>
      </c>
      <c r="D1095" s="95" t="s">
        <v>697</v>
      </c>
      <c r="E1095" s="145">
        <v>1449.8</v>
      </c>
      <c r="F1095" s="145">
        <v>48.71</v>
      </c>
      <c r="G1095" s="145">
        <v>0</v>
      </c>
      <c r="H1095" s="145">
        <v>0</v>
      </c>
      <c r="I1095" s="77">
        <f t="shared" si="20"/>
        <v>1498.51</v>
      </c>
      <c r="J1095" s="123" t="str">
        <f>IFERROR(VLOOKUP($C1095,'CEDARS School FRPL'!C:H,4,FALSE),"No")</f>
        <v>No</v>
      </c>
      <c r="K1095" s="109"/>
      <c r="L1095" s="109"/>
      <c r="M1095" s="110">
        <f>IFERROR(VLOOKUP($C1095,'CEDARS School FRPL'!C:H,3,FALSE),0)</f>
        <v>3.5966666666666668E-2</v>
      </c>
      <c r="N1095" s="123" t="str">
        <f>IFERROR(VLOOKUP(C1095,'CEDARS School FRPL'!C:H,6,FALSE),"No")</f>
        <v>No</v>
      </c>
      <c r="O1095" s="147"/>
      <c r="P1095" s="148"/>
    </row>
    <row r="1096" spans="1:16">
      <c r="A1096" s="95" t="s">
        <v>2351</v>
      </c>
      <c r="B1096" s="95" t="s">
        <v>695</v>
      </c>
      <c r="C1096" s="4">
        <v>3162</v>
      </c>
      <c r="D1096" s="95" t="s">
        <v>698</v>
      </c>
      <c r="E1096" s="145">
        <v>377.69</v>
      </c>
      <c r="F1096" s="145">
        <v>0</v>
      </c>
      <c r="G1096" s="145">
        <v>0</v>
      </c>
      <c r="H1096" s="145">
        <v>0</v>
      </c>
      <c r="I1096" s="77">
        <f t="shared" si="20"/>
        <v>377.69</v>
      </c>
      <c r="J1096" s="123" t="str">
        <f>IFERROR(VLOOKUP($C1096,'CEDARS School FRPL'!C:H,4,FALSE),"No")</f>
        <v>No</v>
      </c>
      <c r="K1096" s="109"/>
      <c r="L1096" s="109"/>
      <c r="M1096" s="110">
        <f>IFERROR(VLOOKUP($C1096,'CEDARS School FRPL'!C:H,3,FALSE),0)</f>
        <v>1.8366666666666667E-2</v>
      </c>
      <c r="N1096" s="123" t="str">
        <f>IFERROR(VLOOKUP(C1096,'CEDARS School FRPL'!C:H,6,FALSE),"No")</f>
        <v>No</v>
      </c>
      <c r="O1096" s="147"/>
      <c r="P1096" s="148"/>
    </row>
    <row r="1097" spans="1:16">
      <c r="A1097" s="95" t="s">
        <v>2351</v>
      </c>
      <c r="B1097" s="95" t="s">
        <v>695</v>
      </c>
      <c r="C1097" s="4">
        <v>3219</v>
      </c>
      <c r="D1097" s="95" t="s">
        <v>699</v>
      </c>
      <c r="E1097" s="145">
        <v>957.67</v>
      </c>
      <c r="F1097" s="145">
        <v>0</v>
      </c>
      <c r="G1097" s="145">
        <v>0</v>
      </c>
      <c r="H1097" s="145">
        <v>0</v>
      </c>
      <c r="I1097" s="77">
        <f t="shared" si="20"/>
        <v>957.67</v>
      </c>
      <c r="J1097" s="123" t="str">
        <f>IFERROR(VLOOKUP($C1097,'CEDARS School FRPL'!C:H,4,FALSE),"No")</f>
        <v>No</v>
      </c>
      <c r="K1097" s="109"/>
      <c r="L1097" s="109"/>
      <c r="M1097" s="110">
        <f>IFERROR(VLOOKUP($C1097,'CEDARS School FRPL'!C:H,3,FALSE),0)</f>
        <v>3.793333333333334E-2</v>
      </c>
      <c r="N1097" s="123" t="str">
        <f>IFERROR(VLOOKUP(C1097,'CEDARS School FRPL'!C:H,6,FALSE),"No")</f>
        <v>No</v>
      </c>
      <c r="O1097" s="147"/>
      <c r="P1097" s="148"/>
    </row>
    <row r="1098" spans="1:16">
      <c r="A1098" s="95" t="s">
        <v>2351</v>
      </c>
      <c r="B1098" s="95" t="s">
        <v>695</v>
      </c>
      <c r="C1098" s="4">
        <v>3433</v>
      </c>
      <c r="D1098" s="95" t="s">
        <v>700</v>
      </c>
      <c r="E1098" s="145">
        <v>426.88</v>
      </c>
      <c r="F1098" s="145">
        <v>0</v>
      </c>
      <c r="G1098" s="145">
        <v>0</v>
      </c>
      <c r="H1098" s="145">
        <v>0</v>
      </c>
      <c r="I1098" s="77">
        <f t="shared" si="20"/>
        <v>426.88</v>
      </c>
      <c r="J1098" s="123" t="str">
        <f>IFERROR(VLOOKUP($C1098,'CEDARS School FRPL'!C:H,4,FALSE),"No")</f>
        <v>No</v>
      </c>
      <c r="K1098" s="109"/>
      <c r="L1098" s="109"/>
      <c r="M1098" s="110">
        <f>IFERROR(VLOOKUP($C1098,'CEDARS School FRPL'!C:H,3,FALSE),0)</f>
        <v>2.9366666666666669E-2</v>
      </c>
      <c r="N1098" s="123" t="str">
        <f>IFERROR(VLOOKUP(C1098,'CEDARS School FRPL'!C:H,6,FALSE),"No")</f>
        <v>No</v>
      </c>
      <c r="O1098" s="147"/>
      <c r="P1098" s="148"/>
    </row>
    <row r="1099" spans="1:16">
      <c r="A1099" s="95" t="s">
        <v>2351</v>
      </c>
      <c r="B1099" s="95" t="s">
        <v>695</v>
      </c>
      <c r="C1099" s="4">
        <v>5447</v>
      </c>
      <c r="D1099" s="95" t="s">
        <v>701</v>
      </c>
      <c r="E1099" s="145">
        <v>358.83</v>
      </c>
      <c r="F1099" s="145">
        <v>0</v>
      </c>
      <c r="G1099" s="145">
        <v>0</v>
      </c>
      <c r="H1099" s="145">
        <v>0</v>
      </c>
      <c r="I1099" s="77">
        <f t="shared" si="20"/>
        <v>358.83</v>
      </c>
      <c r="J1099" s="123" t="str">
        <f>IFERROR(VLOOKUP($C1099,'CEDARS School FRPL'!C:H,4,FALSE),"No")</f>
        <v>No</v>
      </c>
      <c r="K1099" s="109"/>
      <c r="L1099" s="109"/>
      <c r="M1099" s="110">
        <f>IFERROR(VLOOKUP($C1099,'CEDARS School FRPL'!C:H,3,FALSE),0)</f>
        <v>4.926666666666666E-2</v>
      </c>
      <c r="N1099" s="123" t="str">
        <f>IFERROR(VLOOKUP(C1099,'CEDARS School FRPL'!C:H,6,FALSE),"No")</f>
        <v>No</v>
      </c>
      <c r="O1099" s="147"/>
      <c r="P1099" s="148"/>
    </row>
    <row r="1100" spans="1:16">
      <c r="A1100" s="95" t="s">
        <v>2536</v>
      </c>
      <c r="B1100" s="95" t="s">
        <v>2110</v>
      </c>
      <c r="C1100" s="4">
        <v>2554</v>
      </c>
      <c r="D1100" s="95" t="s">
        <v>2111</v>
      </c>
      <c r="E1100" s="145">
        <v>438.43</v>
      </c>
      <c r="F1100" s="145">
        <v>44.89</v>
      </c>
      <c r="G1100" s="145">
        <v>0</v>
      </c>
      <c r="H1100" s="145">
        <v>0</v>
      </c>
      <c r="I1100" s="77">
        <f t="shared" si="20"/>
        <v>483.32</v>
      </c>
      <c r="J1100" s="123" t="str">
        <f>IFERROR(VLOOKUP($C1100,'CEDARS School FRPL'!C:H,4,FALSE),"No")</f>
        <v>No</v>
      </c>
      <c r="K1100" s="109"/>
      <c r="L1100" s="109"/>
      <c r="M1100" s="110">
        <f>IFERROR(VLOOKUP($C1100,'CEDARS School FRPL'!C:H,3,FALSE),0)</f>
        <v>0.32519999999999999</v>
      </c>
      <c r="N1100" s="123" t="str">
        <f>IFERROR(VLOOKUP(C1100,'CEDARS School FRPL'!C:H,6,FALSE),"No")</f>
        <v>No</v>
      </c>
      <c r="O1100" s="147"/>
      <c r="P1100" s="148"/>
    </row>
    <row r="1101" spans="1:16">
      <c r="A1101" s="95" t="s">
        <v>2536</v>
      </c>
      <c r="B1101" s="95" t="s">
        <v>2110</v>
      </c>
      <c r="C1101" s="4">
        <v>2584</v>
      </c>
      <c r="D1101" s="95" t="s">
        <v>2112</v>
      </c>
      <c r="E1101" s="145">
        <v>666.72</v>
      </c>
      <c r="F1101" s="145">
        <v>0</v>
      </c>
      <c r="G1101" s="145">
        <v>0</v>
      </c>
      <c r="H1101" s="145">
        <v>0</v>
      </c>
      <c r="I1101" s="77">
        <f t="shared" si="20"/>
        <v>666.72</v>
      </c>
      <c r="J1101" s="123" t="str">
        <f>IFERROR(VLOOKUP($C1101,'CEDARS School FRPL'!C:H,4,FALSE),"No")</f>
        <v>No</v>
      </c>
      <c r="K1101" s="109"/>
      <c r="L1101" s="109"/>
      <c r="M1101" s="110">
        <f>IFERROR(VLOOKUP($C1101,'CEDARS School FRPL'!C:H,3,FALSE),0)</f>
        <v>0.38903333333333334</v>
      </c>
      <c r="N1101" s="123" t="str">
        <f>IFERROR(VLOOKUP(C1101,'CEDARS School FRPL'!C:H,6,FALSE),"No")</f>
        <v>No</v>
      </c>
      <c r="O1101" s="147"/>
      <c r="P1101" s="148"/>
    </row>
    <row r="1102" spans="1:16">
      <c r="A1102" s="95" t="s">
        <v>2536</v>
      </c>
      <c r="B1102" s="95" t="s">
        <v>2110</v>
      </c>
      <c r="C1102" s="4">
        <v>3930</v>
      </c>
      <c r="D1102" s="95" t="s">
        <v>943</v>
      </c>
      <c r="E1102" s="145">
        <v>353.9</v>
      </c>
      <c r="F1102" s="145">
        <v>0</v>
      </c>
      <c r="G1102" s="145">
        <v>0</v>
      </c>
      <c r="H1102" s="145">
        <v>0</v>
      </c>
      <c r="I1102" s="77">
        <f t="shared" si="20"/>
        <v>353.9</v>
      </c>
      <c r="J1102" s="123" t="str">
        <f>IFERROR(VLOOKUP($C1102,'CEDARS School FRPL'!C:H,4,FALSE),"No")</f>
        <v>No</v>
      </c>
      <c r="K1102" s="109"/>
      <c r="L1102" s="109"/>
      <c r="M1102" s="110">
        <f>IFERROR(VLOOKUP($C1102,'CEDARS School FRPL'!C:H,3,FALSE),0)</f>
        <v>0.34736666666666666</v>
      </c>
      <c r="N1102" s="123" t="str">
        <f>IFERROR(VLOOKUP(C1102,'CEDARS School FRPL'!C:H,6,FALSE),"No")</f>
        <v>No</v>
      </c>
      <c r="O1102" s="147"/>
      <c r="P1102" s="148"/>
    </row>
    <row r="1103" spans="1:16">
      <c r="A1103" s="95" t="s">
        <v>2536</v>
      </c>
      <c r="B1103" s="95" t="s">
        <v>2110</v>
      </c>
      <c r="C1103" s="4">
        <v>5047</v>
      </c>
      <c r="D1103" s="95" t="s">
        <v>2113</v>
      </c>
      <c r="E1103" s="145">
        <v>224.32</v>
      </c>
      <c r="F1103" s="145">
        <v>0</v>
      </c>
      <c r="G1103" s="145">
        <v>0</v>
      </c>
      <c r="H1103" s="145">
        <v>0</v>
      </c>
      <c r="I1103" s="77">
        <f t="shared" si="20"/>
        <v>224.32</v>
      </c>
      <c r="J1103" s="123" t="str">
        <f>IFERROR(VLOOKUP($C1103,'CEDARS School FRPL'!C:H,4,FALSE),"No")</f>
        <v>No</v>
      </c>
      <c r="K1103" s="109"/>
      <c r="L1103" s="109"/>
      <c r="M1103" s="110">
        <f>IFERROR(VLOOKUP($C1103,'CEDARS School FRPL'!C:H,3,FALSE),0)</f>
        <v>0.12086666666666666</v>
      </c>
      <c r="N1103" s="123" t="str">
        <f>IFERROR(VLOOKUP(C1103,'CEDARS School FRPL'!C:H,6,FALSE),"No")</f>
        <v>No</v>
      </c>
      <c r="O1103" s="147"/>
      <c r="P1103" s="148"/>
    </row>
    <row r="1104" spans="1:16">
      <c r="A1104" s="95" t="s">
        <v>2536</v>
      </c>
      <c r="B1104" s="95" t="s">
        <v>2110</v>
      </c>
      <c r="C1104" s="4">
        <v>5448</v>
      </c>
      <c r="D1104" s="95" t="s">
        <v>2114</v>
      </c>
      <c r="E1104" s="145">
        <v>0</v>
      </c>
      <c r="F1104" s="145">
        <v>0</v>
      </c>
      <c r="G1104" s="145">
        <v>10</v>
      </c>
      <c r="H1104" s="145">
        <v>0</v>
      </c>
      <c r="I1104" s="77">
        <f t="shared" si="20"/>
        <v>10</v>
      </c>
      <c r="J1104" s="123" t="str">
        <f>IFERROR(VLOOKUP($C1104,'CEDARS School FRPL'!C:H,4,FALSE),"No")</f>
        <v>No</v>
      </c>
      <c r="K1104" s="109"/>
      <c r="L1104" s="109"/>
      <c r="M1104" s="110">
        <f>IFERROR(VLOOKUP($C1104,'CEDARS School FRPL'!C:H,3,FALSE),0)</f>
        <v>0.36506666666666671</v>
      </c>
      <c r="N1104" s="123" t="str">
        <f>IFERROR(VLOOKUP(C1104,'CEDARS School FRPL'!C:H,6,FALSE),"No")</f>
        <v>No</v>
      </c>
      <c r="O1104" s="147"/>
      <c r="P1104" s="148"/>
    </row>
    <row r="1105" spans="1:16">
      <c r="A1105" s="95" t="s">
        <v>2426</v>
      </c>
      <c r="B1105" s="95" t="s">
        <v>1250</v>
      </c>
      <c r="C1105" s="4">
        <v>1621</v>
      </c>
      <c r="D1105" s="95" t="s">
        <v>2891</v>
      </c>
      <c r="E1105" s="145">
        <v>36.700000000000003</v>
      </c>
      <c r="F1105" s="145">
        <v>0</v>
      </c>
      <c r="G1105" s="145">
        <v>0</v>
      </c>
      <c r="H1105" s="145">
        <v>0</v>
      </c>
      <c r="I1105" s="77">
        <f t="shared" si="20"/>
        <v>36.700000000000003</v>
      </c>
      <c r="J1105" s="123" t="str">
        <f>IFERROR(VLOOKUP($C1105,'CEDARS School FRPL'!C:H,4,FALSE),"No")</f>
        <v>Yes</v>
      </c>
      <c r="K1105" s="109"/>
      <c r="L1105" s="109"/>
      <c r="M1105" s="110">
        <f>IFERROR(VLOOKUP($C1105,'CEDARS School FRPL'!C:H,3,FALSE),0)</f>
        <v>0.60450000000000004</v>
      </c>
      <c r="N1105" s="123" t="str">
        <f>IFERROR(VLOOKUP(C1105,'CEDARS School FRPL'!C:H,6,FALSE),"No")</f>
        <v>No</v>
      </c>
      <c r="O1105" s="147"/>
      <c r="P1105" s="148"/>
    </row>
    <row r="1106" spans="1:16">
      <c r="A1106" s="95" t="s">
        <v>2426</v>
      </c>
      <c r="B1106" s="95" t="s">
        <v>1250</v>
      </c>
      <c r="C1106" s="4">
        <v>1845</v>
      </c>
      <c r="D1106" s="95" t="s">
        <v>1251</v>
      </c>
      <c r="E1106" s="145">
        <v>26.79</v>
      </c>
      <c r="F1106" s="145">
        <v>0</v>
      </c>
      <c r="G1106" s="145">
        <v>0</v>
      </c>
      <c r="H1106" s="145">
        <v>0</v>
      </c>
      <c r="I1106" s="77">
        <f t="shared" si="20"/>
        <v>26.79</v>
      </c>
      <c r="J1106" s="123" t="str">
        <f>IFERROR(VLOOKUP($C1106,'CEDARS School FRPL'!C:H,4,FALSE),"No")</f>
        <v>No</v>
      </c>
      <c r="K1106" s="109"/>
      <c r="L1106" s="109"/>
      <c r="M1106" s="110">
        <f>IFERROR(VLOOKUP($C1106,'CEDARS School FRPL'!C:H,3,FALSE),0)</f>
        <v>0.39010000000000006</v>
      </c>
      <c r="N1106" s="123" t="str">
        <f>IFERROR(VLOOKUP(C1106,'CEDARS School FRPL'!C:H,6,FALSE),"No")</f>
        <v>No</v>
      </c>
      <c r="O1106" s="147"/>
      <c r="P1106" s="148"/>
    </row>
    <row r="1107" spans="1:16">
      <c r="A1107" s="95" t="s">
        <v>2426</v>
      </c>
      <c r="B1107" s="95" t="s">
        <v>1250</v>
      </c>
      <c r="C1107" s="4">
        <v>2146</v>
      </c>
      <c r="D1107" s="95" t="s">
        <v>1252</v>
      </c>
      <c r="E1107" s="145">
        <v>327.36</v>
      </c>
      <c r="F1107" s="145">
        <v>7.55</v>
      </c>
      <c r="G1107" s="145">
        <v>0</v>
      </c>
      <c r="H1107" s="145">
        <v>0</v>
      </c>
      <c r="I1107" s="77">
        <f t="shared" si="20"/>
        <v>334.91</v>
      </c>
      <c r="J1107" s="123" t="str">
        <f>IFERROR(VLOOKUP($C1107,'CEDARS School FRPL'!C:H,4,FALSE),"No")</f>
        <v>No</v>
      </c>
      <c r="K1107" s="109"/>
      <c r="L1107" s="109"/>
      <c r="M1107" s="110">
        <f>IFERROR(VLOOKUP($C1107,'CEDARS School FRPL'!C:H,3,FALSE),0)</f>
        <v>0.307</v>
      </c>
      <c r="N1107" s="123" t="str">
        <f>IFERROR(VLOOKUP(C1107,'CEDARS School FRPL'!C:H,6,FALSE),"No")</f>
        <v>No</v>
      </c>
      <c r="O1107" s="147"/>
      <c r="P1107" s="148"/>
    </row>
    <row r="1108" spans="1:16">
      <c r="A1108" s="95" t="s">
        <v>2426</v>
      </c>
      <c r="B1108" s="95" t="s">
        <v>1250</v>
      </c>
      <c r="C1108" s="4">
        <v>4501</v>
      </c>
      <c r="D1108" s="95" t="s">
        <v>1253</v>
      </c>
      <c r="E1108" s="145">
        <v>319.47000000000003</v>
      </c>
      <c r="F1108" s="145">
        <v>0</v>
      </c>
      <c r="G1108" s="145">
        <v>0</v>
      </c>
      <c r="H1108" s="145">
        <v>0</v>
      </c>
      <c r="I1108" s="77">
        <f t="shared" si="20"/>
        <v>319.47000000000003</v>
      </c>
      <c r="J1108" s="123" t="str">
        <f>IFERROR(VLOOKUP($C1108,'CEDARS School FRPL'!C:H,4,FALSE),"No")</f>
        <v>No</v>
      </c>
      <c r="K1108" s="109"/>
      <c r="L1108" s="109"/>
      <c r="M1108" s="110">
        <f>IFERROR(VLOOKUP($C1108,'CEDARS School FRPL'!C:H,3,FALSE),0)</f>
        <v>0.34233333333333332</v>
      </c>
      <c r="N1108" s="123" t="str">
        <f>IFERROR(VLOOKUP(C1108,'CEDARS School FRPL'!C:H,6,FALSE),"No")</f>
        <v>No</v>
      </c>
      <c r="O1108" s="147"/>
      <c r="P1108" s="148"/>
    </row>
    <row r="1109" spans="1:16">
      <c r="A1109" s="95" t="s">
        <v>2470</v>
      </c>
      <c r="B1109" s="95" t="s">
        <v>1589</v>
      </c>
      <c r="C1109" s="4">
        <v>3406</v>
      </c>
      <c r="D1109" s="95" t="s">
        <v>1590</v>
      </c>
      <c r="E1109" s="145">
        <v>21.93</v>
      </c>
      <c r="F1109" s="145">
        <v>0</v>
      </c>
      <c r="G1109" s="145">
        <v>0</v>
      </c>
      <c r="H1109" s="145">
        <v>0</v>
      </c>
      <c r="I1109" s="77">
        <f t="shared" si="20"/>
        <v>21.93</v>
      </c>
      <c r="J1109" s="123" t="str">
        <f>IFERROR(VLOOKUP($C1109,'CEDARS School FRPL'!C:H,4,FALSE),"No")</f>
        <v>Yes</v>
      </c>
      <c r="K1109" s="109"/>
      <c r="L1109" s="109"/>
      <c r="M1109" s="110">
        <f>IFERROR(VLOOKUP($C1109,'CEDARS School FRPL'!C:H,3,FALSE),0)</f>
        <v>0.3785</v>
      </c>
      <c r="N1109" s="123" t="str">
        <f>IFERROR(VLOOKUP(C1109,'CEDARS School FRPL'!C:H,6,FALSE),"No")</f>
        <v>No</v>
      </c>
      <c r="O1109" s="147"/>
      <c r="P1109" s="148"/>
    </row>
    <row r="1110" spans="1:16">
      <c r="A1110" s="95" t="s">
        <v>2470</v>
      </c>
      <c r="B1110" s="95" t="s">
        <v>1589</v>
      </c>
      <c r="C1110" s="4">
        <v>5480</v>
      </c>
      <c r="D1110" s="95" t="s">
        <v>2724</v>
      </c>
      <c r="E1110" s="145">
        <v>3.91</v>
      </c>
      <c r="F1110" s="145">
        <v>0</v>
      </c>
      <c r="G1110" s="145">
        <v>0</v>
      </c>
      <c r="H1110" s="145">
        <v>0</v>
      </c>
      <c r="I1110" s="77">
        <f t="shared" si="20"/>
        <v>3.91</v>
      </c>
      <c r="J1110" s="123" t="str">
        <f>IFERROR(VLOOKUP($C1110,'CEDARS School FRPL'!C:H,4,FALSE),"No")</f>
        <v>No</v>
      </c>
      <c r="K1110" s="109"/>
      <c r="L1110" s="109"/>
      <c r="M1110" s="110">
        <f>IFERROR(VLOOKUP($C1110,'CEDARS School FRPL'!C:H,3,FALSE),0)</f>
        <v>0.1452</v>
      </c>
      <c r="N1110" s="123" t="str">
        <f>IFERROR(VLOOKUP(C1110,'CEDARS School FRPL'!C:H,6,FALSE),"No")</f>
        <v>No</v>
      </c>
      <c r="O1110" s="147"/>
      <c r="P1110" s="148"/>
    </row>
    <row r="1111" spans="1:16">
      <c r="A1111" s="95" t="s">
        <v>2479</v>
      </c>
      <c r="B1111" s="95" t="s">
        <v>1710</v>
      </c>
      <c r="C1111" s="4">
        <v>1570</v>
      </c>
      <c r="D1111" s="95" t="s">
        <v>2849</v>
      </c>
      <c r="E1111" s="145">
        <v>0.43</v>
      </c>
      <c r="F1111" s="145">
        <v>0</v>
      </c>
      <c r="G1111" s="145">
        <v>0</v>
      </c>
      <c r="H1111" s="145">
        <v>0</v>
      </c>
      <c r="I1111" s="77">
        <f t="shared" si="20"/>
        <v>0.43</v>
      </c>
      <c r="J1111" s="123" t="str">
        <f>IFERROR(VLOOKUP($C1111,'CEDARS School FRPL'!C:H,4,FALSE),"No")</f>
        <v>No</v>
      </c>
      <c r="K1111" s="109"/>
      <c r="L1111" s="109"/>
      <c r="M1111" s="110">
        <f>IFERROR(VLOOKUP($C1111,'CEDARS School FRPL'!C:H,3,FALSE),0)</f>
        <v>0</v>
      </c>
      <c r="N1111" s="123" t="str">
        <f>IFERROR(VLOOKUP(C1111,'CEDARS School FRPL'!C:H,6,FALSE),"No")</f>
        <v>No</v>
      </c>
      <c r="O1111" s="147"/>
      <c r="P1111" s="148"/>
    </row>
    <row r="1112" spans="1:16">
      <c r="A1112" s="95" t="s">
        <v>2479</v>
      </c>
      <c r="B1112" s="95" t="s">
        <v>1710</v>
      </c>
      <c r="C1112" s="4">
        <v>1643</v>
      </c>
      <c r="D1112" s="95" t="s">
        <v>1711</v>
      </c>
      <c r="E1112" s="145">
        <v>12.07</v>
      </c>
      <c r="F1112" s="145">
        <v>0</v>
      </c>
      <c r="G1112" s="145">
        <v>0</v>
      </c>
      <c r="H1112" s="145">
        <v>0</v>
      </c>
      <c r="I1112" s="77">
        <f t="shared" si="20"/>
        <v>12.07</v>
      </c>
      <c r="J1112" s="123" t="str">
        <f>IFERROR(VLOOKUP($C1112,'CEDARS School FRPL'!C:H,4,FALSE),"No")</f>
        <v>No</v>
      </c>
      <c r="K1112" s="109"/>
      <c r="L1112" s="109"/>
      <c r="M1112" s="110">
        <f>IFERROR(VLOOKUP($C1112,'CEDARS School FRPL'!C:H,3,FALSE),0)</f>
        <v>0.25216666666666665</v>
      </c>
      <c r="N1112" s="123" t="str">
        <f>IFERROR(VLOOKUP(C1112,'CEDARS School FRPL'!C:H,6,FALSE),"No")</f>
        <v>No</v>
      </c>
      <c r="O1112" s="147"/>
      <c r="P1112" s="148"/>
    </row>
    <row r="1113" spans="1:16">
      <c r="A1113" s="95" t="s">
        <v>2479</v>
      </c>
      <c r="B1113" s="95" t="s">
        <v>1710</v>
      </c>
      <c r="C1113" s="4">
        <v>1777</v>
      </c>
      <c r="D1113" s="95" t="s">
        <v>1712</v>
      </c>
      <c r="E1113" s="145">
        <v>711.97</v>
      </c>
      <c r="F1113" s="145">
        <v>43.680000000000007</v>
      </c>
      <c r="G1113" s="145">
        <v>0</v>
      </c>
      <c r="H1113" s="145">
        <v>0</v>
      </c>
      <c r="I1113" s="77">
        <f t="shared" si="20"/>
        <v>755.65000000000009</v>
      </c>
      <c r="J1113" s="123" t="str">
        <f>IFERROR(VLOOKUP($C1113,'CEDARS School FRPL'!C:H,4,FALSE),"No")</f>
        <v>No</v>
      </c>
      <c r="K1113" s="109"/>
      <c r="L1113" s="109"/>
      <c r="M1113" s="110">
        <f>IFERROR(VLOOKUP($C1113,'CEDARS School FRPL'!C:H,3,FALSE),0)</f>
        <v>0.11643333333333333</v>
      </c>
      <c r="N1113" s="123" t="str">
        <f>IFERROR(VLOOKUP(C1113,'CEDARS School FRPL'!C:H,6,FALSE),"No")</f>
        <v>No</v>
      </c>
      <c r="O1113" s="147"/>
      <c r="P1113" s="148"/>
    </row>
    <row r="1114" spans="1:16">
      <c r="A1114" s="95" t="s">
        <v>2479</v>
      </c>
      <c r="B1114" s="95" t="s">
        <v>1710</v>
      </c>
      <c r="C1114" s="4">
        <v>1806</v>
      </c>
      <c r="D1114" s="95" t="s">
        <v>1713</v>
      </c>
      <c r="E1114" s="145">
        <v>52.6</v>
      </c>
      <c r="F1114" s="145">
        <v>0.4</v>
      </c>
      <c r="G1114" s="145">
        <v>0</v>
      </c>
      <c r="H1114" s="145">
        <v>0</v>
      </c>
      <c r="I1114" s="77">
        <f t="shared" si="20"/>
        <v>53</v>
      </c>
      <c r="J1114" s="123" t="str">
        <f>IFERROR(VLOOKUP($C1114,'CEDARS School FRPL'!C:H,4,FALSE),"No")</f>
        <v>Yes</v>
      </c>
      <c r="K1114" s="109"/>
      <c r="L1114" s="109"/>
      <c r="M1114" s="110">
        <f>IFERROR(VLOOKUP($C1114,'CEDARS School FRPL'!C:H,3,FALSE),0)</f>
        <v>0.54833333333333334</v>
      </c>
      <c r="N1114" s="123" t="str">
        <f>IFERROR(VLOOKUP(C1114,'CEDARS School FRPL'!C:H,6,FALSE),"No")</f>
        <v>No</v>
      </c>
      <c r="O1114" s="147"/>
      <c r="P1114" s="148"/>
    </row>
    <row r="1115" spans="1:16">
      <c r="A1115" s="95" t="s">
        <v>2479</v>
      </c>
      <c r="B1115" s="95" t="s">
        <v>1710</v>
      </c>
      <c r="C1115" s="4">
        <v>1883</v>
      </c>
      <c r="D1115" s="95" t="s">
        <v>1714</v>
      </c>
      <c r="E1115" s="145">
        <v>153.56</v>
      </c>
      <c r="F1115" s="145">
        <v>0</v>
      </c>
      <c r="G1115" s="145">
        <v>0</v>
      </c>
      <c r="H1115" s="145">
        <v>0</v>
      </c>
      <c r="I1115" s="77">
        <f t="shared" si="20"/>
        <v>153.56</v>
      </c>
      <c r="J1115" s="123" t="str">
        <f>IFERROR(VLOOKUP($C1115,'CEDARS School FRPL'!C:H,4,FALSE),"No")</f>
        <v>No</v>
      </c>
      <c r="K1115" s="109"/>
      <c r="L1115" s="109"/>
      <c r="M1115" s="110">
        <f>IFERROR(VLOOKUP($C1115,'CEDARS School FRPL'!C:H,3,FALSE),0)</f>
        <v>0.16663333333333333</v>
      </c>
      <c r="N1115" s="123" t="str">
        <f>IFERROR(VLOOKUP(C1115,'CEDARS School FRPL'!C:H,6,FALSE),"No")</f>
        <v>No</v>
      </c>
      <c r="O1115" s="147"/>
      <c r="P1115" s="148"/>
    </row>
    <row r="1116" spans="1:16">
      <c r="A1116" s="95" t="s">
        <v>2479</v>
      </c>
      <c r="B1116" s="95" t="s">
        <v>1710</v>
      </c>
      <c r="C1116" s="4">
        <v>2546</v>
      </c>
      <c r="D1116" s="95" t="s">
        <v>1715</v>
      </c>
      <c r="E1116" s="145">
        <v>327</v>
      </c>
      <c r="F1116" s="145">
        <v>0</v>
      </c>
      <c r="G1116" s="145">
        <v>0</v>
      </c>
      <c r="H1116" s="145">
        <v>0</v>
      </c>
      <c r="I1116" s="77">
        <f t="shared" si="20"/>
        <v>327</v>
      </c>
      <c r="J1116" s="123" t="str">
        <f>IFERROR(VLOOKUP($C1116,'CEDARS School FRPL'!C:H,4,FALSE),"No")</f>
        <v>No</v>
      </c>
      <c r="K1116" s="109"/>
      <c r="L1116" s="109"/>
      <c r="M1116" s="110">
        <f>IFERROR(VLOOKUP($C1116,'CEDARS School FRPL'!C:H,3,FALSE),0)</f>
        <v>0.20596666666666666</v>
      </c>
      <c r="N1116" s="123" t="str">
        <f>IFERROR(VLOOKUP(C1116,'CEDARS School FRPL'!C:H,6,FALSE),"No")</f>
        <v>No</v>
      </c>
      <c r="O1116" s="147"/>
      <c r="P1116" s="148"/>
    </row>
    <row r="1117" spans="1:16">
      <c r="A1117" s="95" t="s">
        <v>2479</v>
      </c>
      <c r="B1117" s="95" t="s">
        <v>1710</v>
      </c>
      <c r="C1117" s="4">
        <v>3060</v>
      </c>
      <c r="D1117" s="95" t="s">
        <v>1716</v>
      </c>
      <c r="E1117" s="145">
        <v>549.39</v>
      </c>
      <c r="F1117" s="145">
        <v>0</v>
      </c>
      <c r="G1117" s="145">
        <v>0</v>
      </c>
      <c r="H1117" s="145">
        <v>0</v>
      </c>
      <c r="I1117" s="77">
        <f t="shared" si="20"/>
        <v>549.39</v>
      </c>
      <c r="J1117" s="123" t="str">
        <f>IFERROR(VLOOKUP($C1117,'CEDARS School FRPL'!C:H,4,FALSE),"No")</f>
        <v>Yes</v>
      </c>
      <c r="K1117" s="109"/>
      <c r="L1117" s="109"/>
      <c r="M1117" s="110">
        <f>IFERROR(VLOOKUP($C1117,'CEDARS School FRPL'!C:H,3,FALSE),0)</f>
        <v>0.64166666666666661</v>
      </c>
      <c r="N1117" s="123" t="str">
        <f>IFERROR(VLOOKUP(C1117,'CEDARS School FRPL'!C:H,6,FALSE),"No")</f>
        <v>No</v>
      </c>
      <c r="O1117" s="147"/>
      <c r="P1117" s="148"/>
    </row>
    <row r="1118" spans="1:16">
      <c r="A1118" s="95" t="s">
        <v>2479</v>
      </c>
      <c r="B1118" s="95" t="s">
        <v>1710</v>
      </c>
      <c r="C1118" s="4">
        <v>4159</v>
      </c>
      <c r="D1118" s="95" t="s">
        <v>1717</v>
      </c>
      <c r="E1118" s="145">
        <v>423.64</v>
      </c>
      <c r="F1118" s="145">
        <v>0</v>
      </c>
      <c r="G1118" s="145">
        <v>0</v>
      </c>
      <c r="H1118" s="145">
        <v>0</v>
      </c>
      <c r="I1118" s="77">
        <f t="shared" si="20"/>
        <v>423.64</v>
      </c>
      <c r="J1118" s="123" t="str">
        <f>IFERROR(VLOOKUP($C1118,'CEDARS School FRPL'!C:H,4,FALSE),"No")</f>
        <v>No</v>
      </c>
      <c r="K1118" s="109"/>
      <c r="L1118" s="109"/>
      <c r="M1118" s="110">
        <f>IFERROR(VLOOKUP($C1118,'CEDARS School FRPL'!C:H,3,FALSE),0)</f>
        <v>0.17679999999999998</v>
      </c>
      <c r="N1118" s="123" t="str">
        <f>IFERROR(VLOOKUP(C1118,'CEDARS School FRPL'!C:H,6,FALSE),"No")</f>
        <v>No</v>
      </c>
      <c r="O1118" s="147"/>
      <c r="P1118" s="148"/>
    </row>
    <row r="1119" spans="1:16">
      <c r="A1119" s="95" t="s">
        <v>2479</v>
      </c>
      <c r="B1119" s="95" t="s">
        <v>1710</v>
      </c>
      <c r="C1119" s="4">
        <v>4362</v>
      </c>
      <c r="D1119" s="95" t="s">
        <v>1718</v>
      </c>
      <c r="E1119" s="145">
        <v>410.26</v>
      </c>
      <c r="F1119" s="145">
        <v>0</v>
      </c>
      <c r="G1119" s="145">
        <v>0</v>
      </c>
      <c r="H1119" s="145">
        <v>0</v>
      </c>
      <c r="I1119" s="77">
        <f t="shared" si="20"/>
        <v>410.26</v>
      </c>
      <c r="J1119" s="123" t="str">
        <f>IFERROR(VLOOKUP($C1119,'CEDARS School FRPL'!C:H,4,FALSE),"No")</f>
        <v>No</v>
      </c>
      <c r="K1119" s="109"/>
      <c r="L1119" s="109"/>
      <c r="M1119" s="110">
        <f>IFERROR(VLOOKUP($C1119,'CEDARS School FRPL'!C:H,3,FALSE),0)</f>
        <v>0.1263</v>
      </c>
      <c r="N1119" s="123" t="str">
        <f>IFERROR(VLOOKUP(C1119,'CEDARS School FRPL'!C:H,6,FALSE),"No")</f>
        <v>No</v>
      </c>
      <c r="O1119" s="147"/>
      <c r="P1119" s="148"/>
    </row>
    <row r="1120" spans="1:16">
      <c r="A1120" s="95" t="s">
        <v>2479</v>
      </c>
      <c r="B1120" s="95" t="s">
        <v>1710</v>
      </c>
      <c r="C1120" s="4">
        <v>4528</v>
      </c>
      <c r="D1120" s="95" t="s">
        <v>1719</v>
      </c>
      <c r="E1120" s="145">
        <v>1366.58</v>
      </c>
      <c r="F1120" s="145">
        <v>126.43</v>
      </c>
      <c r="G1120" s="145">
        <v>0</v>
      </c>
      <c r="H1120" s="145">
        <v>0</v>
      </c>
      <c r="I1120" s="77">
        <f t="shared" si="20"/>
        <v>1493.01</v>
      </c>
      <c r="J1120" s="123" t="str">
        <f>IFERROR(VLOOKUP($C1120,'CEDARS School FRPL'!C:H,4,FALSE),"No")</f>
        <v>No</v>
      </c>
      <c r="K1120" s="109"/>
      <c r="L1120" s="109"/>
      <c r="M1120" s="110">
        <f>IFERROR(VLOOKUP($C1120,'CEDARS School FRPL'!C:H,3,FALSE),0)</f>
        <v>0.30249999999999999</v>
      </c>
      <c r="N1120" s="123" t="str">
        <f>IFERROR(VLOOKUP(C1120,'CEDARS School FRPL'!C:H,6,FALSE),"No")</f>
        <v>No</v>
      </c>
      <c r="O1120" s="147"/>
      <c r="P1120" s="148"/>
    </row>
    <row r="1121" spans="1:16">
      <c r="A1121" s="95" t="s">
        <v>2479</v>
      </c>
      <c r="B1121" s="95" t="s">
        <v>1710</v>
      </c>
      <c r="C1121" s="4">
        <v>4544</v>
      </c>
      <c r="D1121" s="95" t="s">
        <v>1720</v>
      </c>
      <c r="E1121" s="145">
        <v>318.05</v>
      </c>
      <c r="F1121" s="145">
        <v>0</v>
      </c>
      <c r="G1121" s="145">
        <v>0</v>
      </c>
      <c r="H1121" s="145">
        <v>0</v>
      </c>
      <c r="I1121" s="77">
        <f t="shared" si="20"/>
        <v>318.05</v>
      </c>
      <c r="J1121" s="123" t="str">
        <f>IFERROR(VLOOKUP($C1121,'CEDARS School FRPL'!C:H,4,FALSE),"No")</f>
        <v>No</v>
      </c>
      <c r="K1121" s="109"/>
      <c r="L1121" s="109"/>
      <c r="M1121" s="110">
        <f>IFERROR(VLOOKUP($C1121,'CEDARS School FRPL'!C:H,3,FALSE),0)</f>
        <v>0.33746666666666664</v>
      </c>
      <c r="N1121" s="123" t="str">
        <f>IFERROR(VLOOKUP(C1121,'CEDARS School FRPL'!C:H,6,FALSE),"No")</f>
        <v>No</v>
      </c>
      <c r="O1121" s="147"/>
      <c r="P1121" s="148"/>
    </row>
    <row r="1122" spans="1:16">
      <c r="A1122" s="95" t="s">
        <v>2479</v>
      </c>
      <c r="B1122" s="95" t="s">
        <v>1710</v>
      </c>
      <c r="C1122" s="4">
        <v>4594</v>
      </c>
      <c r="D1122" s="95" t="s">
        <v>1721</v>
      </c>
      <c r="E1122" s="145">
        <v>372.43</v>
      </c>
      <c r="F1122" s="145">
        <v>0</v>
      </c>
      <c r="G1122" s="145">
        <v>0</v>
      </c>
      <c r="H1122" s="145">
        <v>0</v>
      </c>
      <c r="I1122" s="77">
        <f t="shared" si="20"/>
        <v>372.43</v>
      </c>
      <c r="J1122" s="123" t="str">
        <f>IFERROR(VLOOKUP($C1122,'CEDARS School FRPL'!C:H,4,FALSE),"No")</f>
        <v>No</v>
      </c>
      <c r="K1122" s="109"/>
      <c r="L1122" s="109"/>
      <c r="M1122" s="110">
        <f>IFERROR(VLOOKUP($C1122,'CEDARS School FRPL'!C:H,3,FALSE),0)</f>
        <v>0.36076666666666668</v>
      </c>
      <c r="N1122" s="123" t="str">
        <f>IFERROR(VLOOKUP(C1122,'CEDARS School FRPL'!C:H,6,FALSE),"No")</f>
        <v>No</v>
      </c>
      <c r="O1122" s="147"/>
      <c r="P1122" s="148"/>
    </row>
    <row r="1123" spans="1:16">
      <c r="A1123" s="95" t="s">
        <v>2479</v>
      </c>
      <c r="B1123" s="95" t="s">
        <v>1710</v>
      </c>
      <c r="C1123" s="4">
        <v>5040</v>
      </c>
      <c r="D1123" s="95" t="s">
        <v>1722</v>
      </c>
      <c r="E1123" s="145">
        <v>785.35</v>
      </c>
      <c r="F1123" s="145">
        <v>0</v>
      </c>
      <c r="G1123" s="145">
        <v>0</v>
      </c>
      <c r="H1123" s="145">
        <v>0</v>
      </c>
      <c r="I1123" s="77">
        <f t="shared" si="20"/>
        <v>785.35</v>
      </c>
      <c r="J1123" s="123" t="str">
        <f>IFERROR(VLOOKUP($C1123,'CEDARS School FRPL'!C:H,4,FALSE),"No")</f>
        <v>No</v>
      </c>
      <c r="K1123" s="109"/>
      <c r="L1123" s="109"/>
      <c r="M1123" s="110">
        <f>IFERROR(VLOOKUP($C1123,'CEDARS School FRPL'!C:H,3,FALSE),0)</f>
        <v>0.3833333333333333</v>
      </c>
      <c r="N1123" s="123" t="str">
        <f>IFERROR(VLOOKUP(C1123,'CEDARS School FRPL'!C:H,6,FALSE),"No")</f>
        <v>No</v>
      </c>
      <c r="O1123" s="147"/>
      <c r="P1123" s="148"/>
    </row>
    <row r="1124" spans="1:16">
      <c r="A1124" s="95" t="s">
        <v>2479</v>
      </c>
      <c r="B1124" s="95" t="s">
        <v>1710</v>
      </c>
      <c r="C1124" s="4">
        <v>5154</v>
      </c>
      <c r="D1124" s="95" t="s">
        <v>1723</v>
      </c>
      <c r="E1124" s="145">
        <v>142.4</v>
      </c>
      <c r="F1124" s="145">
        <v>0</v>
      </c>
      <c r="G1124" s="145">
        <v>0</v>
      </c>
      <c r="H1124" s="145">
        <v>0</v>
      </c>
      <c r="I1124" s="77">
        <f t="shared" si="20"/>
        <v>142.4</v>
      </c>
      <c r="J1124" s="123" t="str">
        <f>IFERROR(VLOOKUP($C1124,'CEDARS School FRPL'!C:H,4,FALSE),"No")</f>
        <v>No</v>
      </c>
      <c r="K1124" s="109"/>
      <c r="L1124" s="109"/>
      <c r="M1124" s="110">
        <f>IFERROR(VLOOKUP($C1124,'CEDARS School FRPL'!C:H,3,FALSE),0)</f>
        <v>0.15890000000000001</v>
      </c>
      <c r="N1124" s="123" t="str">
        <f>IFERROR(VLOOKUP(C1124,'CEDARS School FRPL'!C:H,6,FALSE),"No")</f>
        <v>No</v>
      </c>
      <c r="O1124" s="147"/>
      <c r="P1124" s="148"/>
    </row>
    <row r="1125" spans="1:16">
      <c r="A1125" s="95" t="s">
        <v>2331</v>
      </c>
      <c r="B1125" s="95" t="s">
        <v>487</v>
      </c>
      <c r="C1125" s="4">
        <v>2180</v>
      </c>
      <c r="D1125" s="95" t="s">
        <v>488</v>
      </c>
      <c r="E1125" s="145">
        <v>596.16</v>
      </c>
      <c r="F1125" s="145">
        <v>50.13</v>
      </c>
      <c r="G1125" s="145">
        <v>12</v>
      </c>
      <c r="H1125" s="145">
        <v>0</v>
      </c>
      <c r="I1125" s="77">
        <f t="shared" si="20"/>
        <v>658.29</v>
      </c>
      <c r="J1125" s="123" t="str">
        <f>IFERROR(VLOOKUP($C1125,'CEDARS School FRPL'!C:H,4,FALSE),"No")</f>
        <v>No</v>
      </c>
      <c r="K1125" s="109"/>
      <c r="L1125" s="109"/>
      <c r="M1125" s="110">
        <f>IFERROR(VLOOKUP($C1125,'CEDARS School FRPL'!C:H,3,FALSE),0)</f>
        <v>0.33396666666666669</v>
      </c>
      <c r="N1125" s="123" t="str">
        <f>IFERROR(VLOOKUP(C1125,'CEDARS School FRPL'!C:H,6,FALSE),"No")</f>
        <v>No</v>
      </c>
      <c r="O1125" s="147"/>
      <c r="P1125" s="148"/>
    </row>
    <row r="1126" spans="1:16">
      <c r="A1126" s="95" t="s">
        <v>2331</v>
      </c>
      <c r="B1126" s="95" t="s">
        <v>487</v>
      </c>
      <c r="C1126" s="4">
        <v>3374</v>
      </c>
      <c r="D1126" s="95" t="s">
        <v>489</v>
      </c>
      <c r="E1126" s="145">
        <v>420.72</v>
      </c>
      <c r="F1126" s="145">
        <v>0</v>
      </c>
      <c r="G1126" s="145">
        <v>0</v>
      </c>
      <c r="H1126" s="145">
        <v>0</v>
      </c>
      <c r="I1126" s="77">
        <f t="shared" si="20"/>
        <v>420.72</v>
      </c>
      <c r="J1126" s="123" t="str">
        <f>IFERROR(VLOOKUP($C1126,'CEDARS School FRPL'!C:H,4,FALSE),"No")</f>
        <v>No</v>
      </c>
      <c r="K1126" s="109"/>
      <c r="L1126" s="109"/>
      <c r="M1126" s="110">
        <f>IFERROR(VLOOKUP($C1126,'CEDARS School FRPL'!C:H,3,FALSE),0)</f>
        <v>0.37060000000000004</v>
      </c>
      <c r="N1126" s="123" t="str">
        <f>IFERROR(VLOOKUP(C1126,'CEDARS School FRPL'!C:H,6,FALSE),"No")</f>
        <v>No</v>
      </c>
      <c r="O1126" s="147"/>
      <c r="P1126" s="148"/>
    </row>
    <row r="1127" spans="1:16">
      <c r="A1127" s="95" t="s">
        <v>2331</v>
      </c>
      <c r="B1127" s="95" t="s">
        <v>487</v>
      </c>
      <c r="C1127" s="4">
        <v>3661</v>
      </c>
      <c r="D1127" s="95" t="s">
        <v>490</v>
      </c>
      <c r="E1127" s="145">
        <v>271.77</v>
      </c>
      <c r="F1127" s="145">
        <v>0</v>
      </c>
      <c r="G1127" s="145">
        <v>0</v>
      </c>
      <c r="H1127" s="145">
        <v>0</v>
      </c>
      <c r="I1127" s="77">
        <f t="shared" si="20"/>
        <v>271.77</v>
      </c>
      <c r="J1127" s="123" t="str">
        <f>IFERROR(VLOOKUP($C1127,'CEDARS School FRPL'!C:H,4,FALSE),"No")</f>
        <v>No</v>
      </c>
      <c r="K1127" s="109"/>
      <c r="L1127" s="109"/>
      <c r="M1127" s="110">
        <f>IFERROR(VLOOKUP($C1127,'CEDARS School FRPL'!C:H,3,FALSE),0)</f>
        <v>0.33826666666666666</v>
      </c>
      <c r="N1127" s="123" t="str">
        <f>IFERROR(VLOOKUP(C1127,'CEDARS School FRPL'!C:H,6,FALSE),"No")</f>
        <v>No</v>
      </c>
      <c r="O1127" s="147"/>
      <c r="P1127" s="148"/>
    </row>
    <row r="1128" spans="1:16">
      <c r="A1128" s="95" t="s">
        <v>2396</v>
      </c>
      <c r="B1128" s="95" t="s">
        <v>1142</v>
      </c>
      <c r="C1128" s="4">
        <v>2678</v>
      </c>
      <c r="D1128" s="95" t="s">
        <v>1143</v>
      </c>
      <c r="E1128" s="145">
        <v>203.57</v>
      </c>
      <c r="F1128" s="145">
        <v>0</v>
      </c>
      <c r="G1128" s="145">
        <v>0</v>
      </c>
      <c r="H1128" s="145">
        <v>0</v>
      </c>
      <c r="I1128" s="77">
        <f t="shared" si="20"/>
        <v>203.57</v>
      </c>
      <c r="J1128" s="123" t="str">
        <f>IFERROR(VLOOKUP($C1128,'CEDARS School FRPL'!C:H,4,FALSE),"No")</f>
        <v>Yes</v>
      </c>
      <c r="K1128" s="109"/>
      <c r="L1128" s="109"/>
      <c r="M1128" s="110">
        <f>IFERROR(VLOOKUP($C1128,'CEDARS School FRPL'!C:H,3,FALSE),0)</f>
        <v>0.56820000000000004</v>
      </c>
      <c r="N1128" s="123" t="str">
        <f>IFERROR(VLOOKUP(C1128,'CEDARS School FRPL'!C:H,6,FALSE),"No")</f>
        <v>No</v>
      </c>
      <c r="O1128" s="147"/>
      <c r="P1128" s="148"/>
    </row>
    <row r="1129" spans="1:16">
      <c r="A1129" s="95" t="s">
        <v>2396</v>
      </c>
      <c r="B1129" s="95" t="s">
        <v>1142</v>
      </c>
      <c r="C1129" s="4">
        <v>3112</v>
      </c>
      <c r="D1129" s="95" t="s">
        <v>1144</v>
      </c>
      <c r="E1129" s="145">
        <v>173.28</v>
      </c>
      <c r="F1129" s="145">
        <v>8.24</v>
      </c>
      <c r="G1129" s="145">
        <v>1</v>
      </c>
      <c r="H1129" s="145">
        <v>0</v>
      </c>
      <c r="I1129" s="77">
        <f t="shared" si="20"/>
        <v>182.52</v>
      </c>
      <c r="J1129" s="123" t="str">
        <f>IFERROR(VLOOKUP($C1129,'CEDARS School FRPL'!C:H,4,FALSE),"No")</f>
        <v>Yes</v>
      </c>
      <c r="K1129" s="109"/>
      <c r="L1129" s="109"/>
      <c r="M1129" s="110">
        <f>IFERROR(VLOOKUP($C1129,'CEDARS School FRPL'!C:H,3,FALSE),0)</f>
        <v>0.53883333333333339</v>
      </c>
      <c r="N1129" s="123" t="str">
        <f>IFERROR(VLOOKUP(C1129,'CEDARS School FRPL'!C:H,6,FALSE),"No")</f>
        <v>No</v>
      </c>
      <c r="O1129" s="147"/>
      <c r="P1129" s="148"/>
    </row>
    <row r="1130" spans="1:16">
      <c r="A1130" s="95" t="s">
        <v>2323</v>
      </c>
      <c r="B1130" s="95" t="s">
        <v>436</v>
      </c>
      <c r="C1130" s="4">
        <v>2673</v>
      </c>
      <c r="D1130" s="95" t="s">
        <v>245</v>
      </c>
      <c r="E1130" s="145">
        <v>760.79</v>
      </c>
      <c r="F1130" s="145">
        <v>0</v>
      </c>
      <c r="G1130" s="145">
        <v>0</v>
      </c>
      <c r="H1130" s="145">
        <v>0</v>
      </c>
      <c r="I1130" s="77">
        <f t="shared" si="20"/>
        <v>760.79</v>
      </c>
      <c r="J1130" s="123" t="str">
        <f>IFERROR(VLOOKUP($C1130,'CEDARS School FRPL'!C:H,4,FALSE),"No")</f>
        <v>Yes</v>
      </c>
      <c r="K1130" s="109"/>
      <c r="L1130" s="109"/>
      <c r="M1130" s="110">
        <f>IFERROR(VLOOKUP($C1130,'CEDARS School FRPL'!C:H,3,FALSE),0)</f>
        <v>0.61353333333333337</v>
      </c>
      <c r="N1130" s="123" t="str">
        <f>IFERROR(VLOOKUP(C1130,'CEDARS School FRPL'!C:H,6,FALSE),"No")</f>
        <v>No</v>
      </c>
      <c r="O1130" s="147"/>
      <c r="P1130" s="148"/>
    </row>
    <row r="1131" spans="1:16">
      <c r="A1131" s="95" t="s">
        <v>2323</v>
      </c>
      <c r="B1131" s="95" t="s">
        <v>436</v>
      </c>
      <c r="C1131" s="4">
        <v>2832</v>
      </c>
      <c r="D1131" s="95" t="s">
        <v>437</v>
      </c>
      <c r="E1131" s="145">
        <v>408.12</v>
      </c>
      <c r="F1131" s="145">
        <v>0</v>
      </c>
      <c r="G1131" s="145">
        <v>0</v>
      </c>
      <c r="H1131" s="145">
        <v>0</v>
      </c>
      <c r="I1131" s="77">
        <f t="shared" si="20"/>
        <v>408.12</v>
      </c>
      <c r="J1131" s="123" t="str">
        <f>IFERROR(VLOOKUP($C1131,'CEDARS School FRPL'!C:H,4,FALSE),"No")</f>
        <v>Yes</v>
      </c>
      <c r="K1131" s="109"/>
      <c r="L1131" s="109"/>
      <c r="M1131" s="110">
        <f>IFERROR(VLOOKUP($C1131,'CEDARS School FRPL'!C:H,3,FALSE),0)</f>
        <v>0.61233333333333329</v>
      </c>
      <c r="N1131" s="123" t="str">
        <f>IFERROR(VLOOKUP(C1131,'CEDARS School FRPL'!C:H,6,FALSE),"No")</f>
        <v>No</v>
      </c>
      <c r="O1131" s="147"/>
      <c r="P1131" s="148"/>
    </row>
    <row r="1132" spans="1:16">
      <c r="A1132" s="95" t="s">
        <v>2323</v>
      </c>
      <c r="B1132" s="95" t="s">
        <v>436</v>
      </c>
      <c r="C1132" s="4">
        <v>2833</v>
      </c>
      <c r="D1132" s="95" t="s">
        <v>438</v>
      </c>
      <c r="E1132" s="145">
        <v>307.57</v>
      </c>
      <c r="F1132" s="145">
        <v>0</v>
      </c>
      <c r="G1132" s="145">
        <v>0</v>
      </c>
      <c r="H1132" s="145">
        <v>0</v>
      </c>
      <c r="I1132" s="77">
        <f t="shared" si="20"/>
        <v>307.57</v>
      </c>
      <c r="J1132" s="123" t="str">
        <f>IFERROR(VLOOKUP($C1132,'CEDARS School FRPL'!C:H,4,FALSE),"No")</f>
        <v>Yes</v>
      </c>
      <c r="K1132" s="109"/>
      <c r="L1132" s="109"/>
      <c r="M1132" s="110">
        <f>IFERROR(VLOOKUP($C1132,'CEDARS School FRPL'!C:H,3,FALSE),0)</f>
        <v>0.7654333333333333</v>
      </c>
      <c r="N1132" s="123" t="str">
        <f>IFERROR(VLOOKUP(C1132,'CEDARS School FRPL'!C:H,6,FALSE),"No")</f>
        <v>No</v>
      </c>
      <c r="O1132" s="147"/>
      <c r="P1132" s="148"/>
    </row>
    <row r="1133" spans="1:16">
      <c r="A1133" s="95" t="s">
        <v>2323</v>
      </c>
      <c r="B1133" s="95" t="s">
        <v>436</v>
      </c>
      <c r="C1133" s="4">
        <v>2969</v>
      </c>
      <c r="D1133" s="95" t="s">
        <v>439</v>
      </c>
      <c r="E1133" s="145">
        <v>315.2</v>
      </c>
      <c r="F1133" s="145">
        <v>0</v>
      </c>
      <c r="G1133" s="145">
        <v>0</v>
      </c>
      <c r="H1133" s="145">
        <v>0</v>
      </c>
      <c r="I1133" s="77">
        <f t="shared" si="20"/>
        <v>315.2</v>
      </c>
      <c r="J1133" s="123" t="str">
        <f>IFERROR(VLOOKUP($C1133,'CEDARS School FRPL'!C:H,4,FALSE),"No")</f>
        <v>Yes</v>
      </c>
      <c r="K1133" s="109"/>
      <c r="L1133" s="109"/>
      <c r="M1133" s="110">
        <f>IFERROR(VLOOKUP($C1133,'CEDARS School FRPL'!C:H,3,FALSE),0)</f>
        <v>0.64680000000000004</v>
      </c>
      <c r="N1133" s="123" t="str">
        <f>IFERROR(VLOOKUP(C1133,'CEDARS School FRPL'!C:H,6,FALSE),"No")</f>
        <v>No</v>
      </c>
      <c r="O1133" s="147"/>
      <c r="P1133" s="148"/>
    </row>
    <row r="1134" spans="1:16">
      <c r="A1134" s="95" t="s">
        <v>2323</v>
      </c>
      <c r="B1134" s="95" t="s">
        <v>436</v>
      </c>
      <c r="C1134" s="4">
        <v>2970</v>
      </c>
      <c r="D1134" s="95" t="s">
        <v>440</v>
      </c>
      <c r="E1134" s="145">
        <v>239.89</v>
      </c>
      <c r="F1134" s="145">
        <v>0</v>
      </c>
      <c r="G1134" s="145">
        <v>0</v>
      </c>
      <c r="H1134" s="145">
        <v>0</v>
      </c>
      <c r="I1134" s="77">
        <f t="shared" si="20"/>
        <v>239.89</v>
      </c>
      <c r="J1134" s="123" t="str">
        <f>IFERROR(VLOOKUP($C1134,'CEDARS School FRPL'!C:H,4,FALSE),"No")</f>
        <v>Yes</v>
      </c>
      <c r="K1134" s="109"/>
      <c r="L1134" s="109"/>
      <c r="M1134" s="110">
        <f>IFERROR(VLOOKUP($C1134,'CEDARS School FRPL'!C:H,3,FALSE),0)</f>
        <v>0.78853333333333342</v>
      </c>
      <c r="N1134" s="123" t="str">
        <f>IFERROR(VLOOKUP(C1134,'CEDARS School FRPL'!C:H,6,FALSE),"No")</f>
        <v>No</v>
      </c>
      <c r="O1134" s="147"/>
      <c r="P1134" s="148"/>
    </row>
    <row r="1135" spans="1:16">
      <c r="A1135" s="95" t="s">
        <v>2323</v>
      </c>
      <c r="B1135" s="95" t="s">
        <v>436</v>
      </c>
      <c r="C1135" s="4">
        <v>3021</v>
      </c>
      <c r="D1135" s="95" t="s">
        <v>441</v>
      </c>
      <c r="E1135" s="145">
        <v>322.75</v>
      </c>
      <c r="F1135" s="145">
        <v>0</v>
      </c>
      <c r="G1135" s="145">
        <v>0</v>
      </c>
      <c r="H1135" s="145">
        <v>0</v>
      </c>
      <c r="I1135" s="77">
        <f t="shared" si="20"/>
        <v>322.75</v>
      </c>
      <c r="J1135" s="123" t="str">
        <f>IFERROR(VLOOKUP($C1135,'CEDARS School FRPL'!C:H,4,FALSE),"No")</f>
        <v>Yes</v>
      </c>
      <c r="K1135" s="109"/>
      <c r="L1135" s="109"/>
      <c r="M1135" s="110">
        <f>IFERROR(VLOOKUP($C1135,'CEDARS School FRPL'!C:H,3,FALSE),0)</f>
        <v>0.86929999999999996</v>
      </c>
      <c r="N1135" s="123" t="str">
        <f>IFERROR(VLOOKUP(C1135,'CEDARS School FRPL'!C:H,6,FALSE),"No")</f>
        <v>No</v>
      </c>
      <c r="O1135" s="147"/>
      <c r="P1135" s="148"/>
    </row>
    <row r="1136" spans="1:16">
      <c r="A1136" s="95" t="s">
        <v>2323</v>
      </c>
      <c r="B1136" s="95" t="s">
        <v>436</v>
      </c>
      <c r="C1136" s="4">
        <v>3022</v>
      </c>
      <c r="D1136" s="95" t="s">
        <v>442</v>
      </c>
      <c r="E1136" s="145">
        <v>862.36</v>
      </c>
      <c r="F1136" s="145">
        <v>0</v>
      </c>
      <c r="G1136" s="145">
        <v>0</v>
      </c>
      <c r="H1136" s="145">
        <v>0</v>
      </c>
      <c r="I1136" s="77">
        <f t="shared" si="20"/>
        <v>862.36</v>
      </c>
      <c r="J1136" s="123" t="str">
        <f>IFERROR(VLOOKUP($C1136,'CEDARS School FRPL'!C:H,4,FALSE),"No")</f>
        <v>Yes</v>
      </c>
      <c r="K1136" s="109"/>
      <c r="L1136" s="109"/>
      <c r="M1136" s="110">
        <f>IFERROR(VLOOKUP($C1136,'CEDARS School FRPL'!C:H,3,FALSE),0)</f>
        <v>0.62339999999999995</v>
      </c>
      <c r="N1136" s="123" t="str">
        <f>IFERROR(VLOOKUP(C1136,'CEDARS School FRPL'!C:H,6,FALSE),"No")</f>
        <v>No</v>
      </c>
      <c r="O1136" s="147"/>
      <c r="P1136" s="148"/>
    </row>
    <row r="1137" spans="1:16">
      <c r="A1137" s="95" t="s">
        <v>2323</v>
      </c>
      <c r="B1137" s="95" t="s">
        <v>436</v>
      </c>
      <c r="C1137" s="4">
        <v>3091</v>
      </c>
      <c r="D1137" s="95" t="s">
        <v>443</v>
      </c>
      <c r="E1137" s="145">
        <v>382.35</v>
      </c>
      <c r="F1137" s="145">
        <v>0</v>
      </c>
      <c r="G1137" s="145">
        <v>0</v>
      </c>
      <c r="H1137" s="145">
        <v>0</v>
      </c>
      <c r="I1137" s="77">
        <f t="shared" si="20"/>
        <v>382.35</v>
      </c>
      <c r="J1137" s="123" t="str">
        <f>IFERROR(VLOOKUP($C1137,'CEDARS School FRPL'!C:H,4,FALSE),"No")</f>
        <v>Yes</v>
      </c>
      <c r="K1137" s="109"/>
      <c r="L1137" s="109"/>
      <c r="M1137" s="110">
        <f>IFERROR(VLOOKUP($C1137,'CEDARS School FRPL'!C:H,3,FALSE),0)</f>
        <v>0.5479666666666666</v>
      </c>
      <c r="N1137" s="123" t="str">
        <f>IFERROR(VLOOKUP(C1137,'CEDARS School FRPL'!C:H,6,FALSE),"No")</f>
        <v>No</v>
      </c>
      <c r="O1137" s="147"/>
      <c r="P1137" s="148"/>
    </row>
    <row r="1138" spans="1:16">
      <c r="A1138" s="95" t="s">
        <v>2323</v>
      </c>
      <c r="B1138" s="95" t="s">
        <v>436</v>
      </c>
      <c r="C1138" s="4">
        <v>3153</v>
      </c>
      <c r="D1138" s="95" t="s">
        <v>444</v>
      </c>
      <c r="E1138" s="145">
        <v>373.29</v>
      </c>
      <c r="F1138" s="145">
        <v>0</v>
      </c>
      <c r="G1138" s="145">
        <v>0</v>
      </c>
      <c r="H1138" s="145">
        <v>0</v>
      </c>
      <c r="I1138" s="77">
        <f t="shared" si="20"/>
        <v>373.29</v>
      </c>
      <c r="J1138" s="123" t="str">
        <f>IFERROR(VLOOKUP($C1138,'CEDARS School FRPL'!C:H,4,FALSE),"No")</f>
        <v>Yes</v>
      </c>
      <c r="K1138" s="109"/>
      <c r="L1138" s="109"/>
      <c r="M1138" s="110">
        <f>IFERROR(VLOOKUP($C1138,'CEDARS School FRPL'!C:H,3,FALSE),0)</f>
        <v>0.6846333333333332</v>
      </c>
      <c r="N1138" s="123" t="str">
        <f>IFERROR(VLOOKUP(C1138,'CEDARS School FRPL'!C:H,6,FALSE),"No")</f>
        <v>No</v>
      </c>
      <c r="O1138" s="147"/>
      <c r="P1138" s="148"/>
    </row>
    <row r="1139" spans="1:16">
      <c r="A1139" s="95" t="s">
        <v>2323</v>
      </c>
      <c r="B1139" s="95" t="s">
        <v>436</v>
      </c>
      <c r="C1139" s="4">
        <v>3215</v>
      </c>
      <c r="D1139" s="95" t="s">
        <v>445</v>
      </c>
      <c r="E1139" s="145">
        <v>1876.07</v>
      </c>
      <c r="F1139" s="145">
        <v>224.06</v>
      </c>
      <c r="G1139" s="145">
        <v>0</v>
      </c>
      <c r="H1139" s="145">
        <v>0</v>
      </c>
      <c r="I1139" s="77">
        <f t="shared" si="20"/>
        <v>2100.13</v>
      </c>
      <c r="J1139" s="123" t="str">
        <f>IFERROR(VLOOKUP($C1139,'CEDARS School FRPL'!C:H,4,FALSE),"No")</f>
        <v>Yes</v>
      </c>
      <c r="K1139" s="109"/>
      <c r="L1139" s="109"/>
      <c r="M1139" s="110">
        <f>IFERROR(VLOOKUP($C1139,'CEDARS School FRPL'!C:H,3,FALSE),0)</f>
        <v>0.58763333333333334</v>
      </c>
      <c r="N1139" s="123" t="str">
        <f>IFERROR(VLOOKUP(C1139,'CEDARS School FRPL'!C:H,6,FALSE),"No")</f>
        <v>No</v>
      </c>
      <c r="O1139" s="147"/>
      <c r="P1139" s="148"/>
    </row>
    <row r="1140" spans="1:16">
      <c r="A1140" s="95" t="s">
        <v>2323</v>
      </c>
      <c r="B1140" s="95" t="s">
        <v>436</v>
      </c>
      <c r="C1140" s="4">
        <v>3779</v>
      </c>
      <c r="D1140" s="95" t="s">
        <v>446</v>
      </c>
      <c r="E1140" s="145">
        <v>314.14</v>
      </c>
      <c r="F1140" s="145">
        <v>0</v>
      </c>
      <c r="G1140" s="145">
        <v>0</v>
      </c>
      <c r="H1140" s="145">
        <v>0</v>
      </c>
      <c r="I1140" s="77">
        <f t="shared" si="20"/>
        <v>314.14</v>
      </c>
      <c r="J1140" s="123" t="str">
        <f>IFERROR(VLOOKUP($C1140,'CEDARS School FRPL'!C:H,4,FALSE),"No")</f>
        <v>Yes</v>
      </c>
      <c r="K1140" s="109"/>
      <c r="L1140" s="109"/>
      <c r="M1140" s="110">
        <f>IFERROR(VLOOKUP($C1140,'CEDARS School FRPL'!C:H,3,FALSE),0)</f>
        <v>0.88306666666666667</v>
      </c>
      <c r="N1140" s="123" t="str">
        <f>IFERROR(VLOOKUP(C1140,'CEDARS School FRPL'!C:H,6,FALSE),"No")</f>
        <v>No</v>
      </c>
      <c r="O1140" s="147"/>
      <c r="P1140" s="148"/>
    </row>
    <row r="1141" spans="1:16">
      <c r="A1141" s="95" t="s">
        <v>2323</v>
      </c>
      <c r="B1141" s="95" t="s">
        <v>436</v>
      </c>
      <c r="C1141" s="4">
        <v>5173</v>
      </c>
      <c r="D1141" s="95" t="s">
        <v>447</v>
      </c>
      <c r="E1141" s="145">
        <v>351.42</v>
      </c>
      <c r="F1141" s="145">
        <v>0</v>
      </c>
      <c r="G1141" s="145">
        <v>0</v>
      </c>
      <c r="H1141" s="145">
        <v>0</v>
      </c>
      <c r="I1141" s="77">
        <f t="shared" si="20"/>
        <v>351.42</v>
      </c>
      <c r="J1141" s="123" t="str">
        <f>IFERROR(VLOOKUP($C1141,'CEDARS School FRPL'!C:H,4,FALSE),"No")</f>
        <v>No</v>
      </c>
      <c r="K1141" s="109"/>
      <c r="L1141" s="109"/>
      <c r="M1141" s="110">
        <f>IFERROR(VLOOKUP($C1141,'CEDARS School FRPL'!C:H,3,FALSE),0)</f>
        <v>0.3617333333333333</v>
      </c>
      <c r="N1141" s="123" t="str">
        <f>IFERROR(VLOOKUP(C1141,'CEDARS School FRPL'!C:H,6,FALSE),"No")</f>
        <v>No</v>
      </c>
      <c r="O1141" s="147"/>
      <c r="P1141" s="148"/>
    </row>
    <row r="1142" spans="1:16">
      <c r="A1142" s="95" t="s">
        <v>2323</v>
      </c>
      <c r="B1142" s="95" t="s">
        <v>436</v>
      </c>
      <c r="C1142" s="4">
        <v>5251</v>
      </c>
      <c r="D1142" s="95" t="s">
        <v>448</v>
      </c>
      <c r="E1142" s="145">
        <v>434.12</v>
      </c>
      <c r="F1142" s="145">
        <v>0</v>
      </c>
      <c r="G1142" s="145">
        <v>0</v>
      </c>
      <c r="H1142" s="145">
        <v>0</v>
      </c>
      <c r="I1142" s="77">
        <f t="shared" si="20"/>
        <v>434.12</v>
      </c>
      <c r="J1142" s="123" t="str">
        <f>IFERROR(VLOOKUP($C1142,'CEDARS School FRPL'!C:H,4,FALSE),"No")</f>
        <v>Yes</v>
      </c>
      <c r="K1142" s="109"/>
      <c r="L1142" s="109"/>
      <c r="M1142" s="110">
        <f>IFERROR(VLOOKUP($C1142,'CEDARS School FRPL'!C:H,3,FALSE),0)</f>
        <v>0.65616666666666668</v>
      </c>
      <c r="N1142" s="123" t="str">
        <f>IFERROR(VLOOKUP(C1142,'CEDARS School FRPL'!C:H,6,FALSE),"No")</f>
        <v>No</v>
      </c>
      <c r="O1142" s="147"/>
      <c r="P1142" s="148"/>
    </row>
    <row r="1143" spans="1:16">
      <c r="A1143" s="95" t="s">
        <v>2323</v>
      </c>
      <c r="B1143" s="95" t="s">
        <v>436</v>
      </c>
      <c r="C1143" s="4">
        <v>5273</v>
      </c>
      <c r="D1143" s="95" t="s">
        <v>449</v>
      </c>
      <c r="E1143" s="145">
        <v>205.81</v>
      </c>
      <c r="F1143" s="145">
        <v>0</v>
      </c>
      <c r="G1143" s="145">
        <v>0</v>
      </c>
      <c r="H1143" s="145">
        <v>0</v>
      </c>
      <c r="I1143" s="77">
        <f t="shared" si="20"/>
        <v>205.81</v>
      </c>
      <c r="J1143" s="123" t="str">
        <f>IFERROR(VLOOKUP($C1143,'CEDARS School FRPL'!C:H,4,FALSE),"No")</f>
        <v>No</v>
      </c>
      <c r="K1143" s="109"/>
      <c r="L1143" s="109"/>
      <c r="M1143" s="110">
        <f>IFERROR(VLOOKUP($C1143,'CEDARS School FRPL'!C:H,3,FALSE),0)</f>
        <v>0.3805</v>
      </c>
      <c r="N1143" s="123" t="str">
        <f>IFERROR(VLOOKUP(C1143,'CEDARS School FRPL'!C:H,6,FALSE),"No")</f>
        <v>No</v>
      </c>
      <c r="O1143" s="147"/>
      <c r="P1143" s="148"/>
    </row>
    <row r="1144" spans="1:16">
      <c r="A1144" s="95" t="s">
        <v>2323</v>
      </c>
      <c r="B1144" s="95" t="s">
        <v>436</v>
      </c>
      <c r="C1144" s="4">
        <v>5323</v>
      </c>
      <c r="D1144" s="95" t="s">
        <v>450</v>
      </c>
      <c r="E1144" s="145">
        <v>0</v>
      </c>
      <c r="F1144" s="145">
        <v>1.01</v>
      </c>
      <c r="G1144" s="145">
        <v>100.46</v>
      </c>
      <c r="H1144" s="145">
        <v>0</v>
      </c>
      <c r="I1144" s="77">
        <f t="shared" si="20"/>
        <v>101.47</v>
      </c>
      <c r="J1144" s="123" t="str">
        <f>IFERROR(VLOOKUP($C1144,'CEDARS School FRPL'!C:H,4,FALSE),"No")</f>
        <v>Yes</v>
      </c>
      <c r="K1144" s="109"/>
      <c r="L1144" s="109"/>
      <c r="M1144" s="110">
        <f>IFERROR(VLOOKUP($C1144,'CEDARS School FRPL'!C:H,3,FALSE),0)</f>
        <v>0.7732</v>
      </c>
      <c r="N1144" s="123" t="str">
        <f>IFERROR(VLOOKUP(C1144,'CEDARS School FRPL'!C:H,6,FALSE),"No")</f>
        <v>No</v>
      </c>
      <c r="O1144" s="147"/>
      <c r="P1144" s="148"/>
    </row>
    <row r="1145" spans="1:16">
      <c r="A1145" s="95" t="s">
        <v>2323</v>
      </c>
      <c r="B1145" s="95" t="s">
        <v>436</v>
      </c>
      <c r="C1145" s="4">
        <v>5354</v>
      </c>
      <c r="D1145" s="95" t="s">
        <v>451</v>
      </c>
      <c r="E1145" s="145">
        <v>277.36</v>
      </c>
      <c r="F1145" s="145">
        <v>0</v>
      </c>
      <c r="G1145" s="145">
        <v>0</v>
      </c>
      <c r="H1145" s="145">
        <v>0</v>
      </c>
      <c r="I1145" s="77">
        <f t="shared" si="20"/>
        <v>277.36</v>
      </c>
      <c r="J1145" s="123" t="str">
        <f>IFERROR(VLOOKUP($C1145,'CEDARS School FRPL'!C:H,4,FALSE),"No")</f>
        <v>Yes</v>
      </c>
      <c r="K1145" s="109"/>
      <c r="L1145" s="109"/>
      <c r="M1145" s="110">
        <f>IFERROR(VLOOKUP($C1145,'CEDARS School FRPL'!C:H,3,FALSE),0)</f>
        <v>0.93129999999999991</v>
      </c>
      <c r="N1145" s="123" t="str">
        <f>IFERROR(VLOOKUP(C1145,'CEDARS School FRPL'!C:H,6,FALSE),"No")</f>
        <v>No</v>
      </c>
      <c r="O1145" s="147"/>
      <c r="P1145" s="148"/>
    </row>
    <row r="1146" spans="1:16">
      <c r="A1146" s="95" t="s">
        <v>2323</v>
      </c>
      <c r="B1146" s="95" t="s">
        <v>436</v>
      </c>
      <c r="C1146" s="4">
        <v>5601</v>
      </c>
      <c r="D1146" s="95" t="s">
        <v>2825</v>
      </c>
      <c r="E1146" s="145">
        <v>1.23</v>
      </c>
      <c r="F1146" s="145">
        <v>0</v>
      </c>
      <c r="G1146" s="145">
        <v>0</v>
      </c>
      <c r="H1146" s="145">
        <v>0</v>
      </c>
      <c r="I1146" s="77">
        <f t="shared" si="20"/>
        <v>1.23</v>
      </c>
      <c r="J1146" s="123" t="str">
        <f>IFERROR(VLOOKUP($C1146,'CEDARS School FRPL'!C:H,4,FALSE),"No")</f>
        <v>No</v>
      </c>
      <c r="K1146" s="109"/>
      <c r="L1146" s="109"/>
      <c r="M1146" s="110">
        <f>IFERROR(VLOOKUP($C1146,'CEDARS School FRPL'!C:H,3,FALSE),0)</f>
        <v>0.20000000000000004</v>
      </c>
      <c r="N1146" s="123" t="str">
        <f>IFERROR(VLOOKUP(C1146,'CEDARS School FRPL'!C:H,6,FALSE),"No")</f>
        <v>No</v>
      </c>
      <c r="O1146" s="147"/>
      <c r="P1146" s="148"/>
    </row>
    <row r="1147" spans="1:16">
      <c r="A1147" s="95" t="s">
        <v>2323</v>
      </c>
      <c r="B1147" s="95" t="s">
        <v>436</v>
      </c>
      <c r="C1147" s="4">
        <v>5679</v>
      </c>
      <c r="D1147" s="95" t="s">
        <v>3026</v>
      </c>
      <c r="E1147" s="145">
        <v>198.23</v>
      </c>
      <c r="F1147" s="145">
        <v>0.82</v>
      </c>
      <c r="G1147" s="145">
        <v>0</v>
      </c>
      <c r="H1147" s="145">
        <v>0</v>
      </c>
      <c r="I1147" s="77">
        <f t="shared" si="20"/>
        <v>199.04999999999998</v>
      </c>
      <c r="J1147" s="123" t="str">
        <f>IFERROR(VLOOKUP($C1147,'CEDARS School FRPL'!C:H,4,FALSE),"No")</f>
        <v>Yes</v>
      </c>
      <c r="K1147" s="109"/>
      <c r="L1147" s="109"/>
      <c r="M1147" s="110">
        <f>IFERROR(VLOOKUP($C1147,'CEDARS School FRPL'!C:H,3,FALSE),0)</f>
        <v>0.71279999999999999</v>
      </c>
      <c r="N1147" s="123" t="str">
        <f>IFERROR(VLOOKUP(C1147,'CEDARS School FRPL'!C:H,6,FALSE),"No")</f>
        <v>No</v>
      </c>
      <c r="O1147" s="147"/>
      <c r="P1147" s="148"/>
    </row>
    <row r="1148" spans="1:16">
      <c r="A1148" s="95" t="s">
        <v>2323</v>
      </c>
      <c r="B1148" s="95" t="s">
        <v>436</v>
      </c>
      <c r="C1148" s="4">
        <v>5680</v>
      </c>
      <c r="D1148" s="95" t="s">
        <v>3027</v>
      </c>
      <c r="E1148" s="145">
        <v>395.54</v>
      </c>
      <c r="F1148" s="145">
        <v>0</v>
      </c>
      <c r="G1148" s="145">
        <v>0</v>
      </c>
      <c r="H1148" s="145">
        <v>0</v>
      </c>
      <c r="I1148" s="77">
        <f t="shared" si="20"/>
        <v>395.54</v>
      </c>
      <c r="J1148" s="123" t="str">
        <f>IFERROR(VLOOKUP($C1148,'CEDARS School FRPL'!C:H,4,FALSE),"No")</f>
        <v>No</v>
      </c>
      <c r="K1148" s="109"/>
      <c r="L1148" s="109"/>
      <c r="M1148" s="110">
        <f>IFERROR(VLOOKUP($C1148,'CEDARS School FRPL'!C:H,3,FALSE),0)</f>
        <v>0.46879999999999999</v>
      </c>
      <c r="N1148" s="123" t="str">
        <f>IFERROR(VLOOKUP(C1148,'CEDARS School FRPL'!C:H,6,FALSE),"No")</f>
        <v>No</v>
      </c>
      <c r="O1148" s="147"/>
      <c r="P1148" s="148"/>
    </row>
    <row r="1149" spans="1:16">
      <c r="A1149" s="95" t="s">
        <v>2395</v>
      </c>
      <c r="B1149" s="95" t="s">
        <v>1138</v>
      </c>
      <c r="C1149" s="4">
        <v>2572</v>
      </c>
      <c r="D1149" s="95" t="s">
        <v>1139</v>
      </c>
      <c r="E1149" s="145">
        <v>297.70999999999998</v>
      </c>
      <c r="F1149" s="145">
        <v>0</v>
      </c>
      <c r="G1149" s="145">
        <v>0</v>
      </c>
      <c r="H1149" s="145">
        <v>0</v>
      </c>
      <c r="I1149" s="77">
        <f t="shared" si="20"/>
        <v>297.70999999999998</v>
      </c>
      <c r="J1149" s="123" t="str">
        <f>IFERROR(VLOOKUP($C1149,'CEDARS School FRPL'!C:H,4,FALSE),"No")</f>
        <v>Yes</v>
      </c>
      <c r="K1149" s="109"/>
      <c r="L1149" s="109"/>
      <c r="M1149" s="110">
        <f>IFERROR(VLOOKUP($C1149,'CEDARS School FRPL'!C:H,3,FALSE),0)</f>
        <v>0.59053333333333335</v>
      </c>
      <c r="N1149" s="123" t="str">
        <f>IFERROR(VLOOKUP(C1149,'CEDARS School FRPL'!C:H,6,FALSE),"No")</f>
        <v>No</v>
      </c>
      <c r="O1149" s="147"/>
      <c r="P1149" s="148"/>
    </row>
    <row r="1150" spans="1:16">
      <c r="A1150" s="95" t="s">
        <v>2395</v>
      </c>
      <c r="B1150" s="95" t="s">
        <v>1138</v>
      </c>
      <c r="C1150" s="4">
        <v>3238</v>
      </c>
      <c r="D1150" s="95" t="s">
        <v>1140</v>
      </c>
      <c r="E1150" s="145">
        <v>259.16000000000003</v>
      </c>
      <c r="F1150" s="145">
        <v>6.26</v>
      </c>
      <c r="G1150" s="145">
        <v>0</v>
      </c>
      <c r="H1150" s="145">
        <v>0</v>
      </c>
      <c r="I1150" s="77">
        <f t="shared" si="20"/>
        <v>265.42</v>
      </c>
      <c r="J1150" s="123" t="str">
        <f>IFERROR(VLOOKUP($C1150,'CEDARS School FRPL'!C:H,4,FALSE),"No")</f>
        <v>Yes</v>
      </c>
      <c r="K1150" s="109"/>
      <c r="L1150" s="109"/>
      <c r="M1150" s="110">
        <f>IFERROR(VLOOKUP($C1150,'CEDARS School FRPL'!C:H,3,FALSE),0)</f>
        <v>0.56476666666666675</v>
      </c>
      <c r="N1150" s="123" t="str">
        <f>IFERROR(VLOOKUP(C1150,'CEDARS School FRPL'!C:H,6,FALSE),"No")</f>
        <v>No</v>
      </c>
      <c r="O1150" s="147"/>
      <c r="P1150" s="148"/>
    </row>
    <row r="1151" spans="1:16">
      <c r="A1151" s="95" t="s">
        <v>2395</v>
      </c>
      <c r="B1151" s="95" t="s">
        <v>1138</v>
      </c>
      <c r="C1151" s="4">
        <v>5415</v>
      </c>
      <c r="D1151" s="95" t="s">
        <v>1141</v>
      </c>
      <c r="E1151" s="145">
        <v>13.31</v>
      </c>
      <c r="F1151" s="145">
        <v>0</v>
      </c>
      <c r="G1151" s="145">
        <v>0</v>
      </c>
      <c r="H1151" s="145">
        <v>0</v>
      </c>
      <c r="I1151" s="77">
        <f t="shared" si="20"/>
        <v>13.31</v>
      </c>
      <c r="J1151" s="123" t="str">
        <f>IFERROR(VLOOKUP($C1151,'CEDARS School FRPL'!C:H,4,FALSE),"No")</f>
        <v>Yes</v>
      </c>
      <c r="K1151" s="107"/>
      <c r="L1151" s="107"/>
      <c r="M1151" s="110">
        <f>IFERROR(VLOOKUP($C1151,'CEDARS School FRPL'!C:H,3,FALSE),0)</f>
        <v>0.78076666666666661</v>
      </c>
      <c r="N1151" s="123" t="str">
        <f>IFERROR(VLOOKUP(C1151,'CEDARS School FRPL'!C:H,6,FALSE),"No")</f>
        <v>No</v>
      </c>
      <c r="O1151" s="147"/>
      <c r="P1151" s="148"/>
    </row>
    <row r="1152" spans="1:16">
      <c r="A1152" s="95" t="s">
        <v>2567</v>
      </c>
      <c r="B1152" s="95" t="s">
        <v>2253</v>
      </c>
      <c r="C1152" s="4">
        <v>2389</v>
      </c>
      <c r="D1152" s="95" t="s">
        <v>2254</v>
      </c>
      <c r="E1152" s="145">
        <v>134.66</v>
      </c>
      <c r="F1152" s="145">
        <v>0</v>
      </c>
      <c r="G1152" s="145">
        <v>0</v>
      </c>
      <c r="H1152" s="145">
        <v>0</v>
      </c>
      <c r="I1152" s="77">
        <f t="shared" si="20"/>
        <v>134.66</v>
      </c>
      <c r="J1152" s="123" t="str">
        <f>IFERROR(VLOOKUP($C1152,'CEDARS School FRPL'!C:H,4,FALSE),"No")</f>
        <v>Yes</v>
      </c>
      <c r="K1152" s="109"/>
      <c r="L1152" s="109"/>
      <c r="M1152" s="110">
        <f>IFERROR(VLOOKUP($C1152,'CEDARS School FRPL'!C:H,3,FALSE),0)</f>
        <v>0.97256666666666669</v>
      </c>
      <c r="N1152" s="123" t="str">
        <f>IFERROR(VLOOKUP(C1152,'CEDARS School FRPL'!C:H,6,FALSE),"No")</f>
        <v>No</v>
      </c>
      <c r="O1152" s="147"/>
      <c r="P1152" s="148"/>
    </row>
    <row r="1153" spans="1:16">
      <c r="A1153" s="95" t="s">
        <v>2567</v>
      </c>
      <c r="B1153" s="95" t="s">
        <v>2253</v>
      </c>
      <c r="C1153" s="4">
        <v>2506</v>
      </c>
      <c r="D1153" s="95" t="s">
        <v>2255</v>
      </c>
      <c r="E1153" s="145">
        <v>441.72</v>
      </c>
      <c r="F1153" s="145">
        <v>0</v>
      </c>
      <c r="G1153" s="145">
        <v>0</v>
      </c>
      <c r="H1153" s="145">
        <v>0</v>
      </c>
      <c r="I1153" s="77">
        <f t="shared" si="20"/>
        <v>441.72</v>
      </c>
      <c r="J1153" s="123" t="str">
        <f>IFERROR(VLOOKUP($C1153,'CEDARS School FRPL'!C:H,4,FALSE),"No")</f>
        <v>Yes</v>
      </c>
      <c r="K1153" s="109"/>
      <c r="L1153" s="109"/>
      <c r="M1153" s="110">
        <f>IFERROR(VLOOKUP($C1153,'CEDARS School FRPL'!C:H,3,FALSE),0)</f>
        <v>0.96539999999999992</v>
      </c>
      <c r="N1153" s="123" t="str">
        <f>IFERROR(VLOOKUP(C1153,'CEDARS School FRPL'!C:H,6,FALSE),"No")</f>
        <v>No</v>
      </c>
      <c r="O1153" s="147"/>
      <c r="P1153" s="148"/>
    </row>
    <row r="1154" spans="1:16">
      <c r="A1154" s="95" t="s">
        <v>2567</v>
      </c>
      <c r="B1154" s="95" t="s">
        <v>2253</v>
      </c>
      <c r="C1154" s="4">
        <v>2532</v>
      </c>
      <c r="D1154" s="95" t="s">
        <v>2256</v>
      </c>
      <c r="E1154" s="145">
        <v>253.15</v>
      </c>
      <c r="F1154" s="145">
        <v>2.91</v>
      </c>
      <c r="G1154" s="145">
        <v>1.43</v>
      </c>
      <c r="H1154" s="145">
        <v>0</v>
      </c>
      <c r="I1154" s="77">
        <f t="shared" si="20"/>
        <v>257.49</v>
      </c>
      <c r="J1154" s="123" t="str">
        <f>IFERROR(VLOOKUP($C1154,'CEDARS School FRPL'!C:H,4,FALSE),"No")</f>
        <v>Yes</v>
      </c>
      <c r="K1154" s="109"/>
      <c r="L1154" s="109"/>
      <c r="M1154" s="110">
        <f>IFERROR(VLOOKUP($C1154,'CEDARS School FRPL'!C:H,3,FALSE),0)</f>
        <v>0.97389999999999999</v>
      </c>
      <c r="N1154" s="123" t="str">
        <f>IFERROR(VLOOKUP(C1154,'CEDARS School FRPL'!C:H,6,FALSE),"No")</f>
        <v>No</v>
      </c>
      <c r="O1154" s="147"/>
      <c r="P1154" s="148"/>
    </row>
    <row r="1155" spans="1:16">
      <c r="A1155" s="95" t="s">
        <v>2538</v>
      </c>
      <c r="B1155" s="95" t="s">
        <v>2121</v>
      </c>
      <c r="C1155" s="4">
        <v>2343</v>
      </c>
      <c r="D1155" s="95" t="s">
        <v>2122</v>
      </c>
      <c r="E1155" s="145">
        <v>429.23</v>
      </c>
      <c r="F1155" s="145">
        <v>45.06</v>
      </c>
      <c r="G1155" s="145">
        <v>17.28</v>
      </c>
      <c r="H1155" s="145">
        <v>0</v>
      </c>
      <c r="I1155" s="77">
        <f t="shared" si="20"/>
        <v>491.57000000000005</v>
      </c>
      <c r="J1155" s="123" t="str">
        <f>IFERROR(VLOOKUP($C1155,'CEDARS School FRPL'!C:H,4,FALSE),"No")</f>
        <v>Yes</v>
      </c>
      <c r="K1155" s="109"/>
      <c r="L1155" s="109"/>
      <c r="M1155" s="110">
        <f>IFERROR(VLOOKUP($C1155,'CEDARS School FRPL'!C:H,3,FALSE),0)</f>
        <v>0.50159999999999993</v>
      </c>
      <c r="N1155" s="123" t="str">
        <f>IFERROR(VLOOKUP(C1155,'CEDARS School FRPL'!C:H,6,FALSE),"No")</f>
        <v>No</v>
      </c>
      <c r="O1155" s="147"/>
      <c r="P1155" s="148"/>
    </row>
    <row r="1156" spans="1:16">
      <c r="A1156" s="95" t="s">
        <v>2538</v>
      </c>
      <c r="B1156" s="95" t="s">
        <v>2121</v>
      </c>
      <c r="C1156" s="4">
        <v>2585</v>
      </c>
      <c r="D1156" s="95" t="s">
        <v>2123</v>
      </c>
      <c r="E1156" s="145">
        <v>197.54</v>
      </c>
      <c r="F1156" s="145">
        <v>0</v>
      </c>
      <c r="G1156" s="145">
        <v>0</v>
      </c>
      <c r="H1156" s="145">
        <v>0</v>
      </c>
      <c r="I1156" s="77">
        <f t="shared" ref="I1156:I1219" si="21">+E1156+F1156+G1156+H1156</f>
        <v>197.54</v>
      </c>
      <c r="J1156" s="123" t="str">
        <f>IFERROR(VLOOKUP($C1156,'CEDARS School FRPL'!C:H,4,FALSE),"No")</f>
        <v>Yes</v>
      </c>
      <c r="K1156" s="109"/>
      <c r="L1156" s="109"/>
      <c r="M1156" s="110">
        <f>IFERROR(VLOOKUP($C1156,'CEDARS School FRPL'!C:H,3,FALSE),0)</f>
        <v>0.52403333333333324</v>
      </c>
      <c r="N1156" s="123" t="str">
        <f>IFERROR(VLOOKUP(C1156,'CEDARS School FRPL'!C:H,6,FALSE),"No")</f>
        <v>No</v>
      </c>
      <c r="O1156" s="147"/>
      <c r="P1156" s="148"/>
    </row>
    <row r="1157" spans="1:16">
      <c r="A1157" s="95" t="s">
        <v>2538</v>
      </c>
      <c r="B1157" s="95" t="s">
        <v>2121</v>
      </c>
      <c r="C1157" s="4">
        <v>3003</v>
      </c>
      <c r="D1157" s="95" t="s">
        <v>2124</v>
      </c>
      <c r="E1157" s="145">
        <v>279.51</v>
      </c>
      <c r="F1157" s="145">
        <v>0</v>
      </c>
      <c r="G1157" s="145">
        <v>0</v>
      </c>
      <c r="H1157" s="145">
        <v>0</v>
      </c>
      <c r="I1157" s="77">
        <f t="shared" si="21"/>
        <v>279.51</v>
      </c>
      <c r="J1157" s="123" t="str">
        <f>IFERROR(VLOOKUP($C1157,'CEDARS School FRPL'!C:H,4,FALSE),"No")</f>
        <v>Yes</v>
      </c>
      <c r="K1157" s="109"/>
      <c r="L1157" s="109"/>
      <c r="M1157" s="110">
        <f>IFERROR(VLOOKUP($C1157,'CEDARS School FRPL'!C:H,3,FALSE),0)</f>
        <v>0.61030000000000006</v>
      </c>
      <c r="N1157" s="123" t="str">
        <f>IFERROR(VLOOKUP(C1157,'CEDARS School FRPL'!C:H,6,FALSE),"No")</f>
        <v>No</v>
      </c>
      <c r="O1157" s="147"/>
      <c r="P1157" s="148"/>
    </row>
    <row r="1158" spans="1:16">
      <c r="A1158" s="95" t="s">
        <v>2538</v>
      </c>
      <c r="B1158" s="95" t="s">
        <v>2121</v>
      </c>
      <c r="C1158" s="4">
        <v>3365</v>
      </c>
      <c r="D1158" s="95" t="s">
        <v>2125</v>
      </c>
      <c r="E1158" s="145">
        <v>298.16000000000003</v>
      </c>
      <c r="F1158" s="145">
        <v>0</v>
      </c>
      <c r="G1158" s="145">
        <v>0</v>
      </c>
      <c r="H1158" s="145">
        <v>0</v>
      </c>
      <c r="I1158" s="77">
        <f t="shared" si="21"/>
        <v>298.16000000000003</v>
      </c>
      <c r="J1158" s="123" t="str">
        <f>IFERROR(VLOOKUP($C1158,'CEDARS School FRPL'!C:H,4,FALSE),"No")</f>
        <v>No</v>
      </c>
      <c r="K1158" s="109"/>
      <c r="L1158" s="109"/>
      <c r="M1158" s="110">
        <f>IFERROR(VLOOKUP($C1158,'CEDARS School FRPL'!C:H,3,FALSE),0)</f>
        <v>0.36846666666666666</v>
      </c>
      <c r="N1158" s="123" t="str">
        <f>IFERROR(VLOOKUP(C1158,'CEDARS School FRPL'!C:H,6,FALSE),"No")</f>
        <v>No</v>
      </c>
      <c r="O1158" s="147"/>
      <c r="P1158" s="148"/>
    </row>
    <row r="1159" spans="1:16">
      <c r="A1159" s="95" t="s">
        <v>2538</v>
      </c>
      <c r="B1159" s="95" t="s">
        <v>2121</v>
      </c>
      <c r="C1159" s="4">
        <v>4533</v>
      </c>
      <c r="D1159" s="95" t="s">
        <v>2126</v>
      </c>
      <c r="E1159" s="145">
        <v>295.64999999999998</v>
      </c>
      <c r="F1159" s="145">
        <v>0</v>
      </c>
      <c r="G1159" s="145">
        <v>0</v>
      </c>
      <c r="H1159" s="145">
        <v>0</v>
      </c>
      <c r="I1159" s="77">
        <f t="shared" si="21"/>
        <v>295.64999999999998</v>
      </c>
      <c r="J1159" s="123" t="str">
        <f>IFERROR(VLOOKUP($C1159,'CEDARS School FRPL'!C:H,4,FALSE),"No")</f>
        <v>Yes</v>
      </c>
      <c r="K1159" s="109"/>
      <c r="L1159" s="109"/>
      <c r="M1159" s="110">
        <f>IFERROR(VLOOKUP($C1159,'CEDARS School FRPL'!C:H,3,FALSE),0)</f>
        <v>0.7695333333333334</v>
      </c>
      <c r="N1159" s="123" t="str">
        <f>IFERROR(VLOOKUP(C1159,'CEDARS School FRPL'!C:H,6,FALSE),"No")</f>
        <v>No</v>
      </c>
      <c r="O1159" s="147"/>
      <c r="P1159" s="148"/>
    </row>
    <row r="1160" spans="1:16">
      <c r="A1160" s="95" t="s">
        <v>2538</v>
      </c>
      <c r="B1160" s="95" t="s">
        <v>2121</v>
      </c>
      <c r="C1160" s="4">
        <v>5112</v>
      </c>
      <c r="D1160" s="95" t="s">
        <v>2127</v>
      </c>
      <c r="E1160" s="145">
        <v>78.06</v>
      </c>
      <c r="F1160" s="145">
        <v>0</v>
      </c>
      <c r="G1160" s="145">
        <v>0</v>
      </c>
      <c r="H1160" s="145">
        <v>0</v>
      </c>
      <c r="I1160" s="77">
        <f t="shared" si="21"/>
        <v>78.06</v>
      </c>
      <c r="J1160" s="123" t="str">
        <f>IFERROR(VLOOKUP($C1160,'CEDARS School FRPL'!C:H,4,FALSE),"No")</f>
        <v>No</v>
      </c>
      <c r="K1160" s="109"/>
      <c r="L1160" s="109"/>
      <c r="M1160" s="110">
        <f>IFERROR(VLOOKUP($C1160,'CEDARS School FRPL'!C:H,3,FALSE),0)</f>
        <v>0.38853333333333334</v>
      </c>
      <c r="N1160" s="123" t="str">
        <f>IFERROR(VLOOKUP(C1160,'CEDARS School FRPL'!C:H,6,FALSE),"No")</f>
        <v>No</v>
      </c>
      <c r="O1160" s="147"/>
      <c r="P1160" s="148"/>
    </row>
    <row r="1161" spans="1:16">
      <c r="A1161" s="95" t="s">
        <v>2469</v>
      </c>
      <c r="B1161" s="95" t="s">
        <v>1587</v>
      </c>
      <c r="C1161" s="4">
        <v>3459</v>
      </c>
      <c r="D1161" s="95" t="s">
        <v>1588</v>
      </c>
      <c r="E1161" s="145">
        <v>59.57</v>
      </c>
      <c r="F1161" s="145">
        <v>0</v>
      </c>
      <c r="G1161" s="145">
        <v>0</v>
      </c>
      <c r="H1161" s="145">
        <v>0</v>
      </c>
      <c r="I1161" s="77">
        <f t="shared" si="21"/>
        <v>59.57</v>
      </c>
      <c r="J1161" s="123" t="str">
        <f>IFERROR(VLOOKUP($C1161,'CEDARS School FRPL'!C:H,4,FALSE),"No")</f>
        <v>No</v>
      </c>
      <c r="K1161" s="107"/>
      <c r="L1161" s="107"/>
      <c r="M1161" s="110">
        <f>IFERROR(VLOOKUP($C1161,'CEDARS School FRPL'!C:H,3,FALSE),0)</f>
        <v>0.18913333333333335</v>
      </c>
      <c r="N1161" s="123" t="str">
        <f>IFERROR(VLOOKUP(C1161,'CEDARS School FRPL'!C:H,6,FALSE),"No")</f>
        <v>No</v>
      </c>
      <c r="O1161" s="147"/>
      <c r="P1161" s="148"/>
    </row>
    <row r="1162" spans="1:16">
      <c r="A1162" s="95" t="s">
        <v>2466</v>
      </c>
      <c r="B1162" s="95" t="s">
        <v>1575</v>
      </c>
      <c r="C1162" s="4">
        <v>1992</v>
      </c>
      <c r="D1162" s="95" t="s">
        <v>2788</v>
      </c>
      <c r="E1162" s="145">
        <v>253.54</v>
      </c>
      <c r="F1162" s="145">
        <v>0</v>
      </c>
      <c r="G1162" s="145">
        <v>0</v>
      </c>
      <c r="H1162" s="145">
        <v>0</v>
      </c>
      <c r="I1162" s="77">
        <f t="shared" si="21"/>
        <v>253.54</v>
      </c>
      <c r="J1162" s="123" t="str">
        <f>IFERROR(VLOOKUP($C1162,'CEDARS School FRPL'!C:H,4,FALSE),"No")</f>
        <v>No</v>
      </c>
      <c r="K1162" s="109"/>
      <c r="L1162" s="109"/>
      <c r="M1162" s="110">
        <f>IFERROR(VLOOKUP($C1162,'CEDARS School FRPL'!C:H,3,FALSE),0)</f>
        <v>0.1585</v>
      </c>
      <c r="N1162" s="123" t="str">
        <f>IFERROR(VLOOKUP(C1162,'CEDARS School FRPL'!C:H,6,FALSE),"No")</f>
        <v>No</v>
      </c>
      <c r="O1162" s="147"/>
      <c r="P1162" s="148"/>
    </row>
    <row r="1163" spans="1:16">
      <c r="A1163" s="95" t="s">
        <v>2466</v>
      </c>
      <c r="B1163" s="95" t="s">
        <v>1575</v>
      </c>
      <c r="C1163" s="4">
        <v>2295</v>
      </c>
      <c r="D1163" s="95" t="s">
        <v>1576</v>
      </c>
      <c r="E1163" s="145">
        <v>1812.21</v>
      </c>
      <c r="F1163" s="145">
        <v>121.05</v>
      </c>
      <c r="G1163" s="145">
        <v>24.57</v>
      </c>
      <c r="H1163" s="145">
        <v>0</v>
      </c>
      <c r="I1163" s="77">
        <f t="shared" si="21"/>
        <v>1957.83</v>
      </c>
      <c r="J1163" s="123" t="str">
        <f>IFERROR(VLOOKUP($C1163,'CEDARS School FRPL'!C:H,4,FALSE),"No")</f>
        <v>Yes</v>
      </c>
      <c r="K1163" s="109"/>
      <c r="L1163" s="109"/>
      <c r="M1163" s="110">
        <f>IFERROR(VLOOKUP($C1163,'CEDARS School FRPL'!C:H,3,FALSE),0)</f>
        <v>0.60840000000000005</v>
      </c>
      <c r="N1163" s="123" t="str">
        <f>IFERROR(VLOOKUP(C1163,'CEDARS School FRPL'!C:H,6,FALSE),"No")</f>
        <v>No</v>
      </c>
      <c r="O1163" s="147"/>
      <c r="P1163" s="148"/>
    </row>
    <row r="1164" spans="1:16">
      <c r="A1164" s="95" t="s">
        <v>2466</v>
      </c>
      <c r="B1164" s="95" t="s">
        <v>1575</v>
      </c>
      <c r="C1164" s="4">
        <v>2880</v>
      </c>
      <c r="D1164" s="95" t="s">
        <v>40</v>
      </c>
      <c r="E1164" s="145">
        <v>332</v>
      </c>
      <c r="F1164" s="145">
        <v>0</v>
      </c>
      <c r="G1164" s="145">
        <v>0</v>
      </c>
      <c r="H1164" s="145">
        <v>0</v>
      </c>
      <c r="I1164" s="77">
        <f t="shared" si="21"/>
        <v>332</v>
      </c>
      <c r="J1164" s="123" t="str">
        <f>IFERROR(VLOOKUP($C1164,'CEDARS School FRPL'!C:H,4,FALSE),"No")</f>
        <v>Yes</v>
      </c>
      <c r="K1164" s="109"/>
      <c r="L1164" s="109"/>
      <c r="M1164" s="110">
        <f>IFERROR(VLOOKUP($C1164,'CEDARS School FRPL'!C:H,3,FALSE),0)</f>
        <v>0.75896666666666668</v>
      </c>
      <c r="N1164" s="123" t="str">
        <f>IFERROR(VLOOKUP(C1164,'CEDARS School FRPL'!C:H,6,FALSE),"No")</f>
        <v>No</v>
      </c>
      <c r="O1164" s="147"/>
      <c r="P1164" s="148"/>
    </row>
    <row r="1165" spans="1:16">
      <c r="A1165" s="95" t="s">
        <v>2466</v>
      </c>
      <c r="B1165" s="95" t="s">
        <v>1575</v>
      </c>
      <c r="C1165" s="4">
        <v>3001</v>
      </c>
      <c r="D1165" s="95" t="s">
        <v>1577</v>
      </c>
      <c r="E1165" s="145">
        <v>535.14</v>
      </c>
      <c r="F1165" s="145">
        <v>0</v>
      </c>
      <c r="G1165" s="145">
        <v>0</v>
      </c>
      <c r="H1165" s="145">
        <v>0</v>
      </c>
      <c r="I1165" s="77">
        <f t="shared" si="21"/>
        <v>535.14</v>
      </c>
      <c r="J1165" s="123" t="str">
        <f>IFERROR(VLOOKUP($C1165,'CEDARS School FRPL'!C:H,4,FALSE),"No")</f>
        <v>Yes</v>
      </c>
      <c r="K1165" s="109"/>
      <c r="L1165" s="109"/>
      <c r="M1165" s="110">
        <f>IFERROR(VLOOKUP($C1165,'CEDARS School FRPL'!C:H,3,FALSE),0)</f>
        <v>0.60040000000000004</v>
      </c>
      <c r="N1165" s="123" t="str">
        <f>IFERROR(VLOOKUP(C1165,'CEDARS School FRPL'!C:H,6,FALSE),"No")</f>
        <v>No</v>
      </c>
      <c r="O1165" s="147"/>
      <c r="P1165" s="148"/>
    </row>
    <row r="1166" spans="1:16">
      <c r="A1166" s="95" t="s">
        <v>2466</v>
      </c>
      <c r="B1166" s="95" t="s">
        <v>1575</v>
      </c>
      <c r="C1166" s="4">
        <v>3183</v>
      </c>
      <c r="D1166" s="95" t="s">
        <v>79</v>
      </c>
      <c r="E1166" s="145">
        <v>458.05</v>
      </c>
      <c r="F1166" s="145">
        <v>0</v>
      </c>
      <c r="G1166" s="145">
        <v>0</v>
      </c>
      <c r="H1166" s="145">
        <v>0</v>
      </c>
      <c r="I1166" s="77">
        <f t="shared" si="21"/>
        <v>458.05</v>
      </c>
      <c r="J1166" s="123" t="str">
        <f>IFERROR(VLOOKUP($C1166,'CEDARS School FRPL'!C:H,4,FALSE),"No")</f>
        <v>Yes</v>
      </c>
      <c r="K1166" s="109"/>
      <c r="L1166" s="109"/>
      <c r="M1166" s="110">
        <f>IFERROR(VLOOKUP($C1166,'CEDARS School FRPL'!C:H,3,FALSE),0)</f>
        <v>0.62080000000000002</v>
      </c>
      <c r="N1166" s="123" t="str">
        <f>IFERROR(VLOOKUP(C1166,'CEDARS School FRPL'!C:H,6,FALSE),"No")</f>
        <v>No</v>
      </c>
      <c r="O1166" s="147"/>
      <c r="P1166" s="148"/>
    </row>
    <row r="1167" spans="1:16">
      <c r="A1167" s="95" t="s">
        <v>2466</v>
      </c>
      <c r="B1167" s="95" t="s">
        <v>1575</v>
      </c>
      <c r="C1167" s="4">
        <v>3821</v>
      </c>
      <c r="D1167" s="95" t="s">
        <v>1578</v>
      </c>
      <c r="E1167" s="145">
        <v>725.19</v>
      </c>
      <c r="F1167" s="145">
        <v>0</v>
      </c>
      <c r="G1167" s="145">
        <v>0</v>
      </c>
      <c r="H1167" s="145">
        <v>0</v>
      </c>
      <c r="I1167" s="77">
        <f t="shared" si="21"/>
        <v>725.19</v>
      </c>
      <c r="J1167" s="123" t="str">
        <f>IFERROR(VLOOKUP($C1167,'CEDARS School FRPL'!C:H,4,FALSE),"No")</f>
        <v>Yes</v>
      </c>
      <c r="K1167" s="109"/>
      <c r="L1167" s="109"/>
      <c r="M1167" s="110">
        <f>IFERROR(VLOOKUP($C1167,'CEDARS School FRPL'!C:H,3,FALSE),0)</f>
        <v>0.71566666666666656</v>
      </c>
      <c r="N1167" s="123" t="str">
        <f>IFERROR(VLOOKUP(C1167,'CEDARS School FRPL'!C:H,6,FALSE),"No")</f>
        <v>No</v>
      </c>
      <c r="O1167" s="147"/>
      <c r="P1167" s="148"/>
    </row>
    <row r="1168" spans="1:16">
      <c r="A1168" s="95" t="s">
        <v>2466</v>
      </c>
      <c r="B1168" s="95" t="s">
        <v>1575</v>
      </c>
      <c r="C1168" s="4">
        <v>3829</v>
      </c>
      <c r="D1168" s="95" t="s">
        <v>1579</v>
      </c>
      <c r="E1168" s="145">
        <v>38.97</v>
      </c>
      <c r="F1168" s="145">
        <v>0</v>
      </c>
      <c r="G1168" s="145">
        <v>0</v>
      </c>
      <c r="H1168" s="145">
        <v>0</v>
      </c>
      <c r="I1168" s="77">
        <f t="shared" si="21"/>
        <v>38.97</v>
      </c>
      <c r="J1168" s="123" t="str">
        <f>IFERROR(VLOOKUP($C1168,'CEDARS School FRPL'!C:H,4,FALSE),"No")</f>
        <v>No</v>
      </c>
      <c r="K1168" s="109"/>
      <c r="L1168" s="109"/>
      <c r="M1168" s="110">
        <f>IFERROR(VLOOKUP($C1168,'CEDARS School FRPL'!C:H,3,FALSE),0)</f>
        <v>0.45</v>
      </c>
      <c r="N1168" s="123" t="str">
        <f>IFERROR(VLOOKUP(C1168,'CEDARS School FRPL'!C:H,6,FALSE),"No")</f>
        <v>No</v>
      </c>
      <c r="O1168" s="147"/>
      <c r="P1168" s="148"/>
    </row>
    <row r="1169" spans="1:16">
      <c r="A1169" s="95" t="s">
        <v>2466</v>
      </c>
      <c r="B1169" s="95" t="s">
        <v>1575</v>
      </c>
      <c r="C1169" s="4">
        <v>4013</v>
      </c>
      <c r="D1169" s="95" t="s">
        <v>1580</v>
      </c>
      <c r="E1169" s="145">
        <v>395.3</v>
      </c>
      <c r="F1169" s="145">
        <v>0</v>
      </c>
      <c r="G1169" s="145">
        <v>0</v>
      </c>
      <c r="H1169" s="145">
        <v>0</v>
      </c>
      <c r="I1169" s="77">
        <f t="shared" si="21"/>
        <v>395.3</v>
      </c>
      <c r="J1169" s="123" t="str">
        <f>IFERROR(VLOOKUP($C1169,'CEDARS School FRPL'!C:H,4,FALSE),"No")</f>
        <v>Yes</v>
      </c>
      <c r="K1169" s="109"/>
      <c r="L1169" s="109"/>
      <c r="M1169" s="110">
        <f>IFERROR(VLOOKUP($C1169,'CEDARS School FRPL'!C:H,3,FALSE),0)</f>
        <v>0.62983333333333336</v>
      </c>
      <c r="N1169" s="123" t="str">
        <f>IFERROR(VLOOKUP(C1169,'CEDARS School FRPL'!C:H,6,FALSE),"No")</f>
        <v>No</v>
      </c>
      <c r="O1169" s="147"/>
      <c r="P1169" s="148"/>
    </row>
    <row r="1170" spans="1:16">
      <c r="A1170" s="95" t="s">
        <v>2466</v>
      </c>
      <c r="B1170" s="95" t="s">
        <v>1575</v>
      </c>
      <c r="C1170" s="4">
        <v>4329</v>
      </c>
      <c r="D1170" s="95" t="s">
        <v>2893</v>
      </c>
      <c r="E1170" s="145">
        <v>413.21</v>
      </c>
      <c r="F1170" s="145">
        <v>0</v>
      </c>
      <c r="G1170" s="145">
        <v>0</v>
      </c>
      <c r="H1170" s="145">
        <v>0</v>
      </c>
      <c r="I1170" s="77">
        <f t="shared" si="21"/>
        <v>413.21</v>
      </c>
      <c r="J1170" s="123" t="str">
        <f>IFERROR(VLOOKUP($C1170,'CEDARS School FRPL'!C:H,4,FALSE),"No")</f>
        <v>Yes</v>
      </c>
      <c r="K1170" s="107"/>
      <c r="L1170" s="107"/>
      <c r="M1170" s="110">
        <f>IFERROR(VLOOKUP($C1170,'CEDARS School FRPL'!C:H,3,FALSE),0)</f>
        <v>0.72460000000000002</v>
      </c>
      <c r="N1170" s="123" t="str">
        <f>IFERROR(VLOOKUP(C1170,'CEDARS School FRPL'!C:H,6,FALSE),"No")</f>
        <v>No</v>
      </c>
      <c r="O1170" s="147"/>
      <c r="P1170" s="148"/>
    </row>
    <row r="1171" spans="1:16">
      <c r="A1171" s="95" t="s">
        <v>2466</v>
      </c>
      <c r="B1171" s="95" t="s">
        <v>1575</v>
      </c>
      <c r="C1171" s="4">
        <v>4511</v>
      </c>
      <c r="D1171" s="95" t="s">
        <v>1581</v>
      </c>
      <c r="E1171" s="145">
        <v>662.75</v>
      </c>
      <c r="F1171" s="145">
        <v>0</v>
      </c>
      <c r="G1171" s="145">
        <v>0</v>
      </c>
      <c r="H1171" s="145">
        <v>0</v>
      </c>
      <c r="I1171" s="77">
        <f t="shared" si="21"/>
        <v>662.75</v>
      </c>
      <c r="J1171" s="123" t="str">
        <f>IFERROR(VLOOKUP($C1171,'CEDARS School FRPL'!C:H,4,FALSE),"No")</f>
        <v>Yes</v>
      </c>
      <c r="K1171" s="109"/>
      <c r="L1171" s="109"/>
      <c r="M1171" s="110">
        <f>IFERROR(VLOOKUP($C1171,'CEDARS School FRPL'!C:H,3,FALSE),0)</f>
        <v>0.66336666666666666</v>
      </c>
      <c r="N1171" s="123" t="str">
        <f>IFERROR(VLOOKUP(C1171,'CEDARS School FRPL'!C:H,6,FALSE),"No")</f>
        <v>No</v>
      </c>
      <c r="O1171" s="147"/>
      <c r="P1171" s="148"/>
    </row>
    <row r="1172" spans="1:16">
      <c r="A1172" s="95" t="s">
        <v>2466</v>
      </c>
      <c r="B1172" s="95" t="s">
        <v>1575</v>
      </c>
      <c r="C1172" s="4">
        <v>5589</v>
      </c>
      <c r="D1172" s="95" t="s">
        <v>2836</v>
      </c>
      <c r="E1172" s="145">
        <v>537.55999999999995</v>
      </c>
      <c r="F1172" s="145">
        <v>0</v>
      </c>
      <c r="G1172" s="145">
        <v>0</v>
      </c>
      <c r="H1172" s="145">
        <v>0</v>
      </c>
      <c r="I1172" s="77">
        <f t="shared" si="21"/>
        <v>537.55999999999995</v>
      </c>
      <c r="J1172" s="123" t="str">
        <f>IFERROR(VLOOKUP($C1172,'CEDARS School FRPL'!C:H,4,FALSE),"No")</f>
        <v>Yes</v>
      </c>
      <c r="K1172" s="109"/>
      <c r="L1172" s="109"/>
      <c r="M1172" s="110">
        <f>IFERROR(VLOOKUP($C1172,'CEDARS School FRPL'!C:H,3,FALSE),0)</f>
        <v>0.65169999999999995</v>
      </c>
      <c r="N1172" s="123" t="str">
        <f>IFERROR(VLOOKUP(C1172,'CEDARS School FRPL'!C:H,6,FALSE),"No")</f>
        <v>No</v>
      </c>
      <c r="O1172" s="147"/>
      <c r="P1172" s="148"/>
    </row>
    <row r="1173" spans="1:16">
      <c r="A1173" s="95" t="s">
        <v>2466</v>
      </c>
      <c r="B1173" s="95" t="s">
        <v>1575</v>
      </c>
      <c r="C1173" s="4">
        <v>5625</v>
      </c>
      <c r="D1173" s="95" t="s">
        <v>2892</v>
      </c>
      <c r="E1173" s="145">
        <v>86.51</v>
      </c>
      <c r="F1173" s="145">
        <v>0</v>
      </c>
      <c r="G1173" s="145">
        <v>0</v>
      </c>
      <c r="H1173" s="145">
        <v>0</v>
      </c>
      <c r="I1173" s="77">
        <f t="shared" si="21"/>
        <v>86.51</v>
      </c>
      <c r="J1173" s="123" t="str">
        <f>IFERROR(VLOOKUP($C1173,'CEDARS School FRPL'!C:H,4,FALSE),"No")</f>
        <v>Yes</v>
      </c>
      <c r="K1173" s="109"/>
      <c r="L1173" s="109"/>
      <c r="M1173" s="110">
        <f>IFERROR(VLOOKUP($C1173,'CEDARS School FRPL'!C:H,3,FALSE),0)</f>
        <v>0.69784999999999997</v>
      </c>
      <c r="N1173" s="123" t="str">
        <f>IFERROR(VLOOKUP(C1173,'CEDARS School FRPL'!C:H,6,FALSE),"No")</f>
        <v>No</v>
      </c>
      <c r="O1173" s="147"/>
      <c r="P1173" s="148"/>
    </row>
    <row r="1174" spans="1:16">
      <c r="A1174" s="95" t="s">
        <v>2466</v>
      </c>
      <c r="B1174" s="95" t="s">
        <v>1575</v>
      </c>
      <c r="C1174" s="4">
        <v>5960</v>
      </c>
      <c r="D1174" s="95" t="s">
        <v>1583</v>
      </c>
      <c r="E1174" s="145">
        <v>191.28</v>
      </c>
      <c r="F1174" s="145">
        <v>0</v>
      </c>
      <c r="G1174" s="145">
        <v>0</v>
      </c>
      <c r="H1174" s="145">
        <v>0</v>
      </c>
      <c r="I1174" s="77">
        <f t="shared" si="21"/>
        <v>191.28</v>
      </c>
      <c r="J1174" s="123" t="str">
        <f>IFERROR(VLOOKUP($C1174,'CEDARS School FRPL'!C:H,4,FALSE),"No")</f>
        <v>No</v>
      </c>
      <c r="K1174" s="109"/>
      <c r="L1174" s="109"/>
      <c r="M1174" s="110">
        <f>IFERROR(VLOOKUP($C1174,'CEDARS School FRPL'!C:H,3,FALSE),0)</f>
        <v>0.22123333333333331</v>
      </c>
      <c r="N1174" s="123" t="str">
        <f>IFERROR(VLOOKUP(C1174,'CEDARS School FRPL'!C:H,6,FALSE),"No")</f>
        <v>No</v>
      </c>
      <c r="O1174" s="147"/>
      <c r="P1174" s="148"/>
    </row>
    <row r="1175" spans="1:16">
      <c r="A1175" s="95" t="s">
        <v>2368</v>
      </c>
      <c r="B1175" s="95" t="s">
        <v>1012</v>
      </c>
      <c r="C1175" s="4">
        <v>1986</v>
      </c>
      <c r="D1175" s="95" t="s">
        <v>1013</v>
      </c>
      <c r="E1175" s="145">
        <v>527.98</v>
      </c>
      <c r="F1175" s="145">
        <v>2.79</v>
      </c>
      <c r="G1175" s="145">
        <v>0</v>
      </c>
      <c r="H1175" s="145">
        <v>0</v>
      </c>
      <c r="I1175" s="77">
        <f t="shared" si="21"/>
        <v>530.77</v>
      </c>
      <c r="J1175" s="123" t="str">
        <f>IFERROR(VLOOKUP($C1175,'CEDARS School FRPL'!C:H,4,FALSE),"No")</f>
        <v>Yes</v>
      </c>
      <c r="K1175" s="109"/>
      <c r="L1175" s="109"/>
      <c r="M1175" s="110">
        <f>IFERROR(VLOOKUP($C1175,'CEDARS School FRPL'!C:H,3,FALSE),0)</f>
        <v>0.76666666666666661</v>
      </c>
      <c r="N1175" s="123" t="str">
        <f>IFERROR(VLOOKUP(C1175,'CEDARS School FRPL'!C:H,6,FALSE),"No")</f>
        <v>No</v>
      </c>
      <c r="O1175" s="147"/>
      <c r="P1175" s="148"/>
    </row>
    <row r="1176" spans="1:16">
      <c r="A1176" s="95" t="s">
        <v>2474</v>
      </c>
      <c r="B1176" s="95" t="s">
        <v>1627</v>
      </c>
      <c r="C1176" s="4">
        <v>1848</v>
      </c>
      <c r="D1176" s="95" t="s">
        <v>27</v>
      </c>
      <c r="E1176" s="145">
        <v>26.45</v>
      </c>
      <c r="F1176" s="145">
        <v>0</v>
      </c>
      <c r="G1176" s="145">
        <v>0</v>
      </c>
      <c r="H1176" s="145">
        <v>0</v>
      </c>
      <c r="I1176" s="77">
        <f t="shared" si="21"/>
        <v>26.45</v>
      </c>
      <c r="J1176" s="123" t="str">
        <f>IFERROR(VLOOKUP($C1176,'CEDARS School FRPL'!C:H,4,FALSE),"No")</f>
        <v>No</v>
      </c>
      <c r="K1176" s="109"/>
      <c r="L1176" s="109"/>
      <c r="M1176" s="110">
        <f>IFERROR(VLOOKUP($C1176,'CEDARS School FRPL'!C:H,3,FALSE),0)</f>
        <v>0.29710000000000003</v>
      </c>
      <c r="N1176" s="123" t="str">
        <f>IFERROR(VLOOKUP(C1176,'CEDARS School FRPL'!C:H,6,FALSE),"No")</f>
        <v>No</v>
      </c>
      <c r="O1176" s="147"/>
      <c r="P1176" s="148"/>
    </row>
    <row r="1177" spans="1:16">
      <c r="A1177" s="95" t="s">
        <v>2474</v>
      </c>
      <c r="B1177" s="95" t="s">
        <v>1627</v>
      </c>
      <c r="C1177" s="4">
        <v>2886</v>
      </c>
      <c r="D1177" s="95" t="s">
        <v>1628</v>
      </c>
      <c r="E1177" s="145">
        <v>467</v>
      </c>
      <c r="F1177" s="145">
        <v>0</v>
      </c>
      <c r="G1177" s="145">
        <v>0</v>
      </c>
      <c r="H1177" s="145">
        <v>0</v>
      </c>
      <c r="I1177" s="77">
        <f t="shared" si="21"/>
        <v>467</v>
      </c>
      <c r="J1177" s="123" t="str">
        <f>IFERROR(VLOOKUP($C1177,'CEDARS School FRPL'!C:H,4,FALSE),"No")</f>
        <v>Yes</v>
      </c>
      <c r="K1177" s="109"/>
      <c r="L1177" s="109"/>
      <c r="M1177" s="110">
        <f>IFERROR(VLOOKUP($C1177,'CEDARS School FRPL'!C:H,3,FALSE),0)</f>
        <v>0.61053333333333326</v>
      </c>
      <c r="N1177" s="123" t="str">
        <f>IFERROR(VLOOKUP(C1177,'CEDARS School FRPL'!C:H,6,FALSE),"No")</f>
        <v>No</v>
      </c>
      <c r="O1177" s="147"/>
      <c r="P1177" s="148"/>
    </row>
    <row r="1178" spans="1:16">
      <c r="A1178" s="95" t="s">
        <v>2474</v>
      </c>
      <c r="B1178" s="95" t="s">
        <v>1627</v>
      </c>
      <c r="C1178" s="4">
        <v>3120</v>
      </c>
      <c r="D1178" s="95" t="s">
        <v>1629</v>
      </c>
      <c r="E1178" s="145">
        <v>971.32</v>
      </c>
      <c r="F1178" s="145">
        <v>0</v>
      </c>
      <c r="G1178" s="145">
        <v>0</v>
      </c>
      <c r="H1178" s="145">
        <v>0</v>
      </c>
      <c r="I1178" s="77">
        <f t="shared" si="21"/>
        <v>971.32</v>
      </c>
      <c r="J1178" s="123" t="str">
        <f>IFERROR(VLOOKUP($C1178,'CEDARS School FRPL'!C:H,4,FALSE),"No")</f>
        <v>No</v>
      </c>
      <c r="K1178" s="109"/>
      <c r="L1178" s="109"/>
      <c r="M1178" s="110">
        <f>IFERROR(VLOOKUP($C1178,'CEDARS School FRPL'!C:H,3,FALSE),0)</f>
        <v>0.47263333333333329</v>
      </c>
      <c r="N1178" s="123" t="str">
        <f>IFERROR(VLOOKUP(C1178,'CEDARS School FRPL'!C:H,6,FALSE),"No")</f>
        <v>No</v>
      </c>
      <c r="O1178" s="147"/>
      <c r="P1178" s="148"/>
    </row>
    <row r="1179" spans="1:16">
      <c r="A1179" s="95" t="s">
        <v>2474</v>
      </c>
      <c r="B1179" s="95" t="s">
        <v>1627</v>
      </c>
      <c r="C1179" s="4">
        <v>3121</v>
      </c>
      <c r="D1179" s="95" t="s">
        <v>1630</v>
      </c>
      <c r="E1179" s="145">
        <v>516.42999999999995</v>
      </c>
      <c r="F1179" s="145">
        <v>0</v>
      </c>
      <c r="G1179" s="145">
        <v>0</v>
      </c>
      <c r="H1179" s="145">
        <v>0</v>
      </c>
      <c r="I1179" s="77">
        <f t="shared" si="21"/>
        <v>516.42999999999995</v>
      </c>
      <c r="J1179" s="123" t="str">
        <f>IFERROR(VLOOKUP($C1179,'CEDARS School FRPL'!C:H,4,FALSE),"No")</f>
        <v>Yes</v>
      </c>
      <c r="K1179" s="109"/>
      <c r="L1179" s="109"/>
      <c r="M1179" s="110">
        <f>IFERROR(VLOOKUP($C1179,'CEDARS School FRPL'!C:H,3,FALSE),0)</f>
        <v>0.62503333333333333</v>
      </c>
      <c r="N1179" s="123" t="str">
        <f>IFERROR(VLOOKUP(C1179,'CEDARS School FRPL'!C:H,6,FALSE),"No")</f>
        <v>No</v>
      </c>
      <c r="O1179" s="147"/>
      <c r="P1179" s="148"/>
    </row>
    <row r="1180" spans="1:16">
      <c r="A1180" s="95" t="s">
        <v>2474</v>
      </c>
      <c r="B1180" s="95" t="s">
        <v>1627</v>
      </c>
      <c r="C1180" s="4">
        <v>3687</v>
      </c>
      <c r="D1180" s="95" t="s">
        <v>1631</v>
      </c>
      <c r="E1180" s="145">
        <v>436.22</v>
      </c>
      <c r="F1180" s="145">
        <v>0</v>
      </c>
      <c r="G1180" s="145">
        <v>0</v>
      </c>
      <c r="H1180" s="145">
        <v>0</v>
      </c>
      <c r="I1180" s="77">
        <f t="shared" si="21"/>
        <v>436.22</v>
      </c>
      <c r="J1180" s="123" t="str">
        <f>IFERROR(VLOOKUP($C1180,'CEDARS School FRPL'!C:H,4,FALSE),"No")</f>
        <v>No</v>
      </c>
      <c r="K1180" s="109"/>
      <c r="L1180" s="109"/>
      <c r="M1180" s="110">
        <f>IFERROR(VLOOKUP($C1180,'CEDARS School FRPL'!C:H,3,FALSE),0)</f>
        <v>0.42809999999999998</v>
      </c>
      <c r="N1180" s="123" t="str">
        <f>IFERROR(VLOOKUP(C1180,'CEDARS School FRPL'!C:H,6,FALSE),"No")</f>
        <v>No</v>
      </c>
      <c r="O1180" s="147"/>
      <c r="P1180" s="148"/>
    </row>
    <row r="1181" spans="1:16">
      <c r="A1181" s="95" t="s">
        <v>2474</v>
      </c>
      <c r="B1181" s="95" t="s">
        <v>1627</v>
      </c>
      <c r="C1181" s="4">
        <v>3688</v>
      </c>
      <c r="D1181" s="95" t="s">
        <v>1632</v>
      </c>
      <c r="E1181" s="145">
        <v>1994.21</v>
      </c>
      <c r="F1181" s="145">
        <v>99.059999999999988</v>
      </c>
      <c r="G1181" s="145">
        <v>0</v>
      </c>
      <c r="H1181" s="145">
        <v>0</v>
      </c>
      <c r="I1181" s="77">
        <f t="shared" si="21"/>
        <v>2093.27</v>
      </c>
      <c r="J1181" s="123" t="str">
        <f>IFERROR(VLOOKUP($C1181,'CEDARS School FRPL'!C:H,4,FALSE),"No")</f>
        <v>Yes</v>
      </c>
      <c r="K1181" s="109"/>
      <c r="L1181" s="109"/>
      <c r="M1181" s="110">
        <f>IFERROR(VLOOKUP($C1181,'CEDARS School FRPL'!C:H,3,FALSE),0)</f>
        <v>0.62556666666666672</v>
      </c>
      <c r="N1181" s="123" t="str">
        <f>IFERROR(VLOOKUP(C1181,'CEDARS School FRPL'!C:H,6,FALSE),"No")</f>
        <v>No</v>
      </c>
      <c r="O1181" s="147"/>
      <c r="P1181" s="148"/>
    </row>
    <row r="1182" spans="1:16">
      <c r="A1182" s="95" t="s">
        <v>2474</v>
      </c>
      <c r="B1182" s="95" t="s">
        <v>1627</v>
      </c>
      <c r="C1182" s="4">
        <v>4019</v>
      </c>
      <c r="D1182" s="95" t="s">
        <v>2981</v>
      </c>
      <c r="E1182" s="145">
        <v>478.25</v>
      </c>
      <c r="F1182" s="145">
        <v>0</v>
      </c>
      <c r="G1182" s="145">
        <v>0</v>
      </c>
      <c r="H1182" s="145">
        <v>0</v>
      </c>
      <c r="I1182" s="77">
        <f t="shared" si="21"/>
        <v>478.25</v>
      </c>
      <c r="J1182" s="123" t="str">
        <f>IFERROR(VLOOKUP($C1182,'CEDARS School FRPL'!C:H,4,FALSE),"No")</f>
        <v>No</v>
      </c>
      <c r="K1182" s="109"/>
      <c r="L1182" s="109"/>
      <c r="M1182" s="110">
        <f>IFERROR(VLOOKUP($C1182,'CEDARS School FRPL'!C:H,3,FALSE),0)</f>
        <v>0</v>
      </c>
      <c r="N1182" s="123" t="str">
        <f>IFERROR(VLOOKUP(C1182,'CEDARS School FRPL'!C:H,6,FALSE),"No")</f>
        <v>No</v>
      </c>
      <c r="O1182" s="147"/>
      <c r="P1182" s="148"/>
    </row>
    <row r="1183" spans="1:16">
      <c r="A1183" s="95" t="s">
        <v>2474</v>
      </c>
      <c r="B1183" s="95" t="s">
        <v>1627</v>
      </c>
      <c r="C1183" s="4">
        <v>4164</v>
      </c>
      <c r="D1183" s="95" t="s">
        <v>1633</v>
      </c>
      <c r="E1183" s="145">
        <v>471</v>
      </c>
      <c r="F1183" s="145">
        <v>0</v>
      </c>
      <c r="G1183" s="145">
        <v>0</v>
      </c>
      <c r="H1183" s="145">
        <v>0</v>
      </c>
      <c r="I1183" s="77">
        <f t="shared" si="21"/>
        <v>471</v>
      </c>
      <c r="J1183" s="123" t="str">
        <f>IFERROR(VLOOKUP($C1183,'CEDARS School FRPL'!C:H,4,FALSE),"No")</f>
        <v>No</v>
      </c>
      <c r="K1183" s="109"/>
      <c r="L1183" s="109"/>
      <c r="M1183" s="110">
        <f>IFERROR(VLOOKUP($C1183,'CEDARS School FRPL'!C:H,3,FALSE),0)</f>
        <v>0.16436666666666666</v>
      </c>
      <c r="N1183" s="123" t="str">
        <f>IFERROR(VLOOKUP(C1183,'CEDARS School FRPL'!C:H,6,FALSE),"No")</f>
        <v>No</v>
      </c>
      <c r="O1183" s="147"/>
      <c r="P1183" s="148"/>
    </row>
    <row r="1184" spans="1:16">
      <c r="A1184" s="95" t="s">
        <v>2474</v>
      </c>
      <c r="B1184" s="95" t="s">
        <v>1627</v>
      </c>
      <c r="C1184" s="4">
        <v>4165</v>
      </c>
      <c r="D1184" s="95" t="s">
        <v>1634</v>
      </c>
      <c r="E1184" s="145">
        <v>397.43</v>
      </c>
      <c r="F1184" s="145">
        <v>0</v>
      </c>
      <c r="G1184" s="145">
        <v>0</v>
      </c>
      <c r="H1184" s="145">
        <v>0</v>
      </c>
      <c r="I1184" s="77">
        <f t="shared" si="21"/>
        <v>397.43</v>
      </c>
      <c r="J1184" s="123" t="str">
        <f>IFERROR(VLOOKUP($C1184,'CEDARS School FRPL'!C:H,4,FALSE),"No")</f>
        <v>No</v>
      </c>
      <c r="K1184" s="109"/>
      <c r="L1184" s="109"/>
      <c r="M1184" s="110">
        <f>IFERROR(VLOOKUP($C1184,'CEDARS School FRPL'!C:H,3,FALSE),0)</f>
        <v>0.31529999999999997</v>
      </c>
      <c r="N1184" s="123" t="str">
        <f>IFERROR(VLOOKUP(C1184,'CEDARS School FRPL'!C:H,6,FALSE),"No")</f>
        <v>No</v>
      </c>
      <c r="O1184" s="147"/>
      <c r="P1184" s="148"/>
    </row>
    <row r="1185" spans="1:16">
      <c r="A1185" s="95" t="s">
        <v>2474</v>
      </c>
      <c r="B1185" s="95" t="s">
        <v>1627</v>
      </c>
      <c r="C1185" s="4">
        <v>4231</v>
      </c>
      <c r="D1185" s="95" t="s">
        <v>1635</v>
      </c>
      <c r="E1185" s="145">
        <v>791.89</v>
      </c>
      <c r="F1185" s="145">
        <v>0</v>
      </c>
      <c r="G1185" s="145">
        <v>0</v>
      </c>
      <c r="H1185" s="145">
        <v>0</v>
      </c>
      <c r="I1185" s="77">
        <f t="shared" si="21"/>
        <v>791.89</v>
      </c>
      <c r="J1185" s="123" t="str">
        <f>IFERROR(VLOOKUP($C1185,'CEDARS School FRPL'!C:H,4,FALSE),"No")</f>
        <v>Yes</v>
      </c>
      <c r="K1185" s="109"/>
      <c r="L1185" s="109"/>
      <c r="M1185" s="110">
        <f>IFERROR(VLOOKUP($C1185,'CEDARS School FRPL'!C:H,3,FALSE),0)</f>
        <v>0.65533333333333343</v>
      </c>
      <c r="N1185" s="123" t="str">
        <f>IFERROR(VLOOKUP(C1185,'CEDARS School FRPL'!C:H,6,FALSE),"No")</f>
        <v>No</v>
      </c>
      <c r="O1185" s="147"/>
      <c r="P1185" s="148"/>
    </row>
    <row r="1186" spans="1:16">
      <c r="A1186" s="95" t="s">
        <v>2474</v>
      </c>
      <c r="B1186" s="95" t="s">
        <v>1627</v>
      </c>
      <c r="C1186" s="4">
        <v>4247</v>
      </c>
      <c r="D1186" s="95" t="s">
        <v>1636</v>
      </c>
      <c r="E1186" s="145">
        <v>111.78</v>
      </c>
      <c r="F1186" s="145">
        <v>0.81</v>
      </c>
      <c r="G1186" s="145">
        <v>0</v>
      </c>
      <c r="H1186" s="145">
        <v>0</v>
      </c>
      <c r="I1186" s="77">
        <f t="shared" si="21"/>
        <v>112.59</v>
      </c>
      <c r="J1186" s="123" t="str">
        <f>IFERROR(VLOOKUP($C1186,'CEDARS School FRPL'!C:H,4,FALSE),"No")</f>
        <v>Yes</v>
      </c>
      <c r="K1186" s="109"/>
      <c r="L1186" s="109"/>
      <c r="M1186" s="110">
        <f>IFERROR(VLOOKUP($C1186,'CEDARS School FRPL'!C:H,3,FALSE),0)</f>
        <v>0.71649999999999991</v>
      </c>
      <c r="N1186" s="123" t="str">
        <f>IFERROR(VLOOKUP(C1186,'CEDARS School FRPL'!C:H,6,FALSE),"No")</f>
        <v>No</v>
      </c>
      <c r="O1186" s="147"/>
      <c r="P1186" s="148"/>
    </row>
    <row r="1187" spans="1:16">
      <c r="A1187" s="95" t="s">
        <v>2474</v>
      </c>
      <c r="B1187" s="95" t="s">
        <v>1627</v>
      </c>
      <c r="C1187" s="4">
        <v>4303</v>
      </c>
      <c r="D1187" s="95" t="s">
        <v>860</v>
      </c>
      <c r="E1187" s="145">
        <v>519.53</v>
      </c>
      <c r="F1187" s="145">
        <v>0</v>
      </c>
      <c r="G1187" s="145">
        <v>0</v>
      </c>
      <c r="H1187" s="145">
        <v>0</v>
      </c>
      <c r="I1187" s="77">
        <f t="shared" si="21"/>
        <v>519.53</v>
      </c>
      <c r="J1187" s="123" t="str">
        <f>IFERROR(VLOOKUP($C1187,'CEDARS School FRPL'!C:H,4,FALSE),"No")</f>
        <v>Yes</v>
      </c>
      <c r="K1187" s="109"/>
      <c r="L1187" s="109"/>
      <c r="M1187" s="110">
        <f>IFERROR(VLOOKUP($C1187,'CEDARS School FRPL'!C:H,3,FALSE),0)</f>
        <v>0.70906666666666673</v>
      </c>
      <c r="N1187" s="123" t="str">
        <f>IFERROR(VLOOKUP(C1187,'CEDARS School FRPL'!C:H,6,FALSE),"No")</f>
        <v>No</v>
      </c>
      <c r="O1187" s="147"/>
      <c r="P1187" s="148"/>
    </row>
    <row r="1188" spans="1:16">
      <c r="A1188" s="95" t="s">
        <v>2474</v>
      </c>
      <c r="B1188" s="95" t="s">
        <v>1627</v>
      </c>
      <c r="C1188" s="4">
        <v>4304</v>
      </c>
      <c r="D1188" s="95" t="s">
        <v>862</v>
      </c>
      <c r="E1188" s="145">
        <v>532.63</v>
      </c>
      <c r="F1188" s="145">
        <v>0</v>
      </c>
      <c r="G1188" s="145">
        <v>0</v>
      </c>
      <c r="H1188" s="145">
        <v>0</v>
      </c>
      <c r="I1188" s="77">
        <f t="shared" si="21"/>
        <v>532.63</v>
      </c>
      <c r="J1188" s="123" t="str">
        <f>IFERROR(VLOOKUP($C1188,'CEDARS School FRPL'!C:H,4,FALSE),"No")</f>
        <v>Yes</v>
      </c>
      <c r="K1188" s="109"/>
      <c r="L1188" s="109"/>
      <c r="M1188" s="110">
        <f>IFERROR(VLOOKUP($C1188,'CEDARS School FRPL'!C:H,3,FALSE),0)</f>
        <v>0.63339999999999996</v>
      </c>
      <c r="N1188" s="123" t="str">
        <f>IFERROR(VLOOKUP(C1188,'CEDARS School FRPL'!C:H,6,FALSE),"No")</f>
        <v>No</v>
      </c>
      <c r="O1188" s="147"/>
      <c r="P1188" s="148"/>
    </row>
    <row r="1189" spans="1:16">
      <c r="A1189" s="95" t="s">
        <v>2474</v>
      </c>
      <c r="B1189" s="95" t="s">
        <v>1627</v>
      </c>
      <c r="C1189" s="4">
        <v>4342</v>
      </c>
      <c r="D1189" s="95" t="s">
        <v>1637</v>
      </c>
      <c r="E1189" s="145">
        <v>437.02</v>
      </c>
      <c r="F1189" s="145">
        <v>0</v>
      </c>
      <c r="G1189" s="145">
        <v>0</v>
      </c>
      <c r="H1189" s="145">
        <v>0</v>
      </c>
      <c r="I1189" s="77">
        <f t="shared" si="21"/>
        <v>437.02</v>
      </c>
      <c r="J1189" s="123" t="str">
        <f>IFERROR(VLOOKUP($C1189,'CEDARS School FRPL'!C:H,4,FALSE),"No")</f>
        <v>No</v>
      </c>
      <c r="K1189" s="109"/>
      <c r="L1189" s="109"/>
      <c r="M1189" s="110">
        <f>IFERROR(VLOOKUP($C1189,'CEDARS School FRPL'!C:H,3,FALSE),0)</f>
        <v>0.26613333333333333</v>
      </c>
      <c r="N1189" s="123" t="str">
        <f>IFERROR(VLOOKUP(C1189,'CEDARS School FRPL'!C:H,6,FALSE),"No")</f>
        <v>No</v>
      </c>
      <c r="O1189" s="147"/>
      <c r="P1189" s="148"/>
    </row>
    <row r="1190" spans="1:16">
      <c r="A1190" s="95" t="s">
        <v>2474</v>
      </c>
      <c r="B1190" s="95" t="s">
        <v>1627</v>
      </c>
      <c r="C1190" s="4">
        <v>4344</v>
      </c>
      <c r="D1190" s="95" t="s">
        <v>1638</v>
      </c>
      <c r="E1190" s="145">
        <v>545.42999999999995</v>
      </c>
      <c r="F1190" s="145">
        <v>0</v>
      </c>
      <c r="G1190" s="145">
        <v>0</v>
      </c>
      <c r="H1190" s="145">
        <v>0</v>
      </c>
      <c r="I1190" s="77">
        <f t="shared" si="21"/>
        <v>545.42999999999995</v>
      </c>
      <c r="J1190" s="123" t="str">
        <f>IFERROR(VLOOKUP($C1190,'CEDARS School FRPL'!C:H,4,FALSE),"No")</f>
        <v>Yes</v>
      </c>
      <c r="K1190" s="109"/>
      <c r="L1190" s="109"/>
      <c r="M1190" s="110">
        <f>IFERROR(VLOOKUP($C1190,'CEDARS School FRPL'!C:H,3,FALSE),0)</f>
        <v>0.75280000000000002</v>
      </c>
      <c r="N1190" s="123" t="str">
        <f>IFERROR(VLOOKUP(C1190,'CEDARS School FRPL'!C:H,6,FALSE),"No")</f>
        <v>No</v>
      </c>
      <c r="O1190" s="147"/>
      <c r="P1190" s="148"/>
    </row>
    <row r="1191" spans="1:16">
      <c r="A1191" s="95" t="s">
        <v>2474</v>
      </c>
      <c r="B1191" s="95" t="s">
        <v>1627</v>
      </c>
      <c r="C1191" s="4">
        <v>4425</v>
      </c>
      <c r="D1191" s="95" t="s">
        <v>1639</v>
      </c>
      <c r="E1191" s="145">
        <v>818.12</v>
      </c>
      <c r="F1191" s="145">
        <v>0</v>
      </c>
      <c r="G1191" s="145">
        <v>0</v>
      </c>
      <c r="H1191" s="145">
        <v>0</v>
      </c>
      <c r="I1191" s="77">
        <f t="shared" si="21"/>
        <v>818.12</v>
      </c>
      <c r="J1191" s="123" t="str">
        <f>IFERROR(VLOOKUP($C1191,'CEDARS School FRPL'!C:H,4,FALSE),"No")</f>
        <v>Yes</v>
      </c>
      <c r="K1191" s="109"/>
      <c r="L1191" s="109"/>
      <c r="M1191" s="110">
        <f>IFERROR(VLOOKUP($C1191,'CEDARS School FRPL'!C:H,3,FALSE),0)</f>
        <v>0.65710000000000013</v>
      </c>
      <c r="N1191" s="123" t="str">
        <f>IFERROR(VLOOKUP(C1191,'CEDARS School FRPL'!C:H,6,FALSE),"No")</f>
        <v>No</v>
      </c>
      <c r="O1191" s="147"/>
      <c r="P1191" s="148"/>
    </row>
    <row r="1192" spans="1:16">
      <c r="A1192" s="95" t="s">
        <v>2474</v>
      </c>
      <c r="B1192" s="95" t="s">
        <v>1627</v>
      </c>
      <c r="C1192" s="4">
        <v>4430</v>
      </c>
      <c r="D1192" s="95" t="s">
        <v>1640</v>
      </c>
      <c r="E1192" s="145">
        <v>844.45</v>
      </c>
      <c r="F1192" s="145">
        <v>0</v>
      </c>
      <c r="G1192" s="145">
        <v>0</v>
      </c>
      <c r="H1192" s="145">
        <v>0</v>
      </c>
      <c r="I1192" s="77">
        <f t="shared" si="21"/>
        <v>844.45</v>
      </c>
      <c r="J1192" s="123" t="str">
        <f>IFERROR(VLOOKUP($C1192,'CEDARS School FRPL'!C:H,4,FALSE),"No")</f>
        <v>No</v>
      </c>
      <c r="K1192" s="109"/>
      <c r="L1192" s="109"/>
      <c r="M1192" s="110">
        <f>IFERROR(VLOOKUP($C1192,'CEDARS School FRPL'!C:H,3,FALSE),0)</f>
        <v>0.28813333333333335</v>
      </c>
      <c r="N1192" s="123" t="str">
        <f>IFERROR(VLOOKUP(C1192,'CEDARS School FRPL'!C:H,6,FALSE),"No")</f>
        <v>No</v>
      </c>
      <c r="O1192" s="147"/>
      <c r="P1192" s="148"/>
    </row>
    <row r="1193" spans="1:16">
      <c r="A1193" s="95" t="s">
        <v>2474</v>
      </c>
      <c r="B1193" s="95" t="s">
        <v>1627</v>
      </c>
      <c r="C1193" s="4">
        <v>4433</v>
      </c>
      <c r="D1193" s="95" t="s">
        <v>1641</v>
      </c>
      <c r="E1193" s="145">
        <v>1847.32</v>
      </c>
      <c r="F1193" s="145">
        <v>199.87</v>
      </c>
      <c r="G1193" s="145">
        <v>0</v>
      </c>
      <c r="H1193" s="145">
        <v>0</v>
      </c>
      <c r="I1193" s="77">
        <f t="shared" si="21"/>
        <v>2047.19</v>
      </c>
      <c r="J1193" s="123" t="str">
        <f>IFERROR(VLOOKUP($C1193,'CEDARS School FRPL'!C:H,4,FALSE),"No")</f>
        <v>No</v>
      </c>
      <c r="K1193" s="109"/>
      <c r="L1193" s="109"/>
      <c r="M1193" s="110">
        <f>IFERROR(VLOOKUP($C1193,'CEDARS School FRPL'!C:H,3,FALSE),0)</f>
        <v>0.23356666666666667</v>
      </c>
      <c r="N1193" s="123" t="str">
        <f>IFERROR(VLOOKUP(C1193,'CEDARS School FRPL'!C:H,6,FALSE),"No")</f>
        <v>No</v>
      </c>
      <c r="O1193" s="147"/>
      <c r="P1193" s="148"/>
    </row>
    <row r="1194" spans="1:16">
      <c r="A1194" s="95" t="s">
        <v>2474</v>
      </c>
      <c r="B1194" s="95" t="s">
        <v>1627</v>
      </c>
      <c r="C1194" s="4">
        <v>4469</v>
      </c>
      <c r="D1194" s="95" t="s">
        <v>1642</v>
      </c>
      <c r="E1194" s="145">
        <v>385.42</v>
      </c>
      <c r="F1194" s="145">
        <v>0</v>
      </c>
      <c r="G1194" s="145">
        <v>0</v>
      </c>
      <c r="H1194" s="145">
        <v>0</v>
      </c>
      <c r="I1194" s="77">
        <f t="shared" si="21"/>
        <v>385.42</v>
      </c>
      <c r="J1194" s="123" t="str">
        <f>IFERROR(VLOOKUP($C1194,'CEDARS School FRPL'!C:H,4,FALSE),"No")</f>
        <v>No</v>
      </c>
      <c r="K1194" s="109"/>
      <c r="L1194" s="109"/>
      <c r="M1194" s="110">
        <f>IFERROR(VLOOKUP($C1194,'CEDARS School FRPL'!C:H,3,FALSE),0)</f>
        <v>0.19316666666666663</v>
      </c>
      <c r="N1194" s="123" t="str">
        <f>IFERROR(VLOOKUP(C1194,'CEDARS School FRPL'!C:H,6,FALSE),"No")</f>
        <v>No</v>
      </c>
      <c r="O1194" s="147"/>
      <c r="P1194" s="148"/>
    </row>
    <row r="1195" spans="1:16">
      <c r="A1195" s="95" t="s">
        <v>2474</v>
      </c>
      <c r="B1195" s="95" t="s">
        <v>1627</v>
      </c>
      <c r="C1195" s="4">
        <v>4583</v>
      </c>
      <c r="D1195" s="95" t="s">
        <v>1643</v>
      </c>
      <c r="E1195" s="145">
        <v>930.86</v>
      </c>
      <c r="F1195" s="145">
        <v>0</v>
      </c>
      <c r="G1195" s="145">
        <v>0</v>
      </c>
      <c r="H1195" s="145">
        <v>0</v>
      </c>
      <c r="I1195" s="77">
        <f t="shared" si="21"/>
        <v>930.86</v>
      </c>
      <c r="J1195" s="123" t="str">
        <f>IFERROR(VLOOKUP($C1195,'CEDARS School FRPL'!C:H,4,FALSE),"No")</f>
        <v>Yes</v>
      </c>
      <c r="K1195" s="109"/>
      <c r="L1195" s="109"/>
      <c r="M1195" s="110">
        <f>IFERROR(VLOOKUP($C1195,'CEDARS School FRPL'!C:H,3,FALSE),0)</f>
        <v>0.5865999999999999</v>
      </c>
      <c r="N1195" s="123" t="str">
        <f>IFERROR(VLOOKUP(C1195,'CEDARS School FRPL'!C:H,6,FALSE),"No")</f>
        <v>No</v>
      </c>
      <c r="O1195" s="147"/>
      <c r="P1195" s="148"/>
    </row>
    <row r="1196" spans="1:16">
      <c r="A1196" s="95" t="s">
        <v>2474</v>
      </c>
      <c r="B1196" s="95" t="s">
        <v>1627</v>
      </c>
      <c r="C1196" s="4">
        <v>5450</v>
      </c>
      <c r="D1196" s="95" t="s">
        <v>1644</v>
      </c>
      <c r="E1196" s="145">
        <v>542.29</v>
      </c>
      <c r="F1196" s="145">
        <v>0</v>
      </c>
      <c r="G1196" s="145">
        <v>0</v>
      </c>
      <c r="H1196" s="145">
        <v>0</v>
      </c>
      <c r="I1196" s="77">
        <f t="shared" si="21"/>
        <v>542.29</v>
      </c>
      <c r="J1196" s="123" t="str">
        <f>IFERROR(VLOOKUP($C1196,'CEDARS School FRPL'!C:H,4,FALSE),"No")</f>
        <v>Yes</v>
      </c>
      <c r="K1196" s="109"/>
      <c r="L1196" s="109"/>
      <c r="M1196" s="110">
        <f>IFERROR(VLOOKUP($C1196,'CEDARS School FRPL'!C:H,3,FALSE),0)</f>
        <v>0.54966666666666664</v>
      </c>
      <c r="N1196" s="123" t="str">
        <f>IFERROR(VLOOKUP(C1196,'CEDARS School FRPL'!C:H,6,FALSE),"No")</f>
        <v>No</v>
      </c>
      <c r="O1196" s="147"/>
      <c r="P1196" s="148"/>
    </row>
    <row r="1197" spans="1:16">
      <c r="A1197" s="95" t="s">
        <v>2474</v>
      </c>
      <c r="B1197" s="95" t="s">
        <v>1627</v>
      </c>
      <c r="C1197" s="4">
        <v>5482</v>
      </c>
      <c r="D1197" s="95" t="s">
        <v>2726</v>
      </c>
      <c r="E1197" s="145">
        <v>413.09</v>
      </c>
      <c r="F1197" s="145">
        <v>0</v>
      </c>
      <c r="G1197" s="145">
        <v>0</v>
      </c>
      <c r="H1197" s="145">
        <v>0</v>
      </c>
      <c r="I1197" s="77">
        <f t="shared" si="21"/>
        <v>413.09</v>
      </c>
      <c r="J1197" s="123" t="str">
        <f>IFERROR(VLOOKUP($C1197,'CEDARS School FRPL'!C:H,4,FALSE),"No")</f>
        <v>Yes</v>
      </c>
      <c r="K1197" s="107"/>
      <c r="L1197" s="107"/>
      <c r="M1197" s="110">
        <f>IFERROR(VLOOKUP($C1197,'CEDARS School FRPL'!C:H,3,FALSE),0)</f>
        <v>0.51090000000000002</v>
      </c>
      <c r="N1197" s="123" t="str">
        <f>IFERROR(VLOOKUP(C1197,'CEDARS School FRPL'!C:H,6,FALSE),"No")</f>
        <v>No</v>
      </c>
      <c r="O1197" s="147"/>
      <c r="P1197" s="148"/>
    </row>
    <row r="1198" spans="1:16">
      <c r="A1198" s="95" t="s">
        <v>2474</v>
      </c>
      <c r="B1198" s="95" t="s">
        <v>1627</v>
      </c>
      <c r="C1198" s="4">
        <v>5498</v>
      </c>
      <c r="D1198" s="95" t="s">
        <v>2725</v>
      </c>
      <c r="E1198" s="145">
        <v>0</v>
      </c>
      <c r="F1198" s="145">
        <v>0</v>
      </c>
      <c r="G1198" s="145">
        <v>42.29</v>
      </c>
      <c r="H1198" s="145">
        <v>0</v>
      </c>
      <c r="I1198" s="77">
        <f t="shared" si="21"/>
        <v>42.29</v>
      </c>
      <c r="J1198" s="123" t="str">
        <f>IFERROR(VLOOKUP($C1198,'CEDARS School FRPL'!C:H,4,FALSE),"No")</f>
        <v>Yes</v>
      </c>
      <c r="K1198" s="109"/>
      <c r="L1198" s="109"/>
      <c r="M1198" s="110">
        <f>IFERROR(VLOOKUP($C1198,'CEDARS School FRPL'!C:H,3,FALSE),0)</f>
        <v>0.55576666666666663</v>
      </c>
      <c r="N1198" s="123" t="str">
        <f>IFERROR(VLOOKUP(C1198,'CEDARS School FRPL'!C:H,6,FALSE),"No")</f>
        <v>No</v>
      </c>
      <c r="O1198" s="147"/>
      <c r="P1198" s="148"/>
    </row>
    <row r="1199" spans="1:16">
      <c r="A1199" s="95" t="s">
        <v>2474</v>
      </c>
      <c r="B1199" s="95" t="s">
        <v>1627</v>
      </c>
      <c r="C1199" s="4">
        <v>5703</v>
      </c>
      <c r="D1199" s="95" t="s">
        <v>3028</v>
      </c>
      <c r="E1199" s="145">
        <v>203.47</v>
      </c>
      <c r="F1199" s="145">
        <v>10</v>
      </c>
      <c r="G1199" s="145">
        <v>0</v>
      </c>
      <c r="H1199" s="145">
        <v>0</v>
      </c>
      <c r="I1199" s="77">
        <f t="shared" si="21"/>
        <v>213.47</v>
      </c>
      <c r="J1199" s="123" t="str">
        <f>IFERROR(VLOOKUP($C1199,'CEDARS School FRPL'!C:H,4,FALSE),"No")</f>
        <v>Yes</v>
      </c>
      <c r="K1199" s="109"/>
      <c r="L1199" s="109"/>
      <c r="M1199" s="110">
        <f>IFERROR(VLOOKUP($C1199,'CEDARS School FRPL'!C:H,3,FALSE),0)</f>
        <v>0.61399999999999999</v>
      </c>
      <c r="N1199" s="123" t="str">
        <f>IFERROR(VLOOKUP(C1199,'CEDARS School FRPL'!C:H,6,FALSE),"No")</f>
        <v>No</v>
      </c>
      <c r="O1199" s="147"/>
      <c r="P1199" s="148"/>
    </row>
    <row r="1200" spans="1:16">
      <c r="A1200" s="95" t="s">
        <v>2554</v>
      </c>
      <c r="B1200" s="95" t="s">
        <v>2166</v>
      </c>
      <c r="C1200" s="4">
        <v>2591</v>
      </c>
      <c r="D1200" s="95" t="s">
        <v>2167</v>
      </c>
      <c r="E1200" s="145">
        <v>352.9</v>
      </c>
      <c r="F1200" s="145">
        <v>22.36</v>
      </c>
      <c r="G1200" s="145">
        <v>2.71</v>
      </c>
      <c r="H1200" s="145">
        <v>0</v>
      </c>
      <c r="I1200" s="77">
        <f t="shared" si="21"/>
        <v>377.96999999999997</v>
      </c>
      <c r="J1200" s="123" t="str">
        <f>IFERROR(VLOOKUP($C1200,'CEDARS School FRPL'!C:H,4,FALSE),"No")</f>
        <v>No</v>
      </c>
      <c r="K1200" s="109"/>
      <c r="L1200" s="109"/>
      <c r="M1200" s="110">
        <f>IFERROR(VLOOKUP($C1200,'CEDARS School FRPL'!C:H,3,FALSE),0)</f>
        <v>0.49556666666666666</v>
      </c>
      <c r="N1200" s="123" t="str">
        <f>IFERROR(VLOOKUP(C1200,'CEDARS School FRPL'!C:H,6,FALSE),"No")</f>
        <v>No</v>
      </c>
      <c r="O1200" s="147"/>
      <c r="P1200" s="148"/>
    </row>
    <row r="1201" spans="1:16">
      <c r="A1201" s="95" t="s">
        <v>2554</v>
      </c>
      <c r="B1201" s="95" t="s">
        <v>2166</v>
      </c>
      <c r="C1201" s="4">
        <v>2898</v>
      </c>
      <c r="D1201" s="95" t="s">
        <v>2168</v>
      </c>
      <c r="E1201" s="145">
        <v>394.25</v>
      </c>
      <c r="F1201" s="145">
        <v>0</v>
      </c>
      <c r="G1201" s="145">
        <v>0.43</v>
      </c>
      <c r="H1201" s="145">
        <v>0</v>
      </c>
      <c r="I1201" s="77">
        <f t="shared" si="21"/>
        <v>394.68</v>
      </c>
      <c r="J1201" s="123" t="str">
        <f>IFERROR(VLOOKUP($C1201,'CEDARS School FRPL'!C:H,4,FALSE),"No")</f>
        <v>Yes</v>
      </c>
      <c r="K1201" s="109"/>
      <c r="L1201" s="109"/>
      <c r="M1201" s="110">
        <f>IFERROR(VLOOKUP($C1201,'CEDARS School FRPL'!C:H,3,FALSE),0)</f>
        <v>0.53166666666666662</v>
      </c>
      <c r="N1201" s="123" t="str">
        <f>IFERROR(VLOOKUP(C1201,'CEDARS School FRPL'!C:H,6,FALSE),"No")</f>
        <v>No</v>
      </c>
      <c r="O1201" s="147"/>
      <c r="P1201" s="148"/>
    </row>
    <row r="1202" spans="1:16">
      <c r="A1202" s="95" t="s">
        <v>2554</v>
      </c>
      <c r="B1202" s="95" t="s">
        <v>2166</v>
      </c>
      <c r="C1202" s="4">
        <v>5451</v>
      </c>
      <c r="D1202" s="95" t="s">
        <v>2169</v>
      </c>
      <c r="E1202" s="145">
        <v>453.89</v>
      </c>
      <c r="F1202" s="145">
        <v>0</v>
      </c>
      <c r="G1202" s="145">
        <v>0</v>
      </c>
      <c r="H1202" s="145">
        <v>0</v>
      </c>
      <c r="I1202" s="77">
        <f t="shared" si="21"/>
        <v>453.89</v>
      </c>
      <c r="J1202" s="123" t="str">
        <f>IFERROR(VLOOKUP($C1202,'CEDARS School FRPL'!C:H,4,FALSE),"No")</f>
        <v>Yes</v>
      </c>
      <c r="K1202" s="109"/>
      <c r="L1202" s="109"/>
      <c r="M1202" s="110">
        <f>IFERROR(VLOOKUP($C1202,'CEDARS School FRPL'!C:H,3,FALSE),0)</f>
        <v>0.51359999999999995</v>
      </c>
      <c r="N1202" s="123" t="str">
        <f>IFERROR(VLOOKUP(C1202,'CEDARS School FRPL'!C:H,6,FALSE),"No")</f>
        <v>No</v>
      </c>
      <c r="O1202" s="147"/>
      <c r="P1202" s="148"/>
    </row>
    <row r="1203" spans="1:16">
      <c r="A1203" s="95" t="s">
        <v>2554</v>
      </c>
      <c r="B1203" s="95" t="s">
        <v>2166</v>
      </c>
      <c r="C1203" s="4">
        <v>5580</v>
      </c>
      <c r="D1203" s="95" t="s">
        <v>2845</v>
      </c>
      <c r="E1203" s="145">
        <v>0.86</v>
      </c>
      <c r="F1203" s="145">
        <v>0</v>
      </c>
      <c r="G1203" s="145">
        <v>0</v>
      </c>
      <c r="H1203" s="145">
        <v>0</v>
      </c>
      <c r="I1203" s="77">
        <f t="shared" si="21"/>
        <v>0.86</v>
      </c>
      <c r="J1203" s="123" t="str">
        <f>IFERROR(VLOOKUP($C1203,'CEDARS School FRPL'!C:H,4,FALSE),"No")</f>
        <v>No</v>
      </c>
      <c r="K1203" s="107"/>
      <c r="L1203" s="107"/>
      <c r="M1203" s="110">
        <f>IFERROR(VLOOKUP($C1203,'CEDARS School FRPL'!C:H,3,FALSE),0)</f>
        <v>0.33333333333333331</v>
      </c>
      <c r="N1203" s="123" t="str">
        <f>IFERROR(VLOOKUP(C1203,'CEDARS School FRPL'!C:H,6,FALSE),"No")</f>
        <v>Yes</v>
      </c>
      <c r="O1203" s="147"/>
      <c r="P1203" s="148"/>
    </row>
    <row r="1204" spans="1:16">
      <c r="A1204" s="95" t="s">
        <v>2393</v>
      </c>
      <c r="B1204" s="95" t="s">
        <v>1133</v>
      </c>
      <c r="C1204" s="4">
        <v>2273</v>
      </c>
      <c r="D1204" s="95" t="s">
        <v>1134</v>
      </c>
      <c r="E1204" s="145">
        <v>385.46</v>
      </c>
      <c r="F1204" s="145">
        <v>14.629999999999999</v>
      </c>
      <c r="G1204" s="145">
        <v>2.4300000000000002</v>
      </c>
      <c r="H1204" s="145">
        <v>0</v>
      </c>
      <c r="I1204" s="77">
        <f t="shared" si="21"/>
        <v>402.52</v>
      </c>
      <c r="J1204" s="123" t="str">
        <f>IFERROR(VLOOKUP($C1204,'CEDARS School FRPL'!C:H,4,FALSE),"No")</f>
        <v>No</v>
      </c>
      <c r="K1204" s="109"/>
      <c r="L1204" s="109"/>
      <c r="M1204" s="110">
        <f>IFERROR(VLOOKUP($C1204,'CEDARS School FRPL'!C:H,3,FALSE),0)</f>
        <v>0.43239999999999995</v>
      </c>
      <c r="N1204" s="123" t="str">
        <f>IFERROR(VLOOKUP(C1204,'CEDARS School FRPL'!C:H,6,FALSE),"No")</f>
        <v>No</v>
      </c>
      <c r="O1204" s="147"/>
      <c r="P1204" s="148"/>
    </row>
    <row r="1205" spans="1:16">
      <c r="A1205" s="95" t="s">
        <v>2393</v>
      </c>
      <c r="B1205" s="95" t="s">
        <v>1133</v>
      </c>
      <c r="C1205" s="4">
        <v>3288</v>
      </c>
      <c r="D1205" s="95" t="s">
        <v>1135</v>
      </c>
      <c r="E1205" s="145">
        <v>367</v>
      </c>
      <c r="F1205" s="145">
        <v>0</v>
      </c>
      <c r="G1205" s="145">
        <v>0</v>
      </c>
      <c r="H1205" s="145">
        <v>0</v>
      </c>
      <c r="I1205" s="77">
        <f t="shared" si="21"/>
        <v>367</v>
      </c>
      <c r="J1205" s="123" t="str">
        <f>IFERROR(VLOOKUP($C1205,'CEDARS School FRPL'!C:H,4,FALSE),"No")</f>
        <v>No</v>
      </c>
      <c r="K1205" s="109"/>
      <c r="L1205" s="109"/>
      <c r="M1205" s="110">
        <f>IFERROR(VLOOKUP($C1205,'CEDARS School FRPL'!C:H,3,FALSE),0)</f>
        <v>0.42923333333333336</v>
      </c>
      <c r="N1205" s="123" t="str">
        <f>IFERROR(VLOOKUP(C1205,'CEDARS School FRPL'!C:H,6,FALSE),"No")</f>
        <v>No</v>
      </c>
      <c r="O1205" s="147"/>
      <c r="P1205" s="148"/>
    </row>
    <row r="1206" spans="1:16">
      <c r="A1206" s="95" t="s">
        <v>2432</v>
      </c>
      <c r="B1206" s="95" t="s">
        <v>1272</v>
      </c>
      <c r="C1206" s="4">
        <v>2868</v>
      </c>
      <c r="D1206" s="95" t="s">
        <v>1273</v>
      </c>
      <c r="E1206" s="145">
        <v>126.34</v>
      </c>
      <c r="F1206" s="145">
        <v>0</v>
      </c>
      <c r="G1206" s="145">
        <v>0</v>
      </c>
      <c r="H1206" s="145">
        <v>0</v>
      </c>
      <c r="I1206" s="77">
        <f t="shared" si="21"/>
        <v>126.34</v>
      </c>
      <c r="J1206" s="123" t="str">
        <f>IFERROR(VLOOKUP($C1206,'CEDARS School FRPL'!C:H,4,FALSE),"No")</f>
        <v>Yes</v>
      </c>
      <c r="K1206" s="109"/>
      <c r="L1206" s="109"/>
      <c r="M1206" s="110">
        <f>IFERROR(VLOOKUP($C1206,'CEDARS School FRPL'!C:H,3,FALSE),0)</f>
        <v>0.53826666666666667</v>
      </c>
      <c r="N1206" s="123" t="str">
        <f>IFERROR(VLOOKUP(C1206,'CEDARS School FRPL'!C:H,6,FALSE),"No")</f>
        <v>No</v>
      </c>
      <c r="O1206" s="147"/>
      <c r="P1206" s="148"/>
    </row>
    <row r="1207" spans="1:16">
      <c r="A1207" s="95" t="s">
        <v>2432</v>
      </c>
      <c r="B1207" s="95" t="s">
        <v>1272</v>
      </c>
      <c r="C1207" s="4">
        <v>3295</v>
      </c>
      <c r="D1207" s="95" t="s">
        <v>1274</v>
      </c>
      <c r="E1207" s="145">
        <v>176.75</v>
      </c>
      <c r="F1207" s="145">
        <v>8.23</v>
      </c>
      <c r="G1207" s="145">
        <v>0</v>
      </c>
      <c r="H1207" s="145">
        <v>0</v>
      </c>
      <c r="I1207" s="77">
        <f t="shared" si="21"/>
        <v>184.98</v>
      </c>
      <c r="J1207" s="123" t="str">
        <f>IFERROR(VLOOKUP($C1207,'CEDARS School FRPL'!C:H,4,FALSE),"No")</f>
        <v>Yes</v>
      </c>
      <c r="K1207" s="109"/>
      <c r="L1207" s="109"/>
      <c r="M1207" s="110">
        <f>IFERROR(VLOOKUP($C1207,'CEDARS School FRPL'!C:H,3,FALSE),0)</f>
        <v>0.54976666666666674</v>
      </c>
      <c r="N1207" s="123" t="str">
        <f>IFERROR(VLOOKUP(C1207,'CEDARS School FRPL'!C:H,6,FALSE),"No")</f>
        <v>No</v>
      </c>
      <c r="O1207" s="147"/>
      <c r="P1207" s="148"/>
    </row>
    <row r="1208" spans="1:16">
      <c r="A1208" s="95" t="s">
        <v>2421</v>
      </c>
      <c r="B1208" s="95" t="s">
        <v>2765</v>
      </c>
      <c r="C1208" s="4">
        <v>2494</v>
      </c>
      <c r="D1208" s="95" t="s">
        <v>1225</v>
      </c>
      <c r="E1208" s="145">
        <v>128.29</v>
      </c>
      <c r="F1208" s="145">
        <v>0</v>
      </c>
      <c r="G1208" s="145">
        <v>0</v>
      </c>
      <c r="H1208" s="145">
        <v>0</v>
      </c>
      <c r="I1208" s="77">
        <f t="shared" si="21"/>
        <v>128.29</v>
      </c>
      <c r="J1208" s="123" t="str">
        <f>IFERROR(VLOOKUP($C1208,'CEDARS School FRPL'!C:H,4,FALSE),"No")</f>
        <v>Yes</v>
      </c>
      <c r="K1208" s="109"/>
      <c r="L1208" s="109"/>
      <c r="M1208" s="110">
        <f>IFERROR(VLOOKUP($C1208,'CEDARS School FRPL'!C:H,3,FALSE),0)</f>
        <v>0.97986666666666666</v>
      </c>
      <c r="N1208" s="123" t="str">
        <f>IFERROR(VLOOKUP(C1208,'CEDARS School FRPL'!C:H,6,FALSE),"No")</f>
        <v>No</v>
      </c>
      <c r="O1208" s="147"/>
      <c r="P1208" s="148"/>
    </row>
    <row r="1209" spans="1:16">
      <c r="A1209" s="95" t="s">
        <v>2435</v>
      </c>
      <c r="B1209" s="95" t="s">
        <v>1280</v>
      </c>
      <c r="C1209" s="4">
        <v>2518</v>
      </c>
      <c r="D1209" s="95" t="s">
        <v>1281</v>
      </c>
      <c r="E1209" s="145">
        <v>298.5</v>
      </c>
      <c r="F1209" s="145">
        <v>18.149999999999999</v>
      </c>
      <c r="G1209" s="145">
        <v>0</v>
      </c>
      <c r="H1209" s="145">
        <v>0</v>
      </c>
      <c r="I1209" s="77">
        <f t="shared" si="21"/>
        <v>316.64999999999998</v>
      </c>
      <c r="J1209" s="123" t="str">
        <f>IFERROR(VLOOKUP($C1209,'CEDARS School FRPL'!C:H,4,FALSE),"No")</f>
        <v>Yes</v>
      </c>
      <c r="K1209" s="109"/>
      <c r="L1209" s="109"/>
      <c r="M1209" s="110">
        <f>IFERROR(VLOOKUP($C1209,'CEDARS School FRPL'!C:H,3,FALSE),0)</f>
        <v>0.57079999999999997</v>
      </c>
      <c r="N1209" s="123" t="str">
        <f>IFERROR(VLOOKUP(C1209,'CEDARS School FRPL'!C:H,6,FALSE),"No")</f>
        <v>No</v>
      </c>
      <c r="O1209" s="147"/>
      <c r="P1209" s="148"/>
    </row>
    <row r="1210" spans="1:16">
      <c r="A1210" s="95" t="s">
        <v>2435</v>
      </c>
      <c r="B1210" s="95" t="s">
        <v>1280</v>
      </c>
      <c r="C1210" s="4">
        <v>3968</v>
      </c>
      <c r="D1210" s="95" t="s">
        <v>1282</v>
      </c>
      <c r="E1210" s="145">
        <v>283.07</v>
      </c>
      <c r="F1210" s="145">
        <v>0</v>
      </c>
      <c r="G1210" s="145">
        <v>0</v>
      </c>
      <c r="H1210" s="145">
        <v>0</v>
      </c>
      <c r="I1210" s="77">
        <f t="shared" si="21"/>
        <v>283.07</v>
      </c>
      <c r="J1210" s="123" t="str">
        <f>IFERROR(VLOOKUP($C1210,'CEDARS School FRPL'!C:H,4,FALSE),"No")</f>
        <v>Yes</v>
      </c>
      <c r="K1210" s="109"/>
      <c r="L1210" s="109"/>
      <c r="M1210" s="110">
        <f>IFERROR(VLOOKUP($C1210,'CEDARS School FRPL'!C:H,3,FALSE),0)</f>
        <v>0.62519999999999998</v>
      </c>
      <c r="N1210" s="123" t="str">
        <f>IFERROR(VLOOKUP(C1210,'CEDARS School FRPL'!C:H,6,FALSE),"No")</f>
        <v>No</v>
      </c>
      <c r="O1210" s="147"/>
      <c r="P1210" s="148"/>
    </row>
    <row r="1211" spans="1:16">
      <c r="A1211" s="95" t="s">
        <v>2435</v>
      </c>
      <c r="B1211" s="95" t="s">
        <v>1280</v>
      </c>
      <c r="C1211" s="4">
        <v>4478</v>
      </c>
      <c r="D1211" s="95" t="s">
        <v>1283</v>
      </c>
      <c r="E1211" s="145">
        <v>311.70999999999998</v>
      </c>
      <c r="F1211" s="145">
        <v>0</v>
      </c>
      <c r="G1211" s="145">
        <v>0</v>
      </c>
      <c r="H1211" s="145">
        <v>0</v>
      </c>
      <c r="I1211" s="77">
        <f t="shared" si="21"/>
        <v>311.70999999999998</v>
      </c>
      <c r="J1211" s="123" t="str">
        <f>IFERROR(VLOOKUP($C1211,'CEDARS School FRPL'!C:H,4,FALSE),"No")</f>
        <v>Yes</v>
      </c>
      <c r="K1211" s="109"/>
      <c r="L1211" s="109"/>
      <c r="M1211" s="110">
        <f>IFERROR(VLOOKUP($C1211,'CEDARS School FRPL'!C:H,3,FALSE),0)</f>
        <v>0.63906666666666656</v>
      </c>
      <c r="N1211" s="123" t="str">
        <f>IFERROR(VLOOKUP(C1211,'CEDARS School FRPL'!C:H,6,FALSE),"No")</f>
        <v>No</v>
      </c>
      <c r="O1211" s="147"/>
      <c r="P1211" s="148"/>
    </row>
    <row r="1212" spans="1:16">
      <c r="A1212" s="95" t="s">
        <v>2435</v>
      </c>
      <c r="B1212" s="95" t="s">
        <v>1280</v>
      </c>
      <c r="C1212" s="4">
        <v>5118</v>
      </c>
      <c r="D1212" s="95" t="s">
        <v>1284</v>
      </c>
      <c r="E1212" s="145">
        <v>38.549999999999997</v>
      </c>
      <c r="F1212" s="145">
        <v>0</v>
      </c>
      <c r="G1212" s="145">
        <v>0</v>
      </c>
      <c r="H1212" s="145">
        <v>0</v>
      </c>
      <c r="I1212" s="77">
        <f t="shared" si="21"/>
        <v>38.549999999999997</v>
      </c>
      <c r="J1212" s="123" t="str">
        <f>IFERROR(VLOOKUP($C1212,'CEDARS School FRPL'!C:H,4,FALSE),"No")</f>
        <v>Yes</v>
      </c>
      <c r="K1212" s="109"/>
      <c r="L1212" s="109"/>
      <c r="M1212" s="110">
        <f>IFERROR(VLOOKUP($C1212,'CEDARS School FRPL'!C:H,3,FALSE),0)</f>
        <v>0.75633333333333341</v>
      </c>
      <c r="N1212" s="123" t="str">
        <f>IFERROR(VLOOKUP(C1212,'CEDARS School FRPL'!C:H,6,FALSE),"No")</f>
        <v>No</v>
      </c>
      <c r="O1212" s="147"/>
      <c r="P1212" s="148"/>
    </row>
    <row r="1213" spans="1:16">
      <c r="A1213" s="95" t="s">
        <v>2435</v>
      </c>
      <c r="B1213" s="95" t="s">
        <v>1280</v>
      </c>
      <c r="C1213" s="4">
        <v>5681</v>
      </c>
      <c r="D1213" s="95" t="s">
        <v>3029</v>
      </c>
      <c r="E1213" s="145">
        <v>77.599999999999994</v>
      </c>
      <c r="F1213" s="145">
        <v>0</v>
      </c>
      <c r="G1213" s="145">
        <v>0</v>
      </c>
      <c r="H1213" s="145">
        <v>0</v>
      </c>
      <c r="I1213" s="77">
        <f t="shared" si="21"/>
        <v>77.599999999999994</v>
      </c>
      <c r="J1213" s="123" t="str">
        <f>IFERROR(VLOOKUP($C1213,'CEDARS School FRPL'!C:H,4,FALSE),"No")</f>
        <v>Yes</v>
      </c>
      <c r="K1213" s="109"/>
      <c r="L1213" s="109"/>
      <c r="M1213" s="110">
        <f>IFERROR(VLOOKUP($C1213,'CEDARS School FRPL'!C:H,3,FALSE),0)</f>
        <v>0.56520000000000004</v>
      </c>
      <c r="N1213" s="123" t="str">
        <f>IFERROR(VLOOKUP(C1213,'CEDARS School FRPL'!C:H,6,FALSE),"No")</f>
        <v>No</v>
      </c>
      <c r="O1213" s="147"/>
      <c r="P1213" s="148"/>
    </row>
    <row r="1214" spans="1:16">
      <c r="A1214" s="95" t="s">
        <v>2489</v>
      </c>
      <c r="B1214" s="95" t="s">
        <v>1826</v>
      </c>
      <c r="C1214" s="4">
        <v>2341</v>
      </c>
      <c r="D1214" s="95" t="s">
        <v>1827</v>
      </c>
      <c r="E1214" s="145">
        <v>147.6</v>
      </c>
      <c r="F1214" s="145">
        <v>0</v>
      </c>
      <c r="G1214" s="145">
        <v>0</v>
      </c>
      <c r="H1214" s="145">
        <v>0</v>
      </c>
      <c r="I1214" s="77">
        <f t="shared" si="21"/>
        <v>147.6</v>
      </c>
      <c r="J1214" s="123" t="str">
        <f>IFERROR(VLOOKUP($C1214,'CEDARS School FRPL'!C:H,4,FALSE),"No")</f>
        <v>No</v>
      </c>
      <c r="K1214" s="109"/>
      <c r="L1214" s="109"/>
      <c r="M1214" s="110">
        <f>IFERROR(VLOOKUP($C1214,'CEDARS School FRPL'!C:H,3,FALSE),0)</f>
        <v>0.20919999999999997</v>
      </c>
      <c r="N1214" s="123" t="str">
        <f>IFERROR(VLOOKUP(C1214,'CEDARS School FRPL'!C:H,6,FALSE),"No")</f>
        <v>No</v>
      </c>
      <c r="O1214" s="147"/>
      <c r="P1214" s="148"/>
    </row>
    <row r="1215" spans="1:16">
      <c r="A1215" s="95" t="s">
        <v>2489</v>
      </c>
      <c r="B1215" s="95" t="s">
        <v>1826</v>
      </c>
      <c r="C1215" s="4">
        <v>4036</v>
      </c>
      <c r="D1215" s="95" t="s">
        <v>1828</v>
      </c>
      <c r="E1215" s="145">
        <v>419</v>
      </c>
      <c r="F1215" s="145">
        <v>0</v>
      </c>
      <c r="G1215" s="145">
        <v>0</v>
      </c>
      <c r="H1215" s="145">
        <v>0</v>
      </c>
      <c r="I1215" s="77">
        <f t="shared" si="21"/>
        <v>419</v>
      </c>
      <c r="J1215" s="123" t="str">
        <f>IFERROR(VLOOKUP($C1215,'CEDARS School FRPL'!C:H,4,FALSE),"No")</f>
        <v>No</v>
      </c>
      <c r="K1215" s="109"/>
      <c r="L1215" s="109"/>
      <c r="M1215" s="110">
        <f>IFERROR(VLOOKUP($C1215,'CEDARS School FRPL'!C:H,3,FALSE),0)</f>
        <v>0.27226666666666666</v>
      </c>
      <c r="N1215" s="123" t="str">
        <f>IFERROR(VLOOKUP(C1215,'CEDARS School FRPL'!C:H,6,FALSE),"No")</f>
        <v>No</v>
      </c>
      <c r="O1215" s="147"/>
      <c r="P1215" s="148"/>
    </row>
    <row r="1216" spans="1:16">
      <c r="A1216" s="95" t="s">
        <v>2489</v>
      </c>
      <c r="B1216" s="95" t="s">
        <v>1826</v>
      </c>
      <c r="C1216" s="4">
        <v>4333</v>
      </c>
      <c r="D1216" s="95" t="s">
        <v>1829</v>
      </c>
      <c r="E1216" s="145">
        <v>442.31</v>
      </c>
      <c r="F1216" s="145">
        <v>58.23</v>
      </c>
      <c r="G1216" s="145">
        <v>0.19</v>
      </c>
      <c r="H1216" s="145">
        <v>0</v>
      </c>
      <c r="I1216" s="77">
        <f t="shared" si="21"/>
        <v>500.73</v>
      </c>
      <c r="J1216" s="123" t="str">
        <f>IFERROR(VLOOKUP($C1216,'CEDARS School FRPL'!C:H,4,FALSE),"No")</f>
        <v>No</v>
      </c>
      <c r="K1216" s="109"/>
      <c r="L1216" s="109"/>
      <c r="M1216" s="110">
        <f>IFERROR(VLOOKUP($C1216,'CEDARS School FRPL'!C:H,3,FALSE),0)</f>
        <v>0.23783333333333334</v>
      </c>
      <c r="N1216" s="123" t="str">
        <f>IFERROR(VLOOKUP(C1216,'CEDARS School FRPL'!C:H,6,FALSE),"No")</f>
        <v>No</v>
      </c>
      <c r="O1216" s="147"/>
      <c r="P1216" s="148"/>
    </row>
    <row r="1217" spans="1:16">
      <c r="A1217" s="95" t="s">
        <v>2489</v>
      </c>
      <c r="B1217" s="95" t="s">
        <v>1826</v>
      </c>
      <c r="C1217" s="4">
        <v>4521</v>
      </c>
      <c r="D1217" s="95" t="s">
        <v>1830</v>
      </c>
      <c r="E1217" s="145">
        <v>317.77999999999997</v>
      </c>
      <c r="F1217" s="145">
        <v>0</v>
      </c>
      <c r="G1217" s="145">
        <v>0</v>
      </c>
      <c r="H1217" s="145">
        <v>0</v>
      </c>
      <c r="I1217" s="77">
        <f t="shared" si="21"/>
        <v>317.77999999999997</v>
      </c>
      <c r="J1217" s="123" t="str">
        <f>IFERROR(VLOOKUP($C1217,'CEDARS School FRPL'!C:H,4,FALSE),"No")</f>
        <v>No</v>
      </c>
      <c r="K1217" s="109"/>
      <c r="L1217" s="109"/>
      <c r="M1217" s="110">
        <f>IFERROR(VLOOKUP($C1217,'CEDARS School FRPL'!C:H,3,FALSE),0)</f>
        <v>0.26756666666666667</v>
      </c>
      <c r="N1217" s="123" t="str">
        <f>IFERROR(VLOOKUP(C1217,'CEDARS School FRPL'!C:H,6,FALSE),"No")</f>
        <v>No</v>
      </c>
      <c r="O1217" s="147"/>
      <c r="P1217" s="148"/>
    </row>
    <row r="1218" spans="1:16">
      <c r="A1218" s="95" t="s">
        <v>2489</v>
      </c>
      <c r="B1218" s="95" t="s">
        <v>1826</v>
      </c>
      <c r="C1218" s="4">
        <v>5417</v>
      </c>
      <c r="D1218" s="95" t="s">
        <v>1831</v>
      </c>
      <c r="E1218" s="145">
        <v>1</v>
      </c>
      <c r="F1218" s="145">
        <v>0</v>
      </c>
      <c r="G1218" s="145">
        <v>1.1399999999999999</v>
      </c>
      <c r="H1218" s="145">
        <v>0</v>
      </c>
      <c r="I1218" s="77">
        <f t="shared" si="21"/>
        <v>2.1399999999999997</v>
      </c>
      <c r="J1218" s="123" t="str">
        <f>IFERROR(VLOOKUP($C1218,'CEDARS School FRPL'!C:H,4,FALSE),"No")</f>
        <v>No</v>
      </c>
      <c r="K1218" s="109"/>
      <c r="L1218" s="109"/>
      <c r="M1218" s="110">
        <f>IFERROR(VLOOKUP($C1218,'CEDARS School FRPL'!C:H,3,FALSE),0)</f>
        <v>0.33333333333333331</v>
      </c>
      <c r="N1218" s="123" t="str">
        <f>IFERROR(VLOOKUP(C1218,'CEDARS School FRPL'!C:H,6,FALSE),"No")</f>
        <v>No</v>
      </c>
      <c r="O1218" s="147"/>
      <c r="P1218" s="148"/>
    </row>
    <row r="1219" spans="1:16">
      <c r="A1219" s="95" t="s">
        <v>2537</v>
      </c>
      <c r="B1219" s="95" t="s">
        <v>2115</v>
      </c>
      <c r="C1219" s="4">
        <v>2459</v>
      </c>
      <c r="D1219" s="95" t="s">
        <v>2116</v>
      </c>
      <c r="E1219" s="145">
        <v>433.78</v>
      </c>
      <c r="F1219" s="145">
        <v>21.47</v>
      </c>
      <c r="G1219" s="145">
        <v>0</v>
      </c>
      <c r="H1219" s="145">
        <v>0</v>
      </c>
      <c r="I1219" s="77">
        <f t="shared" si="21"/>
        <v>455.25</v>
      </c>
      <c r="J1219" s="123" t="str">
        <f>IFERROR(VLOOKUP($C1219,'CEDARS School FRPL'!C:H,4,FALSE),"No")</f>
        <v>Yes</v>
      </c>
      <c r="K1219" s="109"/>
      <c r="L1219" s="109"/>
      <c r="M1219" s="110">
        <f>IFERROR(VLOOKUP($C1219,'CEDARS School FRPL'!C:H,3,FALSE),0)</f>
        <v>0.50263333333333338</v>
      </c>
      <c r="N1219" s="123" t="str">
        <f>IFERROR(VLOOKUP(C1219,'CEDARS School FRPL'!C:H,6,FALSE),"No")</f>
        <v>No</v>
      </c>
      <c r="O1219" s="147"/>
      <c r="P1219" s="148"/>
    </row>
    <row r="1220" spans="1:16">
      <c r="A1220" s="95" t="s">
        <v>2537</v>
      </c>
      <c r="B1220" s="95" t="s">
        <v>2115</v>
      </c>
      <c r="C1220" s="4">
        <v>2489</v>
      </c>
      <c r="D1220" s="95" t="s">
        <v>2117</v>
      </c>
      <c r="E1220" s="145">
        <v>267.22000000000003</v>
      </c>
      <c r="F1220" s="145">
        <v>0</v>
      </c>
      <c r="G1220" s="145">
        <v>0</v>
      </c>
      <c r="H1220" s="145">
        <v>0</v>
      </c>
      <c r="I1220" s="77">
        <f t="shared" ref="I1220:I1283" si="22">+E1220+F1220+G1220+H1220</f>
        <v>267.22000000000003</v>
      </c>
      <c r="J1220" s="123" t="str">
        <f>IFERROR(VLOOKUP($C1220,'CEDARS School FRPL'!C:H,4,FALSE),"No")</f>
        <v>Yes</v>
      </c>
      <c r="K1220" s="109"/>
      <c r="L1220" s="109"/>
      <c r="M1220" s="110">
        <f>IFERROR(VLOOKUP($C1220,'CEDARS School FRPL'!C:H,3,FALSE),0)</f>
        <v>0.54086666666666661</v>
      </c>
      <c r="N1220" s="123" t="str">
        <f>IFERROR(VLOOKUP(C1220,'CEDARS School FRPL'!C:H,6,FALSE),"No")</f>
        <v>No</v>
      </c>
      <c r="O1220" s="147"/>
      <c r="P1220" s="148"/>
    </row>
    <row r="1221" spans="1:16">
      <c r="A1221" s="95" t="s">
        <v>2537</v>
      </c>
      <c r="B1221" s="95" t="s">
        <v>2115</v>
      </c>
      <c r="C1221" s="4">
        <v>2687</v>
      </c>
      <c r="D1221" s="95" t="s">
        <v>2118</v>
      </c>
      <c r="E1221" s="145">
        <v>429.5</v>
      </c>
      <c r="F1221" s="145">
        <v>0</v>
      </c>
      <c r="G1221" s="145">
        <v>0</v>
      </c>
      <c r="H1221" s="145">
        <v>0</v>
      </c>
      <c r="I1221" s="77">
        <f t="shared" si="22"/>
        <v>429.5</v>
      </c>
      <c r="J1221" s="123" t="str">
        <f>IFERROR(VLOOKUP($C1221,'CEDARS School FRPL'!C:H,4,FALSE),"No")</f>
        <v>Yes</v>
      </c>
      <c r="K1221" s="109"/>
      <c r="L1221" s="109"/>
      <c r="M1221" s="110">
        <f>IFERROR(VLOOKUP($C1221,'CEDARS School FRPL'!C:H,3,FALSE),0)</f>
        <v>0.55513333333333337</v>
      </c>
      <c r="N1221" s="123" t="str">
        <f>IFERROR(VLOOKUP(C1221,'CEDARS School FRPL'!C:H,6,FALSE),"No")</f>
        <v>No</v>
      </c>
      <c r="O1221" s="147"/>
      <c r="P1221" s="148"/>
    </row>
    <row r="1222" spans="1:16">
      <c r="A1222" s="95" t="s">
        <v>2537</v>
      </c>
      <c r="B1222" s="95" t="s">
        <v>2115</v>
      </c>
      <c r="C1222" s="4">
        <v>4428</v>
      </c>
      <c r="D1222" s="95" t="s">
        <v>2119</v>
      </c>
      <c r="E1222" s="145">
        <v>276.17</v>
      </c>
      <c r="F1222" s="145">
        <v>0</v>
      </c>
      <c r="G1222" s="145">
        <v>0</v>
      </c>
      <c r="H1222" s="145">
        <v>0</v>
      </c>
      <c r="I1222" s="77">
        <f t="shared" si="22"/>
        <v>276.17</v>
      </c>
      <c r="J1222" s="123" t="str">
        <f>IFERROR(VLOOKUP($C1222,'CEDARS School FRPL'!C:H,4,FALSE),"No")</f>
        <v>Yes</v>
      </c>
      <c r="K1222" s="109"/>
      <c r="L1222" s="109"/>
      <c r="M1222" s="110">
        <f>IFERROR(VLOOKUP($C1222,'CEDARS School FRPL'!C:H,3,FALSE),0)</f>
        <v>0.5762666666666667</v>
      </c>
      <c r="N1222" s="123" t="str">
        <f>IFERROR(VLOOKUP(C1222,'CEDARS School FRPL'!C:H,6,FALSE),"No")</f>
        <v>No</v>
      </c>
      <c r="O1222" s="147"/>
      <c r="P1222" s="148"/>
    </row>
    <row r="1223" spans="1:16">
      <c r="A1223" s="95" t="s">
        <v>2537</v>
      </c>
      <c r="B1223" s="95" t="s">
        <v>2115</v>
      </c>
      <c r="C1223" s="4">
        <v>4525</v>
      </c>
      <c r="D1223" s="95" t="s">
        <v>2120</v>
      </c>
      <c r="E1223" s="145">
        <v>363.42</v>
      </c>
      <c r="F1223" s="145">
        <v>0</v>
      </c>
      <c r="G1223" s="145">
        <v>0</v>
      </c>
      <c r="H1223" s="145">
        <v>0</v>
      </c>
      <c r="I1223" s="77">
        <f t="shared" si="22"/>
        <v>363.42</v>
      </c>
      <c r="J1223" s="123" t="str">
        <f>IFERROR(VLOOKUP($C1223,'CEDARS School FRPL'!C:H,4,FALSE),"No")</f>
        <v>No</v>
      </c>
      <c r="K1223" s="107"/>
      <c r="L1223" s="107"/>
      <c r="M1223" s="110">
        <f>IFERROR(VLOOKUP($C1223,'CEDARS School FRPL'!C:H,3,FALSE),0)</f>
        <v>0.47269999999999995</v>
      </c>
      <c r="N1223" s="123" t="str">
        <f>IFERROR(VLOOKUP(C1223,'CEDARS School FRPL'!C:H,6,FALSE),"No")</f>
        <v>No</v>
      </c>
      <c r="O1223" s="147"/>
      <c r="P1223" s="148"/>
    </row>
    <row r="1224" spans="1:16">
      <c r="A1224" s="95" t="s">
        <v>2537</v>
      </c>
      <c r="B1224" s="95" t="s">
        <v>2115</v>
      </c>
      <c r="C1224" s="4">
        <v>5554</v>
      </c>
      <c r="D1224" s="95" t="s">
        <v>2844</v>
      </c>
      <c r="E1224" s="145">
        <v>0</v>
      </c>
      <c r="F1224" s="145">
        <v>0</v>
      </c>
      <c r="G1224" s="145">
        <v>7.14</v>
      </c>
      <c r="H1224" s="145">
        <v>0</v>
      </c>
      <c r="I1224" s="77">
        <f t="shared" si="22"/>
        <v>7.14</v>
      </c>
      <c r="J1224" s="123" t="str">
        <f>IFERROR(VLOOKUP($C1224,'CEDARS School FRPL'!C:H,4,FALSE),"No")</f>
        <v>No</v>
      </c>
      <c r="K1224" s="109"/>
      <c r="L1224" s="109"/>
      <c r="M1224" s="110">
        <f>IFERROR(VLOOKUP($C1224,'CEDARS School FRPL'!C:H,3,FALSE),0)</f>
        <v>0.35000000000000003</v>
      </c>
      <c r="N1224" s="123" t="str">
        <f>IFERROR(VLOOKUP(C1224,'CEDARS School FRPL'!C:H,6,FALSE),"No")</f>
        <v>No</v>
      </c>
      <c r="O1224" s="147"/>
      <c r="P1224" s="148"/>
    </row>
    <row r="1225" spans="1:16">
      <c r="A1225" s="95" t="s">
        <v>2329</v>
      </c>
      <c r="B1225" s="95" t="s">
        <v>480</v>
      </c>
      <c r="C1225" s="4">
        <v>2728</v>
      </c>
      <c r="D1225" s="95" t="s">
        <v>481</v>
      </c>
      <c r="E1225" s="145">
        <v>178.57</v>
      </c>
      <c r="F1225" s="145">
        <v>11.14</v>
      </c>
      <c r="G1225" s="145">
        <v>2.86</v>
      </c>
      <c r="H1225" s="145">
        <v>0</v>
      </c>
      <c r="I1225" s="77">
        <f t="shared" si="22"/>
        <v>192.57</v>
      </c>
      <c r="J1225" s="123" t="str">
        <f>IFERROR(VLOOKUP($C1225,'CEDARS School FRPL'!C:H,4,FALSE),"No")</f>
        <v>Yes</v>
      </c>
      <c r="K1225" s="109"/>
      <c r="L1225" s="109"/>
      <c r="M1225" s="110">
        <f>IFERROR(VLOOKUP($C1225,'CEDARS School FRPL'!C:H,3,FALSE),0)</f>
        <v>0.7043666666666667</v>
      </c>
      <c r="N1225" s="123" t="str">
        <f>IFERROR(VLOOKUP(C1225,'CEDARS School FRPL'!C:H,6,FALSE),"No")</f>
        <v>No</v>
      </c>
      <c r="O1225" s="147"/>
      <c r="P1225" s="148"/>
    </row>
    <row r="1226" spans="1:16">
      <c r="A1226" s="95" t="s">
        <v>2329</v>
      </c>
      <c r="B1226" s="95" t="s">
        <v>480</v>
      </c>
      <c r="C1226" s="4">
        <v>3155</v>
      </c>
      <c r="D1226" s="95" t="s">
        <v>482</v>
      </c>
      <c r="E1226" s="145">
        <v>129.13999999999999</v>
      </c>
      <c r="F1226" s="145">
        <v>0</v>
      </c>
      <c r="G1226" s="145">
        <v>0</v>
      </c>
      <c r="H1226" s="145">
        <v>0</v>
      </c>
      <c r="I1226" s="77">
        <f t="shared" si="22"/>
        <v>129.13999999999999</v>
      </c>
      <c r="J1226" s="123" t="str">
        <f>IFERROR(VLOOKUP($C1226,'CEDARS School FRPL'!C:H,4,FALSE),"No")</f>
        <v>Yes</v>
      </c>
      <c r="K1226" s="109"/>
      <c r="L1226" s="109"/>
      <c r="M1226" s="110">
        <f>IFERROR(VLOOKUP($C1226,'CEDARS School FRPL'!C:H,3,FALSE),0)</f>
        <v>0.72129999999999994</v>
      </c>
      <c r="N1226" s="123" t="str">
        <f>IFERROR(VLOOKUP(C1226,'CEDARS School FRPL'!C:H,6,FALSE),"No")</f>
        <v>No</v>
      </c>
      <c r="O1226" s="147"/>
      <c r="P1226" s="148"/>
    </row>
    <row r="1227" spans="1:16">
      <c r="A1227" s="95" t="s">
        <v>2329</v>
      </c>
      <c r="B1227" s="95" t="s">
        <v>480</v>
      </c>
      <c r="C1227" s="4">
        <v>3787</v>
      </c>
      <c r="D1227" s="95" t="s">
        <v>483</v>
      </c>
      <c r="E1227" s="145">
        <v>225.54</v>
      </c>
      <c r="F1227" s="145">
        <v>0</v>
      </c>
      <c r="G1227" s="145">
        <v>0</v>
      </c>
      <c r="H1227" s="145">
        <v>0</v>
      </c>
      <c r="I1227" s="77">
        <f t="shared" si="22"/>
        <v>225.54</v>
      </c>
      <c r="J1227" s="123" t="str">
        <f>IFERROR(VLOOKUP($C1227,'CEDARS School FRPL'!C:H,4,FALSE),"No")</f>
        <v>Yes</v>
      </c>
      <c r="K1227" s="109"/>
      <c r="L1227" s="109"/>
      <c r="M1227" s="110">
        <f>IFERROR(VLOOKUP($C1227,'CEDARS School FRPL'!C:H,3,FALSE),0)</f>
        <v>0.70466666666666666</v>
      </c>
      <c r="N1227" s="123" t="str">
        <f>IFERROR(VLOOKUP(C1227,'CEDARS School FRPL'!C:H,6,FALSE),"No")</f>
        <v>No</v>
      </c>
      <c r="O1227" s="147"/>
      <c r="P1227" s="148"/>
    </row>
    <row r="1228" spans="1:16">
      <c r="A1228" s="95" t="s">
        <v>2329</v>
      </c>
      <c r="B1228" s="95" t="s">
        <v>480</v>
      </c>
      <c r="C1228" s="4">
        <v>3788</v>
      </c>
      <c r="D1228" s="95" t="s">
        <v>484</v>
      </c>
      <c r="E1228" s="145">
        <v>171.35</v>
      </c>
      <c r="F1228" s="145">
        <v>0</v>
      </c>
      <c r="G1228" s="145">
        <v>0</v>
      </c>
      <c r="H1228" s="145">
        <v>0</v>
      </c>
      <c r="I1228" s="77">
        <f t="shared" si="22"/>
        <v>171.35</v>
      </c>
      <c r="J1228" s="123" t="str">
        <f>IFERROR(VLOOKUP($C1228,'CEDARS School FRPL'!C:H,4,FALSE),"No")</f>
        <v>Yes</v>
      </c>
      <c r="K1228" s="109"/>
      <c r="L1228" s="109"/>
      <c r="M1228" s="110">
        <f>IFERROR(VLOOKUP($C1228,'CEDARS School FRPL'!C:H,3,FALSE),0)</f>
        <v>0.72413333333333341</v>
      </c>
      <c r="N1228" s="123" t="str">
        <f>IFERROR(VLOOKUP(C1228,'CEDARS School FRPL'!C:H,6,FALSE),"No")</f>
        <v>No</v>
      </c>
      <c r="O1228" s="147"/>
      <c r="P1228" s="148"/>
    </row>
    <row r="1229" spans="1:16">
      <c r="A1229" s="95" t="s">
        <v>2313</v>
      </c>
      <c r="B1229" s="95" t="s">
        <v>393</v>
      </c>
      <c r="C1229" s="4">
        <v>1754</v>
      </c>
      <c r="D1229" s="95" t="s">
        <v>394</v>
      </c>
      <c r="E1229" s="145">
        <v>23.23</v>
      </c>
      <c r="F1229" s="145">
        <v>0</v>
      </c>
      <c r="G1229" s="145">
        <v>0</v>
      </c>
      <c r="H1229" s="145">
        <v>0</v>
      </c>
      <c r="I1229" s="77">
        <f t="shared" si="22"/>
        <v>23.23</v>
      </c>
      <c r="J1229" s="123" t="str">
        <f>IFERROR(VLOOKUP($C1229,'CEDARS School FRPL'!C:H,4,FALSE),"No")</f>
        <v>Yes</v>
      </c>
      <c r="K1229" s="109"/>
      <c r="L1229" s="109"/>
      <c r="M1229" s="110">
        <f>IFERROR(VLOOKUP($C1229,'CEDARS School FRPL'!C:H,3,FALSE),0)</f>
        <v>0.9321666666666667</v>
      </c>
      <c r="N1229" s="123" t="str">
        <f>IFERROR(VLOOKUP(C1229,'CEDARS School FRPL'!C:H,6,FALSE),"No")</f>
        <v>No</v>
      </c>
      <c r="O1229" s="147"/>
      <c r="P1229" s="148"/>
    </row>
    <row r="1230" spans="1:16">
      <c r="A1230" s="95" t="s">
        <v>2313</v>
      </c>
      <c r="B1230" s="95" t="s">
        <v>393</v>
      </c>
      <c r="C1230" s="4">
        <v>2198</v>
      </c>
      <c r="D1230" s="95" t="s">
        <v>395</v>
      </c>
      <c r="E1230" s="145">
        <v>313.87</v>
      </c>
      <c r="F1230" s="145">
        <v>0</v>
      </c>
      <c r="G1230" s="145">
        <v>0</v>
      </c>
      <c r="H1230" s="145">
        <v>0</v>
      </c>
      <c r="I1230" s="77">
        <f t="shared" si="22"/>
        <v>313.87</v>
      </c>
      <c r="J1230" s="123" t="str">
        <f>IFERROR(VLOOKUP($C1230,'CEDARS School FRPL'!C:H,4,FALSE),"No")</f>
        <v>Yes</v>
      </c>
      <c r="K1230" s="109"/>
      <c r="L1230" s="109"/>
      <c r="M1230" s="110">
        <f>IFERROR(VLOOKUP($C1230,'CEDARS School FRPL'!C:H,3,FALSE),0)</f>
        <v>0.77993333333333326</v>
      </c>
      <c r="N1230" s="123" t="str">
        <f>IFERROR(VLOOKUP(C1230,'CEDARS School FRPL'!C:H,6,FALSE),"No")</f>
        <v>No</v>
      </c>
      <c r="O1230" s="147"/>
      <c r="P1230" s="148"/>
    </row>
    <row r="1231" spans="1:16">
      <c r="A1231" s="95" t="s">
        <v>2313</v>
      </c>
      <c r="B1231" s="95" t="s">
        <v>393</v>
      </c>
      <c r="C1231" s="4">
        <v>2918</v>
      </c>
      <c r="D1231" s="95" t="s">
        <v>396</v>
      </c>
      <c r="E1231" s="145">
        <v>508.5</v>
      </c>
      <c r="F1231" s="145">
        <v>0</v>
      </c>
      <c r="G1231" s="145">
        <v>0</v>
      </c>
      <c r="H1231" s="145">
        <v>0</v>
      </c>
      <c r="I1231" s="77">
        <f t="shared" si="22"/>
        <v>508.5</v>
      </c>
      <c r="J1231" s="123" t="str">
        <f>IFERROR(VLOOKUP($C1231,'CEDARS School FRPL'!C:H,4,FALSE),"No")</f>
        <v>Yes</v>
      </c>
      <c r="K1231" s="109"/>
      <c r="L1231" s="109"/>
      <c r="M1231" s="110">
        <f>IFERROR(VLOOKUP($C1231,'CEDARS School FRPL'!C:H,3,FALSE),0)</f>
        <v>0.77490000000000003</v>
      </c>
      <c r="N1231" s="123" t="str">
        <f>IFERROR(VLOOKUP(C1231,'CEDARS School FRPL'!C:H,6,FALSE),"No")</f>
        <v>No</v>
      </c>
      <c r="O1231" s="147"/>
      <c r="P1231" s="148"/>
    </row>
    <row r="1232" spans="1:16">
      <c r="A1232" s="95" t="s">
        <v>2313</v>
      </c>
      <c r="B1232" s="95" t="s">
        <v>393</v>
      </c>
      <c r="C1232" s="4">
        <v>3086</v>
      </c>
      <c r="D1232" s="95" t="s">
        <v>397</v>
      </c>
      <c r="E1232" s="145">
        <v>192.14</v>
      </c>
      <c r="F1232" s="145">
        <v>0</v>
      </c>
      <c r="G1232" s="145">
        <v>0</v>
      </c>
      <c r="H1232" s="145">
        <v>0</v>
      </c>
      <c r="I1232" s="77">
        <f t="shared" si="22"/>
        <v>192.14</v>
      </c>
      <c r="J1232" s="123" t="str">
        <f>IFERROR(VLOOKUP($C1232,'CEDARS School FRPL'!C:H,4,FALSE),"No")</f>
        <v>Yes</v>
      </c>
      <c r="K1232" s="109"/>
      <c r="L1232" s="109"/>
      <c r="M1232" s="110">
        <f>IFERROR(VLOOKUP($C1232,'CEDARS School FRPL'!C:H,3,FALSE),0)</f>
        <v>0.73083333333333333</v>
      </c>
      <c r="N1232" s="123" t="str">
        <f>IFERROR(VLOOKUP(C1232,'CEDARS School FRPL'!C:H,6,FALSE),"No")</f>
        <v>No</v>
      </c>
      <c r="O1232" s="147"/>
      <c r="P1232" s="148"/>
    </row>
    <row r="1233" spans="1:16">
      <c r="A1233" s="95" t="s">
        <v>2313</v>
      </c>
      <c r="B1233" s="95" t="s">
        <v>393</v>
      </c>
      <c r="C1233" s="4">
        <v>3272</v>
      </c>
      <c r="D1233" s="95" t="s">
        <v>398</v>
      </c>
      <c r="E1233" s="145">
        <v>584.44000000000005</v>
      </c>
      <c r="F1233" s="145">
        <v>28.82</v>
      </c>
      <c r="G1233" s="145">
        <v>0</v>
      </c>
      <c r="H1233" s="145">
        <v>0</v>
      </c>
      <c r="I1233" s="77">
        <f t="shared" si="22"/>
        <v>613.2600000000001</v>
      </c>
      <c r="J1233" s="123" t="str">
        <f>IFERROR(VLOOKUP($C1233,'CEDARS School FRPL'!C:H,4,FALSE),"No")</f>
        <v>Yes</v>
      </c>
      <c r="K1233" s="109"/>
      <c r="L1233" s="109"/>
      <c r="M1233" s="110">
        <f>IFERROR(VLOOKUP($C1233,'CEDARS School FRPL'!C:H,3,FALSE),0)</f>
        <v>0.71813333333333329</v>
      </c>
      <c r="N1233" s="123" t="str">
        <f>IFERROR(VLOOKUP(C1233,'CEDARS School FRPL'!C:H,6,FALSE),"No")</f>
        <v>No</v>
      </c>
      <c r="O1233" s="147"/>
      <c r="P1233" s="148"/>
    </row>
    <row r="1234" spans="1:16">
      <c r="A1234" s="95" t="s">
        <v>2313</v>
      </c>
      <c r="B1234" s="95" t="s">
        <v>393</v>
      </c>
      <c r="C1234" s="4">
        <v>3325</v>
      </c>
      <c r="D1234" s="95" t="s">
        <v>399</v>
      </c>
      <c r="E1234" s="145">
        <v>343.16</v>
      </c>
      <c r="F1234" s="145">
        <v>0</v>
      </c>
      <c r="G1234" s="145">
        <v>0</v>
      </c>
      <c r="H1234" s="145">
        <v>0</v>
      </c>
      <c r="I1234" s="77">
        <f t="shared" si="22"/>
        <v>343.16</v>
      </c>
      <c r="J1234" s="123" t="str">
        <f>IFERROR(VLOOKUP($C1234,'CEDARS School FRPL'!C:H,4,FALSE),"No")</f>
        <v>Yes</v>
      </c>
      <c r="K1234" s="109"/>
      <c r="L1234" s="109"/>
      <c r="M1234" s="110">
        <f>IFERROR(VLOOKUP($C1234,'CEDARS School FRPL'!C:H,3,FALSE),0)</f>
        <v>0.78983333333333328</v>
      </c>
      <c r="N1234" s="123" t="str">
        <f>IFERROR(VLOOKUP(C1234,'CEDARS School FRPL'!C:H,6,FALSE),"No")</f>
        <v>No</v>
      </c>
      <c r="O1234" s="147"/>
      <c r="P1234" s="148"/>
    </row>
    <row r="1235" spans="1:16">
      <c r="A1235" s="95" t="s">
        <v>2313</v>
      </c>
      <c r="B1235" s="95" t="s">
        <v>393</v>
      </c>
      <c r="C1235" s="4">
        <v>5499</v>
      </c>
      <c r="D1235" s="95" t="s">
        <v>2727</v>
      </c>
      <c r="E1235" s="145">
        <v>0</v>
      </c>
      <c r="F1235" s="145">
        <v>0</v>
      </c>
      <c r="G1235" s="145">
        <v>3.14</v>
      </c>
      <c r="H1235" s="145">
        <v>0</v>
      </c>
      <c r="I1235" s="77">
        <f t="shared" si="22"/>
        <v>3.14</v>
      </c>
      <c r="J1235" s="123" t="str">
        <f>IFERROR(VLOOKUP($C1235,'CEDARS School FRPL'!C:H,4,FALSE),"No")</f>
        <v>No</v>
      </c>
      <c r="K1235" s="109"/>
      <c r="L1235" s="109"/>
      <c r="M1235" s="110">
        <f>IFERROR(VLOOKUP($C1235,'CEDARS School FRPL'!C:H,3,FALSE),0)</f>
        <v>6.25E-2</v>
      </c>
      <c r="N1235" s="123" t="str">
        <f>IFERROR(VLOOKUP(C1235,'CEDARS School FRPL'!C:H,6,FALSE),"No")</f>
        <v>No</v>
      </c>
      <c r="O1235" s="147"/>
      <c r="P1235" s="148"/>
    </row>
    <row r="1236" spans="1:16">
      <c r="A1236" s="95" t="s">
        <v>2313</v>
      </c>
      <c r="B1236" s="95" t="s">
        <v>393</v>
      </c>
      <c r="C1236" s="4">
        <v>5653</v>
      </c>
      <c r="D1236" s="95" t="s">
        <v>400</v>
      </c>
      <c r="E1236" s="145">
        <v>38.99</v>
      </c>
      <c r="F1236" s="145">
        <v>0</v>
      </c>
      <c r="G1236" s="145">
        <v>0</v>
      </c>
      <c r="H1236" s="145">
        <v>0</v>
      </c>
      <c r="I1236" s="77">
        <f t="shared" si="22"/>
        <v>38.99</v>
      </c>
      <c r="J1236" s="123" t="str">
        <f>IFERROR(VLOOKUP($C1236,'CEDARS School FRPL'!C:H,4,FALSE),"No")</f>
        <v>Yes</v>
      </c>
      <c r="K1236" s="109"/>
      <c r="L1236" s="109"/>
      <c r="M1236" s="110">
        <f>IFERROR(VLOOKUP($C1236,'CEDARS School FRPL'!C:H,3,FALSE),0)</f>
        <v>0.6895</v>
      </c>
      <c r="N1236" s="123" t="str">
        <f>IFERROR(VLOOKUP(C1236,'CEDARS School FRPL'!C:H,6,FALSE),"No")</f>
        <v>No</v>
      </c>
      <c r="O1236" s="147"/>
      <c r="P1236" s="148"/>
    </row>
    <row r="1237" spans="1:16">
      <c r="A1237" s="95" t="s">
        <v>2373</v>
      </c>
      <c r="B1237" s="95" t="s">
        <v>1039</v>
      </c>
      <c r="C1237" s="4">
        <v>1677</v>
      </c>
      <c r="D1237" s="95" t="s">
        <v>78</v>
      </c>
      <c r="E1237" s="145">
        <v>3.14</v>
      </c>
      <c r="F1237" s="145">
        <v>0</v>
      </c>
      <c r="G1237" s="145">
        <v>0</v>
      </c>
      <c r="H1237" s="145">
        <v>0</v>
      </c>
      <c r="I1237" s="77">
        <f t="shared" si="22"/>
        <v>3.14</v>
      </c>
      <c r="J1237" s="123" t="str">
        <f>IFERROR(VLOOKUP($C1237,'CEDARS School FRPL'!C:H,4,FALSE),"No")</f>
        <v>No</v>
      </c>
      <c r="K1237" s="107"/>
      <c r="L1237" s="107"/>
      <c r="M1237" s="110">
        <f>IFERROR(VLOOKUP($C1237,'CEDARS School FRPL'!C:H,3,FALSE),0)</f>
        <v>0.21876666666666666</v>
      </c>
      <c r="N1237" s="123" t="str">
        <f>IFERROR(VLOOKUP(C1237,'CEDARS School FRPL'!C:H,6,FALSE),"No")</f>
        <v>No</v>
      </c>
      <c r="O1237" s="147"/>
      <c r="P1237" s="148"/>
    </row>
    <row r="1238" spans="1:16">
      <c r="A1238" s="95" t="s">
        <v>2373</v>
      </c>
      <c r="B1238" s="95" t="s">
        <v>1039</v>
      </c>
      <c r="C1238" s="4">
        <v>1733</v>
      </c>
      <c r="D1238" s="95" t="s">
        <v>2895</v>
      </c>
      <c r="E1238" s="145">
        <v>210.65</v>
      </c>
      <c r="F1238" s="145">
        <v>0</v>
      </c>
      <c r="G1238" s="145">
        <v>0</v>
      </c>
      <c r="H1238" s="145">
        <v>0</v>
      </c>
      <c r="I1238" s="77">
        <f t="shared" si="22"/>
        <v>210.65</v>
      </c>
      <c r="J1238" s="123" t="str">
        <f>IFERROR(VLOOKUP($C1238,'CEDARS School FRPL'!C:H,4,FALSE),"No")</f>
        <v>No</v>
      </c>
      <c r="K1238" s="109"/>
      <c r="L1238" s="109"/>
      <c r="M1238" s="110">
        <f>IFERROR(VLOOKUP($C1238,'CEDARS School FRPL'!C:H,3,FALSE),0)</f>
        <v>0.32629999999999998</v>
      </c>
      <c r="N1238" s="123" t="str">
        <f>IFERROR(VLOOKUP(C1238,'CEDARS School FRPL'!C:H,6,FALSE),"No")</f>
        <v>No</v>
      </c>
      <c r="O1238" s="147"/>
      <c r="P1238" s="148"/>
    </row>
    <row r="1239" spans="1:16">
      <c r="A1239" s="95" t="s">
        <v>2373</v>
      </c>
      <c r="B1239" s="95" t="s">
        <v>1039</v>
      </c>
      <c r="C1239" s="4">
        <v>2026</v>
      </c>
      <c r="D1239" s="95" t="s">
        <v>1040</v>
      </c>
      <c r="E1239" s="145">
        <v>428.15</v>
      </c>
      <c r="F1239" s="145">
        <v>0</v>
      </c>
      <c r="G1239" s="145">
        <v>0</v>
      </c>
      <c r="H1239" s="145">
        <v>0</v>
      </c>
      <c r="I1239" s="77">
        <f t="shared" si="22"/>
        <v>428.15</v>
      </c>
      <c r="J1239" s="123" t="str">
        <f>IFERROR(VLOOKUP($C1239,'CEDARS School FRPL'!C:H,4,FALSE),"No")</f>
        <v>No</v>
      </c>
      <c r="K1239" s="109"/>
      <c r="L1239" s="109"/>
      <c r="M1239" s="110">
        <f>IFERROR(VLOOKUP($C1239,'CEDARS School FRPL'!C:H,3,FALSE),0)</f>
        <v>0.25716666666666665</v>
      </c>
      <c r="N1239" s="123" t="str">
        <f>IFERROR(VLOOKUP(C1239,'CEDARS School FRPL'!C:H,6,FALSE),"No")</f>
        <v>No</v>
      </c>
      <c r="O1239" s="147"/>
      <c r="P1239" s="148"/>
    </row>
    <row r="1240" spans="1:16">
      <c r="A1240" s="95" t="s">
        <v>2373</v>
      </c>
      <c r="B1240" s="95" t="s">
        <v>1039</v>
      </c>
      <c r="C1240" s="4">
        <v>2476</v>
      </c>
      <c r="D1240" s="95" t="s">
        <v>1041</v>
      </c>
      <c r="E1240" s="145">
        <v>674.91</v>
      </c>
      <c r="F1240" s="145">
        <v>0</v>
      </c>
      <c r="G1240" s="145">
        <v>0</v>
      </c>
      <c r="H1240" s="145">
        <v>0</v>
      </c>
      <c r="I1240" s="77">
        <f t="shared" si="22"/>
        <v>674.91</v>
      </c>
      <c r="J1240" s="123" t="str">
        <f>IFERROR(VLOOKUP($C1240,'CEDARS School FRPL'!C:H,4,FALSE),"No")</f>
        <v>No</v>
      </c>
      <c r="K1240" s="109"/>
      <c r="L1240" s="109"/>
      <c r="M1240" s="110">
        <f>IFERROR(VLOOKUP($C1240,'CEDARS School FRPL'!C:H,3,FALSE),0)</f>
        <v>0.2824666666666667</v>
      </c>
      <c r="N1240" s="123" t="str">
        <f>IFERROR(VLOOKUP(C1240,'CEDARS School FRPL'!C:H,6,FALSE),"No")</f>
        <v>No</v>
      </c>
      <c r="O1240" s="147"/>
      <c r="P1240" s="148"/>
    </row>
    <row r="1241" spans="1:16">
      <c r="A1241" s="95" t="s">
        <v>2373</v>
      </c>
      <c r="B1241" s="95" t="s">
        <v>1039</v>
      </c>
      <c r="C1241" s="4">
        <v>2798</v>
      </c>
      <c r="D1241" s="95" t="s">
        <v>1042</v>
      </c>
      <c r="E1241" s="145">
        <v>297.16000000000003</v>
      </c>
      <c r="F1241" s="145">
        <v>0</v>
      </c>
      <c r="G1241" s="145">
        <v>0</v>
      </c>
      <c r="H1241" s="145">
        <v>0</v>
      </c>
      <c r="I1241" s="77">
        <f t="shared" si="22"/>
        <v>297.16000000000003</v>
      </c>
      <c r="J1241" s="123" t="str">
        <f>IFERROR(VLOOKUP($C1241,'CEDARS School FRPL'!C:H,4,FALSE),"No")</f>
        <v>Yes</v>
      </c>
      <c r="K1241" s="109"/>
      <c r="L1241" s="109"/>
      <c r="M1241" s="110">
        <f>IFERROR(VLOOKUP($C1241,'CEDARS School FRPL'!C:H,3,FALSE),0)</f>
        <v>0.50946666666666662</v>
      </c>
      <c r="N1241" s="123" t="str">
        <f>IFERROR(VLOOKUP(C1241,'CEDARS School FRPL'!C:H,6,FALSE),"No")</f>
        <v>No</v>
      </c>
      <c r="O1241" s="147"/>
      <c r="P1241" s="148"/>
    </row>
    <row r="1242" spans="1:16">
      <c r="A1242" s="95" t="s">
        <v>2373</v>
      </c>
      <c r="B1242" s="95" t="s">
        <v>1039</v>
      </c>
      <c r="C1242" s="4">
        <v>2854</v>
      </c>
      <c r="D1242" s="95" t="s">
        <v>1043</v>
      </c>
      <c r="E1242" s="145">
        <v>293.74</v>
      </c>
      <c r="F1242" s="145">
        <v>0</v>
      </c>
      <c r="G1242" s="145">
        <v>0</v>
      </c>
      <c r="H1242" s="145">
        <v>0</v>
      </c>
      <c r="I1242" s="77">
        <f t="shared" si="22"/>
        <v>293.74</v>
      </c>
      <c r="J1242" s="123" t="str">
        <f>IFERROR(VLOOKUP($C1242,'CEDARS School FRPL'!C:H,4,FALSE),"No")</f>
        <v>No</v>
      </c>
      <c r="K1242" s="109"/>
      <c r="L1242" s="109"/>
      <c r="M1242" s="110">
        <f>IFERROR(VLOOKUP($C1242,'CEDARS School FRPL'!C:H,3,FALSE),0)</f>
        <v>0.27120000000000005</v>
      </c>
      <c r="N1242" s="123" t="str">
        <f>IFERROR(VLOOKUP(C1242,'CEDARS School FRPL'!C:H,6,FALSE),"No")</f>
        <v>No</v>
      </c>
      <c r="O1242" s="147"/>
      <c r="P1242" s="148"/>
    </row>
    <row r="1243" spans="1:16">
      <c r="A1243" s="95" t="s">
        <v>2373</v>
      </c>
      <c r="B1243" s="95" t="s">
        <v>1039</v>
      </c>
      <c r="C1243" s="4">
        <v>3236</v>
      </c>
      <c r="D1243" s="95" t="s">
        <v>1044</v>
      </c>
      <c r="E1243" s="145">
        <v>927.42</v>
      </c>
      <c r="F1243" s="145">
        <v>118.86</v>
      </c>
      <c r="G1243" s="145">
        <v>0</v>
      </c>
      <c r="H1243" s="145">
        <v>0</v>
      </c>
      <c r="I1243" s="77">
        <f t="shared" si="22"/>
        <v>1046.28</v>
      </c>
      <c r="J1243" s="123" t="str">
        <f>IFERROR(VLOOKUP($C1243,'CEDARS School FRPL'!C:H,4,FALSE),"No")</f>
        <v>No</v>
      </c>
      <c r="K1243" s="109"/>
      <c r="L1243" s="109"/>
      <c r="M1243" s="110">
        <f>IFERROR(VLOOKUP($C1243,'CEDARS School FRPL'!C:H,3,FALSE),0)</f>
        <v>0.2298</v>
      </c>
      <c r="N1243" s="123" t="str">
        <f>IFERROR(VLOOKUP(C1243,'CEDARS School FRPL'!C:H,6,FALSE),"No")</f>
        <v>No</v>
      </c>
      <c r="O1243" s="147"/>
      <c r="P1243" s="148"/>
    </row>
    <row r="1244" spans="1:16">
      <c r="A1244" s="95" t="s">
        <v>2373</v>
      </c>
      <c r="B1244" s="95" t="s">
        <v>1039</v>
      </c>
      <c r="C1244" s="4">
        <v>3391</v>
      </c>
      <c r="D1244" s="95" t="s">
        <v>1045</v>
      </c>
      <c r="E1244" s="145">
        <v>327.04000000000002</v>
      </c>
      <c r="F1244" s="145">
        <v>0</v>
      </c>
      <c r="G1244" s="145">
        <v>0</v>
      </c>
      <c r="H1244" s="145">
        <v>0</v>
      </c>
      <c r="I1244" s="77">
        <f t="shared" si="22"/>
        <v>327.04000000000002</v>
      </c>
      <c r="J1244" s="123" t="str">
        <f>IFERROR(VLOOKUP($C1244,'CEDARS School FRPL'!C:H,4,FALSE),"No")</f>
        <v>No</v>
      </c>
      <c r="K1244" s="109"/>
      <c r="L1244" s="109"/>
      <c r="M1244" s="110">
        <f>IFERROR(VLOOKUP($C1244,'CEDARS School FRPL'!C:H,3,FALSE),0)</f>
        <v>0.40240000000000004</v>
      </c>
      <c r="N1244" s="123" t="str">
        <f>IFERROR(VLOOKUP(C1244,'CEDARS School FRPL'!C:H,6,FALSE),"No")</f>
        <v>No</v>
      </c>
      <c r="O1244" s="147"/>
      <c r="P1244" s="148"/>
    </row>
    <row r="1245" spans="1:16">
      <c r="A1245" s="95" t="s">
        <v>2373</v>
      </c>
      <c r="B1245" s="95" t="s">
        <v>1039</v>
      </c>
      <c r="C1245" s="4">
        <v>4359</v>
      </c>
      <c r="D1245" s="95" t="s">
        <v>1046</v>
      </c>
      <c r="E1245" s="145">
        <v>489.85</v>
      </c>
      <c r="F1245" s="145">
        <v>0</v>
      </c>
      <c r="G1245" s="145">
        <v>0</v>
      </c>
      <c r="H1245" s="145">
        <v>0</v>
      </c>
      <c r="I1245" s="77">
        <f t="shared" si="22"/>
        <v>489.85</v>
      </c>
      <c r="J1245" s="123" t="str">
        <f>IFERROR(VLOOKUP($C1245,'CEDARS School FRPL'!C:H,4,FALSE),"No")</f>
        <v>No</v>
      </c>
      <c r="K1245" s="109"/>
      <c r="L1245" s="109"/>
      <c r="M1245" s="110">
        <f>IFERROR(VLOOKUP($C1245,'CEDARS School FRPL'!C:H,3,FALSE),0)</f>
        <v>0.46613333333333329</v>
      </c>
      <c r="N1245" s="123" t="str">
        <f>IFERROR(VLOOKUP(C1245,'CEDARS School FRPL'!C:H,6,FALSE),"No")</f>
        <v>No</v>
      </c>
      <c r="O1245" s="147"/>
      <c r="P1245" s="148"/>
    </row>
    <row r="1246" spans="1:16">
      <c r="A1246" s="95" t="s">
        <v>2373</v>
      </c>
      <c r="B1246" s="95" t="s">
        <v>1039</v>
      </c>
      <c r="C1246" s="4">
        <v>4461</v>
      </c>
      <c r="D1246" s="95" t="s">
        <v>1047</v>
      </c>
      <c r="E1246" s="145">
        <v>520.16999999999996</v>
      </c>
      <c r="F1246" s="145">
        <v>0</v>
      </c>
      <c r="G1246" s="145">
        <v>0</v>
      </c>
      <c r="H1246" s="145">
        <v>0</v>
      </c>
      <c r="I1246" s="77">
        <f t="shared" si="22"/>
        <v>520.16999999999996</v>
      </c>
      <c r="J1246" s="123" t="str">
        <f>IFERROR(VLOOKUP($C1246,'CEDARS School FRPL'!C:H,4,FALSE),"No")</f>
        <v>No</v>
      </c>
      <c r="K1246" s="109"/>
      <c r="L1246" s="109"/>
      <c r="M1246" s="110">
        <f>IFERROR(VLOOKUP($C1246,'CEDARS School FRPL'!C:H,3,FALSE),0)</f>
        <v>0.2861333333333333</v>
      </c>
      <c r="N1246" s="123" t="str">
        <f>IFERROR(VLOOKUP(C1246,'CEDARS School FRPL'!C:H,6,FALSE),"No")</f>
        <v>No</v>
      </c>
      <c r="O1246" s="147"/>
      <c r="P1246" s="148"/>
    </row>
    <row r="1247" spans="1:16">
      <c r="A1247" s="95" t="s">
        <v>2373</v>
      </c>
      <c r="B1247" s="95" t="s">
        <v>1039</v>
      </c>
      <c r="C1247" s="4">
        <v>4467</v>
      </c>
      <c r="D1247" s="95" t="s">
        <v>1048</v>
      </c>
      <c r="E1247" s="145">
        <v>368.19</v>
      </c>
      <c r="F1247" s="145">
        <v>0</v>
      </c>
      <c r="G1247" s="145">
        <v>0</v>
      </c>
      <c r="H1247" s="145">
        <v>0</v>
      </c>
      <c r="I1247" s="77">
        <f t="shared" si="22"/>
        <v>368.19</v>
      </c>
      <c r="J1247" s="123" t="str">
        <f>IFERROR(VLOOKUP($C1247,'CEDARS School FRPL'!C:H,4,FALSE),"No")</f>
        <v>No</v>
      </c>
      <c r="K1247" s="109"/>
      <c r="L1247" s="109"/>
      <c r="M1247" s="110">
        <f>IFERROR(VLOOKUP($C1247,'CEDARS School FRPL'!C:H,3,FALSE),0)</f>
        <v>0.32653333333333334</v>
      </c>
      <c r="N1247" s="123" t="str">
        <f>IFERROR(VLOOKUP(C1247,'CEDARS School FRPL'!C:H,6,FALSE),"No")</f>
        <v>No</v>
      </c>
      <c r="O1247" s="147"/>
      <c r="P1247" s="148"/>
    </row>
    <row r="1248" spans="1:16">
      <c r="A1248" s="95" t="s">
        <v>2373</v>
      </c>
      <c r="B1248" s="95" t="s">
        <v>1039</v>
      </c>
      <c r="C1248" s="4">
        <v>5085</v>
      </c>
      <c r="D1248" s="95" t="s">
        <v>1049</v>
      </c>
      <c r="E1248" s="145">
        <v>553.66999999999996</v>
      </c>
      <c r="F1248" s="145">
        <v>68.44</v>
      </c>
      <c r="G1248" s="145">
        <v>0</v>
      </c>
      <c r="H1248" s="145">
        <v>0</v>
      </c>
      <c r="I1248" s="77">
        <f t="shared" si="22"/>
        <v>622.1099999999999</v>
      </c>
      <c r="J1248" s="123" t="str">
        <f>IFERROR(VLOOKUP($C1248,'CEDARS School FRPL'!C:H,4,FALSE),"No")</f>
        <v>No</v>
      </c>
      <c r="K1248" s="109"/>
      <c r="L1248" s="109"/>
      <c r="M1248" s="110">
        <f>IFERROR(VLOOKUP($C1248,'CEDARS School FRPL'!C:H,3,FALSE),0)</f>
        <v>0.35556666666666664</v>
      </c>
      <c r="N1248" s="123" t="str">
        <f>IFERROR(VLOOKUP(C1248,'CEDARS School FRPL'!C:H,6,FALSE),"No")</f>
        <v>No</v>
      </c>
      <c r="O1248" s="147"/>
      <c r="P1248" s="148"/>
    </row>
    <row r="1249" spans="1:16">
      <c r="A1249" s="95" t="s">
        <v>2373</v>
      </c>
      <c r="B1249" s="95" t="s">
        <v>1039</v>
      </c>
      <c r="C1249" s="4">
        <v>5546</v>
      </c>
      <c r="D1249" s="95" t="s">
        <v>703</v>
      </c>
      <c r="E1249" s="145">
        <v>51.85</v>
      </c>
      <c r="F1249" s="145">
        <v>0</v>
      </c>
      <c r="G1249" s="145">
        <v>0</v>
      </c>
      <c r="H1249" s="145">
        <v>0</v>
      </c>
      <c r="I1249" s="77">
        <f t="shared" si="22"/>
        <v>51.85</v>
      </c>
      <c r="J1249" s="123" t="str">
        <f>IFERROR(VLOOKUP($C1249,'CEDARS School FRPL'!C:H,4,FALSE),"No")</f>
        <v>No</v>
      </c>
      <c r="K1249" s="109"/>
      <c r="L1249" s="109"/>
      <c r="M1249" s="110">
        <f>IFERROR(VLOOKUP($C1249,'CEDARS School FRPL'!C:H,3,FALSE),0)</f>
        <v>0.4793</v>
      </c>
      <c r="N1249" s="123" t="str">
        <f>IFERROR(VLOOKUP(C1249,'CEDARS School FRPL'!C:H,6,FALSE),"No")</f>
        <v>Yes</v>
      </c>
      <c r="O1249" s="147"/>
      <c r="P1249" s="148"/>
    </row>
    <row r="1250" spans="1:16">
      <c r="A1250" s="95" t="s">
        <v>2373</v>
      </c>
      <c r="B1250" s="95" t="s">
        <v>1039</v>
      </c>
      <c r="C1250" s="4">
        <v>5646</v>
      </c>
      <c r="D1250" s="95" t="s">
        <v>2894</v>
      </c>
      <c r="E1250" s="145">
        <v>84.91</v>
      </c>
      <c r="F1250" s="145">
        <v>0</v>
      </c>
      <c r="G1250" s="145">
        <v>0</v>
      </c>
      <c r="H1250" s="145">
        <v>0</v>
      </c>
      <c r="I1250" s="77">
        <f t="shared" si="22"/>
        <v>84.91</v>
      </c>
      <c r="J1250" s="123" t="str">
        <f>IFERROR(VLOOKUP($C1250,'CEDARS School FRPL'!C:H,4,FALSE),"No")</f>
        <v>No</v>
      </c>
      <c r="K1250" s="109"/>
      <c r="L1250" s="109"/>
      <c r="M1250" s="110">
        <f>IFERROR(VLOOKUP($C1250,'CEDARS School FRPL'!C:H,3,FALSE),0)</f>
        <v>0.12465000000000001</v>
      </c>
      <c r="N1250" s="123" t="str">
        <f>IFERROR(VLOOKUP(C1250,'CEDARS School FRPL'!C:H,6,FALSE),"No")</f>
        <v>No</v>
      </c>
      <c r="O1250" s="147"/>
      <c r="P1250" s="148"/>
    </row>
    <row r="1251" spans="1:16">
      <c r="A1251" s="95" t="s">
        <v>2419</v>
      </c>
      <c r="B1251" s="95" t="s">
        <v>1217</v>
      </c>
      <c r="C1251" s="4">
        <v>1680</v>
      </c>
      <c r="D1251" s="95" t="s">
        <v>1218</v>
      </c>
      <c r="E1251" s="145">
        <v>42.01</v>
      </c>
      <c r="F1251" s="145">
        <v>0</v>
      </c>
      <c r="G1251" s="145">
        <v>0</v>
      </c>
      <c r="H1251" s="145">
        <v>0</v>
      </c>
      <c r="I1251" s="77">
        <f t="shared" si="22"/>
        <v>42.01</v>
      </c>
      <c r="J1251" s="123" t="str">
        <f>IFERROR(VLOOKUP($C1251,'CEDARS School FRPL'!C:H,4,FALSE),"No")</f>
        <v>Yes</v>
      </c>
      <c r="K1251" s="109"/>
      <c r="L1251" s="109"/>
      <c r="M1251" s="110">
        <f>IFERROR(VLOOKUP($C1251,'CEDARS School FRPL'!C:H,3,FALSE),0)</f>
        <v>0.57786666666666664</v>
      </c>
      <c r="N1251" s="123" t="str">
        <f>IFERROR(VLOOKUP(C1251,'CEDARS School FRPL'!C:H,6,FALSE),"No")</f>
        <v>No</v>
      </c>
      <c r="O1251" s="147"/>
      <c r="P1251" s="148"/>
    </row>
    <row r="1252" spans="1:16">
      <c r="A1252" s="95" t="s">
        <v>2419</v>
      </c>
      <c r="B1252" s="95" t="s">
        <v>1217</v>
      </c>
      <c r="C1252" s="4">
        <v>1861</v>
      </c>
      <c r="D1252" s="95" t="s">
        <v>1219</v>
      </c>
      <c r="E1252" s="145">
        <v>124.89</v>
      </c>
      <c r="F1252" s="145">
        <v>0.34</v>
      </c>
      <c r="G1252" s="145">
        <v>0</v>
      </c>
      <c r="H1252" s="145">
        <v>0</v>
      </c>
      <c r="I1252" s="77">
        <f t="shared" si="22"/>
        <v>125.23</v>
      </c>
      <c r="J1252" s="123" t="str">
        <f>IFERROR(VLOOKUP($C1252,'CEDARS School FRPL'!C:H,4,FALSE),"No")</f>
        <v>No</v>
      </c>
      <c r="K1252" s="109"/>
      <c r="L1252" s="109"/>
      <c r="M1252" s="110">
        <f>IFERROR(VLOOKUP($C1252,'CEDARS School FRPL'!C:H,3,FALSE),0)</f>
        <v>0.26883333333333331</v>
      </c>
      <c r="N1252" s="123" t="str">
        <f>IFERROR(VLOOKUP(C1252,'CEDARS School FRPL'!C:H,6,FALSE),"No")</f>
        <v>No</v>
      </c>
      <c r="O1252" s="147"/>
      <c r="P1252" s="148"/>
    </row>
    <row r="1253" spans="1:16">
      <c r="A1253" s="95" t="s">
        <v>2419</v>
      </c>
      <c r="B1253" s="95" t="s">
        <v>1217</v>
      </c>
      <c r="C1253" s="4">
        <v>2662</v>
      </c>
      <c r="D1253" s="95" t="s">
        <v>1220</v>
      </c>
      <c r="E1253" s="145">
        <v>434.49</v>
      </c>
      <c r="F1253" s="145">
        <v>0</v>
      </c>
      <c r="G1253" s="145">
        <v>0</v>
      </c>
      <c r="H1253" s="145">
        <v>0</v>
      </c>
      <c r="I1253" s="77">
        <f t="shared" si="22"/>
        <v>434.49</v>
      </c>
      <c r="J1253" s="123" t="str">
        <f>IFERROR(VLOOKUP($C1253,'CEDARS School FRPL'!C:H,4,FALSE),"No")</f>
        <v>Yes</v>
      </c>
      <c r="K1253" s="109"/>
      <c r="L1253" s="109"/>
      <c r="M1253" s="110">
        <f>IFERROR(VLOOKUP($C1253,'CEDARS School FRPL'!C:H,3,FALSE),0)</f>
        <v>0.51910000000000001</v>
      </c>
      <c r="N1253" s="123" t="str">
        <f>IFERROR(VLOOKUP(C1253,'CEDARS School FRPL'!C:H,6,FALSE),"No")</f>
        <v>No</v>
      </c>
      <c r="O1253" s="147"/>
      <c r="P1253" s="148"/>
    </row>
    <row r="1254" spans="1:16">
      <c r="A1254" s="95" t="s">
        <v>2419</v>
      </c>
      <c r="B1254" s="95" t="s">
        <v>1217</v>
      </c>
      <c r="C1254" s="4">
        <v>3174</v>
      </c>
      <c r="D1254" s="95" t="s">
        <v>1221</v>
      </c>
      <c r="E1254" s="145">
        <v>462.16</v>
      </c>
      <c r="F1254" s="145">
        <v>0</v>
      </c>
      <c r="G1254" s="145">
        <v>0</v>
      </c>
      <c r="H1254" s="145">
        <v>0</v>
      </c>
      <c r="I1254" s="77">
        <f t="shared" si="22"/>
        <v>462.16</v>
      </c>
      <c r="J1254" s="123" t="str">
        <f>IFERROR(VLOOKUP($C1254,'CEDARS School FRPL'!C:H,4,FALSE),"No")</f>
        <v>Yes</v>
      </c>
      <c r="K1254" s="109"/>
      <c r="L1254" s="109"/>
      <c r="M1254" s="110">
        <f>IFERROR(VLOOKUP($C1254,'CEDARS School FRPL'!C:H,3,FALSE),0)</f>
        <v>0.57153333333333334</v>
      </c>
      <c r="N1254" s="123" t="str">
        <f>IFERROR(VLOOKUP(C1254,'CEDARS School FRPL'!C:H,6,FALSE),"No")</f>
        <v>No</v>
      </c>
      <c r="O1254" s="147"/>
      <c r="P1254" s="148"/>
    </row>
    <row r="1255" spans="1:16">
      <c r="A1255" s="95" t="s">
        <v>2419</v>
      </c>
      <c r="B1255" s="95" t="s">
        <v>1217</v>
      </c>
      <c r="C1255" s="4">
        <v>3175</v>
      </c>
      <c r="D1255" s="95" t="s">
        <v>1222</v>
      </c>
      <c r="E1255" s="145">
        <v>630.08000000000004</v>
      </c>
      <c r="F1255" s="145">
        <v>62.6</v>
      </c>
      <c r="G1255" s="145">
        <v>0</v>
      </c>
      <c r="H1255" s="145">
        <v>0</v>
      </c>
      <c r="I1255" s="77">
        <f t="shared" si="22"/>
        <v>692.68000000000006</v>
      </c>
      <c r="J1255" s="123" t="str">
        <f>IFERROR(VLOOKUP($C1255,'CEDARS School FRPL'!C:H,4,FALSE),"No")</f>
        <v>No</v>
      </c>
      <c r="K1255" s="109"/>
      <c r="L1255" s="109"/>
      <c r="M1255" s="110">
        <f>IFERROR(VLOOKUP($C1255,'CEDARS School FRPL'!C:H,3,FALSE),0)</f>
        <v>0.49879999999999997</v>
      </c>
      <c r="N1255" s="123" t="str">
        <f>IFERROR(VLOOKUP(C1255,'CEDARS School FRPL'!C:H,6,FALSE),"No")</f>
        <v>No</v>
      </c>
      <c r="O1255" s="147"/>
      <c r="P1255" s="148"/>
    </row>
    <row r="1256" spans="1:16">
      <c r="A1256" s="95" t="s">
        <v>2419</v>
      </c>
      <c r="B1256" s="95" t="s">
        <v>1217</v>
      </c>
      <c r="C1256" s="4">
        <v>4320</v>
      </c>
      <c r="D1256" s="95" t="s">
        <v>1223</v>
      </c>
      <c r="E1256" s="145">
        <v>501.71</v>
      </c>
      <c r="F1256" s="145">
        <v>0</v>
      </c>
      <c r="G1256" s="145">
        <v>0</v>
      </c>
      <c r="H1256" s="145">
        <v>0</v>
      </c>
      <c r="I1256" s="77">
        <f t="shared" si="22"/>
        <v>501.71</v>
      </c>
      <c r="J1256" s="123" t="str">
        <f>IFERROR(VLOOKUP($C1256,'CEDARS School FRPL'!C:H,4,FALSE),"No")</f>
        <v>Yes</v>
      </c>
      <c r="K1256" s="109"/>
      <c r="L1256" s="109"/>
      <c r="M1256" s="110">
        <f>IFERROR(VLOOKUP($C1256,'CEDARS School FRPL'!C:H,3,FALSE),0)</f>
        <v>0.57553333333333334</v>
      </c>
      <c r="N1256" s="123" t="str">
        <f>IFERROR(VLOOKUP(C1256,'CEDARS School FRPL'!C:H,6,FALSE),"No")</f>
        <v>No</v>
      </c>
      <c r="O1256" s="147"/>
      <c r="P1256" s="148"/>
    </row>
    <row r="1257" spans="1:16">
      <c r="A1257" s="95" t="s">
        <v>2434</v>
      </c>
      <c r="B1257" s="95" t="s">
        <v>1278</v>
      </c>
      <c r="C1257" s="4">
        <v>2292</v>
      </c>
      <c r="D1257" s="95" t="s">
        <v>1279</v>
      </c>
      <c r="E1257" s="145">
        <v>81.73</v>
      </c>
      <c r="F1257" s="145">
        <v>3.4400000000000004</v>
      </c>
      <c r="G1257" s="145">
        <v>0</v>
      </c>
      <c r="H1257" s="145">
        <v>0</v>
      </c>
      <c r="I1257" s="77">
        <f t="shared" si="22"/>
        <v>85.17</v>
      </c>
      <c r="J1257" s="123" t="str">
        <f>IFERROR(VLOOKUP($C1257,'CEDARS School FRPL'!C:H,4,FALSE),"No")</f>
        <v>Yes</v>
      </c>
      <c r="K1257" s="109"/>
      <c r="L1257" s="109"/>
      <c r="M1257" s="110">
        <f>IFERROR(VLOOKUP($C1257,'CEDARS School FRPL'!C:H,3,FALSE),0)</f>
        <v>0.62703333333333333</v>
      </c>
      <c r="N1257" s="123" t="str">
        <f>IFERROR(VLOOKUP(C1257,'CEDARS School FRPL'!C:H,6,FALSE),"No")</f>
        <v>No</v>
      </c>
      <c r="O1257" s="147"/>
      <c r="P1257" s="148"/>
    </row>
    <row r="1258" spans="1:16">
      <c r="A1258" s="95" t="s">
        <v>2516</v>
      </c>
      <c r="B1258" s="95" t="s">
        <v>1975</v>
      </c>
      <c r="C1258" s="4">
        <v>2754</v>
      </c>
      <c r="D1258" s="95" t="s">
        <v>1976</v>
      </c>
      <c r="E1258" s="145">
        <v>560.87</v>
      </c>
      <c r="F1258" s="145">
        <v>0</v>
      </c>
      <c r="G1258" s="145">
        <v>0</v>
      </c>
      <c r="H1258" s="145">
        <v>0</v>
      </c>
      <c r="I1258" s="77">
        <f t="shared" si="22"/>
        <v>560.87</v>
      </c>
      <c r="J1258" s="123" t="str">
        <f>IFERROR(VLOOKUP($C1258,'CEDARS School FRPL'!C:H,4,FALSE),"No")</f>
        <v>No</v>
      </c>
      <c r="K1258" s="109"/>
      <c r="L1258" s="109"/>
      <c r="M1258" s="110">
        <f>IFERROR(VLOOKUP($C1258,'CEDARS School FRPL'!C:H,3,FALSE),0)</f>
        <v>0.31563333333333338</v>
      </c>
      <c r="N1258" s="123" t="str">
        <f>IFERROR(VLOOKUP(C1258,'CEDARS School FRPL'!C:H,6,FALSE),"No")</f>
        <v>No</v>
      </c>
      <c r="O1258" s="147"/>
      <c r="P1258" s="148"/>
    </row>
    <row r="1259" spans="1:16">
      <c r="A1259" s="95" t="s">
        <v>2516</v>
      </c>
      <c r="B1259" s="95" t="s">
        <v>1975</v>
      </c>
      <c r="C1259" s="4">
        <v>3010</v>
      </c>
      <c r="D1259" s="95" t="s">
        <v>1977</v>
      </c>
      <c r="E1259" s="145">
        <v>1272.53</v>
      </c>
      <c r="F1259" s="145">
        <v>116.24000000000001</v>
      </c>
      <c r="G1259" s="145">
        <v>0</v>
      </c>
      <c r="H1259" s="145">
        <v>0</v>
      </c>
      <c r="I1259" s="77">
        <f t="shared" si="22"/>
        <v>1388.77</v>
      </c>
      <c r="J1259" s="123" t="str">
        <f>IFERROR(VLOOKUP($C1259,'CEDARS School FRPL'!C:H,4,FALSE),"No")</f>
        <v>No</v>
      </c>
      <c r="K1259" s="109"/>
      <c r="L1259" s="109"/>
      <c r="M1259" s="110">
        <f>IFERROR(VLOOKUP($C1259,'CEDARS School FRPL'!C:H,3,FALSE),0)</f>
        <v>0.42053333333333337</v>
      </c>
      <c r="N1259" s="123" t="str">
        <f>IFERROR(VLOOKUP(C1259,'CEDARS School FRPL'!C:H,6,FALSE),"No")</f>
        <v>No</v>
      </c>
      <c r="O1259" s="147"/>
      <c r="P1259" s="148"/>
    </row>
    <row r="1260" spans="1:16">
      <c r="A1260" s="95" t="s">
        <v>2516</v>
      </c>
      <c r="B1260" s="95" t="s">
        <v>1975</v>
      </c>
      <c r="C1260" s="4">
        <v>3130</v>
      </c>
      <c r="D1260" s="95" t="s">
        <v>417</v>
      </c>
      <c r="E1260" s="145">
        <v>489.57</v>
      </c>
      <c r="F1260" s="145">
        <v>0</v>
      </c>
      <c r="G1260" s="145">
        <v>0</v>
      </c>
      <c r="H1260" s="145">
        <v>0</v>
      </c>
      <c r="I1260" s="77">
        <f t="shared" si="22"/>
        <v>489.57</v>
      </c>
      <c r="J1260" s="123" t="str">
        <f>IFERROR(VLOOKUP($C1260,'CEDARS School FRPL'!C:H,4,FALSE),"No")</f>
        <v>Yes</v>
      </c>
      <c r="K1260" s="109"/>
      <c r="L1260" s="109"/>
      <c r="M1260" s="110">
        <f>IFERROR(VLOOKUP($C1260,'CEDARS School FRPL'!C:H,3,FALSE),0)</f>
        <v>0.55233333333333334</v>
      </c>
      <c r="N1260" s="123" t="str">
        <f>IFERROR(VLOOKUP(C1260,'CEDARS School FRPL'!C:H,6,FALSE),"No")</f>
        <v>No</v>
      </c>
      <c r="O1260" s="147"/>
      <c r="P1260" s="148"/>
    </row>
    <row r="1261" spans="1:16">
      <c r="A1261" s="95" t="s">
        <v>2516</v>
      </c>
      <c r="B1261" s="95" t="s">
        <v>1975</v>
      </c>
      <c r="C1261" s="4">
        <v>3262</v>
      </c>
      <c r="D1261" s="95" t="s">
        <v>1978</v>
      </c>
      <c r="E1261" s="145">
        <v>490.12</v>
      </c>
      <c r="F1261" s="145">
        <v>0</v>
      </c>
      <c r="G1261" s="145">
        <v>0</v>
      </c>
      <c r="H1261" s="145">
        <v>0</v>
      </c>
      <c r="I1261" s="77">
        <f t="shared" si="22"/>
        <v>490.12</v>
      </c>
      <c r="J1261" s="123" t="str">
        <f>IFERROR(VLOOKUP($C1261,'CEDARS School FRPL'!C:H,4,FALSE),"No")</f>
        <v>Yes</v>
      </c>
      <c r="K1261" s="109"/>
      <c r="L1261" s="109"/>
      <c r="M1261" s="110">
        <f>IFERROR(VLOOKUP($C1261,'CEDARS School FRPL'!C:H,3,FALSE),0)</f>
        <v>0.66106666666666669</v>
      </c>
      <c r="N1261" s="123" t="str">
        <f>IFERROR(VLOOKUP(C1261,'CEDARS School FRPL'!C:H,6,FALSE),"No")</f>
        <v>No</v>
      </c>
      <c r="O1261" s="147"/>
      <c r="P1261" s="148"/>
    </row>
    <row r="1262" spans="1:16">
      <c r="A1262" s="95" t="s">
        <v>2516</v>
      </c>
      <c r="B1262" s="95" t="s">
        <v>1975</v>
      </c>
      <c r="C1262" s="4">
        <v>3361</v>
      </c>
      <c r="D1262" s="95" t="s">
        <v>59</v>
      </c>
      <c r="E1262" s="145">
        <v>766.95</v>
      </c>
      <c r="F1262" s="145">
        <v>0</v>
      </c>
      <c r="G1262" s="145">
        <v>0</v>
      </c>
      <c r="H1262" s="145">
        <v>0</v>
      </c>
      <c r="I1262" s="77">
        <f t="shared" si="22"/>
        <v>766.95</v>
      </c>
      <c r="J1262" s="123" t="str">
        <f>IFERROR(VLOOKUP($C1262,'CEDARS School FRPL'!C:H,4,FALSE),"No")</f>
        <v>No</v>
      </c>
      <c r="K1262" s="109"/>
      <c r="L1262" s="109"/>
      <c r="M1262" s="110">
        <f>IFERROR(VLOOKUP($C1262,'CEDARS School FRPL'!C:H,3,FALSE),0)</f>
        <v>0.47923333333333334</v>
      </c>
      <c r="N1262" s="123" t="str">
        <f>IFERROR(VLOOKUP(C1262,'CEDARS School FRPL'!C:H,6,FALSE),"No")</f>
        <v>No</v>
      </c>
      <c r="O1262" s="147"/>
      <c r="P1262" s="148"/>
    </row>
    <row r="1263" spans="1:16">
      <c r="A1263" s="95" t="s">
        <v>2516</v>
      </c>
      <c r="B1263" s="95" t="s">
        <v>1975</v>
      </c>
      <c r="C1263" s="4">
        <v>3539</v>
      </c>
      <c r="D1263" s="95" t="s">
        <v>1979</v>
      </c>
      <c r="E1263" s="145">
        <v>504.79</v>
      </c>
      <c r="F1263" s="145">
        <v>0</v>
      </c>
      <c r="G1263" s="145">
        <v>0</v>
      </c>
      <c r="H1263" s="145">
        <v>0</v>
      </c>
      <c r="I1263" s="77">
        <f t="shared" si="22"/>
        <v>504.79</v>
      </c>
      <c r="J1263" s="123" t="str">
        <f>IFERROR(VLOOKUP($C1263,'CEDARS School FRPL'!C:H,4,FALSE),"No")</f>
        <v>No</v>
      </c>
      <c r="K1263" s="109"/>
      <c r="L1263" s="109"/>
      <c r="M1263" s="110">
        <f>IFERROR(VLOOKUP($C1263,'CEDARS School FRPL'!C:H,3,FALSE),0)</f>
        <v>0.37336666666666662</v>
      </c>
      <c r="N1263" s="123" t="str">
        <f>IFERROR(VLOOKUP(C1263,'CEDARS School FRPL'!C:H,6,FALSE),"No")</f>
        <v>No</v>
      </c>
      <c r="O1263" s="147"/>
      <c r="P1263" s="148"/>
    </row>
    <row r="1264" spans="1:16">
      <c r="A1264" s="95" t="s">
        <v>2516</v>
      </c>
      <c r="B1264" s="95" t="s">
        <v>1975</v>
      </c>
      <c r="C1264" s="4">
        <v>3611</v>
      </c>
      <c r="D1264" s="95" t="s">
        <v>1980</v>
      </c>
      <c r="E1264" s="145">
        <v>848.85</v>
      </c>
      <c r="F1264" s="145">
        <v>0</v>
      </c>
      <c r="G1264" s="145">
        <v>0</v>
      </c>
      <c r="H1264" s="145">
        <v>0</v>
      </c>
      <c r="I1264" s="77">
        <f t="shared" si="22"/>
        <v>848.85</v>
      </c>
      <c r="J1264" s="123" t="str">
        <f>IFERROR(VLOOKUP($C1264,'CEDARS School FRPL'!C:H,4,FALSE),"No")</f>
        <v>Yes</v>
      </c>
      <c r="K1264" s="109"/>
      <c r="L1264" s="109"/>
      <c r="M1264" s="110">
        <f>IFERROR(VLOOKUP($C1264,'CEDARS School FRPL'!C:H,3,FALSE),0)</f>
        <v>0.5033333333333333</v>
      </c>
      <c r="N1264" s="123" t="str">
        <f>IFERROR(VLOOKUP(C1264,'CEDARS School FRPL'!C:H,6,FALSE),"No")</f>
        <v>No</v>
      </c>
      <c r="O1264" s="147"/>
      <c r="P1264" s="148"/>
    </row>
    <row r="1265" spans="1:16">
      <c r="A1265" s="95" t="s">
        <v>2516</v>
      </c>
      <c r="B1265" s="95" t="s">
        <v>1975</v>
      </c>
      <c r="C1265" s="4">
        <v>3653</v>
      </c>
      <c r="D1265" s="95" t="s">
        <v>1981</v>
      </c>
      <c r="E1265" s="145">
        <v>400.05</v>
      </c>
      <c r="F1265" s="145">
        <v>0</v>
      </c>
      <c r="G1265" s="145">
        <v>0</v>
      </c>
      <c r="H1265" s="145">
        <v>0</v>
      </c>
      <c r="I1265" s="77">
        <f t="shared" si="22"/>
        <v>400.05</v>
      </c>
      <c r="J1265" s="123" t="str">
        <f>IFERROR(VLOOKUP($C1265,'CEDARS School FRPL'!C:H,4,FALSE),"No")</f>
        <v>Yes</v>
      </c>
      <c r="K1265" s="109"/>
      <c r="L1265" s="109"/>
      <c r="M1265" s="110">
        <f>IFERROR(VLOOKUP($C1265,'CEDARS School FRPL'!C:H,3,FALSE),0)</f>
        <v>0.57779999999999998</v>
      </c>
      <c r="N1265" s="123" t="str">
        <f>IFERROR(VLOOKUP(C1265,'CEDARS School FRPL'!C:H,6,FALSE),"No")</f>
        <v>No</v>
      </c>
      <c r="O1265" s="147"/>
      <c r="P1265" s="148"/>
    </row>
    <row r="1266" spans="1:16">
      <c r="A1266" s="95" t="s">
        <v>2516</v>
      </c>
      <c r="B1266" s="95" t="s">
        <v>1975</v>
      </c>
      <c r="C1266" s="4">
        <v>3709</v>
      </c>
      <c r="D1266" s="95" t="s">
        <v>1982</v>
      </c>
      <c r="E1266" s="145">
        <v>566.87</v>
      </c>
      <c r="F1266" s="145">
        <v>0</v>
      </c>
      <c r="G1266" s="145">
        <v>0</v>
      </c>
      <c r="H1266" s="145">
        <v>0</v>
      </c>
      <c r="I1266" s="77">
        <f t="shared" si="22"/>
        <v>566.87</v>
      </c>
      <c r="J1266" s="123" t="str">
        <f>IFERROR(VLOOKUP($C1266,'CEDARS School FRPL'!C:H,4,FALSE),"No")</f>
        <v>No</v>
      </c>
      <c r="K1266" s="109"/>
      <c r="L1266" s="109"/>
      <c r="M1266" s="110">
        <f>IFERROR(VLOOKUP($C1266,'CEDARS School FRPL'!C:H,3,FALSE),0)</f>
        <v>0.39756666666666662</v>
      </c>
      <c r="N1266" s="123" t="str">
        <f>IFERROR(VLOOKUP(C1266,'CEDARS School FRPL'!C:H,6,FALSE),"No")</f>
        <v>No</v>
      </c>
      <c r="O1266" s="147"/>
      <c r="P1266" s="148"/>
    </row>
    <row r="1267" spans="1:16">
      <c r="A1267" s="95" t="s">
        <v>2516</v>
      </c>
      <c r="B1267" s="95" t="s">
        <v>1975</v>
      </c>
      <c r="C1267" s="4">
        <v>3710</v>
      </c>
      <c r="D1267" s="95" t="s">
        <v>1983</v>
      </c>
      <c r="E1267" s="145">
        <v>1234.32</v>
      </c>
      <c r="F1267" s="145">
        <v>112.75</v>
      </c>
      <c r="G1267" s="145">
        <v>0</v>
      </c>
      <c r="H1267" s="145">
        <v>0</v>
      </c>
      <c r="I1267" s="77">
        <f t="shared" si="22"/>
        <v>1347.07</v>
      </c>
      <c r="J1267" s="123" t="str">
        <f>IFERROR(VLOOKUP($C1267,'CEDARS School FRPL'!C:H,4,FALSE),"No")</f>
        <v>No</v>
      </c>
      <c r="K1267" s="109"/>
      <c r="L1267" s="109"/>
      <c r="M1267" s="110">
        <f>IFERROR(VLOOKUP($C1267,'CEDARS School FRPL'!C:H,3,FALSE),0)</f>
        <v>0.37709999999999999</v>
      </c>
      <c r="N1267" s="123" t="str">
        <f>IFERROR(VLOOKUP(C1267,'CEDARS School FRPL'!C:H,6,FALSE),"No")</f>
        <v>No</v>
      </c>
      <c r="O1267" s="147"/>
      <c r="P1267" s="148"/>
    </row>
    <row r="1268" spans="1:16">
      <c r="A1268" s="95" t="s">
        <v>2516</v>
      </c>
      <c r="B1268" s="95" t="s">
        <v>1975</v>
      </c>
      <c r="C1268" s="4">
        <v>4058</v>
      </c>
      <c r="D1268" s="95" t="s">
        <v>1984</v>
      </c>
      <c r="E1268" s="145">
        <v>461.43</v>
      </c>
      <c r="F1268" s="145">
        <v>0</v>
      </c>
      <c r="G1268" s="145">
        <v>0</v>
      </c>
      <c r="H1268" s="145">
        <v>0</v>
      </c>
      <c r="I1268" s="77">
        <f t="shared" si="22"/>
        <v>461.43</v>
      </c>
      <c r="J1268" s="123" t="str">
        <f>IFERROR(VLOOKUP($C1268,'CEDARS School FRPL'!C:H,4,FALSE),"No")</f>
        <v>No</v>
      </c>
      <c r="K1268" s="109"/>
      <c r="L1268" s="109"/>
      <c r="M1268" s="110">
        <f>IFERROR(VLOOKUP($C1268,'CEDARS School FRPL'!C:H,3,FALSE),0)</f>
        <v>0.34293333333333331</v>
      </c>
      <c r="N1268" s="123" t="str">
        <f>IFERROR(VLOOKUP(C1268,'CEDARS School FRPL'!C:H,6,FALSE),"No")</f>
        <v>No</v>
      </c>
      <c r="O1268" s="147"/>
      <c r="P1268" s="148"/>
    </row>
    <row r="1269" spans="1:16">
      <c r="A1269" s="95" t="s">
        <v>2516</v>
      </c>
      <c r="B1269" s="95" t="s">
        <v>1975</v>
      </c>
      <c r="C1269" s="4">
        <v>4122</v>
      </c>
      <c r="D1269" s="95" t="s">
        <v>1307</v>
      </c>
      <c r="E1269" s="145">
        <v>434.6</v>
      </c>
      <c r="F1269" s="145">
        <v>0</v>
      </c>
      <c r="G1269" s="145">
        <v>0</v>
      </c>
      <c r="H1269" s="145">
        <v>0</v>
      </c>
      <c r="I1269" s="77">
        <f t="shared" si="22"/>
        <v>434.6</v>
      </c>
      <c r="J1269" s="123" t="str">
        <f>IFERROR(VLOOKUP($C1269,'CEDARS School FRPL'!C:H,4,FALSE),"No")</f>
        <v>No</v>
      </c>
      <c r="K1269" s="109"/>
      <c r="L1269" s="109"/>
      <c r="M1269" s="110">
        <f>IFERROR(VLOOKUP($C1269,'CEDARS School FRPL'!C:H,3,FALSE),0)</f>
        <v>0.37873333333333337</v>
      </c>
      <c r="N1269" s="123" t="str">
        <f>IFERROR(VLOOKUP(C1269,'CEDARS School FRPL'!C:H,6,FALSE),"No")</f>
        <v>No</v>
      </c>
      <c r="O1269" s="147"/>
      <c r="P1269" s="148"/>
    </row>
    <row r="1270" spans="1:16">
      <c r="A1270" s="95" t="s">
        <v>2516</v>
      </c>
      <c r="B1270" s="95" t="s">
        <v>1975</v>
      </c>
      <c r="C1270" s="4">
        <v>4255</v>
      </c>
      <c r="D1270" s="95" t="s">
        <v>1985</v>
      </c>
      <c r="E1270" s="145">
        <v>625.55999999999995</v>
      </c>
      <c r="F1270" s="145">
        <v>0</v>
      </c>
      <c r="G1270" s="145">
        <v>0</v>
      </c>
      <c r="H1270" s="145">
        <v>0</v>
      </c>
      <c r="I1270" s="77">
        <f t="shared" si="22"/>
        <v>625.55999999999995</v>
      </c>
      <c r="J1270" s="123" t="str">
        <f>IFERROR(VLOOKUP($C1270,'CEDARS School FRPL'!C:H,4,FALSE),"No")</f>
        <v>No</v>
      </c>
      <c r="K1270" s="109"/>
      <c r="L1270" s="109"/>
      <c r="M1270" s="110">
        <f>IFERROR(VLOOKUP($C1270,'CEDARS School FRPL'!C:H,3,FALSE),0)</f>
        <v>0.29046666666666665</v>
      </c>
      <c r="N1270" s="123" t="str">
        <f>IFERROR(VLOOKUP(C1270,'CEDARS School FRPL'!C:H,6,FALSE),"No")</f>
        <v>No</v>
      </c>
      <c r="O1270" s="147"/>
      <c r="P1270" s="148"/>
    </row>
    <row r="1271" spans="1:16">
      <c r="A1271" s="95" t="s">
        <v>2516</v>
      </c>
      <c r="B1271" s="95" t="s">
        <v>1975</v>
      </c>
      <c r="C1271" s="4">
        <v>4271</v>
      </c>
      <c r="D1271" s="95" t="s">
        <v>1986</v>
      </c>
      <c r="E1271" s="145">
        <v>565.73</v>
      </c>
      <c r="F1271" s="145">
        <v>0</v>
      </c>
      <c r="G1271" s="145">
        <v>0</v>
      </c>
      <c r="H1271" s="145">
        <v>0</v>
      </c>
      <c r="I1271" s="77">
        <f t="shared" si="22"/>
        <v>565.73</v>
      </c>
      <c r="J1271" s="123" t="str">
        <f>IFERROR(VLOOKUP($C1271,'CEDARS School FRPL'!C:H,4,FALSE),"No")</f>
        <v>Yes</v>
      </c>
      <c r="K1271" s="109"/>
      <c r="L1271" s="109"/>
      <c r="M1271" s="110">
        <f>IFERROR(VLOOKUP($C1271,'CEDARS School FRPL'!C:H,3,FALSE),0)</f>
        <v>0.51049999999999995</v>
      </c>
      <c r="N1271" s="123" t="str">
        <f>IFERROR(VLOOKUP(C1271,'CEDARS School FRPL'!C:H,6,FALSE),"No")</f>
        <v>No</v>
      </c>
      <c r="O1271" s="147"/>
      <c r="P1271" s="148"/>
    </row>
    <row r="1272" spans="1:16">
      <c r="A1272" s="95" t="s">
        <v>2516</v>
      </c>
      <c r="B1272" s="95" t="s">
        <v>1975</v>
      </c>
      <c r="C1272" s="4">
        <v>4368</v>
      </c>
      <c r="D1272" s="95" t="s">
        <v>1987</v>
      </c>
      <c r="E1272" s="145">
        <v>406.29</v>
      </c>
      <c r="F1272" s="145">
        <v>0</v>
      </c>
      <c r="G1272" s="145">
        <v>0</v>
      </c>
      <c r="H1272" s="145">
        <v>0</v>
      </c>
      <c r="I1272" s="77">
        <f t="shared" si="22"/>
        <v>406.29</v>
      </c>
      <c r="J1272" s="123" t="str">
        <f>IFERROR(VLOOKUP($C1272,'CEDARS School FRPL'!C:H,4,FALSE),"No")</f>
        <v>No</v>
      </c>
      <c r="K1272" s="109"/>
      <c r="L1272" s="109"/>
      <c r="M1272" s="110">
        <f>IFERROR(VLOOKUP($C1272,'CEDARS School FRPL'!C:H,3,FALSE),0)</f>
        <v>0.4538666666666667</v>
      </c>
      <c r="N1272" s="123" t="str">
        <f>IFERROR(VLOOKUP(C1272,'CEDARS School FRPL'!C:H,6,FALSE),"No")</f>
        <v>No</v>
      </c>
      <c r="O1272" s="147"/>
      <c r="P1272" s="148"/>
    </row>
    <row r="1273" spans="1:16">
      <c r="A1273" s="95" t="s">
        <v>2516</v>
      </c>
      <c r="B1273" s="95" t="s">
        <v>1975</v>
      </c>
      <c r="C1273" s="4">
        <v>4408</v>
      </c>
      <c r="D1273" s="95" t="s">
        <v>1988</v>
      </c>
      <c r="E1273" s="145">
        <v>449.37</v>
      </c>
      <c r="F1273" s="145">
        <v>0</v>
      </c>
      <c r="G1273" s="145">
        <v>0</v>
      </c>
      <c r="H1273" s="145">
        <v>0</v>
      </c>
      <c r="I1273" s="77">
        <f t="shared" si="22"/>
        <v>449.37</v>
      </c>
      <c r="J1273" s="123" t="str">
        <f>IFERROR(VLOOKUP($C1273,'CEDARS School FRPL'!C:H,4,FALSE),"No")</f>
        <v>No</v>
      </c>
      <c r="K1273" s="109"/>
      <c r="L1273" s="109"/>
      <c r="M1273" s="110">
        <f>IFERROR(VLOOKUP($C1273,'CEDARS School FRPL'!C:H,3,FALSE),0)</f>
        <v>0.27833333333333332</v>
      </c>
      <c r="N1273" s="123" t="str">
        <f>IFERROR(VLOOKUP(C1273,'CEDARS School FRPL'!C:H,6,FALSE),"No")</f>
        <v>No</v>
      </c>
      <c r="O1273" s="147"/>
      <c r="P1273" s="148"/>
    </row>
    <row r="1274" spans="1:16">
      <c r="A1274" s="95" t="s">
        <v>2516</v>
      </c>
      <c r="B1274" s="95" t="s">
        <v>1975</v>
      </c>
      <c r="C1274" s="4">
        <v>4409</v>
      </c>
      <c r="D1274" s="95" t="s">
        <v>1989</v>
      </c>
      <c r="E1274" s="145">
        <v>661.96</v>
      </c>
      <c r="F1274" s="145">
        <v>0</v>
      </c>
      <c r="G1274" s="145">
        <v>0</v>
      </c>
      <c r="H1274" s="145">
        <v>0</v>
      </c>
      <c r="I1274" s="77">
        <f t="shared" si="22"/>
        <v>661.96</v>
      </c>
      <c r="J1274" s="123" t="str">
        <f>IFERROR(VLOOKUP($C1274,'CEDARS School FRPL'!C:H,4,FALSE),"No")</f>
        <v>No</v>
      </c>
      <c r="K1274" s="109"/>
      <c r="L1274" s="109"/>
      <c r="M1274" s="110">
        <f>IFERROR(VLOOKUP($C1274,'CEDARS School FRPL'!C:H,3,FALSE),0)</f>
        <v>0.45563333333333333</v>
      </c>
      <c r="N1274" s="123" t="str">
        <f>IFERROR(VLOOKUP(C1274,'CEDARS School FRPL'!C:H,6,FALSE),"No")</f>
        <v>No</v>
      </c>
      <c r="O1274" s="147"/>
      <c r="P1274" s="148"/>
    </row>
    <row r="1275" spans="1:16">
      <c r="A1275" s="95" t="s">
        <v>2516</v>
      </c>
      <c r="B1275" s="95" t="s">
        <v>1975</v>
      </c>
      <c r="C1275" s="4">
        <v>4427</v>
      </c>
      <c r="D1275" s="95" t="s">
        <v>1990</v>
      </c>
      <c r="E1275" s="145">
        <v>1348.85</v>
      </c>
      <c r="F1275" s="145">
        <v>98.320000000000007</v>
      </c>
      <c r="G1275" s="145">
        <v>0</v>
      </c>
      <c r="H1275" s="145">
        <v>0</v>
      </c>
      <c r="I1275" s="77">
        <f t="shared" si="22"/>
        <v>1447.1699999999998</v>
      </c>
      <c r="J1275" s="123" t="str">
        <f>IFERROR(VLOOKUP($C1275,'CEDARS School FRPL'!C:H,4,FALSE),"No")</f>
        <v>No</v>
      </c>
      <c r="K1275" s="109"/>
      <c r="L1275" s="109"/>
      <c r="M1275" s="110">
        <f>IFERROR(VLOOKUP($C1275,'CEDARS School FRPL'!C:H,3,FALSE),0)</f>
        <v>0.40166666666666662</v>
      </c>
      <c r="N1275" s="123" t="str">
        <f>IFERROR(VLOOKUP(C1275,'CEDARS School FRPL'!C:H,6,FALSE),"No")</f>
        <v>No</v>
      </c>
      <c r="O1275" s="147"/>
      <c r="P1275" s="148"/>
    </row>
    <row r="1276" spans="1:16">
      <c r="A1276" s="95" t="s">
        <v>2516</v>
      </c>
      <c r="B1276" s="95" t="s">
        <v>1975</v>
      </c>
      <c r="C1276" s="4">
        <v>5167</v>
      </c>
      <c r="D1276" s="95" t="s">
        <v>1991</v>
      </c>
      <c r="E1276" s="145">
        <v>487.82</v>
      </c>
      <c r="F1276" s="145">
        <v>0</v>
      </c>
      <c r="G1276" s="145">
        <v>0</v>
      </c>
      <c r="H1276" s="145">
        <v>0</v>
      </c>
      <c r="I1276" s="77">
        <f t="shared" si="22"/>
        <v>487.82</v>
      </c>
      <c r="J1276" s="123" t="str">
        <f>IFERROR(VLOOKUP($C1276,'CEDARS School FRPL'!C:H,4,FALSE),"No")</f>
        <v>Yes</v>
      </c>
      <c r="K1276" s="109"/>
      <c r="L1276" s="109"/>
      <c r="M1276" s="110">
        <f>IFERROR(VLOOKUP($C1276,'CEDARS School FRPL'!C:H,3,FALSE),0)</f>
        <v>0.51200000000000001</v>
      </c>
      <c r="N1276" s="123" t="str">
        <f>IFERROR(VLOOKUP(C1276,'CEDARS School FRPL'!C:H,6,FALSE),"No")</f>
        <v>No</v>
      </c>
      <c r="O1276" s="147"/>
      <c r="P1276" s="148"/>
    </row>
    <row r="1277" spans="1:16">
      <c r="A1277" s="95" t="s">
        <v>2516</v>
      </c>
      <c r="B1277" s="95" t="s">
        <v>1975</v>
      </c>
      <c r="C1277" s="4">
        <v>5168</v>
      </c>
      <c r="D1277" s="95" t="s">
        <v>1992</v>
      </c>
      <c r="E1277" s="145">
        <v>308.79000000000002</v>
      </c>
      <c r="F1277" s="145">
        <v>0</v>
      </c>
      <c r="G1277" s="145">
        <v>0</v>
      </c>
      <c r="H1277" s="145">
        <v>0</v>
      </c>
      <c r="I1277" s="77">
        <f t="shared" si="22"/>
        <v>308.79000000000002</v>
      </c>
      <c r="J1277" s="123" t="str">
        <f>IFERROR(VLOOKUP($C1277,'CEDARS School FRPL'!C:H,4,FALSE),"No")</f>
        <v>No</v>
      </c>
      <c r="K1277" s="109"/>
      <c r="L1277" s="109"/>
      <c r="M1277" s="110">
        <f>IFERROR(VLOOKUP($C1277,'CEDARS School FRPL'!C:H,3,FALSE),0)</f>
        <v>0.2703666666666667</v>
      </c>
      <c r="N1277" s="123" t="str">
        <f>IFERROR(VLOOKUP(C1277,'CEDARS School FRPL'!C:H,6,FALSE),"No")</f>
        <v>No</v>
      </c>
      <c r="O1277" s="147"/>
      <c r="P1277" s="148"/>
    </row>
    <row r="1278" spans="1:16">
      <c r="A1278" s="95" t="s">
        <v>2516</v>
      </c>
      <c r="B1278" s="95" t="s">
        <v>1975</v>
      </c>
      <c r="C1278" s="4">
        <v>5452</v>
      </c>
      <c r="D1278" s="95" t="s">
        <v>1993</v>
      </c>
      <c r="E1278" s="145">
        <v>732.32</v>
      </c>
      <c r="F1278" s="145">
        <v>0</v>
      </c>
      <c r="G1278" s="145">
        <v>0</v>
      </c>
      <c r="H1278" s="145">
        <v>0</v>
      </c>
      <c r="I1278" s="77">
        <f t="shared" si="22"/>
        <v>732.32</v>
      </c>
      <c r="J1278" s="123" t="str">
        <f>IFERROR(VLOOKUP($C1278,'CEDARS School FRPL'!C:H,4,FALSE),"No")</f>
        <v>No</v>
      </c>
      <c r="K1278" s="109"/>
      <c r="L1278" s="109"/>
      <c r="M1278" s="110">
        <f>IFERROR(VLOOKUP($C1278,'CEDARS School FRPL'!C:H,3,FALSE),0)</f>
        <v>0.41930000000000001</v>
      </c>
      <c r="N1278" s="123" t="str">
        <f>IFERROR(VLOOKUP(C1278,'CEDARS School FRPL'!C:H,6,FALSE),"No")</f>
        <v>No</v>
      </c>
      <c r="O1278" s="147"/>
      <c r="P1278" s="148"/>
    </row>
    <row r="1279" spans="1:16">
      <c r="A1279" s="95" t="s">
        <v>2516</v>
      </c>
      <c r="B1279" s="95" t="s">
        <v>1975</v>
      </c>
      <c r="C1279" s="4">
        <v>5654</v>
      </c>
      <c r="D1279" s="95" t="s">
        <v>2897</v>
      </c>
      <c r="E1279" s="145">
        <v>141</v>
      </c>
      <c r="F1279" s="145">
        <v>0</v>
      </c>
      <c r="G1279" s="145">
        <v>71.03</v>
      </c>
      <c r="H1279" s="145">
        <v>0</v>
      </c>
      <c r="I1279" s="77">
        <f t="shared" si="22"/>
        <v>212.03</v>
      </c>
      <c r="J1279" s="123" t="str">
        <f>IFERROR(VLOOKUP($C1279,'CEDARS School FRPL'!C:H,4,FALSE),"No")</f>
        <v>Yes</v>
      </c>
      <c r="K1279" s="109"/>
      <c r="L1279" s="109"/>
      <c r="M1279" s="110">
        <f>IFERROR(VLOOKUP($C1279,'CEDARS School FRPL'!C:H,3,FALSE),0)</f>
        <v>0.56109999999999993</v>
      </c>
      <c r="N1279" s="123" t="str">
        <f>IFERROR(VLOOKUP(C1279,'CEDARS School FRPL'!C:H,6,FALSE),"No")</f>
        <v>No</v>
      </c>
      <c r="O1279" s="147"/>
      <c r="P1279" s="148"/>
    </row>
    <row r="1280" spans="1:16">
      <c r="A1280" s="95" t="s">
        <v>2516</v>
      </c>
      <c r="B1280" s="95" t="s">
        <v>1975</v>
      </c>
      <c r="C1280" s="4">
        <v>5682</v>
      </c>
      <c r="D1280" s="95" t="s">
        <v>3031</v>
      </c>
      <c r="E1280" s="145">
        <v>39.01</v>
      </c>
      <c r="F1280" s="145">
        <v>0</v>
      </c>
      <c r="G1280" s="145">
        <v>0</v>
      </c>
      <c r="H1280" s="145">
        <v>0</v>
      </c>
      <c r="I1280" s="77">
        <f t="shared" si="22"/>
        <v>39.01</v>
      </c>
      <c r="J1280" s="123" t="str">
        <f>IFERROR(VLOOKUP($C1280,'CEDARS School FRPL'!C:H,4,FALSE),"No")</f>
        <v>No</v>
      </c>
      <c r="K1280" s="107"/>
      <c r="L1280" s="107"/>
      <c r="M1280" s="110">
        <f>IFERROR(VLOOKUP($C1280,'CEDARS School FRPL'!C:H,3,FALSE),0)</f>
        <v>0.1905</v>
      </c>
      <c r="N1280" s="123" t="str">
        <f>IFERROR(VLOOKUP(C1280,'CEDARS School FRPL'!C:H,6,FALSE),"No")</f>
        <v>No</v>
      </c>
      <c r="O1280" s="147"/>
      <c r="P1280" s="148"/>
    </row>
    <row r="1281" spans="1:16">
      <c r="A1281" s="95" t="s">
        <v>2516</v>
      </c>
      <c r="B1281" s="95" t="s">
        <v>1975</v>
      </c>
      <c r="C1281" s="4">
        <v>5683</v>
      </c>
      <c r="D1281" s="95" t="s">
        <v>3032</v>
      </c>
      <c r="E1281" s="145">
        <v>608.16999999999996</v>
      </c>
      <c r="F1281" s="145">
        <v>3.57</v>
      </c>
      <c r="G1281" s="145">
        <v>0</v>
      </c>
      <c r="H1281" s="145">
        <v>0</v>
      </c>
      <c r="I1281" s="77">
        <f t="shared" si="22"/>
        <v>611.74</v>
      </c>
      <c r="J1281" s="123" t="str">
        <f>IFERROR(VLOOKUP($C1281,'CEDARS School FRPL'!C:H,4,FALSE),"No")</f>
        <v>No</v>
      </c>
      <c r="K1281" s="109"/>
      <c r="L1281" s="109"/>
      <c r="M1281" s="110">
        <f>IFERROR(VLOOKUP($C1281,'CEDARS School FRPL'!C:H,3,FALSE),0)</f>
        <v>0.46689999999999998</v>
      </c>
      <c r="N1281" s="123" t="str">
        <f>IFERROR(VLOOKUP(C1281,'CEDARS School FRPL'!C:H,6,FALSE),"No")</f>
        <v>No</v>
      </c>
      <c r="O1281" s="147"/>
      <c r="P1281" s="148"/>
    </row>
    <row r="1282" spans="1:16">
      <c r="A1282" s="95" t="s">
        <v>2513</v>
      </c>
      <c r="B1282" s="95" t="s">
        <v>1955</v>
      </c>
      <c r="C1282" s="4">
        <v>2062</v>
      </c>
      <c r="D1282" s="95" t="s">
        <v>1956</v>
      </c>
      <c r="E1282" s="145">
        <v>101.59</v>
      </c>
      <c r="F1282" s="145">
        <v>0</v>
      </c>
      <c r="G1282" s="145">
        <v>0</v>
      </c>
      <c r="H1282" s="145">
        <v>0</v>
      </c>
      <c r="I1282" s="77">
        <f t="shared" si="22"/>
        <v>101.59</v>
      </c>
      <c r="J1282" s="123" t="str">
        <f>IFERROR(VLOOKUP($C1282,'CEDARS School FRPL'!C:H,4,FALSE),"No")</f>
        <v>Yes</v>
      </c>
      <c r="K1282" s="109"/>
      <c r="L1282" s="109"/>
      <c r="M1282" s="110">
        <f>IFERROR(VLOOKUP($C1282,'CEDARS School FRPL'!C:H,3,FALSE),0)</f>
        <v>0.79059999999999997</v>
      </c>
      <c r="N1282" s="123" t="str">
        <f>IFERROR(VLOOKUP(C1282,'CEDARS School FRPL'!C:H,6,FALSE),"No")</f>
        <v>No</v>
      </c>
      <c r="O1282" s="147"/>
      <c r="P1282" s="148"/>
    </row>
    <row r="1283" spans="1:16">
      <c r="A1283" s="95" t="s">
        <v>2513</v>
      </c>
      <c r="B1283" s="95" t="s">
        <v>1955</v>
      </c>
      <c r="C1283" s="4">
        <v>2958</v>
      </c>
      <c r="D1283" s="95" t="s">
        <v>1957</v>
      </c>
      <c r="E1283" s="145">
        <v>41.4</v>
      </c>
      <c r="F1283" s="145">
        <v>1.54</v>
      </c>
      <c r="G1283" s="145">
        <v>0</v>
      </c>
      <c r="H1283" s="145">
        <v>0</v>
      </c>
      <c r="I1283" s="77">
        <f t="shared" si="22"/>
        <v>42.94</v>
      </c>
      <c r="J1283" s="123" t="str">
        <f>IFERROR(VLOOKUP($C1283,'CEDARS School FRPL'!C:H,4,FALSE),"No")</f>
        <v>Yes</v>
      </c>
      <c r="K1283" s="109"/>
      <c r="L1283" s="109"/>
      <c r="M1283" s="110">
        <f>IFERROR(VLOOKUP($C1283,'CEDARS School FRPL'!C:H,3,FALSE),0)</f>
        <v>0.76273333333333337</v>
      </c>
      <c r="N1283" s="123" t="str">
        <f>IFERROR(VLOOKUP(C1283,'CEDARS School FRPL'!C:H,6,FALSE),"No")</f>
        <v>No</v>
      </c>
      <c r="O1283" s="147"/>
      <c r="P1283" s="148"/>
    </row>
    <row r="1284" spans="1:16">
      <c r="A1284" s="95" t="s">
        <v>2513</v>
      </c>
      <c r="B1284" s="95" t="s">
        <v>1955</v>
      </c>
      <c r="C1284" s="4">
        <v>5252</v>
      </c>
      <c r="D1284" s="95" t="s">
        <v>1958</v>
      </c>
      <c r="E1284" s="145">
        <v>106.94</v>
      </c>
      <c r="F1284" s="145">
        <v>0.25</v>
      </c>
      <c r="G1284" s="145">
        <v>0</v>
      </c>
      <c r="H1284" s="145">
        <v>0</v>
      </c>
      <c r="I1284" s="77">
        <f t="shared" ref="I1284:I1347" si="23">+E1284+F1284+G1284+H1284</f>
        <v>107.19</v>
      </c>
      <c r="J1284" s="123" t="str">
        <f>IFERROR(VLOOKUP($C1284,'CEDARS School FRPL'!C:H,4,FALSE),"No")</f>
        <v>No</v>
      </c>
      <c r="K1284" s="109"/>
      <c r="L1284" s="109"/>
      <c r="M1284" s="110">
        <f>IFERROR(VLOOKUP($C1284,'CEDARS School FRPL'!C:H,3,FALSE),0)</f>
        <v>0.25430000000000003</v>
      </c>
      <c r="N1284" s="123" t="str">
        <f>IFERROR(VLOOKUP(C1284,'CEDARS School FRPL'!C:H,6,FALSE),"No")</f>
        <v>No</v>
      </c>
      <c r="O1284" s="147"/>
      <c r="P1284" s="148"/>
    </row>
    <row r="1285" spans="1:16">
      <c r="A1285" s="95" t="s">
        <v>2366</v>
      </c>
      <c r="B1285" s="95" t="s">
        <v>979</v>
      </c>
      <c r="C1285" s="4">
        <v>1814</v>
      </c>
      <c r="D1285" s="95" t="s">
        <v>980</v>
      </c>
      <c r="E1285" s="145">
        <v>305.92</v>
      </c>
      <c r="F1285" s="145">
        <v>20.53</v>
      </c>
      <c r="G1285" s="145">
        <v>0</v>
      </c>
      <c r="H1285" s="145">
        <v>0</v>
      </c>
      <c r="I1285" s="77">
        <f t="shared" si="23"/>
        <v>326.45000000000005</v>
      </c>
      <c r="J1285" s="123" t="str">
        <f>IFERROR(VLOOKUP($C1285,'CEDARS School FRPL'!C:H,4,FALSE),"No")</f>
        <v>No</v>
      </c>
      <c r="K1285" s="109"/>
      <c r="L1285" s="109"/>
      <c r="M1285" s="110">
        <f>IFERROR(VLOOKUP($C1285,'CEDARS School FRPL'!C:H,3,FALSE),0)</f>
        <v>8.4466666666666676E-2</v>
      </c>
      <c r="N1285" s="123" t="str">
        <f>IFERROR(VLOOKUP(C1285,'CEDARS School FRPL'!C:H,6,FALSE),"No")</f>
        <v>No</v>
      </c>
      <c r="O1285" s="147"/>
      <c r="P1285" s="148"/>
    </row>
    <row r="1286" spans="1:16">
      <c r="A1286" s="95" t="s">
        <v>2366</v>
      </c>
      <c r="B1286" s="95" t="s">
        <v>979</v>
      </c>
      <c r="C1286" s="4">
        <v>1815</v>
      </c>
      <c r="D1286" s="95" t="s">
        <v>981</v>
      </c>
      <c r="E1286" s="145">
        <v>25.92</v>
      </c>
      <c r="F1286" s="145">
        <v>0</v>
      </c>
      <c r="G1286" s="145">
        <v>0</v>
      </c>
      <c r="H1286" s="145">
        <v>0</v>
      </c>
      <c r="I1286" s="77">
        <f t="shared" si="23"/>
        <v>25.92</v>
      </c>
      <c r="J1286" s="123" t="str">
        <f>IFERROR(VLOOKUP($C1286,'CEDARS School FRPL'!C:H,4,FALSE),"No")</f>
        <v>No</v>
      </c>
      <c r="K1286" s="109"/>
      <c r="L1286" s="109"/>
      <c r="M1286" s="110">
        <f>IFERROR(VLOOKUP($C1286,'CEDARS School FRPL'!C:H,3,FALSE),0)</f>
        <v>8.3966666666666676E-2</v>
      </c>
      <c r="N1286" s="123" t="str">
        <f>IFERROR(VLOOKUP(C1286,'CEDARS School FRPL'!C:H,6,FALSE),"No")</f>
        <v>No</v>
      </c>
      <c r="O1286" s="147"/>
      <c r="P1286" s="148"/>
    </row>
    <row r="1287" spans="1:16">
      <c r="A1287" s="95" t="s">
        <v>2366</v>
      </c>
      <c r="B1287" s="95" t="s">
        <v>979</v>
      </c>
      <c r="C1287" s="4">
        <v>2993</v>
      </c>
      <c r="D1287" s="95" t="s">
        <v>982</v>
      </c>
      <c r="E1287" s="145">
        <v>383.27</v>
      </c>
      <c r="F1287" s="145">
        <v>0</v>
      </c>
      <c r="G1287" s="145">
        <v>0</v>
      </c>
      <c r="H1287" s="145">
        <v>0</v>
      </c>
      <c r="I1287" s="77">
        <f t="shared" si="23"/>
        <v>383.27</v>
      </c>
      <c r="J1287" s="123" t="str">
        <f>IFERROR(VLOOKUP($C1287,'CEDARS School FRPL'!C:H,4,FALSE),"No")</f>
        <v>No</v>
      </c>
      <c r="K1287" s="109"/>
      <c r="L1287" s="109"/>
      <c r="M1287" s="110">
        <f>IFERROR(VLOOKUP($C1287,'CEDARS School FRPL'!C:H,3,FALSE),0)</f>
        <v>0.30456666666666665</v>
      </c>
      <c r="N1287" s="123" t="str">
        <f>IFERROR(VLOOKUP(C1287,'CEDARS School FRPL'!C:H,6,FALSE),"No")</f>
        <v>No</v>
      </c>
      <c r="O1287" s="147"/>
      <c r="P1287" s="148"/>
    </row>
    <row r="1288" spans="1:16">
      <c r="A1288" s="95" t="s">
        <v>2366</v>
      </c>
      <c r="B1288" s="95" t="s">
        <v>979</v>
      </c>
      <c r="C1288" s="4">
        <v>3105</v>
      </c>
      <c r="D1288" s="95" t="s">
        <v>983</v>
      </c>
      <c r="E1288" s="145">
        <v>502.89</v>
      </c>
      <c r="F1288" s="145">
        <v>0</v>
      </c>
      <c r="G1288" s="145">
        <v>0</v>
      </c>
      <c r="H1288" s="145">
        <v>0</v>
      </c>
      <c r="I1288" s="77">
        <f t="shared" si="23"/>
        <v>502.89</v>
      </c>
      <c r="J1288" s="123" t="str">
        <f>IFERROR(VLOOKUP($C1288,'CEDARS School FRPL'!C:H,4,FALSE),"No")</f>
        <v>No</v>
      </c>
      <c r="K1288" s="109"/>
      <c r="L1288" s="109"/>
      <c r="M1288" s="110">
        <f>IFERROR(VLOOKUP($C1288,'CEDARS School FRPL'!C:H,3,FALSE),0)</f>
        <v>0.24086666666666667</v>
      </c>
      <c r="N1288" s="123" t="str">
        <f>IFERROR(VLOOKUP(C1288,'CEDARS School FRPL'!C:H,6,FALSE),"No")</f>
        <v>No</v>
      </c>
      <c r="O1288" s="147"/>
      <c r="P1288" s="148"/>
    </row>
    <row r="1289" spans="1:16">
      <c r="A1289" s="95" t="s">
        <v>2366</v>
      </c>
      <c r="B1289" s="95" t="s">
        <v>979</v>
      </c>
      <c r="C1289" s="4">
        <v>3106</v>
      </c>
      <c r="D1289" s="95" t="s">
        <v>984</v>
      </c>
      <c r="E1289" s="145">
        <v>1595.48</v>
      </c>
      <c r="F1289" s="145">
        <v>118.06</v>
      </c>
      <c r="G1289" s="145">
        <v>0</v>
      </c>
      <c r="H1289" s="145">
        <v>0</v>
      </c>
      <c r="I1289" s="77">
        <f t="shared" si="23"/>
        <v>1713.54</v>
      </c>
      <c r="J1289" s="123" t="str">
        <f>IFERROR(VLOOKUP($C1289,'CEDARS School FRPL'!C:H,4,FALSE),"No")</f>
        <v>No</v>
      </c>
      <c r="K1289" s="109"/>
      <c r="L1289" s="109"/>
      <c r="M1289" s="110">
        <f>IFERROR(VLOOKUP($C1289,'CEDARS School FRPL'!C:H,3,FALSE),0)</f>
        <v>0.16816666666666669</v>
      </c>
      <c r="N1289" s="123" t="str">
        <f>IFERROR(VLOOKUP(C1289,'CEDARS School FRPL'!C:H,6,FALSE),"No")</f>
        <v>No</v>
      </c>
      <c r="O1289" s="147"/>
      <c r="P1289" s="148"/>
    </row>
    <row r="1290" spans="1:16">
      <c r="A1290" s="95" t="s">
        <v>2366</v>
      </c>
      <c r="B1290" s="95" t="s">
        <v>979</v>
      </c>
      <c r="C1290" s="4">
        <v>3107</v>
      </c>
      <c r="D1290" s="95" t="s">
        <v>985</v>
      </c>
      <c r="E1290" s="145">
        <v>322.5</v>
      </c>
      <c r="F1290" s="145">
        <v>0</v>
      </c>
      <c r="G1290" s="145">
        <v>0</v>
      </c>
      <c r="H1290" s="145">
        <v>0</v>
      </c>
      <c r="I1290" s="77">
        <f t="shared" si="23"/>
        <v>322.5</v>
      </c>
      <c r="J1290" s="123" t="str">
        <f>IFERROR(VLOOKUP($C1290,'CEDARS School FRPL'!C:H,4,FALSE),"No")</f>
        <v>No</v>
      </c>
      <c r="K1290" s="109"/>
      <c r="L1290" s="109"/>
      <c r="M1290" s="110">
        <f>IFERROR(VLOOKUP($C1290,'CEDARS School FRPL'!C:H,3,FALSE),0)</f>
        <v>0.1134</v>
      </c>
      <c r="N1290" s="123" t="str">
        <f>IFERROR(VLOOKUP(C1290,'CEDARS School FRPL'!C:H,6,FALSE),"No")</f>
        <v>No</v>
      </c>
      <c r="O1290" s="147"/>
      <c r="P1290" s="148"/>
    </row>
    <row r="1291" spans="1:16">
      <c r="A1291" s="95" t="s">
        <v>2366</v>
      </c>
      <c r="B1291" s="95" t="s">
        <v>979</v>
      </c>
      <c r="C1291" s="4">
        <v>3234</v>
      </c>
      <c r="D1291" s="95" t="s">
        <v>986</v>
      </c>
      <c r="E1291" s="145">
        <v>288.48</v>
      </c>
      <c r="F1291" s="145">
        <v>0</v>
      </c>
      <c r="G1291" s="145">
        <v>0</v>
      </c>
      <c r="H1291" s="145">
        <v>0</v>
      </c>
      <c r="I1291" s="77">
        <f t="shared" si="23"/>
        <v>288.48</v>
      </c>
      <c r="J1291" s="123" t="str">
        <f>IFERROR(VLOOKUP($C1291,'CEDARS School FRPL'!C:H,4,FALSE),"No")</f>
        <v>No</v>
      </c>
      <c r="K1291" s="109"/>
      <c r="L1291" s="109"/>
      <c r="M1291" s="110">
        <f>IFERROR(VLOOKUP($C1291,'CEDARS School FRPL'!C:H,3,FALSE),0)</f>
        <v>8.7099999999999997E-2</v>
      </c>
      <c r="N1291" s="123" t="str">
        <f>IFERROR(VLOOKUP(C1291,'CEDARS School FRPL'!C:H,6,FALSE),"No")</f>
        <v>No</v>
      </c>
      <c r="O1291" s="147"/>
      <c r="P1291" s="148"/>
    </row>
    <row r="1292" spans="1:16">
      <c r="A1292" s="95" t="s">
        <v>2366</v>
      </c>
      <c r="B1292" s="95" t="s">
        <v>979</v>
      </c>
      <c r="C1292" s="4">
        <v>3287</v>
      </c>
      <c r="D1292" s="95" t="s">
        <v>987</v>
      </c>
      <c r="E1292" s="145">
        <v>409.77</v>
      </c>
      <c r="F1292" s="145">
        <v>0</v>
      </c>
      <c r="G1292" s="145">
        <v>0</v>
      </c>
      <c r="H1292" s="145">
        <v>0</v>
      </c>
      <c r="I1292" s="77">
        <f t="shared" si="23"/>
        <v>409.77</v>
      </c>
      <c r="J1292" s="123" t="str">
        <f>IFERROR(VLOOKUP($C1292,'CEDARS School FRPL'!C:H,4,FALSE),"No")</f>
        <v>No</v>
      </c>
      <c r="K1292" s="109"/>
      <c r="L1292" s="109"/>
      <c r="M1292" s="110">
        <f>IFERROR(VLOOKUP($C1292,'CEDARS School FRPL'!C:H,3,FALSE),0)</f>
        <v>0.13009999999999999</v>
      </c>
      <c r="N1292" s="123" t="str">
        <f>IFERROR(VLOOKUP(C1292,'CEDARS School FRPL'!C:H,6,FALSE),"No")</f>
        <v>No</v>
      </c>
      <c r="O1292" s="147"/>
      <c r="P1292" s="148"/>
    </row>
    <row r="1293" spans="1:16">
      <c r="A1293" s="95" t="s">
        <v>2366</v>
      </c>
      <c r="B1293" s="95" t="s">
        <v>979</v>
      </c>
      <c r="C1293" s="4">
        <v>3344</v>
      </c>
      <c r="D1293" s="95" t="s">
        <v>988</v>
      </c>
      <c r="E1293" s="145">
        <v>527.28</v>
      </c>
      <c r="F1293" s="145">
        <v>0</v>
      </c>
      <c r="G1293" s="145">
        <v>0</v>
      </c>
      <c r="H1293" s="145">
        <v>0</v>
      </c>
      <c r="I1293" s="77">
        <f t="shared" si="23"/>
        <v>527.28</v>
      </c>
      <c r="J1293" s="123" t="str">
        <f>IFERROR(VLOOKUP($C1293,'CEDARS School FRPL'!C:H,4,FALSE),"No")</f>
        <v>No</v>
      </c>
      <c r="K1293" s="109"/>
      <c r="L1293" s="109"/>
      <c r="M1293" s="110">
        <f>IFERROR(VLOOKUP($C1293,'CEDARS School FRPL'!C:H,3,FALSE),0)</f>
        <v>0.14536666666666667</v>
      </c>
      <c r="N1293" s="123" t="str">
        <f>IFERROR(VLOOKUP(C1293,'CEDARS School FRPL'!C:H,6,FALSE),"No")</f>
        <v>No</v>
      </c>
      <c r="O1293" s="147"/>
      <c r="P1293" s="148"/>
    </row>
    <row r="1294" spans="1:16">
      <c r="A1294" s="95" t="s">
        <v>2366</v>
      </c>
      <c r="B1294" s="95" t="s">
        <v>979</v>
      </c>
      <c r="C1294" s="4">
        <v>3345</v>
      </c>
      <c r="D1294" s="95" t="s">
        <v>989</v>
      </c>
      <c r="E1294" s="145">
        <v>721.33</v>
      </c>
      <c r="F1294" s="145">
        <v>0</v>
      </c>
      <c r="G1294" s="145">
        <v>0</v>
      </c>
      <c r="H1294" s="145">
        <v>0</v>
      </c>
      <c r="I1294" s="77">
        <f t="shared" si="23"/>
        <v>721.33</v>
      </c>
      <c r="J1294" s="123" t="str">
        <f>IFERROR(VLOOKUP($C1294,'CEDARS School FRPL'!C:H,4,FALSE),"No")</f>
        <v>No</v>
      </c>
      <c r="K1294" s="109"/>
      <c r="L1294" s="109"/>
      <c r="M1294" s="110">
        <f>IFERROR(VLOOKUP($C1294,'CEDARS School FRPL'!C:H,3,FALSE),0)</f>
        <v>0.22789999999999999</v>
      </c>
      <c r="N1294" s="123" t="str">
        <f>IFERROR(VLOOKUP(C1294,'CEDARS School FRPL'!C:H,6,FALSE),"No")</f>
        <v>No</v>
      </c>
      <c r="O1294" s="147"/>
      <c r="P1294" s="148"/>
    </row>
    <row r="1295" spans="1:16">
      <c r="A1295" s="95" t="s">
        <v>2366</v>
      </c>
      <c r="B1295" s="95" t="s">
        <v>979</v>
      </c>
      <c r="C1295" s="4">
        <v>3390</v>
      </c>
      <c r="D1295" s="95" t="s">
        <v>990</v>
      </c>
      <c r="E1295" s="145">
        <v>564.57000000000005</v>
      </c>
      <c r="F1295" s="145">
        <v>0</v>
      </c>
      <c r="G1295" s="145">
        <v>0</v>
      </c>
      <c r="H1295" s="145">
        <v>0</v>
      </c>
      <c r="I1295" s="77">
        <f t="shared" si="23"/>
        <v>564.57000000000005</v>
      </c>
      <c r="J1295" s="123" t="str">
        <f>IFERROR(VLOOKUP($C1295,'CEDARS School FRPL'!C:H,4,FALSE),"No")</f>
        <v>No</v>
      </c>
      <c r="K1295" s="109"/>
      <c r="L1295" s="109"/>
      <c r="M1295" s="110">
        <f>IFERROR(VLOOKUP($C1295,'CEDARS School FRPL'!C:H,3,FALSE),0)</f>
        <v>7.1833333333333318E-2</v>
      </c>
      <c r="N1295" s="123" t="str">
        <f>IFERROR(VLOOKUP(C1295,'CEDARS School FRPL'!C:H,6,FALSE),"No")</f>
        <v>No</v>
      </c>
      <c r="O1295" s="147"/>
      <c r="P1295" s="148"/>
    </row>
    <row r="1296" spans="1:16">
      <c r="A1296" s="95" t="s">
        <v>2366</v>
      </c>
      <c r="B1296" s="95" t="s">
        <v>979</v>
      </c>
      <c r="C1296" s="4">
        <v>3442</v>
      </c>
      <c r="D1296" s="95" t="s">
        <v>991</v>
      </c>
      <c r="E1296" s="145">
        <v>624.51</v>
      </c>
      <c r="F1296" s="145">
        <v>0</v>
      </c>
      <c r="G1296" s="145">
        <v>0</v>
      </c>
      <c r="H1296" s="145">
        <v>0</v>
      </c>
      <c r="I1296" s="77">
        <f t="shared" si="23"/>
        <v>624.51</v>
      </c>
      <c r="J1296" s="123" t="str">
        <f>IFERROR(VLOOKUP($C1296,'CEDARS School FRPL'!C:H,4,FALSE),"No")</f>
        <v>No</v>
      </c>
      <c r="K1296" s="109"/>
      <c r="L1296" s="109"/>
      <c r="M1296" s="110">
        <f>IFERROR(VLOOKUP($C1296,'CEDARS School FRPL'!C:H,3,FALSE),0)</f>
        <v>5.4900000000000004E-2</v>
      </c>
      <c r="N1296" s="123" t="str">
        <f>IFERROR(VLOOKUP(C1296,'CEDARS School FRPL'!C:H,6,FALSE),"No")</f>
        <v>No</v>
      </c>
      <c r="O1296" s="147"/>
      <c r="P1296" s="148"/>
    </row>
    <row r="1297" spans="1:16">
      <c r="A1297" s="95" t="s">
        <v>2366</v>
      </c>
      <c r="B1297" s="95" t="s">
        <v>979</v>
      </c>
      <c r="C1297" s="4">
        <v>3492</v>
      </c>
      <c r="D1297" s="95" t="s">
        <v>992</v>
      </c>
      <c r="E1297" s="145">
        <v>1441.1</v>
      </c>
      <c r="F1297" s="145">
        <v>93.53</v>
      </c>
      <c r="G1297" s="145">
        <v>0</v>
      </c>
      <c r="H1297" s="145">
        <v>0</v>
      </c>
      <c r="I1297" s="77">
        <f t="shared" si="23"/>
        <v>1534.6299999999999</v>
      </c>
      <c r="J1297" s="123" t="str">
        <f>IFERROR(VLOOKUP($C1297,'CEDARS School FRPL'!C:H,4,FALSE),"No")</f>
        <v>No</v>
      </c>
      <c r="K1297" s="109"/>
      <c r="L1297" s="109"/>
      <c r="M1297" s="110">
        <f>IFERROR(VLOOKUP($C1297,'CEDARS School FRPL'!C:H,3,FALSE),0)</f>
        <v>0.1555</v>
      </c>
      <c r="N1297" s="123" t="str">
        <f>IFERROR(VLOOKUP(C1297,'CEDARS School FRPL'!C:H,6,FALSE),"No")</f>
        <v>No</v>
      </c>
      <c r="O1297" s="147"/>
      <c r="P1297" s="148"/>
    </row>
    <row r="1298" spans="1:16">
      <c r="A1298" s="95" t="s">
        <v>2366</v>
      </c>
      <c r="B1298" s="95" t="s">
        <v>979</v>
      </c>
      <c r="C1298" s="4">
        <v>3493</v>
      </c>
      <c r="D1298" s="95" t="s">
        <v>993</v>
      </c>
      <c r="E1298" s="145">
        <v>899.77</v>
      </c>
      <c r="F1298" s="145">
        <v>0</v>
      </c>
      <c r="G1298" s="145">
        <v>0</v>
      </c>
      <c r="H1298" s="145">
        <v>0</v>
      </c>
      <c r="I1298" s="77">
        <f t="shared" si="23"/>
        <v>899.77</v>
      </c>
      <c r="J1298" s="123" t="str">
        <f>IFERROR(VLOOKUP($C1298,'CEDARS School FRPL'!C:H,4,FALSE),"No")</f>
        <v>No</v>
      </c>
      <c r="K1298" s="109"/>
      <c r="L1298" s="109"/>
      <c r="M1298" s="110">
        <f>IFERROR(VLOOKUP($C1298,'CEDARS School FRPL'!C:H,3,FALSE),0)</f>
        <v>0.17473333333333332</v>
      </c>
      <c r="N1298" s="123" t="str">
        <f>IFERROR(VLOOKUP(C1298,'CEDARS School FRPL'!C:H,6,FALSE),"No")</f>
        <v>No</v>
      </c>
      <c r="O1298" s="147"/>
      <c r="P1298" s="148"/>
    </row>
    <row r="1299" spans="1:16">
      <c r="A1299" s="95" t="s">
        <v>2366</v>
      </c>
      <c r="B1299" s="95" t="s">
        <v>979</v>
      </c>
      <c r="C1299" s="4">
        <v>3679</v>
      </c>
      <c r="D1299" s="95" t="s">
        <v>994</v>
      </c>
      <c r="E1299" s="145">
        <v>421.62</v>
      </c>
      <c r="F1299" s="145">
        <v>0</v>
      </c>
      <c r="G1299" s="145">
        <v>0</v>
      </c>
      <c r="H1299" s="145">
        <v>0</v>
      </c>
      <c r="I1299" s="77">
        <f t="shared" si="23"/>
        <v>421.62</v>
      </c>
      <c r="J1299" s="123" t="str">
        <f>IFERROR(VLOOKUP($C1299,'CEDARS School FRPL'!C:H,4,FALSE),"No")</f>
        <v>No</v>
      </c>
      <c r="K1299" s="109"/>
      <c r="L1299" s="109"/>
      <c r="M1299" s="110">
        <f>IFERROR(VLOOKUP($C1299,'CEDARS School FRPL'!C:H,3,FALSE),0)</f>
        <v>0.15596666666666667</v>
      </c>
      <c r="N1299" s="123" t="str">
        <f>IFERROR(VLOOKUP(C1299,'CEDARS School FRPL'!C:H,6,FALSE),"No")</f>
        <v>No</v>
      </c>
      <c r="O1299" s="147"/>
      <c r="P1299" s="148"/>
    </row>
    <row r="1300" spans="1:16">
      <c r="A1300" s="95" t="s">
        <v>2366</v>
      </c>
      <c r="B1300" s="95" t="s">
        <v>979</v>
      </c>
      <c r="C1300" s="4">
        <v>3749</v>
      </c>
      <c r="D1300" s="95" t="s">
        <v>995</v>
      </c>
      <c r="E1300" s="145">
        <v>470.73</v>
      </c>
      <c r="F1300" s="145">
        <v>0</v>
      </c>
      <c r="G1300" s="145">
        <v>0</v>
      </c>
      <c r="H1300" s="145">
        <v>0</v>
      </c>
      <c r="I1300" s="77">
        <f t="shared" si="23"/>
        <v>470.73</v>
      </c>
      <c r="J1300" s="123" t="str">
        <f>IFERROR(VLOOKUP($C1300,'CEDARS School FRPL'!C:H,4,FALSE),"No")</f>
        <v>No</v>
      </c>
      <c r="K1300" s="109"/>
      <c r="L1300" s="109"/>
      <c r="M1300" s="110">
        <f>IFERROR(VLOOKUP($C1300,'CEDARS School FRPL'!C:H,3,FALSE),0)</f>
        <v>0.21983333333333333</v>
      </c>
      <c r="N1300" s="123" t="str">
        <f>IFERROR(VLOOKUP(C1300,'CEDARS School FRPL'!C:H,6,FALSE),"No")</f>
        <v>No</v>
      </c>
      <c r="O1300" s="147"/>
      <c r="P1300" s="148"/>
    </row>
    <row r="1301" spans="1:16">
      <c r="A1301" s="95" t="s">
        <v>2366</v>
      </c>
      <c r="B1301" s="95" t="s">
        <v>979</v>
      </c>
      <c r="C1301" s="4">
        <v>3790</v>
      </c>
      <c r="D1301" s="95" t="s">
        <v>996</v>
      </c>
      <c r="E1301" s="145">
        <v>819.67</v>
      </c>
      <c r="F1301" s="145">
        <v>0</v>
      </c>
      <c r="G1301" s="145">
        <v>0</v>
      </c>
      <c r="H1301" s="145">
        <v>0</v>
      </c>
      <c r="I1301" s="77">
        <f t="shared" si="23"/>
        <v>819.67</v>
      </c>
      <c r="J1301" s="123" t="str">
        <f>IFERROR(VLOOKUP($C1301,'CEDARS School FRPL'!C:H,4,FALSE),"No")</f>
        <v>No</v>
      </c>
      <c r="K1301" s="109"/>
      <c r="L1301" s="109"/>
      <c r="M1301" s="110">
        <f>IFERROR(VLOOKUP($C1301,'CEDARS School FRPL'!C:H,3,FALSE),0)</f>
        <v>0.12703333333333333</v>
      </c>
      <c r="N1301" s="123" t="str">
        <f>IFERROR(VLOOKUP(C1301,'CEDARS School FRPL'!C:H,6,FALSE),"No")</f>
        <v>No</v>
      </c>
      <c r="O1301" s="147"/>
      <c r="P1301" s="148"/>
    </row>
    <row r="1302" spans="1:16">
      <c r="A1302" s="95" t="s">
        <v>2366</v>
      </c>
      <c r="B1302" s="95" t="s">
        <v>979</v>
      </c>
      <c r="C1302" s="4">
        <v>3811</v>
      </c>
      <c r="D1302" s="95" t="s">
        <v>997</v>
      </c>
      <c r="E1302" s="145">
        <v>89.83</v>
      </c>
      <c r="F1302" s="145">
        <v>0</v>
      </c>
      <c r="G1302" s="145">
        <v>0</v>
      </c>
      <c r="H1302" s="145">
        <v>0</v>
      </c>
      <c r="I1302" s="77">
        <f t="shared" si="23"/>
        <v>89.83</v>
      </c>
      <c r="J1302" s="123" t="str">
        <f>IFERROR(VLOOKUP($C1302,'CEDARS School FRPL'!C:H,4,FALSE),"No")</f>
        <v>No</v>
      </c>
      <c r="K1302" s="109"/>
      <c r="L1302" s="109"/>
      <c r="M1302" s="110">
        <f>IFERROR(VLOOKUP($C1302,'CEDARS School FRPL'!C:H,3,FALSE),0)</f>
        <v>0.35069999999999996</v>
      </c>
      <c r="N1302" s="123" t="str">
        <f>IFERROR(VLOOKUP(C1302,'CEDARS School FRPL'!C:H,6,FALSE),"No")</f>
        <v>No</v>
      </c>
      <c r="O1302" s="147"/>
      <c r="P1302" s="148"/>
    </row>
    <row r="1303" spans="1:16">
      <c r="A1303" s="95" t="s">
        <v>2366</v>
      </c>
      <c r="B1303" s="95" t="s">
        <v>979</v>
      </c>
      <c r="C1303" s="4">
        <v>4017</v>
      </c>
      <c r="D1303" s="95" t="s">
        <v>998</v>
      </c>
      <c r="E1303" s="145">
        <v>951.72</v>
      </c>
      <c r="F1303" s="145">
        <v>0</v>
      </c>
      <c r="G1303" s="145">
        <v>0</v>
      </c>
      <c r="H1303" s="145">
        <v>0</v>
      </c>
      <c r="I1303" s="77">
        <f t="shared" si="23"/>
        <v>951.72</v>
      </c>
      <c r="J1303" s="123" t="str">
        <f>IFERROR(VLOOKUP($C1303,'CEDARS School FRPL'!C:H,4,FALSE),"No")</f>
        <v>No</v>
      </c>
      <c r="K1303" s="109"/>
      <c r="L1303" s="109"/>
      <c r="M1303" s="110">
        <f>IFERROR(VLOOKUP($C1303,'CEDARS School FRPL'!C:H,3,FALSE),0)</f>
        <v>0.1144</v>
      </c>
      <c r="N1303" s="123" t="str">
        <f>IFERROR(VLOOKUP(C1303,'CEDARS School FRPL'!C:H,6,FALSE),"No")</f>
        <v>No</v>
      </c>
      <c r="O1303" s="147"/>
      <c r="P1303" s="148"/>
    </row>
    <row r="1304" spans="1:16">
      <c r="A1304" s="95" t="s">
        <v>2366</v>
      </c>
      <c r="B1304" s="95" t="s">
        <v>979</v>
      </c>
      <c r="C1304" s="4">
        <v>4021</v>
      </c>
      <c r="D1304" s="95" t="s">
        <v>999</v>
      </c>
      <c r="E1304" s="145">
        <v>871.73</v>
      </c>
      <c r="F1304" s="145">
        <v>0</v>
      </c>
      <c r="G1304" s="145">
        <v>0</v>
      </c>
      <c r="H1304" s="145">
        <v>0</v>
      </c>
      <c r="I1304" s="77">
        <f t="shared" si="23"/>
        <v>871.73</v>
      </c>
      <c r="J1304" s="123" t="str">
        <f>IFERROR(VLOOKUP($C1304,'CEDARS School FRPL'!C:H,4,FALSE),"No")</f>
        <v>No</v>
      </c>
      <c r="K1304" s="109"/>
      <c r="L1304" s="109"/>
      <c r="M1304" s="110">
        <f>IFERROR(VLOOKUP($C1304,'CEDARS School FRPL'!C:H,3,FALSE),0)</f>
        <v>0.14653333333333332</v>
      </c>
      <c r="N1304" s="123" t="str">
        <f>IFERROR(VLOOKUP(C1304,'CEDARS School FRPL'!C:H,6,FALSE),"No")</f>
        <v>No</v>
      </c>
      <c r="O1304" s="147"/>
      <c r="P1304" s="148"/>
    </row>
    <row r="1305" spans="1:16">
      <c r="A1305" s="95" t="s">
        <v>2366</v>
      </c>
      <c r="B1305" s="95" t="s">
        <v>979</v>
      </c>
      <c r="C1305" s="4">
        <v>4069</v>
      </c>
      <c r="D1305" s="95" t="s">
        <v>1000</v>
      </c>
      <c r="E1305" s="145">
        <v>426.15</v>
      </c>
      <c r="F1305" s="145">
        <v>0</v>
      </c>
      <c r="G1305" s="145">
        <v>0</v>
      </c>
      <c r="H1305" s="145">
        <v>0</v>
      </c>
      <c r="I1305" s="77">
        <f t="shared" si="23"/>
        <v>426.15</v>
      </c>
      <c r="J1305" s="123" t="str">
        <f>IFERROR(VLOOKUP($C1305,'CEDARS School FRPL'!C:H,4,FALSE),"No")</f>
        <v>No</v>
      </c>
      <c r="K1305" s="109"/>
      <c r="L1305" s="109"/>
      <c r="M1305" s="110">
        <f>IFERROR(VLOOKUP($C1305,'CEDARS School FRPL'!C:H,3,FALSE),0)</f>
        <v>7.4133333333333329E-2</v>
      </c>
      <c r="N1305" s="123" t="str">
        <f>IFERROR(VLOOKUP(C1305,'CEDARS School FRPL'!C:H,6,FALSE),"No")</f>
        <v>No</v>
      </c>
      <c r="O1305" s="147"/>
      <c r="P1305" s="148"/>
    </row>
    <row r="1306" spans="1:16">
      <c r="A1306" s="95" t="s">
        <v>2366</v>
      </c>
      <c r="B1306" s="95" t="s">
        <v>979</v>
      </c>
      <c r="C1306" s="4">
        <v>4124</v>
      </c>
      <c r="D1306" s="95" t="s">
        <v>1001</v>
      </c>
      <c r="E1306" s="145">
        <v>302.35000000000002</v>
      </c>
      <c r="F1306" s="145">
        <v>0</v>
      </c>
      <c r="G1306" s="145">
        <v>0</v>
      </c>
      <c r="H1306" s="145">
        <v>0</v>
      </c>
      <c r="I1306" s="77">
        <f t="shared" si="23"/>
        <v>302.35000000000002</v>
      </c>
      <c r="J1306" s="123" t="str">
        <f>IFERROR(VLOOKUP($C1306,'CEDARS School FRPL'!C:H,4,FALSE),"No")</f>
        <v>No</v>
      </c>
      <c r="K1306" s="109"/>
      <c r="L1306" s="109"/>
      <c r="M1306" s="110">
        <f>IFERROR(VLOOKUP($C1306,'CEDARS School FRPL'!C:H,3,FALSE),0)</f>
        <v>0.11420000000000001</v>
      </c>
      <c r="N1306" s="123" t="str">
        <f>IFERROR(VLOOKUP(C1306,'CEDARS School FRPL'!C:H,6,FALSE),"No")</f>
        <v>No</v>
      </c>
      <c r="O1306" s="147"/>
      <c r="P1306" s="148"/>
    </row>
    <row r="1307" spans="1:16">
      <c r="A1307" s="95" t="s">
        <v>2366</v>
      </c>
      <c r="B1307" s="95" t="s">
        <v>979</v>
      </c>
      <c r="C1307" s="4">
        <v>4187</v>
      </c>
      <c r="D1307" s="95" t="s">
        <v>693</v>
      </c>
      <c r="E1307" s="145">
        <v>422.48</v>
      </c>
      <c r="F1307" s="145">
        <v>0</v>
      </c>
      <c r="G1307" s="145">
        <v>0</v>
      </c>
      <c r="H1307" s="145">
        <v>0</v>
      </c>
      <c r="I1307" s="77">
        <f t="shared" si="23"/>
        <v>422.48</v>
      </c>
      <c r="J1307" s="123" t="str">
        <f>IFERROR(VLOOKUP($C1307,'CEDARS School FRPL'!C:H,4,FALSE),"No")</f>
        <v>No</v>
      </c>
      <c r="K1307" s="109"/>
      <c r="L1307" s="109"/>
      <c r="M1307" s="110">
        <f>IFERROR(VLOOKUP($C1307,'CEDARS School FRPL'!C:H,3,FALSE),0)</f>
        <v>2.4900000000000002E-2</v>
      </c>
      <c r="N1307" s="123" t="str">
        <f>IFERROR(VLOOKUP(C1307,'CEDARS School FRPL'!C:H,6,FALSE),"No")</f>
        <v>No</v>
      </c>
      <c r="O1307" s="147"/>
      <c r="P1307" s="148"/>
    </row>
    <row r="1308" spans="1:16">
      <c r="A1308" s="95" t="s">
        <v>2366</v>
      </c>
      <c r="B1308" s="95" t="s">
        <v>979</v>
      </c>
      <c r="C1308" s="4">
        <v>4208</v>
      </c>
      <c r="D1308" s="95" t="s">
        <v>1002</v>
      </c>
      <c r="E1308" s="145">
        <v>1556.51</v>
      </c>
      <c r="F1308" s="145">
        <v>79.69</v>
      </c>
      <c r="G1308" s="145">
        <v>0</v>
      </c>
      <c r="H1308" s="145">
        <v>0</v>
      </c>
      <c r="I1308" s="77">
        <f t="shared" si="23"/>
        <v>1636.2</v>
      </c>
      <c r="J1308" s="123" t="str">
        <f>IFERROR(VLOOKUP($C1308,'CEDARS School FRPL'!C:H,4,FALSE),"No")</f>
        <v>No</v>
      </c>
      <c r="K1308" s="109"/>
      <c r="L1308" s="109"/>
      <c r="M1308" s="110">
        <f>IFERROR(VLOOKUP($C1308,'CEDARS School FRPL'!C:H,3,FALSE),0)</f>
        <v>8.776666666666666E-2</v>
      </c>
      <c r="N1308" s="123" t="str">
        <f>IFERROR(VLOOKUP(C1308,'CEDARS School FRPL'!C:H,6,FALSE),"No")</f>
        <v>No</v>
      </c>
      <c r="O1308" s="147"/>
      <c r="P1308" s="148"/>
    </row>
    <row r="1309" spans="1:16">
      <c r="A1309" s="95" t="s">
        <v>2366</v>
      </c>
      <c r="B1309" s="95" t="s">
        <v>979</v>
      </c>
      <c r="C1309" s="4">
        <v>4306</v>
      </c>
      <c r="D1309" s="95" t="s">
        <v>1003</v>
      </c>
      <c r="E1309" s="145">
        <v>779.86</v>
      </c>
      <c r="F1309" s="145">
        <v>0</v>
      </c>
      <c r="G1309" s="145">
        <v>0</v>
      </c>
      <c r="H1309" s="145">
        <v>0</v>
      </c>
      <c r="I1309" s="77">
        <f t="shared" si="23"/>
        <v>779.86</v>
      </c>
      <c r="J1309" s="123" t="str">
        <f>IFERROR(VLOOKUP($C1309,'CEDARS School FRPL'!C:H,4,FALSE),"No")</f>
        <v>No</v>
      </c>
      <c r="K1309" s="109"/>
      <c r="L1309" s="109"/>
      <c r="M1309" s="110">
        <f>IFERROR(VLOOKUP($C1309,'CEDARS School FRPL'!C:H,3,FALSE),0)</f>
        <v>3.7333333333333329E-2</v>
      </c>
      <c r="N1309" s="123" t="str">
        <f>IFERROR(VLOOKUP(C1309,'CEDARS School FRPL'!C:H,6,FALSE),"No")</f>
        <v>No</v>
      </c>
      <c r="O1309" s="147"/>
      <c r="P1309" s="148"/>
    </row>
    <row r="1310" spans="1:16">
      <c r="A1310" s="95" t="s">
        <v>2366</v>
      </c>
      <c r="B1310" s="95" t="s">
        <v>979</v>
      </c>
      <c r="C1310" s="4">
        <v>4355</v>
      </c>
      <c r="D1310" s="95" t="s">
        <v>1004</v>
      </c>
      <c r="E1310" s="145">
        <v>471.16</v>
      </c>
      <c r="F1310" s="145">
        <v>0</v>
      </c>
      <c r="G1310" s="145">
        <v>0</v>
      </c>
      <c r="H1310" s="145">
        <v>0</v>
      </c>
      <c r="I1310" s="77">
        <f t="shared" si="23"/>
        <v>471.16</v>
      </c>
      <c r="J1310" s="123" t="str">
        <f>IFERROR(VLOOKUP($C1310,'CEDARS School FRPL'!C:H,4,FALSE),"No")</f>
        <v>No</v>
      </c>
      <c r="K1310" s="109"/>
      <c r="L1310" s="109"/>
      <c r="M1310" s="110">
        <f>IFERROR(VLOOKUP($C1310,'CEDARS School FRPL'!C:H,3,FALSE),0)</f>
        <v>0.14773333333333333</v>
      </c>
      <c r="N1310" s="123" t="str">
        <f>IFERROR(VLOOKUP(C1310,'CEDARS School FRPL'!C:H,6,FALSE),"No")</f>
        <v>No</v>
      </c>
      <c r="O1310" s="147"/>
      <c r="P1310" s="148"/>
    </row>
    <row r="1311" spans="1:16">
      <c r="A1311" s="95" t="s">
        <v>2366</v>
      </c>
      <c r="B1311" s="95" t="s">
        <v>979</v>
      </c>
      <c r="C1311" s="4">
        <v>4371</v>
      </c>
      <c r="D1311" s="95" t="s">
        <v>1005</v>
      </c>
      <c r="E1311" s="145">
        <v>1150.81</v>
      </c>
      <c r="F1311" s="145">
        <v>0</v>
      </c>
      <c r="G1311" s="145">
        <v>0</v>
      </c>
      <c r="H1311" s="145">
        <v>0</v>
      </c>
      <c r="I1311" s="77">
        <f t="shared" si="23"/>
        <v>1150.81</v>
      </c>
      <c r="J1311" s="123" t="str">
        <f>IFERROR(VLOOKUP($C1311,'CEDARS School FRPL'!C:H,4,FALSE),"No")</f>
        <v>No</v>
      </c>
      <c r="K1311" s="109"/>
      <c r="L1311" s="109"/>
      <c r="M1311" s="110">
        <f>IFERROR(VLOOKUP($C1311,'CEDARS School FRPL'!C:H,3,FALSE),0)</f>
        <v>0.13473333333333334</v>
      </c>
      <c r="N1311" s="123" t="str">
        <f>IFERROR(VLOOKUP(C1311,'CEDARS School FRPL'!C:H,6,FALSE),"No")</f>
        <v>No</v>
      </c>
      <c r="O1311" s="147"/>
      <c r="P1311" s="148"/>
    </row>
    <row r="1312" spans="1:16">
      <c r="A1312" s="95" t="s">
        <v>2366</v>
      </c>
      <c r="B1312" s="95" t="s">
        <v>979</v>
      </c>
      <c r="C1312" s="4">
        <v>4377</v>
      </c>
      <c r="D1312" s="95" t="s">
        <v>1006</v>
      </c>
      <c r="E1312" s="145">
        <v>516.97</v>
      </c>
      <c r="F1312" s="145">
        <v>0</v>
      </c>
      <c r="G1312" s="145">
        <v>0</v>
      </c>
      <c r="H1312" s="145">
        <v>0</v>
      </c>
      <c r="I1312" s="77">
        <f t="shared" si="23"/>
        <v>516.97</v>
      </c>
      <c r="J1312" s="123" t="str">
        <f>IFERROR(VLOOKUP($C1312,'CEDARS School FRPL'!C:H,4,FALSE),"No")</f>
        <v>No</v>
      </c>
      <c r="K1312" s="109"/>
      <c r="L1312" s="109"/>
      <c r="M1312" s="110">
        <f>IFERROR(VLOOKUP($C1312,'CEDARS School FRPL'!C:H,3,FALSE),0)</f>
        <v>0.20980000000000001</v>
      </c>
      <c r="N1312" s="123" t="str">
        <f>IFERROR(VLOOKUP(C1312,'CEDARS School FRPL'!C:H,6,FALSE),"No")</f>
        <v>No</v>
      </c>
      <c r="O1312" s="147"/>
      <c r="P1312" s="148"/>
    </row>
    <row r="1313" spans="1:16">
      <c r="A1313" s="95" t="s">
        <v>2366</v>
      </c>
      <c r="B1313" s="95" t="s">
        <v>979</v>
      </c>
      <c r="C1313" s="4">
        <v>4379</v>
      </c>
      <c r="D1313" s="95" t="s">
        <v>1007</v>
      </c>
      <c r="E1313" s="145">
        <v>370.6</v>
      </c>
      <c r="F1313" s="145">
        <v>0</v>
      </c>
      <c r="G1313" s="145">
        <v>0</v>
      </c>
      <c r="H1313" s="145">
        <v>0</v>
      </c>
      <c r="I1313" s="77">
        <f t="shared" si="23"/>
        <v>370.6</v>
      </c>
      <c r="J1313" s="123" t="str">
        <f>IFERROR(VLOOKUP($C1313,'CEDARS School FRPL'!C:H,4,FALSE),"No")</f>
        <v>No</v>
      </c>
      <c r="K1313" s="109"/>
      <c r="L1313" s="109"/>
      <c r="M1313" s="110">
        <f>IFERROR(VLOOKUP($C1313,'CEDARS School FRPL'!C:H,3,FALSE),0)</f>
        <v>5.5833333333333339E-2</v>
      </c>
      <c r="N1313" s="123" t="str">
        <f>IFERROR(VLOOKUP(C1313,'CEDARS School FRPL'!C:H,6,FALSE),"No")</f>
        <v>No</v>
      </c>
      <c r="O1313" s="147"/>
      <c r="P1313" s="148"/>
    </row>
    <row r="1314" spans="1:16">
      <c r="A1314" s="95" t="s">
        <v>2366</v>
      </c>
      <c r="B1314" s="95" t="s">
        <v>979</v>
      </c>
      <c r="C1314" s="4">
        <v>4455</v>
      </c>
      <c r="D1314" s="95" t="s">
        <v>1008</v>
      </c>
      <c r="E1314" s="145">
        <v>666.32</v>
      </c>
      <c r="F1314" s="145">
        <v>0</v>
      </c>
      <c r="G1314" s="145">
        <v>0</v>
      </c>
      <c r="H1314" s="145">
        <v>0</v>
      </c>
      <c r="I1314" s="77">
        <f t="shared" si="23"/>
        <v>666.32</v>
      </c>
      <c r="J1314" s="123" t="str">
        <f>IFERROR(VLOOKUP($C1314,'CEDARS School FRPL'!C:H,4,FALSE),"No")</f>
        <v>No</v>
      </c>
      <c r="K1314" s="109"/>
      <c r="L1314" s="109"/>
      <c r="M1314" s="110">
        <f>IFERROR(VLOOKUP($C1314,'CEDARS School FRPL'!C:H,3,FALSE),0)</f>
        <v>4.6600000000000003E-2</v>
      </c>
      <c r="N1314" s="123" t="str">
        <f>IFERROR(VLOOKUP(C1314,'CEDARS School FRPL'!C:H,6,FALSE),"No")</f>
        <v>No</v>
      </c>
      <c r="O1314" s="147"/>
      <c r="P1314" s="148"/>
    </row>
    <row r="1315" spans="1:16">
      <c r="A1315" s="95" t="s">
        <v>2366</v>
      </c>
      <c r="B1315" s="95" t="s">
        <v>979</v>
      </c>
      <c r="C1315" s="4">
        <v>4516</v>
      </c>
      <c r="D1315" s="95" t="s">
        <v>1009</v>
      </c>
      <c r="E1315" s="145">
        <v>714</v>
      </c>
      <c r="F1315" s="145">
        <v>0</v>
      </c>
      <c r="G1315" s="145">
        <v>0</v>
      </c>
      <c r="H1315" s="145">
        <v>0</v>
      </c>
      <c r="I1315" s="77">
        <f t="shared" si="23"/>
        <v>714</v>
      </c>
      <c r="J1315" s="123" t="str">
        <f>IFERROR(VLOOKUP($C1315,'CEDARS School FRPL'!C:H,4,FALSE),"No")</f>
        <v>No</v>
      </c>
      <c r="K1315" s="109"/>
      <c r="L1315" s="109"/>
      <c r="M1315" s="110">
        <f>IFERROR(VLOOKUP($C1315,'CEDARS School FRPL'!C:H,3,FALSE),0)</f>
        <v>5.4400000000000004E-2</v>
      </c>
      <c r="N1315" s="123" t="str">
        <f>IFERROR(VLOOKUP(C1315,'CEDARS School FRPL'!C:H,6,FALSE),"No")</f>
        <v>No</v>
      </c>
      <c r="O1315" s="147"/>
      <c r="P1315" s="148"/>
    </row>
    <row r="1316" spans="1:16">
      <c r="A1316" s="95" t="s">
        <v>2366</v>
      </c>
      <c r="B1316" s="95" t="s">
        <v>979</v>
      </c>
      <c r="C1316" s="4">
        <v>5331</v>
      </c>
      <c r="D1316" s="95" t="s">
        <v>1010</v>
      </c>
      <c r="E1316" s="145">
        <v>0</v>
      </c>
      <c r="F1316" s="145">
        <v>0</v>
      </c>
      <c r="G1316" s="145">
        <v>4.1399999999999997</v>
      </c>
      <c r="H1316" s="145">
        <v>0</v>
      </c>
      <c r="I1316" s="77">
        <f t="shared" si="23"/>
        <v>4.1399999999999997</v>
      </c>
      <c r="J1316" s="123" t="str">
        <f>IFERROR(VLOOKUP($C1316,'CEDARS School FRPL'!C:H,4,FALSE),"No")</f>
        <v>No</v>
      </c>
      <c r="K1316" s="109"/>
      <c r="L1316" s="109"/>
      <c r="M1316" s="110">
        <f>IFERROR(VLOOKUP($C1316,'CEDARS School FRPL'!C:H,3,FALSE),0)</f>
        <v>0.21930000000000002</v>
      </c>
      <c r="N1316" s="123" t="str">
        <f>IFERROR(VLOOKUP(C1316,'CEDARS School FRPL'!C:H,6,FALSE),"No")</f>
        <v>No</v>
      </c>
      <c r="O1316" s="147"/>
      <c r="P1316" s="148"/>
    </row>
    <row r="1317" spans="1:16">
      <c r="A1317" s="95" t="s">
        <v>2366</v>
      </c>
      <c r="B1317" s="95" t="s">
        <v>979</v>
      </c>
      <c r="C1317" s="4">
        <v>5481</v>
      </c>
      <c r="D1317" s="95" t="s">
        <v>2728</v>
      </c>
      <c r="E1317" s="145">
        <v>1584.86</v>
      </c>
      <c r="F1317" s="145">
        <v>90.160000000000011</v>
      </c>
      <c r="G1317" s="145">
        <v>0</v>
      </c>
      <c r="H1317" s="145">
        <v>0</v>
      </c>
      <c r="I1317" s="77">
        <f t="shared" si="23"/>
        <v>1675.02</v>
      </c>
      <c r="J1317" s="123" t="str">
        <f>IFERROR(VLOOKUP($C1317,'CEDARS School FRPL'!C:H,4,FALSE),"No")</f>
        <v>No</v>
      </c>
      <c r="K1317" s="109"/>
      <c r="L1317" s="109"/>
      <c r="M1317" s="110">
        <f>IFERROR(VLOOKUP($C1317,'CEDARS School FRPL'!C:H,3,FALSE),0)</f>
        <v>0.13143333333333332</v>
      </c>
      <c r="N1317" s="123" t="str">
        <f>IFERROR(VLOOKUP(C1317,'CEDARS School FRPL'!C:H,6,FALSE),"No")</f>
        <v>No</v>
      </c>
      <c r="O1317" s="147"/>
      <c r="P1317" s="148"/>
    </row>
    <row r="1318" spans="1:16">
      <c r="A1318" s="95" t="s">
        <v>2366</v>
      </c>
      <c r="B1318" s="95" t="s">
        <v>979</v>
      </c>
      <c r="C1318" s="4">
        <v>5583</v>
      </c>
      <c r="D1318" s="95" t="s">
        <v>2829</v>
      </c>
      <c r="E1318" s="145">
        <v>185.31</v>
      </c>
      <c r="F1318" s="145">
        <v>0</v>
      </c>
      <c r="G1318" s="145">
        <v>0</v>
      </c>
      <c r="H1318" s="145">
        <v>0</v>
      </c>
      <c r="I1318" s="77">
        <f t="shared" si="23"/>
        <v>185.31</v>
      </c>
      <c r="J1318" s="123" t="str">
        <f>IFERROR(VLOOKUP($C1318,'CEDARS School FRPL'!C:H,4,FALSE),"No")</f>
        <v>No</v>
      </c>
      <c r="K1318" s="109"/>
      <c r="L1318" s="109"/>
      <c r="M1318" s="110">
        <f>IFERROR(VLOOKUP($C1318,'CEDARS School FRPL'!C:H,3,FALSE),0)</f>
        <v>5.3233333333333327E-2</v>
      </c>
      <c r="N1318" s="123" t="str">
        <f>IFERROR(VLOOKUP(C1318,'CEDARS School FRPL'!C:H,6,FALSE),"No")</f>
        <v>No</v>
      </c>
      <c r="O1318" s="147"/>
      <c r="P1318" s="148"/>
    </row>
    <row r="1319" spans="1:16">
      <c r="A1319" s="95" t="s">
        <v>2366</v>
      </c>
      <c r="B1319" s="95" t="s">
        <v>979</v>
      </c>
      <c r="C1319" s="4">
        <v>5605</v>
      </c>
      <c r="D1319" s="95" t="s">
        <v>2899</v>
      </c>
      <c r="E1319" s="145">
        <v>467.91</v>
      </c>
      <c r="F1319" s="145">
        <v>0</v>
      </c>
      <c r="G1319" s="145">
        <v>0</v>
      </c>
      <c r="H1319" s="145">
        <v>0</v>
      </c>
      <c r="I1319" s="77">
        <f t="shared" si="23"/>
        <v>467.91</v>
      </c>
      <c r="J1319" s="123" t="str">
        <f>IFERROR(VLOOKUP($C1319,'CEDARS School FRPL'!C:H,4,FALSE),"No")</f>
        <v>No</v>
      </c>
      <c r="K1319" s="109"/>
      <c r="L1319" s="109"/>
      <c r="M1319" s="110">
        <f>IFERROR(VLOOKUP($C1319,'CEDARS School FRPL'!C:H,3,FALSE),0)</f>
        <v>7.6249999999999998E-2</v>
      </c>
      <c r="N1319" s="123" t="str">
        <f>IFERROR(VLOOKUP(C1319,'CEDARS School FRPL'!C:H,6,FALSE),"No")</f>
        <v>No</v>
      </c>
      <c r="O1319" s="147"/>
      <c r="P1319" s="148"/>
    </row>
    <row r="1320" spans="1:16">
      <c r="A1320" s="95" t="s">
        <v>2366</v>
      </c>
      <c r="B1320" s="95" t="s">
        <v>979</v>
      </c>
      <c r="C1320" s="4">
        <v>5606</v>
      </c>
      <c r="D1320" s="95" t="s">
        <v>2898</v>
      </c>
      <c r="E1320" s="145">
        <v>188.19</v>
      </c>
      <c r="F1320" s="145">
        <v>0</v>
      </c>
      <c r="G1320" s="145">
        <v>0</v>
      </c>
      <c r="H1320" s="145">
        <v>0</v>
      </c>
      <c r="I1320" s="77">
        <f t="shared" si="23"/>
        <v>188.19</v>
      </c>
      <c r="J1320" s="123" t="str">
        <f>IFERROR(VLOOKUP($C1320,'CEDARS School FRPL'!C:H,4,FALSE),"No")</f>
        <v>No</v>
      </c>
      <c r="K1320" s="109"/>
      <c r="L1320" s="109"/>
      <c r="M1320" s="110">
        <f>IFERROR(VLOOKUP($C1320,'CEDARS School FRPL'!C:H,3,FALSE),0)</f>
        <v>9.7750000000000004E-2</v>
      </c>
      <c r="N1320" s="123" t="str">
        <f>IFERROR(VLOOKUP(C1320,'CEDARS School FRPL'!C:H,6,FALSE),"No")</f>
        <v>No</v>
      </c>
      <c r="O1320" s="147"/>
      <c r="P1320" s="148"/>
    </row>
    <row r="1321" spans="1:16">
      <c r="A1321" s="95" t="s">
        <v>2340</v>
      </c>
      <c r="B1321" s="95" t="s">
        <v>513</v>
      </c>
      <c r="C1321" s="4">
        <v>1758</v>
      </c>
      <c r="D1321" s="95" t="s">
        <v>2789</v>
      </c>
      <c r="E1321" s="145">
        <v>186.05</v>
      </c>
      <c r="F1321" s="145">
        <v>19.96</v>
      </c>
      <c r="G1321" s="145">
        <v>0</v>
      </c>
      <c r="H1321" s="145">
        <v>0</v>
      </c>
      <c r="I1321" s="77">
        <f t="shared" si="23"/>
        <v>206.01000000000002</v>
      </c>
      <c r="J1321" s="123" t="str">
        <f>IFERROR(VLOOKUP($C1321,'CEDARS School FRPL'!C:H,4,FALSE),"No")</f>
        <v>No</v>
      </c>
      <c r="K1321" s="109"/>
      <c r="L1321" s="109"/>
      <c r="M1321" s="110">
        <f>IFERROR(VLOOKUP($C1321,'CEDARS School FRPL'!C:H,3,FALSE),0)</f>
        <v>0.17133333333333334</v>
      </c>
      <c r="N1321" s="123" t="str">
        <f>IFERROR(VLOOKUP(C1321,'CEDARS School FRPL'!C:H,6,FALSE),"No")</f>
        <v>No</v>
      </c>
      <c r="O1321" s="147"/>
      <c r="P1321" s="148"/>
    </row>
    <row r="1322" spans="1:16">
      <c r="A1322" s="95" t="s">
        <v>2340</v>
      </c>
      <c r="B1322" s="95" t="s">
        <v>513</v>
      </c>
      <c r="C1322" s="4">
        <v>2696</v>
      </c>
      <c r="D1322" s="95" t="s">
        <v>514</v>
      </c>
      <c r="E1322" s="145">
        <v>364.29</v>
      </c>
      <c r="F1322" s="145">
        <v>0</v>
      </c>
      <c r="G1322" s="145">
        <v>0</v>
      </c>
      <c r="H1322" s="145">
        <v>0</v>
      </c>
      <c r="I1322" s="77">
        <f t="shared" si="23"/>
        <v>364.29</v>
      </c>
      <c r="J1322" s="123" t="str">
        <f>IFERROR(VLOOKUP($C1322,'CEDARS School FRPL'!C:H,4,FALSE),"No")</f>
        <v>No</v>
      </c>
      <c r="K1322" s="109"/>
      <c r="L1322" s="109"/>
      <c r="M1322" s="110">
        <f>IFERROR(VLOOKUP($C1322,'CEDARS School FRPL'!C:H,3,FALSE),0)</f>
        <v>0.37749999999999995</v>
      </c>
      <c r="N1322" s="123" t="str">
        <f>IFERROR(VLOOKUP(C1322,'CEDARS School FRPL'!C:H,6,FALSE),"No")</f>
        <v>No</v>
      </c>
      <c r="O1322" s="147"/>
      <c r="P1322" s="148"/>
    </row>
    <row r="1323" spans="1:16">
      <c r="A1323" s="95" t="s">
        <v>2340</v>
      </c>
      <c r="B1323" s="95" t="s">
        <v>513</v>
      </c>
      <c r="C1323" s="4">
        <v>2974</v>
      </c>
      <c r="D1323" s="95" t="s">
        <v>515</v>
      </c>
      <c r="E1323" s="145">
        <v>1470.66</v>
      </c>
      <c r="F1323" s="145">
        <v>77.38</v>
      </c>
      <c r="G1323" s="145">
        <v>0</v>
      </c>
      <c r="H1323" s="145">
        <v>0</v>
      </c>
      <c r="I1323" s="77">
        <f t="shared" si="23"/>
        <v>1548.04</v>
      </c>
      <c r="J1323" s="123" t="str">
        <f>IFERROR(VLOOKUP($C1323,'CEDARS School FRPL'!C:H,4,FALSE),"No")</f>
        <v>No</v>
      </c>
      <c r="K1323" s="109"/>
      <c r="L1323" s="109"/>
      <c r="M1323" s="110">
        <f>IFERROR(VLOOKUP($C1323,'CEDARS School FRPL'!C:H,3,FALSE),0)</f>
        <v>0.34773333333333339</v>
      </c>
      <c r="N1323" s="123" t="str">
        <f>IFERROR(VLOOKUP(C1323,'CEDARS School FRPL'!C:H,6,FALSE),"No")</f>
        <v>No</v>
      </c>
      <c r="O1323" s="147"/>
      <c r="P1323" s="148"/>
    </row>
    <row r="1324" spans="1:16">
      <c r="A1324" s="95" t="s">
        <v>2340</v>
      </c>
      <c r="B1324" s="95" t="s">
        <v>513</v>
      </c>
      <c r="C1324" s="4">
        <v>3274</v>
      </c>
      <c r="D1324" s="95" t="s">
        <v>2729</v>
      </c>
      <c r="E1324" s="145">
        <v>760.08</v>
      </c>
      <c r="F1324" s="145">
        <v>0</v>
      </c>
      <c r="G1324" s="145">
        <v>0</v>
      </c>
      <c r="H1324" s="145">
        <v>0</v>
      </c>
      <c r="I1324" s="77">
        <f t="shared" si="23"/>
        <v>760.08</v>
      </c>
      <c r="J1324" s="123" t="str">
        <f>IFERROR(VLOOKUP($C1324,'CEDARS School FRPL'!C:H,4,FALSE),"No")</f>
        <v>No</v>
      </c>
      <c r="K1324" s="109"/>
      <c r="L1324" s="109"/>
      <c r="M1324" s="110">
        <f>IFERROR(VLOOKUP($C1324,'CEDARS School FRPL'!C:H,3,FALSE),0)</f>
        <v>0.39733333333333332</v>
      </c>
      <c r="N1324" s="123" t="str">
        <f>IFERROR(VLOOKUP(C1324,'CEDARS School FRPL'!C:H,6,FALSE),"No")</f>
        <v>No</v>
      </c>
      <c r="O1324" s="147"/>
      <c r="P1324" s="148"/>
    </row>
    <row r="1325" spans="1:16">
      <c r="A1325" s="95" t="s">
        <v>2340</v>
      </c>
      <c r="B1325" s="95" t="s">
        <v>513</v>
      </c>
      <c r="C1325" s="4">
        <v>3377</v>
      </c>
      <c r="D1325" s="95" t="s">
        <v>516</v>
      </c>
      <c r="E1325" s="145">
        <v>440.68</v>
      </c>
      <c r="F1325" s="145">
        <v>0</v>
      </c>
      <c r="G1325" s="145">
        <v>0</v>
      </c>
      <c r="H1325" s="145">
        <v>0</v>
      </c>
      <c r="I1325" s="77">
        <f t="shared" si="23"/>
        <v>440.68</v>
      </c>
      <c r="J1325" s="123" t="str">
        <f>IFERROR(VLOOKUP($C1325,'CEDARS School FRPL'!C:H,4,FALSE),"No")</f>
        <v>Yes</v>
      </c>
      <c r="K1325" s="109"/>
      <c r="L1325" s="109"/>
      <c r="M1325" s="110">
        <f>IFERROR(VLOOKUP($C1325,'CEDARS School FRPL'!C:H,3,FALSE),0)</f>
        <v>0.52026666666666666</v>
      </c>
      <c r="N1325" s="123" t="str">
        <f>IFERROR(VLOOKUP(C1325,'CEDARS School FRPL'!C:H,6,FALSE),"No")</f>
        <v>No</v>
      </c>
      <c r="O1325" s="147"/>
      <c r="P1325" s="148"/>
    </row>
    <row r="1326" spans="1:16">
      <c r="A1326" s="95" t="s">
        <v>2340</v>
      </c>
      <c r="B1326" s="95" t="s">
        <v>513</v>
      </c>
      <c r="C1326" s="4">
        <v>3477</v>
      </c>
      <c r="D1326" s="95" t="s">
        <v>517</v>
      </c>
      <c r="E1326" s="145">
        <v>398.02</v>
      </c>
      <c r="F1326" s="145">
        <v>0</v>
      </c>
      <c r="G1326" s="145">
        <v>0</v>
      </c>
      <c r="H1326" s="145">
        <v>0</v>
      </c>
      <c r="I1326" s="77">
        <f t="shared" si="23"/>
        <v>398.02</v>
      </c>
      <c r="J1326" s="123" t="str">
        <f>IFERROR(VLOOKUP($C1326,'CEDARS School FRPL'!C:H,4,FALSE),"No")</f>
        <v>No</v>
      </c>
      <c r="K1326" s="109"/>
      <c r="L1326" s="109"/>
      <c r="M1326" s="110">
        <f>IFERROR(VLOOKUP($C1326,'CEDARS School FRPL'!C:H,3,FALSE),0)</f>
        <v>0.39710000000000001</v>
      </c>
      <c r="N1326" s="123" t="str">
        <f>IFERROR(VLOOKUP(C1326,'CEDARS School FRPL'!C:H,6,FALSE),"No")</f>
        <v>No</v>
      </c>
      <c r="O1326" s="147"/>
      <c r="P1326" s="148"/>
    </row>
    <row r="1327" spans="1:16">
      <c r="A1327" s="95" t="s">
        <v>2340</v>
      </c>
      <c r="B1327" s="95" t="s">
        <v>513</v>
      </c>
      <c r="C1327" s="4">
        <v>3566</v>
      </c>
      <c r="D1327" s="95" t="s">
        <v>518</v>
      </c>
      <c r="E1327" s="145">
        <v>421.17</v>
      </c>
      <c r="F1327" s="145">
        <v>0</v>
      </c>
      <c r="G1327" s="145">
        <v>0</v>
      </c>
      <c r="H1327" s="145">
        <v>0</v>
      </c>
      <c r="I1327" s="77">
        <f t="shared" si="23"/>
        <v>421.17</v>
      </c>
      <c r="J1327" s="123" t="str">
        <f>IFERROR(VLOOKUP($C1327,'CEDARS School FRPL'!C:H,4,FALSE),"No")</f>
        <v>Yes</v>
      </c>
      <c r="K1327" s="109"/>
      <c r="L1327" s="109"/>
      <c r="M1327" s="110">
        <f>IFERROR(VLOOKUP($C1327,'CEDARS School FRPL'!C:H,3,FALSE),0)</f>
        <v>0.50429999999999997</v>
      </c>
      <c r="N1327" s="123" t="str">
        <f>IFERROR(VLOOKUP(C1327,'CEDARS School FRPL'!C:H,6,FALSE),"No")</f>
        <v>No</v>
      </c>
      <c r="O1327" s="147"/>
      <c r="P1327" s="148"/>
    </row>
    <row r="1328" spans="1:16">
      <c r="A1328" s="95" t="s">
        <v>2340</v>
      </c>
      <c r="B1328" s="95" t="s">
        <v>513</v>
      </c>
      <c r="C1328" s="4">
        <v>3939</v>
      </c>
      <c r="D1328" s="95" t="s">
        <v>519</v>
      </c>
      <c r="E1328" s="145">
        <v>780.45</v>
      </c>
      <c r="F1328" s="145">
        <v>0</v>
      </c>
      <c r="G1328" s="145">
        <v>0</v>
      </c>
      <c r="H1328" s="145">
        <v>0</v>
      </c>
      <c r="I1328" s="77">
        <f t="shared" si="23"/>
        <v>780.45</v>
      </c>
      <c r="J1328" s="123" t="str">
        <f>IFERROR(VLOOKUP($C1328,'CEDARS School FRPL'!C:H,4,FALSE),"No")</f>
        <v>No</v>
      </c>
      <c r="K1328" s="109"/>
      <c r="L1328" s="109"/>
      <c r="M1328" s="110">
        <f>IFERROR(VLOOKUP($C1328,'CEDARS School FRPL'!C:H,3,FALSE),0)</f>
        <v>0.38529999999999998</v>
      </c>
      <c r="N1328" s="123" t="str">
        <f>IFERROR(VLOOKUP(C1328,'CEDARS School FRPL'!C:H,6,FALSE),"No")</f>
        <v>No</v>
      </c>
      <c r="O1328" s="147"/>
      <c r="P1328" s="148"/>
    </row>
    <row r="1329" spans="1:16">
      <c r="A1329" s="95" t="s">
        <v>2340</v>
      </c>
      <c r="B1329" s="95" t="s">
        <v>513</v>
      </c>
      <c r="C1329" s="4">
        <v>4328</v>
      </c>
      <c r="D1329" s="95" t="s">
        <v>520</v>
      </c>
      <c r="E1329" s="145">
        <v>449.94</v>
      </c>
      <c r="F1329" s="145">
        <v>0</v>
      </c>
      <c r="G1329" s="145">
        <v>0</v>
      </c>
      <c r="H1329" s="145">
        <v>0</v>
      </c>
      <c r="I1329" s="77">
        <f t="shared" si="23"/>
        <v>449.94</v>
      </c>
      <c r="J1329" s="123" t="str">
        <f>IFERROR(VLOOKUP($C1329,'CEDARS School FRPL'!C:H,4,FALSE),"No")</f>
        <v>No</v>
      </c>
      <c r="K1329" s="109"/>
      <c r="L1329" s="109"/>
      <c r="M1329" s="110">
        <f>IFERROR(VLOOKUP($C1329,'CEDARS School FRPL'!C:H,3,FALSE),0)</f>
        <v>0.24980000000000002</v>
      </c>
      <c r="N1329" s="123" t="str">
        <f>IFERROR(VLOOKUP(C1329,'CEDARS School FRPL'!C:H,6,FALSE),"No")</f>
        <v>No</v>
      </c>
      <c r="O1329" s="147"/>
      <c r="P1329" s="148"/>
    </row>
    <row r="1330" spans="1:16">
      <c r="A1330" s="95" t="s">
        <v>2340</v>
      </c>
      <c r="B1330" s="95" t="s">
        <v>513</v>
      </c>
      <c r="C1330" s="4">
        <v>5343</v>
      </c>
      <c r="D1330" s="95" t="s">
        <v>521</v>
      </c>
      <c r="E1330" s="145">
        <v>0</v>
      </c>
      <c r="F1330" s="145">
        <v>0</v>
      </c>
      <c r="G1330" s="145">
        <v>9.7100000000000009</v>
      </c>
      <c r="H1330" s="145">
        <v>0</v>
      </c>
      <c r="I1330" s="77">
        <f t="shared" si="23"/>
        <v>9.7100000000000009</v>
      </c>
      <c r="J1330" s="123" t="str">
        <f>IFERROR(VLOOKUP($C1330,'CEDARS School FRPL'!C:H,4,FALSE),"No")</f>
        <v>Yes</v>
      </c>
      <c r="K1330" s="109"/>
      <c r="L1330" s="109"/>
      <c r="M1330" s="110">
        <f>IFERROR(VLOOKUP($C1330,'CEDARS School FRPL'!C:H,3,FALSE),0)</f>
        <v>0.65893333333333326</v>
      </c>
      <c r="N1330" s="123" t="str">
        <f>IFERROR(VLOOKUP(C1330,'CEDARS School FRPL'!C:H,6,FALSE),"No")</f>
        <v>No</v>
      </c>
      <c r="O1330" s="147"/>
      <c r="P1330" s="148"/>
    </row>
    <row r="1331" spans="1:16">
      <c r="A1331" s="95" t="s">
        <v>2340</v>
      </c>
      <c r="B1331" s="95" t="s">
        <v>513</v>
      </c>
      <c r="C1331" s="4">
        <v>5626</v>
      </c>
      <c r="D1331" s="95" t="s">
        <v>2900</v>
      </c>
      <c r="E1331" s="145">
        <v>113.85</v>
      </c>
      <c r="F1331" s="145">
        <v>0</v>
      </c>
      <c r="G1331" s="145">
        <v>0</v>
      </c>
      <c r="H1331" s="145">
        <v>0</v>
      </c>
      <c r="I1331" s="77">
        <f t="shared" si="23"/>
        <v>113.85</v>
      </c>
      <c r="J1331" s="123" t="str">
        <f>IFERROR(VLOOKUP($C1331,'CEDARS School FRPL'!C:H,4,FALSE),"No")</f>
        <v>No</v>
      </c>
      <c r="K1331" s="109"/>
      <c r="L1331" s="109"/>
      <c r="M1331" s="110">
        <f>IFERROR(VLOOKUP($C1331,'CEDARS School FRPL'!C:H,3,FALSE),0)</f>
        <v>0.42675000000000002</v>
      </c>
      <c r="N1331" s="123" t="str">
        <f>IFERROR(VLOOKUP(C1331,'CEDARS School FRPL'!C:H,6,FALSE),"No")</f>
        <v>No</v>
      </c>
      <c r="O1331" s="147"/>
      <c r="P1331" s="148"/>
    </row>
    <row r="1332" spans="1:16">
      <c r="A1332" s="95" t="s">
        <v>2552</v>
      </c>
      <c r="B1332" s="95" t="s">
        <v>2161</v>
      </c>
      <c r="C1332" s="4">
        <v>2432</v>
      </c>
      <c r="D1332" s="95" t="s">
        <v>2162</v>
      </c>
      <c r="E1332" s="145">
        <v>67.459999999999994</v>
      </c>
      <c r="F1332" s="145">
        <v>2.62</v>
      </c>
      <c r="G1332" s="145">
        <v>0</v>
      </c>
      <c r="H1332" s="145">
        <v>0</v>
      </c>
      <c r="I1332" s="77">
        <f t="shared" si="23"/>
        <v>70.08</v>
      </c>
      <c r="J1332" s="123" t="str">
        <f>IFERROR(VLOOKUP($C1332,'CEDARS School FRPL'!C:H,4,FALSE),"No")</f>
        <v>No</v>
      </c>
      <c r="K1332" s="109"/>
      <c r="L1332" s="109"/>
      <c r="M1332" s="110">
        <f>IFERROR(VLOOKUP($C1332,'CEDARS School FRPL'!C:H,3,FALSE),0)</f>
        <v>0.39306666666666662</v>
      </c>
      <c r="N1332" s="123" t="str">
        <f>IFERROR(VLOOKUP(C1332,'CEDARS School FRPL'!C:H,6,FALSE),"No")</f>
        <v>No</v>
      </c>
      <c r="O1332" s="147"/>
      <c r="P1332" s="148"/>
    </row>
    <row r="1333" spans="1:16">
      <c r="A1333" s="95" t="s">
        <v>2552</v>
      </c>
      <c r="B1333" s="95" t="s">
        <v>2161</v>
      </c>
      <c r="C1333" s="4">
        <v>3205</v>
      </c>
      <c r="D1333" s="95" t="s">
        <v>2163</v>
      </c>
      <c r="E1333" s="145">
        <v>75.459999999999994</v>
      </c>
      <c r="F1333" s="145">
        <v>0.61</v>
      </c>
      <c r="G1333" s="145">
        <v>0</v>
      </c>
      <c r="H1333" s="145">
        <v>0</v>
      </c>
      <c r="I1333" s="77">
        <f t="shared" si="23"/>
        <v>76.069999999999993</v>
      </c>
      <c r="J1333" s="123" t="str">
        <f>IFERROR(VLOOKUP($C1333,'CEDARS School FRPL'!C:H,4,FALSE),"No")</f>
        <v>No</v>
      </c>
      <c r="K1333" s="109"/>
      <c r="L1333" s="109"/>
      <c r="M1333" s="110">
        <f>IFERROR(VLOOKUP($C1333,'CEDARS School FRPL'!C:H,3,FALSE),0)</f>
        <v>0.36010000000000003</v>
      </c>
      <c r="N1333" s="123" t="str">
        <f>IFERROR(VLOOKUP(C1333,'CEDARS School FRPL'!C:H,6,FALSE),"No")</f>
        <v>No</v>
      </c>
      <c r="O1333" s="147"/>
      <c r="P1333" s="148"/>
    </row>
    <row r="1334" spans="1:16">
      <c r="A1334" s="95" t="s">
        <v>2339</v>
      </c>
      <c r="B1334" s="95" t="s">
        <v>510</v>
      </c>
      <c r="C1334" s="4">
        <v>2283</v>
      </c>
      <c r="D1334" s="95" t="s">
        <v>511</v>
      </c>
      <c r="E1334" s="145">
        <v>143.77000000000001</v>
      </c>
      <c r="F1334" s="145">
        <v>3.95</v>
      </c>
      <c r="G1334" s="145">
        <v>2</v>
      </c>
      <c r="H1334" s="145">
        <v>0</v>
      </c>
      <c r="I1334" s="77">
        <f t="shared" si="23"/>
        <v>149.72</v>
      </c>
      <c r="J1334" s="123" t="str">
        <f>IFERROR(VLOOKUP($C1334,'CEDARS School FRPL'!C:H,4,FALSE),"No")</f>
        <v>Yes</v>
      </c>
      <c r="K1334" s="109"/>
      <c r="L1334" s="109"/>
      <c r="M1334" s="110">
        <f>IFERROR(VLOOKUP($C1334,'CEDARS School FRPL'!C:H,3,FALSE),0)</f>
        <v>0.73266666666666669</v>
      </c>
      <c r="N1334" s="123" t="str">
        <f>IFERROR(VLOOKUP(C1334,'CEDARS School FRPL'!C:H,6,FALSE),"No")</f>
        <v>No</v>
      </c>
      <c r="O1334" s="147"/>
      <c r="P1334" s="148"/>
    </row>
    <row r="1335" spans="1:16">
      <c r="A1335" s="95" t="s">
        <v>2339</v>
      </c>
      <c r="B1335" s="95" t="s">
        <v>510</v>
      </c>
      <c r="C1335" s="4">
        <v>2922</v>
      </c>
      <c r="D1335" s="95" t="s">
        <v>512</v>
      </c>
      <c r="E1335" s="145">
        <v>148.71</v>
      </c>
      <c r="F1335" s="145">
        <v>0</v>
      </c>
      <c r="G1335" s="145">
        <v>0</v>
      </c>
      <c r="H1335" s="145">
        <v>0</v>
      </c>
      <c r="I1335" s="77">
        <f t="shared" si="23"/>
        <v>148.71</v>
      </c>
      <c r="J1335" s="123" t="str">
        <f>IFERROR(VLOOKUP($C1335,'CEDARS School FRPL'!C:H,4,FALSE),"No")</f>
        <v>Yes</v>
      </c>
      <c r="K1335" s="109"/>
      <c r="L1335" s="109"/>
      <c r="M1335" s="110">
        <f>IFERROR(VLOOKUP($C1335,'CEDARS School FRPL'!C:H,3,FALSE),0)</f>
        <v>0.73523333333333329</v>
      </c>
      <c r="N1335" s="123" t="str">
        <f>IFERROR(VLOOKUP(C1335,'CEDARS School FRPL'!C:H,6,FALSE),"No")</f>
        <v>No</v>
      </c>
      <c r="O1335" s="147"/>
      <c r="P1335" s="148"/>
    </row>
    <row r="1336" spans="1:16">
      <c r="A1336" s="95" t="s">
        <v>2339</v>
      </c>
      <c r="B1336" s="95" t="s">
        <v>510</v>
      </c>
      <c r="C1336" s="4">
        <v>5584</v>
      </c>
      <c r="D1336" s="95" t="s">
        <v>2826</v>
      </c>
      <c r="E1336" s="145">
        <v>25.24</v>
      </c>
      <c r="F1336" s="145">
        <v>0.33</v>
      </c>
      <c r="G1336" s="145">
        <v>0.43</v>
      </c>
      <c r="H1336" s="145">
        <v>0</v>
      </c>
      <c r="I1336" s="77">
        <f t="shared" si="23"/>
        <v>25.999999999999996</v>
      </c>
      <c r="J1336" s="123" t="str">
        <f>IFERROR(VLOOKUP($C1336,'CEDARS School FRPL'!C:H,4,FALSE),"No")</f>
        <v>No</v>
      </c>
      <c r="K1336" s="109"/>
      <c r="L1336" s="109"/>
      <c r="M1336" s="110">
        <f>IFERROR(VLOOKUP($C1336,'CEDARS School FRPL'!C:H,3,FALSE),0)</f>
        <v>0.41866666666666669</v>
      </c>
      <c r="N1336" s="123" t="str">
        <f>IFERROR(VLOOKUP(C1336,'CEDARS School FRPL'!C:H,6,FALSE),"No")</f>
        <v>No</v>
      </c>
      <c r="O1336" s="147"/>
      <c r="P1336" s="148"/>
    </row>
    <row r="1337" spans="1:16">
      <c r="A1337" s="95" t="s">
        <v>2339</v>
      </c>
      <c r="B1337" s="95" t="s">
        <v>510</v>
      </c>
      <c r="C1337" s="4">
        <v>5594</v>
      </c>
      <c r="D1337" s="95" t="s">
        <v>3072</v>
      </c>
      <c r="E1337" s="145">
        <v>3.86</v>
      </c>
      <c r="F1337" s="145">
        <v>0</v>
      </c>
      <c r="G1337" s="145">
        <v>0</v>
      </c>
      <c r="H1337" s="145">
        <v>0</v>
      </c>
      <c r="I1337" s="77">
        <f t="shared" si="23"/>
        <v>3.86</v>
      </c>
      <c r="J1337" s="123" t="str">
        <f>IFERROR(VLOOKUP($C1337,'CEDARS School FRPL'!C:H,4,FALSE),"No")</f>
        <v>No</v>
      </c>
      <c r="K1337" s="109"/>
      <c r="L1337" s="109"/>
      <c r="M1337" s="110">
        <f>IFERROR(VLOOKUP($C1337,'CEDARS School FRPL'!C:H,3,FALSE),0)</f>
        <v>0</v>
      </c>
      <c r="N1337" s="123" t="str">
        <f>IFERROR(VLOOKUP(C1337,'CEDARS School FRPL'!C:H,6,FALSE),"No")</f>
        <v>No</v>
      </c>
      <c r="O1337" s="147"/>
      <c r="P1337" s="148"/>
    </row>
    <row r="1338" spans="1:16">
      <c r="A1338" s="95" t="s">
        <v>2429</v>
      </c>
      <c r="B1338" s="95" t="s">
        <v>1261</v>
      </c>
      <c r="C1338" s="4">
        <v>2517</v>
      </c>
      <c r="D1338" s="95" t="s">
        <v>1262</v>
      </c>
      <c r="E1338" s="145">
        <v>232.48</v>
      </c>
      <c r="F1338" s="145">
        <v>0</v>
      </c>
      <c r="G1338" s="145">
        <v>0</v>
      </c>
      <c r="H1338" s="145">
        <v>0</v>
      </c>
      <c r="I1338" s="77">
        <f t="shared" si="23"/>
        <v>232.48</v>
      </c>
      <c r="J1338" s="123" t="str">
        <f>IFERROR(VLOOKUP($C1338,'CEDARS School FRPL'!C:H,4,FALSE),"No")</f>
        <v>Yes</v>
      </c>
      <c r="K1338" s="109"/>
      <c r="L1338" s="109"/>
      <c r="M1338" s="110">
        <f>IFERROR(VLOOKUP($C1338,'CEDARS School FRPL'!C:H,3,FALSE),0)</f>
        <v>0.57529999999999992</v>
      </c>
      <c r="N1338" s="123" t="str">
        <f>IFERROR(VLOOKUP(C1338,'CEDARS School FRPL'!C:H,6,FALSE),"No")</f>
        <v>No</v>
      </c>
      <c r="O1338" s="147"/>
      <c r="P1338" s="148"/>
    </row>
    <row r="1339" spans="1:16">
      <c r="A1339" s="95" t="s">
        <v>2429</v>
      </c>
      <c r="B1339" s="95" t="s">
        <v>1261</v>
      </c>
      <c r="C1339" s="4">
        <v>3531</v>
      </c>
      <c r="D1339" s="95" t="s">
        <v>1263</v>
      </c>
      <c r="E1339" s="145">
        <v>205.02</v>
      </c>
      <c r="F1339" s="145">
        <v>0</v>
      </c>
      <c r="G1339" s="145">
        <v>0</v>
      </c>
      <c r="H1339" s="145">
        <v>0</v>
      </c>
      <c r="I1339" s="77">
        <f t="shared" si="23"/>
        <v>205.02</v>
      </c>
      <c r="J1339" s="123" t="str">
        <f>IFERROR(VLOOKUP($C1339,'CEDARS School FRPL'!C:H,4,FALSE),"No")</f>
        <v>Yes</v>
      </c>
      <c r="K1339" s="109"/>
      <c r="L1339" s="109"/>
      <c r="M1339" s="110">
        <f>IFERROR(VLOOKUP($C1339,'CEDARS School FRPL'!C:H,3,FALSE),0)</f>
        <v>0.72366666666666657</v>
      </c>
      <c r="N1339" s="123" t="str">
        <f>IFERROR(VLOOKUP(C1339,'CEDARS School FRPL'!C:H,6,FALSE),"No")</f>
        <v>No</v>
      </c>
      <c r="O1339" s="147"/>
      <c r="P1339" s="148"/>
    </row>
    <row r="1340" spans="1:16">
      <c r="A1340" s="95" t="s">
        <v>2429</v>
      </c>
      <c r="B1340" s="95" t="s">
        <v>1261</v>
      </c>
      <c r="C1340" s="4">
        <v>4039</v>
      </c>
      <c r="D1340" s="95" t="s">
        <v>1264</v>
      </c>
      <c r="E1340" s="145">
        <v>188.49</v>
      </c>
      <c r="F1340" s="145">
        <v>0</v>
      </c>
      <c r="G1340" s="145">
        <v>0</v>
      </c>
      <c r="H1340" s="145">
        <v>0</v>
      </c>
      <c r="I1340" s="77">
        <f t="shared" si="23"/>
        <v>188.49</v>
      </c>
      <c r="J1340" s="123" t="str">
        <f>IFERROR(VLOOKUP($C1340,'CEDARS School FRPL'!C:H,4,FALSE),"No")</f>
        <v>Yes</v>
      </c>
      <c r="K1340" s="109"/>
      <c r="L1340" s="109"/>
      <c r="M1340" s="110">
        <f>IFERROR(VLOOKUP($C1340,'CEDARS School FRPL'!C:H,3,FALSE),0)</f>
        <v>0.68496666666666661</v>
      </c>
      <c r="N1340" s="123" t="str">
        <f>IFERROR(VLOOKUP(C1340,'CEDARS School FRPL'!C:H,6,FALSE),"No")</f>
        <v>No</v>
      </c>
      <c r="O1340" s="147"/>
      <c r="P1340" s="148"/>
    </row>
    <row r="1341" spans="1:16">
      <c r="A1341" s="95" t="s">
        <v>2429</v>
      </c>
      <c r="B1341" s="95" t="s">
        <v>1261</v>
      </c>
      <c r="C1341" s="4">
        <v>4220</v>
      </c>
      <c r="D1341" s="95" t="s">
        <v>1265</v>
      </c>
      <c r="E1341" s="145">
        <v>286.10000000000002</v>
      </c>
      <c r="F1341" s="145">
        <v>15.38</v>
      </c>
      <c r="G1341" s="145">
        <v>0</v>
      </c>
      <c r="H1341" s="145">
        <v>0</v>
      </c>
      <c r="I1341" s="77">
        <f t="shared" si="23"/>
        <v>301.48</v>
      </c>
      <c r="J1341" s="123" t="str">
        <f>IFERROR(VLOOKUP($C1341,'CEDARS School FRPL'!C:H,4,FALSE),"No")</f>
        <v>Yes</v>
      </c>
      <c r="K1341" s="109"/>
      <c r="L1341" s="109"/>
      <c r="M1341" s="110">
        <f>IFERROR(VLOOKUP($C1341,'CEDARS School FRPL'!C:H,3,FALSE),0)</f>
        <v>0.59199999999999997</v>
      </c>
      <c r="N1341" s="123" t="str">
        <f>IFERROR(VLOOKUP(C1341,'CEDARS School FRPL'!C:H,6,FALSE),"No")</f>
        <v>No</v>
      </c>
      <c r="O1341" s="147"/>
      <c r="P1341" s="148"/>
    </row>
    <row r="1342" spans="1:16">
      <c r="A1342" s="95" t="s">
        <v>2429</v>
      </c>
      <c r="B1342" s="95" t="s">
        <v>1261</v>
      </c>
      <c r="C1342" s="4">
        <v>5647</v>
      </c>
      <c r="D1342" s="95" t="s">
        <v>1266</v>
      </c>
      <c r="E1342" s="145">
        <v>89.76</v>
      </c>
      <c r="F1342" s="145">
        <v>0.6</v>
      </c>
      <c r="G1342" s="145">
        <v>4.8600000000000003</v>
      </c>
      <c r="H1342" s="145">
        <v>0</v>
      </c>
      <c r="I1342" s="77">
        <f t="shared" si="23"/>
        <v>95.22</v>
      </c>
      <c r="J1342" s="123" t="str">
        <f>IFERROR(VLOOKUP($C1342,'CEDARS School FRPL'!C:H,4,FALSE),"No")</f>
        <v>Yes</v>
      </c>
      <c r="K1342" s="109"/>
      <c r="L1342" s="109"/>
      <c r="M1342" s="110">
        <f>IFERROR(VLOOKUP($C1342,'CEDARS School FRPL'!C:H,3,FALSE),0)</f>
        <v>0.69874999999999998</v>
      </c>
      <c r="N1342" s="123" t="str">
        <f>IFERROR(VLOOKUP(C1342,'CEDARS School FRPL'!C:H,6,FALSE),"No")</f>
        <v>No</v>
      </c>
      <c r="O1342" s="147"/>
      <c r="P1342" s="148"/>
    </row>
    <row r="1343" spans="1:16">
      <c r="A1343" s="95" t="s">
        <v>2338</v>
      </c>
      <c r="B1343" s="95" t="s">
        <v>507</v>
      </c>
      <c r="C1343" s="4">
        <v>3024</v>
      </c>
      <c r="D1343" s="95" t="s">
        <v>508</v>
      </c>
      <c r="E1343" s="145">
        <v>243.33</v>
      </c>
      <c r="F1343" s="145">
        <v>17.55</v>
      </c>
      <c r="G1343" s="145">
        <v>2.71</v>
      </c>
      <c r="H1343" s="145">
        <v>0</v>
      </c>
      <c r="I1343" s="77">
        <f t="shared" si="23"/>
        <v>263.58999999999997</v>
      </c>
      <c r="J1343" s="123" t="str">
        <f>IFERROR(VLOOKUP($C1343,'CEDARS School FRPL'!C:H,4,FALSE),"No")</f>
        <v>Yes</v>
      </c>
      <c r="K1343" s="109"/>
      <c r="L1343" s="109"/>
      <c r="M1343" s="110">
        <f>IFERROR(VLOOKUP($C1343,'CEDARS School FRPL'!C:H,3,FALSE),0)</f>
        <v>0.7907333333333334</v>
      </c>
      <c r="N1343" s="123" t="str">
        <f>IFERROR(VLOOKUP(C1343,'CEDARS School FRPL'!C:H,6,FALSE),"No")</f>
        <v>No</v>
      </c>
      <c r="O1343" s="147"/>
      <c r="P1343" s="148"/>
    </row>
    <row r="1344" spans="1:16">
      <c r="A1344" s="95" t="s">
        <v>2338</v>
      </c>
      <c r="B1344" s="95" t="s">
        <v>507</v>
      </c>
      <c r="C1344" s="4">
        <v>3025</v>
      </c>
      <c r="D1344" s="95" t="s">
        <v>509</v>
      </c>
      <c r="E1344" s="145">
        <v>279.18</v>
      </c>
      <c r="F1344" s="145">
        <v>0</v>
      </c>
      <c r="G1344" s="145">
        <v>0</v>
      </c>
      <c r="H1344" s="145">
        <v>0</v>
      </c>
      <c r="I1344" s="77">
        <f t="shared" si="23"/>
        <v>279.18</v>
      </c>
      <c r="J1344" s="123" t="str">
        <f>IFERROR(VLOOKUP($C1344,'CEDARS School FRPL'!C:H,4,FALSE),"No")</f>
        <v>Yes</v>
      </c>
      <c r="K1344" s="109"/>
      <c r="L1344" s="109"/>
      <c r="M1344" s="110">
        <f>IFERROR(VLOOKUP($C1344,'CEDARS School FRPL'!C:H,3,FALSE),0)</f>
        <v>0.76763333333333339</v>
      </c>
      <c r="N1344" s="123" t="str">
        <f>IFERROR(VLOOKUP(C1344,'CEDARS School FRPL'!C:H,6,FALSE),"No")</f>
        <v>No</v>
      </c>
      <c r="O1344" s="147"/>
      <c r="P1344" s="148"/>
    </row>
    <row r="1345" spans="1:16">
      <c r="A1345" s="95" t="s">
        <v>2338</v>
      </c>
      <c r="B1345" s="95" t="s">
        <v>507</v>
      </c>
      <c r="C1345" s="4">
        <v>5708</v>
      </c>
      <c r="D1345" s="95" t="s">
        <v>3033</v>
      </c>
      <c r="E1345" s="145">
        <v>21.36</v>
      </c>
      <c r="F1345" s="145">
        <v>0</v>
      </c>
      <c r="G1345" s="145">
        <v>0</v>
      </c>
      <c r="H1345" s="145">
        <v>0</v>
      </c>
      <c r="I1345" s="77">
        <f t="shared" si="23"/>
        <v>21.36</v>
      </c>
      <c r="J1345" s="123" t="str">
        <f>IFERROR(VLOOKUP($C1345,'CEDARS School FRPL'!C:H,4,FALSE),"No")</f>
        <v>Yes</v>
      </c>
      <c r="K1345" s="109"/>
      <c r="L1345" s="109"/>
      <c r="M1345" s="110">
        <f>IFERROR(VLOOKUP($C1345,'CEDARS School FRPL'!C:H,3,FALSE),0)</f>
        <v>0.83330000000000004</v>
      </c>
      <c r="N1345" s="123" t="str">
        <f>IFERROR(VLOOKUP(C1345,'CEDARS School FRPL'!C:H,6,FALSE),"No")</f>
        <v>No</v>
      </c>
      <c r="O1345" s="147"/>
      <c r="P1345" s="148"/>
    </row>
    <row r="1346" spans="1:16">
      <c r="A1346" s="95" t="s">
        <v>2410</v>
      </c>
      <c r="B1346" s="95" t="s">
        <v>1192</v>
      </c>
      <c r="C1346" s="4">
        <v>2443</v>
      </c>
      <c r="D1346" s="95" t="s">
        <v>1193</v>
      </c>
      <c r="E1346" s="145">
        <v>106.24</v>
      </c>
      <c r="F1346" s="145">
        <v>3.66</v>
      </c>
      <c r="G1346" s="145">
        <v>0</v>
      </c>
      <c r="H1346" s="145">
        <v>0</v>
      </c>
      <c r="I1346" s="77">
        <f t="shared" si="23"/>
        <v>109.89999999999999</v>
      </c>
      <c r="J1346" s="123" t="str">
        <f>IFERROR(VLOOKUP($C1346,'CEDARS School FRPL'!C:H,4,FALSE),"No")</f>
        <v>No</v>
      </c>
      <c r="K1346" s="109"/>
      <c r="L1346" s="109"/>
      <c r="M1346" s="110">
        <f>IFERROR(VLOOKUP($C1346,'CEDARS School FRPL'!C:H,3,FALSE),0)</f>
        <v>0.38046666666666668</v>
      </c>
      <c r="N1346" s="123" t="str">
        <f>IFERROR(VLOOKUP(C1346,'CEDARS School FRPL'!C:H,6,FALSE),"No")</f>
        <v>No</v>
      </c>
      <c r="O1346" s="147"/>
      <c r="P1346" s="148"/>
    </row>
    <row r="1347" spans="1:16">
      <c r="A1347" s="95" t="s">
        <v>2410</v>
      </c>
      <c r="B1347" s="95" t="s">
        <v>1192</v>
      </c>
      <c r="C1347" s="4">
        <v>2769</v>
      </c>
      <c r="D1347" s="95" t="s">
        <v>1194</v>
      </c>
      <c r="E1347" s="145">
        <v>107.71</v>
      </c>
      <c r="F1347" s="145">
        <v>0</v>
      </c>
      <c r="G1347" s="145">
        <v>0</v>
      </c>
      <c r="H1347" s="145">
        <v>0</v>
      </c>
      <c r="I1347" s="77">
        <f t="shared" si="23"/>
        <v>107.71</v>
      </c>
      <c r="J1347" s="123" t="str">
        <f>IFERROR(VLOOKUP($C1347,'CEDARS School FRPL'!C:H,4,FALSE),"No")</f>
        <v>No</v>
      </c>
      <c r="K1347" s="109"/>
      <c r="L1347" s="109"/>
      <c r="M1347" s="110">
        <f>IFERROR(VLOOKUP($C1347,'CEDARS School FRPL'!C:H,3,FALSE),0)</f>
        <v>0.4919</v>
      </c>
      <c r="N1347" s="123" t="str">
        <f>IFERROR(VLOOKUP(C1347,'CEDARS School FRPL'!C:H,6,FALSE),"No")</f>
        <v>Yes</v>
      </c>
      <c r="O1347" s="147"/>
      <c r="P1347" s="148"/>
    </row>
    <row r="1348" spans="1:16">
      <c r="A1348" s="95" t="s">
        <v>2423</v>
      </c>
      <c r="B1348" s="95" t="s">
        <v>1236</v>
      </c>
      <c r="C1348" s="4">
        <v>1980</v>
      </c>
      <c r="D1348" s="95" t="s">
        <v>1237</v>
      </c>
      <c r="E1348" s="145">
        <v>17.29</v>
      </c>
      <c r="F1348" s="145">
        <v>0</v>
      </c>
      <c r="G1348" s="145">
        <v>0</v>
      </c>
      <c r="H1348" s="145">
        <v>0</v>
      </c>
      <c r="I1348" s="77">
        <f t="shared" ref="I1348:I1411" si="24">+E1348+F1348+G1348+H1348</f>
        <v>17.29</v>
      </c>
      <c r="J1348" s="123" t="str">
        <f>IFERROR(VLOOKUP($C1348,'CEDARS School FRPL'!C:H,4,FALSE),"No")</f>
        <v>Yes</v>
      </c>
      <c r="K1348" s="109"/>
      <c r="L1348" s="109"/>
      <c r="M1348" s="110">
        <f>IFERROR(VLOOKUP($C1348,'CEDARS School FRPL'!C:H,3,FALSE),0)</f>
        <v>0.74639999999999995</v>
      </c>
      <c r="N1348" s="123" t="str">
        <f>IFERROR(VLOOKUP(C1348,'CEDARS School FRPL'!C:H,6,FALSE),"No")</f>
        <v>No</v>
      </c>
      <c r="O1348" s="147"/>
      <c r="P1348" s="148"/>
    </row>
    <row r="1349" spans="1:16">
      <c r="A1349" s="95" t="s">
        <v>2423</v>
      </c>
      <c r="B1349" s="95" t="s">
        <v>1236</v>
      </c>
      <c r="C1349" s="4">
        <v>2245</v>
      </c>
      <c r="D1349" s="95" t="s">
        <v>1238</v>
      </c>
      <c r="E1349" s="145">
        <v>238.56</v>
      </c>
      <c r="F1349" s="145">
        <v>0</v>
      </c>
      <c r="G1349" s="145">
        <v>0</v>
      </c>
      <c r="H1349" s="145">
        <v>0</v>
      </c>
      <c r="I1349" s="77">
        <f t="shared" si="24"/>
        <v>238.56</v>
      </c>
      <c r="J1349" s="123" t="str">
        <f>IFERROR(VLOOKUP($C1349,'CEDARS School FRPL'!C:H,4,FALSE),"No")</f>
        <v>Yes</v>
      </c>
      <c r="K1349" s="109"/>
      <c r="L1349" s="109"/>
      <c r="M1349" s="110">
        <f>IFERROR(VLOOKUP($C1349,'CEDARS School FRPL'!C:H,3,FALSE),0)</f>
        <v>0.6288999999999999</v>
      </c>
      <c r="N1349" s="123" t="str">
        <f>IFERROR(VLOOKUP(C1349,'CEDARS School FRPL'!C:H,6,FALSE),"No")</f>
        <v>No</v>
      </c>
      <c r="O1349" s="147"/>
      <c r="P1349" s="148"/>
    </row>
    <row r="1350" spans="1:16">
      <c r="A1350" s="95" t="s">
        <v>2423</v>
      </c>
      <c r="B1350" s="95" t="s">
        <v>1236</v>
      </c>
      <c r="C1350" s="4">
        <v>2246</v>
      </c>
      <c r="D1350" s="95" t="s">
        <v>1239</v>
      </c>
      <c r="E1350" s="145">
        <v>294.55</v>
      </c>
      <c r="F1350" s="145">
        <v>17.61</v>
      </c>
      <c r="G1350" s="145">
        <v>0</v>
      </c>
      <c r="H1350" s="145">
        <v>0</v>
      </c>
      <c r="I1350" s="77">
        <f t="shared" si="24"/>
        <v>312.16000000000003</v>
      </c>
      <c r="J1350" s="123" t="str">
        <f>IFERROR(VLOOKUP($C1350,'CEDARS School FRPL'!C:H,4,FALSE),"No")</f>
        <v>Yes</v>
      </c>
      <c r="K1350" s="109"/>
      <c r="L1350" s="109"/>
      <c r="M1350" s="110">
        <f>IFERROR(VLOOKUP($C1350,'CEDARS School FRPL'!C:H,3,FALSE),0)</f>
        <v>0.55596666666666661</v>
      </c>
      <c r="N1350" s="123" t="str">
        <f>IFERROR(VLOOKUP(C1350,'CEDARS School FRPL'!C:H,6,FALSE),"No")</f>
        <v>No</v>
      </c>
      <c r="O1350" s="147"/>
      <c r="P1350" s="148"/>
    </row>
    <row r="1351" spans="1:16">
      <c r="A1351" s="95" t="s">
        <v>2423</v>
      </c>
      <c r="B1351" s="95" t="s">
        <v>1236</v>
      </c>
      <c r="C1351" s="4">
        <v>2539</v>
      </c>
      <c r="D1351" s="95" t="s">
        <v>1240</v>
      </c>
      <c r="E1351" s="145">
        <v>393.72</v>
      </c>
      <c r="F1351" s="145">
        <v>0</v>
      </c>
      <c r="G1351" s="145">
        <v>0</v>
      </c>
      <c r="H1351" s="145">
        <v>0</v>
      </c>
      <c r="I1351" s="77">
        <f t="shared" si="24"/>
        <v>393.72</v>
      </c>
      <c r="J1351" s="123" t="str">
        <f>IFERROR(VLOOKUP($C1351,'CEDARS School FRPL'!C:H,4,FALSE),"No")</f>
        <v>Yes</v>
      </c>
      <c r="K1351" s="109"/>
      <c r="L1351" s="109"/>
      <c r="M1351" s="110">
        <f>IFERROR(VLOOKUP($C1351,'CEDARS School FRPL'!C:H,3,FALSE),0)</f>
        <v>0.66193333333333337</v>
      </c>
      <c r="N1351" s="123" t="str">
        <f>IFERROR(VLOOKUP(C1351,'CEDARS School FRPL'!C:H,6,FALSE),"No")</f>
        <v>No</v>
      </c>
      <c r="O1351" s="147"/>
      <c r="P1351" s="148"/>
    </row>
    <row r="1352" spans="1:16">
      <c r="A1352" s="95" t="s">
        <v>2423</v>
      </c>
      <c r="B1352" s="95" t="s">
        <v>1236</v>
      </c>
      <c r="C1352" s="4">
        <v>5151</v>
      </c>
      <c r="D1352" s="95" t="s">
        <v>1241</v>
      </c>
      <c r="E1352" s="145">
        <v>78.2</v>
      </c>
      <c r="F1352" s="145">
        <v>0</v>
      </c>
      <c r="G1352" s="145">
        <v>0</v>
      </c>
      <c r="H1352" s="145">
        <v>0</v>
      </c>
      <c r="I1352" s="77">
        <f t="shared" si="24"/>
        <v>78.2</v>
      </c>
      <c r="J1352" s="123" t="str">
        <f>IFERROR(VLOOKUP($C1352,'CEDARS School FRPL'!C:H,4,FALSE),"No")</f>
        <v>Yes</v>
      </c>
      <c r="K1352" s="109"/>
      <c r="L1352" s="109"/>
      <c r="M1352" s="110">
        <f>IFERROR(VLOOKUP($C1352,'CEDARS School FRPL'!C:H,3,FALSE),0)</f>
        <v>0.77910000000000001</v>
      </c>
      <c r="N1352" s="123" t="str">
        <f>IFERROR(VLOOKUP(C1352,'CEDARS School FRPL'!C:H,6,FALSE),"No")</f>
        <v>No</v>
      </c>
      <c r="O1352" s="147"/>
      <c r="P1352" s="148"/>
    </row>
    <row r="1353" spans="1:16">
      <c r="A1353" s="95" t="s">
        <v>2518</v>
      </c>
      <c r="B1353" s="95" t="s">
        <v>2007</v>
      </c>
      <c r="C1353" s="4">
        <v>1768</v>
      </c>
      <c r="D1353" s="95" t="s">
        <v>2008</v>
      </c>
      <c r="E1353" s="145">
        <v>170.02</v>
      </c>
      <c r="F1353" s="145">
        <v>9.31</v>
      </c>
      <c r="G1353" s="145">
        <v>36.42</v>
      </c>
      <c r="H1353" s="145">
        <v>0</v>
      </c>
      <c r="I1353" s="77">
        <f t="shared" si="24"/>
        <v>215.75</v>
      </c>
      <c r="J1353" s="123" t="str">
        <f>IFERROR(VLOOKUP($C1353,'CEDARS School FRPL'!C:H,4,FALSE),"No")</f>
        <v>No</v>
      </c>
      <c r="K1353" s="109"/>
      <c r="L1353" s="109"/>
      <c r="M1353" s="110">
        <f>IFERROR(VLOOKUP($C1353,'CEDARS School FRPL'!C:H,3,FALSE),0)</f>
        <v>0.30056666666666665</v>
      </c>
      <c r="N1353" s="123" t="str">
        <f>IFERROR(VLOOKUP(C1353,'CEDARS School FRPL'!C:H,6,FALSE),"No")</f>
        <v>No</v>
      </c>
      <c r="O1353" s="147"/>
      <c r="P1353" s="148"/>
    </row>
    <row r="1354" spans="1:16">
      <c r="A1354" s="95" t="s">
        <v>2518</v>
      </c>
      <c r="B1354" s="95" t="s">
        <v>2007</v>
      </c>
      <c r="C1354" s="4">
        <v>2342</v>
      </c>
      <c r="D1354" s="95" t="s">
        <v>50</v>
      </c>
      <c r="E1354" s="145">
        <v>246.68</v>
      </c>
      <c r="F1354" s="145">
        <v>0</v>
      </c>
      <c r="G1354" s="145">
        <v>0</v>
      </c>
      <c r="H1354" s="145">
        <v>0</v>
      </c>
      <c r="I1354" s="77">
        <f t="shared" si="24"/>
        <v>246.68</v>
      </c>
      <c r="J1354" s="123" t="str">
        <f>IFERROR(VLOOKUP($C1354,'CEDARS School FRPL'!C:H,4,FALSE),"No")</f>
        <v>No</v>
      </c>
      <c r="K1354" s="109"/>
      <c r="L1354" s="109"/>
      <c r="M1354" s="110">
        <f>IFERROR(VLOOKUP($C1354,'CEDARS School FRPL'!C:H,3,FALSE),0)</f>
        <v>0.26176666666666665</v>
      </c>
      <c r="N1354" s="123" t="str">
        <f>IFERROR(VLOOKUP(C1354,'CEDARS School FRPL'!C:H,6,FALSE),"No")</f>
        <v>No</v>
      </c>
      <c r="O1354" s="147"/>
      <c r="P1354" s="148"/>
    </row>
    <row r="1355" spans="1:16">
      <c r="A1355" s="95" t="s">
        <v>2518</v>
      </c>
      <c r="B1355" s="95" t="s">
        <v>2007</v>
      </c>
      <c r="C1355" s="4">
        <v>2448</v>
      </c>
      <c r="D1355" s="95" t="s">
        <v>1597</v>
      </c>
      <c r="E1355" s="145">
        <v>289.29000000000002</v>
      </c>
      <c r="F1355" s="145">
        <v>0</v>
      </c>
      <c r="G1355" s="145">
        <v>0</v>
      </c>
      <c r="H1355" s="145">
        <v>0</v>
      </c>
      <c r="I1355" s="77">
        <f t="shared" si="24"/>
        <v>289.29000000000002</v>
      </c>
      <c r="J1355" s="123" t="str">
        <f>IFERROR(VLOOKUP($C1355,'CEDARS School FRPL'!C:H,4,FALSE),"No")</f>
        <v>Yes</v>
      </c>
      <c r="K1355" s="109"/>
      <c r="L1355" s="109"/>
      <c r="M1355" s="110">
        <f>IFERROR(VLOOKUP($C1355,'CEDARS School FRPL'!C:H,3,FALSE),0)</f>
        <v>0.64060000000000006</v>
      </c>
      <c r="N1355" s="123" t="str">
        <f>IFERROR(VLOOKUP(C1355,'CEDARS School FRPL'!C:H,6,FALSE),"No")</f>
        <v>No</v>
      </c>
      <c r="O1355" s="147"/>
      <c r="P1355" s="148"/>
    </row>
    <row r="1356" spans="1:16">
      <c r="A1356" s="95" t="s">
        <v>2518</v>
      </c>
      <c r="B1356" s="95" t="s">
        <v>2007</v>
      </c>
      <c r="C1356" s="4">
        <v>2487</v>
      </c>
      <c r="D1356" s="95" t="s">
        <v>2009</v>
      </c>
      <c r="E1356" s="145">
        <v>183.65</v>
      </c>
      <c r="F1356" s="145">
        <v>0</v>
      </c>
      <c r="G1356" s="145">
        <v>0</v>
      </c>
      <c r="H1356" s="145">
        <v>0</v>
      </c>
      <c r="I1356" s="77">
        <f t="shared" si="24"/>
        <v>183.65</v>
      </c>
      <c r="J1356" s="123" t="str">
        <f>IFERROR(VLOOKUP($C1356,'CEDARS School FRPL'!C:H,4,FALSE),"No")</f>
        <v>No</v>
      </c>
      <c r="K1356" s="109"/>
      <c r="L1356" s="109"/>
      <c r="M1356" s="110">
        <f>IFERROR(VLOOKUP($C1356,'CEDARS School FRPL'!C:H,3,FALSE),0)</f>
        <v>0.1532</v>
      </c>
      <c r="N1356" s="123" t="str">
        <f>IFERROR(VLOOKUP(C1356,'CEDARS School FRPL'!C:H,6,FALSE),"No")</f>
        <v>No</v>
      </c>
      <c r="O1356" s="147"/>
      <c r="P1356" s="148"/>
    </row>
    <row r="1357" spans="1:16">
      <c r="A1357" s="95" t="s">
        <v>2518</v>
      </c>
      <c r="B1357" s="95" t="s">
        <v>2007</v>
      </c>
      <c r="C1357" s="4">
        <v>2621</v>
      </c>
      <c r="D1357" s="95" t="s">
        <v>2010</v>
      </c>
      <c r="E1357" s="145">
        <v>375.23</v>
      </c>
      <c r="F1357" s="145">
        <v>0</v>
      </c>
      <c r="G1357" s="145">
        <v>0</v>
      </c>
      <c r="H1357" s="145">
        <v>0</v>
      </c>
      <c r="I1357" s="77">
        <f t="shared" si="24"/>
        <v>375.23</v>
      </c>
      <c r="J1357" s="123" t="str">
        <f>IFERROR(VLOOKUP($C1357,'CEDARS School FRPL'!C:H,4,FALSE),"No")</f>
        <v>No</v>
      </c>
      <c r="K1357" s="109"/>
      <c r="L1357" s="109"/>
      <c r="M1357" s="110">
        <f>IFERROR(VLOOKUP($C1357,'CEDARS School FRPL'!C:H,3,FALSE),0)</f>
        <v>0.29393333333333332</v>
      </c>
      <c r="N1357" s="123" t="str">
        <f>IFERROR(VLOOKUP(C1357,'CEDARS School FRPL'!C:H,6,FALSE),"No")</f>
        <v>No</v>
      </c>
      <c r="O1357" s="147"/>
      <c r="P1357" s="148"/>
    </row>
    <row r="1358" spans="1:16">
      <c r="A1358" s="95" t="s">
        <v>2518</v>
      </c>
      <c r="B1358" s="95" t="s">
        <v>2007</v>
      </c>
      <c r="C1358" s="4">
        <v>2778</v>
      </c>
      <c r="D1358" s="95" t="s">
        <v>144</v>
      </c>
      <c r="E1358" s="145">
        <v>374.27</v>
      </c>
      <c r="F1358" s="145">
        <v>0</v>
      </c>
      <c r="G1358" s="145">
        <v>0</v>
      </c>
      <c r="H1358" s="145">
        <v>0</v>
      </c>
      <c r="I1358" s="77">
        <f t="shared" si="24"/>
        <v>374.27</v>
      </c>
      <c r="J1358" s="123" t="str">
        <f>IFERROR(VLOOKUP($C1358,'CEDARS School FRPL'!C:H,4,FALSE),"No")</f>
        <v>No</v>
      </c>
      <c r="K1358" s="109"/>
      <c r="L1358" s="109"/>
      <c r="M1358" s="110">
        <f>IFERROR(VLOOKUP($C1358,'CEDARS School FRPL'!C:H,3,FALSE),0)</f>
        <v>0.33746666666666664</v>
      </c>
      <c r="N1358" s="123" t="str">
        <f>IFERROR(VLOOKUP(C1358,'CEDARS School FRPL'!C:H,6,FALSE),"No")</f>
        <v>No</v>
      </c>
      <c r="O1358" s="147"/>
      <c r="P1358" s="148"/>
    </row>
    <row r="1359" spans="1:16">
      <c r="A1359" s="95" t="s">
        <v>2518</v>
      </c>
      <c r="B1359" s="95" t="s">
        <v>2007</v>
      </c>
      <c r="C1359" s="4">
        <v>3066</v>
      </c>
      <c r="D1359" s="95" t="s">
        <v>2011</v>
      </c>
      <c r="E1359" s="145">
        <v>208.87</v>
      </c>
      <c r="F1359" s="145">
        <v>0</v>
      </c>
      <c r="G1359" s="145">
        <v>0</v>
      </c>
      <c r="H1359" s="145">
        <v>0</v>
      </c>
      <c r="I1359" s="77">
        <f t="shared" si="24"/>
        <v>208.87</v>
      </c>
      <c r="J1359" s="123" t="str">
        <f>IFERROR(VLOOKUP($C1359,'CEDARS School FRPL'!C:H,4,FALSE),"No")</f>
        <v>No</v>
      </c>
      <c r="K1359" s="109"/>
      <c r="L1359" s="109"/>
      <c r="M1359" s="110">
        <f>IFERROR(VLOOKUP($C1359,'CEDARS School FRPL'!C:H,3,FALSE),0)</f>
        <v>0.36156666666666665</v>
      </c>
      <c r="N1359" s="123" t="str">
        <f>IFERROR(VLOOKUP(C1359,'CEDARS School FRPL'!C:H,6,FALSE),"No")</f>
        <v>No</v>
      </c>
      <c r="O1359" s="147"/>
      <c r="P1359" s="148"/>
    </row>
    <row r="1360" spans="1:16">
      <c r="A1360" s="95" t="s">
        <v>2518</v>
      </c>
      <c r="B1360" s="95" t="s">
        <v>2007</v>
      </c>
      <c r="C1360" s="4">
        <v>3132</v>
      </c>
      <c r="D1360" s="95" t="s">
        <v>2012</v>
      </c>
      <c r="E1360" s="145">
        <v>1639.81</v>
      </c>
      <c r="F1360" s="145">
        <v>186.42000000000002</v>
      </c>
      <c r="G1360" s="145">
        <v>0</v>
      </c>
      <c r="H1360" s="145">
        <v>0</v>
      </c>
      <c r="I1360" s="77">
        <f t="shared" si="24"/>
        <v>1826.23</v>
      </c>
      <c r="J1360" s="123" t="str">
        <f>IFERROR(VLOOKUP($C1360,'CEDARS School FRPL'!C:H,4,FALSE),"No")</f>
        <v>No</v>
      </c>
      <c r="K1360" s="109"/>
      <c r="L1360" s="109"/>
      <c r="M1360" s="110">
        <f>IFERROR(VLOOKUP($C1360,'CEDARS School FRPL'!C:H,3,FALSE),0)</f>
        <v>0.17173333333333332</v>
      </c>
      <c r="N1360" s="123" t="str">
        <f>IFERROR(VLOOKUP(C1360,'CEDARS School FRPL'!C:H,6,FALSE),"No")</f>
        <v>No</v>
      </c>
      <c r="O1360" s="147"/>
      <c r="P1360" s="148"/>
    </row>
    <row r="1361" spans="1:16">
      <c r="A1361" s="95" t="s">
        <v>2518</v>
      </c>
      <c r="B1361" s="95" t="s">
        <v>2007</v>
      </c>
      <c r="C1361" s="4">
        <v>3133</v>
      </c>
      <c r="D1361" s="95" t="s">
        <v>198</v>
      </c>
      <c r="E1361" s="145">
        <v>449.91</v>
      </c>
      <c r="F1361" s="145">
        <v>0</v>
      </c>
      <c r="G1361" s="145">
        <v>0</v>
      </c>
      <c r="H1361" s="145">
        <v>0</v>
      </c>
      <c r="I1361" s="77">
        <f t="shared" si="24"/>
        <v>449.91</v>
      </c>
      <c r="J1361" s="123" t="str">
        <f>IFERROR(VLOOKUP($C1361,'CEDARS School FRPL'!C:H,4,FALSE),"No")</f>
        <v>No</v>
      </c>
      <c r="K1361" s="109"/>
      <c r="L1361" s="109"/>
      <c r="M1361" s="110">
        <f>IFERROR(VLOOKUP($C1361,'CEDARS School FRPL'!C:H,3,FALSE),0)</f>
        <v>0.43530000000000002</v>
      </c>
      <c r="N1361" s="123" t="str">
        <f>IFERROR(VLOOKUP(C1361,'CEDARS School FRPL'!C:H,6,FALSE),"No")</f>
        <v>No</v>
      </c>
      <c r="O1361" s="147"/>
      <c r="P1361" s="148"/>
    </row>
    <row r="1362" spans="1:16">
      <c r="A1362" s="95" t="s">
        <v>2518</v>
      </c>
      <c r="B1362" s="95" t="s">
        <v>2007</v>
      </c>
      <c r="C1362" s="4">
        <v>3540</v>
      </c>
      <c r="D1362" s="95" t="s">
        <v>2013</v>
      </c>
      <c r="E1362" s="145">
        <v>322.20999999999998</v>
      </c>
      <c r="F1362" s="145">
        <v>0</v>
      </c>
      <c r="G1362" s="145">
        <v>0</v>
      </c>
      <c r="H1362" s="145">
        <v>0</v>
      </c>
      <c r="I1362" s="77">
        <f t="shared" si="24"/>
        <v>322.20999999999998</v>
      </c>
      <c r="J1362" s="123" t="str">
        <f>IFERROR(VLOOKUP($C1362,'CEDARS School FRPL'!C:H,4,FALSE),"No")</f>
        <v>Yes</v>
      </c>
      <c r="K1362" s="109"/>
      <c r="L1362" s="109"/>
      <c r="M1362" s="110">
        <f>IFERROR(VLOOKUP($C1362,'CEDARS School FRPL'!C:H,3,FALSE),0)</f>
        <v>0.61026666666666662</v>
      </c>
      <c r="N1362" s="123" t="str">
        <f>IFERROR(VLOOKUP(C1362,'CEDARS School FRPL'!C:H,6,FALSE),"No")</f>
        <v>No</v>
      </c>
      <c r="O1362" s="147"/>
      <c r="P1362" s="148"/>
    </row>
    <row r="1363" spans="1:16">
      <c r="A1363" s="95" t="s">
        <v>2518</v>
      </c>
      <c r="B1363" s="95" t="s">
        <v>2007</v>
      </c>
      <c r="C1363" s="4">
        <v>3696</v>
      </c>
      <c r="D1363" s="95" t="s">
        <v>2014</v>
      </c>
      <c r="E1363" s="145">
        <v>372.79</v>
      </c>
      <c r="F1363" s="145">
        <v>0</v>
      </c>
      <c r="G1363" s="145">
        <v>0</v>
      </c>
      <c r="H1363" s="145">
        <v>0</v>
      </c>
      <c r="I1363" s="77">
        <f t="shared" si="24"/>
        <v>372.79</v>
      </c>
      <c r="J1363" s="123" t="str">
        <f>IFERROR(VLOOKUP($C1363,'CEDARS School FRPL'!C:H,4,FALSE),"No")</f>
        <v>No</v>
      </c>
      <c r="K1363" s="109"/>
      <c r="L1363" s="109"/>
      <c r="M1363" s="110">
        <f>IFERROR(VLOOKUP($C1363,'CEDARS School FRPL'!C:H,3,FALSE),0)</f>
        <v>0.34039999999999998</v>
      </c>
      <c r="N1363" s="123" t="str">
        <f>IFERROR(VLOOKUP(C1363,'CEDARS School FRPL'!C:H,6,FALSE),"No")</f>
        <v>No</v>
      </c>
      <c r="O1363" s="147"/>
      <c r="P1363" s="148"/>
    </row>
    <row r="1364" spans="1:16">
      <c r="A1364" s="95" t="s">
        <v>2518</v>
      </c>
      <c r="B1364" s="95" t="s">
        <v>2007</v>
      </c>
      <c r="C1364" s="4">
        <v>3697</v>
      </c>
      <c r="D1364" s="95" t="s">
        <v>244</v>
      </c>
      <c r="E1364" s="145">
        <v>389.74</v>
      </c>
      <c r="F1364" s="145">
        <v>0</v>
      </c>
      <c r="G1364" s="145">
        <v>0</v>
      </c>
      <c r="H1364" s="145">
        <v>0</v>
      </c>
      <c r="I1364" s="77">
        <f t="shared" si="24"/>
        <v>389.74</v>
      </c>
      <c r="J1364" s="123" t="str">
        <f>IFERROR(VLOOKUP($C1364,'CEDARS School FRPL'!C:H,4,FALSE),"No")</f>
        <v>No</v>
      </c>
      <c r="K1364" s="109"/>
      <c r="L1364" s="109"/>
      <c r="M1364" s="110">
        <f>IFERROR(VLOOKUP($C1364,'CEDARS School FRPL'!C:H,3,FALSE),0)</f>
        <v>0.16516666666666668</v>
      </c>
      <c r="N1364" s="123" t="str">
        <f>IFERROR(VLOOKUP(C1364,'CEDARS School FRPL'!C:H,6,FALSE),"No")</f>
        <v>No</v>
      </c>
      <c r="O1364" s="147"/>
      <c r="P1364" s="148"/>
    </row>
    <row r="1365" spans="1:16">
      <c r="A1365" s="95" t="s">
        <v>2518</v>
      </c>
      <c r="B1365" s="95" t="s">
        <v>2007</v>
      </c>
      <c r="C1365" s="4">
        <v>3711</v>
      </c>
      <c r="D1365" s="95" t="s">
        <v>631</v>
      </c>
      <c r="E1365" s="145">
        <v>761.65</v>
      </c>
      <c r="F1365" s="145">
        <v>0</v>
      </c>
      <c r="G1365" s="145">
        <v>0</v>
      </c>
      <c r="H1365" s="145">
        <v>0</v>
      </c>
      <c r="I1365" s="77">
        <f t="shared" si="24"/>
        <v>761.65</v>
      </c>
      <c r="J1365" s="123" t="str">
        <f>IFERROR(VLOOKUP($C1365,'CEDARS School FRPL'!C:H,4,FALSE),"No")</f>
        <v>No</v>
      </c>
      <c r="K1365" s="109"/>
      <c r="L1365" s="109"/>
      <c r="M1365" s="110">
        <f>IFERROR(VLOOKUP($C1365,'CEDARS School FRPL'!C:H,3,FALSE),0)</f>
        <v>0.19196666666666665</v>
      </c>
      <c r="N1365" s="123" t="str">
        <f>IFERROR(VLOOKUP(C1365,'CEDARS School FRPL'!C:H,6,FALSE),"No")</f>
        <v>No</v>
      </c>
      <c r="O1365" s="147"/>
      <c r="P1365" s="148"/>
    </row>
    <row r="1366" spans="1:16">
      <c r="A1366" s="95" t="s">
        <v>2518</v>
      </c>
      <c r="B1366" s="95" t="s">
        <v>2007</v>
      </c>
      <c r="C1366" s="4">
        <v>3960</v>
      </c>
      <c r="D1366" s="95" t="s">
        <v>2015</v>
      </c>
      <c r="E1366" s="145">
        <v>1195.33</v>
      </c>
      <c r="F1366" s="145">
        <v>163.22000000000003</v>
      </c>
      <c r="G1366" s="145">
        <v>0</v>
      </c>
      <c r="H1366" s="145">
        <v>0</v>
      </c>
      <c r="I1366" s="77">
        <f t="shared" si="24"/>
        <v>1358.55</v>
      </c>
      <c r="J1366" s="123" t="str">
        <f>IFERROR(VLOOKUP($C1366,'CEDARS School FRPL'!C:H,4,FALSE),"No")</f>
        <v>No</v>
      </c>
      <c r="K1366" s="109"/>
      <c r="L1366" s="109"/>
      <c r="M1366" s="110">
        <f>IFERROR(VLOOKUP($C1366,'CEDARS School FRPL'!C:H,3,FALSE),0)</f>
        <v>0.31619999999999998</v>
      </c>
      <c r="N1366" s="123" t="str">
        <f>IFERROR(VLOOKUP(C1366,'CEDARS School FRPL'!C:H,6,FALSE),"No")</f>
        <v>No</v>
      </c>
      <c r="O1366" s="147"/>
      <c r="P1366" s="148"/>
    </row>
    <row r="1367" spans="1:16">
      <c r="A1367" s="95" t="s">
        <v>2518</v>
      </c>
      <c r="B1367" s="95" t="s">
        <v>2007</v>
      </c>
      <c r="C1367" s="4">
        <v>4367</v>
      </c>
      <c r="D1367" s="95" t="s">
        <v>2016</v>
      </c>
      <c r="E1367" s="145">
        <v>461.97</v>
      </c>
      <c r="F1367" s="145">
        <v>0</v>
      </c>
      <c r="G1367" s="145">
        <v>0</v>
      </c>
      <c r="H1367" s="145">
        <v>0</v>
      </c>
      <c r="I1367" s="77">
        <f t="shared" si="24"/>
        <v>461.97</v>
      </c>
      <c r="J1367" s="123" t="str">
        <f>IFERROR(VLOOKUP($C1367,'CEDARS School FRPL'!C:H,4,FALSE),"No")</f>
        <v>No</v>
      </c>
      <c r="K1367" s="109"/>
      <c r="L1367" s="109"/>
      <c r="M1367" s="110">
        <f>IFERROR(VLOOKUP($C1367,'CEDARS School FRPL'!C:H,3,FALSE),0)</f>
        <v>0.16023333333333334</v>
      </c>
      <c r="N1367" s="123" t="str">
        <f>IFERROR(VLOOKUP(C1367,'CEDARS School FRPL'!C:H,6,FALSE),"No")</f>
        <v>No</v>
      </c>
      <c r="O1367" s="147"/>
      <c r="P1367" s="148"/>
    </row>
    <row r="1368" spans="1:16">
      <c r="A1368" s="95" t="s">
        <v>2518</v>
      </c>
      <c r="B1368" s="95" t="s">
        <v>2007</v>
      </c>
      <c r="C1368" s="4">
        <v>4458</v>
      </c>
      <c r="D1368" s="95" t="s">
        <v>2017</v>
      </c>
      <c r="E1368" s="145">
        <v>267.57</v>
      </c>
      <c r="F1368" s="145">
        <v>0</v>
      </c>
      <c r="G1368" s="145">
        <v>0</v>
      </c>
      <c r="H1368" s="145">
        <v>0</v>
      </c>
      <c r="I1368" s="77">
        <f t="shared" si="24"/>
        <v>267.57</v>
      </c>
      <c r="J1368" s="123" t="str">
        <f>IFERROR(VLOOKUP($C1368,'CEDARS School FRPL'!C:H,4,FALSE),"No")</f>
        <v>No</v>
      </c>
      <c r="K1368" s="109"/>
      <c r="L1368" s="109"/>
      <c r="M1368" s="110">
        <f>IFERROR(VLOOKUP($C1368,'CEDARS School FRPL'!C:H,3,FALSE),0)</f>
        <v>0.26886666666666664</v>
      </c>
      <c r="N1368" s="123" t="str">
        <f>IFERROR(VLOOKUP(C1368,'CEDARS School FRPL'!C:H,6,FALSE),"No")</f>
        <v>No</v>
      </c>
      <c r="O1368" s="147"/>
      <c r="P1368" s="148"/>
    </row>
    <row r="1369" spans="1:16">
      <c r="A1369" s="95" t="s">
        <v>2518</v>
      </c>
      <c r="B1369" s="95" t="s">
        <v>2007</v>
      </c>
      <c r="C1369" s="4">
        <v>4472</v>
      </c>
      <c r="D1369" s="95" t="s">
        <v>2018</v>
      </c>
      <c r="E1369" s="145">
        <v>437.91</v>
      </c>
      <c r="F1369" s="145">
        <v>0</v>
      </c>
      <c r="G1369" s="145">
        <v>0</v>
      </c>
      <c r="H1369" s="145">
        <v>0</v>
      </c>
      <c r="I1369" s="77">
        <f t="shared" si="24"/>
        <v>437.91</v>
      </c>
      <c r="J1369" s="123" t="str">
        <f>IFERROR(VLOOKUP($C1369,'CEDARS School FRPL'!C:H,4,FALSE),"No")</f>
        <v>No</v>
      </c>
      <c r="K1369" s="109"/>
      <c r="L1369" s="109"/>
      <c r="M1369" s="110">
        <f>IFERROR(VLOOKUP($C1369,'CEDARS School FRPL'!C:H,3,FALSE),0)</f>
        <v>0.45800000000000002</v>
      </c>
      <c r="N1369" s="123" t="str">
        <f>IFERROR(VLOOKUP(C1369,'CEDARS School FRPL'!C:H,6,FALSE),"No")</f>
        <v>No</v>
      </c>
      <c r="O1369" s="147"/>
      <c r="P1369" s="148"/>
    </row>
    <row r="1370" spans="1:16">
      <c r="A1370" s="95" t="s">
        <v>2518</v>
      </c>
      <c r="B1370" s="95" t="s">
        <v>2007</v>
      </c>
      <c r="C1370" s="4">
        <v>4473</v>
      </c>
      <c r="D1370" s="95" t="s">
        <v>2019</v>
      </c>
      <c r="E1370" s="145">
        <v>447.09</v>
      </c>
      <c r="F1370" s="145">
        <v>0</v>
      </c>
      <c r="G1370" s="145">
        <v>0</v>
      </c>
      <c r="H1370" s="145">
        <v>0</v>
      </c>
      <c r="I1370" s="77">
        <f t="shared" si="24"/>
        <v>447.09</v>
      </c>
      <c r="J1370" s="123" t="str">
        <f>IFERROR(VLOOKUP($C1370,'CEDARS School FRPL'!C:H,4,FALSE),"No")</f>
        <v>No</v>
      </c>
      <c r="K1370" s="109"/>
      <c r="L1370" s="109"/>
      <c r="M1370" s="110">
        <f>IFERROR(VLOOKUP($C1370,'CEDARS School FRPL'!C:H,3,FALSE),0)</f>
        <v>0.36853333333333332</v>
      </c>
      <c r="N1370" s="123" t="str">
        <f>IFERROR(VLOOKUP(C1370,'CEDARS School FRPL'!C:H,6,FALSE),"No")</f>
        <v>No</v>
      </c>
      <c r="O1370" s="147"/>
      <c r="P1370" s="148"/>
    </row>
    <row r="1371" spans="1:16">
      <c r="A1371" s="95" t="s">
        <v>2518</v>
      </c>
      <c r="B1371" s="95" t="s">
        <v>2007</v>
      </c>
      <c r="C1371" s="4">
        <v>5078</v>
      </c>
      <c r="D1371" s="95" t="s">
        <v>2020</v>
      </c>
      <c r="E1371" s="145">
        <v>597.37</v>
      </c>
      <c r="F1371" s="145">
        <v>23.44</v>
      </c>
      <c r="G1371" s="145">
        <v>0</v>
      </c>
      <c r="H1371" s="145">
        <v>0</v>
      </c>
      <c r="I1371" s="77">
        <f t="shared" si="24"/>
        <v>620.81000000000006</v>
      </c>
      <c r="J1371" s="123" t="str">
        <f>IFERROR(VLOOKUP($C1371,'CEDARS School FRPL'!C:H,4,FALSE),"No")</f>
        <v>No</v>
      </c>
      <c r="K1371" s="109"/>
      <c r="L1371" s="109"/>
      <c r="M1371" s="110">
        <f>IFERROR(VLOOKUP($C1371,'CEDARS School FRPL'!C:H,3,FALSE),0)</f>
        <v>0.31783333333333336</v>
      </c>
      <c r="N1371" s="123" t="str">
        <f>IFERROR(VLOOKUP(C1371,'CEDARS School FRPL'!C:H,6,FALSE),"No")</f>
        <v>No</v>
      </c>
      <c r="O1371" s="147"/>
      <c r="P1371" s="148"/>
    </row>
    <row r="1372" spans="1:16">
      <c r="A1372" s="95" t="s">
        <v>2422</v>
      </c>
      <c r="B1372" s="95" t="s">
        <v>1226</v>
      </c>
      <c r="C1372" s="4">
        <v>2031</v>
      </c>
      <c r="D1372" s="95" t="s">
        <v>1227</v>
      </c>
      <c r="E1372" s="145">
        <v>406.8</v>
      </c>
      <c r="F1372" s="145">
        <v>22.08</v>
      </c>
      <c r="G1372" s="145">
        <v>0</v>
      </c>
      <c r="H1372" s="145">
        <v>0</v>
      </c>
      <c r="I1372" s="77">
        <f t="shared" si="24"/>
        <v>428.88</v>
      </c>
      <c r="J1372" s="123" t="str">
        <f>IFERROR(VLOOKUP($C1372,'CEDARS School FRPL'!C:H,4,FALSE),"No")</f>
        <v>Yes</v>
      </c>
      <c r="K1372" s="109"/>
      <c r="L1372" s="109"/>
      <c r="M1372" s="110">
        <f>IFERROR(VLOOKUP($C1372,'CEDARS School FRPL'!C:H,3,FALSE),0)</f>
        <v>0.66703333333333337</v>
      </c>
      <c r="N1372" s="123" t="str">
        <f>IFERROR(VLOOKUP(C1372,'CEDARS School FRPL'!C:H,6,FALSE),"No")</f>
        <v>No</v>
      </c>
      <c r="O1372" s="147"/>
      <c r="P1372" s="148"/>
    </row>
    <row r="1373" spans="1:16">
      <c r="A1373" s="95" t="s">
        <v>2422</v>
      </c>
      <c r="B1373" s="95" t="s">
        <v>1226</v>
      </c>
      <c r="C1373" s="4">
        <v>2999</v>
      </c>
      <c r="D1373" s="95" t="s">
        <v>1228</v>
      </c>
      <c r="E1373" s="145">
        <v>330.31</v>
      </c>
      <c r="F1373" s="145">
        <v>0</v>
      </c>
      <c r="G1373" s="145">
        <v>0</v>
      </c>
      <c r="H1373" s="145">
        <v>0</v>
      </c>
      <c r="I1373" s="77">
        <f t="shared" si="24"/>
        <v>330.31</v>
      </c>
      <c r="J1373" s="123" t="str">
        <f>IFERROR(VLOOKUP($C1373,'CEDARS School FRPL'!C:H,4,FALSE),"No")</f>
        <v>Yes</v>
      </c>
      <c r="K1373" s="109"/>
      <c r="L1373" s="109"/>
      <c r="M1373" s="110">
        <f>IFERROR(VLOOKUP($C1373,'CEDARS School FRPL'!C:H,3,FALSE),0)</f>
        <v>0.78306666666666669</v>
      </c>
      <c r="N1373" s="123" t="str">
        <f>IFERROR(VLOOKUP(C1373,'CEDARS School FRPL'!C:H,6,FALSE),"No")</f>
        <v>No</v>
      </c>
      <c r="O1373" s="147"/>
      <c r="P1373" s="148"/>
    </row>
    <row r="1374" spans="1:16">
      <c r="A1374" s="95" t="s">
        <v>2422</v>
      </c>
      <c r="B1374" s="95" t="s">
        <v>1226</v>
      </c>
      <c r="C1374" s="4">
        <v>3051</v>
      </c>
      <c r="D1374" s="95" t="s">
        <v>1229</v>
      </c>
      <c r="E1374" s="145">
        <v>341.43</v>
      </c>
      <c r="F1374" s="145">
        <v>0</v>
      </c>
      <c r="G1374" s="145">
        <v>0</v>
      </c>
      <c r="H1374" s="145">
        <v>0</v>
      </c>
      <c r="I1374" s="77">
        <f t="shared" si="24"/>
        <v>341.43</v>
      </c>
      <c r="J1374" s="123" t="str">
        <f>IFERROR(VLOOKUP($C1374,'CEDARS School FRPL'!C:H,4,FALSE),"No")</f>
        <v>Yes</v>
      </c>
      <c r="K1374" s="109"/>
      <c r="L1374" s="109"/>
      <c r="M1374" s="110">
        <f>IFERROR(VLOOKUP($C1374,'CEDARS School FRPL'!C:H,3,FALSE),0)</f>
        <v>0.78733333333333333</v>
      </c>
      <c r="N1374" s="123" t="str">
        <f>IFERROR(VLOOKUP(C1374,'CEDARS School FRPL'!C:H,6,FALSE),"No")</f>
        <v>No</v>
      </c>
      <c r="O1374" s="147"/>
      <c r="P1374" s="148"/>
    </row>
    <row r="1375" spans="1:16">
      <c r="A1375" s="95" t="s">
        <v>2422</v>
      </c>
      <c r="B1375" s="95" t="s">
        <v>1226</v>
      </c>
      <c r="C1375" s="4">
        <v>4237</v>
      </c>
      <c r="D1375" s="95" t="s">
        <v>1230</v>
      </c>
      <c r="E1375" s="145">
        <v>356.37</v>
      </c>
      <c r="F1375" s="145">
        <v>0</v>
      </c>
      <c r="G1375" s="145">
        <v>0</v>
      </c>
      <c r="H1375" s="145">
        <v>0</v>
      </c>
      <c r="I1375" s="77">
        <f t="shared" si="24"/>
        <v>356.37</v>
      </c>
      <c r="J1375" s="123" t="str">
        <f>IFERROR(VLOOKUP($C1375,'CEDARS School FRPL'!C:H,4,FALSE),"No")</f>
        <v>Yes</v>
      </c>
      <c r="K1375" s="107"/>
      <c r="L1375" s="107"/>
      <c r="M1375" s="110">
        <f>IFERROR(VLOOKUP($C1375,'CEDARS School FRPL'!C:H,3,FALSE),0)</f>
        <v>0.73593333333333344</v>
      </c>
      <c r="N1375" s="123" t="str">
        <f>IFERROR(VLOOKUP(C1375,'CEDARS School FRPL'!C:H,6,FALSE),"No")</f>
        <v>No</v>
      </c>
      <c r="O1375" s="147"/>
      <c r="P1375" s="148"/>
    </row>
    <row r="1376" spans="1:16">
      <c r="A1376" s="95" t="s">
        <v>2422</v>
      </c>
      <c r="B1376" s="95" t="s">
        <v>1226</v>
      </c>
      <c r="C1376" s="4">
        <v>4278</v>
      </c>
      <c r="D1376" s="95" t="s">
        <v>1231</v>
      </c>
      <c r="E1376" s="145">
        <v>142.57</v>
      </c>
      <c r="F1376" s="145">
        <v>0</v>
      </c>
      <c r="G1376" s="145">
        <v>0</v>
      </c>
      <c r="H1376" s="145">
        <v>0</v>
      </c>
      <c r="I1376" s="77">
        <f t="shared" si="24"/>
        <v>142.57</v>
      </c>
      <c r="J1376" s="123" t="str">
        <f>IFERROR(VLOOKUP($C1376,'CEDARS School FRPL'!C:H,4,FALSE),"No")</f>
        <v>Yes</v>
      </c>
      <c r="K1376" s="109"/>
      <c r="L1376" s="109"/>
      <c r="M1376" s="110">
        <f>IFERROR(VLOOKUP($C1376,'CEDARS School FRPL'!C:H,3,FALSE),0)</f>
        <v>0.88719999999999999</v>
      </c>
      <c r="N1376" s="123" t="str">
        <f>IFERROR(VLOOKUP(C1376,'CEDARS School FRPL'!C:H,6,FALSE),"No")</f>
        <v>No</v>
      </c>
      <c r="O1376" s="147"/>
      <c r="P1376" s="148"/>
    </row>
    <row r="1377" spans="1:16">
      <c r="A1377" s="95" t="s">
        <v>2422</v>
      </c>
      <c r="B1377" s="95" t="s">
        <v>1226</v>
      </c>
      <c r="C1377" s="4">
        <v>4279</v>
      </c>
      <c r="D1377" s="95" t="s">
        <v>1232</v>
      </c>
      <c r="E1377" s="145">
        <v>26.85</v>
      </c>
      <c r="F1377" s="145">
        <v>0</v>
      </c>
      <c r="G1377" s="145">
        <v>0</v>
      </c>
      <c r="H1377" s="145">
        <v>0</v>
      </c>
      <c r="I1377" s="77">
        <f t="shared" si="24"/>
        <v>26.85</v>
      </c>
      <c r="J1377" s="123" t="str">
        <f>IFERROR(VLOOKUP($C1377,'CEDARS School FRPL'!C:H,4,FALSE),"No")</f>
        <v>Yes</v>
      </c>
      <c r="K1377" s="109"/>
      <c r="L1377" s="109"/>
      <c r="M1377" s="110">
        <f>IFERROR(VLOOKUP($C1377,'CEDARS School FRPL'!C:H,3,FALSE),0)</f>
        <v>0.68056666666666665</v>
      </c>
      <c r="N1377" s="123" t="str">
        <f>IFERROR(VLOOKUP(C1377,'CEDARS School FRPL'!C:H,6,FALSE),"No")</f>
        <v>No</v>
      </c>
      <c r="O1377" s="147"/>
      <c r="P1377" s="148"/>
    </row>
    <row r="1378" spans="1:16">
      <c r="A1378" s="95" t="s">
        <v>2422</v>
      </c>
      <c r="B1378" s="95" t="s">
        <v>1226</v>
      </c>
      <c r="C1378" s="4">
        <v>5195</v>
      </c>
      <c r="D1378" s="95" t="s">
        <v>1233</v>
      </c>
      <c r="E1378" s="145">
        <v>2047.11</v>
      </c>
      <c r="F1378" s="145">
        <v>0</v>
      </c>
      <c r="G1378" s="145">
        <v>0</v>
      </c>
      <c r="H1378" s="145">
        <v>0</v>
      </c>
      <c r="I1378" s="77">
        <f t="shared" si="24"/>
        <v>2047.11</v>
      </c>
      <c r="J1378" s="123" t="str">
        <f>IFERROR(VLOOKUP($C1378,'CEDARS School FRPL'!C:H,4,FALSE),"No")</f>
        <v>Yes</v>
      </c>
      <c r="K1378" s="109"/>
      <c r="L1378" s="109"/>
      <c r="M1378" s="110">
        <f>IFERROR(VLOOKUP($C1378,'CEDARS School FRPL'!C:H,3,FALSE),0)</f>
        <v>0.50816666666666677</v>
      </c>
      <c r="N1378" s="123" t="str">
        <f>IFERROR(VLOOKUP(C1378,'CEDARS School FRPL'!C:H,6,FALSE),"No")</f>
        <v>No</v>
      </c>
      <c r="O1378" s="147"/>
      <c r="P1378" s="148"/>
    </row>
    <row r="1379" spans="1:16">
      <c r="A1379" s="95" t="s">
        <v>2422</v>
      </c>
      <c r="B1379" s="95" t="s">
        <v>1226</v>
      </c>
      <c r="C1379" s="4">
        <v>5196</v>
      </c>
      <c r="D1379" s="95" t="s">
        <v>1234</v>
      </c>
      <c r="E1379" s="145">
        <v>1477.3</v>
      </c>
      <c r="F1379" s="145">
        <v>0</v>
      </c>
      <c r="G1379" s="145">
        <v>0</v>
      </c>
      <c r="H1379" s="145">
        <v>0</v>
      </c>
      <c r="I1379" s="77">
        <f t="shared" si="24"/>
        <v>1477.3</v>
      </c>
      <c r="J1379" s="123" t="str">
        <f>IFERROR(VLOOKUP($C1379,'CEDARS School FRPL'!C:H,4,FALSE),"No")</f>
        <v>No</v>
      </c>
      <c r="K1379" s="109"/>
      <c r="L1379" s="109"/>
      <c r="M1379" s="110">
        <f>IFERROR(VLOOKUP($C1379,'CEDARS School FRPL'!C:H,3,FALSE),0)</f>
        <v>0.49256666666666665</v>
      </c>
      <c r="N1379" s="123" t="str">
        <f>IFERROR(VLOOKUP(C1379,'CEDARS School FRPL'!C:H,6,FALSE),"No")</f>
        <v>No</v>
      </c>
      <c r="O1379" s="147"/>
      <c r="P1379" s="148"/>
    </row>
    <row r="1380" spans="1:16">
      <c r="A1380" s="95" t="s">
        <v>2422</v>
      </c>
      <c r="B1380" s="95" t="s">
        <v>1226</v>
      </c>
      <c r="C1380" s="4">
        <v>5197</v>
      </c>
      <c r="D1380" s="95" t="s">
        <v>1235</v>
      </c>
      <c r="E1380" s="145">
        <v>1360.76</v>
      </c>
      <c r="F1380" s="145">
        <v>124.4</v>
      </c>
      <c r="G1380" s="145">
        <v>0</v>
      </c>
      <c r="H1380" s="145">
        <v>0</v>
      </c>
      <c r="I1380" s="77">
        <f t="shared" si="24"/>
        <v>1485.16</v>
      </c>
      <c r="J1380" s="123" t="str">
        <f>IFERROR(VLOOKUP($C1380,'CEDARS School FRPL'!C:H,4,FALSE),"No")</f>
        <v>Yes</v>
      </c>
      <c r="K1380" s="109"/>
      <c r="L1380" s="109"/>
      <c r="M1380" s="110">
        <f>IFERROR(VLOOKUP($C1380,'CEDARS School FRPL'!C:H,3,FALSE),0)</f>
        <v>0.5580666666666666</v>
      </c>
      <c r="N1380" s="123" t="str">
        <f>IFERROR(VLOOKUP(C1380,'CEDARS School FRPL'!C:H,6,FALSE),"No")</f>
        <v>No</v>
      </c>
      <c r="O1380" s="147"/>
      <c r="P1380" s="148"/>
    </row>
    <row r="1381" spans="1:16">
      <c r="A1381" s="95" t="s">
        <v>2401</v>
      </c>
      <c r="B1381" s="95" t="s">
        <v>1160</v>
      </c>
      <c r="C1381" s="4">
        <v>2331</v>
      </c>
      <c r="D1381" s="95" t="s">
        <v>1161</v>
      </c>
      <c r="E1381" s="145">
        <v>257.08999999999997</v>
      </c>
      <c r="F1381" s="145">
        <v>14.620000000000001</v>
      </c>
      <c r="G1381" s="145">
        <v>0.86</v>
      </c>
      <c r="H1381" s="145">
        <v>0</v>
      </c>
      <c r="I1381" s="77">
        <f t="shared" si="24"/>
        <v>272.57</v>
      </c>
      <c r="J1381" s="123" t="str">
        <f>IFERROR(VLOOKUP($C1381,'CEDARS School FRPL'!C:H,4,FALSE),"No")</f>
        <v>Yes</v>
      </c>
      <c r="K1381" s="109"/>
      <c r="L1381" s="109"/>
      <c r="M1381" s="110">
        <f>IFERROR(VLOOKUP($C1381,'CEDARS School FRPL'!C:H,3,FALSE),0)</f>
        <v>0.54763333333333331</v>
      </c>
      <c r="N1381" s="123" t="str">
        <f>IFERROR(VLOOKUP(C1381,'CEDARS School FRPL'!C:H,6,FALSE),"No")</f>
        <v>No</v>
      </c>
      <c r="O1381" s="147"/>
      <c r="P1381" s="148"/>
    </row>
    <row r="1382" spans="1:16">
      <c r="A1382" s="95" t="s">
        <v>2401</v>
      </c>
      <c r="B1382" s="95" t="s">
        <v>1160</v>
      </c>
      <c r="C1382" s="4">
        <v>3239</v>
      </c>
      <c r="D1382" s="95" t="s">
        <v>1162</v>
      </c>
      <c r="E1382" s="145">
        <v>343.43</v>
      </c>
      <c r="F1382" s="145">
        <v>0</v>
      </c>
      <c r="G1382" s="145">
        <v>0</v>
      </c>
      <c r="H1382" s="145">
        <v>0</v>
      </c>
      <c r="I1382" s="77">
        <f t="shared" si="24"/>
        <v>343.43</v>
      </c>
      <c r="J1382" s="123" t="str">
        <f>IFERROR(VLOOKUP($C1382,'CEDARS School FRPL'!C:H,4,FALSE),"No")</f>
        <v>Yes</v>
      </c>
      <c r="K1382" s="109"/>
      <c r="L1382" s="109"/>
      <c r="M1382" s="110">
        <f>IFERROR(VLOOKUP($C1382,'CEDARS School FRPL'!C:H,3,FALSE),0)</f>
        <v>0.57416666666666671</v>
      </c>
      <c r="N1382" s="123" t="str">
        <f>IFERROR(VLOOKUP(C1382,'CEDARS School FRPL'!C:H,6,FALSE),"No")</f>
        <v>No</v>
      </c>
      <c r="O1382" s="147"/>
      <c r="P1382" s="148"/>
    </row>
    <row r="1383" spans="1:16">
      <c r="A1383" s="95" t="s">
        <v>2401</v>
      </c>
      <c r="B1383" s="95" t="s">
        <v>1160</v>
      </c>
      <c r="C1383" s="4">
        <v>4335</v>
      </c>
      <c r="D1383" s="95" t="s">
        <v>1163</v>
      </c>
      <c r="E1383" s="145">
        <v>174.85</v>
      </c>
      <c r="F1383" s="145">
        <v>0</v>
      </c>
      <c r="G1383" s="145">
        <v>0</v>
      </c>
      <c r="H1383" s="145">
        <v>0</v>
      </c>
      <c r="I1383" s="77">
        <f t="shared" si="24"/>
        <v>174.85</v>
      </c>
      <c r="J1383" s="123" t="str">
        <f>IFERROR(VLOOKUP($C1383,'CEDARS School FRPL'!C:H,4,FALSE),"No")</f>
        <v>Yes</v>
      </c>
      <c r="K1383" s="109"/>
      <c r="L1383" s="109"/>
      <c r="M1383" s="110">
        <f>IFERROR(VLOOKUP($C1383,'CEDARS School FRPL'!C:H,3,FALSE),0)</f>
        <v>0.55383333333333329</v>
      </c>
      <c r="N1383" s="123" t="str">
        <f>IFERROR(VLOOKUP(C1383,'CEDARS School FRPL'!C:H,6,FALSE),"No")</f>
        <v>No</v>
      </c>
      <c r="O1383" s="147"/>
      <c r="P1383" s="148"/>
    </row>
    <row r="1384" spans="1:16">
      <c r="A1384" s="95" t="s">
        <v>2503</v>
      </c>
      <c r="B1384" s="95" t="s">
        <v>1923</v>
      </c>
      <c r="C1384" s="4">
        <v>2049</v>
      </c>
      <c r="D1384" s="95" t="s">
        <v>1924</v>
      </c>
      <c r="E1384" s="145">
        <v>48.43</v>
      </c>
      <c r="F1384" s="145">
        <v>0</v>
      </c>
      <c r="G1384" s="145">
        <v>0</v>
      </c>
      <c r="H1384" s="145">
        <v>0</v>
      </c>
      <c r="I1384" s="77">
        <f t="shared" si="24"/>
        <v>48.43</v>
      </c>
      <c r="J1384" s="123" t="str">
        <f>IFERROR(VLOOKUP($C1384,'CEDARS School FRPL'!C:H,4,FALSE),"No")</f>
        <v>Yes</v>
      </c>
      <c r="K1384" s="109"/>
      <c r="L1384" s="109"/>
      <c r="M1384" s="110">
        <f>IFERROR(VLOOKUP($C1384,'CEDARS School FRPL'!C:H,3,FALSE),0)</f>
        <v>0.68336666666666668</v>
      </c>
      <c r="N1384" s="123" t="str">
        <f>IFERROR(VLOOKUP(C1384,'CEDARS School FRPL'!C:H,6,FALSE),"No")</f>
        <v>No</v>
      </c>
      <c r="O1384" s="147"/>
      <c r="P1384" s="148"/>
    </row>
    <row r="1385" spans="1:16">
      <c r="A1385" s="95" t="s">
        <v>2457</v>
      </c>
      <c r="B1385" s="95" t="s">
        <v>1527</v>
      </c>
      <c r="C1385" s="4">
        <v>1892</v>
      </c>
      <c r="D1385" s="95" t="s">
        <v>1528</v>
      </c>
      <c r="E1385" s="145">
        <v>312.5</v>
      </c>
      <c r="F1385" s="145">
        <v>0.79</v>
      </c>
      <c r="G1385" s="145">
        <v>0</v>
      </c>
      <c r="H1385" s="145">
        <v>0</v>
      </c>
      <c r="I1385" s="77">
        <f t="shared" si="24"/>
        <v>313.29000000000002</v>
      </c>
      <c r="J1385" s="123" t="str">
        <f>IFERROR(VLOOKUP($C1385,'CEDARS School FRPL'!C:H,4,FALSE),"No")</f>
        <v>No</v>
      </c>
      <c r="K1385" s="109"/>
      <c r="L1385" s="109"/>
      <c r="M1385" s="110">
        <f>IFERROR(VLOOKUP($C1385,'CEDARS School FRPL'!C:H,3,FALSE),0)</f>
        <v>0.14810000000000001</v>
      </c>
      <c r="N1385" s="123" t="str">
        <f>IFERROR(VLOOKUP(C1385,'CEDARS School FRPL'!C:H,6,FALSE),"No")</f>
        <v>No</v>
      </c>
      <c r="O1385" s="147"/>
      <c r="P1385" s="148"/>
    </row>
    <row r="1386" spans="1:16">
      <c r="A1386" s="95" t="s">
        <v>2457</v>
      </c>
      <c r="B1386" s="95" t="s">
        <v>1527</v>
      </c>
      <c r="C1386" s="4">
        <v>2749</v>
      </c>
      <c r="D1386" s="95" t="s">
        <v>1529</v>
      </c>
      <c r="E1386" s="145">
        <v>139.37</v>
      </c>
      <c r="F1386" s="145">
        <v>0</v>
      </c>
      <c r="G1386" s="145">
        <v>0</v>
      </c>
      <c r="H1386" s="145">
        <v>0</v>
      </c>
      <c r="I1386" s="77">
        <f t="shared" si="24"/>
        <v>139.37</v>
      </c>
      <c r="J1386" s="123" t="str">
        <f>IFERROR(VLOOKUP($C1386,'CEDARS School FRPL'!C:H,4,FALSE),"No")</f>
        <v>No</v>
      </c>
      <c r="K1386" s="109"/>
      <c r="L1386" s="109"/>
      <c r="M1386" s="110">
        <f>IFERROR(VLOOKUP($C1386,'CEDARS School FRPL'!C:H,3,FALSE),0)</f>
        <v>0.36536666666666667</v>
      </c>
      <c r="N1386" s="123" t="str">
        <f>IFERROR(VLOOKUP(C1386,'CEDARS School FRPL'!C:H,6,FALSE),"No")</f>
        <v>No</v>
      </c>
      <c r="O1386" s="147"/>
      <c r="P1386" s="148"/>
    </row>
    <row r="1387" spans="1:16">
      <c r="A1387" s="95" t="s">
        <v>2457</v>
      </c>
      <c r="B1387" s="95" t="s">
        <v>1527</v>
      </c>
      <c r="C1387" s="4">
        <v>2750</v>
      </c>
      <c r="D1387" s="95" t="s">
        <v>1530</v>
      </c>
      <c r="E1387" s="145">
        <v>130.08000000000001</v>
      </c>
      <c r="F1387" s="145">
        <v>2.58</v>
      </c>
      <c r="G1387" s="145">
        <v>0</v>
      </c>
      <c r="H1387" s="145">
        <v>0</v>
      </c>
      <c r="I1387" s="77">
        <f t="shared" si="24"/>
        <v>132.66000000000003</v>
      </c>
      <c r="J1387" s="123" t="str">
        <f>IFERROR(VLOOKUP($C1387,'CEDARS School FRPL'!C:H,4,FALSE),"No")</f>
        <v>No</v>
      </c>
      <c r="K1387" s="109"/>
      <c r="L1387" s="109"/>
      <c r="M1387" s="110">
        <f>IFERROR(VLOOKUP($C1387,'CEDARS School FRPL'!C:H,3,FALSE),0)</f>
        <v>0.45960000000000001</v>
      </c>
      <c r="N1387" s="123" t="str">
        <f>IFERROR(VLOOKUP(C1387,'CEDARS School FRPL'!C:H,6,FALSE),"No")</f>
        <v>No</v>
      </c>
      <c r="O1387" s="147"/>
      <c r="P1387" s="148"/>
    </row>
    <row r="1388" spans="1:16">
      <c r="A1388" s="95" t="s">
        <v>2457</v>
      </c>
      <c r="B1388" s="95" t="s">
        <v>1527</v>
      </c>
      <c r="C1388" s="4">
        <v>3808</v>
      </c>
      <c r="D1388" s="95" t="s">
        <v>1531</v>
      </c>
      <c r="E1388" s="145">
        <v>7</v>
      </c>
      <c r="F1388" s="145">
        <v>0</v>
      </c>
      <c r="G1388" s="145">
        <v>0</v>
      </c>
      <c r="H1388" s="145">
        <v>0</v>
      </c>
      <c r="I1388" s="77">
        <f t="shared" si="24"/>
        <v>7</v>
      </c>
      <c r="J1388" s="123" t="str">
        <f>IFERROR(VLOOKUP($C1388,'CEDARS School FRPL'!C:H,4,FALSE),"No")</f>
        <v>No</v>
      </c>
      <c r="K1388" s="109"/>
      <c r="L1388" s="109"/>
      <c r="M1388" s="110">
        <f>IFERROR(VLOOKUP($C1388,'CEDARS School FRPL'!C:H,3,FALSE),0)</f>
        <v>4.1666666666666664E-2</v>
      </c>
      <c r="N1388" s="123" t="str">
        <f>IFERROR(VLOOKUP(C1388,'CEDARS School FRPL'!C:H,6,FALSE),"No")</f>
        <v>No</v>
      </c>
      <c r="O1388" s="147"/>
      <c r="P1388" s="148"/>
    </row>
    <row r="1389" spans="1:16">
      <c r="A1389" s="95" t="s">
        <v>2457</v>
      </c>
      <c r="B1389" s="95" t="s">
        <v>1527</v>
      </c>
      <c r="C1389" s="4">
        <v>4558</v>
      </c>
      <c r="D1389" s="95" t="s">
        <v>1532</v>
      </c>
      <c r="E1389" s="145">
        <v>108.23</v>
      </c>
      <c r="F1389" s="145">
        <v>0</v>
      </c>
      <c r="G1389" s="145">
        <v>0</v>
      </c>
      <c r="H1389" s="145">
        <v>0</v>
      </c>
      <c r="I1389" s="77">
        <f t="shared" si="24"/>
        <v>108.23</v>
      </c>
      <c r="J1389" s="123" t="str">
        <f>IFERROR(VLOOKUP($C1389,'CEDARS School FRPL'!C:H,4,FALSE),"No")</f>
        <v>No</v>
      </c>
      <c r="K1389" s="109"/>
      <c r="L1389" s="109"/>
      <c r="M1389" s="110">
        <f>IFERROR(VLOOKUP($C1389,'CEDARS School FRPL'!C:H,3,FALSE),0)</f>
        <v>0.44900000000000001</v>
      </c>
      <c r="N1389" s="123" t="str">
        <f>IFERROR(VLOOKUP(C1389,'CEDARS School FRPL'!C:H,6,FALSE),"No")</f>
        <v>No</v>
      </c>
      <c r="O1389" s="147"/>
      <c r="P1389" s="148"/>
    </row>
    <row r="1390" spans="1:16">
      <c r="A1390" s="95" t="s">
        <v>2457</v>
      </c>
      <c r="B1390" s="95" t="s">
        <v>1527</v>
      </c>
      <c r="C1390" s="4">
        <v>5555</v>
      </c>
      <c r="D1390" s="95" t="s">
        <v>2835</v>
      </c>
      <c r="E1390" s="145">
        <v>24</v>
      </c>
      <c r="F1390" s="145">
        <v>0</v>
      </c>
      <c r="G1390" s="145">
        <v>0</v>
      </c>
      <c r="H1390" s="145">
        <v>0</v>
      </c>
      <c r="I1390" s="77">
        <f t="shared" si="24"/>
        <v>24</v>
      </c>
      <c r="J1390" s="123" t="str">
        <f>IFERROR(VLOOKUP($C1390,'CEDARS School FRPL'!C:H,4,FALSE),"No")</f>
        <v>No</v>
      </c>
      <c r="K1390" s="109"/>
      <c r="L1390" s="109"/>
      <c r="M1390" s="110">
        <f>IFERROR(VLOOKUP($C1390,'CEDARS School FRPL'!C:H,3,FALSE),0)</f>
        <v>0.23276666666666668</v>
      </c>
      <c r="N1390" s="123" t="str">
        <f>IFERROR(VLOOKUP(C1390,'CEDARS School FRPL'!C:H,6,FALSE),"No")</f>
        <v>No</v>
      </c>
      <c r="O1390" s="147"/>
      <c r="P1390" s="148"/>
    </row>
    <row r="1391" spans="1:16">
      <c r="A1391" s="95" t="s">
        <v>2487</v>
      </c>
      <c r="B1391" s="95" t="s">
        <v>1822</v>
      </c>
      <c r="C1391" s="4">
        <v>3723</v>
      </c>
      <c r="D1391" s="95" t="s">
        <v>1823</v>
      </c>
      <c r="E1391" s="145">
        <v>67.709999999999994</v>
      </c>
      <c r="F1391" s="145">
        <v>0</v>
      </c>
      <c r="G1391" s="145">
        <v>0</v>
      </c>
      <c r="H1391" s="145">
        <v>0</v>
      </c>
      <c r="I1391" s="77">
        <f t="shared" si="24"/>
        <v>67.709999999999994</v>
      </c>
      <c r="J1391" s="123" t="str">
        <f>IFERROR(VLOOKUP($C1391,'CEDARS School FRPL'!C:H,4,FALSE),"No")</f>
        <v>No</v>
      </c>
      <c r="K1391" s="109"/>
      <c r="L1391" s="109"/>
      <c r="M1391" s="110">
        <f>IFERROR(VLOOKUP($C1391,'CEDARS School FRPL'!C:H,3,FALSE),0)</f>
        <v>0.1062</v>
      </c>
      <c r="N1391" s="123" t="str">
        <f>IFERROR(VLOOKUP(C1391,'CEDARS School FRPL'!C:H,6,FALSE),"No")</f>
        <v>No</v>
      </c>
      <c r="O1391" s="147"/>
      <c r="P1391" s="148"/>
    </row>
    <row r="1392" spans="1:16">
      <c r="A1392" s="95" t="s">
        <v>2309</v>
      </c>
      <c r="B1392" s="95" t="s">
        <v>362</v>
      </c>
      <c r="C1392" s="4">
        <v>2136</v>
      </c>
      <c r="D1392" s="95" t="s">
        <v>2901</v>
      </c>
      <c r="E1392" s="145">
        <v>33.57</v>
      </c>
      <c r="F1392" s="145">
        <v>0</v>
      </c>
      <c r="G1392" s="145">
        <v>0</v>
      </c>
      <c r="H1392" s="145">
        <v>0</v>
      </c>
      <c r="I1392" s="77">
        <f t="shared" si="24"/>
        <v>33.57</v>
      </c>
      <c r="J1392" s="123" t="str">
        <f>IFERROR(VLOOKUP($C1392,'CEDARS School FRPL'!C:H,4,FALSE),"No")</f>
        <v>Yes</v>
      </c>
      <c r="K1392" s="109"/>
      <c r="L1392" s="109"/>
      <c r="M1392" s="110">
        <f>IFERROR(VLOOKUP($C1392,'CEDARS School FRPL'!C:H,3,FALSE),0)</f>
        <v>0.62133333333333329</v>
      </c>
      <c r="N1392" s="123" t="str">
        <f>IFERROR(VLOOKUP(C1392,'CEDARS School FRPL'!C:H,6,FALSE),"No")</f>
        <v>No</v>
      </c>
      <c r="O1392" s="147"/>
      <c r="P1392" s="148"/>
    </row>
    <row r="1393" spans="1:16">
      <c r="A1393" s="95" t="s">
        <v>2301</v>
      </c>
      <c r="B1393" s="95" t="s">
        <v>337</v>
      </c>
      <c r="C1393" s="4">
        <v>2666</v>
      </c>
      <c r="D1393" s="95" t="s">
        <v>338</v>
      </c>
      <c r="E1393" s="145">
        <v>137.77000000000001</v>
      </c>
      <c r="F1393" s="145">
        <v>0</v>
      </c>
      <c r="G1393" s="145">
        <v>0</v>
      </c>
      <c r="H1393" s="145">
        <v>0</v>
      </c>
      <c r="I1393" s="77">
        <f t="shared" si="24"/>
        <v>137.77000000000001</v>
      </c>
      <c r="J1393" s="123" t="str">
        <f>IFERROR(VLOOKUP($C1393,'CEDARS School FRPL'!C:H,4,FALSE),"No")</f>
        <v>Yes</v>
      </c>
      <c r="K1393" s="109"/>
      <c r="L1393" s="109"/>
      <c r="M1393" s="110">
        <f>IFERROR(VLOOKUP($C1393,'CEDARS School FRPL'!C:H,3,FALSE),0)</f>
        <v>0.7674333333333333</v>
      </c>
      <c r="N1393" s="123" t="str">
        <f>IFERROR(VLOOKUP(C1393,'CEDARS School FRPL'!C:H,6,FALSE),"No")</f>
        <v>No</v>
      </c>
      <c r="O1393" s="147"/>
      <c r="P1393" s="148"/>
    </row>
    <row r="1394" spans="1:16">
      <c r="A1394" s="95" t="s">
        <v>2428</v>
      </c>
      <c r="B1394" s="95" t="s">
        <v>1258</v>
      </c>
      <c r="C1394" s="4">
        <v>2422</v>
      </c>
      <c r="D1394" s="95" t="s">
        <v>1259</v>
      </c>
      <c r="E1394" s="145">
        <v>264.2</v>
      </c>
      <c r="F1394" s="145">
        <v>0</v>
      </c>
      <c r="G1394" s="145">
        <v>0</v>
      </c>
      <c r="H1394" s="145">
        <v>0</v>
      </c>
      <c r="I1394" s="77">
        <f t="shared" si="24"/>
        <v>264.2</v>
      </c>
      <c r="J1394" s="123" t="str">
        <f>IFERROR(VLOOKUP($C1394,'CEDARS School FRPL'!C:H,4,FALSE),"No")</f>
        <v>Yes</v>
      </c>
      <c r="K1394" s="109"/>
      <c r="L1394" s="109"/>
      <c r="M1394" s="110">
        <f>IFERROR(VLOOKUP($C1394,'CEDARS School FRPL'!C:H,3,FALSE),0)</f>
        <v>0.75653333333333339</v>
      </c>
      <c r="N1394" s="123" t="str">
        <f>IFERROR(VLOOKUP(C1394,'CEDARS School FRPL'!C:H,6,FALSE),"No")</f>
        <v>No</v>
      </c>
      <c r="O1394" s="147"/>
      <c r="P1394" s="148"/>
    </row>
    <row r="1395" spans="1:16">
      <c r="A1395" s="95" t="s">
        <v>2428</v>
      </c>
      <c r="B1395" s="95" t="s">
        <v>1258</v>
      </c>
      <c r="C1395" s="4">
        <v>2706</v>
      </c>
      <c r="D1395" s="95" t="s">
        <v>1260</v>
      </c>
      <c r="E1395" s="145">
        <v>233.24</v>
      </c>
      <c r="F1395" s="145">
        <v>14.31</v>
      </c>
      <c r="G1395" s="145">
        <v>0</v>
      </c>
      <c r="H1395" s="145">
        <v>0</v>
      </c>
      <c r="I1395" s="77">
        <f t="shared" si="24"/>
        <v>247.55</v>
      </c>
      <c r="J1395" s="123" t="str">
        <f>IFERROR(VLOOKUP($C1395,'CEDARS School FRPL'!C:H,4,FALSE),"No")</f>
        <v>Yes</v>
      </c>
      <c r="M1395" s="110">
        <f>IFERROR(VLOOKUP($C1395,'CEDARS School FRPL'!C:H,3,FALSE),0)</f>
        <v>0.68476666666666663</v>
      </c>
      <c r="N1395" s="123" t="str">
        <f>IFERROR(VLOOKUP(C1395,'CEDARS School FRPL'!C:H,6,FALSE),"No")</f>
        <v>No</v>
      </c>
      <c r="O1395" s="147"/>
      <c r="P1395" s="148"/>
    </row>
    <row r="1396" spans="1:16">
      <c r="A1396" s="95" t="s">
        <v>2445</v>
      </c>
      <c r="B1396" s="95" t="s">
        <v>1413</v>
      </c>
      <c r="C1396" s="4">
        <v>2360</v>
      </c>
      <c r="D1396" s="95" t="s">
        <v>1414</v>
      </c>
      <c r="E1396" s="145">
        <v>466.57</v>
      </c>
      <c r="F1396" s="145">
        <v>0</v>
      </c>
      <c r="G1396" s="145">
        <v>0</v>
      </c>
      <c r="H1396" s="145">
        <v>0</v>
      </c>
      <c r="I1396" s="77">
        <f t="shared" si="24"/>
        <v>466.57</v>
      </c>
      <c r="J1396" s="123" t="str">
        <f>IFERROR(VLOOKUP($C1396,'CEDARS School FRPL'!C:H,4,FALSE),"No")</f>
        <v>No</v>
      </c>
      <c r="K1396" s="109"/>
      <c r="L1396" s="109"/>
      <c r="M1396" s="110">
        <f>IFERROR(VLOOKUP($C1396,'CEDARS School FRPL'!C:H,3,FALSE),0)</f>
        <v>0.27</v>
      </c>
      <c r="N1396" s="123" t="str">
        <f>IFERROR(VLOOKUP(C1396,'CEDARS School FRPL'!C:H,6,FALSE),"No")</f>
        <v>No</v>
      </c>
      <c r="O1396" s="147"/>
      <c r="P1396" s="148"/>
    </row>
    <row r="1397" spans="1:16">
      <c r="A1397" s="95" t="s">
        <v>2445</v>
      </c>
      <c r="B1397" s="95" t="s">
        <v>1413</v>
      </c>
      <c r="C1397" s="4">
        <v>2942</v>
      </c>
      <c r="D1397" s="95" t="s">
        <v>1415</v>
      </c>
      <c r="E1397" s="145">
        <v>788</v>
      </c>
      <c r="F1397" s="145">
        <v>56.06</v>
      </c>
      <c r="G1397" s="145">
        <v>4.57</v>
      </c>
      <c r="H1397" s="145">
        <v>0</v>
      </c>
      <c r="I1397" s="77">
        <f t="shared" si="24"/>
        <v>848.63</v>
      </c>
      <c r="J1397" s="123" t="str">
        <f>IFERROR(VLOOKUP($C1397,'CEDARS School FRPL'!C:H,4,FALSE),"No")</f>
        <v>No</v>
      </c>
      <c r="K1397" s="109"/>
      <c r="L1397" s="109"/>
      <c r="M1397" s="110">
        <f>IFERROR(VLOOKUP($C1397,'CEDARS School FRPL'!C:H,3,FALSE),0)</f>
        <v>0.29583333333333334</v>
      </c>
      <c r="N1397" s="123" t="str">
        <f>IFERROR(VLOOKUP(C1397,'CEDARS School FRPL'!C:H,6,FALSE),"No")</f>
        <v>No</v>
      </c>
      <c r="O1397" s="147"/>
      <c r="P1397" s="148"/>
    </row>
    <row r="1398" spans="1:16">
      <c r="A1398" s="95" t="s">
        <v>2445</v>
      </c>
      <c r="B1398" s="95" t="s">
        <v>1413</v>
      </c>
      <c r="C1398" s="4">
        <v>4262</v>
      </c>
      <c r="D1398" s="95" t="s">
        <v>1416</v>
      </c>
      <c r="E1398" s="145">
        <v>657.42</v>
      </c>
      <c r="F1398" s="145">
        <v>0</v>
      </c>
      <c r="G1398" s="145">
        <v>0</v>
      </c>
      <c r="H1398" s="145">
        <v>0</v>
      </c>
      <c r="I1398" s="77">
        <f t="shared" si="24"/>
        <v>657.42</v>
      </c>
      <c r="J1398" s="123" t="str">
        <f>IFERROR(VLOOKUP($C1398,'CEDARS School FRPL'!C:H,4,FALSE),"No")</f>
        <v>No</v>
      </c>
      <c r="K1398" s="109"/>
      <c r="L1398" s="109"/>
      <c r="M1398" s="110">
        <f>IFERROR(VLOOKUP($C1398,'CEDARS School FRPL'!C:H,3,FALSE),0)</f>
        <v>0.31850000000000001</v>
      </c>
      <c r="N1398" s="123" t="str">
        <f>IFERROR(VLOOKUP(C1398,'CEDARS School FRPL'!C:H,6,FALSE),"No")</f>
        <v>No</v>
      </c>
      <c r="O1398" s="147"/>
      <c r="P1398" s="148"/>
    </row>
    <row r="1399" spans="1:16">
      <c r="A1399" s="95" t="s">
        <v>2445</v>
      </c>
      <c r="B1399" s="95" t="s">
        <v>1413</v>
      </c>
      <c r="C1399" s="4">
        <v>4547</v>
      </c>
      <c r="D1399" s="95" t="s">
        <v>1417</v>
      </c>
      <c r="E1399" s="145">
        <v>624.02</v>
      </c>
      <c r="F1399" s="145">
        <v>0</v>
      </c>
      <c r="G1399" s="145">
        <v>0</v>
      </c>
      <c r="H1399" s="145">
        <v>0</v>
      </c>
      <c r="I1399" s="77">
        <f t="shared" si="24"/>
        <v>624.02</v>
      </c>
      <c r="J1399" s="123" t="str">
        <f>IFERROR(VLOOKUP($C1399,'CEDARS School FRPL'!C:H,4,FALSE),"No")</f>
        <v>No</v>
      </c>
      <c r="K1399" s="109"/>
      <c r="L1399" s="109"/>
      <c r="M1399" s="110">
        <f>IFERROR(VLOOKUP($C1399,'CEDARS School FRPL'!C:H,3,FALSE),0)</f>
        <v>0.31790000000000002</v>
      </c>
      <c r="N1399" s="123" t="str">
        <f>IFERROR(VLOOKUP(C1399,'CEDARS School FRPL'!C:H,6,FALSE),"No")</f>
        <v>No</v>
      </c>
      <c r="O1399" s="147"/>
      <c r="P1399" s="148"/>
    </row>
    <row r="1400" spans="1:16">
      <c r="A1400" s="95" t="s">
        <v>2259</v>
      </c>
      <c r="B1400" s="95" t="s">
        <v>4</v>
      </c>
      <c r="C1400" s="4">
        <v>2902</v>
      </c>
      <c r="D1400" s="95" t="s">
        <v>5</v>
      </c>
      <c r="E1400" s="145">
        <v>591.76</v>
      </c>
      <c r="F1400" s="145">
        <v>0</v>
      </c>
      <c r="G1400" s="145">
        <v>0</v>
      </c>
      <c r="H1400" s="145">
        <v>0</v>
      </c>
      <c r="I1400" s="77">
        <f t="shared" si="24"/>
        <v>591.76</v>
      </c>
      <c r="J1400" s="123" t="str">
        <f>IFERROR(VLOOKUP($C1400,'CEDARS School FRPL'!C:H,4,FALSE),"No")</f>
        <v>Yes</v>
      </c>
      <c r="K1400" s="109"/>
      <c r="L1400" s="109"/>
      <c r="M1400" s="110">
        <f>IFERROR(VLOOKUP($C1400,'CEDARS School FRPL'!C:H,3,FALSE),0)</f>
        <v>0.81523333333333337</v>
      </c>
      <c r="N1400" s="123" t="str">
        <f>IFERROR(VLOOKUP(C1400,'CEDARS School FRPL'!C:H,6,FALSE),"No")</f>
        <v>No</v>
      </c>
      <c r="O1400" s="147"/>
      <c r="P1400" s="148"/>
    </row>
    <row r="1401" spans="1:16">
      <c r="A1401" s="95" t="s">
        <v>2259</v>
      </c>
      <c r="B1401" s="95" t="s">
        <v>4</v>
      </c>
      <c r="C1401" s="4">
        <v>2961</v>
      </c>
      <c r="D1401" s="95" t="s">
        <v>6</v>
      </c>
      <c r="E1401" s="145">
        <v>588.14</v>
      </c>
      <c r="F1401" s="145">
        <v>0</v>
      </c>
      <c r="G1401" s="145">
        <v>0</v>
      </c>
      <c r="H1401" s="145">
        <v>0</v>
      </c>
      <c r="I1401" s="77">
        <f t="shared" si="24"/>
        <v>588.14</v>
      </c>
      <c r="J1401" s="123" t="str">
        <f>IFERROR(VLOOKUP($C1401,'CEDARS School FRPL'!C:H,4,FALSE),"No")</f>
        <v>Yes</v>
      </c>
      <c r="K1401" s="109"/>
      <c r="L1401" s="109"/>
      <c r="M1401" s="110">
        <f>IFERROR(VLOOKUP($C1401,'CEDARS School FRPL'!C:H,3,FALSE),0)</f>
        <v>0.81186666666666663</v>
      </c>
      <c r="N1401" s="123" t="str">
        <f>IFERROR(VLOOKUP(C1401,'CEDARS School FRPL'!C:H,6,FALSE),"No")</f>
        <v>No</v>
      </c>
      <c r="O1401" s="147"/>
      <c r="P1401" s="148"/>
    </row>
    <row r="1402" spans="1:16">
      <c r="A1402" s="95" t="s">
        <v>2259</v>
      </c>
      <c r="B1402" s="95" t="s">
        <v>4</v>
      </c>
      <c r="C1402" s="4">
        <v>3015</v>
      </c>
      <c r="D1402" s="95" t="s">
        <v>7</v>
      </c>
      <c r="E1402" s="145">
        <v>1142.76</v>
      </c>
      <c r="F1402" s="145">
        <v>64.53</v>
      </c>
      <c r="G1402" s="145">
        <v>0</v>
      </c>
      <c r="H1402" s="145">
        <v>0</v>
      </c>
      <c r="I1402" s="77">
        <f t="shared" si="24"/>
        <v>1207.29</v>
      </c>
      <c r="J1402" s="123" t="str">
        <f>IFERROR(VLOOKUP($C1402,'CEDARS School FRPL'!C:H,4,FALSE),"No")</f>
        <v>Yes</v>
      </c>
      <c r="K1402" s="109"/>
      <c r="L1402" s="109"/>
      <c r="M1402" s="110">
        <f>IFERROR(VLOOKUP($C1402,'CEDARS School FRPL'!C:H,3,FALSE),0)</f>
        <v>0.73993333333333322</v>
      </c>
      <c r="N1402" s="123" t="str">
        <f>IFERROR(VLOOKUP(C1402,'CEDARS School FRPL'!C:H,6,FALSE),"No")</f>
        <v>No</v>
      </c>
      <c r="O1402" s="147"/>
      <c r="P1402" s="148"/>
    </row>
    <row r="1403" spans="1:16">
      <c r="A1403" s="95" t="s">
        <v>2259</v>
      </c>
      <c r="B1403" s="95" t="s">
        <v>4</v>
      </c>
      <c r="C1403" s="4">
        <v>3471</v>
      </c>
      <c r="D1403" s="95" t="s">
        <v>8</v>
      </c>
      <c r="E1403" s="145">
        <v>728.91</v>
      </c>
      <c r="F1403" s="145">
        <v>0</v>
      </c>
      <c r="G1403" s="145">
        <v>0</v>
      </c>
      <c r="H1403" s="145">
        <v>0</v>
      </c>
      <c r="I1403" s="77">
        <f t="shared" si="24"/>
        <v>728.91</v>
      </c>
      <c r="J1403" s="123" t="str">
        <f>IFERROR(VLOOKUP($C1403,'CEDARS School FRPL'!C:H,4,FALSE),"No")</f>
        <v>Yes</v>
      </c>
      <c r="K1403" s="109"/>
      <c r="L1403" s="109"/>
      <c r="M1403" s="110">
        <f>IFERROR(VLOOKUP($C1403,'CEDARS School FRPL'!C:H,3,FALSE),0)</f>
        <v>0.82350000000000001</v>
      </c>
      <c r="N1403" s="123" t="str">
        <f>IFERROR(VLOOKUP(C1403,'CEDARS School FRPL'!C:H,6,FALSE),"No")</f>
        <v>No</v>
      </c>
      <c r="O1403" s="147"/>
      <c r="P1403" s="148"/>
    </row>
    <row r="1404" spans="1:16">
      <c r="A1404" s="95" t="s">
        <v>2259</v>
      </c>
      <c r="B1404" s="95" t="s">
        <v>4</v>
      </c>
      <c r="C1404" s="4">
        <v>3730</v>
      </c>
      <c r="D1404" s="95" t="s">
        <v>9</v>
      </c>
      <c r="E1404" s="145">
        <v>598.71</v>
      </c>
      <c r="F1404" s="145">
        <v>0</v>
      </c>
      <c r="G1404" s="145">
        <v>0</v>
      </c>
      <c r="H1404" s="145">
        <v>0</v>
      </c>
      <c r="I1404" s="77">
        <f t="shared" si="24"/>
        <v>598.71</v>
      </c>
      <c r="J1404" s="123" t="str">
        <f>IFERROR(VLOOKUP($C1404,'CEDARS School FRPL'!C:H,4,FALSE),"No")</f>
        <v>Yes</v>
      </c>
      <c r="K1404" s="109"/>
      <c r="L1404" s="109"/>
      <c r="M1404" s="110">
        <f>IFERROR(VLOOKUP($C1404,'CEDARS School FRPL'!C:H,3,FALSE),0)</f>
        <v>0.76873333333333338</v>
      </c>
      <c r="N1404" s="123" t="str">
        <f>IFERROR(VLOOKUP(C1404,'CEDARS School FRPL'!C:H,6,FALSE),"No")</f>
        <v>No</v>
      </c>
      <c r="O1404" s="147"/>
      <c r="P1404" s="148"/>
    </row>
    <row r="1405" spans="1:16">
      <c r="A1405" s="95" t="s">
        <v>2259</v>
      </c>
      <c r="B1405" s="95" t="s">
        <v>4</v>
      </c>
      <c r="C1405" s="4">
        <v>5285</v>
      </c>
      <c r="D1405" s="95" t="s">
        <v>10</v>
      </c>
      <c r="E1405" s="145">
        <v>587.42999999999995</v>
      </c>
      <c r="F1405" s="145">
        <v>0</v>
      </c>
      <c r="G1405" s="145">
        <v>0</v>
      </c>
      <c r="H1405" s="145">
        <v>0</v>
      </c>
      <c r="I1405" s="77">
        <f t="shared" si="24"/>
        <v>587.42999999999995</v>
      </c>
      <c r="J1405" s="123" t="str">
        <f>IFERROR(VLOOKUP($C1405,'CEDARS School FRPL'!C:H,4,FALSE),"No")</f>
        <v>Yes</v>
      </c>
      <c r="K1405" s="109"/>
      <c r="L1405" s="109"/>
      <c r="M1405" s="110">
        <f>IFERROR(VLOOKUP($C1405,'CEDARS School FRPL'!C:H,3,FALSE),0)</f>
        <v>0.78976666666666662</v>
      </c>
      <c r="N1405" s="123" t="str">
        <f>IFERROR(VLOOKUP(C1405,'CEDARS School FRPL'!C:H,6,FALSE),"No")</f>
        <v>No</v>
      </c>
      <c r="O1405" s="147"/>
      <c r="P1405" s="148"/>
    </row>
    <row r="1406" spans="1:16">
      <c r="A1406" s="95" t="s">
        <v>2259</v>
      </c>
      <c r="B1406" s="95" t="s">
        <v>4</v>
      </c>
      <c r="C1406" s="4">
        <v>5367</v>
      </c>
      <c r="D1406" s="95" t="s">
        <v>11</v>
      </c>
      <c r="E1406" s="145">
        <v>114.21</v>
      </c>
      <c r="F1406" s="145">
        <v>0</v>
      </c>
      <c r="G1406" s="145">
        <v>0</v>
      </c>
      <c r="H1406" s="145">
        <v>0</v>
      </c>
      <c r="I1406" s="77">
        <f t="shared" si="24"/>
        <v>114.21</v>
      </c>
      <c r="J1406" s="123" t="str">
        <f>IFERROR(VLOOKUP($C1406,'CEDARS School FRPL'!C:H,4,FALSE),"No")</f>
        <v>Yes</v>
      </c>
      <c r="K1406" s="109"/>
      <c r="L1406" s="109"/>
      <c r="M1406" s="110">
        <f>IFERROR(VLOOKUP($C1406,'CEDARS School FRPL'!C:H,3,FALSE),0)</f>
        <v>0.85726666666666673</v>
      </c>
      <c r="N1406" s="123" t="str">
        <f>IFERROR(VLOOKUP(C1406,'CEDARS School FRPL'!C:H,6,FALSE),"No")</f>
        <v>No</v>
      </c>
      <c r="O1406" s="147"/>
      <c r="P1406" s="148"/>
    </row>
    <row r="1407" spans="1:16">
      <c r="A1407" s="95" t="s">
        <v>2259</v>
      </c>
      <c r="B1407" s="95" t="s">
        <v>4</v>
      </c>
      <c r="C1407" s="4">
        <v>5528</v>
      </c>
      <c r="D1407" s="95" t="s">
        <v>2984</v>
      </c>
      <c r="E1407" s="145">
        <v>18.29</v>
      </c>
      <c r="F1407" s="145">
        <v>0</v>
      </c>
      <c r="G1407" s="145">
        <v>0</v>
      </c>
      <c r="H1407" s="145">
        <v>0</v>
      </c>
      <c r="I1407" s="77">
        <f t="shared" si="24"/>
        <v>18.29</v>
      </c>
      <c r="J1407" s="123" t="str">
        <f>IFERROR(VLOOKUP($C1407,'CEDARS School FRPL'!C:H,4,FALSE),"No")</f>
        <v>Yes</v>
      </c>
      <c r="K1407" s="109"/>
      <c r="L1407" s="109"/>
      <c r="M1407" s="110">
        <f>IFERROR(VLOOKUP($C1407,'CEDARS School FRPL'!C:H,3,FALSE),0)</f>
        <v>0.73680000000000001</v>
      </c>
      <c r="N1407" s="123" t="str">
        <f>IFERROR(VLOOKUP(C1407,'CEDARS School FRPL'!C:H,6,FALSE),"No")</f>
        <v>No</v>
      </c>
      <c r="O1407" s="147"/>
      <c r="P1407" s="148"/>
    </row>
    <row r="1408" spans="1:16">
      <c r="A1408" s="95" t="s">
        <v>2259</v>
      </c>
      <c r="B1408" s="95" t="s">
        <v>4</v>
      </c>
      <c r="C1408" s="4">
        <v>5634</v>
      </c>
      <c r="D1408" s="95" t="s">
        <v>2971</v>
      </c>
      <c r="E1408" s="145">
        <v>0</v>
      </c>
      <c r="F1408" s="145">
        <v>0</v>
      </c>
      <c r="G1408" s="145">
        <v>20.71</v>
      </c>
      <c r="H1408" s="145">
        <v>0</v>
      </c>
      <c r="I1408" s="77">
        <f t="shared" si="24"/>
        <v>20.71</v>
      </c>
      <c r="J1408" s="123" t="str">
        <f>IFERROR(VLOOKUP($C1408,'CEDARS School FRPL'!C:H,4,FALSE),"No")</f>
        <v>Yes</v>
      </c>
      <c r="K1408" s="109"/>
      <c r="L1408" s="109"/>
      <c r="M1408" s="110">
        <f>IFERROR(VLOOKUP($C1408,'CEDARS School FRPL'!C:H,3,FALSE),0)</f>
        <v>0.6522</v>
      </c>
      <c r="N1408" s="123" t="str">
        <f>IFERROR(VLOOKUP(C1408,'CEDARS School FRPL'!C:H,6,FALSE),"No")</f>
        <v>No</v>
      </c>
      <c r="O1408" s="147"/>
      <c r="P1408" s="148"/>
    </row>
    <row r="1409" spans="1:16">
      <c r="A1409" s="95" t="s">
        <v>2303</v>
      </c>
      <c r="B1409" s="95" t="s">
        <v>344</v>
      </c>
      <c r="C1409" s="4">
        <v>2502</v>
      </c>
      <c r="D1409" s="95" t="s">
        <v>345</v>
      </c>
      <c r="E1409" s="145">
        <v>22</v>
      </c>
      <c r="F1409" s="145">
        <v>0</v>
      </c>
      <c r="G1409" s="145">
        <v>0</v>
      </c>
      <c r="H1409" s="145">
        <v>0</v>
      </c>
      <c r="I1409" s="77">
        <f t="shared" si="24"/>
        <v>22</v>
      </c>
      <c r="J1409" s="123" t="str">
        <f>IFERROR(VLOOKUP($C1409,'CEDARS School FRPL'!C:H,4,FALSE),"No")</f>
        <v>Yes</v>
      </c>
      <c r="K1409" s="109"/>
      <c r="L1409" s="109"/>
      <c r="M1409" s="110">
        <f>IFERROR(VLOOKUP($C1409,'CEDARS School FRPL'!C:H,3,FALSE),0)</f>
        <v>0.85279999999999989</v>
      </c>
      <c r="N1409" s="123" t="str">
        <f>IFERROR(VLOOKUP(C1409,'CEDARS School FRPL'!C:H,6,FALSE),"No")</f>
        <v>No</v>
      </c>
      <c r="O1409" s="147"/>
      <c r="P1409" s="148"/>
    </row>
    <row r="1410" spans="1:16">
      <c r="A1410" s="95" t="s">
        <v>2545</v>
      </c>
      <c r="B1410" s="95" t="s">
        <v>2143</v>
      </c>
      <c r="C1410" s="4">
        <v>1961</v>
      </c>
      <c r="D1410" s="95" t="s">
        <v>2144</v>
      </c>
      <c r="E1410" s="145">
        <v>32.86</v>
      </c>
      <c r="F1410" s="145">
        <v>0</v>
      </c>
      <c r="G1410" s="145">
        <v>0</v>
      </c>
      <c r="H1410" s="145">
        <v>0</v>
      </c>
      <c r="I1410" s="77">
        <f t="shared" si="24"/>
        <v>32.86</v>
      </c>
      <c r="J1410" s="123" t="str">
        <f>IFERROR(VLOOKUP($C1410,'CEDARS School FRPL'!C:H,4,FALSE),"No")</f>
        <v>No</v>
      </c>
      <c r="K1410" s="109"/>
      <c r="L1410" s="109"/>
      <c r="M1410" s="110">
        <f>IFERROR(VLOOKUP($C1410,'CEDARS School FRPL'!C:H,3,FALSE),0)</f>
        <v>0.26590000000000003</v>
      </c>
      <c r="N1410" s="123" t="str">
        <f>IFERROR(VLOOKUP(C1410,'CEDARS School FRPL'!C:H,6,FALSE),"No")</f>
        <v>No</v>
      </c>
      <c r="O1410" s="147"/>
      <c r="P1410" s="148"/>
    </row>
    <row r="1411" spans="1:16">
      <c r="A1411" s="95" t="s">
        <v>2545</v>
      </c>
      <c r="B1411" s="95" t="s">
        <v>2143</v>
      </c>
      <c r="C1411" s="4">
        <v>2622</v>
      </c>
      <c r="D1411" s="95" t="s">
        <v>2145</v>
      </c>
      <c r="E1411" s="145">
        <v>70.36</v>
      </c>
      <c r="F1411" s="145">
        <v>0</v>
      </c>
      <c r="G1411" s="145">
        <v>0</v>
      </c>
      <c r="H1411" s="145">
        <v>0</v>
      </c>
      <c r="I1411" s="77">
        <f t="shared" si="24"/>
        <v>70.36</v>
      </c>
      <c r="J1411" s="123" t="str">
        <f>IFERROR(VLOOKUP($C1411,'CEDARS School FRPL'!C:H,4,FALSE),"No")</f>
        <v>No</v>
      </c>
      <c r="K1411" s="109"/>
      <c r="L1411" s="109"/>
      <c r="M1411" s="110">
        <f>IFERROR(VLOOKUP($C1411,'CEDARS School FRPL'!C:H,3,FALSE),0)</f>
        <v>0.35233333333333333</v>
      </c>
      <c r="N1411" s="123" t="str">
        <f>IFERROR(VLOOKUP(C1411,'CEDARS School FRPL'!C:H,6,FALSE),"No")</f>
        <v>No</v>
      </c>
      <c r="O1411" s="147"/>
      <c r="P1411" s="148"/>
    </row>
    <row r="1412" spans="1:16">
      <c r="A1412" s="95" t="s">
        <v>2545</v>
      </c>
      <c r="B1412" s="95" t="s">
        <v>2143</v>
      </c>
      <c r="C1412" s="4">
        <v>2634</v>
      </c>
      <c r="D1412" s="95" t="s">
        <v>2146</v>
      </c>
      <c r="E1412" s="145">
        <v>49.23</v>
      </c>
      <c r="F1412" s="145">
        <v>1.69</v>
      </c>
      <c r="G1412" s="145">
        <v>0</v>
      </c>
      <c r="H1412" s="145">
        <v>0</v>
      </c>
      <c r="I1412" s="77">
        <f t="shared" ref="I1412:I1475" si="25">+E1412+F1412+G1412+H1412</f>
        <v>50.919999999999995</v>
      </c>
      <c r="J1412" s="123" t="str">
        <f>IFERROR(VLOOKUP($C1412,'CEDARS School FRPL'!C:H,4,FALSE),"No")</f>
        <v>No</v>
      </c>
      <c r="K1412" s="109"/>
      <c r="L1412" s="109"/>
      <c r="M1412" s="110">
        <f>IFERROR(VLOOKUP($C1412,'CEDARS School FRPL'!C:H,3,FALSE),0)</f>
        <v>0.3062333333333333</v>
      </c>
      <c r="N1412" s="123" t="str">
        <f>IFERROR(VLOOKUP(C1412,'CEDARS School FRPL'!C:H,6,FALSE),"No")</f>
        <v>No</v>
      </c>
      <c r="O1412" s="147"/>
      <c r="P1412" s="148"/>
    </row>
    <row r="1413" spans="1:16">
      <c r="A1413" s="95" t="s">
        <v>2312</v>
      </c>
      <c r="B1413" s="95" t="s">
        <v>372</v>
      </c>
      <c r="C1413" s="4">
        <v>2267</v>
      </c>
      <c r="D1413" s="95" t="s">
        <v>181</v>
      </c>
      <c r="E1413" s="145">
        <v>1090.74</v>
      </c>
      <c r="F1413" s="145">
        <v>0</v>
      </c>
      <c r="G1413" s="145">
        <v>0</v>
      </c>
      <c r="H1413" s="145">
        <v>0</v>
      </c>
      <c r="I1413" s="77">
        <f t="shared" si="25"/>
        <v>1090.74</v>
      </c>
      <c r="J1413" s="123" t="str">
        <f>IFERROR(VLOOKUP($C1413,'CEDARS School FRPL'!C:H,4,FALSE),"No")</f>
        <v>Yes</v>
      </c>
      <c r="K1413" s="109"/>
      <c r="L1413" s="109"/>
      <c r="M1413" s="110">
        <f>IFERROR(VLOOKUP($C1413,'CEDARS School FRPL'!C:H,3,FALSE),0)</f>
        <v>0.5770333333333334</v>
      </c>
      <c r="N1413" s="123" t="str">
        <f>IFERROR(VLOOKUP(C1413,'CEDARS School FRPL'!C:H,6,FALSE),"No")</f>
        <v>No</v>
      </c>
      <c r="O1413" s="147"/>
      <c r="P1413" s="148"/>
    </row>
    <row r="1414" spans="1:16">
      <c r="A1414" s="95" t="s">
        <v>2312</v>
      </c>
      <c r="B1414" s="95" t="s">
        <v>372</v>
      </c>
      <c r="C1414" s="4">
        <v>2790</v>
      </c>
      <c r="D1414" s="95" t="s">
        <v>373</v>
      </c>
      <c r="E1414" s="145">
        <v>347.23</v>
      </c>
      <c r="F1414" s="145">
        <v>0</v>
      </c>
      <c r="G1414" s="145">
        <v>0</v>
      </c>
      <c r="H1414" s="145">
        <v>0</v>
      </c>
      <c r="I1414" s="77">
        <f t="shared" si="25"/>
        <v>347.23</v>
      </c>
      <c r="J1414" s="123" t="str">
        <f>IFERROR(VLOOKUP($C1414,'CEDARS School FRPL'!C:H,4,FALSE),"No")</f>
        <v>Yes</v>
      </c>
      <c r="K1414" s="109"/>
      <c r="L1414" s="109"/>
      <c r="M1414" s="110">
        <f>IFERROR(VLOOKUP($C1414,'CEDARS School FRPL'!C:H,3,FALSE),0)</f>
        <v>0.95256666666666667</v>
      </c>
      <c r="N1414" s="123" t="str">
        <f>IFERROR(VLOOKUP(C1414,'CEDARS School FRPL'!C:H,6,FALSE),"No")</f>
        <v>No</v>
      </c>
      <c r="O1414" s="147"/>
      <c r="P1414" s="148"/>
    </row>
    <row r="1415" spans="1:16">
      <c r="A1415" s="95" t="s">
        <v>2312</v>
      </c>
      <c r="B1415" s="95" t="s">
        <v>372</v>
      </c>
      <c r="C1415" s="4">
        <v>2917</v>
      </c>
      <c r="D1415" s="95" t="s">
        <v>374</v>
      </c>
      <c r="E1415" s="145">
        <v>2201.4899999999998</v>
      </c>
      <c r="F1415" s="145">
        <v>140.79</v>
      </c>
      <c r="G1415" s="145">
        <v>0</v>
      </c>
      <c r="H1415" s="145">
        <v>0</v>
      </c>
      <c r="I1415" s="77">
        <f t="shared" si="25"/>
        <v>2342.2799999999997</v>
      </c>
      <c r="J1415" s="123" t="str">
        <f>IFERROR(VLOOKUP($C1415,'CEDARS School FRPL'!C:H,4,FALSE),"No")</f>
        <v>Yes</v>
      </c>
      <c r="K1415" s="109"/>
      <c r="L1415" s="109"/>
      <c r="M1415" s="110">
        <f>IFERROR(VLOOKUP($C1415,'CEDARS School FRPL'!C:H,3,FALSE),0)</f>
        <v>0.7772</v>
      </c>
      <c r="N1415" s="123" t="str">
        <f>IFERROR(VLOOKUP(C1415,'CEDARS School FRPL'!C:H,6,FALSE),"No")</f>
        <v>No</v>
      </c>
      <c r="O1415" s="147"/>
      <c r="P1415" s="148"/>
    </row>
    <row r="1416" spans="1:16">
      <c r="A1416" s="95" t="s">
        <v>2312</v>
      </c>
      <c r="B1416" s="95" t="s">
        <v>372</v>
      </c>
      <c r="C1416" s="4">
        <v>2967</v>
      </c>
      <c r="D1416" s="95" t="s">
        <v>375</v>
      </c>
      <c r="E1416" s="145">
        <v>394.85</v>
      </c>
      <c r="F1416" s="145">
        <v>0</v>
      </c>
      <c r="G1416" s="145">
        <v>0</v>
      </c>
      <c r="H1416" s="145">
        <v>0</v>
      </c>
      <c r="I1416" s="77">
        <f t="shared" si="25"/>
        <v>394.85</v>
      </c>
      <c r="J1416" s="123" t="str">
        <f>IFERROR(VLOOKUP($C1416,'CEDARS School FRPL'!C:H,4,FALSE),"No")</f>
        <v>Yes</v>
      </c>
      <c r="K1416" s="109"/>
      <c r="L1416" s="109"/>
      <c r="M1416" s="110">
        <f>IFERROR(VLOOKUP($C1416,'CEDARS School FRPL'!C:H,3,FALSE),0)</f>
        <v>0.90666666666666662</v>
      </c>
      <c r="N1416" s="123" t="str">
        <f>IFERROR(VLOOKUP(C1416,'CEDARS School FRPL'!C:H,6,FALSE),"No")</f>
        <v>No</v>
      </c>
      <c r="O1416" s="147"/>
      <c r="P1416" s="148"/>
    </row>
    <row r="1417" spans="1:16">
      <c r="A1417" s="95" t="s">
        <v>2312</v>
      </c>
      <c r="B1417" s="95" t="s">
        <v>372</v>
      </c>
      <c r="C1417" s="4">
        <v>3085</v>
      </c>
      <c r="D1417" s="95" t="s">
        <v>376</v>
      </c>
      <c r="E1417" s="145">
        <v>549.87</v>
      </c>
      <c r="F1417" s="145">
        <v>0</v>
      </c>
      <c r="G1417" s="145">
        <v>0</v>
      </c>
      <c r="H1417" s="145">
        <v>0</v>
      </c>
      <c r="I1417" s="77">
        <f t="shared" si="25"/>
        <v>549.87</v>
      </c>
      <c r="J1417" s="123" t="str">
        <f>IFERROR(VLOOKUP($C1417,'CEDARS School FRPL'!C:H,4,FALSE),"No")</f>
        <v>Yes</v>
      </c>
      <c r="K1417" s="109"/>
      <c r="L1417" s="109"/>
      <c r="M1417" s="110">
        <f>IFERROR(VLOOKUP($C1417,'CEDARS School FRPL'!C:H,3,FALSE),0)</f>
        <v>0.6819666666666665</v>
      </c>
      <c r="N1417" s="123" t="str">
        <f>IFERROR(VLOOKUP(C1417,'CEDARS School FRPL'!C:H,6,FALSE),"No")</f>
        <v>No</v>
      </c>
      <c r="O1417" s="147"/>
      <c r="P1417" s="148"/>
    </row>
    <row r="1418" spans="1:16">
      <c r="A1418" s="95" t="s">
        <v>2312</v>
      </c>
      <c r="B1418" s="95" t="s">
        <v>372</v>
      </c>
      <c r="C1418" s="4">
        <v>3324</v>
      </c>
      <c r="D1418" s="95" t="s">
        <v>141</v>
      </c>
      <c r="E1418" s="145">
        <v>948.57</v>
      </c>
      <c r="F1418" s="145">
        <v>0</v>
      </c>
      <c r="G1418" s="145">
        <v>0</v>
      </c>
      <c r="H1418" s="145">
        <v>0</v>
      </c>
      <c r="I1418" s="77">
        <f t="shared" si="25"/>
        <v>948.57</v>
      </c>
      <c r="J1418" s="123" t="str">
        <f>IFERROR(VLOOKUP($C1418,'CEDARS School FRPL'!C:H,4,FALSE),"No")</f>
        <v>Yes</v>
      </c>
      <c r="K1418" s="109"/>
      <c r="L1418" s="109"/>
      <c r="M1418" s="110">
        <f>IFERROR(VLOOKUP($C1418,'CEDARS School FRPL'!C:H,3,FALSE),0)</f>
        <v>0.94706666666666661</v>
      </c>
      <c r="N1418" s="123" t="str">
        <f>IFERROR(VLOOKUP(C1418,'CEDARS School FRPL'!C:H,6,FALSE),"No")</f>
        <v>No</v>
      </c>
      <c r="O1418" s="147"/>
      <c r="P1418" s="148"/>
    </row>
    <row r="1419" spans="1:16">
      <c r="A1419" s="95" t="s">
        <v>2312</v>
      </c>
      <c r="B1419" s="95" t="s">
        <v>372</v>
      </c>
      <c r="C1419" s="4">
        <v>3425</v>
      </c>
      <c r="D1419" s="95" t="s">
        <v>377</v>
      </c>
      <c r="E1419" s="145">
        <v>198.57</v>
      </c>
      <c r="F1419" s="145">
        <v>0</v>
      </c>
      <c r="G1419" s="145">
        <v>0</v>
      </c>
      <c r="H1419" s="145">
        <v>0</v>
      </c>
      <c r="I1419" s="77">
        <f t="shared" si="25"/>
        <v>198.57</v>
      </c>
      <c r="J1419" s="123" t="str">
        <f>IFERROR(VLOOKUP($C1419,'CEDARS School FRPL'!C:H,4,FALSE),"No")</f>
        <v>No</v>
      </c>
      <c r="K1419" s="109"/>
      <c r="L1419" s="109"/>
      <c r="M1419" s="110">
        <f>IFERROR(VLOOKUP($C1419,'CEDARS School FRPL'!C:H,3,FALSE),0)</f>
        <v>0.47056666666666663</v>
      </c>
      <c r="N1419" s="123" t="str">
        <f>IFERROR(VLOOKUP(C1419,'CEDARS School FRPL'!C:H,6,FALSE),"No")</f>
        <v>No</v>
      </c>
      <c r="O1419" s="147"/>
      <c r="P1419" s="148"/>
    </row>
    <row r="1420" spans="1:16">
      <c r="A1420" s="95" t="s">
        <v>2312</v>
      </c>
      <c r="B1420" s="95" t="s">
        <v>372</v>
      </c>
      <c r="C1420" s="4">
        <v>3515</v>
      </c>
      <c r="D1420" s="95" t="s">
        <v>378</v>
      </c>
      <c r="E1420" s="145">
        <v>511.31</v>
      </c>
      <c r="F1420" s="145">
        <v>0</v>
      </c>
      <c r="G1420" s="145">
        <v>0</v>
      </c>
      <c r="H1420" s="145">
        <v>0</v>
      </c>
      <c r="I1420" s="77">
        <f t="shared" si="25"/>
        <v>511.31</v>
      </c>
      <c r="J1420" s="123" t="str">
        <f>IFERROR(VLOOKUP($C1420,'CEDARS School FRPL'!C:H,4,FALSE),"No")</f>
        <v>Yes</v>
      </c>
      <c r="K1420" s="109"/>
      <c r="L1420" s="109"/>
      <c r="M1420" s="110">
        <f>IFERROR(VLOOKUP($C1420,'CEDARS School FRPL'!C:H,3,FALSE),0)</f>
        <v>0.94589999999999996</v>
      </c>
      <c r="N1420" s="123" t="str">
        <f>IFERROR(VLOOKUP(C1420,'CEDARS School FRPL'!C:H,6,FALSE),"No")</f>
        <v>No</v>
      </c>
      <c r="O1420" s="147"/>
      <c r="P1420" s="148"/>
    </row>
    <row r="1421" spans="1:16">
      <c r="A1421" s="95" t="s">
        <v>2312</v>
      </c>
      <c r="B1421" s="95" t="s">
        <v>372</v>
      </c>
      <c r="C1421" s="4">
        <v>3912</v>
      </c>
      <c r="D1421" s="95" t="s">
        <v>379</v>
      </c>
      <c r="E1421" s="145">
        <v>266.76</v>
      </c>
      <c r="F1421" s="145">
        <v>0.8</v>
      </c>
      <c r="G1421" s="145">
        <v>25.86</v>
      </c>
      <c r="H1421" s="145">
        <v>0</v>
      </c>
      <c r="I1421" s="77">
        <f t="shared" si="25"/>
        <v>293.42</v>
      </c>
      <c r="J1421" s="123" t="str">
        <f>IFERROR(VLOOKUP($C1421,'CEDARS School FRPL'!C:H,4,FALSE),"No")</f>
        <v>Yes</v>
      </c>
      <c r="K1421" s="109"/>
      <c r="L1421" s="109"/>
      <c r="M1421" s="110">
        <f>IFERROR(VLOOKUP($C1421,'CEDARS School FRPL'!C:H,3,FALSE),0)</f>
        <v>0.76873333333333338</v>
      </c>
      <c r="N1421" s="123" t="str">
        <f>IFERROR(VLOOKUP(C1421,'CEDARS School FRPL'!C:H,6,FALSE),"No")</f>
        <v>No</v>
      </c>
      <c r="O1421" s="147"/>
      <c r="P1421" s="148"/>
    </row>
    <row r="1422" spans="1:16">
      <c r="A1422" s="95" t="s">
        <v>2312</v>
      </c>
      <c r="B1422" s="95" t="s">
        <v>372</v>
      </c>
      <c r="C1422" s="4">
        <v>4041</v>
      </c>
      <c r="D1422" s="95" t="s">
        <v>380</v>
      </c>
      <c r="E1422" s="145">
        <v>559.19000000000005</v>
      </c>
      <c r="F1422" s="145">
        <v>0</v>
      </c>
      <c r="G1422" s="145">
        <v>0</v>
      </c>
      <c r="H1422" s="145">
        <v>0</v>
      </c>
      <c r="I1422" s="77">
        <f t="shared" si="25"/>
        <v>559.19000000000005</v>
      </c>
      <c r="J1422" s="123" t="str">
        <f>IFERROR(VLOOKUP($C1422,'CEDARS School FRPL'!C:H,4,FALSE),"No")</f>
        <v>No</v>
      </c>
      <c r="K1422" s="109"/>
      <c r="L1422" s="109"/>
      <c r="M1422" s="110">
        <f>IFERROR(VLOOKUP($C1422,'CEDARS School FRPL'!C:H,3,FALSE),0)</f>
        <v>0.34576666666666672</v>
      </c>
      <c r="N1422" s="123" t="str">
        <f>IFERROR(VLOOKUP(C1422,'CEDARS School FRPL'!C:H,6,FALSE),"No")</f>
        <v>No</v>
      </c>
      <c r="O1422" s="147"/>
      <c r="P1422" s="148"/>
    </row>
    <row r="1423" spans="1:16">
      <c r="A1423" s="95" t="s">
        <v>2312</v>
      </c>
      <c r="B1423" s="95" t="s">
        <v>372</v>
      </c>
      <c r="C1423" s="4">
        <v>4155</v>
      </c>
      <c r="D1423" s="95" t="s">
        <v>381</v>
      </c>
      <c r="E1423" s="145">
        <v>426.06</v>
      </c>
      <c r="F1423" s="145">
        <v>0</v>
      </c>
      <c r="G1423" s="145">
        <v>0</v>
      </c>
      <c r="H1423" s="145">
        <v>0</v>
      </c>
      <c r="I1423" s="77">
        <f t="shared" si="25"/>
        <v>426.06</v>
      </c>
      <c r="J1423" s="123" t="str">
        <f>IFERROR(VLOOKUP($C1423,'CEDARS School FRPL'!C:H,4,FALSE),"No")</f>
        <v>Yes</v>
      </c>
      <c r="K1423" s="109"/>
      <c r="L1423" s="109"/>
      <c r="M1423" s="110">
        <f>IFERROR(VLOOKUP($C1423,'CEDARS School FRPL'!C:H,3,FALSE),0)</f>
        <v>0.51496666666666668</v>
      </c>
      <c r="N1423" s="123" t="str">
        <f>IFERROR(VLOOKUP(C1423,'CEDARS School FRPL'!C:H,6,FALSE),"No")</f>
        <v>No</v>
      </c>
      <c r="O1423" s="147"/>
      <c r="P1423" s="148"/>
    </row>
    <row r="1424" spans="1:16">
      <c r="A1424" s="95" t="s">
        <v>2312</v>
      </c>
      <c r="B1424" s="95" t="s">
        <v>372</v>
      </c>
      <c r="C1424" s="4">
        <v>4526</v>
      </c>
      <c r="D1424" s="95" t="s">
        <v>382</v>
      </c>
      <c r="E1424" s="145">
        <v>356.43</v>
      </c>
      <c r="F1424" s="145">
        <v>0</v>
      </c>
      <c r="G1424" s="145">
        <v>0</v>
      </c>
      <c r="H1424" s="145">
        <v>0</v>
      </c>
      <c r="I1424" s="77">
        <f t="shared" si="25"/>
        <v>356.43</v>
      </c>
      <c r="J1424" s="123" t="str">
        <f>IFERROR(VLOOKUP($C1424,'CEDARS School FRPL'!C:H,4,FALSE),"No")</f>
        <v>Yes</v>
      </c>
      <c r="K1424" s="109"/>
      <c r="L1424" s="109"/>
      <c r="M1424" s="110">
        <f>IFERROR(VLOOKUP($C1424,'CEDARS School FRPL'!C:H,3,FALSE),0)</f>
        <v>0.90793333333333326</v>
      </c>
      <c r="N1424" s="123" t="str">
        <f>IFERROR(VLOOKUP(C1424,'CEDARS School FRPL'!C:H,6,FALSE),"No")</f>
        <v>No</v>
      </c>
      <c r="O1424" s="147"/>
      <c r="P1424" s="148"/>
    </row>
    <row r="1425" spans="1:16">
      <c r="A1425" s="95" t="s">
        <v>2312</v>
      </c>
      <c r="B1425" s="95" t="s">
        <v>372</v>
      </c>
      <c r="C1425" s="4">
        <v>4555</v>
      </c>
      <c r="D1425" s="95" t="s">
        <v>383</v>
      </c>
      <c r="E1425" s="145">
        <v>406.57</v>
      </c>
      <c r="F1425" s="145">
        <v>0</v>
      </c>
      <c r="G1425" s="145">
        <v>0</v>
      </c>
      <c r="H1425" s="145">
        <v>0</v>
      </c>
      <c r="I1425" s="77">
        <f t="shared" si="25"/>
        <v>406.57</v>
      </c>
      <c r="J1425" s="123" t="str">
        <f>IFERROR(VLOOKUP($C1425,'CEDARS School FRPL'!C:H,4,FALSE),"No")</f>
        <v>Yes</v>
      </c>
      <c r="K1425" s="109"/>
      <c r="L1425" s="109"/>
      <c r="M1425" s="110">
        <f>IFERROR(VLOOKUP($C1425,'CEDARS School FRPL'!C:H,3,FALSE),0)</f>
        <v>0.93256666666666665</v>
      </c>
      <c r="N1425" s="123" t="str">
        <f>IFERROR(VLOOKUP(C1425,'CEDARS School FRPL'!C:H,6,FALSE),"No")</f>
        <v>No</v>
      </c>
      <c r="O1425" s="147"/>
      <c r="P1425" s="148"/>
    </row>
    <row r="1426" spans="1:16">
      <c r="A1426" s="95" t="s">
        <v>2312</v>
      </c>
      <c r="B1426" s="95" t="s">
        <v>372</v>
      </c>
      <c r="C1426" s="4">
        <v>4564</v>
      </c>
      <c r="D1426" s="95" t="s">
        <v>384</v>
      </c>
      <c r="E1426" s="145">
        <v>936.22</v>
      </c>
      <c r="F1426" s="145">
        <v>0</v>
      </c>
      <c r="G1426" s="145">
        <v>0</v>
      </c>
      <c r="H1426" s="145">
        <v>0</v>
      </c>
      <c r="I1426" s="77">
        <f t="shared" si="25"/>
        <v>936.22</v>
      </c>
      <c r="J1426" s="123" t="str">
        <f>IFERROR(VLOOKUP($C1426,'CEDARS School FRPL'!C:H,4,FALSE),"No")</f>
        <v>Yes</v>
      </c>
      <c r="K1426" s="109"/>
      <c r="L1426" s="109"/>
      <c r="M1426" s="110">
        <f>IFERROR(VLOOKUP($C1426,'CEDARS School FRPL'!C:H,3,FALSE),0)</f>
        <v>0.94696666666666662</v>
      </c>
      <c r="N1426" s="123" t="str">
        <f>IFERROR(VLOOKUP(C1426,'CEDARS School FRPL'!C:H,6,FALSE),"No")</f>
        <v>No</v>
      </c>
      <c r="O1426" s="147"/>
      <c r="P1426" s="148"/>
    </row>
    <row r="1427" spans="1:16">
      <c r="A1427" s="95" t="s">
        <v>2312</v>
      </c>
      <c r="B1427" s="95" t="s">
        <v>372</v>
      </c>
      <c r="C1427" s="4">
        <v>4595</v>
      </c>
      <c r="D1427" s="95" t="s">
        <v>385</v>
      </c>
      <c r="E1427" s="145">
        <v>582.74</v>
      </c>
      <c r="F1427" s="145">
        <v>0</v>
      </c>
      <c r="G1427" s="145">
        <v>0</v>
      </c>
      <c r="H1427" s="145">
        <v>0</v>
      </c>
      <c r="I1427" s="77">
        <f t="shared" si="25"/>
        <v>582.74</v>
      </c>
      <c r="J1427" s="123" t="str">
        <f>IFERROR(VLOOKUP($C1427,'CEDARS School FRPL'!C:H,4,FALSE),"No")</f>
        <v>Yes</v>
      </c>
      <c r="K1427" s="109"/>
      <c r="L1427" s="109"/>
      <c r="M1427" s="110">
        <f>IFERROR(VLOOKUP($C1427,'CEDARS School FRPL'!C:H,3,FALSE),0)</f>
        <v>0.51983333333333337</v>
      </c>
      <c r="N1427" s="123" t="str">
        <f>IFERROR(VLOOKUP(C1427,'CEDARS School FRPL'!C:H,6,FALSE),"No")</f>
        <v>No</v>
      </c>
      <c r="O1427" s="147"/>
      <c r="P1427" s="148"/>
    </row>
    <row r="1428" spans="1:16">
      <c r="A1428" s="95" t="s">
        <v>2312</v>
      </c>
      <c r="B1428" s="95" t="s">
        <v>372</v>
      </c>
      <c r="C1428" s="4">
        <v>5020</v>
      </c>
      <c r="D1428" s="95" t="s">
        <v>386</v>
      </c>
      <c r="E1428" s="145">
        <v>515.57000000000005</v>
      </c>
      <c r="F1428" s="145">
        <v>0</v>
      </c>
      <c r="G1428" s="145">
        <v>0</v>
      </c>
      <c r="H1428" s="145">
        <v>0</v>
      </c>
      <c r="I1428" s="77">
        <f t="shared" si="25"/>
        <v>515.57000000000005</v>
      </c>
      <c r="J1428" s="123" t="str">
        <f>IFERROR(VLOOKUP($C1428,'CEDARS School FRPL'!C:H,4,FALSE),"No")</f>
        <v>Yes</v>
      </c>
      <c r="K1428" s="109"/>
      <c r="L1428" s="109"/>
      <c r="M1428" s="110">
        <f>IFERROR(VLOOKUP($C1428,'CEDARS School FRPL'!C:H,3,FALSE),0)</f>
        <v>0.93160000000000009</v>
      </c>
      <c r="N1428" s="123" t="str">
        <f>IFERROR(VLOOKUP(C1428,'CEDARS School FRPL'!C:H,6,FALSE),"No")</f>
        <v>No</v>
      </c>
      <c r="O1428" s="147"/>
      <c r="P1428" s="148"/>
    </row>
    <row r="1429" spans="1:16">
      <c r="A1429" s="95" t="s">
        <v>2312</v>
      </c>
      <c r="B1429" s="95" t="s">
        <v>372</v>
      </c>
      <c r="C1429" s="4">
        <v>5164</v>
      </c>
      <c r="D1429" s="95" t="s">
        <v>387</v>
      </c>
      <c r="E1429" s="145">
        <v>2681.85</v>
      </c>
      <c r="F1429" s="145">
        <v>214.71</v>
      </c>
      <c r="G1429" s="145">
        <v>0</v>
      </c>
      <c r="H1429" s="145">
        <v>0</v>
      </c>
      <c r="I1429" s="77">
        <f t="shared" si="25"/>
        <v>2896.56</v>
      </c>
      <c r="J1429" s="123" t="str">
        <f>IFERROR(VLOOKUP($C1429,'CEDARS School FRPL'!C:H,4,FALSE),"No")</f>
        <v>Yes</v>
      </c>
      <c r="K1429" s="109"/>
      <c r="L1429" s="109"/>
      <c r="M1429" s="110">
        <f>IFERROR(VLOOKUP($C1429,'CEDARS School FRPL'!C:H,3,FALSE),0)</f>
        <v>0.65403333333333336</v>
      </c>
      <c r="N1429" s="123" t="str">
        <f>IFERROR(VLOOKUP(C1429,'CEDARS School FRPL'!C:H,6,FALSE),"No")</f>
        <v>No</v>
      </c>
      <c r="O1429" s="147"/>
      <c r="P1429" s="148"/>
    </row>
    <row r="1430" spans="1:16">
      <c r="A1430" s="95" t="s">
        <v>2312</v>
      </c>
      <c r="B1430" s="95" t="s">
        <v>372</v>
      </c>
      <c r="C1430" s="4">
        <v>5345</v>
      </c>
      <c r="D1430" s="95" t="s">
        <v>388</v>
      </c>
      <c r="E1430" s="145">
        <v>493.76</v>
      </c>
      <c r="F1430" s="145">
        <v>0</v>
      </c>
      <c r="G1430" s="145">
        <v>0</v>
      </c>
      <c r="H1430" s="145">
        <v>0</v>
      </c>
      <c r="I1430" s="77">
        <f t="shared" si="25"/>
        <v>493.76</v>
      </c>
      <c r="J1430" s="123" t="str">
        <f>IFERROR(VLOOKUP($C1430,'CEDARS School FRPL'!C:H,4,FALSE),"No")</f>
        <v>No</v>
      </c>
      <c r="K1430" s="109"/>
      <c r="L1430" s="109"/>
      <c r="M1430" s="110">
        <f>IFERROR(VLOOKUP($C1430,'CEDARS School FRPL'!C:H,3,FALSE),0)</f>
        <v>0.48446666666666666</v>
      </c>
      <c r="N1430" s="123" t="str">
        <f>IFERROR(VLOOKUP(C1430,'CEDARS School FRPL'!C:H,6,FALSE),"No")</f>
        <v>No</v>
      </c>
      <c r="O1430" s="147"/>
      <c r="P1430" s="148"/>
    </row>
    <row r="1431" spans="1:16">
      <c r="A1431" s="95" t="s">
        <v>2312</v>
      </c>
      <c r="B1431" s="95" t="s">
        <v>372</v>
      </c>
      <c r="C1431" s="4">
        <v>5391</v>
      </c>
      <c r="D1431" s="95" t="s">
        <v>389</v>
      </c>
      <c r="E1431" s="145">
        <v>670.59</v>
      </c>
      <c r="F1431" s="145">
        <v>0</v>
      </c>
      <c r="G1431" s="145">
        <v>0</v>
      </c>
      <c r="H1431" s="145">
        <v>0</v>
      </c>
      <c r="I1431" s="77">
        <f t="shared" si="25"/>
        <v>670.59</v>
      </c>
      <c r="J1431" s="123" t="str">
        <f>IFERROR(VLOOKUP($C1431,'CEDARS School FRPL'!C:H,4,FALSE),"No")</f>
        <v>Yes</v>
      </c>
      <c r="K1431" s="109"/>
      <c r="L1431" s="109"/>
      <c r="M1431" s="110">
        <f>IFERROR(VLOOKUP($C1431,'CEDARS School FRPL'!C:H,3,FALSE),0)</f>
        <v>0.50053333333333327</v>
      </c>
      <c r="N1431" s="123" t="str">
        <f>IFERROR(VLOOKUP(C1431,'CEDARS School FRPL'!C:H,6,FALSE),"No")</f>
        <v>No</v>
      </c>
      <c r="O1431" s="147"/>
      <c r="P1431" s="148"/>
    </row>
    <row r="1432" spans="1:16">
      <c r="A1432" s="95" t="s">
        <v>2312</v>
      </c>
      <c r="B1432" s="95" t="s">
        <v>372</v>
      </c>
      <c r="C1432" s="4">
        <v>5392</v>
      </c>
      <c r="D1432" s="95" t="s">
        <v>390</v>
      </c>
      <c r="E1432" s="145">
        <v>477.86</v>
      </c>
      <c r="F1432" s="145">
        <v>0</v>
      </c>
      <c r="G1432" s="145">
        <v>0</v>
      </c>
      <c r="H1432" s="145">
        <v>0</v>
      </c>
      <c r="I1432" s="77">
        <f t="shared" si="25"/>
        <v>477.86</v>
      </c>
      <c r="J1432" s="123" t="str">
        <f>IFERROR(VLOOKUP($C1432,'CEDARS School FRPL'!C:H,4,FALSE),"No")</f>
        <v>Yes</v>
      </c>
      <c r="K1432" s="109"/>
      <c r="L1432" s="109"/>
      <c r="M1432" s="110">
        <f>IFERROR(VLOOKUP($C1432,'CEDARS School FRPL'!C:H,3,FALSE),0)</f>
        <v>0.94329999999999992</v>
      </c>
      <c r="N1432" s="123" t="str">
        <f>IFERROR(VLOOKUP(C1432,'CEDARS School FRPL'!C:H,6,FALSE),"No")</f>
        <v>No</v>
      </c>
      <c r="O1432" s="147"/>
      <c r="P1432" s="148"/>
    </row>
    <row r="1433" spans="1:16">
      <c r="A1433" s="95" t="s">
        <v>2312</v>
      </c>
      <c r="B1433" s="95" t="s">
        <v>372</v>
      </c>
      <c r="C1433" s="4">
        <v>5393</v>
      </c>
      <c r="D1433" s="95" t="s">
        <v>391</v>
      </c>
      <c r="E1433" s="145">
        <v>118.34</v>
      </c>
      <c r="F1433" s="145">
        <v>0</v>
      </c>
      <c r="G1433" s="145">
        <v>0</v>
      </c>
      <c r="H1433" s="145">
        <v>0</v>
      </c>
      <c r="I1433" s="77">
        <f t="shared" si="25"/>
        <v>118.34</v>
      </c>
      <c r="J1433" s="123" t="str">
        <f>IFERROR(VLOOKUP($C1433,'CEDARS School FRPL'!C:H,4,FALSE),"No")</f>
        <v>No</v>
      </c>
      <c r="K1433" s="109"/>
      <c r="L1433" s="109"/>
      <c r="M1433" s="110">
        <f>IFERROR(VLOOKUP($C1433,'CEDARS School FRPL'!C:H,3,FALSE),0)</f>
        <v>0.49230000000000002</v>
      </c>
      <c r="N1433" s="123" t="str">
        <f>IFERROR(VLOOKUP(C1433,'CEDARS School FRPL'!C:H,6,FALSE),"No")</f>
        <v>No</v>
      </c>
      <c r="O1433" s="147"/>
      <c r="P1433" s="148"/>
    </row>
    <row r="1434" spans="1:16">
      <c r="A1434" s="95" t="s">
        <v>2312</v>
      </c>
      <c r="B1434" s="95" t="s">
        <v>372</v>
      </c>
      <c r="C1434" s="4">
        <v>5394</v>
      </c>
      <c r="D1434" s="95" t="s">
        <v>392</v>
      </c>
      <c r="E1434" s="145">
        <v>386.16</v>
      </c>
      <c r="F1434" s="145">
        <v>0</v>
      </c>
      <c r="G1434" s="145">
        <v>0</v>
      </c>
      <c r="H1434" s="145">
        <v>0</v>
      </c>
      <c r="I1434" s="77">
        <f t="shared" si="25"/>
        <v>386.16</v>
      </c>
      <c r="J1434" s="123" t="str">
        <f>IFERROR(VLOOKUP($C1434,'CEDARS School FRPL'!C:H,4,FALSE),"No")</f>
        <v>Yes</v>
      </c>
      <c r="K1434" s="109"/>
      <c r="L1434" s="109"/>
      <c r="M1434" s="110">
        <f>IFERROR(VLOOKUP($C1434,'CEDARS School FRPL'!C:H,3,FALSE),0)</f>
        <v>0.93583333333333341</v>
      </c>
      <c r="N1434" s="123" t="str">
        <f>IFERROR(VLOOKUP(C1434,'CEDARS School FRPL'!C:H,6,FALSE),"No")</f>
        <v>No</v>
      </c>
      <c r="O1434" s="147"/>
      <c r="P1434" s="148"/>
    </row>
    <row r="1435" spans="1:16">
      <c r="A1435" s="95" t="s">
        <v>2312</v>
      </c>
      <c r="B1435" s="95" t="s">
        <v>372</v>
      </c>
      <c r="C1435" s="4">
        <v>5556</v>
      </c>
      <c r="D1435" s="95" t="s">
        <v>2823</v>
      </c>
      <c r="E1435" s="145">
        <v>562.64</v>
      </c>
      <c r="F1435" s="145">
        <v>0</v>
      </c>
      <c r="G1435" s="145">
        <v>0</v>
      </c>
      <c r="H1435" s="145">
        <v>0</v>
      </c>
      <c r="I1435" s="77">
        <f t="shared" si="25"/>
        <v>562.64</v>
      </c>
      <c r="J1435" s="123" t="str">
        <f>IFERROR(VLOOKUP($C1435,'CEDARS School FRPL'!C:H,4,FALSE),"No")</f>
        <v>Yes</v>
      </c>
      <c r="K1435" s="109"/>
      <c r="L1435" s="109"/>
      <c r="M1435" s="110">
        <f>IFERROR(VLOOKUP($C1435,'CEDARS School FRPL'!C:H,3,FALSE),0)</f>
        <v>0.6781666666666667</v>
      </c>
      <c r="N1435" s="123" t="str">
        <f>IFERROR(VLOOKUP(C1435,'CEDARS School FRPL'!C:H,6,FALSE),"No")</f>
        <v>No</v>
      </c>
      <c r="O1435" s="147"/>
      <c r="P1435" s="148"/>
    </row>
    <row r="1436" spans="1:16">
      <c r="A1436" s="95" t="s">
        <v>2312</v>
      </c>
      <c r="B1436" s="95" t="s">
        <v>372</v>
      </c>
      <c r="C1436" s="4">
        <v>5623</v>
      </c>
      <c r="D1436" s="95" t="s">
        <v>2904</v>
      </c>
      <c r="E1436" s="145">
        <v>441.74</v>
      </c>
      <c r="F1436" s="145">
        <v>0</v>
      </c>
      <c r="G1436" s="145">
        <v>0</v>
      </c>
      <c r="H1436" s="145">
        <v>0</v>
      </c>
      <c r="I1436" s="77">
        <f t="shared" si="25"/>
        <v>441.74</v>
      </c>
      <c r="J1436" s="123" t="str">
        <f>IFERROR(VLOOKUP($C1436,'CEDARS School FRPL'!C:H,4,FALSE),"No")</f>
        <v>No</v>
      </c>
      <c r="K1436" s="109"/>
      <c r="L1436" s="109"/>
      <c r="M1436" s="110">
        <f>IFERROR(VLOOKUP($C1436,'CEDARS School FRPL'!C:H,3,FALSE),0)</f>
        <v>0.45199999999999996</v>
      </c>
      <c r="N1436" s="123" t="str">
        <f>IFERROR(VLOOKUP(C1436,'CEDARS School FRPL'!C:H,6,FALSE),"No")</f>
        <v>No</v>
      </c>
      <c r="O1436" s="147"/>
      <c r="P1436" s="148"/>
    </row>
    <row r="1437" spans="1:16">
      <c r="A1437" s="95" t="s">
        <v>2312</v>
      </c>
      <c r="B1437" s="95" t="s">
        <v>372</v>
      </c>
      <c r="C1437" s="4">
        <v>5624</v>
      </c>
      <c r="D1437" s="95" t="s">
        <v>2905</v>
      </c>
      <c r="E1437" s="145">
        <v>1241.53</v>
      </c>
      <c r="F1437" s="145">
        <v>0</v>
      </c>
      <c r="G1437" s="145">
        <v>0</v>
      </c>
      <c r="H1437" s="145">
        <v>0</v>
      </c>
      <c r="I1437" s="77">
        <f t="shared" si="25"/>
        <v>1241.53</v>
      </c>
      <c r="J1437" s="123" t="str">
        <f>IFERROR(VLOOKUP($C1437,'CEDARS School FRPL'!C:H,4,FALSE),"No")</f>
        <v>Yes</v>
      </c>
      <c r="K1437" s="109"/>
      <c r="L1437" s="109"/>
      <c r="M1437" s="110">
        <f>IFERROR(VLOOKUP($C1437,'CEDARS School FRPL'!C:H,3,FALSE),0)</f>
        <v>0.55169999999999997</v>
      </c>
      <c r="N1437" s="123" t="str">
        <f>IFERROR(VLOOKUP(C1437,'CEDARS School FRPL'!C:H,6,FALSE),"No")</f>
        <v>No</v>
      </c>
      <c r="O1437" s="147"/>
      <c r="P1437" s="148"/>
    </row>
    <row r="1438" spans="1:16">
      <c r="A1438" s="95" t="s">
        <v>2312</v>
      </c>
      <c r="B1438" s="95" t="s">
        <v>372</v>
      </c>
      <c r="C1438" s="4">
        <v>5711</v>
      </c>
      <c r="D1438" s="95" t="s">
        <v>3034</v>
      </c>
      <c r="E1438" s="145">
        <v>305.86</v>
      </c>
      <c r="F1438" s="145">
        <v>0</v>
      </c>
      <c r="G1438" s="145">
        <v>0</v>
      </c>
      <c r="H1438" s="145">
        <v>0</v>
      </c>
      <c r="I1438" s="77">
        <f t="shared" si="25"/>
        <v>305.86</v>
      </c>
      <c r="J1438" s="123" t="str">
        <f>IFERROR(VLOOKUP($C1438,'CEDARS School FRPL'!C:H,4,FALSE),"No")</f>
        <v>Yes</v>
      </c>
      <c r="K1438" s="109"/>
      <c r="L1438" s="109"/>
      <c r="M1438" s="110">
        <f>IFERROR(VLOOKUP($C1438,'CEDARS School FRPL'!C:H,3,FALSE),0)</f>
        <v>0.64759999999999995</v>
      </c>
      <c r="N1438" s="123" t="str">
        <f>IFERROR(VLOOKUP(C1438,'CEDARS School FRPL'!C:H,6,FALSE),"No")</f>
        <v>No</v>
      </c>
      <c r="O1438" s="147"/>
      <c r="P1438" s="148"/>
    </row>
    <row r="1439" spans="1:16">
      <c r="A1439" s="95" t="s">
        <v>2425</v>
      </c>
      <c r="B1439" s="95" t="s">
        <v>1247</v>
      </c>
      <c r="C1439" s="4">
        <v>2396</v>
      </c>
      <c r="D1439" s="95" t="s">
        <v>1248</v>
      </c>
      <c r="E1439" s="145">
        <v>140.01</v>
      </c>
      <c r="F1439" s="145">
        <v>0</v>
      </c>
      <c r="G1439" s="145">
        <v>0</v>
      </c>
      <c r="H1439" s="145">
        <v>0</v>
      </c>
      <c r="I1439" s="77">
        <f t="shared" si="25"/>
        <v>140.01</v>
      </c>
      <c r="J1439" s="123" t="str">
        <f>IFERROR(VLOOKUP($C1439,'CEDARS School FRPL'!C:H,4,FALSE),"No")</f>
        <v>Yes</v>
      </c>
      <c r="K1439" s="109"/>
      <c r="L1439" s="109"/>
      <c r="M1439" s="110">
        <f>IFERROR(VLOOKUP($C1439,'CEDARS School FRPL'!C:H,3,FALSE),0)</f>
        <v>0.63940000000000008</v>
      </c>
      <c r="N1439" s="123" t="str">
        <f>IFERROR(VLOOKUP(C1439,'CEDARS School FRPL'!C:H,6,FALSE),"No")</f>
        <v>No</v>
      </c>
      <c r="O1439" s="147"/>
      <c r="P1439" s="148"/>
    </row>
    <row r="1440" spans="1:16">
      <c r="A1440" s="95" t="s">
        <v>2425</v>
      </c>
      <c r="B1440" s="95" t="s">
        <v>1247</v>
      </c>
      <c r="C1440" s="4">
        <v>2397</v>
      </c>
      <c r="D1440" s="95" t="s">
        <v>1249</v>
      </c>
      <c r="E1440" s="145">
        <v>139.28</v>
      </c>
      <c r="F1440" s="145">
        <v>8.34</v>
      </c>
      <c r="G1440" s="145">
        <v>0</v>
      </c>
      <c r="H1440" s="145">
        <v>0</v>
      </c>
      <c r="I1440" s="77">
        <f t="shared" si="25"/>
        <v>147.62</v>
      </c>
      <c r="J1440" s="123" t="str">
        <f>IFERROR(VLOOKUP($C1440,'CEDARS School FRPL'!C:H,4,FALSE),"No")</f>
        <v>Yes</v>
      </c>
      <c r="K1440" s="109"/>
      <c r="L1440" s="109"/>
      <c r="M1440" s="110">
        <f>IFERROR(VLOOKUP($C1440,'CEDARS School FRPL'!C:H,3,FALSE),0)</f>
        <v>0.7402333333333333</v>
      </c>
      <c r="N1440" s="123" t="str">
        <f>IFERROR(VLOOKUP(C1440,'CEDARS School FRPL'!C:H,6,FALSE),"No")</f>
        <v>No</v>
      </c>
      <c r="O1440" s="147"/>
      <c r="P1440" s="148"/>
    </row>
    <row r="1441" spans="1:16">
      <c r="A1441" s="95" t="s">
        <v>2425</v>
      </c>
      <c r="B1441" s="95" t="s">
        <v>1247</v>
      </c>
      <c r="C1441" s="4">
        <v>5639</v>
      </c>
      <c r="D1441" s="95" t="s">
        <v>2985</v>
      </c>
      <c r="E1441" s="145">
        <v>8.02</v>
      </c>
      <c r="F1441" s="145">
        <v>0</v>
      </c>
      <c r="G1441" s="145">
        <v>0</v>
      </c>
      <c r="H1441" s="145">
        <v>0</v>
      </c>
      <c r="I1441" s="77">
        <f t="shared" si="25"/>
        <v>8.02</v>
      </c>
      <c r="J1441" s="123" t="str">
        <f>IFERROR(VLOOKUP($C1441,'CEDARS School FRPL'!C:H,4,FALSE),"No")</f>
        <v>No</v>
      </c>
      <c r="K1441" s="109"/>
      <c r="L1441" s="109"/>
      <c r="M1441" s="110">
        <f>IFERROR(VLOOKUP($C1441,'CEDARS School FRPL'!C:H,3,FALSE),0)</f>
        <v>0</v>
      </c>
      <c r="N1441" s="123" t="str">
        <f>IFERROR(VLOOKUP(C1441,'CEDARS School FRPL'!C:H,6,FALSE),"No")</f>
        <v>No</v>
      </c>
      <c r="O1441" s="147"/>
      <c r="P1441" s="148"/>
    </row>
    <row r="1442" spans="1:16">
      <c r="A1442" s="95" t="s">
        <v>2265</v>
      </c>
      <c r="B1442" s="95" t="s">
        <v>60</v>
      </c>
      <c r="C1442" s="4">
        <v>2133</v>
      </c>
      <c r="D1442" s="95" t="s">
        <v>61</v>
      </c>
      <c r="E1442" s="145">
        <v>141</v>
      </c>
      <c r="F1442" s="145">
        <v>0</v>
      </c>
      <c r="G1442" s="145">
        <v>0</v>
      </c>
      <c r="H1442" s="145">
        <v>0</v>
      </c>
      <c r="I1442" s="77">
        <f t="shared" si="25"/>
        <v>141</v>
      </c>
      <c r="J1442" s="123" t="str">
        <f>IFERROR(VLOOKUP($C1442,'CEDARS School FRPL'!C:H,4,FALSE),"No")</f>
        <v>Yes</v>
      </c>
      <c r="K1442" s="109"/>
      <c r="L1442" s="109"/>
      <c r="M1442" s="110">
        <f>IFERROR(VLOOKUP($C1442,'CEDARS School FRPL'!C:H,3,FALSE),0)</f>
        <v>0.99716666666666676</v>
      </c>
      <c r="N1442" s="123" t="str">
        <f>IFERROR(VLOOKUP(C1442,'CEDARS School FRPL'!C:H,6,FALSE),"No")</f>
        <v>No</v>
      </c>
      <c r="O1442" s="147"/>
      <c r="P1442" s="148"/>
    </row>
    <row r="1443" spans="1:16">
      <c r="A1443" s="95" t="s">
        <v>2402</v>
      </c>
      <c r="B1443" s="95" t="s">
        <v>1164</v>
      </c>
      <c r="C1443" s="4">
        <v>2858</v>
      </c>
      <c r="D1443" s="95" t="s">
        <v>1165</v>
      </c>
      <c r="E1443" s="145">
        <v>243.68</v>
      </c>
      <c r="F1443" s="145">
        <v>2.9499999999999997</v>
      </c>
      <c r="G1443" s="145">
        <v>0.14000000000000001</v>
      </c>
      <c r="H1443" s="145">
        <v>0</v>
      </c>
      <c r="I1443" s="77">
        <f t="shared" si="25"/>
        <v>246.76999999999998</v>
      </c>
      <c r="J1443" s="123" t="str">
        <f>IFERROR(VLOOKUP($C1443,'CEDARS School FRPL'!C:H,4,FALSE),"No")</f>
        <v>Yes</v>
      </c>
      <c r="K1443" s="109"/>
      <c r="L1443" s="109"/>
      <c r="M1443" s="110">
        <f>IFERROR(VLOOKUP($C1443,'CEDARS School FRPL'!C:H,3,FALSE),0)</f>
        <v>0.57346666666666668</v>
      </c>
      <c r="N1443" s="123" t="str">
        <f>IFERROR(VLOOKUP(C1443,'CEDARS School FRPL'!C:H,6,FALSE),"No")</f>
        <v>No</v>
      </c>
      <c r="O1443" s="147"/>
      <c r="P1443" s="148"/>
    </row>
    <row r="1444" spans="1:16">
      <c r="A1444" s="95" t="s">
        <v>2447</v>
      </c>
      <c r="B1444" s="95" t="s">
        <v>1443</v>
      </c>
      <c r="C1444" s="4">
        <v>1516</v>
      </c>
      <c r="D1444" s="95" t="s">
        <v>1444</v>
      </c>
      <c r="E1444" s="145">
        <v>83.41</v>
      </c>
      <c r="F1444" s="145">
        <v>0</v>
      </c>
      <c r="G1444" s="145">
        <v>0</v>
      </c>
      <c r="H1444" s="145">
        <v>0</v>
      </c>
      <c r="I1444" s="77">
        <f t="shared" si="25"/>
        <v>83.41</v>
      </c>
      <c r="J1444" s="123" t="str">
        <f>IFERROR(VLOOKUP($C1444,'CEDARS School FRPL'!C:H,4,FALSE),"No")</f>
        <v>No</v>
      </c>
      <c r="K1444" s="109"/>
      <c r="L1444" s="109"/>
      <c r="M1444" s="110">
        <f>IFERROR(VLOOKUP($C1444,'CEDARS School FRPL'!C:H,3,FALSE),0)</f>
        <v>0.47110000000000002</v>
      </c>
      <c r="N1444" s="123" t="str">
        <f>IFERROR(VLOOKUP(C1444,'CEDARS School FRPL'!C:H,6,FALSE),"No")</f>
        <v>No</v>
      </c>
      <c r="O1444" s="147"/>
      <c r="P1444" s="148"/>
    </row>
    <row r="1445" spans="1:16">
      <c r="A1445" s="95" t="s">
        <v>2447</v>
      </c>
      <c r="B1445" s="95" t="s">
        <v>1443</v>
      </c>
      <c r="C1445" s="4">
        <v>2294</v>
      </c>
      <c r="D1445" s="95" t="s">
        <v>1445</v>
      </c>
      <c r="E1445" s="145">
        <v>449.9</v>
      </c>
      <c r="F1445" s="145">
        <v>0</v>
      </c>
      <c r="G1445" s="145">
        <v>0</v>
      </c>
      <c r="H1445" s="145">
        <v>0</v>
      </c>
      <c r="I1445" s="77">
        <f t="shared" si="25"/>
        <v>449.9</v>
      </c>
      <c r="J1445" s="123" t="str">
        <f>IFERROR(VLOOKUP($C1445,'CEDARS School FRPL'!C:H,4,FALSE),"No")</f>
        <v>No</v>
      </c>
      <c r="K1445" s="109"/>
      <c r="L1445" s="109"/>
      <c r="M1445" s="110">
        <f>IFERROR(VLOOKUP($C1445,'CEDARS School FRPL'!C:H,3,FALSE),0)</f>
        <v>0.18543333333333334</v>
      </c>
      <c r="N1445" s="123" t="str">
        <f>IFERROR(VLOOKUP(C1445,'CEDARS School FRPL'!C:H,6,FALSE),"No")</f>
        <v>No</v>
      </c>
      <c r="O1445" s="147"/>
      <c r="P1445" s="148"/>
    </row>
    <row r="1446" spans="1:16">
      <c r="A1446" s="95" t="s">
        <v>2447</v>
      </c>
      <c r="B1446" s="95" t="s">
        <v>1443</v>
      </c>
      <c r="C1446" s="4">
        <v>2681</v>
      </c>
      <c r="D1446" s="95" t="s">
        <v>1446</v>
      </c>
      <c r="E1446" s="145">
        <v>1253.9100000000001</v>
      </c>
      <c r="F1446" s="145">
        <v>157.95000000000002</v>
      </c>
      <c r="G1446" s="145">
        <v>0</v>
      </c>
      <c r="H1446" s="145">
        <v>0</v>
      </c>
      <c r="I1446" s="77">
        <f t="shared" si="25"/>
        <v>1411.8600000000001</v>
      </c>
      <c r="J1446" s="123" t="str">
        <f>IFERROR(VLOOKUP($C1446,'CEDARS School FRPL'!C:H,4,FALSE),"No")</f>
        <v>No</v>
      </c>
      <c r="K1446" s="109"/>
      <c r="L1446" s="109"/>
      <c r="M1446" s="110">
        <f>IFERROR(VLOOKUP($C1446,'CEDARS School FRPL'!C:H,3,FALSE),0)</f>
        <v>0.2117</v>
      </c>
      <c r="N1446" s="123" t="str">
        <f>IFERROR(VLOOKUP(C1446,'CEDARS School FRPL'!C:H,6,FALSE),"No")</f>
        <v>No</v>
      </c>
      <c r="O1446" s="147"/>
      <c r="P1446" s="148"/>
    </row>
    <row r="1447" spans="1:16">
      <c r="A1447" s="95" t="s">
        <v>2447</v>
      </c>
      <c r="B1447" s="95" t="s">
        <v>1443</v>
      </c>
      <c r="C1447" s="4">
        <v>2944</v>
      </c>
      <c r="D1447" s="95" t="s">
        <v>1447</v>
      </c>
      <c r="E1447" s="145">
        <v>435.57</v>
      </c>
      <c r="F1447" s="145">
        <v>0</v>
      </c>
      <c r="G1447" s="145">
        <v>0</v>
      </c>
      <c r="H1447" s="145">
        <v>0</v>
      </c>
      <c r="I1447" s="77">
        <f t="shared" si="25"/>
        <v>435.57</v>
      </c>
      <c r="J1447" s="123" t="str">
        <f>IFERROR(VLOOKUP($C1447,'CEDARS School FRPL'!C:H,4,FALSE),"No")</f>
        <v>No</v>
      </c>
      <c r="K1447" s="109"/>
      <c r="L1447" s="109"/>
      <c r="M1447" s="110">
        <f>IFERROR(VLOOKUP($C1447,'CEDARS School FRPL'!C:H,3,FALSE),0)</f>
        <v>0.17446666666666669</v>
      </c>
      <c r="N1447" s="123" t="str">
        <f>IFERROR(VLOOKUP(C1447,'CEDARS School FRPL'!C:H,6,FALSE),"No")</f>
        <v>No</v>
      </c>
      <c r="O1447" s="147"/>
      <c r="P1447" s="148"/>
    </row>
    <row r="1448" spans="1:16">
      <c r="A1448" s="95" t="s">
        <v>2447</v>
      </c>
      <c r="B1448" s="95" t="s">
        <v>1443</v>
      </c>
      <c r="C1448" s="4">
        <v>3055</v>
      </c>
      <c r="D1448" s="95" t="s">
        <v>1448</v>
      </c>
      <c r="E1448" s="145">
        <v>234.79</v>
      </c>
      <c r="F1448" s="145">
        <v>0</v>
      </c>
      <c r="G1448" s="145">
        <v>0</v>
      </c>
      <c r="H1448" s="145">
        <v>0</v>
      </c>
      <c r="I1448" s="77">
        <f t="shared" si="25"/>
        <v>234.79</v>
      </c>
      <c r="J1448" s="123" t="str">
        <f>IFERROR(VLOOKUP($C1448,'CEDARS School FRPL'!C:H,4,FALSE),"No")</f>
        <v>No</v>
      </c>
      <c r="K1448" s="109"/>
      <c r="L1448" s="109"/>
      <c r="M1448" s="110">
        <f>IFERROR(VLOOKUP($C1448,'CEDARS School FRPL'!C:H,3,FALSE),0)</f>
        <v>0.47449999999999998</v>
      </c>
      <c r="N1448" s="123" t="str">
        <f>IFERROR(VLOOKUP(C1448,'CEDARS School FRPL'!C:H,6,FALSE),"No")</f>
        <v>Yes</v>
      </c>
      <c r="O1448" s="147"/>
      <c r="P1448" s="148"/>
    </row>
    <row r="1449" spans="1:16">
      <c r="A1449" s="95" t="s">
        <v>2447</v>
      </c>
      <c r="B1449" s="95" t="s">
        <v>1443</v>
      </c>
      <c r="C1449" s="4">
        <v>3056</v>
      </c>
      <c r="D1449" s="95" t="s">
        <v>1449</v>
      </c>
      <c r="E1449" s="145">
        <v>305.35000000000002</v>
      </c>
      <c r="F1449" s="145">
        <v>0</v>
      </c>
      <c r="G1449" s="145">
        <v>0</v>
      </c>
      <c r="H1449" s="145">
        <v>0</v>
      </c>
      <c r="I1449" s="77">
        <f t="shared" si="25"/>
        <v>305.35000000000002</v>
      </c>
      <c r="J1449" s="123" t="str">
        <f>IFERROR(VLOOKUP($C1449,'CEDARS School FRPL'!C:H,4,FALSE),"No")</f>
        <v>No</v>
      </c>
      <c r="K1449" s="109"/>
      <c r="L1449" s="109"/>
      <c r="M1449" s="110">
        <f>IFERROR(VLOOKUP($C1449,'CEDARS School FRPL'!C:H,3,FALSE),0)</f>
        <v>0.34276666666666666</v>
      </c>
      <c r="N1449" s="123" t="str">
        <f>IFERROR(VLOOKUP(C1449,'CEDARS School FRPL'!C:H,6,FALSE),"No")</f>
        <v>No</v>
      </c>
      <c r="O1449" s="147"/>
      <c r="P1449" s="148"/>
    </row>
    <row r="1450" spans="1:16">
      <c r="A1450" s="95" t="s">
        <v>2447</v>
      </c>
      <c r="B1450" s="95" t="s">
        <v>1443</v>
      </c>
      <c r="C1450" s="4">
        <v>3299</v>
      </c>
      <c r="D1450" s="95" t="s">
        <v>1450</v>
      </c>
      <c r="E1450" s="145">
        <v>366.97</v>
      </c>
      <c r="F1450" s="145">
        <v>0</v>
      </c>
      <c r="G1450" s="145">
        <v>0</v>
      </c>
      <c r="H1450" s="145">
        <v>0</v>
      </c>
      <c r="I1450" s="77">
        <f t="shared" si="25"/>
        <v>366.97</v>
      </c>
      <c r="J1450" s="123" t="str">
        <f>IFERROR(VLOOKUP($C1450,'CEDARS School FRPL'!C:H,4,FALSE),"No")</f>
        <v>No</v>
      </c>
      <c r="K1450" s="109"/>
      <c r="L1450" s="109"/>
      <c r="M1450" s="110">
        <f>IFERROR(VLOOKUP($C1450,'CEDARS School FRPL'!C:H,3,FALSE),0)</f>
        <v>0.12156666666666667</v>
      </c>
      <c r="N1450" s="123" t="str">
        <f>IFERROR(VLOOKUP(C1450,'CEDARS School FRPL'!C:H,6,FALSE),"No")</f>
        <v>No</v>
      </c>
      <c r="O1450" s="147"/>
      <c r="P1450" s="148"/>
    </row>
    <row r="1451" spans="1:16">
      <c r="A1451" s="95" t="s">
        <v>2447</v>
      </c>
      <c r="B1451" s="95" t="s">
        <v>1443</v>
      </c>
      <c r="C1451" s="4">
        <v>3685</v>
      </c>
      <c r="D1451" s="95" t="s">
        <v>1451</v>
      </c>
      <c r="E1451" s="145">
        <v>474.49</v>
      </c>
      <c r="F1451" s="145">
        <v>0</v>
      </c>
      <c r="G1451" s="145">
        <v>0</v>
      </c>
      <c r="H1451" s="145">
        <v>0</v>
      </c>
      <c r="I1451" s="77">
        <f t="shared" si="25"/>
        <v>474.49</v>
      </c>
      <c r="J1451" s="123" t="str">
        <f>IFERROR(VLOOKUP($C1451,'CEDARS School FRPL'!C:H,4,FALSE),"No")</f>
        <v>No</v>
      </c>
      <c r="K1451" s="109"/>
      <c r="L1451" s="109"/>
      <c r="M1451" s="110">
        <f>IFERROR(VLOOKUP($C1451,'CEDARS School FRPL'!C:H,3,FALSE),0)</f>
        <v>0.158</v>
      </c>
      <c r="N1451" s="123" t="str">
        <f>IFERROR(VLOOKUP(C1451,'CEDARS School FRPL'!C:H,6,FALSE),"No")</f>
        <v>No</v>
      </c>
      <c r="O1451" s="147"/>
      <c r="P1451" s="148"/>
    </row>
    <row r="1452" spans="1:16">
      <c r="A1452" s="95" t="s">
        <v>2447</v>
      </c>
      <c r="B1452" s="95" t="s">
        <v>1443</v>
      </c>
      <c r="C1452" s="4">
        <v>4080</v>
      </c>
      <c r="D1452" s="95" t="s">
        <v>1452</v>
      </c>
      <c r="E1452" s="145">
        <v>297.29000000000002</v>
      </c>
      <c r="F1452" s="145">
        <v>0</v>
      </c>
      <c r="G1452" s="145">
        <v>0</v>
      </c>
      <c r="H1452" s="145">
        <v>0</v>
      </c>
      <c r="I1452" s="77">
        <f t="shared" si="25"/>
        <v>297.29000000000002</v>
      </c>
      <c r="J1452" s="123" t="str">
        <f>IFERROR(VLOOKUP($C1452,'CEDARS School FRPL'!C:H,4,FALSE),"No")</f>
        <v>No</v>
      </c>
      <c r="K1452" s="109"/>
      <c r="L1452" s="109"/>
      <c r="M1452" s="110">
        <f>IFERROR(VLOOKUP($C1452,'CEDARS School FRPL'!C:H,3,FALSE),0)</f>
        <v>0.15416666666666667</v>
      </c>
      <c r="N1452" s="123" t="str">
        <f>IFERROR(VLOOKUP(C1452,'CEDARS School FRPL'!C:H,6,FALSE),"No")</f>
        <v>No</v>
      </c>
      <c r="O1452" s="147"/>
      <c r="P1452" s="148"/>
    </row>
    <row r="1453" spans="1:16">
      <c r="A1453" s="95" t="s">
        <v>2447</v>
      </c>
      <c r="B1453" s="95" t="s">
        <v>1443</v>
      </c>
      <c r="C1453" s="4">
        <v>4081</v>
      </c>
      <c r="D1453" s="95" t="s">
        <v>1453</v>
      </c>
      <c r="E1453" s="145">
        <v>1185.53</v>
      </c>
      <c r="F1453" s="145">
        <v>205.9</v>
      </c>
      <c r="G1453" s="145">
        <v>0</v>
      </c>
      <c r="H1453" s="145">
        <v>0</v>
      </c>
      <c r="I1453" s="77">
        <f t="shared" si="25"/>
        <v>1391.43</v>
      </c>
      <c r="J1453" s="123" t="str">
        <f>IFERROR(VLOOKUP($C1453,'CEDARS School FRPL'!C:H,4,FALSE),"No")</f>
        <v>No</v>
      </c>
      <c r="K1453" s="109"/>
      <c r="L1453" s="109"/>
      <c r="M1453" s="110">
        <f>IFERROR(VLOOKUP($C1453,'CEDARS School FRPL'!C:H,3,FALSE),0)</f>
        <v>0.11053333333333333</v>
      </c>
      <c r="N1453" s="123" t="str">
        <f>IFERROR(VLOOKUP(C1453,'CEDARS School FRPL'!C:H,6,FALSE),"No")</f>
        <v>No</v>
      </c>
      <c r="O1453" s="147"/>
      <c r="P1453" s="148"/>
    </row>
    <row r="1454" spans="1:16">
      <c r="A1454" s="95" t="s">
        <v>2447</v>
      </c>
      <c r="B1454" s="95" t="s">
        <v>1443</v>
      </c>
      <c r="C1454" s="4">
        <v>4156</v>
      </c>
      <c r="D1454" s="95" t="s">
        <v>1454</v>
      </c>
      <c r="E1454" s="145">
        <v>409.06</v>
      </c>
      <c r="F1454" s="145">
        <v>0</v>
      </c>
      <c r="G1454" s="145">
        <v>0</v>
      </c>
      <c r="H1454" s="145">
        <v>0</v>
      </c>
      <c r="I1454" s="77">
        <f t="shared" si="25"/>
        <v>409.06</v>
      </c>
      <c r="J1454" s="123" t="str">
        <f>IFERROR(VLOOKUP($C1454,'CEDARS School FRPL'!C:H,4,FALSE),"No")</f>
        <v>No</v>
      </c>
      <c r="K1454" s="109"/>
      <c r="L1454" s="109"/>
      <c r="M1454" s="110">
        <f>IFERROR(VLOOKUP($C1454,'CEDARS School FRPL'!C:H,3,FALSE),0)</f>
        <v>0.41609999999999997</v>
      </c>
      <c r="N1454" s="123" t="str">
        <f>IFERROR(VLOOKUP(C1454,'CEDARS School FRPL'!C:H,6,FALSE),"No")</f>
        <v>No</v>
      </c>
      <c r="O1454" s="147"/>
      <c r="P1454" s="148"/>
    </row>
    <row r="1455" spans="1:16">
      <c r="A1455" s="95" t="s">
        <v>2447</v>
      </c>
      <c r="B1455" s="95" t="s">
        <v>1443</v>
      </c>
      <c r="C1455" s="4">
        <v>4189</v>
      </c>
      <c r="D1455" s="95" t="s">
        <v>1455</v>
      </c>
      <c r="E1455" s="145">
        <v>276.75</v>
      </c>
      <c r="F1455" s="145">
        <v>0</v>
      </c>
      <c r="G1455" s="145">
        <v>0</v>
      </c>
      <c r="H1455" s="145">
        <v>0</v>
      </c>
      <c r="I1455" s="77">
        <f t="shared" si="25"/>
        <v>276.75</v>
      </c>
      <c r="J1455" s="123" t="str">
        <f>IFERROR(VLOOKUP($C1455,'CEDARS School FRPL'!C:H,4,FALSE),"No")</f>
        <v>No</v>
      </c>
      <c r="K1455" s="109"/>
      <c r="L1455" s="109"/>
      <c r="M1455" s="110">
        <f>IFERROR(VLOOKUP($C1455,'CEDARS School FRPL'!C:H,3,FALSE),0)</f>
        <v>0.27790000000000004</v>
      </c>
      <c r="N1455" s="123" t="str">
        <f>IFERROR(VLOOKUP(C1455,'CEDARS School FRPL'!C:H,6,FALSE),"No")</f>
        <v>No</v>
      </c>
      <c r="O1455" s="147"/>
      <c r="P1455" s="148"/>
    </row>
    <row r="1456" spans="1:16">
      <c r="A1456" s="95" t="s">
        <v>2447</v>
      </c>
      <c r="B1456" s="95" t="s">
        <v>1443</v>
      </c>
      <c r="C1456" s="4">
        <v>4219</v>
      </c>
      <c r="D1456" s="95" t="s">
        <v>1456</v>
      </c>
      <c r="E1456" s="145">
        <v>435.13</v>
      </c>
      <c r="F1456" s="145">
        <v>0</v>
      </c>
      <c r="G1456" s="145">
        <v>0</v>
      </c>
      <c r="H1456" s="145">
        <v>0</v>
      </c>
      <c r="I1456" s="77">
        <f t="shared" si="25"/>
        <v>435.13</v>
      </c>
      <c r="J1456" s="123" t="str">
        <f>IFERROR(VLOOKUP($C1456,'CEDARS School FRPL'!C:H,4,FALSE),"No")</f>
        <v>No</v>
      </c>
      <c r="M1456" s="110">
        <f>IFERROR(VLOOKUP($C1456,'CEDARS School FRPL'!C:H,3,FALSE),0)</f>
        <v>0.14149999999999999</v>
      </c>
      <c r="N1456" s="123" t="str">
        <f>IFERROR(VLOOKUP(C1456,'CEDARS School FRPL'!C:H,6,FALSE),"No")</f>
        <v>No</v>
      </c>
      <c r="O1456" s="147"/>
      <c r="P1456" s="148"/>
    </row>
    <row r="1457" spans="1:16">
      <c r="A1457" s="95" t="s">
        <v>2447</v>
      </c>
      <c r="B1457" s="95" t="s">
        <v>1443</v>
      </c>
      <c r="C1457" s="4">
        <v>4307</v>
      </c>
      <c r="D1457" s="95" t="s">
        <v>1457</v>
      </c>
      <c r="E1457" s="145">
        <v>458.75</v>
      </c>
      <c r="F1457" s="145">
        <v>0</v>
      </c>
      <c r="G1457" s="145">
        <v>0</v>
      </c>
      <c r="H1457" s="145">
        <v>0</v>
      </c>
      <c r="I1457" s="77">
        <f t="shared" si="25"/>
        <v>458.75</v>
      </c>
      <c r="J1457" s="123" t="str">
        <f>IFERROR(VLOOKUP($C1457,'CEDARS School FRPL'!C:H,4,FALSE),"No")</f>
        <v>No</v>
      </c>
      <c r="K1457" s="109"/>
      <c r="L1457" s="109"/>
      <c r="M1457" s="110">
        <f>IFERROR(VLOOKUP($C1457,'CEDARS School FRPL'!C:H,3,FALSE),0)</f>
        <v>0.1082</v>
      </c>
      <c r="N1457" s="123" t="str">
        <f>IFERROR(VLOOKUP(C1457,'CEDARS School FRPL'!C:H,6,FALSE),"No")</f>
        <v>No</v>
      </c>
      <c r="O1457" s="147"/>
      <c r="P1457" s="148"/>
    </row>
    <row r="1458" spans="1:16">
      <c r="A1458" s="95" t="s">
        <v>2447</v>
      </c>
      <c r="B1458" s="95" t="s">
        <v>1443</v>
      </c>
      <c r="C1458" s="4">
        <v>4387</v>
      </c>
      <c r="D1458" s="95" t="s">
        <v>1458</v>
      </c>
      <c r="E1458" s="145">
        <v>571.98</v>
      </c>
      <c r="F1458" s="145">
        <v>0</v>
      </c>
      <c r="G1458" s="145">
        <v>0</v>
      </c>
      <c r="H1458" s="145">
        <v>0</v>
      </c>
      <c r="I1458" s="77">
        <f t="shared" si="25"/>
        <v>571.98</v>
      </c>
      <c r="J1458" s="123" t="str">
        <f>IFERROR(VLOOKUP($C1458,'CEDARS School FRPL'!C:H,4,FALSE),"No")</f>
        <v>No</v>
      </c>
      <c r="K1458" s="109"/>
      <c r="L1458" s="109"/>
      <c r="M1458" s="110">
        <f>IFERROR(VLOOKUP($C1458,'CEDARS School FRPL'!C:H,3,FALSE),0)</f>
        <v>0.14730000000000001</v>
      </c>
      <c r="N1458" s="123" t="str">
        <f>IFERROR(VLOOKUP(C1458,'CEDARS School FRPL'!C:H,6,FALSE),"No")</f>
        <v>No</v>
      </c>
      <c r="O1458" s="147"/>
      <c r="P1458" s="148"/>
    </row>
    <row r="1459" spans="1:16">
      <c r="A1459" s="95" t="s">
        <v>2447</v>
      </c>
      <c r="B1459" s="95" t="s">
        <v>1443</v>
      </c>
      <c r="C1459" s="4">
        <v>5631</v>
      </c>
      <c r="D1459" s="95" t="s">
        <v>244</v>
      </c>
      <c r="E1459" s="145">
        <v>411.92</v>
      </c>
      <c r="F1459" s="145">
        <v>0</v>
      </c>
      <c r="G1459" s="145">
        <v>0</v>
      </c>
      <c r="H1459" s="145">
        <v>0</v>
      </c>
      <c r="I1459" s="77">
        <f t="shared" si="25"/>
        <v>411.92</v>
      </c>
      <c r="J1459" s="123" t="str">
        <f>IFERROR(VLOOKUP($C1459,'CEDARS School FRPL'!C:H,4,FALSE),"No")</f>
        <v>No</v>
      </c>
      <c r="K1459" s="109"/>
      <c r="L1459" s="109"/>
      <c r="M1459" s="110">
        <f>IFERROR(VLOOKUP($C1459,'CEDARS School FRPL'!C:H,3,FALSE),0)</f>
        <v>0.10475000000000001</v>
      </c>
      <c r="N1459" s="123" t="str">
        <f>IFERROR(VLOOKUP(C1459,'CEDARS School FRPL'!C:H,6,FALSE),"No")</f>
        <v>No</v>
      </c>
      <c r="O1459" s="147"/>
      <c r="P1459" s="148"/>
    </row>
    <row r="1460" spans="1:16">
      <c r="A1460" s="95" t="s">
        <v>2447</v>
      </c>
      <c r="B1460" s="95" t="s">
        <v>1443</v>
      </c>
      <c r="C1460" s="4">
        <v>5685</v>
      </c>
      <c r="D1460" s="95" t="s">
        <v>3035</v>
      </c>
      <c r="E1460" s="145">
        <v>395.33</v>
      </c>
      <c r="F1460" s="145">
        <v>0</v>
      </c>
      <c r="G1460" s="145">
        <v>0</v>
      </c>
      <c r="H1460" s="145">
        <v>0</v>
      </c>
      <c r="I1460" s="77">
        <f t="shared" si="25"/>
        <v>395.33</v>
      </c>
      <c r="J1460" s="123" t="str">
        <f>IFERROR(VLOOKUP($C1460,'CEDARS School FRPL'!C:H,4,FALSE),"No")</f>
        <v>No</v>
      </c>
      <c r="K1460" s="109"/>
      <c r="L1460" s="109"/>
      <c r="M1460" s="110">
        <f>IFERROR(VLOOKUP($C1460,'CEDARS School FRPL'!C:H,3,FALSE),0)</f>
        <v>9.3700000000000006E-2</v>
      </c>
      <c r="N1460" s="123" t="str">
        <f>IFERROR(VLOOKUP(C1460,'CEDARS School FRPL'!C:H,6,FALSE),"No")</f>
        <v>No</v>
      </c>
      <c r="O1460" s="147"/>
      <c r="P1460" s="148"/>
    </row>
    <row r="1461" spans="1:16">
      <c r="A1461" s="95" t="s">
        <v>2447</v>
      </c>
      <c r="B1461" s="95" t="s">
        <v>1443</v>
      </c>
      <c r="C1461" s="4">
        <v>5707</v>
      </c>
      <c r="D1461" s="95" t="s">
        <v>2906</v>
      </c>
      <c r="E1461" s="145">
        <v>176.84</v>
      </c>
      <c r="F1461" s="145">
        <v>0.02</v>
      </c>
      <c r="G1461" s="145">
        <v>13.58</v>
      </c>
      <c r="H1461" s="145">
        <v>0</v>
      </c>
      <c r="I1461" s="77">
        <f t="shared" si="25"/>
        <v>190.44000000000003</v>
      </c>
      <c r="J1461" s="123" t="str">
        <f>IFERROR(VLOOKUP($C1461,'CEDARS School FRPL'!C:H,4,FALSE),"No")</f>
        <v>No</v>
      </c>
      <c r="K1461" s="109"/>
      <c r="L1461" s="109"/>
      <c r="M1461" s="110">
        <f>IFERROR(VLOOKUP($C1461,'CEDARS School FRPL'!C:H,3,FALSE),0)</f>
        <v>0.24690000000000001</v>
      </c>
      <c r="N1461" s="123" t="str">
        <f>IFERROR(VLOOKUP(C1461,'CEDARS School FRPL'!C:H,6,FALSE),"No")</f>
        <v>No</v>
      </c>
      <c r="O1461" s="147"/>
      <c r="P1461" s="148"/>
    </row>
    <row r="1462" spans="1:16">
      <c r="A1462" s="95" t="s">
        <v>2954</v>
      </c>
      <c r="B1462" s="95" t="s">
        <v>2955</v>
      </c>
      <c r="C1462" s="4">
        <v>5686</v>
      </c>
      <c r="D1462" s="95" t="s">
        <v>3036</v>
      </c>
      <c r="E1462" s="145">
        <v>110.71</v>
      </c>
      <c r="F1462" s="145">
        <v>0</v>
      </c>
      <c r="G1462" s="145">
        <v>0</v>
      </c>
      <c r="H1462" s="145">
        <v>0</v>
      </c>
      <c r="I1462" s="77">
        <f t="shared" si="25"/>
        <v>110.71</v>
      </c>
      <c r="J1462" s="123" t="str">
        <f>IFERROR(VLOOKUP($C1462,'CEDARS School FRPL'!C:H,4,FALSE),"No")</f>
        <v>No</v>
      </c>
      <c r="K1462" s="109"/>
      <c r="L1462" s="109"/>
      <c r="M1462" s="110">
        <f>IFERROR(VLOOKUP($C1462,'CEDARS School FRPL'!C:H,3,FALSE),0)</f>
        <v>0.43359999999999999</v>
      </c>
      <c r="N1462" s="123" t="str">
        <f>IFERROR(VLOOKUP(C1462,'CEDARS School FRPL'!C:H,6,FALSE),"No")</f>
        <v>No</v>
      </c>
      <c r="O1462" s="147"/>
      <c r="P1462" s="148"/>
    </row>
    <row r="1463" spans="1:16">
      <c r="A1463" s="95" t="s">
        <v>2418</v>
      </c>
      <c r="B1463" s="95" t="s">
        <v>1216</v>
      </c>
      <c r="C1463" s="4">
        <v>2865</v>
      </c>
      <c r="D1463" s="95" t="s">
        <v>130</v>
      </c>
      <c r="E1463" s="145">
        <v>216</v>
      </c>
      <c r="F1463" s="145">
        <v>0</v>
      </c>
      <c r="G1463" s="145">
        <v>0</v>
      </c>
      <c r="H1463" s="145">
        <v>0</v>
      </c>
      <c r="I1463" s="77">
        <f t="shared" si="25"/>
        <v>216</v>
      </c>
      <c r="J1463" s="123" t="str">
        <f>IFERROR(VLOOKUP($C1463,'CEDARS School FRPL'!C:H,4,FALSE),"No")</f>
        <v>Yes</v>
      </c>
      <c r="K1463" s="109"/>
      <c r="L1463" s="109"/>
      <c r="M1463" s="110">
        <f>IFERROR(VLOOKUP($C1463,'CEDARS School FRPL'!C:H,3,FALSE),0)</f>
        <v>0.63719999999999999</v>
      </c>
      <c r="N1463" s="123" t="str">
        <f>IFERROR(VLOOKUP(C1463,'CEDARS School FRPL'!C:H,6,FALSE),"No")</f>
        <v>No</v>
      </c>
      <c r="O1463" s="147"/>
      <c r="P1463" s="148"/>
    </row>
    <row r="1464" spans="1:16">
      <c r="A1464" s="95" t="s">
        <v>2418</v>
      </c>
      <c r="B1464" s="95" t="s">
        <v>1216</v>
      </c>
      <c r="C1464" s="4">
        <v>4463</v>
      </c>
      <c r="D1464" s="95" t="s">
        <v>244</v>
      </c>
      <c r="E1464" s="145">
        <v>439.18</v>
      </c>
      <c r="F1464" s="145">
        <v>0</v>
      </c>
      <c r="G1464" s="145">
        <v>0</v>
      </c>
      <c r="H1464" s="145">
        <v>0</v>
      </c>
      <c r="I1464" s="77">
        <f t="shared" si="25"/>
        <v>439.18</v>
      </c>
      <c r="J1464" s="123" t="str">
        <f>IFERROR(VLOOKUP($C1464,'CEDARS School FRPL'!C:H,4,FALSE),"No")</f>
        <v>Yes</v>
      </c>
      <c r="K1464" s="109"/>
      <c r="L1464" s="109"/>
      <c r="M1464" s="110">
        <f>IFERROR(VLOOKUP($C1464,'CEDARS School FRPL'!C:H,3,FALSE),0)</f>
        <v>0.5749333333333333</v>
      </c>
      <c r="N1464" s="123" t="str">
        <f>IFERROR(VLOOKUP(C1464,'CEDARS School FRPL'!C:H,6,FALSE),"No")</f>
        <v>No</v>
      </c>
      <c r="O1464" s="147"/>
      <c r="P1464" s="148"/>
    </row>
    <row r="1465" spans="1:16">
      <c r="A1465" s="95" t="s">
        <v>2418</v>
      </c>
      <c r="B1465" s="95" t="s">
        <v>1216</v>
      </c>
      <c r="C1465" s="4">
        <v>5704</v>
      </c>
      <c r="D1465" s="95" t="s">
        <v>3037</v>
      </c>
      <c r="E1465" s="145">
        <v>36</v>
      </c>
      <c r="F1465" s="145">
        <v>0</v>
      </c>
      <c r="G1465" s="145">
        <v>0</v>
      </c>
      <c r="H1465" s="145">
        <v>0</v>
      </c>
      <c r="I1465" s="77">
        <f t="shared" si="25"/>
        <v>36</v>
      </c>
      <c r="J1465" s="123" t="str">
        <f>IFERROR(VLOOKUP($C1465,'CEDARS School FRPL'!C:H,4,FALSE),"No")</f>
        <v>Yes</v>
      </c>
      <c r="K1465" s="109"/>
      <c r="L1465" s="109"/>
      <c r="M1465" s="110">
        <f>IFERROR(VLOOKUP($C1465,'CEDARS School FRPL'!C:H,3,FALSE),0)</f>
        <v>0.68179999999999996</v>
      </c>
      <c r="N1465" s="123" t="str">
        <f>IFERROR(VLOOKUP(C1465,'CEDARS School FRPL'!C:H,6,FALSE),"No")</f>
        <v>No</v>
      </c>
      <c r="O1465" s="147"/>
      <c r="P1465" s="148"/>
    </row>
    <row r="1466" spans="1:16">
      <c r="A1466" s="95" t="s">
        <v>2316</v>
      </c>
      <c r="B1466" s="95" t="s">
        <v>405</v>
      </c>
      <c r="C1466" s="4">
        <v>2241</v>
      </c>
      <c r="D1466" s="95" t="s">
        <v>406</v>
      </c>
      <c r="E1466" s="145">
        <v>146.69</v>
      </c>
      <c r="F1466" s="145">
        <v>2.41</v>
      </c>
      <c r="G1466" s="145">
        <v>0</v>
      </c>
      <c r="H1466" s="145">
        <v>0</v>
      </c>
      <c r="I1466" s="77">
        <f t="shared" si="25"/>
        <v>149.1</v>
      </c>
      <c r="J1466" s="123" t="str">
        <f>IFERROR(VLOOKUP($C1466,'CEDARS School FRPL'!C:H,4,FALSE),"No")</f>
        <v>Yes</v>
      </c>
      <c r="K1466" s="109"/>
      <c r="L1466" s="109"/>
      <c r="M1466" s="110">
        <f>IFERROR(VLOOKUP($C1466,'CEDARS School FRPL'!C:H,3,FALSE),0)</f>
        <v>0.50260000000000005</v>
      </c>
      <c r="N1466" s="123" t="str">
        <f>IFERROR(VLOOKUP(C1466,'CEDARS School FRPL'!C:H,6,FALSE),"No")</f>
        <v>No</v>
      </c>
      <c r="O1466" s="147"/>
      <c r="P1466" s="148"/>
    </row>
    <row r="1467" spans="1:16">
      <c r="A1467" s="95" t="s">
        <v>2316</v>
      </c>
      <c r="B1467" s="95" t="s">
        <v>405</v>
      </c>
      <c r="C1467" s="4">
        <v>3087</v>
      </c>
      <c r="D1467" s="95" t="s">
        <v>407</v>
      </c>
      <c r="E1467" s="145">
        <v>203.29</v>
      </c>
      <c r="F1467" s="145">
        <v>0</v>
      </c>
      <c r="G1467" s="145">
        <v>0</v>
      </c>
      <c r="H1467" s="145">
        <v>0</v>
      </c>
      <c r="I1467" s="77">
        <f t="shared" si="25"/>
        <v>203.29</v>
      </c>
      <c r="J1467" s="123" t="str">
        <f>IFERROR(VLOOKUP($C1467,'CEDARS School FRPL'!C:H,4,FALSE),"No")</f>
        <v>No</v>
      </c>
      <c r="K1467" s="109"/>
      <c r="L1467" s="109"/>
      <c r="M1467" s="110">
        <f>IFERROR(VLOOKUP($C1467,'CEDARS School FRPL'!C:H,3,FALSE),0)</f>
        <v>0.49680000000000007</v>
      </c>
      <c r="N1467" s="123" t="str">
        <f>IFERROR(VLOOKUP(C1467,'CEDARS School FRPL'!C:H,6,FALSE),"No")</f>
        <v>Yes</v>
      </c>
      <c r="O1467" s="147"/>
      <c r="P1467" s="148"/>
    </row>
    <row r="1468" spans="1:16">
      <c r="A1468" s="95" t="s">
        <v>2277</v>
      </c>
      <c r="B1468" s="95" t="s">
        <v>136</v>
      </c>
      <c r="C1468" s="4">
        <v>2368</v>
      </c>
      <c r="D1468" s="95" t="s">
        <v>79</v>
      </c>
      <c r="E1468" s="145">
        <v>260.81</v>
      </c>
      <c r="F1468" s="145">
        <v>0</v>
      </c>
      <c r="G1468" s="145">
        <v>0</v>
      </c>
      <c r="H1468" s="145">
        <v>0</v>
      </c>
      <c r="I1468" s="77">
        <f t="shared" si="25"/>
        <v>260.81</v>
      </c>
      <c r="J1468" s="123" t="str">
        <f>IFERROR(VLOOKUP($C1468,'CEDARS School FRPL'!C:H,4,FALSE),"No")</f>
        <v>Yes</v>
      </c>
      <c r="K1468" s="109"/>
      <c r="L1468" s="109"/>
      <c r="M1468" s="110">
        <f>IFERROR(VLOOKUP($C1468,'CEDARS School FRPL'!C:H,3,FALSE),0)</f>
        <v>0.59056666666666657</v>
      </c>
      <c r="N1468" s="123" t="str">
        <f>IFERROR(VLOOKUP(C1468,'CEDARS School FRPL'!C:H,6,FALSE),"No")</f>
        <v>No</v>
      </c>
      <c r="O1468" s="147"/>
      <c r="P1468" s="148"/>
    </row>
    <row r="1469" spans="1:16">
      <c r="A1469" s="95" t="s">
        <v>2277</v>
      </c>
      <c r="B1469" s="95" t="s">
        <v>136</v>
      </c>
      <c r="C1469" s="4">
        <v>2908</v>
      </c>
      <c r="D1469" s="95" t="s">
        <v>138</v>
      </c>
      <c r="E1469" s="145">
        <v>828.41</v>
      </c>
      <c r="F1469" s="145">
        <v>98.990000000000009</v>
      </c>
      <c r="G1469" s="145">
        <v>0</v>
      </c>
      <c r="H1469" s="145">
        <v>0</v>
      </c>
      <c r="I1469" s="77">
        <f t="shared" si="25"/>
        <v>927.4</v>
      </c>
      <c r="J1469" s="123" t="str">
        <f>IFERROR(VLOOKUP($C1469,'CEDARS School FRPL'!C:H,4,FALSE),"No")</f>
        <v>No</v>
      </c>
      <c r="K1469" s="109"/>
      <c r="L1469" s="109"/>
      <c r="M1469" s="110">
        <f>IFERROR(VLOOKUP($C1469,'CEDARS School FRPL'!C:H,3,FALSE),0)</f>
        <v>0.4371666666666667</v>
      </c>
      <c r="N1469" s="123" t="str">
        <f>IFERROR(VLOOKUP(C1469,'CEDARS School FRPL'!C:H,6,FALSE),"No")</f>
        <v>No</v>
      </c>
      <c r="O1469" s="147"/>
      <c r="P1469" s="148"/>
    </row>
    <row r="1470" spans="1:16">
      <c r="A1470" s="95" t="s">
        <v>2277</v>
      </c>
      <c r="B1470" s="95" t="s">
        <v>136</v>
      </c>
      <c r="C1470" s="4">
        <v>2909</v>
      </c>
      <c r="D1470" s="95" t="s">
        <v>139</v>
      </c>
      <c r="E1470" s="145">
        <v>311.62</v>
      </c>
      <c r="F1470" s="145">
        <v>0</v>
      </c>
      <c r="G1470" s="145">
        <v>0</v>
      </c>
      <c r="H1470" s="145">
        <v>0</v>
      </c>
      <c r="I1470" s="77">
        <f t="shared" si="25"/>
        <v>311.62</v>
      </c>
      <c r="J1470" s="123" t="str">
        <f>IFERROR(VLOOKUP($C1470,'CEDARS School FRPL'!C:H,4,FALSE),"No")</f>
        <v>Yes</v>
      </c>
      <c r="K1470" s="109"/>
      <c r="L1470" s="109"/>
      <c r="M1470" s="110">
        <f>IFERROR(VLOOKUP($C1470,'CEDARS School FRPL'!C:H,3,FALSE),0)</f>
        <v>0.55663333333333342</v>
      </c>
      <c r="N1470" s="123" t="str">
        <f>IFERROR(VLOOKUP(C1470,'CEDARS School FRPL'!C:H,6,FALSE),"No")</f>
        <v>No</v>
      </c>
      <c r="O1470" s="147"/>
      <c r="P1470" s="148"/>
    </row>
    <row r="1471" spans="1:16">
      <c r="A1471" s="95" t="s">
        <v>2277</v>
      </c>
      <c r="B1471" s="95" t="s">
        <v>136</v>
      </c>
      <c r="C1471" s="4">
        <v>3079</v>
      </c>
      <c r="D1471" s="95" t="s">
        <v>140</v>
      </c>
      <c r="E1471" s="145">
        <v>363.29</v>
      </c>
      <c r="F1471" s="145">
        <v>0</v>
      </c>
      <c r="G1471" s="145">
        <v>0</v>
      </c>
      <c r="H1471" s="145">
        <v>0</v>
      </c>
      <c r="I1471" s="77">
        <f t="shared" si="25"/>
        <v>363.29</v>
      </c>
      <c r="J1471" s="123" t="str">
        <f>IFERROR(VLOOKUP($C1471,'CEDARS School FRPL'!C:H,4,FALSE),"No")</f>
        <v>Yes</v>
      </c>
      <c r="K1471" s="109"/>
      <c r="L1471" s="109"/>
      <c r="M1471" s="110">
        <f>IFERROR(VLOOKUP($C1471,'CEDARS School FRPL'!C:H,3,FALSE),0)</f>
        <v>0.50780000000000003</v>
      </c>
      <c r="N1471" s="123" t="str">
        <f>IFERROR(VLOOKUP(C1471,'CEDARS School FRPL'!C:H,6,FALSE),"No")</f>
        <v>No</v>
      </c>
      <c r="O1471" s="147"/>
      <c r="P1471" s="148"/>
    </row>
    <row r="1472" spans="1:16">
      <c r="A1472" s="95" t="s">
        <v>2277</v>
      </c>
      <c r="B1472" s="95" t="s">
        <v>136</v>
      </c>
      <c r="C1472" s="4">
        <v>3318</v>
      </c>
      <c r="D1472" s="95" t="s">
        <v>141</v>
      </c>
      <c r="E1472" s="145">
        <v>481.07</v>
      </c>
      <c r="F1472" s="145">
        <v>0</v>
      </c>
      <c r="G1472" s="145">
        <v>0</v>
      </c>
      <c r="H1472" s="145">
        <v>0</v>
      </c>
      <c r="I1472" s="77">
        <f t="shared" si="25"/>
        <v>481.07</v>
      </c>
      <c r="J1472" s="123" t="str">
        <f>IFERROR(VLOOKUP($C1472,'CEDARS School FRPL'!C:H,4,FALSE),"No")</f>
        <v>Yes</v>
      </c>
      <c r="K1472" s="109"/>
      <c r="L1472" s="109"/>
      <c r="M1472" s="110">
        <f>IFERROR(VLOOKUP($C1472,'CEDARS School FRPL'!C:H,3,FALSE),0)</f>
        <v>0.53013333333333335</v>
      </c>
      <c r="N1472" s="123" t="str">
        <f>IFERROR(VLOOKUP(C1472,'CEDARS School FRPL'!C:H,6,FALSE),"No")</f>
        <v>No</v>
      </c>
      <c r="O1472" s="147"/>
      <c r="P1472" s="148"/>
    </row>
    <row r="1473" spans="1:16">
      <c r="A1473" s="95" t="s">
        <v>2277</v>
      </c>
      <c r="B1473" s="95" t="s">
        <v>136</v>
      </c>
      <c r="C1473" s="4">
        <v>4003</v>
      </c>
      <c r="D1473" s="95" t="s">
        <v>142</v>
      </c>
      <c r="E1473" s="145">
        <v>38.229999999999997</v>
      </c>
      <c r="F1473" s="145">
        <v>0</v>
      </c>
      <c r="G1473" s="145">
        <v>0</v>
      </c>
      <c r="H1473" s="145">
        <v>0</v>
      </c>
      <c r="I1473" s="77">
        <f t="shared" si="25"/>
        <v>38.229999999999997</v>
      </c>
      <c r="J1473" s="123" t="str">
        <f>IFERROR(VLOOKUP($C1473,'CEDARS School FRPL'!C:H,4,FALSE),"No")</f>
        <v>Yes</v>
      </c>
      <c r="K1473" s="109"/>
      <c r="L1473" s="109"/>
      <c r="M1473" s="110">
        <f>IFERROR(VLOOKUP($C1473,'CEDARS School FRPL'!C:H,3,FALSE),0)</f>
        <v>0.67106666666666659</v>
      </c>
      <c r="N1473" s="123" t="str">
        <f>IFERROR(VLOOKUP(C1473,'CEDARS School FRPL'!C:H,6,FALSE),"No")</f>
        <v>No</v>
      </c>
      <c r="O1473" s="147"/>
      <c r="P1473" s="148"/>
    </row>
    <row r="1474" spans="1:16">
      <c r="A1474" s="95" t="s">
        <v>2277</v>
      </c>
      <c r="B1474" s="95" t="s">
        <v>136</v>
      </c>
      <c r="C1474" s="4">
        <v>4494</v>
      </c>
      <c r="D1474" s="95" t="s">
        <v>143</v>
      </c>
      <c r="E1474" s="145">
        <v>317.95</v>
      </c>
      <c r="F1474" s="145">
        <v>0</v>
      </c>
      <c r="G1474" s="145">
        <v>0</v>
      </c>
      <c r="H1474" s="145">
        <v>0</v>
      </c>
      <c r="I1474" s="77">
        <f t="shared" si="25"/>
        <v>317.95</v>
      </c>
      <c r="J1474" s="123" t="str">
        <f>IFERROR(VLOOKUP($C1474,'CEDARS School FRPL'!C:H,4,FALSE),"No")</f>
        <v>Yes</v>
      </c>
      <c r="K1474" s="109"/>
      <c r="L1474" s="109"/>
      <c r="M1474" s="110">
        <f>IFERROR(VLOOKUP($C1474,'CEDARS School FRPL'!C:H,3,FALSE),0)</f>
        <v>0.6163333333333334</v>
      </c>
      <c r="N1474" s="123" t="str">
        <f>IFERROR(VLOOKUP(C1474,'CEDARS School FRPL'!C:H,6,FALSE),"No")</f>
        <v>No</v>
      </c>
      <c r="O1474" s="147"/>
      <c r="P1474" s="148"/>
    </row>
    <row r="1475" spans="1:16">
      <c r="A1475" s="95" t="s">
        <v>2277</v>
      </c>
      <c r="B1475" s="95" t="s">
        <v>136</v>
      </c>
      <c r="C1475" s="4">
        <v>5115</v>
      </c>
      <c r="D1475" s="95" t="s">
        <v>144</v>
      </c>
      <c r="E1475" s="145">
        <v>426.11</v>
      </c>
      <c r="F1475" s="145">
        <v>0</v>
      </c>
      <c r="G1475" s="145">
        <v>0</v>
      </c>
      <c r="H1475" s="145">
        <v>0</v>
      </c>
      <c r="I1475" s="77">
        <f t="shared" si="25"/>
        <v>426.11</v>
      </c>
      <c r="J1475" s="123" t="str">
        <f>IFERROR(VLOOKUP($C1475,'CEDARS School FRPL'!C:H,4,FALSE),"No")</f>
        <v>Yes</v>
      </c>
      <c r="K1475" s="109"/>
      <c r="L1475" s="109"/>
      <c r="M1475" s="110">
        <f>IFERROR(VLOOKUP($C1475,'CEDARS School FRPL'!C:H,3,FALSE),0)</f>
        <v>0.53553333333333331</v>
      </c>
      <c r="N1475" s="123" t="str">
        <f>IFERROR(VLOOKUP(C1475,'CEDARS School FRPL'!C:H,6,FALSE),"No")</f>
        <v>No</v>
      </c>
      <c r="O1475" s="147"/>
      <c r="P1475" s="148"/>
    </row>
    <row r="1476" spans="1:16">
      <c r="A1476" s="95" t="s">
        <v>2277</v>
      </c>
      <c r="B1476" s="95" t="s">
        <v>136</v>
      </c>
      <c r="C1476" s="4">
        <v>5611</v>
      </c>
      <c r="D1476" s="95" t="s">
        <v>2907</v>
      </c>
      <c r="E1476" s="145">
        <v>359.27</v>
      </c>
      <c r="F1476" s="145">
        <v>4.4399999999999995</v>
      </c>
      <c r="G1476" s="145">
        <v>0</v>
      </c>
      <c r="H1476" s="145">
        <v>0</v>
      </c>
      <c r="I1476" s="77">
        <f t="shared" ref="I1476:I1539" si="26">+E1476+F1476+G1476+H1476</f>
        <v>363.71</v>
      </c>
      <c r="J1476" s="123" t="str">
        <f>IFERROR(VLOOKUP($C1476,'CEDARS School FRPL'!C:H,4,FALSE),"No")</f>
        <v>No</v>
      </c>
      <c r="K1476" s="109"/>
      <c r="L1476" s="109"/>
      <c r="M1476" s="110">
        <f>IFERROR(VLOOKUP($C1476,'CEDARS School FRPL'!C:H,3,FALSE),0)</f>
        <v>0.49780000000000002</v>
      </c>
      <c r="N1476" s="123" t="str">
        <f>IFERROR(VLOOKUP(C1476,'CEDARS School FRPL'!C:H,6,FALSE),"No")</f>
        <v>No</v>
      </c>
      <c r="O1476" s="147"/>
      <c r="P1476" s="148"/>
    </row>
    <row r="1477" spans="1:16">
      <c r="A1477" s="95" t="s">
        <v>2347</v>
      </c>
      <c r="B1477" s="95" t="s">
        <v>543</v>
      </c>
      <c r="C1477" s="4">
        <v>1798</v>
      </c>
      <c r="D1477" s="95" t="s">
        <v>544</v>
      </c>
      <c r="E1477" s="145">
        <v>136.80000000000001</v>
      </c>
      <c r="F1477" s="145">
        <v>1.88</v>
      </c>
      <c r="G1477" s="145">
        <v>0</v>
      </c>
      <c r="H1477" s="145">
        <v>0</v>
      </c>
      <c r="I1477" s="77">
        <f t="shared" si="26"/>
        <v>138.68</v>
      </c>
      <c r="J1477" s="123" t="str">
        <f>IFERROR(VLOOKUP($C1477,'CEDARS School FRPL'!C:H,4,FALSE),"No")</f>
        <v>Yes</v>
      </c>
      <c r="K1477" s="109"/>
      <c r="L1477" s="109"/>
      <c r="M1477" s="110">
        <f>IFERROR(VLOOKUP($C1477,'CEDARS School FRPL'!C:H,3,FALSE),0)</f>
        <v>0.51126666666666665</v>
      </c>
      <c r="N1477" s="123" t="str">
        <f>IFERROR(VLOOKUP(C1477,'CEDARS School FRPL'!C:H,6,FALSE),"No")</f>
        <v>No</v>
      </c>
      <c r="O1477" s="147"/>
      <c r="P1477" s="148"/>
    </row>
    <row r="1478" spans="1:16">
      <c r="A1478" s="95" t="s">
        <v>2347</v>
      </c>
      <c r="B1478" s="95" t="s">
        <v>543</v>
      </c>
      <c r="C1478" s="4">
        <v>2503</v>
      </c>
      <c r="D1478" s="95" t="s">
        <v>545</v>
      </c>
      <c r="E1478" s="145">
        <v>349.76</v>
      </c>
      <c r="F1478" s="145">
        <v>28.29</v>
      </c>
      <c r="G1478" s="145">
        <v>0</v>
      </c>
      <c r="H1478" s="145">
        <v>0</v>
      </c>
      <c r="I1478" s="77">
        <f t="shared" si="26"/>
        <v>378.05</v>
      </c>
      <c r="J1478" s="123" t="str">
        <f>IFERROR(VLOOKUP($C1478,'CEDARS School FRPL'!C:H,4,FALSE),"No")</f>
        <v>No</v>
      </c>
      <c r="K1478" s="109"/>
      <c r="L1478" s="109"/>
      <c r="M1478" s="110">
        <f>IFERROR(VLOOKUP($C1478,'CEDARS School FRPL'!C:H,3,FALSE),0)</f>
        <v>0.4296666666666667</v>
      </c>
      <c r="N1478" s="123" t="str">
        <f>IFERROR(VLOOKUP(C1478,'CEDARS School FRPL'!C:H,6,FALSE),"No")</f>
        <v>No</v>
      </c>
      <c r="O1478" s="147"/>
      <c r="P1478" s="148"/>
    </row>
    <row r="1479" spans="1:16">
      <c r="A1479" s="95" t="s">
        <v>2347</v>
      </c>
      <c r="B1479" s="95" t="s">
        <v>543</v>
      </c>
      <c r="C1479" s="4">
        <v>3094</v>
      </c>
      <c r="D1479" s="95" t="s">
        <v>2790</v>
      </c>
      <c r="E1479" s="145">
        <v>400.31</v>
      </c>
      <c r="F1479" s="145">
        <v>0</v>
      </c>
      <c r="G1479" s="145">
        <v>0</v>
      </c>
      <c r="H1479" s="145">
        <v>0</v>
      </c>
      <c r="I1479" s="77">
        <f t="shared" si="26"/>
        <v>400.31</v>
      </c>
      <c r="J1479" s="123" t="str">
        <f>IFERROR(VLOOKUP($C1479,'CEDARS School FRPL'!C:H,4,FALSE),"No")</f>
        <v>No</v>
      </c>
      <c r="K1479" s="109"/>
      <c r="L1479" s="109"/>
      <c r="M1479" s="110">
        <f>IFERROR(VLOOKUP($C1479,'CEDARS School FRPL'!C:H,3,FALSE),0)</f>
        <v>0.4738</v>
      </c>
      <c r="N1479" s="123" t="str">
        <f>IFERROR(VLOOKUP(C1479,'CEDARS School FRPL'!C:H,6,FALSE),"No")</f>
        <v>Yes</v>
      </c>
      <c r="O1479" s="147"/>
      <c r="P1479" s="148"/>
    </row>
    <row r="1480" spans="1:16">
      <c r="A1480" s="95" t="s">
        <v>2347</v>
      </c>
      <c r="B1480" s="95" t="s">
        <v>543</v>
      </c>
      <c r="C1480" s="4">
        <v>4475</v>
      </c>
      <c r="D1480" s="95" t="s">
        <v>546</v>
      </c>
      <c r="E1480" s="145">
        <v>257.06</v>
      </c>
      <c r="F1480" s="145">
        <v>0</v>
      </c>
      <c r="G1480" s="145">
        <v>0</v>
      </c>
      <c r="H1480" s="145">
        <v>0</v>
      </c>
      <c r="I1480" s="77">
        <f t="shared" si="26"/>
        <v>257.06</v>
      </c>
      <c r="J1480" s="123" t="str">
        <f>IFERROR(VLOOKUP($C1480,'CEDARS School FRPL'!C:H,4,FALSE),"No")</f>
        <v>No</v>
      </c>
      <c r="K1480" s="109"/>
      <c r="L1480" s="109"/>
      <c r="M1480" s="110">
        <f>IFERROR(VLOOKUP($C1480,'CEDARS School FRPL'!C:H,3,FALSE),0)</f>
        <v>0.48690000000000005</v>
      </c>
      <c r="N1480" s="123" t="str">
        <f>IFERROR(VLOOKUP(C1480,'CEDARS School FRPL'!C:H,6,FALSE),"No")</f>
        <v>Yes</v>
      </c>
      <c r="O1480" s="147"/>
      <c r="P1480" s="148"/>
    </row>
    <row r="1481" spans="1:16">
      <c r="A1481" s="95" t="s">
        <v>2531</v>
      </c>
      <c r="B1481" s="95" t="s">
        <v>2061</v>
      </c>
      <c r="C1481" s="4">
        <v>3574</v>
      </c>
      <c r="D1481" s="95" t="s">
        <v>2062</v>
      </c>
      <c r="E1481" s="145">
        <v>120.6</v>
      </c>
      <c r="F1481" s="145">
        <v>0</v>
      </c>
      <c r="G1481" s="145">
        <v>0</v>
      </c>
      <c r="H1481" s="145">
        <v>0</v>
      </c>
      <c r="I1481" s="77">
        <f t="shared" si="26"/>
        <v>120.6</v>
      </c>
      <c r="J1481" s="123" t="str">
        <f>IFERROR(VLOOKUP($C1481,'CEDARS School FRPL'!C:H,4,FALSE),"No")</f>
        <v>Yes</v>
      </c>
      <c r="K1481" s="109"/>
      <c r="L1481" s="109"/>
      <c r="M1481" s="110">
        <f>IFERROR(VLOOKUP($C1481,'CEDARS School FRPL'!C:H,3,FALSE),0)</f>
        <v>0.81643333333333334</v>
      </c>
      <c r="N1481" s="123" t="str">
        <f>IFERROR(VLOOKUP(C1481,'CEDARS School FRPL'!C:H,6,FALSE),"No")</f>
        <v>No</v>
      </c>
      <c r="O1481" s="147"/>
      <c r="P1481" s="148"/>
    </row>
    <row r="1482" spans="1:16">
      <c r="A1482" s="95" t="s">
        <v>2531</v>
      </c>
      <c r="B1482" s="95" t="s">
        <v>2061</v>
      </c>
      <c r="C1482" s="4">
        <v>3575</v>
      </c>
      <c r="D1482" s="95" t="s">
        <v>2063</v>
      </c>
      <c r="E1482" s="145">
        <v>70.06</v>
      </c>
      <c r="F1482" s="145">
        <v>1.22</v>
      </c>
      <c r="G1482" s="145">
        <v>1</v>
      </c>
      <c r="H1482" s="145">
        <v>0</v>
      </c>
      <c r="I1482" s="77">
        <f t="shared" si="26"/>
        <v>72.28</v>
      </c>
      <c r="J1482" s="123" t="str">
        <f>IFERROR(VLOOKUP($C1482,'CEDARS School FRPL'!C:H,4,FALSE),"No")</f>
        <v>Yes</v>
      </c>
      <c r="K1482" s="109"/>
      <c r="L1482" s="109"/>
      <c r="M1482" s="110">
        <f>IFERROR(VLOOKUP($C1482,'CEDARS School FRPL'!C:H,3,FALSE),0)</f>
        <v>0.91590000000000005</v>
      </c>
      <c r="N1482" s="123" t="str">
        <f>IFERROR(VLOOKUP(C1482,'CEDARS School FRPL'!C:H,6,FALSE),"No")</f>
        <v>No</v>
      </c>
      <c r="O1482" s="147"/>
      <c r="P1482" s="148"/>
    </row>
    <row r="1483" spans="1:16">
      <c r="A1483" s="95" t="s">
        <v>2531</v>
      </c>
      <c r="B1483" s="95" t="s">
        <v>2061</v>
      </c>
      <c r="C1483" s="4">
        <v>5687</v>
      </c>
      <c r="D1483" s="95" t="s">
        <v>3038</v>
      </c>
      <c r="E1483" s="145">
        <v>57.14</v>
      </c>
      <c r="F1483" s="145">
        <v>0</v>
      </c>
      <c r="G1483" s="145">
        <v>0</v>
      </c>
      <c r="H1483" s="145">
        <v>0</v>
      </c>
      <c r="I1483" s="77">
        <f t="shared" si="26"/>
        <v>57.14</v>
      </c>
      <c r="J1483" s="123" t="str">
        <f>IFERROR(VLOOKUP($C1483,'CEDARS School FRPL'!C:H,4,FALSE),"No")</f>
        <v>Yes</v>
      </c>
      <c r="K1483" s="107"/>
      <c r="L1483" s="107"/>
      <c r="M1483" s="110">
        <f>IFERROR(VLOOKUP($C1483,'CEDARS School FRPL'!C:H,3,FALSE),0)</f>
        <v>0.86050000000000004</v>
      </c>
      <c r="N1483" s="123" t="str">
        <f>IFERROR(VLOOKUP(C1483,'CEDARS School FRPL'!C:H,6,FALSE),"No")</f>
        <v>No</v>
      </c>
      <c r="O1483" s="147"/>
      <c r="P1483" s="148"/>
    </row>
    <row r="1484" spans="1:16">
      <c r="A1484" s="95" t="s">
        <v>2502</v>
      </c>
      <c r="B1484" s="95" t="s">
        <v>1922</v>
      </c>
      <c r="C1484" s="4">
        <v>5339</v>
      </c>
      <c r="D1484" s="95" t="s">
        <v>2908</v>
      </c>
      <c r="E1484" s="145">
        <v>619.69000000000005</v>
      </c>
      <c r="F1484" s="145">
        <v>12.799999999999999</v>
      </c>
      <c r="G1484" s="145">
        <v>0</v>
      </c>
      <c r="H1484" s="145">
        <v>0</v>
      </c>
      <c r="I1484" s="77">
        <f t="shared" si="26"/>
        <v>632.49</v>
      </c>
      <c r="J1484" s="123" t="str">
        <f>IFERROR(VLOOKUP($C1484,'CEDARS School FRPL'!C:H,4,FALSE),"No")</f>
        <v>Yes</v>
      </c>
      <c r="K1484" s="109"/>
      <c r="L1484" s="109"/>
      <c r="M1484" s="110">
        <f>IFERROR(VLOOKUP($C1484,'CEDARS School FRPL'!C:H,3,FALSE),0)</f>
        <v>0.58520000000000005</v>
      </c>
      <c r="N1484" s="123" t="str">
        <f>IFERROR(VLOOKUP(C1484,'CEDARS School FRPL'!C:H,6,FALSE),"No")</f>
        <v>No</v>
      </c>
      <c r="O1484" s="147"/>
      <c r="P1484" s="148"/>
    </row>
    <row r="1485" spans="1:16">
      <c r="A1485" s="95" t="s">
        <v>2268</v>
      </c>
      <c r="B1485" s="95" t="s">
        <v>71</v>
      </c>
      <c r="C1485" s="4">
        <v>2195</v>
      </c>
      <c r="D1485" s="95" t="s">
        <v>72</v>
      </c>
      <c r="E1485" s="145">
        <v>366.86</v>
      </c>
      <c r="F1485" s="145">
        <v>0</v>
      </c>
      <c r="G1485" s="145">
        <v>0</v>
      </c>
      <c r="H1485" s="145">
        <v>0</v>
      </c>
      <c r="I1485" s="77">
        <f t="shared" si="26"/>
        <v>366.86</v>
      </c>
      <c r="J1485" s="123" t="str">
        <f>IFERROR(VLOOKUP($C1485,'CEDARS School FRPL'!C:H,4,FALSE),"No")</f>
        <v>Yes</v>
      </c>
      <c r="K1485" s="109"/>
      <c r="L1485" s="109"/>
      <c r="M1485" s="110">
        <f>IFERROR(VLOOKUP($C1485,'CEDARS School FRPL'!C:H,3,FALSE),0)</f>
        <v>0.71676666666666666</v>
      </c>
      <c r="N1485" s="123" t="str">
        <f>IFERROR(VLOOKUP(C1485,'CEDARS School FRPL'!C:H,6,FALSE),"No")</f>
        <v>No</v>
      </c>
      <c r="O1485" s="147"/>
      <c r="P1485" s="148"/>
    </row>
    <row r="1486" spans="1:16">
      <c r="A1486" s="95" t="s">
        <v>2268</v>
      </c>
      <c r="B1486" s="95" t="s">
        <v>71</v>
      </c>
      <c r="C1486" s="4">
        <v>2508</v>
      </c>
      <c r="D1486" s="95" t="s">
        <v>73</v>
      </c>
      <c r="E1486" s="145">
        <v>828.6</v>
      </c>
      <c r="F1486" s="145">
        <v>40.82</v>
      </c>
      <c r="G1486" s="145">
        <v>0</v>
      </c>
      <c r="H1486" s="145">
        <v>0</v>
      </c>
      <c r="I1486" s="77">
        <f t="shared" si="26"/>
        <v>869.42000000000007</v>
      </c>
      <c r="J1486" s="123" t="str">
        <f>IFERROR(VLOOKUP($C1486,'CEDARS School FRPL'!C:H,4,FALSE),"No")</f>
        <v>Yes</v>
      </c>
      <c r="K1486" s="109"/>
      <c r="L1486" s="109"/>
      <c r="M1486" s="110">
        <f>IFERROR(VLOOKUP($C1486,'CEDARS School FRPL'!C:H,3,FALSE),0)</f>
        <v>0.64796666666666658</v>
      </c>
      <c r="N1486" s="123" t="str">
        <f>IFERROR(VLOOKUP(C1486,'CEDARS School FRPL'!C:H,6,FALSE),"No")</f>
        <v>No</v>
      </c>
      <c r="O1486" s="147"/>
      <c r="P1486" s="148"/>
    </row>
    <row r="1487" spans="1:16">
      <c r="A1487" s="95" t="s">
        <v>2268</v>
      </c>
      <c r="B1487" s="95" t="s">
        <v>71</v>
      </c>
      <c r="C1487" s="4">
        <v>2905</v>
      </c>
      <c r="D1487" s="95" t="s">
        <v>74</v>
      </c>
      <c r="E1487" s="145">
        <v>232.43</v>
      </c>
      <c r="F1487" s="145">
        <v>0</v>
      </c>
      <c r="G1487" s="145">
        <v>0</v>
      </c>
      <c r="H1487" s="145">
        <v>0</v>
      </c>
      <c r="I1487" s="77">
        <f t="shared" si="26"/>
        <v>232.43</v>
      </c>
      <c r="J1487" s="123" t="str">
        <f>IFERROR(VLOOKUP($C1487,'CEDARS School FRPL'!C:H,4,FALSE),"No")</f>
        <v>Yes</v>
      </c>
      <c r="K1487" s="109"/>
      <c r="L1487" s="109"/>
      <c r="M1487" s="110">
        <f>IFERROR(VLOOKUP($C1487,'CEDARS School FRPL'!C:H,3,FALSE),0)</f>
        <v>0.76736666666666664</v>
      </c>
      <c r="N1487" s="123" t="str">
        <f>IFERROR(VLOOKUP(C1487,'CEDARS School FRPL'!C:H,6,FALSE),"No")</f>
        <v>No</v>
      </c>
      <c r="O1487" s="147"/>
      <c r="P1487" s="148"/>
    </row>
    <row r="1488" spans="1:16">
      <c r="A1488" s="95" t="s">
        <v>2268</v>
      </c>
      <c r="B1488" s="95" t="s">
        <v>71</v>
      </c>
      <c r="C1488" s="4">
        <v>2906</v>
      </c>
      <c r="D1488" s="95" t="s">
        <v>75</v>
      </c>
      <c r="E1488" s="145">
        <v>597.64</v>
      </c>
      <c r="F1488" s="145">
        <v>0</v>
      </c>
      <c r="G1488" s="145">
        <v>0</v>
      </c>
      <c r="H1488" s="145">
        <v>0</v>
      </c>
      <c r="I1488" s="77">
        <f t="shared" si="26"/>
        <v>597.64</v>
      </c>
      <c r="J1488" s="123" t="str">
        <f>IFERROR(VLOOKUP($C1488,'CEDARS School FRPL'!C:H,4,FALSE),"No")</f>
        <v>Yes</v>
      </c>
      <c r="K1488" s="109"/>
      <c r="L1488" s="109"/>
      <c r="M1488" s="110">
        <f>IFERROR(VLOOKUP($C1488,'CEDARS School FRPL'!C:H,3,FALSE),0)</f>
        <v>0.74896666666666667</v>
      </c>
      <c r="N1488" s="123" t="str">
        <f>IFERROR(VLOOKUP(C1488,'CEDARS School FRPL'!C:H,6,FALSE),"No")</f>
        <v>No</v>
      </c>
      <c r="O1488" s="147"/>
      <c r="P1488" s="148"/>
    </row>
    <row r="1489" spans="1:16">
      <c r="A1489" s="95" t="s">
        <v>2268</v>
      </c>
      <c r="B1489" s="95" t="s">
        <v>71</v>
      </c>
      <c r="C1489" s="4">
        <v>3316</v>
      </c>
      <c r="D1489" s="95" t="s">
        <v>76</v>
      </c>
      <c r="E1489" s="145">
        <v>372.9</v>
      </c>
      <c r="F1489" s="145">
        <v>0</v>
      </c>
      <c r="G1489" s="145">
        <v>0</v>
      </c>
      <c r="H1489" s="145">
        <v>0</v>
      </c>
      <c r="I1489" s="77">
        <f t="shared" si="26"/>
        <v>372.9</v>
      </c>
      <c r="J1489" s="123" t="str">
        <f>IFERROR(VLOOKUP($C1489,'CEDARS School FRPL'!C:H,4,FALSE),"No")</f>
        <v>Yes</v>
      </c>
      <c r="K1489" s="109"/>
      <c r="L1489" s="109"/>
      <c r="M1489" s="110">
        <f>IFERROR(VLOOKUP($C1489,'CEDARS School FRPL'!C:H,3,FALSE),0)</f>
        <v>0.74943333333333328</v>
      </c>
      <c r="N1489" s="123" t="str">
        <f>IFERROR(VLOOKUP(C1489,'CEDARS School FRPL'!C:H,6,FALSE),"No")</f>
        <v>No</v>
      </c>
      <c r="O1489" s="147"/>
      <c r="P1489" s="148"/>
    </row>
    <row r="1490" spans="1:16">
      <c r="A1490" s="95" t="s">
        <v>2268</v>
      </c>
      <c r="B1490" s="95" t="s">
        <v>71</v>
      </c>
      <c r="C1490" s="4">
        <v>5537</v>
      </c>
      <c r="D1490" s="95" t="s">
        <v>2909</v>
      </c>
      <c r="E1490" s="145">
        <v>0</v>
      </c>
      <c r="F1490" s="145">
        <v>0</v>
      </c>
      <c r="G1490" s="145">
        <v>12.43</v>
      </c>
      <c r="H1490" s="145">
        <v>0</v>
      </c>
      <c r="I1490" s="77">
        <f t="shared" si="26"/>
        <v>12.43</v>
      </c>
      <c r="J1490" s="123" t="str">
        <f>IFERROR(VLOOKUP($C1490,'CEDARS School FRPL'!C:H,4,FALSE),"No")</f>
        <v>Yes</v>
      </c>
      <c r="M1490" s="110">
        <f>IFERROR(VLOOKUP($C1490,'CEDARS School FRPL'!C:H,3,FALSE),0)</f>
        <v>0.75</v>
      </c>
      <c r="N1490" s="123" t="str">
        <f>IFERROR(VLOOKUP(C1490,'CEDARS School FRPL'!C:H,6,FALSE),"No")</f>
        <v>No</v>
      </c>
      <c r="O1490" s="147"/>
      <c r="P1490" s="148"/>
    </row>
    <row r="1491" spans="1:16">
      <c r="A1491" s="95" t="s">
        <v>2543</v>
      </c>
      <c r="B1491" s="95" t="s">
        <v>2138</v>
      </c>
      <c r="C1491" s="4">
        <v>2499</v>
      </c>
      <c r="D1491" s="95" t="s">
        <v>2139</v>
      </c>
      <c r="E1491" s="145">
        <v>823.85</v>
      </c>
      <c r="F1491" s="145">
        <v>36.19</v>
      </c>
      <c r="G1491" s="145">
        <v>1.1399999999999999</v>
      </c>
      <c r="H1491" s="145">
        <v>0</v>
      </c>
      <c r="I1491" s="77">
        <f t="shared" si="26"/>
        <v>861.18</v>
      </c>
      <c r="J1491" s="123" t="str">
        <f>IFERROR(VLOOKUP($C1491,'CEDARS School FRPL'!C:H,4,FALSE),"No")</f>
        <v>No</v>
      </c>
      <c r="K1491" s="109"/>
      <c r="L1491" s="109"/>
      <c r="M1491" s="110">
        <f>IFERROR(VLOOKUP($C1491,'CEDARS School FRPL'!C:H,3,FALSE),0)</f>
        <v>0.25679999999999997</v>
      </c>
      <c r="N1491" s="123" t="str">
        <f>IFERROR(VLOOKUP(C1491,'CEDARS School FRPL'!C:H,6,FALSE),"No")</f>
        <v>No</v>
      </c>
      <c r="O1491" s="147"/>
      <c r="P1491" s="148"/>
    </row>
    <row r="1492" spans="1:16">
      <c r="A1492" s="95" t="s">
        <v>2543</v>
      </c>
      <c r="B1492" s="95" t="s">
        <v>2138</v>
      </c>
      <c r="C1492" s="4">
        <v>2587</v>
      </c>
      <c r="D1492" s="95" t="s">
        <v>139</v>
      </c>
      <c r="E1492" s="145">
        <v>290.58999999999997</v>
      </c>
      <c r="F1492" s="145">
        <v>0</v>
      </c>
      <c r="G1492" s="145">
        <v>0</v>
      </c>
      <c r="H1492" s="145">
        <v>0</v>
      </c>
      <c r="I1492" s="77">
        <f t="shared" si="26"/>
        <v>290.58999999999997</v>
      </c>
      <c r="J1492" s="123" t="str">
        <f>IFERROR(VLOOKUP($C1492,'CEDARS School FRPL'!C:H,4,FALSE),"No")</f>
        <v>No</v>
      </c>
      <c r="K1492" s="109"/>
      <c r="L1492" s="109"/>
      <c r="M1492" s="110">
        <f>IFERROR(VLOOKUP($C1492,'CEDARS School FRPL'!C:H,3,FALSE),0)</f>
        <v>0.23253333333333334</v>
      </c>
      <c r="N1492" s="123" t="str">
        <f>IFERROR(VLOOKUP(C1492,'CEDARS School FRPL'!C:H,6,FALSE),"No")</f>
        <v>No</v>
      </c>
      <c r="O1492" s="147"/>
      <c r="P1492" s="148"/>
    </row>
    <row r="1493" spans="1:16">
      <c r="A1493" s="95" t="s">
        <v>2543</v>
      </c>
      <c r="B1493" s="95" t="s">
        <v>2138</v>
      </c>
      <c r="C1493" s="4">
        <v>3203</v>
      </c>
      <c r="D1493" s="95" t="s">
        <v>79</v>
      </c>
      <c r="E1493" s="145">
        <v>278.68</v>
      </c>
      <c r="F1493" s="145">
        <v>0</v>
      </c>
      <c r="G1493" s="145">
        <v>0</v>
      </c>
      <c r="H1493" s="145">
        <v>0</v>
      </c>
      <c r="I1493" s="77">
        <f t="shared" si="26"/>
        <v>278.68</v>
      </c>
      <c r="J1493" s="123" t="str">
        <f>IFERROR(VLOOKUP($C1493,'CEDARS School FRPL'!C:H,4,FALSE),"No")</f>
        <v>No</v>
      </c>
      <c r="K1493" s="107"/>
      <c r="L1493" s="107"/>
      <c r="M1493" s="110">
        <f>IFERROR(VLOOKUP($C1493,'CEDARS School FRPL'!C:H,3,FALSE),0)</f>
        <v>0.45080000000000003</v>
      </c>
      <c r="N1493" s="123" t="str">
        <f>IFERROR(VLOOKUP(C1493,'CEDARS School FRPL'!C:H,6,FALSE),"No")</f>
        <v>No</v>
      </c>
      <c r="O1493" s="147"/>
      <c r="P1493" s="148"/>
    </row>
    <row r="1494" spans="1:16">
      <c r="A1494" s="95" t="s">
        <v>2543</v>
      </c>
      <c r="B1494" s="95" t="s">
        <v>2138</v>
      </c>
      <c r="C1494" s="4">
        <v>3419</v>
      </c>
      <c r="D1494" s="95" t="s">
        <v>23</v>
      </c>
      <c r="E1494" s="145">
        <v>577.61</v>
      </c>
      <c r="F1494" s="145">
        <v>0</v>
      </c>
      <c r="G1494" s="145">
        <v>0</v>
      </c>
      <c r="H1494" s="145">
        <v>0</v>
      </c>
      <c r="I1494" s="77">
        <f t="shared" si="26"/>
        <v>577.61</v>
      </c>
      <c r="J1494" s="123" t="str">
        <f>IFERROR(VLOOKUP($C1494,'CEDARS School FRPL'!C:H,4,FALSE),"No")</f>
        <v>No</v>
      </c>
      <c r="K1494" s="109"/>
      <c r="L1494" s="109"/>
      <c r="M1494" s="110">
        <f>IFERROR(VLOOKUP($C1494,'CEDARS School FRPL'!C:H,3,FALSE),0)</f>
        <v>0.29189999999999999</v>
      </c>
      <c r="N1494" s="123" t="str">
        <f>IFERROR(VLOOKUP(C1494,'CEDARS School FRPL'!C:H,6,FALSE),"No")</f>
        <v>No</v>
      </c>
      <c r="O1494" s="147"/>
      <c r="P1494" s="148"/>
    </row>
    <row r="1495" spans="1:16">
      <c r="A1495" s="95" t="s">
        <v>2543</v>
      </c>
      <c r="B1495" s="95" t="s">
        <v>2138</v>
      </c>
      <c r="C1495" s="4">
        <v>3614</v>
      </c>
      <c r="D1495" s="95" t="s">
        <v>1697</v>
      </c>
      <c r="E1495" s="145">
        <v>255</v>
      </c>
      <c r="F1495" s="145">
        <v>0</v>
      </c>
      <c r="G1495" s="145">
        <v>0</v>
      </c>
      <c r="H1495" s="145">
        <v>0</v>
      </c>
      <c r="I1495" s="77">
        <f t="shared" si="26"/>
        <v>255</v>
      </c>
      <c r="J1495" s="123" t="str">
        <f>IFERROR(VLOOKUP($C1495,'CEDARS School FRPL'!C:H,4,FALSE),"No")</f>
        <v>No</v>
      </c>
      <c r="K1495" s="109"/>
      <c r="L1495" s="109"/>
      <c r="M1495" s="110">
        <f>IFERROR(VLOOKUP($C1495,'CEDARS School FRPL'!C:H,3,FALSE),0)</f>
        <v>0.17666666666666667</v>
      </c>
      <c r="N1495" s="123" t="str">
        <f>IFERROR(VLOOKUP(C1495,'CEDARS School FRPL'!C:H,6,FALSE),"No")</f>
        <v>No</v>
      </c>
      <c r="O1495" s="147"/>
      <c r="P1495" s="148"/>
    </row>
    <row r="1496" spans="1:16">
      <c r="A1496" s="95" t="s">
        <v>2543</v>
      </c>
      <c r="B1496" s="95" t="s">
        <v>2138</v>
      </c>
      <c r="C1496" s="4">
        <v>5574</v>
      </c>
      <c r="D1496" s="95" t="s">
        <v>2910</v>
      </c>
      <c r="E1496" s="145">
        <v>345.43</v>
      </c>
      <c r="F1496" s="145">
        <v>0</v>
      </c>
      <c r="G1496" s="145">
        <v>0</v>
      </c>
      <c r="H1496" s="145">
        <v>0</v>
      </c>
      <c r="I1496" s="77">
        <f t="shared" si="26"/>
        <v>345.43</v>
      </c>
      <c r="J1496" s="123" t="str">
        <f>IFERROR(VLOOKUP($C1496,'CEDARS School FRPL'!C:H,4,FALSE),"No")</f>
        <v>No</v>
      </c>
      <c r="K1496" s="109"/>
      <c r="L1496" s="109"/>
      <c r="M1496" s="110">
        <f>IFERROR(VLOOKUP($C1496,'CEDARS School FRPL'!C:H,3,FALSE),0)</f>
        <v>0.44229999999999997</v>
      </c>
      <c r="N1496" s="123" t="str">
        <f>IFERROR(VLOOKUP(C1496,'CEDARS School FRPL'!C:H,6,FALSE),"No")</f>
        <v>No</v>
      </c>
      <c r="O1496" s="147"/>
      <c r="P1496" s="148"/>
    </row>
    <row r="1497" spans="1:16">
      <c r="A1497" s="95" t="s">
        <v>2951</v>
      </c>
      <c r="B1497" s="95" t="s">
        <v>2952</v>
      </c>
      <c r="C1497" s="4">
        <v>5659</v>
      </c>
      <c r="D1497" s="95" t="s">
        <v>2952</v>
      </c>
      <c r="E1497" s="145">
        <v>75.14</v>
      </c>
      <c r="F1497" s="145">
        <v>0</v>
      </c>
      <c r="G1497" s="145">
        <v>0</v>
      </c>
      <c r="H1497" s="145">
        <v>0</v>
      </c>
      <c r="I1497" s="77">
        <f t="shared" si="26"/>
        <v>75.14</v>
      </c>
      <c r="J1497" s="123" t="str">
        <f>IFERROR(VLOOKUP($C1497,'CEDARS School FRPL'!C:H,4,FALSE),"No")</f>
        <v>No</v>
      </c>
      <c r="K1497" s="109"/>
      <c r="L1497" s="109"/>
      <c r="M1497" s="110">
        <f>IFERROR(VLOOKUP($C1497,'CEDARS School FRPL'!C:H,3,FALSE),0)</f>
        <v>0.2278</v>
      </c>
      <c r="N1497" s="123" t="str">
        <f>IFERROR(VLOOKUP(C1497,'CEDARS School FRPL'!C:H,6,FALSE),"No")</f>
        <v>No</v>
      </c>
      <c r="O1497" s="147"/>
      <c r="P1497" s="148"/>
    </row>
    <row r="1498" spans="1:16">
      <c r="A1498" s="95" t="s">
        <v>2439</v>
      </c>
      <c r="B1498" s="95" t="s">
        <v>1299</v>
      </c>
      <c r="C1498" s="4">
        <v>1640</v>
      </c>
      <c r="D1498" s="95" t="s">
        <v>2913</v>
      </c>
      <c r="E1498" s="145">
        <v>426.64</v>
      </c>
      <c r="F1498" s="145">
        <v>15.1</v>
      </c>
      <c r="G1498" s="145">
        <v>0</v>
      </c>
      <c r="H1498" s="145">
        <v>0</v>
      </c>
      <c r="I1498" s="77">
        <f t="shared" si="26"/>
        <v>441.74</v>
      </c>
      <c r="J1498" s="123" t="str">
        <f>IFERROR(VLOOKUP($C1498,'CEDARS School FRPL'!C:H,4,FALSE),"No")</f>
        <v>No</v>
      </c>
      <c r="K1498" s="109"/>
      <c r="L1498" s="109"/>
      <c r="M1498" s="110">
        <f>IFERROR(VLOOKUP($C1498,'CEDARS School FRPL'!C:H,3,FALSE),0)</f>
        <v>0.46346666666666669</v>
      </c>
      <c r="N1498" s="123" t="str">
        <f>IFERROR(VLOOKUP(C1498,'CEDARS School FRPL'!C:H,6,FALSE),"No")</f>
        <v>No</v>
      </c>
      <c r="O1498" s="147"/>
      <c r="P1498" s="148"/>
    </row>
    <row r="1499" spans="1:16">
      <c r="A1499" s="95" t="s">
        <v>2439</v>
      </c>
      <c r="B1499" s="95" t="s">
        <v>1299</v>
      </c>
      <c r="C1499" s="4">
        <v>2125</v>
      </c>
      <c r="D1499" s="95" t="s">
        <v>1300</v>
      </c>
      <c r="E1499" s="145">
        <v>1510.18</v>
      </c>
      <c r="F1499" s="145">
        <v>198.57999999999998</v>
      </c>
      <c r="G1499" s="145">
        <v>0</v>
      </c>
      <c r="H1499" s="145">
        <v>0</v>
      </c>
      <c r="I1499" s="77">
        <f t="shared" si="26"/>
        <v>1708.76</v>
      </c>
      <c r="J1499" s="123" t="str">
        <f>IFERROR(VLOOKUP($C1499,'CEDARS School FRPL'!C:H,4,FALSE),"No")</f>
        <v>No</v>
      </c>
      <c r="K1499" s="109"/>
      <c r="L1499" s="109"/>
      <c r="M1499" s="110">
        <f>IFERROR(VLOOKUP($C1499,'CEDARS School FRPL'!C:H,3,FALSE),0)</f>
        <v>0.29436666666666667</v>
      </c>
      <c r="N1499" s="123" t="str">
        <f>IFERROR(VLOOKUP(C1499,'CEDARS School FRPL'!C:H,6,FALSE),"No")</f>
        <v>No</v>
      </c>
      <c r="O1499" s="147"/>
      <c r="P1499" s="148"/>
    </row>
    <row r="1500" spans="1:16">
      <c r="A1500" s="95" t="s">
        <v>2439</v>
      </c>
      <c r="B1500" s="95" t="s">
        <v>1299</v>
      </c>
      <c r="C1500" s="4">
        <v>2311</v>
      </c>
      <c r="D1500" s="95" t="s">
        <v>1301</v>
      </c>
      <c r="E1500" s="145">
        <v>283.33</v>
      </c>
      <c r="F1500" s="145">
        <v>0</v>
      </c>
      <c r="G1500" s="145">
        <v>0</v>
      </c>
      <c r="H1500" s="145">
        <v>0</v>
      </c>
      <c r="I1500" s="77">
        <f t="shared" si="26"/>
        <v>283.33</v>
      </c>
      <c r="J1500" s="123" t="str">
        <f>IFERROR(VLOOKUP($C1500,'CEDARS School FRPL'!C:H,4,FALSE),"No")</f>
        <v>Yes</v>
      </c>
      <c r="K1500" s="109"/>
      <c r="L1500" s="109"/>
      <c r="M1500" s="110">
        <f>IFERROR(VLOOKUP($C1500,'CEDARS School FRPL'!C:H,3,FALSE),0)</f>
        <v>0.57690000000000008</v>
      </c>
      <c r="N1500" s="123" t="str">
        <f>IFERROR(VLOOKUP(C1500,'CEDARS School FRPL'!C:H,6,FALSE),"No")</f>
        <v>No</v>
      </c>
      <c r="O1500" s="147"/>
      <c r="P1500" s="148"/>
    </row>
    <row r="1501" spans="1:16">
      <c r="A1501" s="95" t="s">
        <v>2439</v>
      </c>
      <c r="B1501" s="95" t="s">
        <v>1299</v>
      </c>
      <c r="C1501" s="4">
        <v>2334</v>
      </c>
      <c r="D1501" s="95" t="s">
        <v>1302</v>
      </c>
      <c r="E1501" s="145">
        <v>358.86</v>
      </c>
      <c r="F1501" s="145">
        <v>0</v>
      </c>
      <c r="G1501" s="145">
        <v>0</v>
      </c>
      <c r="H1501" s="145">
        <v>0</v>
      </c>
      <c r="I1501" s="77">
        <f t="shared" si="26"/>
        <v>358.86</v>
      </c>
      <c r="J1501" s="123" t="str">
        <f>IFERROR(VLOOKUP($C1501,'CEDARS School FRPL'!C:H,4,FALSE),"No")</f>
        <v>No</v>
      </c>
      <c r="K1501" s="109"/>
      <c r="L1501" s="109"/>
      <c r="M1501" s="110">
        <f>IFERROR(VLOOKUP($C1501,'CEDARS School FRPL'!C:H,3,FALSE),0)</f>
        <v>0.33149999999999996</v>
      </c>
      <c r="N1501" s="123" t="str">
        <f>IFERROR(VLOOKUP(C1501,'CEDARS School FRPL'!C:H,6,FALSE),"No")</f>
        <v>No</v>
      </c>
      <c r="O1501" s="147"/>
      <c r="P1501" s="148"/>
    </row>
    <row r="1502" spans="1:16">
      <c r="A1502" s="95" t="s">
        <v>2439</v>
      </c>
      <c r="B1502" s="95" t="s">
        <v>1299</v>
      </c>
      <c r="C1502" s="4">
        <v>2495</v>
      </c>
      <c r="D1502" s="95" t="s">
        <v>1303</v>
      </c>
      <c r="E1502" s="145">
        <v>312.58</v>
      </c>
      <c r="F1502" s="145">
        <v>0</v>
      </c>
      <c r="G1502" s="145">
        <v>0</v>
      </c>
      <c r="H1502" s="145">
        <v>0</v>
      </c>
      <c r="I1502" s="77">
        <f t="shared" si="26"/>
        <v>312.58</v>
      </c>
      <c r="J1502" s="123" t="str">
        <f>IFERROR(VLOOKUP($C1502,'CEDARS School FRPL'!C:H,4,FALSE),"No")</f>
        <v>Yes</v>
      </c>
      <c r="K1502" s="109"/>
      <c r="L1502" s="109"/>
      <c r="M1502" s="110">
        <f>IFERROR(VLOOKUP($C1502,'CEDARS School FRPL'!C:H,3,FALSE),0)</f>
        <v>0.53703333333333336</v>
      </c>
      <c r="N1502" s="123" t="str">
        <f>IFERROR(VLOOKUP(C1502,'CEDARS School FRPL'!C:H,6,FALSE),"No")</f>
        <v>No</v>
      </c>
      <c r="O1502" s="147"/>
      <c r="P1502" s="148"/>
    </row>
    <row r="1503" spans="1:16">
      <c r="A1503" s="95" t="s">
        <v>2439</v>
      </c>
      <c r="B1503" s="95" t="s">
        <v>1299</v>
      </c>
      <c r="C1503" s="4">
        <v>2496</v>
      </c>
      <c r="D1503" s="95" t="s">
        <v>1304</v>
      </c>
      <c r="E1503" s="145">
        <v>565.45000000000005</v>
      </c>
      <c r="F1503" s="145">
        <v>0</v>
      </c>
      <c r="G1503" s="145">
        <v>0</v>
      </c>
      <c r="H1503" s="145">
        <v>0</v>
      </c>
      <c r="I1503" s="77">
        <f t="shared" si="26"/>
        <v>565.45000000000005</v>
      </c>
      <c r="J1503" s="123" t="str">
        <f>IFERROR(VLOOKUP($C1503,'CEDARS School FRPL'!C:H,4,FALSE),"No")</f>
        <v>Yes</v>
      </c>
      <c r="K1503" s="109"/>
      <c r="L1503" s="109"/>
      <c r="M1503" s="110">
        <f>IFERROR(VLOOKUP($C1503,'CEDARS School FRPL'!C:H,3,FALSE),0)</f>
        <v>0.55853333333333322</v>
      </c>
      <c r="N1503" s="123" t="str">
        <f>IFERROR(VLOOKUP(C1503,'CEDARS School FRPL'!C:H,6,FALSE),"No")</f>
        <v>No</v>
      </c>
      <c r="O1503" s="147"/>
      <c r="P1503" s="148"/>
    </row>
    <row r="1504" spans="1:16">
      <c r="A1504" s="95" t="s">
        <v>2439</v>
      </c>
      <c r="B1504" s="95" t="s">
        <v>1299</v>
      </c>
      <c r="C1504" s="4">
        <v>2497</v>
      </c>
      <c r="D1504" s="95" t="s">
        <v>1305</v>
      </c>
      <c r="E1504" s="145">
        <v>286.29000000000002</v>
      </c>
      <c r="F1504" s="145">
        <v>0</v>
      </c>
      <c r="G1504" s="145">
        <v>0</v>
      </c>
      <c r="H1504" s="145">
        <v>0</v>
      </c>
      <c r="I1504" s="77">
        <f t="shared" si="26"/>
        <v>286.29000000000002</v>
      </c>
      <c r="J1504" s="123" t="str">
        <f>IFERROR(VLOOKUP($C1504,'CEDARS School FRPL'!C:H,4,FALSE),"No")</f>
        <v>No</v>
      </c>
      <c r="K1504" s="109"/>
      <c r="L1504" s="109"/>
      <c r="M1504" s="110">
        <f>IFERROR(VLOOKUP($C1504,'CEDARS School FRPL'!C:H,3,FALSE),0)</f>
        <v>0.49756666666666671</v>
      </c>
      <c r="N1504" s="123" t="str">
        <f>IFERROR(VLOOKUP(C1504,'CEDARS School FRPL'!C:H,6,FALSE),"No")</f>
        <v>Yes</v>
      </c>
      <c r="O1504" s="147"/>
      <c r="P1504" s="148"/>
    </row>
    <row r="1505" spans="1:16">
      <c r="A1505" s="95" t="s">
        <v>2439</v>
      </c>
      <c r="B1505" s="95" t="s">
        <v>1299</v>
      </c>
      <c r="C1505" s="4">
        <v>2498</v>
      </c>
      <c r="D1505" s="95" t="s">
        <v>1306</v>
      </c>
      <c r="E1505" s="145">
        <v>334.25</v>
      </c>
      <c r="F1505" s="145">
        <v>0</v>
      </c>
      <c r="G1505" s="145">
        <v>0</v>
      </c>
      <c r="H1505" s="145">
        <v>0</v>
      </c>
      <c r="I1505" s="77">
        <f t="shared" si="26"/>
        <v>334.25</v>
      </c>
      <c r="J1505" s="123" t="str">
        <f>IFERROR(VLOOKUP($C1505,'CEDARS School FRPL'!C:H,4,FALSE),"No")</f>
        <v>No</v>
      </c>
      <c r="K1505" s="107"/>
      <c r="L1505" s="107"/>
      <c r="M1505" s="110">
        <f>IFERROR(VLOOKUP($C1505,'CEDARS School FRPL'!C:H,3,FALSE),0)</f>
        <v>0.26673333333333332</v>
      </c>
      <c r="N1505" s="123" t="str">
        <f>IFERROR(VLOOKUP(C1505,'CEDARS School FRPL'!C:H,6,FALSE),"No")</f>
        <v>No</v>
      </c>
      <c r="O1505" s="147"/>
      <c r="P1505" s="148"/>
    </row>
    <row r="1506" spans="1:16">
      <c r="A1506" s="95" t="s">
        <v>2439</v>
      </c>
      <c r="B1506" s="95" t="s">
        <v>1299</v>
      </c>
      <c r="C1506" s="4">
        <v>2519</v>
      </c>
      <c r="D1506" s="95" t="s">
        <v>1307</v>
      </c>
      <c r="E1506" s="145">
        <v>552.42999999999995</v>
      </c>
      <c r="F1506" s="145">
        <v>0</v>
      </c>
      <c r="G1506" s="145">
        <v>0</v>
      </c>
      <c r="H1506" s="145">
        <v>0</v>
      </c>
      <c r="I1506" s="77">
        <f t="shared" si="26"/>
        <v>552.42999999999995</v>
      </c>
      <c r="J1506" s="123" t="str">
        <f>IFERROR(VLOOKUP($C1506,'CEDARS School FRPL'!C:H,4,FALSE),"No")</f>
        <v>No</v>
      </c>
      <c r="K1506" s="109"/>
      <c r="L1506" s="109"/>
      <c r="M1506" s="110">
        <f>IFERROR(VLOOKUP($C1506,'CEDARS School FRPL'!C:H,3,FALSE),0)</f>
        <v>0.38663333333333333</v>
      </c>
      <c r="N1506" s="123" t="str">
        <f>IFERROR(VLOOKUP(C1506,'CEDARS School FRPL'!C:H,6,FALSE),"No")</f>
        <v>No</v>
      </c>
      <c r="O1506" s="147"/>
      <c r="P1506" s="148"/>
    </row>
    <row r="1507" spans="1:16">
      <c r="A1507" s="95" t="s">
        <v>2439</v>
      </c>
      <c r="B1507" s="95" t="s">
        <v>1299</v>
      </c>
      <c r="C1507" s="4">
        <v>2575</v>
      </c>
      <c r="D1507" s="95" t="s">
        <v>1308</v>
      </c>
      <c r="E1507" s="145">
        <v>489.85</v>
      </c>
      <c r="F1507" s="145">
        <v>0</v>
      </c>
      <c r="G1507" s="145">
        <v>0</v>
      </c>
      <c r="H1507" s="145">
        <v>0</v>
      </c>
      <c r="I1507" s="77">
        <f t="shared" si="26"/>
        <v>489.85</v>
      </c>
      <c r="J1507" s="123" t="str">
        <f>IFERROR(VLOOKUP($C1507,'CEDARS School FRPL'!C:H,4,FALSE),"No")</f>
        <v>No</v>
      </c>
      <c r="K1507" s="109"/>
      <c r="L1507" s="109"/>
      <c r="M1507" s="110">
        <f>IFERROR(VLOOKUP($C1507,'CEDARS School FRPL'!C:H,3,FALSE),0)</f>
        <v>0.32173333333333332</v>
      </c>
      <c r="N1507" s="123" t="str">
        <f>IFERROR(VLOOKUP(C1507,'CEDARS School FRPL'!C:H,6,FALSE),"No")</f>
        <v>No</v>
      </c>
      <c r="O1507" s="147"/>
      <c r="P1507" s="148"/>
    </row>
    <row r="1508" spans="1:16">
      <c r="A1508" s="95" t="s">
        <v>2439</v>
      </c>
      <c r="B1508" s="95" t="s">
        <v>1299</v>
      </c>
      <c r="C1508" s="4">
        <v>2870</v>
      </c>
      <c r="D1508" s="95" t="s">
        <v>1309</v>
      </c>
      <c r="E1508" s="145">
        <v>377.57</v>
      </c>
      <c r="F1508" s="145">
        <v>0</v>
      </c>
      <c r="G1508" s="145">
        <v>0</v>
      </c>
      <c r="H1508" s="145">
        <v>0</v>
      </c>
      <c r="I1508" s="77">
        <f t="shared" si="26"/>
        <v>377.57</v>
      </c>
      <c r="J1508" s="123" t="str">
        <f>IFERROR(VLOOKUP($C1508,'CEDARS School FRPL'!C:H,4,FALSE),"No")</f>
        <v>No</v>
      </c>
      <c r="K1508" s="109"/>
      <c r="L1508" s="109"/>
      <c r="M1508" s="110">
        <f>IFERROR(VLOOKUP($C1508,'CEDARS School FRPL'!C:H,3,FALSE),0)</f>
        <v>0.48110000000000003</v>
      </c>
      <c r="N1508" s="123" t="str">
        <f>IFERROR(VLOOKUP(C1508,'CEDARS School FRPL'!C:H,6,FALSE),"No")</f>
        <v>No</v>
      </c>
      <c r="O1508" s="147"/>
      <c r="P1508" s="148"/>
    </row>
    <row r="1509" spans="1:16">
      <c r="A1509" s="95" t="s">
        <v>2439</v>
      </c>
      <c r="B1509" s="95" t="s">
        <v>1299</v>
      </c>
      <c r="C1509" s="4">
        <v>3052</v>
      </c>
      <c r="D1509" s="95" t="s">
        <v>1310</v>
      </c>
      <c r="E1509" s="145">
        <v>807.88</v>
      </c>
      <c r="F1509" s="145">
        <v>0</v>
      </c>
      <c r="G1509" s="145">
        <v>0</v>
      </c>
      <c r="H1509" s="145">
        <v>0</v>
      </c>
      <c r="I1509" s="77">
        <f t="shared" si="26"/>
        <v>807.88</v>
      </c>
      <c r="J1509" s="123" t="str">
        <f>IFERROR(VLOOKUP($C1509,'CEDARS School FRPL'!C:H,4,FALSE),"No")</f>
        <v>No</v>
      </c>
      <c r="K1509" s="109"/>
      <c r="L1509" s="109"/>
      <c r="M1509" s="110">
        <f>IFERROR(VLOOKUP($C1509,'CEDARS School FRPL'!C:H,3,FALSE),0)</f>
        <v>0.33310000000000001</v>
      </c>
      <c r="N1509" s="123" t="str">
        <f>IFERROR(VLOOKUP(C1509,'CEDARS School FRPL'!C:H,6,FALSE),"No")</f>
        <v>No</v>
      </c>
      <c r="O1509" s="147"/>
      <c r="P1509" s="148"/>
    </row>
    <row r="1510" spans="1:16">
      <c r="A1510" s="95" t="s">
        <v>2439</v>
      </c>
      <c r="B1510" s="95" t="s">
        <v>1299</v>
      </c>
      <c r="C1510" s="4">
        <v>3447</v>
      </c>
      <c r="D1510" s="95" t="s">
        <v>1311</v>
      </c>
      <c r="E1510" s="145">
        <v>690.56</v>
      </c>
      <c r="F1510" s="145">
        <v>0</v>
      </c>
      <c r="G1510" s="145">
        <v>0</v>
      </c>
      <c r="H1510" s="145">
        <v>0</v>
      </c>
      <c r="I1510" s="77">
        <f t="shared" si="26"/>
        <v>690.56</v>
      </c>
      <c r="J1510" s="123" t="str">
        <f>IFERROR(VLOOKUP($C1510,'CEDARS School FRPL'!C:H,4,FALSE),"No")</f>
        <v>No</v>
      </c>
      <c r="K1510" s="109"/>
      <c r="L1510" s="109"/>
      <c r="M1510" s="110">
        <f>IFERROR(VLOOKUP($C1510,'CEDARS School FRPL'!C:H,3,FALSE),0)</f>
        <v>0.37709999999999999</v>
      </c>
      <c r="N1510" s="123" t="str">
        <f>IFERROR(VLOOKUP(C1510,'CEDARS School FRPL'!C:H,6,FALSE),"No")</f>
        <v>No</v>
      </c>
      <c r="O1510" s="147"/>
      <c r="P1510" s="148"/>
    </row>
    <row r="1511" spans="1:16">
      <c r="A1511" s="95" t="s">
        <v>2439</v>
      </c>
      <c r="B1511" s="95" t="s">
        <v>1299</v>
      </c>
      <c r="C1511" s="4">
        <v>3557</v>
      </c>
      <c r="D1511" s="95" t="s">
        <v>1312</v>
      </c>
      <c r="E1511" s="145">
        <v>557.86</v>
      </c>
      <c r="F1511" s="145">
        <v>0</v>
      </c>
      <c r="G1511" s="145">
        <v>0</v>
      </c>
      <c r="H1511" s="145">
        <v>0</v>
      </c>
      <c r="I1511" s="77">
        <f t="shared" si="26"/>
        <v>557.86</v>
      </c>
      <c r="J1511" s="123" t="str">
        <f>IFERROR(VLOOKUP($C1511,'CEDARS School FRPL'!C:H,4,FALSE),"No")</f>
        <v>No</v>
      </c>
      <c r="K1511" s="109"/>
      <c r="L1511" s="109"/>
      <c r="M1511" s="110">
        <f>IFERROR(VLOOKUP($C1511,'CEDARS School FRPL'!C:H,3,FALSE),0)</f>
        <v>0.22923333333333332</v>
      </c>
      <c r="N1511" s="123" t="str">
        <f>IFERROR(VLOOKUP(C1511,'CEDARS School FRPL'!C:H,6,FALSE),"No")</f>
        <v>No</v>
      </c>
      <c r="O1511" s="147"/>
      <c r="P1511" s="148"/>
    </row>
    <row r="1512" spans="1:16">
      <c r="A1512" s="95" t="s">
        <v>2439</v>
      </c>
      <c r="B1512" s="95" t="s">
        <v>1299</v>
      </c>
      <c r="C1512" s="4">
        <v>3558</v>
      </c>
      <c r="D1512" s="95" t="s">
        <v>1313</v>
      </c>
      <c r="E1512" s="145">
        <v>370.05</v>
      </c>
      <c r="F1512" s="145">
        <v>0</v>
      </c>
      <c r="G1512" s="145">
        <v>0</v>
      </c>
      <c r="H1512" s="145">
        <v>0</v>
      </c>
      <c r="I1512" s="77">
        <f t="shared" si="26"/>
        <v>370.05</v>
      </c>
      <c r="J1512" s="123" t="str">
        <f>IFERROR(VLOOKUP($C1512,'CEDARS School FRPL'!C:H,4,FALSE),"No")</f>
        <v>Yes</v>
      </c>
      <c r="K1512" s="109"/>
      <c r="L1512" s="109"/>
      <c r="M1512" s="110">
        <f>IFERROR(VLOOKUP($C1512,'CEDARS School FRPL'!C:H,3,FALSE),0)</f>
        <v>0.54789999999999994</v>
      </c>
      <c r="N1512" s="123" t="str">
        <f>IFERROR(VLOOKUP(C1512,'CEDARS School FRPL'!C:H,6,FALSE),"No")</f>
        <v>No</v>
      </c>
      <c r="O1512" s="147"/>
      <c r="P1512" s="148"/>
    </row>
    <row r="1513" spans="1:16">
      <c r="A1513" s="95" t="s">
        <v>2439</v>
      </c>
      <c r="B1513" s="95" t="s">
        <v>1299</v>
      </c>
      <c r="C1513" s="4">
        <v>3572</v>
      </c>
      <c r="D1513" s="95" t="s">
        <v>1314</v>
      </c>
      <c r="E1513" s="145">
        <v>296.23</v>
      </c>
      <c r="F1513" s="145">
        <v>0</v>
      </c>
      <c r="G1513" s="145">
        <v>0</v>
      </c>
      <c r="H1513" s="145">
        <v>0</v>
      </c>
      <c r="I1513" s="77">
        <f t="shared" si="26"/>
        <v>296.23</v>
      </c>
      <c r="J1513" s="123" t="str">
        <f>IFERROR(VLOOKUP($C1513,'CEDARS School FRPL'!C:H,4,FALSE),"No")</f>
        <v>No</v>
      </c>
      <c r="K1513" s="109"/>
      <c r="L1513" s="109"/>
      <c r="M1513" s="110">
        <f>IFERROR(VLOOKUP($C1513,'CEDARS School FRPL'!C:H,3,FALSE),0)</f>
        <v>0.33083333333333331</v>
      </c>
      <c r="N1513" s="123" t="str">
        <f>IFERROR(VLOOKUP(C1513,'CEDARS School FRPL'!C:H,6,FALSE),"No")</f>
        <v>No</v>
      </c>
      <c r="O1513" s="147"/>
      <c r="P1513" s="148"/>
    </row>
    <row r="1514" spans="1:16">
      <c r="A1514" s="95" t="s">
        <v>2439</v>
      </c>
      <c r="B1514" s="95" t="s">
        <v>1299</v>
      </c>
      <c r="C1514" s="4">
        <v>3645</v>
      </c>
      <c r="D1514" s="95" t="s">
        <v>1315</v>
      </c>
      <c r="E1514" s="145">
        <v>1514.99</v>
      </c>
      <c r="F1514" s="145">
        <v>204.6</v>
      </c>
      <c r="G1514" s="145">
        <v>0</v>
      </c>
      <c r="H1514" s="145">
        <v>0</v>
      </c>
      <c r="I1514" s="77">
        <f t="shared" si="26"/>
        <v>1719.59</v>
      </c>
      <c r="J1514" s="123" t="str">
        <f>IFERROR(VLOOKUP($C1514,'CEDARS School FRPL'!C:H,4,FALSE),"No")</f>
        <v>No</v>
      </c>
      <c r="K1514" s="109"/>
      <c r="L1514" s="109"/>
      <c r="M1514" s="110">
        <f>IFERROR(VLOOKUP($C1514,'CEDARS School FRPL'!C:H,3,FALSE),0)</f>
        <v>0.36136666666666661</v>
      </c>
      <c r="N1514" s="123" t="str">
        <f>IFERROR(VLOOKUP(C1514,'CEDARS School FRPL'!C:H,6,FALSE),"No")</f>
        <v>No</v>
      </c>
      <c r="O1514" s="147"/>
      <c r="P1514" s="148"/>
    </row>
    <row r="1515" spans="1:16">
      <c r="A1515" s="95" t="s">
        <v>2439</v>
      </c>
      <c r="B1515" s="95" t="s">
        <v>1299</v>
      </c>
      <c r="C1515" s="4">
        <v>3750</v>
      </c>
      <c r="D1515" s="95" t="s">
        <v>1316</v>
      </c>
      <c r="E1515" s="145">
        <v>867.23</v>
      </c>
      <c r="F1515" s="145">
        <v>0</v>
      </c>
      <c r="G1515" s="145">
        <v>0</v>
      </c>
      <c r="H1515" s="145">
        <v>0</v>
      </c>
      <c r="I1515" s="77">
        <f t="shared" si="26"/>
        <v>867.23</v>
      </c>
      <c r="J1515" s="123" t="str">
        <f>IFERROR(VLOOKUP($C1515,'CEDARS School FRPL'!C:H,4,FALSE),"No")</f>
        <v>No</v>
      </c>
      <c r="K1515" s="109"/>
      <c r="L1515" s="109"/>
      <c r="M1515" s="110">
        <f>IFERROR(VLOOKUP($C1515,'CEDARS School FRPL'!C:H,3,FALSE),0)</f>
        <v>0.41063333333333335</v>
      </c>
      <c r="N1515" s="123" t="str">
        <f>IFERROR(VLOOKUP(C1515,'CEDARS School FRPL'!C:H,6,FALSE),"No")</f>
        <v>No</v>
      </c>
      <c r="O1515" s="147"/>
      <c r="P1515" s="148"/>
    </row>
    <row r="1516" spans="1:16">
      <c r="A1516" s="95" t="s">
        <v>2439</v>
      </c>
      <c r="B1516" s="95" t="s">
        <v>1299</v>
      </c>
      <c r="C1516" s="4">
        <v>3896</v>
      </c>
      <c r="D1516" s="95" t="s">
        <v>693</v>
      </c>
      <c r="E1516" s="145">
        <v>633.14</v>
      </c>
      <c r="F1516" s="145">
        <v>0</v>
      </c>
      <c r="G1516" s="145">
        <v>0</v>
      </c>
      <c r="H1516" s="145">
        <v>0</v>
      </c>
      <c r="I1516" s="77">
        <f t="shared" si="26"/>
        <v>633.14</v>
      </c>
      <c r="J1516" s="123" t="str">
        <f>IFERROR(VLOOKUP($C1516,'CEDARS School FRPL'!C:H,4,FALSE),"No")</f>
        <v>No</v>
      </c>
      <c r="K1516" s="109"/>
      <c r="L1516" s="109"/>
      <c r="M1516" s="110">
        <f>IFERROR(VLOOKUP($C1516,'CEDARS School FRPL'!C:H,3,FALSE),0)</f>
        <v>0.49790000000000001</v>
      </c>
      <c r="N1516" s="123" t="str">
        <f>IFERROR(VLOOKUP(C1516,'CEDARS School FRPL'!C:H,6,FALSE),"No")</f>
        <v>No</v>
      </c>
      <c r="O1516" s="147"/>
      <c r="P1516" s="148"/>
    </row>
    <row r="1517" spans="1:16">
      <c r="A1517" s="95" t="s">
        <v>2439</v>
      </c>
      <c r="B1517" s="95" t="s">
        <v>1299</v>
      </c>
      <c r="C1517" s="4">
        <v>3927</v>
      </c>
      <c r="D1517" s="95" t="s">
        <v>1317</v>
      </c>
      <c r="E1517" s="145">
        <v>592.14</v>
      </c>
      <c r="F1517" s="145">
        <v>0</v>
      </c>
      <c r="G1517" s="145">
        <v>0</v>
      </c>
      <c r="H1517" s="145">
        <v>0</v>
      </c>
      <c r="I1517" s="77">
        <f t="shared" si="26"/>
        <v>592.14</v>
      </c>
      <c r="J1517" s="123" t="str">
        <f>IFERROR(VLOOKUP($C1517,'CEDARS School FRPL'!C:H,4,FALSE),"No")</f>
        <v>No</v>
      </c>
      <c r="K1517" s="109"/>
      <c r="L1517" s="109"/>
      <c r="M1517" s="110">
        <f>IFERROR(VLOOKUP($C1517,'CEDARS School FRPL'!C:H,3,FALSE),0)</f>
        <v>0.29066666666666668</v>
      </c>
      <c r="N1517" s="123" t="str">
        <f>IFERROR(VLOOKUP(C1517,'CEDARS School FRPL'!C:H,6,FALSE),"No")</f>
        <v>No</v>
      </c>
      <c r="O1517" s="147"/>
      <c r="P1517" s="148"/>
    </row>
    <row r="1518" spans="1:16">
      <c r="A1518" s="95" t="s">
        <v>2439</v>
      </c>
      <c r="B1518" s="95" t="s">
        <v>1299</v>
      </c>
      <c r="C1518" s="4">
        <v>3972</v>
      </c>
      <c r="D1518" s="95" t="s">
        <v>1318</v>
      </c>
      <c r="E1518" s="145">
        <v>93.31</v>
      </c>
      <c r="F1518" s="145">
        <v>29.880000000000003</v>
      </c>
      <c r="G1518" s="145">
        <v>0</v>
      </c>
      <c r="H1518" s="145">
        <v>0</v>
      </c>
      <c r="I1518" s="77">
        <f t="shared" si="26"/>
        <v>123.19</v>
      </c>
      <c r="J1518" s="123" t="str">
        <f>IFERROR(VLOOKUP($C1518,'CEDARS School FRPL'!C:H,4,FALSE),"No")</f>
        <v>Yes</v>
      </c>
      <c r="K1518" s="109"/>
      <c r="L1518" s="109"/>
      <c r="M1518" s="110">
        <f>IFERROR(VLOOKUP($C1518,'CEDARS School FRPL'!C:H,3,FALSE),0)</f>
        <v>0.56613333333333338</v>
      </c>
      <c r="N1518" s="123" t="str">
        <f>IFERROR(VLOOKUP(C1518,'CEDARS School FRPL'!C:H,6,FALSE),"No")</f>
        <v>No</v>
      </c>
      <c r="O1518" s="147"/>
      <c r="P1518" s="148"/>
    </row>
    <row r="1519" spans="1:16">
      <c r="A1519" s="95" t="s">
        <v>2439</v>
      </c>
      <c r="B1519" s="95" t="s">
        <v>1299</v>
      </c>
      <c r="C1519" s="4">
        <v>4121</v>
      </c>
      <c r="D1519" s="95" t="s">
        <v>876</v>
      </c>
      <c r="E1519" s="145">
        <v>447.11</v>
      </c>
      <c r="F1519" s="145">
        <v>0</v>
      </c>
      <c r="G1519" s="145">
        <v>0</v>
      </c>
      <c r="H1519" s="145">
        <v>0</v>
      </c>
      <c r="I1519" s="77">
        <f t="shared" si="26"/>
        <v>447.11</v>
      </c>
      <c r="J1519" s="123" t="str">
        <f>IFERROR(VLOOKUP($C1519,'CEDARS School FRPL'!C:H,4,FALSE),"No")</f>
        <v>No</v>
      </c>
      <c r="K1519" s="109"/>
      <c r="L1519" s="109"/>
      <c r="M1519" s="110">
        <f>IFERROR(VLOOKUP($C1519,'CEDARS School FRPL'!C:H,3,FALSE),0)</f>
        <v>0.40136666666666665</v>
      </c>
      <c r="N1519" s="123" t="str">
        <f>IFERROR(VLOOKUP(C1519,'CEDARS School FRPL'!C:H,6,FALSE),"No")</f>
        <v>No</v>
      </c>
      <c r="O1519" s="147"/>
      <c r="P1519" s="148"/>
    </row>
    <row r="1520" spans="1:16">
      <c r="A1520" s="95" t="s">
        <v>2439</v>
      </c>
      <c r="B1520" s="95" t="s">
        <v>1299</v>
      </c>
      <c r="C1520" s="4">
        <v>4146</v>
      </c>
      <c r="D1520" s="95" t="s">
        <v>1320</v>
      </c>
      <c r="E1520" s="145">
        <v>632.91</v>
      </c>
      <c r="F1520" s="145">
        <v>0</v>
      </c>
      <c r="G1520" s="145">
        <v>0</v>
      </c>
      <c r="H1520" s="145">
        <v>0</v>
      </c>
      <c r="I1520" s="77">
        <f t="shared" si="26"/>
        <v>632.91</v>
      </c>
      <c r="J1520" s="123" t="str">
        <f>IFERROR(VLOOKUP($C1520,'CEDARS School FRPL'!C:H,4,FALSE),"No")</f>
        <v>No</v>
      </c>
      <c r="K1520" s="109"/>
      <c r="L1520" s="109"/>
      <c r="M1520" s="110">
        <f>IFERROR(VLOOKUP($C1520,'CEDARS School FRPL'!C:H,3,FALSE),0)</f>
        <v>0.3738333333333333</v>
      </c>
      <c r="N1520" s="123" t="str">
        <f>IFERROR(VLOOKUP(C1520,'CEDARS School FRPL'!C:H,6,FALSE),"No")</f>
        <v>No</v>
      </c>
      <c r="O1520" s="147"/>
      <c r="P1520" s="148"/>
    </row>
    <row r="1521" spans="1:16">
      <c r="A1521" s="95" t="s">
        <v>2439</v>
      </c>
      <c r="B1521" s="95" t="s">
        <v>1299</v>
      </c>
      <c r="C1521" s="4">
        <v>4183</v>
      </c>
      <c r="D1521" s="95" t="s">
        <v>1321</v>
      </c>
      <c r="E1521" s="145">
        <v>796.2</v>
      </c>
      <c r="F1521" s="145">
        <v>0</v>
      </c>
      <c r="G1521" s="145">
        <v>0</v>
      </c>
      <c r="H1521" s="145">
        <v>0</v>
      </c>
      <c r="I1521" s="77">
        <f t="shared" si="26"/>
        <v>796.2</v>
      </c>
      <c r="J1521" s="123" t="str">
        <f>IFERROR(VLOOKUP($C1521,'CEDARS School FRPL'!C:H,4,FALSE),"No")</f>
        <v>No</v>
      </c>
      <c r="K1521" s="109"/>
      <c r="L1521" s="109"/>
      <c r="M1521" s="110">
        <f>IFERROR(VLOOKUP($C1521,'CEDARS School FRPL'!C:H,3,FALSE),0)</f>
        <v>0.45146666666666668</v>
      </c>
      <c r="N1521" s="123" t="str">
        <f>IFERROR(VLOOKUP(C1521,'CEDARS School FRPL'!C:H,6,FALSE),"No")</f>
        <v>No</v>
      </c>
      <c r="O1521" s="147"/>
      <c r="P1521" s="148"/>
    </row>
    <row r="1522" spans="1:16">
      <c r="A1522" s="95" t="s">
        <v>2439</v>
      </c>
      <c r="B1522" s="95" t="s">
        <v>1299</v>
      </c>
      <c r="C1522" s="4">
        <v>4360</v>
      </c>
      <c r="D1522" s="95" t="s">
        <v>2912</v>
      </c>
      <c r="E1522" s="145">
        <v>716.05</v>
      </c>
      <c r="F1522" s="145">
        <v>0</v>
      </c>
      <c r="G1522" s="145">
        <v>0</v>
      </c>
      <c r="H1522" s="145">
        <v>0</v>
      </c>
      <c r="I1522" s="77">
        <f t="shared" si="26"/>
        <v>716.05</v>
      </c>
      <c r="J1522" s="123" t="str">
        <f>IFERROR(VLOOKUP($C1522,'CEDARS School FRPL'!C:H,4,FALSE),"No")</f>
        <v>No</v>
      </c>
      <c r="K1522" s="109"/>
      <c r="L1522" s="109"/>
      <c r="M1522" s="110">
        <f>IFERROR(VLOOKUP($C1522,'CEDARS School FRPL'!C:H,3,FALSE),0)</f>
        <v>0.39660000000000001</v>
      </c>
      <c r="N1522" s="123" t="str">
        <f>IFERROR(VLOOKUP(C1522,'CEDARS School FRPL'!C:H,6,FALSE),"No")</f>
        <v>No</v>
      </c>
      <c r="O1522" s="147"/>
      <c r="P1522" s="148"/>
    </row>
    <row r="1523" spans="1:16">
      <c r="A1523" s="95" t="s">
        <v>2439</v>
      </c>
      <c r="B1523" s="95" t="s">
        <v>1299</v>
      </c>
      <c r="C1523" s="4">
        <v>4361</v>
      </c>
      <c r="D1523" s="95" t="s">
        <v>1322</v>
      </c>
      <c r="E1523" s="145">
        <v>544</v>
      </c>
      <c r="F1523" s="145">
        <v>0</v>
      </c>
      <c r="G1523" s="145">
        <v>0</v>
      </c>
      <c r="H1523" s="145">
        <v>0</v>
      </c>
      <c r="I1523" s="77">
        <f t="shared" si="26"/>
        <v>544</v>
      </c>
      <c r="J1523" s="123" t="str">
        <f>IFERROR(VLOOKUP($C1523,'CEDARS School FRPL'!C:H,4,FALSE),"No")</f>
        <v>No</v>
      </c>
      <c r="K1523" s="109"/>
      <c r="L1523" s="109"/>
      <c r="M1523" s="110">
        <f>IFERROR(VLOOKUP($C1523,'CEDARS School FRPL'!C:H,3,FALSE),0)</f>
        <v>0.3062333333333333</v>
      </c>
      <c r="N1523" s="123" t="str">
        <f>IFERROR(VLOOKUP(C1523,'CEDARS School FRPL'!C:H,6,FALSE),"No")</f>
        <v>No</v>
      </c>
      <c r="O1523" s="147"/>
      <c r="P1523" s="148"/>
    </row>
    <row r="1524" spans="1:16">
      <c r="A1524" s="95" t="s">
        <v>2439</v>
      </c>
      <c r="B1524" s="95" t="s">
        <v>1299</v>
      </c>
      <c r="C1524" s="4">
        <v>4414</v>
      </c>
      <c r="D1524" s="95" t="s">
        <v>1323</v>
      </c>
      <c r="E1524" s="145">
        <v>620.09</v>
      </c>
      <c r="F1524" s="145">
        <v>0</v>
      </c>
      <c r="G1524" s="145">
        <v>0</v>
      </c>
      <c r="H1524" s="145">
        <v>0</v>
      </c>
      <c r="I1524" s="77">
        <f t="shared" si="26"/>
        <v>620.09</v>
      </c>
      <c r="J1524" s="123" t="str">
        <f>IFERROR(VLOOKUP($C1524,'CEDARS School FRPL'!C:H,4,FALSE),"No")</f>
        <v>No</v>
      </c>
      <c r="K1524" s="109"/>
      <c r="L1524" s="109"/>
      <c r="M1524" s="110">
        <f>IFERROR(VLOOKUP($C1524,'CEDARS School FRPL'!C:H,3,FALSE),0)</f>
        <v>0.26163333333333333</v>
      </c>
      <c r="N1524" s="123" t="str">
        <f>IFERROR(VLOOKUP(C1524,'CEDARS School FRPL'!C:H,6,FALSE),"No")</f>
        <v>No</v>
      </c>
      <c r="O1524" s="147"/>
      <c r="P1524" s="148"/>
    </row>
    <row r="1525" spans="1:16">
      <c r="A1525" s="95" t="s">
        <v>2439</v>
      </c>
      <c r="B1525" s="95" t="s">
        <v>1299</v>
      </c>
      <c r="C1525" s="4">
        <v>4443</v>
      </c>
      <c r="D1525" s="95" t="s">
        <v>1324</v>
      </c>
      <c r="E1525" s="145">
        <v>882.12</v>
      </c>
      <c r="F1525" s="145">
        <v>0</v>
      </c>
      <c r="G1525" s="145">
        <v>0</v>
      </c>
      <c r="H1525" s="145">
        <v>0</v>
      </c>
      <c r="I1525" s="77">
        <f t="shared" si="26"/>
        <v>882.12</v>
      </c>
      <c r="J1525" s="123" t="str">
        <f>IFERROR(VLOOKUP($C1525,'CEDARS School FRPL'!C:H,4,FALSE),"No")</f>
        <v>No</v>
      </c>
      <c r="K1525" s="109"/>
      <c r="L1525" s="109"/>
      <c r="M1525" s="110">
        <f>IFERROR(VLOOKUP($C1525,'CEDARS School FRPL'!C:H,3,FALSE),0)</f>
        <v>0.38756666666666667</v>
      </c>
      <c r="N1525" s="123" t="str">
        <f>IFERROR(VLOOKUP(C1525,'CEDARS School FRPL'!C:H,6,FALSE),"No")</f>
        <v>No</v>
      </c>
      <c r="O1525" s="147"/>
      <c r="P1525" s="148"/>
    </row>
    <row r="1526" spans="1:16">
      <c r="A1526" s="95" t="s">
        <v>2439</v>
      </c>
      <c r="B1526" s="95" t="s">
        <v>1299</v>
      </c>
      <c r="C1526" s="4">
        <v>4496</v>
      </c>
      <c r="D1526" s="95" t="s">
        <v>1325</v>
      </c>
      <c r="E1526" s="145">
        <v>499.64</v>
      </c>
      <c r="F1526" s="145">
        <v>0</v>
      </c>
      <c r="G1526" s="145">
        <v>0</v>
      </c>
      <c r="H1526" s="145">
        <v>0</v>
      </c>
      <c r="I1526" s="77">
        <f t="shared" si="26"/>
        <v>499.64</v>
      </c>
      <c r="J1526" s="123" t="str">
        <f>IFERROR(VLOOKUP($C1526,'CEDARS School FRPL'!C:H,4,FALSE),"No")</f>
        <v>No</v>
      </c>
      <c r="K1526" s="109"/>
      <c r="L1526" s="109"/>
      <c r="M1526" s="110">
        <f>IFERROR(VLOOKUP($C1526,'CEDARS School FRPL'!C:H,3,FALSE),0)</f>
        <v>0.45296666666666668</v>
      </c>
      <c r="N1526" s="123" t="str">
        <f>IFERROR(VLOOKUP(C1526,'CEDARS School FRPL'!C:H,6,FALSE),"No")</f>
        <v>No</v>
      </c>
      <c r="O1526" s="147"/>
      <c r="P1526" s="148"/>
    </row>
    <row r="1527" spans="1:16">
      <c r="A1527" s="95" t="s">
        <v>2439</v>
      </c>
      <c r="B1527" s="95" t="s">
        <v>1299</v>
      </c>
      <c r="C1527" s="4">
        <v>4540</v>
      </c>
      <c r="D1527" s="95" t="s">
        <v>1326</v>
      </c>
      <c r="E1527" s="145">
        <v>1249.1400000000001</v>
      </c>
      <c r="F1527" s="145">
        <v>188.8</v>
      </c>
      <c r="G1527" s="145">
        <v>0</v>
      </c>
      <c r="H1527" s="145">
        <v>0</v>
      </c>
      <c r="I1527" s="77">
        <f t="shared" si="26"/>
        <v>1437.94</v>
      </c>
      <c r="J1527" s="123" t="str">
        <f>IFERROR(VLOOKUP($C1527,'CEDARS School FRPL'!C:H,4,FALSE),"No")</f>
        <v>No</v>
      </c>
      <c r="K1527" s="109"/>
      <c r="L1527" s="109"/>
      <c r="M1527" s="110">
        <f>IFERROR(VLOOKUP($C1527,'CEDARS School FRPL'!C:H,3,FALSE),0)</f>
        <v>0.33426666666666671</v>
      </c>
      <c r="N1527" s="123" t="str">
        <f>IFERROR(VLOOKUP(C1527,'CEDARS School FRPL'!C:H,6,FALSE),"No")</f>
        <v>No</v>
      </c>
      <c r="O1527" s="147"/>
      <c r="P1527" s="148"/>
    </row>
    <row r="1528" spans="1:16">
      <c r="A1528" s="95" t="s">
        <v>2439</v>
      </c>
      <c r="B1528" s="95" t="s">
        <v>1299</v>
      </c>
      <c r="C1528" s="4">
        <v>5088</v>
      </c>
      <c r="D1528" s="95" t="s">
        <v>937</v>
      </c>
      <c r="E1528" s="145">
        <v>680.46</v>
      </c>
      <c r="F1528" s="145">
        <v>0</v>
      </c>
      <c r="G1528" s="145">
        <v>0</v>
      </c>
      <c r="H1528" s="145">
        <v>0</v>
      </c>
      <c r="I1528" s="77">
        <f t="shared" si="26"/>
        <v>680.46</v>
      </c>
      <c r="J1528" s="123" t="str">
        <f>IFERROR(VLOOKUP($C1528,'CEDARS School FRPL'!C:H,4,FALSE),"No")</f>
        <v>No</v>
      </c>
      <c r="K1528" s="109"/>
      <c r="L1528" s="109"/>
      <c r="M1528" s="110">
        <f>IFERROR(VLOOKUP($C1528,'CEDARS School FRPL'!C:H,3,FALSE),0)</f>
        <v>0.37290000000000001</v>
      </c>
      <c r="N1528" s="123" t="str">
        <f>IFERROR(VLOOKUP(C1528,'CEDARS School FRPL'!C:H,6,FALSE),"No")</f>
        <v>No</v>
      </c>
      <c r="O1528" s="147"/>
      <c r="P1528" s="148"/>
    </row>
    <row r="1529" spans="1:16">
      <c r="A1529" s="95" t="s">
        <v>2439</v>
      </c>
      <c r="B1529" s="95" t="s">
        <v>1299</v>
      </c>
      <c r="C1529" s="4">
        <v>5093</v>
      </c>
      <c r="D1529" s="95" t="s">
        <v>1327</v>
      </c>
      <c r="E1529" s="145">
        <v>673.57</v>
      </c>
      <c r="F1529" s="145">
        <v>0</v>
      </c>
      <c r="G1529" s="145">
        <v>0</v>
      </c>
      <c r="H1529" s="145">
        <v>0</v>
      </c>
      <c r="I1529" s="77">
        <f t="shared" si="26"/>
        <v>673.57</v>
      </c>
      <c r="J1529" s="123" t="str">
        <f>IFERROR(VLOOKUP($C1529,'CEDARS School FRPL'!C:H,4,FALSE),"No")</f>
        <v>No</v>
      </c>
      <c r="K1529" s="109"/>
      <c r="L1529" s="109"/>
      <c r="M1529" s="110">
        <f>IFERROR(VLOOKUP($C1529,'CEDARS School FRPL'!C:H,3,FALSE),0)</f>
        <v>0.25136666666666668</v>
      </c>
      <c r="N1529" s="123" t="str">
        <f>IFERROR(VLOOKUP(C1529,'CEDARS School FRPL'!C:H,6,FALSE),"No")</f>
        <v>No</v>
      </c>
      <c r="O1529" s="147"/>
      <c r="P1529" s="148"/>
    </row>
    <row r="1530" spans="1:16">
      <c r="A1530" s="95" t="s">
        <v>2439</v>
      </c>
      <c r="B1530" s="95" t="s">
        <v>1299</v>
      </c>
      <c r="C1530" s="4">
        <v>5142</v>
      </c>
      <c r="D1530" s="95" t="s">
        <v>1328</v>
      </c>
      <c r="E1530" s="145">
        <v>808.2</v>
      </c>
      <c r="F1530" s="145">
        <v>0</v>
      </c>
      <c r="G1530" s="145">
        <v>0</v>
      </c>
      <c r="H1530" s="145">
        <v>0</v>
      </c>
      <c r="I1530" s="77">
        <f t="shared" si="26"/>
        <v>808.2</v>
      </c>
      <c r="J1530" s="123" t="str">
        <f>IFERROR(VLOOKUP($C1530,'CEDARS School FRPL'!C:H,4,FALSE),"No")</f>
        <v>No</v>
      </c>
      <c r="K1530" s="109"/>
      <c r="L1530" s="109"/>
      <c r="M1530" s="110">
        <f>IFERROR(VLOOKUP($C1530,'CEDARS School FRPL'!C:H,3,FALSE),0)</f>
        <v>0.33039999999999997</v>
      </c>
      <c r="N1530" s="123" t="str">
        <f>IFERROR(VLOOKUP(C1530,'CEDARS School FRPL'!C:H,6,FALSE),"No")</f>
        <v>No</v>
      </c>
      <c r="O1530" s="147"/>
      <c r="P1530" s="148"/>
    </row>
    <row r="1531" spans="1:16">
      <c r="A1531" s="95" t="s">
        <v>2439</v>
      </c>
      <c r="B1531" s="95" t="s">
        <v>1299</v>
      </c>
      <c r="C1531" s="4">
        <v>5321</v>
      </c>
      <c r="D1531" s="95" t="s">
        <v>2914</v>
      </c>
      <c r="E1531" s="145">
        <v>0</v>
      </c>
      <c r="F1531" s="145">
        <v>0</v>
      </c>
      <c r="G1531" s="145">
        <v>53.86</v>
      </c>
      <c r="H1531" s="145">
        <v>0</v>
      </c>
      <c r="I1531" s="77">
        <f t="shared" si="26"/>
        <v>53.86</v>
      </c>
      <c r="J1531" s="123" t="str">
        <f>IFERROR(VLOOKUP($C1531,'CEDARS School FRPL'!C:H,4,FALSE),"No")</f>
        <v>Yes</v>
      </c>
      <c r="K1531" s="109"/>
      <c r="L1531" s="109"/>
      <c r="M1531" s="110">
        <f>IFERROR(VLOOKUP($C1531,'CEDARS School FRPL'!C:H,3,FALSE),0)</f>
        <v>0.53739999999999999</v>
      </c>
      <c r="N1531" s="123" t="str">
        <f>IFERROR(VLOOKUP(C1531,'CEDARS School FRPL'!C:H,6,FALSE),"No")</f>
        <v>No</v>
      </c>
      <c r="O1531" s="147"/>
      <c r="P1531" s="148"/>
    </row>
    <row r="1532" spans="1:16">
      <c r="A1532" s="95" t="s">
        <v>2439</v>
      </c>
      <c r="B1532" s="95" t="s">
        <v>1299</v>
      </c>
      <c r="C1532" s="4">
        <v>5322</v>
      </c>
      <c r="D1532" s="95" t="s">
        <v>1329</v>
      </c>
      <c r="E1532" s="145">
        <v>347.71</v>
      </c>
      <c r="F1532" s="145">
        <v>0</v>
      </c>
      <c r="G1532" s="145">
        <v>0</v>
      </c>
      <c r="H1532" s="145">
        <v>0</v>
      </c>
      <c r="I1532" s="77">
        <f t="shared" si="26"/>
        <v>347.71</v>
      </c>
      <c r="J1532" s="123" t="str">
        <f>IFERROR(VLOOKUP($C1532,'CEDARS School FRPL'!C:H,4,FALSE),"No")</f>
        <v>No</v>
      </c>
      <c r="K1532" s="109"/>
      <c r="L1532" s="109"/>
      <c r="M1532" s="110">
        <f>IFERROR(VLOOKUP($C1532,'CEDARS School FRPL'!C:H,3,FALSE),0)</f>
        <v>0.28856666666666664</v>
      </c>
      <c r="N1532" s="123" t="str">
        <f>IFERROR(VLOOKUP(C1532,'CEDARS School FRPL'!C:H,6,FALSE),"No")</f>
        <v>No</v>
      </c>
      <c r="O1532" s="147"/>
      <c r="P1532" s="148"/>
    </row>
    <row r="1533" spans="1:16">
      <c r="A1533" s="95" t="s">
        <v>2439</v>
      </c>
      <c r="B1533" s="95" t="s">
        <v>1299</v>
      </c>
      <c r="C1533" s="4">
        <v>5557</v>
      </c>
      <c r="D1533" s="95" t="s">
        <v>2911</v>
      </c>
      <c r="E1533" s="145">
        <v>896.86</v>
      </c>
      <c r="F1533" s="145">
        <v>0</v>
      </c>
      <c r="G1533" s="145">
        <v>0</v>
      </c>
      <c r="H1533" s="145">
        <v>0</v>
      </c>
      <c r="I1533" s="77">
        <f t="shared" si="26"/>
        <v>896.86</v>
      </c>
      <c r="J1533" s="123" t="str">
        <f>IFERROR(VLOOKUP($C1533,'CEDARS School FRPL'!C:H,4,FALSE),"No")</f>
        <v>No</v>
      </c>
      <c r="K1533" s="109"/>
      <c r="L1533" s="109"/>
      <c r="M1533" s="110">
        <f>IFERROR(VLOOKUP($C1533,'CEDARS School FRPL'!C:H,3,FALSE),0)</f>
        <v>0.38413333333333338</v>
      </c>
      <c r="N1533" s="123" t="str">
        <f>IFERROR(VLOOKUP(C1533,'CEDARS School FRPL'!C:H,6,FALSE),"No")</f>
        <v>No</v>
      </c>
      <c r="O1533" s="147"/>
      <c r="P1533" s="148"/>
    </row>
    <row r="1534" spans="1:16">
      <c r="A1534" s="95" t="s">
        <v>2343</v>
      </c>
      <c r="B1534" s="95" t="s">
        <v>532</v>
      </c>
      <c r="C1534" s="4">
        <v>2491</v>
      </c>
      <c r="D1534" s="95" t="s">
        <v>533</v>
      </c>
      <c r="E1534" s="145">
        <v>50.86</v>
      </c>
      <c r="F1534" s="145">
        <v>0</v>
      </c>
      <c r="G1534" s="145">
        <v>0</v>
      </c>
      <c r="H1534" s="145">
        <v>0</v>
      </c>
      <c r="I1534" s="77">
        <f t="shared" si="26"/>
        <v>50.86</v>
      </c>
      <c r="J1534" s="123" t="str">
        <f>IFERROR(VLOOKUP($C1534,'CEDARS School FRPL'!C:H,4,FALSE),"No")</f>
        <v>Yes</v>
      </c>
      <c r="K1534" s="109"/>
      <c r="L1534" s="109"/>
      <c r="M1534" s="110">
        <f>IFERROR(VLOOKUP($C1534,'CEDARS School FRPL'!C:H,3,FALSE),0)</f>
        <v>0.96923333333333339</v>
      </c>
      <c r="N1534" s="123" t="str">
        <f>IFERROR(VLOOKUP(C1534,'CEDARS School FRPL'!C:H,6,FALSE),"No")</f>
        <v>No</v>
      </c>
      <c r="O1534" s="147"/>
      <c r="P1534" s="148"/>
    </row>
    <row r="1535" spans="1:16">
      <c r="A1535" s="95" t="s">
        <v>2345</v>
      </c>
      <c r="B1535" s="95" t="s">
        <v>536</v>
      </c>
      <c r="C1535" s="4">
        <v>2474</v>
      </c>
      <c r="D1535" s="95" t="s">
        <v>537</v>
      </c>
      <c r="E1535" s="145">
        <v>207.89</v>
      </c>
      <c r="F1535" s="145">
        <v>4.17</v>
      </c>
      <c r="G1535" s="145">
        <v>0</v>
      </c>
      <c r="H1535" s="145">
        <v>0</v>
      </c>
      <c r="I1535" s="77">
        <f t="shared" si="26"/>
        <v>212.05999999999997</v>
      </c>
      <c r="J1535" s="123" t="str">
        <f>IFERROR(VLOOKUP($C1535,'CEDARS School FRPL'!C:H,4,FALSE),"No")</f>
        <v>No</v>
      </c>
      <c r="K1535" s="109"/>
      <c r="L1535" s="109"/>
      <c r="M1535" s="110">
        <f>IFERROR(VLOOKUP($C1535,'CEDARS School FRPL'!C:H,3,FALSE),0)</f>
        <v>0.49823333333333336</v>
      </c>
      <c r="N1535" s="123" t="str">
        <f>IFERROR(VLOOKUP(C1535,'CEDARS School FRPL'!C:H,6,FALSE),"No")</f>
        <v>No</v>
      </c>
      <c r="O1535" s="147"/>
      <c r="P1535" s="148"/>
    </row>
    <row r="1536" spans="1:16">
      <c r="A1536" s="95" t="s">
        <v>2345</v>
      </c>
      <c r="B1536" s="95" t="s">
        <v>536</v>
      </c>
      <c r="C1536" s="4">
        <v>5236</v>
      </c>
      <c r="D1536" s="95" t="s">
        <v>538</v>
      </c>
      <c r="E1536" s="145">
        <v>434.09</v>
      </c>
      <c r="F1536" s="145">
        <v>0</v>
      </c>
      <c r="G1536" s="145">
        <v>0</v>
      </c>
      <c r="H1536" s="145">
        <v>0</v>
      </c>
      <c r="I1536" s="77">
        <f t="shared" si="26"/>
        <v>434.09</v>
      </c>
      <c r="J1536" s="123" t="str">
        <f>IFERROR(VLOOKUP($C1536,'CEDARS School FRPL'!C:H,4,FALSE),"No")</f>
        <v>No</v>
      </c>
      <c r="K1536" s="109"/>
      <c r="L1536" s="109"/>
      <c r="M1536" s="110">
        <f>IFERROR(VLOOKUP($C1536,'CEDARS School FRPL'!C:H,3,FALSE),0)</f>
        <v>0.21233333333333335</v>
      </c>
      <c r="N1536" s="123" t="str">
        <f>IFERROR(VLOOKUP(C1536,'CEDARS School FRPL'!C:H,6,FALSE),"No")</f>
        <v>No</v>
      </c>
      <c r="O1536" s="147"/>
      <c r="P1536" s="148"/>
    </row>
    <row r="1537" spans="1:16">
      <c r="A1537" s="95" t="s">
        <v>2282</v>
      </c>
      <c r="B1537" s="95" t="s">
        <v>162</v>
      </c>
      <c r="C1537" s="4">
        <v>5430</v>
      </c>
      <c r="D1537" s="95" t="s">
        <v>163</v>
      </c>
      <c r="E1537" s="145">
        <v>115.15</v>
      </c>
      <c r="F1537" s="145">
        <v>0.42</v>
      </c>
      <c r="G1537" s="145">
        <v>0</v>
      </c>
      <c r="H1537" s="145">
        <v>0</v>
      </c>
      <c r="I1537" s="77">
        <f t="shared" si="26"/>
        <v>115.57000000000001</v>
      </c>
      <c r="J1537" s="123" t="str">
        <f>IFERROR(VLOOKUP($C1537,'CEDARS School FRPL'!C:H,4,FALSE),"No")</f>
        <v>Yes</v>
      </c>
      <c r="K1537" s="109"/>
      <c r="L1537" s="109"/>
      <c r="M1537" s="110">
        <f>IFERROR(VLOOKUP($C1537,'CEDARS School FRPL'!C:H,3,FALSE),0)</f>
        <v>0.93079999999999996</v>
      </c>
      <c r="N1537" s="123" t="str">
        <f>IFERROR(VLOOKUP(C1537,'CEDARS School FRPL'!C:H,6,FALSE),"No")</f>
        <v>No</v>
      </c>
      <c r="O1537" s="147"/>
      <c r="P1537" s="148"/>
    </row>
    <row r="1538" spans="1:16">
      <c r="A1538" s="95" t="s">
        <v>2281</v>
      </c>
      <c r="B1538" s="95" t="s">
        <v>157</v>
      </c>
      <c r="C1538" s="4">
        <v>1671</v>
      </c>
      <c r="D1538" s="95" t="s">
        <v>158</v>
      </c>
      <c r="E1538" s="145">
        <v>16.77</v>
      </c>
      <c r="F1538" s="145">
        <v>0</v>
      </c>
      <c r="G1538" s="145">
        <v>0</v>
      </c>
      <c r="H1538" s="145">
        <v>0</v>
      </c>
      <c r="I1538" s="77">
        <f t="shared" si="26"/>
        <v>16.77</v>
      </c>
      <c r="J1538" s="123" t="str">
        <f>IFERROR(VLOOKUP($C1538,'CEDARS School FRPL'!C:H,4,FALSE),"No")</f>
        <v>Yes</v>
      </c>
      <c r="K1538" s="109"/>
      <c r="L1538" s="109"/>
      <c r="M1538" s="110">
        <f>IFERROR(VLOOKUP($C1538,'CEDARS School FRPL'!C:H,3,FALSE),0)</f>
        <v>0.5988</v>
      </c>
      <c r="N1538" s="123" t="str">
        <f>IFERROR(VLOOKUP(C1538,'CEDARS School FRPL'!C:H,6,FALSE),"No")</f>
        <v>No</v>
      </c>
      <c r="O1538" s="147"/>
      <c r="P1538" s="148"/>
    </row>
    <row r="1539" spans="1:16">
      <c r="A1539" s="95" t="s">
        <v>2281</v>
      </c>
      <c r="B1539" s="95" t="s">
        <v>157</v>
      </c>
      <c r="C1539" s="4">
        <v>2349</v>
      </c>
      <c r="D1539" s="95" t="s">
        <v>159</v>
      </c>
      <c r="E1539" s="145">
        <v>273.83999999999997</v>
      </c>
      <c r="F1539" s="145">
        <v>24.77</v>
      </c>
      <c r="G1539" s="145">
        <v>0</v>
      </c>
      <c r="H1539" s="145">
        <v>0</v>
      </c>
      <c r="I1539" s="77">
        <f t="shared" si="26"/>
        <v>298.60999999999996</v>
      </c>
      <c r="J1539" s="123" t="str">
        <f>IFERROR(VLOOKUP($C1539,'CEDARS School FRPL'!C:H,4,FALSE),"No")</f>
        <v>Yes</v>
      </c>
      <c r="M1539" s="110">
        <f>IFERROR(VLOOKUP($C1539,'CEDARS School FRPL'!C:H,3,FALSE),0)</f>
        <v>0.63723333333333343</v>
      </c>
      <c r="N1539" s="123" t="str">
        <f>IFERROR(VLOOKUP(C1539,'CEDARS School FRPL'!C:H,6,FALSE),"No")</f>
        <v>No</v>
      </c>
      <c r="O1539" s="147"/>
      <c r="P1539" s="148"/>
    </row>
    <row r="1540" spans="1:16">
      <c r="A1540" s="95" t="s">
        <v>2281</v>
      </c>
      <c r="B1540" s="95" t="s">
        <v>157</v>
      </c>
      <c r="C1540" s="4">
        <v>2609</v>
      </c>
      <c r="D1540" s="95" t="s">
        <v>2915</v>
      </c>
      <c r="E1540" s="145">
        <v>277.35000000000002</v>
      </c>
      <c r="F1540" s="145">
        <v>0</v>
      </c>
      <c r="G1540" s="145">
        <v>0</v>
      </c>
      <c r="H1540" s="145">
        <v>0</v>
      </c>
      <c r="I1540" s="77">
        <f t="shared" ref="I1540:I1603" si="27">+E1540+F1540+G1540+H1540</f>
        <v>277.35000000000002</v>
      </c>
      <c r="J1540" s="123" t="str">
        <f>IFERROR(VLOOKUP($C1540,'CEDARS School FRPL'!C:H,4,FALSE),"No")</f>
        <v>Yes</v>
      </c>
      <c r="K1540" s="109"/>
      <c r="L1540" s="109"/>
      <c r="M1540" s="110">
        <f>IFERROR(VLOOKUP($C1540,'CEDARS School FRPL'!C:H,3,FALSE),0)</f>
        <v>0.69730000000000003</v>
      </c>
      <c r="N1540" s="123" t="str">
        <f>IFERROR(VLOOKUP(C1540,'CEDARS School FRPL'!C:H,6,FALSE),"No")</f>
        <v>No</v>
      </c>
      <c r="O1540" s="147"/>
      <c r="P1540" s="148"/>
    </row>
    <row r="1541" spans="1:16">
      <c r="A1541" s="95" t="s">
        <v>2281</v>
      </c>
      <c r="B1541" s="95" t="s">
        <v>157</v>
      </c>
      <c r="C1541" s="4">
        <v>3737</v>
      </c>
      <c r="D1541" s="95" t="s">
        <v>160</v>
      </c>
      <c r="E1541" s="145">
        <v>341.48</v>
      </c>
      <c r="F1541" s="145">
        <v>0</v>
      </c>
      <c r="G1541" s="145">
        <v>0</v>
      </c>
      <c r="H1541" s="145">
        <v>0</v>
      </c>
      <c r="I1541" s="77">
        <f t="shared" si="27"/>
        <v>341.48</v>
      </c>
      <c r="J1541" s="123" t="str">
        <f>IFERROR(VLOOKUP($C1541,'CEDARS School FRPL'!C:H,4,FALSE),"No")</f>
        <v>Yes</v>
      </c>
      <c r="K1541" s="109"/>
      <c r="L1541" s="109"/>
      <c r="M1541" s="110">
        <f>IFERROR(VLOOKUP($C1541,'CEDARS School FRPL'!C:H,3,FALSE),0)</f>
        <v>0.74180000000000001</v>
      </c>
      <c r="N1541" s="123" t="str">
        <f>IFERROR(VLOOKUP(C1541,'CEDARS School FRPL'!C:H,6,FALSE),"No")</f>
        <v>No</v>
      </c>
      <c r="O1541" s="147"/>
      <c r="P1541" s="148"/>
    </row>
    <row r="1542" spans="1:16">
      <c r="A1542" s="95" t="s">
        <v>2281</v>
      </c>
      <c r="B1542" s="95" t="s">
        <v>157</v>
      </c>
      <c r="C1542" s="4">
        <v>5071</v>
      </c>
      <c r="D1542" s="95" t="s">
        <v>161</v>
      </c>
      <c r="E1542" s="145">
        <v>2404.3000000000002</v>
      </c>
      <c r="F1542" s="145">
        <v>72.34</v>
      </c>
      <c r="G1542" s="145">
        <v>6.86</v>
      </c>
      <c r="H1542" s="145">
        <v>0</v>
      </c>
      <c r="I1542" s="77">
        <f t="shared" si="27"/>
        <v>2483.5000000000005</v>
      </c>
      <c r="J1542" s="123" t="str">
        <f>IFERROR(VLOOKUP($C1542,'CEDARS School FRPL'!C:H,4,FALSE),"No")</f>
        <v>Yes</v>
      </c>
      <c r="K1542" s="109"/>
      <c r="L1542" s="109"/>
      <c r="M1542" s="110">
        <f>IFERROR(VLOOKUP($C1542,'CEDARS School FRPL'!C:H,3,FALSE),0)</f>
        <v>0.52466666666666673</v>
      </c>
      <c r="N1542" s="123" t="str">
        <f>IFERROR(VLOOKUP(C1542,'CEDARS School FRPL'!C:H,6,FALSE),"No")</f>
        <v>No</v>
      </c>
      <c r="O1542" s="147"/>
      <c r="P1542" s="148"/>
    </row>
    <row r="1543" spans="1:16">
      <c r="A1543" s="95" t="s">
        <v>2334</v>
      </c>
      <c r="B1543" s="95" t="s">
        <v>500</v>
      </c>
      <c r="C1543" s="4">
        <v>2921</v>
      </c>
      <c r="D1543" s="95" t="s">
        <v>2791</v>
      </c>
      <c r="E1543" s="145">
        <v>169.29</v>
      </c>
      <c r="F1543" s="145">
        <v>7.41</v>
      </c>
      <c r="G1543" s="145">
        <v>0</v>
      </c>
      <c r="H1543" s="145">
        <v>0</v>
      </c>
      <c r="I1543" s="77">
        <f t="shared" si="27"/>
        <v>176.7</v>
      </c>
      <c r="J1543" s="123" t="str">
        <f>IFERROR(VLOOKUP($C1543,'CEDARS School FRPL'!C:H,4,FALSE),"No")</f>
        <v>Yes</v>
      </c>
      <c r="K1543" s="109"/>
      <c r="L1543" s="109"/>
      <c r="M1543" s="110">
        <f>IFERROR(VLOOKUP($C1543,'CEDARS School FRPL'!C:H,3,FALSE),0)</f>
        <v>0.96906666666666663</v>
      </c>
      <c r="N1543" s="123" t="str">
        <f>IFERROR(VLOOKUP(C1543,'CEDARS School FRPL'!C:H,6,FALSE),"No")</f>
        <v>No</v>
      </c>
      <c r="O1543" s="147"/>
      <c r="P1543" s="148"/>
    </row>
    <row r="1544" spans="1:16">
      <c r="A1544" s="95" t="s">
        <v>2318</v>
      </c>
      <c r="B1544" s="95" t="s">
        <v>415</v>
      </c>
      <c r="C1544" s="4">
        <v>2510</v>
      </c>
      <c r="D1544" s="95" t="s">
        <v>2917</v>
      </c>
      <c r="E1544" s="145">
        <v>756.19</v>
      </c>
      <c r="F1544" s="145">
        <v>0</v>
      </c>
      <c r="G1544" s="145">
        <v>0</v>
      </c>
      <c r="H1544" s="145">
        <v>0</v>
      </c>
      <c r="I1544" s="77">
        <f t="shared" si="27"/>
        <v>756.19</v>
      </c>
      <c r="J1544" s="123" t="str">
        <f>IFERROR(VLOOKUP($C1544,'CEDARS School FRPL'!C:H,4,FALSE),"No")</f>
        <v>Yes</v>
      </c>
      <c r="K1544" s="109"/>
      <c r="L1544" s="109"/>
      <c r="M1544" s="110">
        <f>IFERROR(VLOOKUP($C1544,'CEDARS School FRPL'!C:H,3,FALSE),0)</f>
        <v>0.85780000000000012</v>
      </c>
      <c r="N1544" s="123" t="str">
        <f>IFERROR(VLOOKUP(C1544,'CEDARS School FRPL'!C:H,6,FALSE),"No")</f>
        <v>No</v>
      </c>
      <c r="O1544" s="147"/>
      <c r="P1544" s="148"/>
    </row>
    <row r="1545" spans="1:16">
      <c r="A1545" s="95" t="s">
        <v>2318</v>
      </c>
      <c r="B1545" s="95" t="s">
        <v>415</v>
      </c>
      <c r="C1545" s="4">
        <v>2919</v>
      </c>
      <c r="D1545" s="95" t="s">
        <v>416</v>
      </c>
      <c r="E1545" s="145">
        <v>302.87</v>
      </c>
      <c r="F1545" s="145">
        <v>0</v>
      </c>
      <c r="G1545" s="145">
        <v>0</v>
      </c>
      <c r="H1545" s="145">
        <v>0</v>
      </c>
      <c r="I1545" s="77">
        <f t="shared" si="27"/>
        <v>302.87</v>
      </c>
      <c r="J1545" s="123" t="str">
        <f>IFERROR(VLOOKUP($C1545,'CEDARS School FRPL'!C:H,4,FALSE),"No")</f>
        <v>Yes</v>
      </c>
      <c r="K1545" s="109"/>
      <c r="L1545" s="109"/>
      <c r="M1545" s="110">
        <f>IFERROR(VLOOKUP($C1545,'CEDARS School FRPL'!C:H,3,FALSE),0)</f>
        <v>0.84416666666666673</v>
      </c>
      <c r="N1545" s="123" t="str">
        <f>IFERROR(VLOOKUP(C1545,'CEDARS School FRPL'!C:H,6,FALSE),"No")</f>
        <v>No</v>
      </c>
      <c r="O1545" s="147"/>
      <c r="P1545" s="148"/>
    </row>
    <row r="1546" spans="1:16">
      <c r="A1546" s="95" t="s">
        <v>2318</v>
      </c>
      <c r="B1546" s="95" t="s">
        <v>415</v>
      </c>
      <c r="C1546" s="4">
        <v>3020</v>
      </c>
      <c r="D1546" s="95" t="s">
        <v>417</v>
      </c>
      <c r="E1546" s="145">
        <v>295.70999999999998</v>
      </c>
      <c r="F1546" s="145">
        <v>0</v>
      </c>
      <c r="G1546" s="145">
        <v>0</v>
      </c>
      <c r="H1546" s="145">
        <v>0</v>
      </c>
      <c r="I1546" s="77">
        <f t="shared" si="27"/>
        <v>295.70999999999998</v>
      </c>
      <c r="J1546" s="123" t="str">
        <f>IFERROR(VLOOKUP($C1546,'CEDARS School FRPL'!C:H,4,FALSE),"No")</f>
        <v>Yes</v>
      </c>
      <c r="K1546" s="109"/>
      <c r="L1546" s="109"/>
      <c r="M1546" s="110">
        <f>IFERROR(VLOOKUP($C1546,'CEDARS School FRPL'!C:H,3,FALSE),0)</f>
        <v>0.7954</v>
      </c>
      <c r="N1546" s="123" t="str">
        <f>IFERROR(VLOOKUP(C1546,'CEDARS School FRPL'!C:H,6,FALSE),"No")</f>
        <v>No</v>
      </c>
      <c r="O1546" s="147"/>
      <c r="P1546" s="148"/>
    </row>
    <row r="1547" spans="1:16">
      <c r="A1547" s="95" t="s">
        <v>2318</v>
      </c>
      <c r="B1547" s="95" t="s">
        <v>415</v>
      </c>
      <c r="C1547" s="4">
        <v>3088</v>
      </c>
      <c r="D1547" s="95" t="s">
        <v>418</v>
      </c>
      <c r="E1547" s="145">
        <v>826.27</v>
      </c>
      <c r="F1547" s="145">
        <v>52.46</v>
      </c>
      <c r="G1547" s="145">
        <v>0</v>
      </c>
      <c r="H1547" s="145">
        <v>0</v>
      </c>
      <c r="I1547" s="77">
        <f t="shared" si="27"/>
        <v>878.73</v>
      </c>
      <c r="J1547" s="123" t="str">
        <f>IFERROR(VLOOKUP($C1547,'CEDARS School FRPL'!C:H,4,FALSE),"No")</f>
        <v>Yes</v>
      </c>
      <c r="K1547" s="109"/>
      <c r="L1547" s="109"/>
      <c r="M1547" s="110">
        <f>IFERROR(VLOOKUP($C1547,'CEDARS School FRPL'!C:H,3,FALSE),0)</f>
        <v>0.7936333333333333</v>
      </c>
      <c r="N1547" s="123" t="str">
        <f>IFERROR(VLOOKUP(C1547,'CEDARS School FRPL'!C:H,6,FALSE),"No")</f>
        <v>No</v>
      </c>
      <c r="O1547" s="147"/>
      <c r="P1547" s="148"/>
    </row>
    <row r="1548" spans="1:16">
      <c r="A1548" s="95" t="s">
        <v>2318</v>
      </c>
      <c r="B1548" s="95" t="s">
        <v>415</v>
      </c>
      <c r="C1548" s="4">
        <v>3426</v>
      </c>
      <c r="D1548" s="95" t="s">
        <v>419</v>
      </c>
      <c r="E1548" s="145">
        <v>167</v>
      </c>
      <c r="F1548" s="145">
        <v>0</v>
      </c>
      <c r="G1548" s="145">
        <v>0</v>
      </c>
      <c r="H1548" s="145">
        <v>0</v>
      </c>
      <c r="I1548" s="77">
        <f t="shared" si="27"/>
        <v>167</v>
      </c>
      <c r="J1548" s="123" t="str">
        <f>IFERROR(VLOOKUP($C1548,'CEDARS School FRPL'!C:H,4,FALSE),"No")</f>
        <v>Yes</v>
      </c>
      <c r="K1548" s="109"/>
      <c r="L1548" s="109"/>
      <c r="M1548" s="110">
        <f>IFERROR(VLOOKUP($C1548,'CEDARS School FRPL'!C:H,3,FALSE),0)</f>
        <v>0.87420000000000009</v>
      </c>
      <c r="N1548" s="123" t="str">
        <f>IFERROR(VLOOKUP(C1548,'CEDARS School FRPL'!C:H,6,FALSE),"No")</f>
        <v>No</v>
      </c>
      <c r="O1548" s="147"/>
      <c r="P1548" s="148"/>
    </row>
    <row r="1549" spans="1:16">
      <c r="A1549" s="95" t="s">
        <v>2318</v>
      </c>
      <c r="B1549" s="95" t="s">
        <v>415</v>
      </c>
      <c r="C1549" s="4">
        <v>4536</v>
      </c>
      <c r="D1549" s="95" t="s">
        <v>420</v>
      </c>
      <c r="E1549" s="145">
        <v>259.20999999999998</v>
      </c>
      <c r="F1549" s="145">
        <v>0</v>
      </c>
      <c r="G1549" s="145">
        <v>0</v>
      </c>
      <c r="H1549" s="145">
        <v>0</v>
      </c>
      <c r="I1549" s="77">
        <f t="shared" si="27"/>
        <v>259.20999999999998</v>
      </c>
      <c r="J1549" s="123" t="str">
        <f>IFERROR(VLOOKUP($C1549,'CEDARS School FRPL'!C:H,4,FALSE),"No")</f>
        <v>Yes</v>
      </c>
      <c r="K1549" s="109"/>
      <c r="L1549" s="109"/>
      <c r="M1549" s="110">
        <f>IFERROR(VLOOKUP($C1549,'CEDARS School FRPL'!C:H,3,FALSE),0)</f>
        <v>0.71196666666666664</v>
      </c>
      <c r="N1549" s="123" t="str">
        <f>IFERROR(VLOOKUP(C1549,'CEDARS School FRPL'!C:H,6,FALSE),"No")</f>
        <v>No</v>
      </c>
      <c r="O1549" s="147"/>
      <c r="P1549" s="148"/>
    </row>
    <row r="1550" spans="1:16">
      <c r="A1550" s="95" t="s">
        <v>2318</v>
      </c>
      <c r="B1550" s="95" t="s">
        <v>415</v>
      </c>
      <c r="C1550" s="4">
        <v>5585</v>
      </c>
      <c r="D1550" s="95" t="s">
        <v>2824</v>
      </c>
      <c r="E1550" s="145">
        <v>385.34</v>
      </c>
      <c r="F1550" s="145">
        <v>0</v>
      </c>
      <c r="G1550" s="145">
        <v>0</v>
      </c>
      <c r="H1550" s="145">
        <v>0</v>
      </c>
      <c r="I1550" s="77">
        <f t="shared" si="27"/>
        <v>385.34</v>
      </c>
      <c r="J1550" s="123" t="str">
        <f>IFERROR(VLOOKUP($C1550,'CEDARS School FRPL'!C:H,4,FALSE),"No")</f>
        <v>Yes</v>
      </c>
      <c r="K1550" s="109"/>
      <c r="L1550" s="109"/>
      <c r="M1550" s="110">
        <f>IFERROR(VLOOKUP($C1550,'CEDARS School FRPL'!C:H,3,FALSE),0)</f>
        <v>0.73063333333333336</v>
      </c>
      <c r="N1550" s="123" t="str">
        <f>IFERROR(VLOOKUP(C1550,'CEDARS School FRPL'!C:H,6,FALSE),"No")</f>
        <v>No</v>
      </c>
      <c r="O1550" s="147"/>
      <c r="P1550" s="148"/>
    </row>
    <row r="1551" spans="1:16">
      <c r="A1551" s="95" t="s">
        <v>2318</v>
      </c>
      <c r="B1551" s="95" t="s">
        <v>415</v>
      </c>
      <c r="C1551" s="4">
        <v>5648</v>
      </c>
      <c r="D1551" s="95" t="s">
        <v>2916</v>
      </c>
      <c r="E1551" s="145">
        <v>66.23</v>
      </c>
      <c r="F1551" s="145">
        <v>1</v>
      </c>
      <c r="G1551" s="145">
        <v>4.1399999999999997</v>
      </c>
      <c r="H1551" s="145">
        <v>0</v>
      </c>
      <c r="I1551" s="77">
        <f t="shared" si="27"/>
        <v>71.37</v>
      </c>
      <c r="J1551" s="123" t="str">
        <f>IFERROR(VLOOKUP($C1551,'CEDARS School FRPL'!C:H,4,FALSE),"No")</f>
        <v>Yes</v>
      </c>
      <c r="K1551" s="109"/>
      <c r="L1551" s="109"/>
      <c r="M1551" s="110">
        <f>IFERROR(VLOOKUP($C1551,'CEDARS School FRPL'!C:H,3,FALSE),0)</f>
        <v>0.63405</v>
      </c>
      <c r="N1551" s="123" t="str">
        <f>IFERROR(VLOOKUP(C1551,'CEDARS School FRPL'!C:H,6,FALSE),"No")</f>
        <v>No</v>
      </c>
      <c r="O1551" s="147"/>
      <c r="P1551" s="148"/>
    </row>
    <row r="1552" spans="1:16">
      <c r="A1552" s="95" t="s">
        <v>2318</v>
      </c>
      <c r="B1552" s="95" t="s">
        <v>415</v>
      </c>
      <c r="C1552" s="4">
        <v>5650</v>
      </c>
      <c r="D1552" s="95" t="s">
        <v>2972</v>
      </c>
      <c r="E1552" s="145">
        <v>30.57</v>
      </c>
      <c r="F1552" s="145">
        <v>0</v>
      </c>
      <c r="G1552" s="145">
        <v>0</v>
      </c>
      <c r="H1552" s="145">
        <v>0</v>
      </c>
      <c r="I1552" s="77">
        <f t="shared" si="27"/>
        <v>30.57</v>
      </c>
      <c r="J1552" s="123" t="str">
        <f>IFERROR(VLOOKUP($C1552,'CEDARS School FRPL'!C:H,4,FALSE),"No")</f>
        <v>Yes</v>
      </c>
      <c r="K1552" s="109"/>
      <c r="L1552" s="109"/>
      <c r="M1552" s="110">
        <f>IFERROR(VLOOKUP($C1552,'CEDARS School FRPL'!C:H,3,FALSE),0)</f>
        <v>0.69569999999999999</v>
      </c>
      <c r="N1552" s="123" t="str">
        <f>IFERROR(VLOOKUP(C1552,'CEDARS School FRPL'!C:H,6,FALSE),"No")</f>
        <v>No</v>
      </c>
      <c r="O1552" s="147"/>
      <c r="P1552" s="148"/>
    </row>
    <row r="1553" spans="1:16">
      <c r="A1553" s="95" t="s">
        <v>2519</v>
      </c>
      <c r="B1553" s="95" t="s">
        <v>2021</v>
      </c>
      <c r="C1553" s="4">
        <v>2158</v>
      </c>
      <c r="D1553" s="95" t="s">
        <v>819</v>
      </c>
      <c r="E1553" s="145">
        <v>210.57</v>
      </c>
      <c r="F1553" s="145">
        <v>0</v>
      </c>
      <c r="G1553" s="145">
        <v>0</v>
      </c>
      <c r="H1553" s="145">
        <v>0</v>
      </c>
      <c r="I1553" s="77">
        <f t="shared" si="27"/>
        <v>210.57</v>
      </c>
      <c r="J1553" s="123" t="str">
        <f>IFERROR(VLOOKUP($C1553,'CEDARS School FRPL'!C:H,4,FALSE),"No")</f>
        <v>No</v>
      </c>
      <c r="K1553" s="109"/>
      <c r="L1553" s="109"/>
      <c r="M1553" s="110">
        <f>IFERROR(VLOOKUP($C1553,'CEDARS School FRPL'!C:H,3,FALSE),0)</f>
        <v>0.47039999999999998</v>
      </c>
      <c r="N1553" s="123" t="str">
        <f>IFERROR(VLOOKUP(C1553,'CEDARS School FRPL'!C:H,6,FALSE),"No")</f>
        <v>No</v>
      </c>
      <c r="O1553" s="147"/>
      <c r="P1553" s="148"/>
    </row>
    <row r="1554" spans="1:16">
      <c r="A1554" s="95" t="s">
        <v>2519</v>
      </c>
      <c r="B1554" s="95" t="s">
        <v>2021</v>
      </c>
      <c r="C1554" s="4">
        <v>2468</v>
      </c>
      <c r="D1554" s="95" t="s">
        <v>2022</v>
      </c>
      <c r="E1554" s="145">
        <v>222.05</v>
      </c>
      <c r="F1554" s="145">
        <v>19.270000000000003</v>
      </c>
      <c r="G1554" s="145">
        <v>4.57</v>
      </c>
      <c r="H1554" s="145">
        <v>0</v>
      </c>
      <c r="I1554" s="77">
        <f t="shared" si="27"/>
        <v>245.89000000000001</v>
      </c>
      <c r="J1554" s="123" t="str">
        <f>IFERROR(VLOOKUP($C1554,'CEDARS School FRPL'!C:H,4,FALSE),"No")</f>
        <v>No</v>
      </c>
      <c r="K1554" s="109"/>
      <c r="L1554" s="109"/>
      <c r="M1554" s="110">
        <f>IFERROR(VLOOKUP($C1554,'CEDARS School FRPL'!C:H,3,FALSE),0)</f>
        <v>0.43136666666666662</v>
      </c>
      <c r="N1554" s="123" t="str">
        <f>IFERROR(VLOOKUP(C1554,'CEDARS School FRPL'!C:H,6,FALSE),"No")</f>
        <v>No</v>
      </c>
      <c r="O1554" s="147"/>
      <c r="P1554" s="148"/>
    </row>
    <row r="1555" spans="1:16">
      <c r="A1555" s="95" t="s">
        <v>2519</v>
      </c>
      <c r="B1555" s="95" t="s">
        <v>2021</v>
      </c>
      <c r="C1555" s="4">
        <v>4486</v>
      </c>
      <c r="D1555" s="95" t="s">
        <v>1440</v>
      </c>
      <c r="E1555" s="145">
        <v>425.13</v>
      </c>
      <c r="F1555" s="145">
        <v>0</v>
      </c>
      <c r="G1555" s="145">
        <v>0</v>
      </c>
      <c r="H1555" s="145">
        <v>0</v>
      </c>
      <c r="I1555" s="77">
        <f t="shared" si="27"/>
        <v>425.13</v>
      </c>
      <c r="J1555" s="123" t="str">
        <f>IFERROR(VLOOKUP($C1555,'CEDARS School FRPL'!C:H,4,FALSE),"No")</f>
        <v>No</v>
      </c>
      <c r="K1555" s="109"/>
      <c r="L1555" s="109"/>
      <c r="M1555" s="110">
        <f>IFERROR(VLOOKUP($C1555,'CEDARS School FRPL'!C:H,3,FALSE),0)</f>
        <v>0.38339999999999996</v>
      </c>
      <c r="N1555" s="123" t="str">
        <f>IFERROR(VLOOKUP(C1555,'CEDARS School FRPL'!C:H,6,FALSE),"No")</f>
        <v>No</v>
      </c>
      <c r="O1555" s="147"/>
      <c r="P1555" s="148"/>
    </row>
    <row r="1556" spans="1:16">
      <c r="A1556" s="95" t="s">
        <v>2369</v>
      </c>
      <c r="B1556" s="95" t="s">
        <v>1014</v>
      </c>
      <c r="C1556" s="4">
        <v>5380</v>
      </c>
      <c r="D1556" s="95" t="s">
        <v>1015</v>
      </c>
      <c r="E1556" s="145">
        <v>328.86</v>
      </c>
      <c r="F1556" s="145">
        <v>0</v>
      </c>
      <c r="G1556" s="145">
        <v>0</v>
      </c>
      <c r="H1556" s="145">
        <v>0</v>
      </c>
      <c r="I1556" s="77">
        <f t="shared" si="27"/>
        <v>328.86</v>
      </c>
      <c r="J1556" s="123" t="str">
        <f>IFERROR(VLOOKUP($C1556,'CEDARS School FRPL'!C:H,4,FALSE),"No")</f>
        <v>Yes</v>
      </c>
      <c r="K1556" s="109"/>
      <c r="L1556" s="109"/>
      <c r="M1556" s="110">
        <f>IFERROR(VLOOKUP($C1556,'CEDARS School FRPL'!C:H,3,FALSE),0)</f>
        <v>0.71749999999999992</v>
      </c>
      <c r="N1556" s="123" t="str">
        <f>IFERROR(VLOOKUP(C1556,'CEDARS School FRPL'!C:H,6,FALSE),"No")</f>
        <v>No</v>
      </c>
      <c r="O1556" s="147"/>
      <c r="P1556" s="148"/>
    </row>
    <row r="1557" spans="1:16">
      <c r="A1557" s="95" t="s">
        <v>2587</v>
      </c>
      <c r="B1557" s="95" t="s">
        <v>2959</v>
      </c>
      <c r="C1557" s="4">
        <v>5468</v>
      </c>
      <c r="D1557" s="95" t="s">
        <v>2720</v>
      </c>
      <c r="E1557" s="145">
        <v>159</v>
      </c>
      <c r="F1557" s="145">
        <v>0</v>
      </c>
      <c r="G1557" s="145">
        <v>0</v>
      </c>
      <c r="H1557" s="145">
        <v>0</v>
      </c>
      <c r="I1557" s="77">
        <f t="shared" si="27"/>
        <v>159</v>
      </c>
      <c r="J1557" s="123" t="str">
        <f>IFERROR(VLOOKUP($C1557,'CEDARS School FRPL'!C:H,4,FALSE),"No")</f>
        <v>Yes</v>
      </c>
      <c r="K1557" s="109"/>
      <c r="L1557" s="109"/>
      <c r="M1557" s="110">
        <f>IFERROR(VLOOKUP($C1557,'CEDARS School FRPL'!C:H,3,FALSE),0)</f>
        <v>0.78229999999999988</v>
      </c>
      <c r="N1557" s="123" t="str">
        <f>IFERROR(VLOOKUP(C1557,'CEDARS School FRPL'!C:H,6,FALSE),"No")</f>
        <v>No</v>
      </c>
      <c r="O1557" s="147"/>
      <c r="P1557" s="148"/>
    </row>
    <row r="1558" spans="1:16">
      <c r="A1558" s="95" t="s">
        <v>2430</v>
      </c>
      <c r="B1558" s="95" t="s">
        <v>1267</v>
      </c>
      <c r="C1558" s="4">
        <v>2357</v>
      </c>
      <c r="D1558" s="95" t="s">
        <v>1268</v>
      </c>
      <c r="E1558" s="145">
        <v>242</v>
      </c>
      <c r="F1558" s="145">
        <v>19.43</v>
      </c>
      <c r="G1558" s="145">
        <v>2.14</v>
      </c>
      <c r="H1558" s="145">
        <v>0</v>
      </c>
      <c r="I1558" s="77">
        <f t="shared" si="27"/>
        <v>263.57</v>
      </c>
      <c r="J1558" s="123" t="str">
        <f>IFERROR(VLOOKUP($C1558,'CEDARS School FRPL'!C:H,4,FALSE),"No")</f>
        <v>Yes</v>
      </c>
      <c r="K1558" s="109"/>
      <c r="L1558" s="109"/>
      <c r="M1558" s="110">
        <f>IFERROR(VLOOKUP($C1558,'CEDARS School FRPL'!C:H,3,FALSE),0)</f>
        <v>0.61906666666666654</v>
      </c>
      <c r="N1558" s="123" t="str">
        <f>IFERROR(VLOOKUP(C1558,'CEDARS School FRPL'!C:H,6,FALSE),"No")</f>
        <v>No</v>
      </c>
      <c r="O1558" s="147"/>
      <c r="P1558" s="148"/>
    </row>
    <row r="1559" spans="1:16">
      <c r="A1559" s="95" t="s">
        <v>2430</v>
      </c>
      <c r="B1559" s="95" t="s">
        <v>1267</v>
      </c>
      <c r="C1559" s="4">
        <v>2803</v>
      </c>
      <c r="D1559" s="95" t="s">
        <v>1269</v>
      </c>
      <c r="E1559" s="145">
        <v>257.38</v>
      </c>
      <c r="F1559" s="145">
        <v>0</v>
      </c>
      <c r="G1559" s="145">
        <v>0</v>
      </c>
      <c r="H1559" s="145">
        <v>0</v>
      </c>
      <c r="I1559" s="77">
        <f t="shared" si="27"/>
        <v>257.38</v>
      </c>
      <c r="J1559" s="123" t="str">
        <f>IFERROR(VLOOKUP($C1559,'CEDARS School FRPL'!C:H,4,FALSE),"No")</f>
        <v>Yes</v>
      </c>
      <c r="K1559" s="109"/>
      <c r="L1559" s="109"/>
      <c r="M1559" s="110">
        <f>IFERROR(VLOOKUP($C1559,'CEDARS School FRPL'!C:H,3,FALSE),0)</f>
        <v>0.71893333333333331</v>
      </c>
      <c r="N1559" s="123" t="str">
        <f>IFERROR(VLOOKUP(C1559,'CEDARS School FRPL'!C:H,6,FALSE),"No")</f>
        <v>No</v>
      </c>
      <c r="O1559" s="147"/>
      <c r="P1559" s="148"/>
    </row>
    <row r="1560" spans="1:16">
      <c r="A1560" s="95" t="s">
        <v>2407</v>
      </c>
      <c r="B1560" s="95" t="s">
        <v>1184</v>
      </c>
      <c r="C1560" s="4">
        <v>2478</v>
      </c>
      <c r="D1560" s="95" t="s">
        <v>1185</v>
      </c>
      <c r="E1560" s="145">
        <v>321.98</v>
      </c>
      <c r="F1560" s="145">
        <v>13.03</v>
      </c>
      <c r="G1560" s="145">
        <v>0</v>
      </c>
      <c r="H1560" s="145">
        <v>0</v>
      </c>
      <c r="I1560" s="77">
        <f t="shared" si="27"/>
        <v>335.01</v>
      </c>
      <c r="J1560" s="123" t="str">
        <f>IFERROR(VLOOKUP($C1560,'CEDARS School FRPL'!C:H,4,FALSE),"No")</f>
        <v>No</v>
      </c>
      <c r="K1560" s="109"/>
      <c r="L1560" s="109"/>
      <c r="M1560" s="110">
        <f>IFERROR(VLOOKUP($C1560,'CEDARS School FRPL'!C:H,3,FALSE),0)</f>
        <v>0.36593333333333328</v>
      </c>
      <c r="N1560" s="123" t="str">
        <f>IFERROR(VLOOKUP(C1560,'CEDARS School FRPL'!C:H,6,FALSE),"No")</f>
        <v>No</v>
      </c>
      <c r="O1560" s="147"/>
      <c r="P1560" s="148"/>
    </row>
    <row r="1561" spans="1:16">
      <c r="A1561" s="95" t="s">
        <v>2407</v>
      </c>
      <c r="B1561" s="95" t="s">
        <v>1184</v>
      </c>
      <c r="C1561" s="4">
        <v>2864</v>
      </c>
      <c r="D1561" s="95" t="s">
        <v>1186</v>
      </c>
      <c r="E1561" s="145">
        <v>359.38</v>
      </c>
      <c r="F1561" s="145">
        <v>0</v>
      </c>
      <c r="G1561" s="145">
        <v>0</v>
      </c>
      <c r="H1561" s="145">
        <v>0</v>
      </c>
      <c r="I1561" s="77">
        <f t="shared" si="27"/>
        <v>359.38</v>
      </c>
      <c r="J1561" s="123" t="str">
        <f>IFERROR(VLOOKUP($C1561,'CEDARS School FRPL'!C:H,4,FALSE),"No")</f>
        <v>No</v>
      </c>
      <c r="K1561" s="109"/>
      <c r="L1561" s="109"/>
      <c r="M1561" s="110">
        <f>IFERROR(VLOOKUP($C1561,'CEDARS School FRPL'!C:H,3,FALSE),0)</f>
        <v>0.46943333333333337</v>
      </c>
      <c r="N1561" s="123" t="str">
        <f>IFERROR(VLOOKUP(C1561,'CEDARS School FRPL'!C:H,6,FALSE),"No")</f>
        <v>No</v>
      </c>
      <c r="O1561" s="147"/>
      <c r="P1561" s="148"/>
    </row>
    <row r="1562" spans="1:16">
      <c r="A1562" s="95" t="s">
        <v>2407</v>
      </c>
      <c r="B1562" s="95" t="s">
        <v>1184</v>
      </c>
      <c r="C1562" s="4">
        <v>5688</v>
      </c>
      <c r="D1562" s="95" t="s">
        <v>3040</v>
      </c>
      <c r="E1562" s="145">
        <v>28.56</v>
      </c>
      <c r="F1562" s="145">
        <v>0</v>
      </c>
      <c r="G1562" s="145">
        <v>0</v>
      </c>
      <c r="H1562" s="145">
        <v>0</v>
      </c>
      <c r="I1562" s="77">
        <f t="shared" si="27"/>
        <v>28.56</v>
      </c>
      <c r="J1562" s="123" t="str">
        <f>IFERROR(VLOOKUP($C1562,'CEDARS School FRPL'!C:H,4,FALSE),"No")</f>
        <v>No</v>
      </c>
      <c r="K1562" s="109"/>
      <c r="L1562" s="109"/>
      <c r="M1562" s="110">
        <f>IFERROR(VLOOKUP($C1562,'CEDARS School FRPL'!C:H,3,FALSE),0)</f>
        <v>0.36670000000000003</v>
      </c>
      <c r="N1562" s="123" t="str">
        <f>IFERROR(VLOOKUP(C1562,'CEDARS School FRPL'!C:H,6,FALSE),"No")</f>
        <v>No</v>
      </c>
      <c r="O1562" s="147"/>
      <c r="P1562" s="148"/>
    </row>
    <row r="1563" spans="1:16">
      <c r="A1563" s="95" t="s">
        <v>2354</v>
      </c>
      <c r="B1563" s="95" t="s">
        <v>736</v>
      </c>
      <c r="C1563" s="4">
        <v>1534</v>
      </c>
      <c r="D1563" s="95" t="s">
        <v>737</v>
      </c>
      <c r="E1563" s="145">
        <v>4.71</v>
      </c>
      <c r="F1563" s="145">
        <v>0</v>
      </c>
      <c r="G1563" s="145">
        <v>0</v>
      </c>
      <c r="H1563" s="145">
        <v>0</v>
      </c>
      <c r="I1563" s="77">
        <f t="shared" si="27"/>
        <v>4.71</v>
      </c>
      <c r="J1563" s="123" t="str">
        <f>IFERROR(VLOOKUP($C1563,'CEDARS School FRPL'!C:H,4,FALSE),"No")</f>
        <v>Yes</v>
      </c>
      <c r="K1563" s="109"/>
      <c r="L1563" s="107"/>
      <c r="M1563" s="110">
        <f>IFERROR(VLOOKUP($C1563,'CEDARS School FRPL'!C:H,3,FALSE),0)</f>
        <v>0.72223333333333339</v>
      </c>
      <c r="N1563" s="123" t="str">
        <f>IFERROR(VLOOKUP(C1563,'CEDARS School FRPL'!C:H,6,FALSE),"No")</f>
        <v>No</v>
      </c>
      <c r="O1563" s="147"/>
      <c r="P1563" s="148"/>
    </row>
    <row r="1564" spans="1:16">
      <c r="A1564" s="95" t="s">
        <v>2354</v>
      </c>
      <c r="B1564" s="95" t="s">
        <v>736</v>
      </c>
      <c r="C1564" s="4">
        <v>1648</v>
      </c>
      <c r="D1564" s="95" t="s">
        <v>738</v>
      </c>
      <c r="E1564" s="145">
        <v>15.29</v>
      </c>
      <c r="F1564" s="145">
        <v>0</v>
      </c>
      <c r="G1564" s="145">
        <v>0</v>
      </c>
      <c r="H1564" s="145">
        <v>0</v>
      </c>
      <c r="I1564" s="77">
        <f t="shared" si="27"/>
        <v>15.29</v>
      </c>
      <c r="J1564" s="123" t="str">
        <f>IFERROR(VLOOKUP($C1564,'CEDARS School FRPL'!C:H,4,FALSE),"No")</f>
        <v>No</v>
      </c>
      <c r="K1564" s="109"/>
      <c r="L1564" s="109"/>
      <c r="M1564" s="110">
        <f>IFERROR(VLOOKUP($C1564,'CEDARS School FRPL'!C:H,3,FALSE),0)</f>
        <v>0.40123333333333333</v>
      </c>
      <c r="N1564" s="123" t="str">
        <f>IFERROR(VLOOKUP(C1564,'CEDARS School FRPL'!C:H,6,FALSE),"No")</f>
        <v>No</v>
      </c>
      <c r="O1564" s="147"/>
      <c r="P1564" s="148"/>
    </row>
    <row r="1565" spans="1:16">
      <c r="A1565" s="95" t="s">
        <v>2354</v>
      </c>
      <c r="B1565" s="95" t="s">
        <v>736</v>
      </c>
      <c r="C1565" s="4">
        <v>1784</v>
      </c>
      <c r="D1565" s="95" t="s">
        <v>2731</v>
      </c>
      <c r="E1565" s="145">
        <v>121.16</v>
      </c>
      <c r="F1565" s="145">
        <v>0</v>
      </c>
      <c r="G1565" s="145">
        <v>0</v>
      </c>
      <c r="H1565" s="145">
        <v>0</v>
      </c>
      <c r="I1565" s="77">
        <f t="shared" si="27"/>
        <v>121.16</v>
      </c>
      <c r="J1565" s="123" t="str">
        <f>IFERROR(VLOOKUP($C1565,'CEDARS School FRPL'!C:H,4,FALSE),"No")</f>
        <v>No</v>
      </c>
      <c r="K1565" s="109"/>
      <c r="L1565" s="109"/>
      <c r="M1565" s="110">
        <f>IFERROR(VLOOKUP($C1565,'CEDARS School FRPL'!C:H,3,FALSE),0)</f>
        <v>0.11209999999999999</v>
      </c>
      <c r="N1565" s="123" t="str">
        <f>IFERROR(VLOOKUP(C1565,'CEDARS School FRPL'!C:H,6,FALSE),"No")</f>
        <v>No</v>
      </c>
      <c r="O1565" s="147"/>
      <c r="P1565" s="148"/>
    </row>
    <row r="1566" spans="1:16">
      <c r="A1566" s="95" t="s">
        <v>2354</v>
      </c>
      <c r="B1566" s="95" t="s">
        <v>736</v>
      </c>
      <c r="C1566" s="4">
        <v>2439</v>
      </c>
      <c r="D1566" s="95" t="s">
        <v>739</v>
      </c>
      <c r="E1566" s="145">
        <v>346.07</v>
      </c>
      <c r="F1566" s="145">
        <v>0</v>
      </c>
      <c r="G1566" s="145">
        <v>0</v>
      </c>
      <c r="H1566" s="145">
        <v>0</v>
      </c>
      <c r="I1566" s="77">
        <f t="shared" si="27"/>
        <v>346.07</v>
      </c>
      <c r="J1566" s="123" t="str">
        <f>IFERROR(VLOOKUP($C1566,'CEDARS School FRPL'!C:H,4,FALSE),"No")</f>
        <v>Yes</v>
      </c>
      <c r="K1566" s="109"/>
      <c r="L1566" s="109"/>
      <c r="M1566" s="110">
        <f>IFERROR(VLOOKUP($C1566,'CEDARS School FRPL'!C:H,3,FALSE),0)</f>
        <v>0.59393333333333331</v>
      </c>
      <c r="N1566" s="123" t="str">
        <f>IFERROR(VLOOKUP(C1566,'CEDARS School FRPL'!C:H,6,FALSE),"No")</f>
        <v>No</v>
      </c>
      <c r="O1566" s="147"/>
      <c r="P1566" s="148"/>
    </row>
    <row r="1567" spans="1:16">
      <c r="A1567" s="95" t="s">
        <v>2354</v>
      </c>
      <c r="B1567" s="95" t="s">
        <v>736</v>
      </c>
      <c r="C1567" s="4">
        <v>2475</v>
      </c>
      <c r="D1567" s="95" t="s">
        <v>740</v>
      </c>
      <c r="E1567" s="145">
        <v>1018.53</v>
      </c>
      <c r="F1567" s="145">
        <v>101.4</v>
      </c>
      <c r="G1567" s="145">
        <v>0</v>
      </c>
      <c r="H1567" s="145">
        <v>0</v>
      </c>
      <c r="I1567" s="77">
        <f t="shared" si="27"/>
        <v>1119.93</v>
      </c>
      <c r="J1567" s="123" t="str">
        <f>IFERROR(VLOOKUP($C1567,'CEDARS School FRPL'!C:H,4,FALSE),"No")</f>
        <v>Yes</v>
      </c>
      <c r="K1567" s="109"/>
      <c r="L1567" s="109"/>
      <c r="M1567" s="110">
        <f>IFERROR(VLOOKUP($C1567,'CEDARS School FRPL'!C:H,3,FALSE),0)</f>
        <v>0.60960000000000003</v>
      </c>
      <c r="N1567" s="123" t="str">
        <f>IFERROR(VLOOKUP(C1567,'CEDARS School FRPL'!C:H,6,FALSE),"No")</f>
        <v>No</v>
      </c>
      <c r="O1567" s="147"/>
      <c r="P1567" s="148"/>
    </row>
    <row r="1568" spans="1:16">
      <c r="A1568" s="95" t="s">
        <v>2354</v>
      </c>
      <c r="B1568" s="95" t="s">
        <v>736</v>
      </c>
      <c r="C1568" s="4">
        <v>2597</v>
      </c>
      <c r="D1568" s="95" t="s">
        <v>741</v>
      </c>
      <c r="E1568" s="145">
        <v>562.57000000000005</v>
      </c>
      <c r="F1568" s="145">
        <v>0</v>
      </c>
      <c r="G1568" s="145">
        <v>0</v>
      </c>
      <c r="H1568" s="145">
        <v>0</v>
      </c>
      <c r="I1568" s="77">
        <f t="shared" si="27"/>
        <v>562.57000000000005</v>
      </c>
      <c r="J1568" s="123" t="str">
        <f>IFERROR(VLOOKUP($C1568,'CEDARS School FRPL'!C:H,4,FALSE),"No")</f>
        <v>No</v>
      </c>
      <c r="K1568" s="109"/>
      <c r="L1568" s="109"/>
      <c r="M1568" s="110">
        <f>IFERROR(VLOOKUP($C1568,'CEDARS School FRPL'!C:H,3,FALSE),0)</f>
        <v>0.31949999999999995</v>
      </c>
      <c r="N1568" s="123" t="str">
        <f>IFERROR(VLOOKUP(C1568,'CEDARS School FRPL'!C:H,6,FALSE),"No")</f>
        <v>No</v>
      </c>
      <c r="O1568" s="147"/>
      <c r="P1568" s="148"/>
    </row>
    <row r="1569" spans="1:16">
      <c r="A1569" s="95" t="s">
        <v>2354</v>
      </c>
      <c r="B1569" s="95" t="s">
        <v>736</v>
      </c>
      <c r="C1569" s="4">
        <v>2640</v>
      </c>
      <c r="D1569" s="95" t="s">
        <v>742</v>
      </c>
      <c r="E1569" s="145">
        <v>438.45</v>
      </c>
      <c r="F1569" s="145">
        <v>0</v>
      </c>
      <c r="G1569" s="145">
        <v>0</v>
      </c>
      <c r="H1569" s="145">
        <v>0</v>
      </c>
      <c r="I1569" s="77">
        <f t="shared" si="27"/>
        <v>438.45</v>
      </c>
      <c r="J1569" s="123" t="str">
        <f>IFERROR(VLOOKUP($C1569,'CEDARS School FRPL'!C:H,4,FALSE),"No")</f>
        <v>Yes</v>
      </c>
      <c r="K1569" s="109"/>
      <c r="L1569" s="109"/>
      <c r="M1569" s="110">
        <f>IFERROR(VLOOKUP($C1569,'CEDARS School FRPL'!C:H,3,FALSE),0)</f>
        <v>0.6539666666666667</v>
      </c>
      <c r="N1569" s="123" t="str">
        <f>IFERROR(VLOOKUP(C1569,'CEDARS School FRPL'!C:H,6,FALSE),"No")</f>
        <v>No</v>
      </c>
      <c r="O1569" s="147"/>
      <c r="P1569" s="148"/>
    </row>
    <row r="1570" spans="1:16">
      <c r="A1570" s="95" t="s">
        <v>2354</v>
      </c>
      <c r="B1570" s="95" t="s">
        <v>736</v>
      </c>
      <c r="C1570" s="4">
        <v>2929</v>
      </c>
      <c r="D1570" s="95" t="s">
        <v>696</v>
      </c>
      <c r="E1570" s="145">
        <v>339.86</v>
      </c>
      <c r="F1570" s="145">
        <v>0</v>
      </c>
      <c r="G1570" s="145">
        <v>0</v>
      </c>
      <c r="H1570" s="145">
        <v>0</v>
      </c>
      <c r="I1570" s="77">
        <f t="shared" si="27"/>
        <v>339.86</v>
      </c>
      <c r="J1570" s="123" t="str">
        <f>IFERROR(VLOOKUP($C1570,'CEDARS School FRPL'!C:H,4,FALSE),"No")</f>
        <v>Yes</v>
      </c>
      <c r="K1570" s="109"/>
      <c r="L1570" s="109"/>
      <c r="M1570" s="110">
        <f>IFERROR(VLOOKUP($C1570,'CEDARS School FRPL'!C:H,3,FALSE),0)</f>
        <v>0.71606666666666652</v>
      </c>
      <c r="N1570" s="123" t="str">
        <f>IFERROR(VLOOKUP(C1570,'CEDARS School FRPL'!C:H,6,FALSE),"No")</f>
        <v>No</v>
      </c>
      <c r="O1570" s="147"/>
      <c r="P1570" s="148"/>
    </row>
    <row r="1571" spans="1:16">
      <c r="A1571" s="95" t="s">
        <v>2354</v>
      </c>
      <c r="B1571" s="95" t="s">
        <v>736</v>
      </c>
      <c r="C1571" s="4">
        <v>3034</v>
      </c>
      <c r="D1571" s="95" t="s">
        <v>743</v>
      </c>
      <c r="E1571" s="145">
        <v>319.14999999999998</v>
      </c>
      <c r="F1571" s="145">
        <v>0</v>
      </c>
      <c r="G1571" s="145">
        <v>0</v>
      </c>
      <c r="H1571" s="145">
        <v>0</v>
      </c>
      <c r="I1571" s="77">
        <f t="shared" si="27"/>
        <v>319.14999999999998</v>
      </c>
      <c r="J1571" s="123" t="str">
        <f>IFERROR(VLOOKUP($C1571,'CEDARS School FRPL'!C:H,4,FALSE),"No")</f>
        <v>Yes</v>
      </c>
      <c r="K1571" s="109"/>
      <c r="L1571" s="109"/>
      <c r="M1571" s="110">
        <f>IFERROR(VLOOKUP($C1571,'CEDARS School FRPL'!C:H,3,FALSE),0)</f>
        <v>0.69523333333333337</v>
      </c>
      <c r="N1571" s="123" t="str">
        <f>IFERROR(VLOOKUP(C1571,'CEDARS School FRPL'!C:H,6,FALSE),"No")</f>
        <v>No</v>
      </c>
      <c r="O1571" s="147"/>
      <c r="P1571" s="148"/>
    </row>
    <row r="1572" spans="1:16">
      <c r="A1572" s="95" t="s">
        <v>2354</v>
      </c>
      <c r="B1572" s="95" t="s">
        <v>736</v>
      </c>
      <c r="C1572" s="4">
        <v>3035</v>
      </c>
      <c r="D1572" s="95" t="s">
        <v>744</v>
      </c>
      <c r="E1572" s="145">
        <v>885.11</v>
      </c>
      <c r="F1572" s="145">
        <v>0</v>
      </c>
      <c r="G1572" s="145">
        <v>0</v>
      </c>
      <c r="H1572" s="145">
        <v>0</v>
      </c>
      <c r="I1572" s="77">
        <f t="shared" si="27"/>
        <v>885.11</v>
      </c>
      <c r="J1572" s="123" t="str">
        <f>IFERROR(VLOOKUP($C1572,'CEDARS School FRPL'!C:H,4,FALSE),"No")</f>
        <v>No</v>
      </c>
      <c r="K1572" s="109"/>
      <c r="L1572" s="109"/>
      <c r="M1572" s="110">
        <f>IFERROR(VLOOKUP($C1572,'CEDARS School FRPL'!C:H,3,FALSE),0)</f>
        <v>0.47939999999999999</v>
      </c>
      <c r="N1572" s="123" t="str">
        <f>IFERROR(VLOOKUP(C1572,'CEDARS School FRPL'!C:H,6,FALSE),"No")</f>
        <v>No</v>
      </c>
      <c r="O1572" s="147"/>
      <c r="P1572" s="148"/>
    </row>
    <row r="1573" spans="1:16">
      <c r="A1573" s="95" t="s">
        <v>2354</v>
      </c>
      <c r="B1573" s="95" t="s">
        <v>736</v>
      </c>
      <c r="C1573" s="4">
        <v>3280</v>
      </c>
      <c r="D1573" s="95" t="s">
        <v>745</v>
      </c>
      <c r="E1573" s="145">
        <v>643.30999999999995</v>
      </c>
      <c r="F1573" s="145">
        <v>0</v>
      </c>
      <c r="G1573" s="145">
        <v>0</v>
      </c>
      <c r="H1573" s="145">
        <v>0</v>
      </c>
      <c r="I1573" s="77">
        <f t="shared" si="27"/>
        <v>643.30999999999995</v>
      </c>
      <c r="J1573" s="123" t="str">
        <f>IFERROR(VLOOKUP($C1573,'CEDARS School FRPL'!C:H,4,FALSE),"No")</f>
        <v>Yes</v>
      </c>
      <c r="K1573" s="109"/>
      <c r="L1573" s="109"/>
      <c r="M1573" s="110">
        <f>IFERROR(VLOOKUP($C1573,'CEDARS School FRPL'!C:H,3,FALSE),0)</f>
        <v>0.65813333333333335</v>
      </c>
      <c r="N1573" s="123" t="str">
        <f>IFERROR(VLOOKUP(C1573,'CEDARS School FRPL'!C:H,6,FALSE),"No")</f>
        <v>No</v>
      </c>
      <c r="O1573" s="147"/>
      <c r="P1573" s="148"/>
    </row>
    <row r="1574" spans="1:16">
      <c r="A1574" s="95" t="s">
        <v>2354</v>
      </c>
      <c r="B1574" s="95" t="s">
        <v>736</v>
      </c>
      <c r="C1574" s="4">
        <v>3337</v>
      </c>
      <c r="D1574" s="95" t="s">
        <v>51</v>
      </c>
      <c r="E1574" s="145">
        <v>368.68</v>
      </c>
      <c r="F1574" s="145">
        <v>0</v>
      </c>
      <c r="G1574" s="145">
        <v>0</v>
      </c>
      <c r="H1574" s="145">
        <v>0</v>
      </c>
      <c r="I1574" s="77">
        <f t="shared" si="27"/>
        <v>368.68</v>
      </c>
      <c r="J1574" s="123" t="str">
        <f>IFERROR(VLOOKUP($C1574,'CEDARS School FRPL'!C:H,4,FALSE),"No")</f>
        <v>Yes</v>
      </c>
      <c r="K1574" s="109"/>
      <c r="L1574" s="109"/>
      <c r="M1574" s="110">
        <f>IFERROR(VLOOKUP($C1574,'CEDARS School FRPL'!C:H,3,FALSE),0)</f>
        <v>0.59843333333333337</v>
      </c>
      <c r="N1574" s="123" t="str">
        <f>IFERROR(VLOOKUP(C1574,'CEDARS School FRPL'!C:H,6,FALSE),"No")</f>
        <v>No</v>
      </c>
      <c r="O1574" s="147"/>
      <c r="P1574" s="148"/>
    </row>
    <row r="1575" spans="1:16">
      <c r="A1575" s="95" t="s">
        <v>2354</v>
      </c>
      <c r="B1575" s="95" t="s">
        <v>736</v>
      </c>
      <c r="C1575" s="4">
        <v>3434</v>
      </c>
      <c r="D1575" s="95" t="s">
        <v>746</v>
      </c>
      <c r="E1575" s="145">
        <v>908.84</v>
      </c>
      <c r="F1575" s="145">
        <v>0</v>
      </c>
      <c r="G1575" s="145">
        <v>0</v>
      </c>
      <c r="H1575" s="145">
        <v>0</v>
      </c>
      <c r="I1575" s="77">
        <f t="shared" si="27"/>
        <v>908.84</v>
      </c>
      <c r="J1575" s="123" t="str">
        <f>IFERROR(VLOOKUP($C1575,'CEDARS School FRPL'!C:H,4,FALSE),"No")</f>
        <v>Yes</v>
      </c>
      <c r="K1575" s="109"/>
      <c r="L1575" s="109"/>
      <c r="M1575" s="110">
        <f>IFERROR(VLOOKUP($C1575,'CEDARS School FRPL'!C:H,3,FALSE),0)</f>
        <v>0.55673333333333341</v>
      </c>
      <c r="N1575" s="123" t="str">
        <f>IFERROR(VLOOKUP(C1575,'CEDARS School FRPL'!C:H,6,FALSE),"No")</f>
        <v>No</v>
      </c>
      <c r="O1575" s="147"/>
      <c r="P1575" s="148"/>
    </row>
    <row r="1576" spans="1:16">
      <c r="A1576" s="95" t="s">
        <v>2354</v>
      </c>
      <c r="B1576" s="95" t="s">
        <v>736</v>
      </c>
      <c r="C1576" s="4">
        <v>3485</v>
      </c>
      <c r="D1576" s="95" t="s">
        <v>747</v>
      </c>
      <c r="E1576" s="145">
        <v>512.45000000000005</v>
      </c>
      <c r="F1576" s="145">
        <v>0</v>
      </c>
      <c r="G1576" s="145">
        <v>0</v>
      </c>
      <c r="H1576" s="145">
        <v>0</v>
      </c>
      <c r="I1576" s="77">
        <f t="shared" si="27"/>
        <v>512.45000000000005</v>
      </c>
      <c r="J1576" s="123" t="str">
        <f>IFERROR(VLOOKUP($C1576,'CEDARS School FRPL'!C:H,4,FALSE),"No")</f>
        <v>No</v>
      </c>
      <c r="K1576" s="109"/>
      <c r="L1576" s="109"/>
      <c r="M1576" s="110">
        <f>IFERROR(VLOOKUP($C1576,'CEDARS School FRPL'!C:H,3,FALSE),0)</f>
        <v>0.18136666666666668</v>
      </c>
      <c r="N1576" s="123" t="str">
        <f>IFERROR(VLOOKUP(C1576,'CEDARS School FRPL'!C:H,6,FALSE),"No")</f>
        <v>No</v>
      </c>
      <c r="O1576" s="147"/>
      <c r="P1576" s="148"/>
    </row>
    <row r="1577" spans="1:16">
      <c r="A1577" s="95" t="s">
        <v>2354</v>
      </c>
      <c r="B1577" s="95" t="s">
        <v>736</v>
      </c>
      <c r="C1577" s="4">
        <v>3521</v>
      </c>
      <c r="D1577" s="95" t="s">
        <v>748</v>
      </c>
      <c r="E1577" s="145">
        <v>337.43</v>
      </c>
      <c r="F1577" s="145">
        <v>0</v>
      </c>
      <c r="G1577" s="145">
        <v>0</v>
      </c>
      <c r="H1577" s="145">
        <v>0</v>
      </c>
      <c r="I1577" s="77">
        <f t="shared" si="27"/>
        <v>337.43</v>
      </c>
      <c r="J1577" s="123" t="str">
        <f>IFERROR(VLOOKUP($C1577,'CEDARS School FRPL'!C:H,4,FALSE),"No")</f>
        <v>Yes</v>
      </c>
      <c r="K1577" s="109"/>
      <c r="L1577" s="109"/>
      <c r="M1577" s="110">
        <f>IFERROR(VLOOKUP($C1577,'CEDARS School FRPL'!C:H,3,FALSE),0)</f>
        <v>0.56866666666666665</v>
      </c>
      <c r="N1577" s="123" t="str">
        <f>IFERROR(VLOOKUP(C1577,'CEDARS School FRPL'!C:H,6,FALSE),"No")</f>
        <v>No</v>
      </c>
      <c r="O1577" s="147"/>
      <c r="P1577" s="148"/>
    </row>
    <row r="1578" spans="1:16">
      <c r="A1578" s="95" t="s">
        <v>2354</v>
      </c>
      <c r="B1578" s="95" t="s">
        <v>736</v>
      </c>
      <c r="C1578" s="4">
        <v>3586</v>
      </c>
      <c r="D1578" s="95" t="s">
        <v>749</v>
      </c>
      <c r="E1578" s="145">
        <v>604.77</v>
      </c>
      <c r="F1578" s="145">
        <v>0</v>
      </c>
      <c r="G1578" s="145">
        <v>0</v>
      </c>
      <c r="H1578" s="145">
        <v>0</v>
      </c>
      <c r="I1578" s="77">
        <f t="shared" si="27"/>
        <v>604.77</v>
      </c>
      <c r="J1578" s="123" t="str">
        <f>IFERROR(VLOOKUP($C1578,'CEDARS School FRPL'!C:H,4,FALSE),"No")</f>
        <v>No</v>
      </c>
      <c r="K1578" s="109"/>
      <c r="L1578" s="109"/>
      <c r="M1578" s="110">
        <f>IFERROR(VLOOKUP($C1578,'CEDARS School FRPL'!C:H,3,FALSE),0)</f>
        <v>0.24183333333333334</v>
      </c>
      <c r="N1578" s="123" t="str">
        <f>IFERROR(VLOOKUP(C1578,'CEDARS School FRPL'!C:H,6,FALSE),"No")</f>
        <v>No</v>
      </c>
      <c r="O1578" s="147"/>
      <c r="P1578" s="148"/>
    </row>
    <row r="1579" spans="1:16">
      <c r="A1579" s="95" t="s">
        <v>2354</v>
      </c>
      <c r="B1579" s="95" t="s">
        <v>736</v>
      </c>
      <c r="C1579" s="4">
        <v>3587</v>
      </c>
      <c r="D1579" s="95" t="s">
        <v>750</v>
      </c>
      <c r="E1579" s="145">
        <v>443.65</v>
      </c>
      <c r="F1579" s="145">
        <v>0</v>
      </c>
      <c r="G1579" s="145">
        <v>0</v>
      </c>
      <c r="H1579" s="145">
        <v>0</v>
      </c>
      <c r="I1579" s="77">
        <f t="shared" si="27"/>
        <v>443.65</v>
      </c>
      <c r="J1579" s="123" t="str">
        <f>IFERROR(VLOOKUP($C1579,'CEDARS School FRPL'!C:H,4,FALSE),"No")</f>
        <v>No</v>
      </c>
      <c r="K1579" s="109"/>
      <c r="L1579" s="109"/>
      <c r="M1579" s="110">
        <f>IFERROR(VLOOKUP($C1579,'CEDARS School FRPL'!C:H,3,FALSE),0)</f>
        <v>0.44209999999999999</v>
      </c>
      <c r="N1579" s="123" t="str">
        <f>IFERROR(VLOOKUP(C1579,'CEDARS School FRPL'!C:H,6,FALSE),"No")</f>
        <v>No</v>
      </c>
      <c r="O1579" s="147"/>
      <c r="P1579" s="148"/>
    </row>
    <row r="1580" spans="1:16">
      <c r="A1580" s="95" t="s">
        <v>2354</v>
      </c>
      <c r="B1580" s="95" t="s">
        <v>736</v>
      </c>
      <c r="C1580" s="4">
        <v>3630</v>
      </c>
      <c r="D1580" s="95" t="s">
        <v>751</v>
      </c>
      <c r="E1580" s="145">
        <v>1576.61</v>
      </c>
      <c r="F1580" s="145">
        <v>232.56</v>
      </c>
      <c r="G1580" s="145">
        <v>0</v>
      </c>
      <c r="H1580" s="145">
        <v>0</v>
      </c>
      <c r="I1580" s="77">
        <f t="shared" si="27"/>
        <v>1809.1699999999998</v>
      </c>
      <c r="J1580" s="123" t="str">
        <f>IFERROR(VLOOKUP($C1580,'CEDARS School FRPL'!C:H,4,FALSE),"No")</f>
        <v>No</v>
      </c>
      <c r="K1580" s="109"/>
      <c r="L1580" s="109"/>
      <c r="M1580" s="110">
        <f>IFERROR(VLOOKUP($C1580,'CEDARS School FRPL'!C:H,3,FALSE),0)</f>
        <v>0.34696666666666665</v>
      </c>
      <c r="N1580" s="123" t="str">
        <f>IFERROR(VLOOKUP(C1580,'CEDARS School FRPL'!C:H,6,FALSE),"No")</f>
        <v>No</v>
      </c>
      <c r="O1580" s="147"/>
      <c r="P1580" s="148"/>
    </row>
    <row r="1581" spans="1:16">
      <c r="A1581" s="95" t="s">
        <v>2354</v>
      </c>
      <c r="B1581" s="95" t="s">
        <v>736</v>
      </c>
      <c r="C1581" s="4">
        <v>3668</v>
      </c>
      <c r="D1581" s="95" t="s">
        <v>752</v>
      </c>
      <c r="E1581" s="145">
        <v>454.91</v>
      </c>
      <c r="F1581" s="145">
        <v>0</v>
      </c>
      <c r="G1581" s="145">
        <v>0</v>
      </c>
      <c r="H1581" s="145">
        <v>0</v>
      </c>
      <c r="I1581" s="77">
        <f t="shared" si="27"/>
        <v>454.91</v>
      </c>
      <c r="J1581" s="123" t="str">
        <f>IFERROR(VLOOKUP($C1581,'CEDARS School FRPL'!C:H,4,FALSE),"No")</f>
        <v>No</v>
      </c>
      <c r="K1581" s="109"/>
      <c r="L1581" s="109"/>
      <c r="M1581" s="110">
        <f>IFERROR(VLOOKUP($C1581,'CEDARS School FRPL'!C:H,3,FALSE),0)</f>
        <v>0.4424333333333334</v>
      </c>
      <c r="N1581" s="123" t="str">
        <f>IFERROR(VLOOKUP(C1581,'CEDARS School FRPL'!C:H,6,FALSE),"No")</f>
        <v>No</v>
      </c>
      <c r="O1581" s="147"/>
      <c r="P1581" s="148"/>
    </row>
    <row r="1582" spans="1:16">
      <c r="A1582" s="95" t="s">
        <v>2354</v>
      </c>
      <c r="B1582" s="95" t="s">
        <v>736</v>
      </c>
      <c r="C1582" s="4">
        <v>3702</v>
      </c>
      <c r="D1582" s="95" t="s">
        <v>753</v>
      </c>
      <c r="E1582" s="145">
        <v>344.8</v>
      </c>
      <c r="F1582" s="145">
        <v>0</v>
      </c>
      <c r="G1582" s="145">
        <v>0</v>
      </c>
      <c r="H1582" s="145">
        <v>0</v>
      </c>
      <c r="I1582" s="77">
        <f t="shared" si="27"/>
        <v>344.8</v>
      </c>
      <c r="J1582" s="123" t="str">
        <f>IFERROR(VLOOKUP($C1582,'CEDARS School FRPL'!C:H,4,FALSE),"No")</f>
        <v>Yes</v>
      </c>
      <c r="K1582" s="109"/>
      <c r="L1582" s="109"/>
      <c r="M1582" s="110">
        <f>IFERROR(VLOOKUP($C1582,'CEDARS School FRPL'!C:H,3,FALSE),0)</f>
        <v>0.50743333333333329</v>
      </c>
      <c r="N1582" s="123" t="str">
        <f>IFERROR(VLOOKUP(C1582,'CEDARS School FRPL'!C:H,6,FALSE),"No")</f>
        <v>No</v>
      </c>
      <c r="O1582" s="147"/>
      <c r="P1582" s="148"/>
    </row>
    <row r="1583" spans="1:16">
      <c r="A1583" s="95" t="s">
        <v>2354</v>
      </c>
      <c r="B1583" s="95" t="s">
        <v>736</v>
      </c>
      <c r="C1583" s="4">
        <v>3740</v>
      </c>
      <c r="D1583" s="95" t="s">
        <v>754</v>
      </c>
      <c r="E1583" s="145">
        <v>364.57</v>
      </c>
      <c r="F1583" s="145">
        <v>0</v>
      </c>
      <c r="G1583" s="145">
        <v>0</v>
      </c>
      <c r="H1583" s="145">
        <v>0</v>
      </c>
      <c r="I1583" s="77">
        <f t="shared" si="27"/>
        <v>364.57</v>
      </c>
      <c r="J1583" s="123" t="str">
        <f>IFERROR(VLOOKUP($C1583,'CEDARS School FRPL'!C:H,4,FALSE),"No")</f>
        <v>No</v>
      </c>
      <c r="K1583" s="107"/>
      <c r="L1583" s="107"/>
      <c r="M1583" s="110">
        <f>IFERROR(VLOOKUP($C1583,'CEDARS School FRPL'!C:H,3,FALSE),0)</f>
        <v>0.41289999999999999</v>
      </c>
      <c r="N1583" s="123" t="str">
        <f>IFERROR(VLOOKUP(C1583,'CEDARS School FRPL'!C:H,6,FALSE),"No")</f>
        <v>No</v>
      </c>
      <c r="O1583" s="147"/>
      <c r="P1583" s="148"/>
    </row>
    <row r="1584" spans="1:16">
      <c r="A1584" s="95" t="s">
        <v>2354</v>
      </c>
      <c r="B1584" s="95" t="s">
        <v>736</v>
      </c>
      <c r="C1584" s="4">
        <v>3741</v>
      </c>
      <c r="D1584" s="95" t="s">
        <v>755</v>
      </c>
      <c r="E1584" s="145">
        <v>1065.3800000000001</v>
      </c>
      <c r="F1584" s="145">
        <v>97.59</v>
      </c>
      <c r="G1584" s="145">
        <v>0</v>
      </c>
      <c r="H1584" s="145">
        <v>0</v>
      </c>
      <c r="I1584" s="77">
        <f t="shared" si="27"/>
        <v>1162.97</v>
      </c>
      <c r="J1584" s="123" t="str">
        <f>IFERROR(VLOOKUP($C1584,'CEDARS School FRPL'!C:H,4,FALSE),"No")</f>
        <v>Yes</v>
      </c>
      <c r="K1584" s="109"/>
      <c r="L1584" s="109"/>
      <c r="M1584" s="110">
        <f>IFERROR(VLOOKUP($C1584,'CEDARS School FRPL'!C:H,3,FALSE),0)</f>
        <v>0.51406666666666678</v>
      </c>
      <c r="N1584" s="123" t="str">
        <f>IFERROR(VLOOKUP(C1584,'CEDARS School FRPL'!C:H,6,FALSE),"No")</f>
        <v>No</v>
      </c>
      <c r="O1584" s="147"/>
      <c r="P1584" s="148"/>
    </row>
    <row r="1585" spans="1:16">
      <c r="A1585" s="95" t="s">
        <v>2354</v>
      </c>
      <c r="B1585" s="95" t="s">
        <v>736</v>
      </c>
      <c r="C1585" s="4">
        <v>5070</v>
      </c>
      <c r="D1585" s="95" t="s">
        <v>756</v>
      </c>
      <c r="E1585" s="145">
        <v>26.67</v>
      </c>
      <c r="F1585" s="145">
        <v>0</v>
      </c>
      <c r="G1585" s="145">
        <v>0</v>
      </c>
      <c r="H1585" s="145">
        <v>0</v>
      </c>
      <c r="I1585" s="77">
        <f t="shared" si="27"/>
        <v>26.67</v>
      </c>
      <c r="J1585" s="123" t="str">
        <f>IFERROR(VLOOKUP($C1585,'CEDARS School FRPL'!C:H,4,FALSE),"No")</f>
        <v>Yes</v>
      </c>
      <c r="K1585" s="109"/>
      <c r="L1585" s="109"/>
      <c r="M1585" s="110">
        <f>IFERROR(VLOOKUP($C1585,'CEDARS School FRPL'!C:H,3,FALSE),0)</f>
        <v>0.77056666666666673</v>
      </c>
      <c r="N1585" s="123" t="str">
        <f>IFERROR(VLOOKUP(C1585,'CEDARS School FRPL'!C:H,6,FALSE),"No")</f>
        <v>No</v>
      </c>
      <c r="O1585" s="147"/>
      <c r="P1585" s="148"/>
    </row>
    <row r="1586" spans="1:16">
      <c r="A1586" s="95" t="s">
        <v>2354</v>
      </c>
      <c r="B1586" s="95" t="s">
        <v>736</v>
      </c>
      <c r="C1586" s="4">
        <v>5229</v>
      </c>
      <c r="D1586" s="95" t="s">
        <v>757</v>
      </c>
      <c r="E1586" s="145">
        <v>351.72</v>
      </c>
      <c r="F1586" s="145">
        <v>0</v>
      </c>
      <c r="G1586" s="145">
        <v>0</v>
      </c>
      <c r="H1586" s="145">
        <v>0</v>
      </c>
      <c r="I1586" s="77">
        <f t="shared" si="27"/>
        <v>351.72</v>
      </c>
      <c r="J1586" s="123" t="str">
        <f>IFERROR(VLOOKUP($C1586,'CEDARS School FRPL'!C:H,4,FALSE),"No")</f>
        <v>Yes</v>
      </c>
      <c r="K1586" s="109"/>
      <c r="L1586" s="109"/>
      <c r="M1586" s="110">
        <f>IFERROR(VLOOKUP($C1586,'CEDARS School FRPL'!C:H,3,FALSE),0)</f>
        <v>0.60096666666666654</v>
      </c>
      <c r="N1586" s="123" t="str">
        <f>IFERROR(VLOOKUP(C1586,'CEDARS School FRPL'!C:H,6,FALSE),"No")</f>
        <v>No</v>
      </c>
      <c r="O1586" s="147"/>
      <c r="P1586" s="148"/>
    </row>
    <row r="1587" spans="1:16">
      <c r="A1587" s="95" t="s">
        <v>2354</v>
      </c>
      <c r="B1587" s="95" t="s">
        <v>736</v>
      </c>
      <c r="C1587" s="4">
        <v>5282</v>
      </c>
      <c r="D1587" s="95" t="s">
        <v>758</v>
      </c>
      <c r="E1587" s="145">
        <v>488.92</v>
      </c>
      <c r="F1587" s="145">
        <v>7.95</v>
      </c>
      <c r="G1587" s="145">
        <v>0</v>
      </c>
      <c r="H1587" s="145">
        <v>0</v>
      </c>
      <c r="I1587" s="77">
        <f t="shared" si="27"/>
        <v>496.87</v>
      </c>
      <c r="J1587" s="123" t="str">
        <f>IFERROR(VLOOKUP($C1587,'CEDARS School FRPL'!C:H,4,FALSE),"No")</f>
        <v>Yes</v>
      </c>
      <c r="K1587" s="109"/>
      <c r="L1587" s="109"/>
      <c r="M1587" s="110">
        <f>IFERROR(VLOOKUP($C1587,'CEDARS School FRPL'!C:H,3,FALSE),0)</f>
        <v>0.64613333333333334</v>
      </c>
      <c r="N1587" s="123" t="str">
        <f>IFERROR(VLOOKUP(C1587,'CEDARS School FRPL'!C:H,6,FALSE),"No")</f>
        <v>No</v>
      </c>
      <c r="O1587" s="147"/>
      <c r="P1587" s="148"/>
    </row>
    <row r="1588" spans="1:16">
      <c r="A1588" s="95" t="s">
        <v>2354</v>
      </c>
      <c r="B1588" s="95" t="s">
        <v>736</v>
      </c>
      <c r="C1588" s="4">
        <v>5335</v>
      </c>
      <c r="D1588" s="95" t="s">
        <v>759</v>
      </c>
      <c r="E1588" s="145">
        <v>0</v>
      </c>
      <c r="F1588" s="145">
        <v>0</v>
      </c>
      <c r="G1588" s="145">
        <v>14.57</v>
      </c>
      <c r="H1588" s="145">
        <v>0</v>
      </c>
      <c r="I1588" s="77">
        <f t="shared" si="27"/>
        <v>14.57</v>
      </c>
      <c r="J1588" s="123" t="str">
        <f>IFERROR(VLOOKUP($C1588,'CEDARS School FRPL'!C:H,4,FALSE),"No")</f>
        <v>Yes</v>
      </c>
      <c r="K1588" s="109"/>
      <c r="L1588" s="109"/>
      <c r="M1588" s="110">
        <f>IFERROR(VLOOKUP($C1588,'CEDARS School FRPL'!C:H,3,FALSE),0)</f>
        <v>0.53123333333333334</v>
      </c>
      <c r="N1588" s="123" t="str">
        <f>IFERROR(VLOOKUP(C1588,'CEDARS School FRPL'!C:H,6,FALSE),"No")</f>
        <v>No</v>
      </c>
      <c r="O1588" s="147"/>
      <c r="P1588" s="148"/>
    </row>
    <row r="1589" spans="1:16">
      <c r="A1589" s="95" t="s">
        <v>2354</v>
      </c>
      <c r="B1589" s="95" t="s">
        <v>736</v>
      </c>
      <c r="C1589" s="4">
        <v>5484</v>
      </c>
      <c r="D1589" s="95" t="s">
        <v>2732</v>
      </c>
      <c r="E1589" s="145">
        <v>799.46</v>
      </c>
      <c r="F1589" s="145">
        <v>0</v>
      </c>
      <c r="G1589" s="145">
        <v>0</v>
      </c>
      <c r="H1589" s="145">
        <v>0</v>
      </c>
      <c r="I1589" s="77">
        <f t="shared" si="27"/>
        <v>799.46</v>
      </c>
      <c r="J1589" s="123" t="str">
        <f>IFERROR(VLOOKUP($C1589,'CEDARS School FRPL'!C:H,4,FALSE),"No")</f>
        <v>No</v>
      </c>
      <c r="K1589" s="109"/>
      <c r="L1589" s="109"/>
      <c r="M1589" s="110">
        <f>IFERROR(VLOOKUP($C1589,'CEDARS School FRPL'!C:H,3,FALSE),0)</f>
        <v>0.37483333333333335</v>
      </c>
      <c r="N1589" s="123" t="str">
        <f>IFERROR(VLOOKUP(C1589,'CEDARS School FRPL'!C:H,6,FALSE),"No")</f>
        <v>No</v>
      </c>
      <c r="O1589" s="147"/>
      <c r="P1589" s="148"/>
    </row>
    <row r="1590" spans="1:16">
      <c r="A1590" s="95" t="s">
        <v>2354</v>
      </c>
      <c r="B1590" s="95" t="s">
        <v>736</v>
      </c>
      <c r="C1590" s="4">
        <v>5519</v>
      </c>
      <c r="D1590" s="95" t="s">
        <v>2808</v>
      </c>
      <c r="E1590" s="145">
        <v>509.43</v>
      </c>
      <c r="F1590" s="145">
        <v>0</v>
      </c>
      <c r="G1590" s="145">
        <v>0</v>
      </c>
      <c r="H1590" s="145">
        <v>0</v>
      </c>
      <c r="I1590" s="77">
        <f t="shared" si="27"/>
        <v>509.43</v>
      </c>
      <c r="J1590" s="123" t="str">
        <f>IFERROR(VLOOKUP($C1590,'CEDARS School FRPL'!C:H,4,FALSE),"No")</f>
        <v>No</v>
      </c>
      <c r="K1590" s="109"/>
      <c r="L1590" s="109"/>
      <c r="M1590" s="110">
        <f>IFERROR(VLOOKUP($C1590,'CEDARS School FRPL'!C:H,3,FALSE),0)</f>
        <v>0.35426666666666667</v>
      </c>
      <c r="N1590" s="123" t="str">
        <f>IFERROR(VLOOKUP(C1590,'CEDARS School FRPL'!C:H,6,FALSE),"No")</f>
        <v>No</v>
      </c>
      <c r="O1590" s="147"/>
      <c r="P1590" s="148"/>
    </row>
    <row r="1591" spans="1:16">
      <c r="A1591" s="95" t="s">
        <v>2354</v>
      </c>
      <c r="B1591" s="95" t="s">
        <v>736</v>
      </c>
      <c r="C1591" s="4">
        <v>5638</v>
      </c>
      <c r="D1591" s="95" t="s">
        <v>3041</v>
      </c>
      <c r="E1591" s="145">
        <v>407.24</v>
      </c>
      <c r="F1591" s="145">
        <v>0</v>
      </c>
      <c r="G1591" s="145">
        <v>0</v>
      </c>
      <c r="H1591" s="145">
        <v>0</v>
      </c>
      <c r="I1591" s="77">
        <f t="shared" si="27"/>
        <v>407.24</v>
      </c>
      <c r="J1591" s="123" t="str">
        <f>IFERROR(VLOOKUP($C1591,'CEDARS School FRPL'!C:H,4,FALSE),"No")</f>
        <v>No</v>
      </c>
      <c r="K1591" s="109"/>
      <c r="L1591" s="109"/>
      <c r="M1591" s="110">
        <f>IFERROR(VLOOKUP($C1591,'CEDARS School FRPL'!C:H,3,FALSE),0)</f>
        <v>0.46539999999999998</v>
      </c>
      <c r="N1591" s="123" t="str">
        <f>IFERROR(VLOOKUP(C1591,'CEDARS School FRPL'!C:H,6,FALSE),"No")</f>
        <v>No</v>
      </c>
      <c r="O1591" s="147"/>
      <c r="P1591" s="148"/>
    </row>
    <row r="1592" spans="1:16">
      <c r="A1592" s="95" t="s">
        <v>2311</v>
      </c>
      <c r="B1592" s="95" t="s">
        <v>367</v>
      </c>
      <c r="C1592" s="4">
        <v>1898</v>
      </c>
      <c r="D1592" s="95" t="s">
        <v>368</v>
      </c>
      <c r="E1592" s="145">
        <v>57.86</v>
      </c>
      <c r="F1592" s="145">
        <v>0</v>
      </c>
      <c r="G1592" s="145">
        <v>0</v>
      </c>
      <c r="H1592" s="145">
        <v>0</v>
      </c>
      <c r="I1592" s="77">
        <f t="shared" si="27"/>
        <v>57.86</v>
      </c>
      <c r="J1592" s="123" t="str">
        <f>IFERROR(VLOOKUP($C1592,'CEDARS School FRPL'!C:H,4,FALSE),"No")</f>
        <v>No</v>
      </c>
      <c r="K1592" s="109"/>
      <c r="L1592" s="109"/>
      <c r="M1592" s="110">
        <f>IFERROR(VLOOKUP($C1592,'CEDARS School FRPL'!C:H,3,FALSE),0)</f>
        <v>0.12613333333333332</v>
      </c>
      <c r="N1592" s="123" t="str">
        <f>IFERROR(VLOOKUP(C1592,'CEDARS School FRPL'!C:H,6,FALSE),"No")</f>
        <v>No</v>
      </c>
      <c r="O1592" s="147"/>
      <c r="P1592" s="148"/>
    </row>
    <row r="1593" spans="1:16">
      <c r="A1593" s="95" t="s">
        <v>2311</v>
      </c>
      <c r="B1593" s="95" t="s">
        <v>367</v>
      </c>
      <c r="C1593" s="4">
        <v>2789</v>
      </c>
      <c r="D1593" s="95" t="s">
        <v>369</v>
      </c>
      <c r="E1593" s="145">
        <v>162.71</v>
      </c>
      <c r="F1593" s="145">
        <v>0</v>
      </c>
      <c r="G1593" s="145">
        <v>0</v>
      </c>
      <c r="H1593" s="145">
        <v>0</v>
      </c>
      <c r="I1593" s="77">
        <f t="shared" si="27"/>
        <v>162.71</v>
      </c>
      <c r="J1593" s="123" t="str">
        <f>IFERROR(VLOOKUP($C1593,'CEDARS School FRPL'!C:H,4,FALSE),"No")</f>
        <v>Yes</v>
      </c>
      <c r="K1593" s="107"/>
      <c r="L1593" s="107"/>
      <c r="M1593" s="110">
        <f>IFERROR(VLOOKUP($C1593,'CEDARS School FRPL'!C:H,3,FALSE),0)</f>
        <v>0.68153333333333332</v>
      </c>
      <c r="N1593" s="123" t="str">
        <f>IFERROR(VLOOKUP(C1593,'CEDARS School FRPL'!C:H,6,FALSE),"No")</f>
        <v>No</v>
      </c>
      <c r="O1593" s="147"/>
      <c r="P1593" s="148"/>
    </row>
    <row r="1594" spans="1:16">
      <c r="A1594" s="95" t="s">
        <v>2311</v>
      </c>
      <c r="B1594" s="95" t="s">
        <v>367</v>
      </c>
      <c r="C1594" s="4">
        <v>3559</v>
      </c>
      <c r="D1594" s="95" t="s">
        <v>370</v>
      </c>
      <c r="E1594" s="145">
        <v>41.86</v>
      </c>
      <c r="F1594" s="145">
        <v>0</v>
      </c>
      <c r="G1594" s="145">
        <v>0</v>
      </c>
      <c r="H1594" s="145">
        <v>0</v>
      </c>
      <c r="I1594" s="77">
        <f t="shared" si="27"/>
        <v>41.86</v>
      </c>
      <c r="J1594" s="123" t="str">
        <f>IFERROR(VLOOKUP($C1594,'CEDARS School FRPL'!C:H,4,FALSE),"No")</f>
        <v>Yes</v>
      </c>
      <c r="K1594" s="109"/>
      <c r="L1594" s="109"/>
      <c r="M1594" s="110">
        <f>IFERROR(VLOOKUP($C1594,'CEDARS School FRPL'!C:H,3,FALSE),0)</f>
        <v>0.72783333333333333</v>
      </c>
      <c r="N1594" s="123" t="str">
        <f>IFERROR(VLOOKUP(C1594,'CEDARS School FRPL'!C:H,6,FALSE),"No")</f>
        <v>No</v>
      </c>
      <c r="O1594" s="147"/>
      <c r="P1594" s="148"/>
    </row>
    <row r="1595" spans="1:16">
      <c r="A1595" s="95" t="s">
        <v>2311</v>
      </c>
      <c r="B1595" s="95" t="s">
        <v>367</v>
      </c>
      <c r="C1595" s="4">
        <v>3579</v>
      </c>
      <c r="D1595" s="95" t="s">
        <v>371</v>
      </c>
      <c r="E1595" s="145">
        <v>89.94</v>
      </c>
      <c r="F1595" s="145">
        <v>10.36</v>
      </c>
      <c r="G1595" s="145">
        <v>0</v>
      </c>
      <c r="H1595" s="145">
        <v>0</v>
      </c>
      <c r="I1595" s="77">
        <f t="shared" si="27"/>
        <v>100.3</v>
      </c>
      <c r="J1595" s="123" t="str">
        <f>IFERROR(VLOOKUP($C1595,'CEDARS School FRPL'!C:H,4,FALSE),"No")</f>
        <v>Yes</v>
      </c>
      <c r="K1595" s="109"/>
      <c r="L1595" s="109"/>
      <c r="M1595" s="110">
        <f>IFERROR(VLOOKUP($C1595,'CEDARS School FRPL'!C:H,3,FALSE),0)</f>
        <v>0.71523333333333328</v>
      </c>
      <c r="N1595" s="123" t="str">
        <f>IFERROR(VLOOKUP(C1595,'CEDARS School FRPL'!C:H,6,FALSE),"No")</f>
        <v>No</v>
      </c>
      <c r="O1595" s="147"/>
      <c r="P1595" s="148"/>
    </row>
    <row r="1596" spans="1:16">
      <c r="A1596" s="95" t="s">
        <v>2269</v>
      </c>
      <c r="B1596" s="95" t="s">
        <v>77</v>
      </c>
      <c r="C1596" s="4">
        <v>2001</v>
      </c>
      <c r="D1596" s="95" t="s">
        <v>78</v>
      </c>
      <c r="E1596" s="145">
        <v>2.78</v>
      </c>
      <c r="F1596" s="145">
        <v>0</v>
      </c>
      <c r="G1596" s="145">
        <v>0</v>
      </c>
      <c r="H1596" s="145">
        <v>0</v>
      </c>
      <c r="I1596" s="77">
        <f t="shared" si="27"/>
        <v>2.78</v>
      </c>
      <c r="J1596" s="123" t="str">
        <f>IFERROR(VLOOKUP($C1596,'CEDARS School FRPL'!C:H,4,FALSE),"No")</f>
        <v>No</v>
      </c>
      <c r="K1596" s="109"/>
      <c r="L1596" s="109"/>
      <c r="M1596" s="110">
        <f>IFERROR(VLOOKUP($C1596,'CEDARS School FRPL'!C:H,3,FALSE),0)</f>
        <v>1.11E-2</v>
      </c>
      <c r="N1596" s="123" t="str">
        <f>IFERROR(VLOOKUP(C1596,'CEDARS School FRPL'!C:H,6,FALSE),"No")</f>
        <v>No</v>
      </c>
      <c r="O1596" s="147"/>
      <c r="P1596" s="148"/>
    </row>
    <row r="1597" spans="1:16">
      <c r="A1597" s="95" t="s">
        <v>2269</v>
      </c>
      <c r="B1597" s="95" t="s">
        <v>77</v>
      </c>
      <c r="C1597" s="4">
        <v>2642</v>
      </c>
      <c r="D1597" s="95" t="s">
        <v>79</v>
      </c>
      <c r="E1597" s="145">
        <v>403.94</v>
      </c>
      <c r="F1597" s="145">
        <v>0</v>
      </c>
      <c r="G1597" s="145">
        <v>0</v>
      </c>
      <c r="H1597" s="145">
        <v>0</v>
      </c>
      <c r="I1597" s="77">
        <f t="shared" si="27"/>
        <v>403.94</v>
      </c>
      <c r="J1597" s="123" t="str">
        <f>IFERROR(VLOOKUP($C1597,'CEDARS School FRPL'!C:H,4,FALSE),"No")</f>
        <v>Yes</v>
      </c>
      <c r="K1597" s="109"/>
      <c r="L1597" s="109"/>
      <c r="M1597" s="110">
        <f>IFERROR(VLOOKUP($C1597,'CEDARS School FRPL'!C:H,3,FALSE),0)</f>
        <v>0.40853333333333336</v>
      </c>
      <c r="N1597" s="123" t="str">
        <f>IFERROR(VLOOKUP(C1597,'CEDARS School FRPL'!C:H,6,FALSE),"No")</f>
        <v>No</v>
      </c>
      <c r="O1597" s="147"/>
      <c r="P1597" s="148"/>
    </row>
    <row r="1598" spans="1:16">
      <c r="A1598" s="95" t="s">
        <v>2269</v>
      </c>
      <c r="B1598" s="95" t="s">
        <v>77</v>
      </c>
      <c r="C1598" s="4">
        <v>2656</v>
      </c>
      <c r="D1598" s="95" t="s">
        <v>80</v>
      </c>
      <c r="E1598" s="145">
        <v>464.25</v>
      </c>
      <c r="F1598" s="145">
        <v>0</v>
      </c>
      <c r="G1598" s="145">
        <v>0</v>
      </c>
      <c r="H1598" s="145">
        <v>0</v>
      </c>
      <c r="I1598" s="77">
        <f t="shared" si="27"/>
        <v>464.25</v>
      </c>
      <c r="J1598" s="123" t="str">
        <f>IFERROR(VLOOKUP($C1598,'CEDARS School FRPL'!C:H,4,FALSE),"No")</f>
        <v>Yes</v>
      </c>
      <c r="K1598" s="109"/>
      <c r="L1598" s="109"/>
      <c r="M1598" s="110">
        <f>IFERROR(VLOOKUP($C1598,'CEDARS School FRPL'!C:H,3,FALSE),0)</f>
        <v>0.39560000000000001</v>
      </c>
      <c r="N1598" s="123" t="str">
        <f>IFERROR(VLOOKUP(C1598,'CEDARS School FRPL'!C:H,6,FALSE),"No")</f>
        <v>No</v>
      </c>
      <c r="O1598" s="147"/>
      <c r="P1598" s="148"/>
    </row>
    <row r="1599" spans="1:16">
      <c r="A1599" s="95" t="s">
        <v>2269</v>
      </c>
      <c r="B1599" s="95" t="s">
        <v>77</v>
      </c>
      <c r="C1599" s="4">
        <v>2657</v>
      </c>
      <c r="D1599" s="95" t="s">
        <v>81</v>
      </c>
      <c r="E1599" s="145">
        <v>474</v>
      </c>
      <c r="F1599" s="145">
        <v>0</v>
      </c>
      <c r="G1599" s="145">
        <v>0</v>
      </c>
      <c r="H1599" s="145">
        <v>0</v>
      </c>
      <c r="I1599" s="77">
        <f t="shared" si="27"/>
        <v>474</v>
      </c>
      <c r="J1599" s="123" t="str">
        <f>IFERROR(VLOOKUP($C1599,'CEDARS School FRPL'!C:H,4,FALSE),"No")</f>
        <v>Yes</v>
      </c>
      <c r="K1599" s="109"/>
      <c r="L1599" s="109"/>
      <c r="M1599" s="110">
        <f>IFERROR(VLOOKUP($C1599,'CEDARS School FRPL'!C:H,3,FALSE),0)</f>
        <v>0.36893333333333334</v>
      </c>
      <c r="N1599" s="123" t="str">
        <f>IFERROR(VLOOKUP(C1599,'CEDARS School FRPL'!C:H,6,FALSE),"No")</f>
        <v>No</v>
      </c>
      <c r="O1599" s="147"/>
      <c r="P1599" s="148"/>
    </row>
    <row r="1600" spans="1:16">
      <c r="A1600" s="95" t="s">
        <v>2269</v>
      </c>
      <c r="B1600" s="95" t="s">
        <v>77</v>
      </c>
      <c r="C1600" s="4">
        <v>2721</v>
      </c>
      <c r="D1600" s="95" t="s">
        <v>82</v>
      </c>
      <c r="E1600" s="145">
        <v>813.26</v>
      </c>
      <c r="F1600" s="145">
        <v>0</v>
      </c>
      <c r="G1600" s="145">
        <v>0</v>
      </c>
      <c r="H1600" s="145">
        <v>0</v>
      </c>
      <c r="I1600" s="77">
        <f t="shared" si="27"/>
        <v>813.26</v>
      </c>
      <c r="J1600" s="123" t="str">
        <f>IFERROR(VLOOKUP($C1600,'CEDARS School FRPL'!C:H,4,FALSE),"No")</f>
        <v>No</v>
      </c>
      <c r="K1600" s="109"/>
      <c r="L1600" s="109"/>
      <c r="M1600" s="110">
        <f>IFERROR(VLOOKUP($C1600,'CEDARS School FRPL'!C:H,3,FALSE),0)</f>
        <v>0.41010000000000008</v>
      </c>
      <c r="N1600" s="123" t="str">
        <f>IFERROR(VLOOKUP(C1600,'CEDARS School FRPL'!C:H,6,FALSE),"No")</f>
        <v>No</v>
      </c>
      <c r="O1600" s="147"/>
      <c r="P1600" s="148"/>
    </row>
    <row r="1601" spans="1:16">
      <c r="A1601" s="95" t="s">
        <v>2269</v>
      </c>
      <c r="B1601" s="95" t="s">
        <v>77</v>
      </c>
      <c r="C1601" s="4">
        <v>2785</v>
      </c>
      <c r="D1601" s="95" t="s">
        <v>83</v>
      </c>
      <c r="E1601" s="145">
        <v>683.8</v>
      </c>
      <c r="F1601" s="145">
        <v>0</v>
      </c>
      <c r="G1601" s="145">
        <v>0</v>
      </c>
      <c r="H1601" s="145">
        <v>0</v>
      </c>
      <c r="I1601" s="77">
        <f t="shared" si="27"/>
        <v>683.8</v>
      </c>
      <c r="J1601" s="123" t="str">
        <f>IFERROR(VLOOKUP($C1601,'CEDARS School FRPL'!C:H,4,FALSE),"No")</f>
        <v>No</v>
      </c>
      <c r="K1601" s="109"/>
      <c r="L1601" s="109"/>
      <c r="M1601" s="110">
        <f>IFERROR(VLOOKUP($C1601,'CEDARS School FRPL'!C:H,3,FALSE),0)</f>
        <v>0.46353333333333335</v>
      </c>
      <c r="N1601" s="123" t="str">
        <f>IFERROR(VLOOKUP(C1601,'CEDARS School FRPL'!C:H,6,FALSE),"No")</f>
        <v>No</v>
      </c>
      <c r="O1601" s="147"/>
      <c r="P1601" s="148"/>
    </row>
    <row r="1602" spans="1:16">
      <c r="A1602" s="95" t="s">
        <v>2269</v>
      </c>
      <c r="B1602" s="95" t="s">
        <v>77</v>
      </c>
      <c r="C1602" s="4">
        <v>2786</v>
      </c>
      <c r="D1602" s="95" t="s">
        <v>84</v>
      </c>
      <c r="E1602" s="145">
        <v>476.49</v>
      </c>
      <c r="F1602" s="145">
        <v>0</v>
      </c>
      <c r="G1602" s="145">
        <v>0</v>
      </c>
      <c r="H1602" s="145">
        <v>0</v>
      </c>
      <c r="I1602" s="77">
        <f t="shared" si="27"/>
        <v>476.49</v>
      </c>
      <c r="J1602" s="123" t="str">
        <f>IFERROR(VLOOKUP($C1602,'CEDARS School FRPL'!C:H,4,FALSE),"No")</f>
        <v>Yes</v>
      </c>
      <c r="K1602" s="109"/>
      <c r="L1602" s="109"/>
      <c r="M1602" s="110">
        <f>IFERROR(VLOOKUP($C1602,'CEDARS School FRPL'!C:H,3,FALSE),0)</f>
        <v>0.49223333333333336</v>
      </c>
      <c r="N1602" s="123" t="str">
        <f>IFERROR(VLOOKUP(C1602,'CEDARS School FRPL'!C:H,6,FALSE),"No")</f>
        <v>No</v>
      </c>
      <c r="O1602" s="147"/>
      <c r="P1602" s="148"/>
    </row>
    <row r="1603" spans="1:16">
      <c r="A1603" s="95" t="s">
        <v>2269</v>
      </c>
      <c r="B1603" s="95" t="s">
        <v>77</v>
      </c>
      <c r="C1603" s="4">
        <v>3511</v>
      </c>
      <c r="D1603" s="95" t="s">
        <v>85</v>
      </c>
      <c r="E1603" s="145">
        <v>1908.61</v>
      </c>
      <c r="F1603" s="145">
        <v>123.57</v>
      </c>
      <c r="G1603" s="145">
        <v>0</v>
      </c>
      <c r="H1603" s="145">
        <v>0</v>
      </c>
      <c r="I1603" s="77">
        <f t="shared" si="27"/>
        <v>2032.1799999999998</v>
      </c>
      <c r="J1603" s="123" t="str">
        <f>IFERROR(VLOOKUP($C1603,'CEDARS School FRPL'!C:H,4,FALSE),"No")</f>
        <v>No</v>
      </c>
      <c r="K1603" s="107"/>
      <c r="L1603" s="107"/>
      <c r="M1603" s="110">
        <f>IFERROR(VLOOKUP($C1603,'CEDARS School FRPL'!C:H,3,FALSE),0)</f>
        <v>0.2311</v>
      </c>
      <c r="N1603" s="123" t="str">
        <f>IFERROR(VLOOKUP(C1603,'CEDARS School FRPL'!C:H,6,FALSE),"No")</f>
        <v>No</v>
      </c>
      <c r="O1603" s="147"/>
      <c r="P1603" s="148"/>
    </row>
    <row r="1604" spans="1:16">
      <c r="A1604" s="95" t="s">
        <v>2269</v>
      </c>
      <c r="B1604" s="95" t="s">
        <v>77</v>
      </c>
      <c r="C1604" s="4">
        <v>3732</v>
      </c>
      <c r="D1604" s="95" t="s">
        <v>86</v>
      </c>
      <c r="E1604" s="145">
        <v>439.57</v>
      </c>
      <c r="F1604" s="145">
        <v>0</v>
      </c>
      <c r="G1604" s="145">
        <v>0</v>
      </c>
      <c r="H1604" s="145">
        <v>0</v>
      </c>
      <c r="I1604" s="77">
        <f t="shared" ref="I1604:I1667" si="28">+E1604+F1604+G1604+H1604</f>
        <v>439.57</v>
      </c>
      <c r="J1604" s="123" t="str">
        <f>IFERROR(VLOOKUP($C1604,'CEDARS School FRPL'!C:H,4,FALSE),"No")</f>
        <v>No</v>
      </c>
      <c r="K1604" s="109"/>
      <c r="L1604" s="109"/>
      <c r="M1604" s="110">
        <f>IFERROR(VLOOKUP($C1604,'CEDARS School FRPL'!C:H,3,FALSE),0)</f>
        <v>0.3257666666666667</v>
      </c>
      <c r="N1604" s="123" t="str">
        <f>IFERROR(VLOOKUP(C1604,'CEDARS School FRPL'!C:H,6,FALSE),"No")</f>
        <v>No</v>
      </c>
      <c r="O1604" s="147"/>
      <c r="P1604" s="148"/>
    </row>
    <row r="1605" spans="1:16">
      <c r="A1605" s="95" t="s">
        <v>2269</v>
      </c>
      <c r="B1605" s="95" t="s">
        <v>77</v>
      </c>
      <c r="C1605" s="4">
        <v>3833</v>
      </c>
      <c r="D1605" s="95" t="s">
        <v>87</v>
      </c>
      <c r="E1605" s="145">
        <v>1782.74</v>
      </c>
      <c r="F1605" s="145">
        <v>65.959999999999994</v>
      </c>
      <c r="G1605" s="145">
        <v>0</v>
      </c>
      <c r="H1605" s="145">
        <v>0</v>
      </c>
      <c r="I1605" s="77">
        <f t="shared" si="28"/>
        <v>1848.7</v>
      </c>
      <c r="J1605" s="123" t="str">
        <f>IFERROR(VLOOKUP($C1605,'CEDARS School FRPL'!C:H,4,FALSE),"No")</f>
        <v>No</v>
      </c>
      <c r="K1605" s="109"/>
      <c r="L1605" s="109"/>
      <c r="M1605" s="110">
        <f>IFERROR(VLOOKUP($C1605,'CEDARS School FRPL'!C:H,3,FALSE),0)</f>
        <v>0.19316666666666668</v>
      </c>
      <c r="N1605" s="123" t="str">
        <f>IFERROR(VLOOKUP(C1605,'CEDARS School FRPL'!C:H,6,FALSE),"No")</f>
        <v>No</v>
      </c>
      <c r="O1605" s="147"/>
      <c r="P1605" s="148"/>
    </row>
    <row r="1606" spans="1:16">
      <c r="A1606" s="95" t="s">
        <v>2269</v>
      </c>
      <c r="B1606" s="95" t="s">
        <v>77</v>
      </c>
      <c r="C1606" s="4">
        <v>3926</v>
      </c>
      <c r="D1606" s="95" t="s">
        <v>88</v>
      </c>
      <c r="E1606" s="145">
        <v>665.53</v>
      </c>
      <c r="F1606" s="145">
        <v>0</v>
      </c>
      <c r="G1606" s="145">
        <v>0</v>
      </c>
      <c r="H1606" s="145">
        <v>0</v>
      </c>
      <c r="I1606" s="77">
        <f t="shared" si="28"/>
        <v>665.53</v>
      </c>
      <c r="J1606" s="123" t="str">
        <f>IFERROR(VLOOKUP($C1606,'CEDARS School FRPL'!C:H,4,FALSE),"No")</f>
        <v>No</v>
      </c>
      <c r="K1606" s="109"/>
      <c r="L1606" s="109"/>
      <c r="M1606" s="110">
        <f>IFERROR(VLOOKUP($C1606,'CEDARS School FRPL'!C:H,3,FALSE),0)</f>
        <v>0.23506666666666667</v>
      </c>
      <c r="N1606" s="123" t="str">
        <f>IFERROR(VLOOKUP(C1606,'CEDARS School FRPL'!C:H,6,FALSE),"No")</f>
        <v>No</v>
      </c>
      <c r="O1606" s="147"/>
      <c r="P1606" s="148"/>
    </row>
    <row r="1607" spans="1:16">
      <c r="A1607" s="95" t="s">
        <v>2269</v>
      </c>
      <c r="B1607" s="95" t="s">
        <v>77</v>
      </c>
      <c r="C1607" s="4">
        <v>4059</v>
      </c>
      <c r="D1607" s="95" t="s">
        <v>89</v>
      </c>
      <c r="E1607" s="145">
        <v>634.86</v>
      </c>
      <c r="F1607" s="145">
        <v>0</v>
      </c>
      <c r="G1607" s="145">
        <v>0</v>
      </c>
      <c r="H1607" s="145">
        <v>0</v>
      </c>
      <c r="I1607" s="77">
        <f t="shared" si="28"/>
        <v>634.86</v>
      </c>
      <c r="J1607" s="123" t="str">
        <f>IFERROR(VLOOKUP($C1607,'CEDARS School FRPL'!C:H,4,FALSE),"No")</f>
        <v>No</v>
      </c>
      <c r="K1607" s="109"/>
      <c r="L1607" s="109"/>
      <c r="M1607" s="110">
        <f>IFERROR(VLOOKUP($C1607,'CEDARS School FRPL'!C:H,3,FALSE),0)</f>
        <v>0.34260000000000002</v>
      </c>
      <c r="N1607" s="123" t="str">
        <f>IFERROR(VLOOKUP(C1607,'CEDARS School FRPL'!C:H,6,FALSE),"No")</f>
        <v>No</v>
      </c>
      <c r="O1607" s="147"/>
      <c r="P1607" s="148"/>
    </row>
    <row r="1608" spans="1:16">
      <c r="A1608" s="95" t="s">
        <v>2269</v>
      </c>
      <c r="B1608" s="95" t="s">
        <v>77</v>
      </c>
      <c r="C1608" s="4">
        <v>4060</v>
      </c>
      <c r="D1608" s="95" t="s">
        <v>90</v>
      </c>
      <c r="E1608" s="145">
        <v>495.81</v>
      </c>
      <c r="F1608" s="145">
        <v>0</v>
      </c>
      <c r="G1608" s="145">
        <v>0</v>
      </c>
      <c r="H1608" s="145">
        <v>0</v>
      </c>
      <c r="I1608" s="77">
        <f t="shared" si="28"/>
        <v>495.81</v>
      </c>
      <c r="J1608" s="123" t="str">
        <f>IFERROR(VLOOKUP($C1608,'CEDARS School FRPL'!C:H,4,FALSE),"No")</f>
        <v>No</v>
      </c>
      <c r="K1608" s="109"/>
      <c r="L1608" s="109"/>
      <c r="M1608" s="110">
        <f>IFERROR(VLOOKUP($C1608,'CEDARS School FRPL'!C:H,3,FALSE),0)</f>
        <v>0.23050000000000001</v>
      </c>
      <c r="N1608" s="123" t="str">
        <f>IFERROR(VLOOKUP(C1608,'CEDARS School FRPL'!C:H,6,FALSE),"No")</f>
        <v>No</v>
      </c>
      <c r="O1608" s="147"/>
      <c r="P1608" s="148"/>
    </row>
    <row r="1609" spans="1:16">
      <c r="A1609" s="95" t="s">
        <v>2269</v>
      </c>
      <c r="B1609" s="95" t="s">
        <v>77</v>
      </c>
      <c r="C1609" s="4">
        <v>4295</v>
      </c>
      <c r="D1609" s="95" t="s">
        <v>91</v>
      </c>
      <c r="E1609" s="145">
        <v>120.68</v>
      </c>
      <c r="F1609" s="145">
        <v>1.51</v>
      </c>
      <c r="G1609" s="145">
        <v>52.94</v>
      </c>
      <c r="H1609" s="145">
        <v>0</v>
      </c>
      <c r="I1609" s="77">
        <f t="shared" si="28"/>
        <v>175.13</v>
      </c>
      <c r="J1609" s="123" t="str">
        <f>IFERROR(VLOOKUP($C1609,'CEDARS School FRPL'!C:H,4,FALSE),"No")</f>
        <v>Yes</v>
      </c>
      <c r="K1609" s="109"/>
      <c r="L1609" s="109"/>
      <c r="M1609" s="110">
        <f>IFERROR(VLOOKUP($C1609,'CEDARS School FRPL'!C:H,3,FALSE),0)</f>
        <v>0.42656666666666671</v>
      </c>
      <c r="N1609" s="123" t="str">
        <f>IFERROR(VLOOKUP(C1609,'CEDARS School FRPL'!C:H,6,FALSE),"No")</f>
        <v>No</v>
      </c>
      <c r="O1609" s="147"/>
      <c r="P1609" s="148"/>
    </row>
    <row r="1610" spans="1:16">
      <c r="A1610" s="95" t="s">
        <v>2269</v>
      </c>
      <c r="B1610" s="95" t="s">
        <v>77</v>
      </c>
      <c r="C1610" s="4">
        <v>4543</v>
      </c>
      <c r="D1610" s="95" t="s">
        <v>92</v>
      </c>
      <c r="E1610" s="145">
        <v>568.86</v>
      </c>
      <c r="F1610" s="145">
        <v>0</v>
      </c>
      <c r="G1610" s="145">
        <v>0</v>
      </c>
      <c r="H1610" s="145">
        <v>0</v>
      </c>
      <c r="I1610" s="77">
        <f t="shared" si="28"/>
        <v>568.86</v>
      </c>
      <c r="J1610" s="123" t="str">
        <f>IFERROR(VLOOKUP($C1610,'CEDARS School FRPL'!C:H,4,FALSE),"No")</f>
        <v>No</v>
      </c>
      <c r="K1610" s="109"/>
      <c r="L1610" s="109"/>
      <c r="M1610" s="110">
        <f>IFERROR(VLOOKUP($C1610,'CEDARS School FRPL'!C:H,3,FALSE),0)</f>
        <v>0.16879999999999998</v>
      </c>
      <c r="N1610" s="123" t="str">
        <f>IFERROR(VLOOKUP(C1610,'CEDARS School FRPL'!C:H,6,FALSE),"No")</f>
        <v>No</v>
      </c>
      <c r="O1610" s="147"/>
      <c r="P1610" s="148"/>
    </row>
    <row r="1611" spans="1:16">
      <c r="A1611" s="95" t="s">
        <v>2269</v>
      </c>
      <c r="B1611" s="95" t="s">
        <v>77</v>
      </c>
      <c r="C1611" s="4">
        <v>5092</v>
      </c>
      <c r="D1611" s="95" t="s">
        <v>93</v>
      </c>
      <c r="E1611" s="145">
        <v>709.55</v>
      </c>
      <c r="F1611" s="145">
        <v>0</v>
      </c>
      <c r="G1611" s="145">
        <v>0</v>
      </c>
      <c r="H1611" s="145">
        <v>0</v>
      </c>
      <c r="I1611" s="77">
        <f t="shared" si="28"/>
        <v>709.55</v>
      </c>
      <c r="J1611" s="123" t="str">
        <f>IFERROR(VLOOKUP($C1611,'CEDARS School FRPL'!C:H,4,FALSE),"No")</f>
        <v>No</v>
      </c>
      <c r="K1611" s="109"/>
      <c r="L1611" s="109"/>
      <c r="M1611" s="110">
        <f>IFERROR(VLOOKUP($C1611,'CEDARS School FRPL'!C:H,3,FALSE),0)</f>
        <v>0.12069999999999999</v>
      </c>
      <c r="N1611" s="123" t="str">
        <f>IFERROR(VLOOKUP(C1611,'CEDARS School FRPL'!C:H,6,FALSE),"No")</f>
        <v>No</v>
      </c>
      <c r="O1611" s="147"/>
      <c r="P1611" s="148"/>
    </row>
    <row r="1612" spans="1:16">
      <c r="A1612" s="95" t="s">
        <v>2269</v>
      </c>
      <c r="B1612" s="95" t="s">
        <v>77</v>
      </c>
      <c r="C1612" s="4">
        <v>5165</v>
      </c>
      <c r="D1612" s="95" t="s">
        <v>94</v>
      </c>
      <c r="E1612" s="145">
        <v>642.75</v>
      </c>
      <c r="F1612" s="145">
        <v>4.2299999999999995</v>
      </c>
      <c r="G1612" s="145">
        <v>0</v>
      </c>
      <c r="H1612" s="145">
        <v>0</v>
      </c>
      <c r="I1612" s="77">
        <f t="shared" si="28"/>
        <v>646.98</v>
      </c>
      <c r="J1612" s="123" t="str">
        <f>IFERROR(VLOOKUP($C1612,'CEDARS School FRPL'!C:H,4,FALSE),"No")</f>
        <v>No</v>
      </c>
      <c r="K1612" s="109"/>
      <c r="L1612" s="109"/>
      <c r="M1612" s="110">
        <f>IFERROR(VLOOKUP($C1612,'CEDARS School FRPL'!C:H,3,FALSE),0)</f>
        <v>0.12746666666666667</v>
      </c>
      <c r="N1612" s="123" t="str">
        <f>IFERROR(VLOOKUP(C1612,'CEDARS School FRPL'!C:H,6,FALSE),"No")</f>
        <v>No</v>
      </c>
      <c r="O1612" s="147"/>
      <c r="P1612" s="148"/>
    </row>
    <row r="1613" spans="1:16">
      <c r="A1613" s="95" t="s">
        <v>2269</v>
      </c>
      <c r="B1613" s="95" t="s">
        <v>77</v>
      </c>
      <c r="C1613" s="4">
        <v>5419</v>
      </c>
      <c r="D1613" s="95" t="s">
        <v>95</v>
      </c>
      <c r="E1613" s="145">
        <v>666.07</v>
      </c>
      <c r="F1613" s="145">
        <v>0</v>
      </c>
      <c r="G1613" s="145">
        <v>0</v>
      </c>
      <c r="H1613" s="145">
        <v>0</v>
      </c>
      <c r="I1613" s="77">
        <f t="shared" si="28"/>
        <v>666.07</v>
      </c>
      <c r="J1613" s="123" t="str">
        <f>IFERROR(VLOOKUP($C1613,'CEDARS School FRPL'!C:H,4,FALSE),"No")</f>
        <v>No</v>
      </c>
      <c r="K1613" s="109"/>
      <c r="L1613" s="109"/>
      <c r="M1613" s="110">
        <f>IFERROR(VLOOKUP($C1613,'CEDARS School FRPL'!C:H,3,FALSE),0)</f>
        <v>0.13846666666666665</v>
      </c>
      <c r="N1613" s="123" t="str">
        <f>IFERROR(VLOOKUP(C1613,'CEDARS School FRPL'!C:H,6,FALSE),"No")</f>
        <v>No</v>
      </c>
      <c r="O1613" s="147"/>
      <c r="P1613" s="148"/>
    </row>
    <row r="1614" spans="1:16">
      <c r="A1614" s="95" t="s">
        <v>2269</v>
      </c>
      <c r="B1614" s="95" t="s">
        <v>77</v>
      </c>
      <c r="C1614" s="4">
        <v>5493</v>
      </c>
      <c r="D1614" s="95" t="s">
        <v>2733</v>
      </c>
      <c r="E1614" s="145">
        <v>744.5</v>
      </c>
      <c r="F1614" s="145">
        <v>0</v>
      </c>
      <c r="G1614" s="145">
        <v>0</v>
      </c>
      <c r="H1614" s="145">
        <v>0</v>
      </c>
      <c r="I1614" s="77">
        <f t="shared" si="28"/>
        <v>744.5</v>
      </c>
      <c r="J1614" s="123" t="str">
        <f>IFERROR(VLOOKUP($C1614,'CEDARS School FRPL'!C:H,4,FALSE),"No")</f>
        <v>No</v>
      </c>
      <c r="K1614" s="109"/>
      <c r="L1614" s="109"/>
      <c r="M1614" s="110">
        <f>IFERROR(VLOOKUP($C1614,'CEDARS School FRPL'!C:H,3,FALSE),0)</f>
        <v>0.11616666666666668</v>
      </c>
      <c r="N1614" s="123" t="str">
        <f>IFERROR(VLOOKUP(C1614,'CEDARS School FRPL'!C:H,6,FALSE),"No")</f>
        <v>No</v>
      </c>
      <c r="O1614" s="147"/>
      <c r="P1614" s="148"/>
    </row>
    <row r="1615" spans="1:16">
      <c r="A1615" s="95" t="s">
        <v>2269</v>
      </c>
      <c r="B1615" s="95" t="s">
        <v>77</v>
      </c>
      <c r="C1615" s="4">
        <v>5689</v>
      </c>
      <c r="D1615" s="95" t="s">
        <v>3042</v>
      </c>
      <c r="E1615" s="145">
        <v>460.86</v>
      </c>
      <c r="F1615" s="145">
        <v>2.0499999999999998</v>
      </c>
      <c r="G1615" s="145">
        <v>0</v>
      </c>
      <c r="H1615" s="145">
        <v>0</v>
      </c>
      <c r="I1615" s="77">
        <f t="shared" si="28"/>
        <v>462.91</v>
      </c>
      <c r="J1615" s="123" t="str">
        <f>IFERROR(VLOOKUP($C1615,'CEDARS School FRPL'!C:H,4,FALSE),"No")</f>
        <v>Yes</v>
      </c>
      <c r="K1615" s="109"/>
      <c r="L1615" s="109"/>
      <c r="M1615" s="110">
        <f>IFERROR(VLOOKUP($C1615,'CEDARS School FRPL'!C:H,3,FALSE),0)</f>
        <v>0.51539999999999997</v>
      </c>
      <c r="N1615" s="123" t="str">
        <f>IFERROR(VLOOKUP(C1615,'CEDARS School FRPL'!C:H,6,FALSE),"No")</f>
        <v>No</v>
      </c>
      <c r="O1615" s="147"/>
      <c r="P1615" s="148"/>
    </row>
    <row r="1616" spans="1:16">
      <c r="A1616" s="95" t="s">
        <v>2291</v>
      </c>
      <c r="B1616" s="95" t="s">
        <v>284</v>
      </c>
      <c r="C1616" s="4">
        <v>2390</v>
      </c>
      <c r="D1616" s="95" t="s">
        <v>285</v>
      </c>
      <c r="E1616" s="145">
        <v>958.28</v>
      </c>
      <c r="F1616" s="145">
        <v>47.4</v>
      </c>
      <c r="G1616" s="145">
        <v>3.43</v>
      </c>
      <c r="H1616" s="145">
        <v>0</v>
      </c>
      <c r="I1616" s="77">
        <f t="shared" si="28"/>
        <v>1009.1099999999999</v>
      </c>
      <c r="J1616" s="123" t="str">
        <f>IFERROR(VLOOKUP($C1616,'CEDARS School FRPL'!C:H,4,FALSE),"No")</f>
        <v>No</v>
      </c>
      <c r="K1616" s="109"/>
      <c r="L1616" s="109"/>
      <c r="M1616" s="110">
        <f>IFERROR(VLOOKUP($C1616,'CEDARS School FRPL'!C:H,3,FALSE),0)</f>
        <v>0.2366</v>
      </c>
      <c r="N1616" s="123" t="str">
        <f>IFERROR(VLOOKUP(C1616,'CEDARS School FRPL'!C:H,6,FALSE),"No")</f>
        <v>No</v>
      </c>
      <c r="O1616" s="147"/>
      <c r="P1616" s="148"/>
    </row>
    <row r="1617" spans="1:16">
      <c r="A1617" s="95" t="s">
        <v>2291</v>
      </c>
      <c r="B1617" s="95" t="s">
        <v>284</v>
      </c>
      <c r="C1617" s="4">
        <v>3321</v>
      </c>
      <c r="D1617" s="95" t="s">
        <v>286</v>
      </c>
      <c r="E1617" s="145">
        <v>569.03</v>
      </c>
      <c r="F1617" s="145">
        <v>0</v>
      </c>
      <c r="G1617" s="145">
        <v>0</v>
      </c>
      <c r="H1617" s="145">
        <v>0</v>
      </c>
      <c r="I1617" s="77">
        <f t="shared" si="28"/>
        <v>569.03</v>
      </c>
      <c r="J1617" s="123" t="str">
        <f>IFERROR(VLOOKUP($C1617,'CEDARS School FRPL'!C:H,4,FALSE),"No")</f>
        <v>No</v>
      </c>
      <c r="K1617" s="109"/>
      <c r="L1617" s="109"/>
      <c r="M1617" s="110">
        <f>IFERROR(VLOOKUP($C1617,'CEDARS School FRPL'!C:H,3,FALSE),0)</f>
        <v>0.2165</v>
      </c>
      <c r="N1617" s="123" t="str">
        <f>IFERROR(VLOOKUP(C1617,'CEDARS School FRPL'!C:H,6,FALSE),"No")</f>
        <v>No</v>
      </c>
      <c r="O1617" s="147"/>
      <c r="P1617" s="148"/>
    </row>
    <row r="1618" spans="1:16">
      <c r="A1618" s="95" t="s">
        <v>2291</v>
      </c>
      <c r="B1618" s="95" t="s">
        <v>284</v>
      </c>
      <c r="C1618" s="4">
        <v>3786</v>
      </c>
      <c r="D1618" s="95" t="s">
        <v>287</v>
      </c>
      <c r="E1618" s="145">
        <v>807.53</v>
      </c>
      <c r="F1618" s="145">
        <v>0</v>
      </c>
      <c r="G1618" s="145">
        <v>0</v>
      </c>
      <c r="H1618" s="145">
        <v>0</v>
      </c>
      <c r="I1618" s="77">
        <f t="shared" si="28"/>
        <v>807.53</v>
      </c>
      <c r="J1618" s="123" t="str">
        <f>IFERROR(VLOOKUP($C1618,'CEDARS School FRPL'!C:H,4,FALSE),"No")</f>
        <v>No</v>
      </c>
      <c r="K1618" s="109"/>
      <c r="L1618" s="109"/>
      <c r="M1618" s="110">
        <f>IFERROR(VLOOKUP($C1618,'CEDARS School FRPL'!C:H,3,FALSE),0)</f>
        <v>0.20293333333333333</v>
      </c>
      <c r="N1618" s="123" t="str">
        <f>IFERROR(VLOOKUP(C1618,'CEDARS School FRPL'!C:H,6,FALSE),"No")</f>
        <v>No</v>
      </c>
      <c r="O1618" s="147"/>
      <c r="P1618" s="148"/>
    </row>
    <row r="1619" spans="1:16">
      <c r="A1619" s="95" t="s">
        <v>2291</v>
      </c>
      <c r="B1619" s="95" t="s">
        <v>284</v>
      </c>
      <c r="C1619" s="4">
        <v>3891</v>
      </c>
      <c r="D1619" s="95" t="s">
        <v>288</v>
      </c>
      <c r="E1619" s="145">
        <v>607.91</v>
      </c>
      <c r="F1619" s="145">
        <v>0</v>
      </c>
      <c r="G1619" s="145">
        <v>0</v>
      </c>
      <c r="H1619" s="145">
        <v>0</v>
      </c>
      <c r="I1619" s="77">
        <f t="shared" si="28"/>
        <v>607.91</v>
      </c>
      <c r="J1619" s="123" t="str">
        <f>IFERROR(VLOOKUP($C1619,'CEDARS School FRPL'!C:H,4,FALSE),"No")</f>
        <v>No</v>
      </c>
      <c r="K1619" s="109"/>
      <c r="L1619" s="109"/>
      <c r="M1619" s="110">
        <f>IFERROR(VLOOKUP($C1619,'CEDARS School FRPL'!C:H,3,FALSE),0)</f>
        <v>0.25230000000000002</v>
      </c>
      <c r="N1619" s="123" t="str">
        <f>IFERROR(VLOOKUP(C1619,'CEDARS School FRPL'!C:H,6,FALSE),"No")</f>
        <v>No</v>
      </c>
      <c r="O1619" s="147"/>
      <c r="P1619" s="148"/>
    </row>
    <row r="1620" spans="1:16">
      <c r="A1620" s="95" t="s">
        <v>2291</v>
      </c>
      <c r="B1620" s="95" t="s">
        <v>284</v>
      </c>
      <c r="C1620" s="4">
        <v>5518</v>
      </c>
      <c r="D1620" s="95" t="s">
        <v>2809</v>
      </c>
      <c r="E1620" s="145">
        <v>577.16999999999996</v>
      </c>
      <c r="F1620" s="145">
        <v>0</v>
      </c>
      <c r="G1620" s="145">
        <v>0</v>
      </c>
      <c r="H1620" s="145">
        <v>0</v>
      </c>
      <c r="I1620" s="77">
        <f t="shared" si="28"/>
        <v>577.16999999999996</v>
      </c>
      <c r="J1620" s="123" t="str">
        <f>IFERROR(VLOOKUP($C1620,'CEDARS School FRPL'!C:H,4,FALSE),"No")</f>
        <v>No</v>
      </c>
      <c r="K1620" s="109"/>
      <c r="L1620" s="109"/>
      <c r="M1620" s="110">
        <f>IFERROR(VLOOKUP($C1620,'CEDARS School FRPL'!C:H,3,FALSE),0)</f>
        <v>0.23250000000000001</v>
      </c>
      <c r="N1620" s="123" t="str">
        <f>IFERROR(VLOOKUP(C1620,'CEDARS School FRPL'!C:H,6,FALSE),"No")</f>
        <v>No</v>
      </c>
      <c r="O1620" s="147"/>
      <c r="P1620" s="148"/>
    </row>
    <row r="1621" spans="1:16">
      <c r="A1621" s="95" t="s">
        <v>2291</v>
      </c>
      <c r="B1621" s="95" t="s">
        <v>284</v>
      </c>
      <c r="C1621" s="4">
        <v>5690</v>
      </c>
      <c r="D1621" s="95" t="s">
        <v>3043</v>
      </c>
      <c r="E1621" s="145">
        <v>153.28</v>
      </c>
      <c r="F1621" s="145">
        <v>0</v>
      </c>
      <c r="G1621" s="145">
        <v>0</v>
      </c>
      <c r="H1621" s="145">
        <v>0</v>
      </c>
      <c r="I1621" s="77">
        <f t="shared" si="28"/>
        <v>153.28</v>
      </c>
      <c r="J1621" s="123" t="str">
        <f>IFERROR(VLOOKUP($C1621,'CEDARS School FRPL'!C:H,4,FALSE),"No")</f>
        <v>No</v>
      </c>
      <c r="K1621" s="107"/>
      <c r="L1621" s="107"/>
      <c r="M1621" s="110">
        <f>IFERROR(VLOOKUP($C1621,'CEDARS School FRPL'!C:H,3,FALSE),0)</f>
        <v>0.26879999999999998</v>
      </c>
      <c r="N1621" s="123" t="str">
        <f>IFERROR(VLOOKUP(C1621,'CEDARS School FRPL'!C:H,6,FALSE),"No")</f>
        <v>No</v>
      </c>
      <c r="O1621" s="147"/>
      <c r="P1621" s="148"/>
    </row>
    <row r="1622" spans="1:16">
      <c r="A1622" s="95" t="s">
        <v>2261</v>
      </c>
      <c r="B1622" s="95" t="s">
        <v>16</v>
      </c>
      <c r="C1622" s="4">
        <v>2132</v>
      </c>
      <c r="D1622" s="95" t="s">
        <v>17</v>
      </c>
      <c r="E1622" s="145">
        <v>98.2</v>
      </c>
      <c r="F1622" s="145">
        <v>1.51</v>
      </c>
      <c r="G1622" s="145">
        <v>0</v>
      </c>
      <c r="H1622" s="145">
        <v>0</v>
      </c>
      <c r="I1622" s="77">
        <f t="shared" si="28"/>
        <v>99.710000000000008</v>
      </c>
      <c r="J1622" s="123" t="str">
        <f>IFERROR(VLOOKUP($C1622,'CEDARS School FRPL'!C:H,4,FALSE),"No")</f>
        <v>No</v>
      </c>
      <c r="K1622" s="109"/>
      <c r="L1622" s="109"/>
      <c r="M1622" s="110">
        <f>IFERROR(VLOOKUP($C1622,'CEDARS School FRPL'!C:H,3,FALSE),0)</f>
        <v>0.36906666666666665</v>
      </c>
      <c r="N1622" s="123" t="str">
        <f>IFERROR(VLOOKUP(C1622,'CEDARS School FRPL'!C:H,6,FALSE),"No")</f>
        <v>No</v>
      </c>
      <c r="O1622" s="147"/>
      <c r="P1622" s="148"/>
    </row>
    <row r="1623" spans="1:16">
      <c r="A1623" s="95" t="s">
        <v>2261</v>
      </c>
      <c r="B1623" s="95" t="s">
        <v>16</v>
      </c>
      <c r="C1623" s="4">
        <v>2719</v>
      </c>
      <c r="D1623" s="95" t="s">
        <v>18</v>
      </c>
      <c r="E1623" s="145">
        <v>163.13999999999999</v>
      </c>
      <c r="F1623" s="145">
        <v>0</v>
      </c>
      <c r="G1623" s="145">
        <v>0</v>
      </c>
      <c r="H1623" s="145">
        <v>0</v>
      </c>
      <c r="I1623" s="77">
        <f t="shared" si="28"/>
        <v>163.13999999999999</v>
      </c>
      <c r="J1623" s="123" t="str">
        <f>IFERROR(VLOOKUP($C1623,'CEDARS School FRPL'!C:H,4,FALSE),"No")</f>
        <v>Yes</v>
      </c>
      <c r="K1623" s="109"/>
      <c r="L1623" s="109"/>
      <c r="M1623" s="110">
        <f>IFERROR(VLOOKUP($C1623,'CEDARS School FRPL'!C:H,3,FALSE),0)</f>
        <v>0.52856666666666674</v>
      </c>
      <c r="N1623" s="123" t="str">
        <f>IFERROR(VLOOKUP(C1623,'CEDARS School FRPL'!C:H,6,FALSE),"No")</f>
        <v>No</v>
      </c>
      <c r="O1623" s="147"/>
      <c r="P1623" s="148"/>
    </row>
    <row r="1624" spans="1:16">
      <c r="A1624" s="95" t="s">
        <v>2261</v>
      </c>
      <c r="B1624" s="95" t="s">
        <v>16</v>
      </c>
      <c r="C1624" s="4">
        <v>5303</v>
      </c>
      <c r="D1624" s="95" t="s">
        <v>19</v>
      </c>
      <c r="E1624" s="145">
        <v>87.6</v>
      </c>
      <c r="F1624" s="145">
        <v>0</v>
      </c>
      <c r="G1624" s="145">
        <v>0</v>
      </c>
      <c r="H1624" s="145">
        <v>0</v>
      </c>
      <c r="I1624" s="77">
        <f t="shared" si="28"/>
        <v>87.6</v>
      </c>
      <c r="J1624" s="123" t="str">
        <f>IFERROR(VLOOKUP($C1624,'CEDARS School FRPL'!C:H,4,FALSE),"No")</f>
        <v>No</v>
      </c>
      <c r="K1624" s="109"/>
      <c r="L1624" s="109"/>
      <c r="M1624" s="110">
        <f>IFERROR(VLOOKUP($C1624,'CEDARS School FRPL'!C:H,3,FALSE),0)</f>
        <v>0.47759999999999997</v>
      </c>
      <c r="N1624" s="123" t="str">
        <f>IFERROR(VLOOKUP(C1624,'CEDARS School FRPL'!C:H,6,FALSE),"No")</f>
        <v>No</v>
      </c>
      <c r="O1624" s="147"/>
      <c r="P1624" s="148"/>
    </row>
    <row r="1625" spans="1:16">
      <c r="A1625" s="95" t="s">
        <v>2499</v>
      </c>
      <c r="B1625" s="95" t="s">
        <v>1914</v>
      </c>
      <c r="C1625" s="4">
        <v>1919</v>
      </c>
      <c r="D1625" s="95" t="s">
        <v>1915</v>
      </c>
      <c r="E1625" s="145">
        <v>104.81</v>
      </c>
      <c r="F1625" s="145">
        <v>2.97</v>
      </c>
      <c r="G1625" s="145">
        <v>0</v>
      </c>
      <c r="H1625" s="145">
        <v>0</v>
      </c>
      <c r="I1625" s="77">
        <f t="shared" si="28"/>
        <v>107.78</v>
      </c>
      <c r="J1625" s="123" t="str">
        <f>IFERROR(VLOOKUP($C1625,'CEDARS School FRPL'!C:H,4,FALSE),"No")</f>
        <v>No</v>
      </c>
      <c r="K1625" s="109"/>
      <c r="L1625" s="109"/>
      <c r="M1625" s="110">
        <f>IFERROR(VLOOKUP($C1625,'CEDARS School FRPL'!C:H,3,FALSE),0)</f>
        <v>0.46303333333333335</v>
      </c>
      <c r="N1625" s="123" t="str">
        <f>IFERROR(VLOOKUP(C1625,'CEDARS School FRPL'!C:H,6,FALSE),"No")</f>
        <v>No</v>
      </c>
      <c r="O1625" s="147"/>
      <c r="P1625" s="148"/>
    </row>
    <row r="1626" spans="1:16">
      <c r="A1626" s="95" t="s">
        <v>2499</v>
      </c>
      <c r="B1626" s="95" t="s">
        <v>1914</v>
      </c>
      <c r="C1626" s="4">
        <v>2525</v>
      </c>
      <c r="D1626" s="95" t="s">
        <v>1916</v>
      </c>
      <c r="E1626" s="145">
        <v>205.45</v>
      </c>
      <c r="F1626" s="145">
        <v>0</v>
      </c>
      <c r="G1626" s="145">
        <v>0</v>
      </c>
      <c r="H1626" s="145">
        <v>0</v>
      </c>
      <c r="I1626" s="77">
        <f t="shared" si="28"/>
        <v>205.45</v>
      </c>
      <c r="J1626" s="123" t="str">
        <f>IFERROR(VLOOKUP($C1626,'CEDARS School FRPL'!C:H,4,FALSE),"No")</f>
        <v>No</v>
      </c>
      <c r="K1626" s="109"/>
      <c r="L1626" s="109"/>
      <c r="M1626" s="110">
        <f>IFERROR(VLOOKUP($C1626,'CEDARS School FRPL'!C:H,3,FALSE),0)</f>
        <v>0.49279999999999996</v>
      </c>
      <c r="N1626" s="123" t="str">
        <f>IFERROR(VLOOKUP(C1626,'CEDARS School FRPL'!C:H,6,FALSE),"No")</f>
        <v>No</v>
      </c>
      <c r="O1626" s="147"/>
      <c r="P1626" s="148"/>
    </row>
    <row r="1627" spans="1:16">
      <c r="A1627" s="95" t="s">
        <v>2499</v>
      </c>
      <c r="B1627" s="95" t="s">
        <v>1914</v>
      </c>
      <c r="C1627" s="4">
        <v>3466</v>
      </c>
      <c r="D1627" s="95" t="s">
        <v>1917</v>
      </c>
      <c r="E1627" s="145">
        <v>295.61</v>
      </c>
      <c r="F1627" s="145">
        <v>0</v>
      </c>
      <c r="G1627" s="145">
        <v>0</v>
      </c>
      <c r="H1627" s="145">
        <v>0</v>
      </c>
      <c r="I1627" s="77">
        <f t="shared" si="28"/>
        <v>295.61</v>
      </c>
      <c r="J1627" s="123" t="str">
        <f>IFERROR(VLOOKUP($C1627,'CEDARS School FRPL'!C:H,4,FALSE),"No")</f>
        <v>No</v>
      </c>
      <c r="K1627" s="109"/>
      <c r="L1627" s="109"/>
      <c r="M1627" s="110">
        <f>IFERROR(VLOOKUP($C1627,'CEDARS School FRPL'!C:H,3,FALSE),0)</f>
        <v>0.46826666666666666</v>
      </c>
      <c r="N1627" s="123" t="str">
        <f>IFERROR(VLOOKUP(C1627,'CEDARS School FRPL'!C:H,6,FALSE),"No")</f>
        <v>No</v>
      </c>
      <c r="O1627" s="147"/>
      <c r="P1627" s="148"/>
    </row>
    <row r="1628" spans="1:16">
      <c r="A1628" s="95" t="s">
        <v>2499</v>
      </c>
      <c r="B1628" s="95" t="s">
        <v>1914</v>
      </c>
      <c r="C1628" s="4">
        <v>4033</v>
      </c>
      <c r="D1628" s="95" t="s">
        <v>1918</v>
      </c>
      <c r="E1628" s="145">
        <v>381.46</v>
      </c>
      <c r="F1628" s="145">
        <v>0</v>
      </c>
      <c r="G1628" s="145">
        <v>0</v>
      </c>
      <c r="H1628" s="145">
        <v>0</v>
      </c>
      <c r="I1628" s="77">
        <f t="shared" si="28"/>
        <v>381.46</v>
      </c>
      <c r="J1628" s="123" t="str">
        <f>IFERROR(VLOOKUP($C1628,'CEDARS School FRPL'!C:H,4,FALSE),"No")</f>
        <v>Yes</v>
      </c>
      <c r="K1628" s="109"/>
      <c r="L1628" s="109"/>
      <c r="M1628" s="110">
        <f>IFERROR(VLOOKUP($C1628,'CEDARS School FRPL'!C:H,3,FALSE),0)</f>
        <v>0.52366666666666661</v>
      </c>
      <c r="N1628" s="123" t="str">
        <f>IFERROR(VLOOKUP(C1628,'CEDARS School FRPL'!C:H,6,FALSE),"No")</f>
        <v>No</v>
      </c>
      <c r="O1628" s="147"/>
      <c r="P1628" s="148"/>
    </row>
    <row r="1629" spans="1:16">
      <c r="A1629" s="95" t="s">
        <v>2499</v>
      </c>
      <c r="B1629" s="95" t="s">
        <v>1914</v>
      </c>
      <c r="C1629" s="4">
        <v>4228</v>
      </c>
      <c r="D1629" s="95" t="s">
        <v>1919</v>
      </c>
      <c r="E1629" s="145">
        <v>418.48</v>
      </c>
      <c r="F1629" s="145">
        <v>19.98</v>
      </c>
      <c r="G1629" s="145">
        <v>5.57</v>
      </c>
      <c r="H1629" s="145">
        <v>0</v>
      </c>
      <c r="I1629" s="77">
        <f t="shared" si="28"/>
        <v>444.03000000000003</v>
      </c>
      <c r="J1629" s="123" t="str">
        <f>IFERROR(VLOOKUP($C1629,'CEDARS School FRPL'!C:H,4,FALSE),"No")</f>
        <v>No</v>
      </c>
      <c r="K1629" s="109"/>
      <c r="L1629" s="109"/>
      <c r="M1629" s="110">
        <f>IFERROR(VLOOKUP($C1629,'CEDARS School FRPL'!C:H,3,FALSE),0)</f>
        <v>0.42880000000000001</v>
      </c>
      <c r="N1629" s="123" t="str">
        <f>IFERROR(VLOOKUP(C1629,'CEDARS School FRPL'!C:H,6,FALSE),"No")</f>
        <v>No</v>
      </c>
      <c r="O1629" s="147"/>
      <c r="P1629" s="148"/>
    </row>
    <row r="1630" spans="1:16">
      <c r="A1630" s="95" t="s">
        <v>2358</v>
      </c>
      <c r="B1630" s="95" t="s">
        <v>798</v>
      </c>
      <c r="C1630" s="4">
        <v>1756</v>
      </c>
      <c r="D1630" s="95" t="s">
        <v>799</v>
      </c>
      <c r="E1630" s="145">
        <v>46.9</v>
      </c>
      <c r="F1630" s="145">
        <v>1.51</v>
      </c>
      <c r="G1630" s="145">
        <v>0</v>
      </c>
      <c r="H1630" s="145">
        <v>0</v>
      </c>
      <c r="I1630" s="77">
        <f t="shared" si="28"/>
        <v>48.41</v>
      </c>
      <c r="J1630" s="123" t="str">
        <f>IFERROR(VLOOKUP($C1630,'CEDARS School FRPL'!C:H,4,FALSE),"No")</f>
        <v>No</v>
      </c>
      <c r="K1630" s="109"/>
      <c r="L1630" s="109"/>
      <c r="M1630" s="110">
        <f>IFERROR(VLOOKUP($C1630,'CEDARS School FRPL'!C:H,3,FALSE),0)</f>
        <v>0.22443333333333335</v>
      </c>
      <c r="N1630" s="123" t="str">
        <f>IFERROR(VLOOKUP(C1630,'CEDARS School FRPL'!C:H,6,FALSE),"No")</f>
        <v>No</v>
      </c>
      <c r="O1630" s="147"/>
      <c r="P1630" s="148"/>
    </row>
    <row r="1631" spans="1:16">
      <c r="A1631" s="95" t="s">
        <v>2358</v>
      </c>
      <c r="B1631" s="95" t="s">
        <v>798</v>
      </c>
      <c r="C1631" s="4">
        <v>1854</v>
      </c>
      <c r="D1631" s="95" t="s">
        <v>800</v>
      </c>
      <c r="E1631" s="145">
        <v>142.94999999999999</v>
      </c>
      <c r="F1631" s="145">
        <v>7.23</v>
      </c>
      <c r="G1631" s="145">
        <v>0</v>
      </c>
      <c r="H1631" s="145">
        <v>0</v>
      </c>
      <c r="I1631" s="77">
        <f t="shared" si="28"/>
        <v>150.17999999999998</v>
      </c>
      <c r="J1631" s="123" t="str">
        <f>IFERROR(VLOOKUP($C1631,'CEDARS School FRPL'!C:H,4,FALSE),"No")</f>
        <v>No</v>
      </c>
      <c r="K1631" s="109"/>
      <c r="L1631" s="109"/>
      <c r="M1631" s="110">
        <f>IFERROR(VLOOKUP($C1631,'CEDARS School FRPL'!C:H,3,FALSE),0)</f>
        <v>9.6000000000000016E-2</v>
      </c>
      <c r="N1631" s="123" t="str">
        <f>IFERROR(VLOOKUP(C1631,'CEDARS School FRPL'!C:H,6,FALSE),"No")</f>
        <v>No</v>
      </c>
      <c r="O1631" s="147"/>
      <c r="P1631" s="148"/>
    </row>
    <row r="1632" spans="1:16">
      <c r="A1632" s="95" t="s">
        <v>2358</v>
      </c>
      <c r="B1632" s="95" t="s">
        <v>798</v>
      </c>
      <c r="C1632" s="4">
        <v>2485</v>
      </c>
      <c r="D1632" s="95" t="s">
        <v>801</v>
      </c>
      <c r="E1632" s="145">
        <v>311.02999999999997</v>
      </c>
      <c r="F1632" s="145">
        <v>0</v>
      </c>
      <c r="G1632" s="145">
        <v>0</v>
      </c>
      <c r="H1632" s="145">
        <v>0</v>
      </c>
      <c r="I1632" s="77">
        <f t="shared" si="28"/>
        <v>311.02999999999997</v>
      </c>
      <c r="J1632" s="123" t="str">
        <f>IFERROR(VLOOKUP($C1632,'CEDARS School FRPL'!C:H,4,FALSE),"No")</f>
        <v>No</v>
      </c>
      <c r="K1632" s="109"/>
      <c r="L1632" s="109"/>
      <c r="M1632" s="110">
        <f>IFERROR(VLOOKUP($C1632,'CEDARS School FRPL'!C:H,3,FALSE),0)</f>
        <v>0.19509999999999997</v>
      </c>
      <c r="N1632" s="123" t="str">
        <f>IFERROR(VLOOKUP(C1632,'CEDARS School FRPL'!C:H,6,FALSE),"No")</f>
        <v>No</v>
      </c>
      <c r="O1632" s="147"/>
      <c r="P1632" s="148"/>
    </row>
    <row r="1633" spans="1:16">
      <c r="A1633" s="95" t="s">
        <v>2358</v>
      </c>
      <c r="B1633" s="95" t="s">
        <v>798</v>
      </c>
      <c r="C1633" s="4">
        <v>3006</v>
      </c>
      <c r="D1633" s="95" t="s">
        <v>802</v>
      </c>
      <c r="E1633" s="145">
        <v>46.43</v>
      </c>
      <c r="F1633" s="145">
        <v>0</v>
      </c>
      <c r="G1633" s="145">
        <v>0</v>
      </c>
      <c r="H1633" s="145">
        <v>0</v>
      </c>
      <c r="I1633" s="77">
        <f t="shared" si="28"/>
        <v>46.43</v>
      </c>
      <c r="J1633" s="123" t="str">
        <f>IFERROR(VLOOKUP($C1633,'CEDARS School FRPL'!C:H,4,FALSE),"No")</f>
        <v>No</v>
      </c>
      <c r="K1633" s="109"/>
      <c r="L1633" s="109"/>
      <c r="M1633" s="110">
        <f>IFERROR(VLOOKUP($C1633,'CEDARS School FRPL'!C:H,3,FALSE),0)</f>
        <v>0</v>
      </c>
      <c r="N1633" s="123" t="str">
        <f>IFERROR(VLOOKUP(C1633,'CEDARS School FRPL'!C:H,6,FALSE),"No")</f>
        <v>No</v>
      </c>
      <c r="O1633" s="147"/>
      <c r="P1633" s="148"/>
    </row>
    <row r="1634" spans="1:16">
      <c r="A1634" s="95" t="s">
        <v>2358</v>
      </c>
      <c r="B1634" s="95" t="s">
        <v>798</v>
      </c>
      <c r="C1634" s="4">
        <v>3101</v>
      </c>
      <c r="D1634" s="95" t="s">
        <v>803</v>
      </c>
      <c r="E1634" s="145">
        <v>418.48</v>
      </c>
      <c r="F1634" s="145">
        <v>0</v>
      </c>
      <c r="G1634" s="145">
        <v>0</v>
      </c>
      <c r="H1634" s="145">
        <v>0</v>
      </c>
      <c r="I1634" s="77">
        <f t="shared" si="28"/>
        <v>418.48</v>
      </c>
      <c r="J1634" s="123" t="str">
        <f>IFERROR(VLOOKUP($C1634,'CEDARS School FRPL'!C:H,4,FALSE),"No")</f>
        <v>No</v>
      </c>
      <c r="K1634" s="109"/>
      <c r="L1634" s="109"/>
      <c r="M1634" s="110">
        <f>IFERROR(VLOOKUP($C1634,'CEDARS School FRPL'!C:H,3,FALSE),0)</f>
        <v>0.10463333333333334</v>
      </c>
      <c r="N1634" s="123" t="str">
        <f>IFERROR(VLOOKUP(C1634,'CEDARS School FRPL'!C:H,6,FALSE),"No")</f>
        <v>No</v>
      </c>
      <c r="O1634" s="147"/>
      <c r="P1634" s="148"/>
    </row>
    <row r="1635" spans="1:16">
      <c r="A1635" s="95" t="s">
        <v>2358</v>
      </c>
      <c r="B1635" s="95" t="s">
        <v>798</v>
      </c>
      <c r="C1635" s="4">
        <v>3524</v>
      </c>
      <c r="D1635" s="95" t="s">
        <v>804</v>
      </c>
      <c r="E1635" s="145">
        <v>830.85</v>
      </c>
      <c r="F1635" s="145">
        <v>85.82</v>
      </c>
      <c r="G1635" s="145">
        <v>0</v>
      </c>
      <c r="H1635" s="145">
        <v>0</v>
      </c>
      <c r="I1635" s="77">
        <f t="shared" si="28"/>
        <v>916.67000000000007</v>
      </c>
      <c r="J1635" s="123" t="str">
        <f>IFERROR(VLOOKUP($C1635,'CEDARS School FRPL'!C:H,4,FALSE),"No")</f>
        <v>No</v>
      </c>
      <c r="K1635" s="109"/>
      <c r="L1635" s="109"/>
      <c r="M1635" s="110">
        <f>IFERROR(VLOOKUP($C1635,'CEDARS School FRPL'!C:H,3,FALSE),0)</f>
        <v>0.10713333333333334</v>
      </c>
      <c r="N1635" s="123" t="str">
        <f>IFERROR(VLOOKUP(C1635,'CEDARS School FRPL'!C:H,6,FALSE),"No")</f>
        <v>No</v>
      </c>
      <c r="O1635" s="147"/>
      <c r="P1635" s="148"/>
    </row>
    <row r="1636" spans="1:16">
      <c r="A1636" s="95" t="s">
        <v>2358</v>
      </c>
      <c r="B1636" s="95" t="s">
        <v>798</v>
      </c>
      <c r="C1636" s="4">
        <v>4318</v>
      </c>
      <c r="D1636" s="95" t="s">
        <v>805</v>
      </c>
      <c r="E1636" s="145">
        <v>665.32</v>
      </c>
      <c r="F1636" s="145">
        <v>0</v>
      </c>
      <c r="G1636" s="145">
        <v>0</v>
      </c>
      <c r="H1636" s="145">
        <v>0</v>
      </c>
      <c r="I1636" s="77">
        <f t="shared" si="28"/>
        <v>665.32</v>
      </c>
      <c r="J1636" s="123" t="str">
        <f>IFERROR(VLOOKUP($C1636,'CEDARS School FRPL'!C:H,4,FALSE),"No")</f>
        <v>No</v>
      </c>
      <c r="K1636" s="109"/>
      <c r="L1636" s="109"/>
      <c r="M1636" s="110">
        <f>IFERROR(VLOOKUP($C1636,'CEDARS School FRPL'!C:H,3,FALSE),0)</f>
        <v>0.14700000000000002</v>
      </c>
      <c r="N1636" s="123" t="str">
        <f>IFERROR(VLOOKUP(C1636,'CEDARS School FRPL'!C:H,6,FALSE),"No")</f>
        <v>No</v>
      </c>
      <c r="O1636" s="147"/>
      <c r="P1636" s="148"/>
    </row>
    <row r="1637" spans="1:16">
      <c r="A1637" s="95" t="s">
        <v>2358</v>
      </c>
      <c r="B1637" s="95" t="s">
        <v>798</v>
      </c>
      <c r="C1637" s="4">
        <v>4332</v>
      </c>
      <c r="D1637" s="95" t="s">
        <v>806</v>
      </c>
      <c r="E1637" s="145">
        <v>462.02</v>
      </c>
      <c r="F1637" s="145">
        <v>0</v>
      </c>
      <c r="G1637" s="145">
        <v>0</v>
      </c>
      <c r="H1637" s="145">
        <v>0</v>
      </c>
      <c r="I1637" s="77">
        <f t="shared" si="28"/>
        <v>462.02</v>
      </c>
      <c r="J1637" s="123" t="str">
        <f>IFERROR(VLOOKUP($C1637,'CEDARS School FRPL'!C:H,4,FALSE),"No")</f>
        <v>No</v>
      </c>
      <c r="K1637" s="109"/>
      <c r="L1637" s="109"/>
      <c r="M1637" s="110">
        <f>IFERROR(VLOOKUP($C1637,'CEDARS School FRPL'!C:H,3,FALSE),0)</f>
        <v>0.12206666666666666</v>
      </c>
      <c r="N1637" s="123" t="str">
        <f>IFERROR(VLOOKUP(C1637,'CEDARS School FRPL'!C:H,6,FALSE),"No")</f>
        <v>No</v>
      </c>
      <c r="O1637" s="147"/>
      <c r="P1637" s="148"/>
    </row>
    <row r="1638" spans="1:16">
      <c r="A1638" s="95" t="s">
        <v>2358</v>
      </c>
      <c r="B1638" s="95" t="s">
        <v>798</v>
      </c>
      <c r="C1638" s="4">
        <v>5244</v>
      </c>
      <c r="D1638" s="95" t="s">
        <v>807</v>
      </c>
      <c r="E1638" s="145">
        <v>14.57</v>
      </c>
      <c r="F1638" s="145">
        <v>0</v>
      </c>
      <c r="G1638" s="145">
        <v>0</v>
      </c>
      <c r="H1638" s="145">
        <v>0</v>
      </c>
      <c r="I1638" s="77">
        <f t="shared" si="28"/>
        <v>14.57</v>
      </c>
      <c r="J1638" s="123" t="str">
        <f>IFERROR(VLOOKUP($C1638,'CEDARS School FRPL'!C:H,4,FALSE),"No")</f>
        <v>No</v>
      </c>
      <c r="K1638" s="109"/>
      <c r="L1638" s="109"/>
      <c r="M1638" s="110">
        <f>IFERROR(VLOOKUP($C1638,'CEDARS School FRPL'!C:H,3,FALSE),0)</f>
        <v>0.16363333333333333</v>
      </c>
      <c r="N1638" s="123" t="str">
        <f>IFERROR(VLOOKUP(C1638,'CEDARS School FRPL'!C:H,6,FALSE),"No")</f>
        <v>No</v>
      </c>
      <c r="O1638" s="147"/>
      <c r="P1638" s="148"/>
    </row>
    <row r="1639" spans="1:16">
      <c r="A1639" s="95" t="s">
        <v>2521</v>
      </c>
      <c r="B1639" s="95" t="s">
        <v>2025</v>
      </c>
      <c r="C1639" s="4">
        <v>1735</v>
      </c>
      <c r="D1639" s="95" t="s">
        <v>2026</v>
      </c>
      <c r="E1639" s="145">
        <v>29.57</v>
      </c>
      <c r="F1639" s="145">
        <v>0</v>
      </c>
      <c r="G1639" s="145">
        <v>8.14</v>
      </c>
      <c r="H1639" s="145">
        <v>0</v>
      </c>
      <c r="I1639" s="77">
        <f t="shared" si="28"/>
        <v>37.71</v>
      </c>
      <c r="J1639" s="123" t="str">
        <f>IFERROR(VLOOKUP($C1639,'CEDARS School FRPL'!C:H,4,FALSE),"No")</f>
        <v>Yes</v>
      </c>
      <c r="K1639" s="109"/>
      <c r="L1639" s="109"/>
      <c r="M1639" s="110">
        <f>IFERROR(VLOOKUP($C1639,'CEDARS School FRPL'!C:H,3,FALSE),0)</f>
        <v>0.55443333333333333</v>
      </c>
      <c r="N1639" s="123" t="str">
        <f>IFERROR(VLOOKUP(C1639,'CEDARS School FRPL'!C:H,6,FALSE),"No")</f>
        <v>No</v>
      </c>
      <c r="O1639" s="147"/>
      <c r="P1639" s="148"/>
    </row>
    <row r="1640" spans="1:16">
      <c r="A1640" s="95" t="s">
        <v>2521</v>
      </c>
      <c r="B1640" s="95" t="s">
        <v>2025</v>
      </c>
      <c r="C1640" s="4">
        <v>2527</v>
      </c>
      <c r="D1640" s="95" t="s">
        <v>2027</v>
      </c>
      <c r="E1640" s="145">
        <v>461.02</v>
      </c>
      <c r="F1640" s="145">
        <v>0</v>
      </c>
      <c r="G1640" s="145">
        <v>0</v>
      </c>
      <c r="H1640" s="145">
        <v>0</v>
      </c>
      <c r="I1640" s="77">
        <f t="shared" si="28"/>
        <v>461.02</v>
      </c>
      <c r="J1640" s="123" t="str">
        <f>IFERROR(VLOOKUP($C1640,'CEDARS School FRPL'!C:H,4,FALSE),"No")</f>
        <v>No</v>
      </c>
      <c r="K1640" s="109"/>
      <c r="L1640" s="109"/>
      <c r="M1640" s="110">
        <f>IFERROR(VLOOKUP($C1640,'CEDARS School FRPL'!C:H,3,FALSE),0)</f>
        <v>0.49199999999999999</v>
      </c>
      <c r="N1640" s="123" t="str">
        <f>IFERROR(VLOOKUP(C1640,'CEDARS School FRPL'!C:H,6,FALSE),"No")</f>
        <v>Yes</v>
      </c>
      <c r="O1640" s="147"/>
      <c r="P1640" s="148"/>
    </row>
    <row r="1641" spans="1:16">
      <c r="A1641" s="95" t="s">
        <v>2521</v>
      </c>
      <c r="B1641" s="95" t="s">
        <v>2025</v>
      </c>
      <c r="C1641" s="4">
        <v>3067</v>
      </c>
      <c r="D1641" s="95" t="s">
        <v>2028</v>
      </c>
      <c r="E1641" s="145">
        <v>458.68</v>
      </c>
      <c r="F1641" s="145">
        <v>0</v>
      </c>
      <c r="G1641" s="145">
        <v>0</v>
      </c>
      <c r="H1641" s="145">
        <v>0</v>
      </c>
      <c r="I1641" s="77">
        <f t="shared" si="28"/>
        <v>458.68</v>
      </c>
      <c r="J1641" s="123" t="str">
        <f>IFERROR(VLOOKUP($C1641,'CEDARS School FRPL'!C:H,4,FALSE),"No")</f>
        <v>Yes</v>
      </c>
      <c r="K1641" s="109"/>
      <c r="L1641" s="109"/>
      <c r="M1641" s="110">
        <f>IFERROR(VLOOKUP($C1641,'CEDARS School FRPL'!C:H,3,FALSE),0)</f>
        <v>0.52190000000000003</v>
      </c>
      <c r="N1641" s="123" t="str">
        <f>IFERROR(VLOOKUP(C1641,'CEDARS School FRPL'!C:H,6,FALSE),"No")</f>
        <v>No</v>
      </c>
      <c r="O1641" s="147"/>
      <c r="P1641" s="148"/>
    </row>
    <row r="1642" spans="1:16">
      <c r="A1642" s="95" t="s">
        <v>2521</v>
      </c>
      <c r="B1642" s="95" t="s">
        <v>2025</v>
      </c>
      <c r="C1642" s="4">
        <v>3801</v>
      </c>
      <c r="D1642" s="95" t="s">
        <v>2029</v>
      </c>
      <c r="E1642" s="145">
        <v>515.71</v>
      </c>
      <c r="F1642" s="145">
        <v>0</v>
      </c>
      <c r="G1642" s="145">
        <v>0</v>
      </c>
      <c r="H1642" s="145">
        <v>0</v>
      </c>
      <c r="I1642" s="77">
        <f t="shared" si="28"/>
        <v>515.71</v>
      </c>
      <c r="J1642" s="123" t="str">
        <f>IFERROR(VLOOKUP($C1642,'CEDARS School FRPL'!C:H,4,FALSE),"No")</f>
        <v>Yes</v>
      </c>
      <c r="K1642" s="109"/>
      <c r="L1642" s="109"/>
      <c r="M1642" s="110">
        <f>IFERROR(VLOOKUP($C1642,'CEDARS School FRPL'!C:H,3,FALSE),0)</f>
        <v>0.52316666666666667</v>
      </c>
      <c r="N1642" s="123" t="str">
        <f>IFERROR(VLOOKUP(C1642,'CEDARS School FRPL'!C:H,6,FALSE),"No")</f>
        <v>No</v>
      </c>
      <c r="O1642" s="147"/>
      <c r="P1642" s="148"/>
    </row>
    <row r="1643" spans="1:16">
      <c r="A1643" s="95" t="s">
        <v>2521</v>
      </c>
      <c r="B1643" s="95" t="s">
        <v>2025</v>
      </c>
      <c r="C1643" s="4">
        <v>4326</v>
      </c>
      <c r="D1643" s="95" t="s">
        <v>2030</v>
      </c>
      <c r="E1643" s="145">
        <v>544.59</v>
      </c>
      <c r="F1643" s="145">
        <v>60.199999999999996</v>
      </c>
      <c r="G1643" s="145">
        <v>0</v>
      </c>
      <c r="H1643" s="145">
        <v>0</v>
      </c>
      <c r="I1643" s="77">
        <f t="shared" si="28"/>
        <v>604.79000000000008</v>
      </c>
      <c r="J1643" s="123" t="str">
        <f>IFERROR(VLOOKUP($C1643,'CEDARS School FRPL'!C:H,4,FALSE),"No")</f>
        <v>No</v>
      </c>
      <c r="K1643" s="109"/>
      <c r="L1643" s="109"/>
      <c r="M1643" s="110">
        <f>IFERROR(VLOOKUP($C1643,'CEDARS School FRPL'!C:H,3,FALSE),0)</f>
        <v>0.45379999999999998</v>
      </c>
      <c r="N1643" s="123" t="str">
        <f>IFERROR(VLOOKUP(C1643,'CEDARS School FRPL'!C:H,6,FALSE),"No")</f>
        <v>No</v>
      </c>
      <c r="O1643" s="147"/>
      <c r="P1643" s="148"/>
    </row>
    <row r="1644" spans="1:16">
      <c r="A1644" s="95" t="s">
        <v>2521</v>
      </c>
      <c r="B1644" s="95" t="s">
        <v>2025</v>
      </c>
      <c r="C1644" s="4">
        <v>5691</v>
      </c>
      <c r="D1644" s="95" t="s">
        <v>3044</v>
      </c>
      <c r="E1644" s="145">
        <v>4.8600000000000003</v>
      </c>
      <c r="F1644" s="145">
        <v>0</v>
      </c>
      <c r="G1644" s="145">
        <v>0</v>
      </c>
      <c r="H1644" s="145">
        <v>0</v>
      </c>
      <c r="I1644" s="77">
        <f t="shared" si="28"/>
        <v>4.8600000000000003</v>
      </c>
      <c r="J1644" s="123" t="str">
        <f>IFERROR(VLOOKUP($C1644,'CEDARS School FRPL'!C:H,4,FALSE),"No")</f>
        <v>No</v>
      </c>
      <c r="K1644" s="109"/>
      <c r="L1644" s="109"/>
      <c r="M1644" s="110">
        <f>IFERROR(VLOOKUP($C1644,'CEDARS School FRPL'!C:H,3,FALSE),0)</f>
        <v>0.25</v>
      </c>
      <c r="N1644" s="123" t="str">
        <f>IFERROR(VLOOKUP(C1644,'CEDARS School FRPL'!C:H,6,FALSE),"No")</f>
        <v>No</v>
      </c>
      <c r="O1644" s="147"/>
      <c r="P1644" s="148"/>
    </row>
    <row r="1645" spans="1:16">
      <c r="A1645" s="95" t="s">
        <v>2389</v>
      </c>
      <c r="B1645" s="95" t="s">
        <v>1118</v>
      </c>
      <c r="C1645" s="4">
        <v>3530</v>
      </c>
      <c r="D1645" s="95" t="s">
        <v>144</v>
      </c>
      <c r="E1645" s="145">
        <v>34.57</v>
      </c>
      <c r="F1645" s="145">
        <v>0</v>
      </c>
      <c r="G1645" s="145">
        <v>0</v>
      </c>
      <c r="H1645" s="145">
        <v>0</v>
      </c>
      <c r="I1645" s="77">
        <f t="shared" si="28"/>
        <v>34.57</v>
      </c>
      <c r="J1645" s="123" t="str">
        <f>IFERROR(VLOOKUP($C1645,'CEDARS School FRPL'!C:H,4,FALSE),"No")</f>
        <v>No</v>
      </c>
      <c r="K1645" s="109"/>
      <c r="L1645" s="109"/>
      <c r="M1645" s="110">
        <f>IFERROR(VLOOKUP($C1645,'CEDARS School FRPL'!C:H,3,FALSE),0)</f>
        <v>0</v>
      </c>
      <c r="N1645" s="123" t="str">
        <f>IFERROR(VLOOKUP(C1645,'CEDARS School FRPL'!C:H,6,FALSE),"No")</f>
        <v>No</v>
      </c>
      <c r="O1645" s="147"/>
      <c r="P1645" s="148"/>
    </row>
    <row r="1646" spans="1:16">
      <c r="A1646" s="95" t="s">
        <v>2550</v>
      </c>
      <c r="B1646" s="95" t="s">
        <v>2156</v>
      </c>
      <c r="C1646" s="4">
        <v>3204</v>
      </c>
      <c r="D1646" s="95" t="s">
        <v>2157</v>
      </c>
      <c r="E1646" s="145">
        <v>148.66999999999999</v>
      </c>
      <c r="F1646" s="145">
        <v>3.89</v>
      </c>
      <c r="G1646" s="145">
        <v>0</v>
      </c>
      <c r="H1646" s="145">
        <v>0</v>
      </c>
      <c r="I1646" s="77">
        <f t="shared" si="28"/>
        <v>152.55999999999997</v>
      </c>
      <c r="J1646" s="123" t="str">
        <f>IFERROR(VLOOKUP($C1646,'CEDARS School FRPL'!C:H,4,FALSE),"No")</f>
        <v>Yes</v>
      </c>
      <c r="K1646" s="109"/>
      <c r="L1646" s="109"/>
      <c r="M1646" s="110">
        <f>IFERROR(VLOOKUP($C1646,'CEDARS School FRPL'!C:H,3,FALSE),0)</f>
        <v>0.63446666666666662</v>
      </c>
      <c r="N1646" s="123" t="str">
        <f>IFERROR(VLOOKUP(C1646,'CEDARS School FRPL'!C:H,6,FALSE),"No")</f>
        <v>No</v>
      </c>
      <c r="O1646" s="147"/>
      <c r="P1646" s="148"/>
    </row>
    <row r="1647" spans="1:16">
      <c r="A1647" s="95" t="s">
        <v>2322</v>
      </c>
      <c r="B1647" s="95" t="s">
        <v>431</v>
      </c>
      <c r="C1647" s="4">
        <v>3090</v>
      </c>
      <c r="D1647" s="95" t="s">
        <v>432</v>
      </c>
      <c r="E1647" s="145">
        <v>496.29</v>
      </c>
      <c r="F1647" s="145">
        <v>0</v>
      </c>
      <c r="G1647" s="145">
        <v>0</v>
      </c>
      <c r="H1647" s="145">
        <v>0</v>
      </c>
      <c r="I1647" s="77">
        <f t="shared" si="28"/>
        <v>496.29</v>
      </c>
      <c r="J1647" s="123" t="str">
        <f>IFERROR(VLOOKUP($C1647,'CEDARS School FRPL'!C:H,4,FALSE),"No")</f>
        <v>Yes</v>
      </c>
      <c r="K1647" s="109"/>
      <c r="L1647" s="109"/>
      <c r="M1647" s="110">
        <f>IFERROR(VLOOKUP($C1647,'CEDARS School FRPL'!C:H,3,FALSE),0)</f>
        <v>0.73139999999999994</v>
      </c>
      <c r="N1647" s="123" t="str">
        <f>IFERROR(VLOOKUP(C1647,'CEDARS School FRPL'!C:H,6,FALSE),"No")</f>
        <v>No</v>
      </c>
      <c r="O1647" s="147"/>
      <c r="P1647" s="148"/>
    </row>
    <row r="1648" spans="1:16">
      <c r="A1648" s="95" t="s">
        <v>2322</v>
      </c>
      <c r="B1648" s="95" t="s">
        <v>431</v>
      </c>
      <c r="C1648" s="4">
        <v>3516</v>
      </c>
      <c r="D1648" s="95" t="s">
        <v>433</v>
      </c>
      <c r="E1648" s="145">
        <v>479.99</v>
      </c>
      <c r="F1648" s="145">
        <v>43</v>
      </c>
      <c r="G1648" s="145">
        <v>7.14</v>
      </c>
      <c r="H1648" s="145">
        <v>0</v>
      </c>
      <c r="I1648" s="77">
        <f t="shared" si="28"/>
        <v>530.13</v>
      </c>
      <c r="J1648" s="123" t="str">
        <f>IFERROR(VLOOKUP($C1648,'CEDARS School FRPL'!C:H,4,FALSE),"No")</f>
        <v>Yes</v>
      </c>
      <c r="K1648" s="109"/>
      <c r="L1648" s="109"/>
      <c r="M1648" s="110">
        <f>IFERROR(VLOOKUP($C1648,'CEDARS School FRPL'!C:H,3,FALSE),0)</f>
        <v>0.66186666666666671</v>
      </c>
      <c r="N1648" s="123" t="str">
        <f>IFERROR(VLOOKUP(C1648,'CEDARS School FRPL'!C:H,6,FALSE),"No")</f>
        <v>No</v>
      </c>
      <c r="O1648" s="147"/>
      <c r="P1648" s="148"/>
    </row>
    <row r="1649" spans="1:16">
      <c r="A1649" s="95" t="s">
        <v>2322</v>
      </c>
      <c r="B1649" s="95" t="s">
        <v>431</v>
      </c>
      <c r="C1649" s="4">
        <v>3620</v>
      </c>
      <c r="D1649" s="95" t="s">
        <v>434</v>
      </c>
      <c r="E1649" s="145">
        <v>315.86</v>
      </c>
      <c r="F1649" s="145">
        <v>0</v>
      </c>
      <c r="G1649" s="145">
        <v>0</v>
      </c>
      <c r="H1649" s="145">
        <v>0</v>
      </c>
      <c r="I1649" s="77">
        <f t="shared" si="28"/>
        <v>315.86</v>
      </c>
      <c r="J1649" s="123" t="str">
        <f>IFERROR(VLOOKUP($C1649,'CEDARS School FRPL'!C:H,4,FALSE),"No")</f>
        <v>Yes</v>
      </c>
      <c r="K1649" s="109"/>
      <c r="L1649" s="109"/>
      <c r="M1649" s="110">
        <f>IFERROR(VLOOKUP($C1649,'CEDARS School FRPL'!C:H,3,FALSE),0)</f>
        <v>0.70866666666666678</v>
      </c>
      <c r="N1649" s="123" t="str">
        <f>IFERROR(VLOOKUP(C1649,'CEDARS School FRPL'!C:H,6,FALSE),"No")</f>
        <v>No</v>
      </c>
      <c r="O1649" s="147"/>
      <c r="P1649" s="148"/>
    </row>
    <row r="1650" spans="1:16">
      <c r="A1650" s="95" t="s">
        <v>2322</v>
      </c>
      <c r="B1650" s="95" t="s">
        <v>431</v>
      </c>
      <c r="C1650" s="4">
        <v>5388</v>
      </c>
      <c r="D1650" s="95" t="s">
        <v>435</v>
      </c>
      <c r="E1650" s="145">
        <v>411.14</v>
      </c>
      <c r="F1650" s="145">
        <v>0</v>
      </c>
      <c r="G1650" s="145">
        <v>0</v>
      </c>
      <c r="H1650" s="145">
        <v>0</v>
      </c>
      <c r="I1650" s="77">
        <f t="shared" si="28"/>
        <v>411.14</v>
      </c>
      <c r="J1650" s="123" t="str">
        <f>IFERROR(VLOOKUP($C1650,'CEDARS School FRPL'!C:H,4,FALSE),"No")</f>
        <v>Yes</v>
      </c>
      <c r="K1650" s="107"/>
      <c r="L1650" s="107"/>
      <c r="M1650" s="110">
        <f>IFERROR(VLOOKUP($C1650,'CEDARS School FRPL'!C:H,3,FALSE),0)</f>
        <v>0.77533333333333332</v>
      </c>
      <c r="N1650" s="123" t="str">
        <f>IFERROR(VLOOKUP(C1650,'CEDARS School FRPL'!C:H,6,FALSE),"No")</f>
        <v>No</v>
      </c>
      <c r="O1650" s="147"/>
      <c r="P1650" s="148"/>
    </row>
    <row r="1651" spans="1:16">
      <c r="A1651" s="95" t="s">
        <v>2459</v>
      </c>
      <c r="B1651" s="95" t="s">
        <v>1537</v>
      </c>
      <c r="C1651" s="4">
        <v>1963</v>
      </c>
      <c r="D1651" s="95" t="s">
        <v>1538</v>
      </c>
      <c r="E1651" s="145">
        <v>48.59</v>
      </c>
      <c r="F1651" s="145">
        <v>1.6600000000000001</v>
      </c>
      <c r="G1651" s="145">
        <v>0</v>
      </c>
      <c r="H1651" s="145">
        <v>0</v>
      </c>
      <c r="I1651" s="77">
        <f t="shared" si="28"/>
        <v>50.25</v>
      </c>
      <c r="J1651" s="123" t="str">
        <f>IFERROR(VLOOKUP($C1651,'CEDARS School FRPL'!C:H,4,FALSE),"No")</f>
        <v>No</v>
      </c>
      <c r="K1651" s="109"/>
      <c r="L1651" s="109"/>
      <c r="M1651" s="110">
        <f>IFERROR(VLOOKUP($C1651,'CEDARS School FRPL'!C:H,3,FALSE),0)</f>
        <v>0.35499999999999998</v>
      </c>
      <c r="N1651" s="123" t="str">
        <f>IFERROR(VLOOKUP(C1651,'CEDARS School FRPL'!C:H,6,FALSE),"No")</f>
        <v>No</v>
      </c>
      <c r="O1651" s="147"/>
      <c r="P1651" s="148"/>
    </row>
    <row r="1652" spans="1:16">
      <c r="A1652" s="95" t="s">
        <v>2459</v>
      </c>
      <c r="B1652" s="95" t="s">
        <v>1537</v>
      </c>
      <c r="C1652" s="4">
        <v>2520</v>
      </c>
      <c r="D1652" s="95" t="s">
        <v>1539</v>
      </c>
      <c r="E1652" s="145">
        <v>309.08999999999997</v>
      </c>
      <c r="F1652" s="145">
        <v>0</v>
      </c>
      <c r="G1652" s="145">
        <v>0</v>
      </c>
      <c r="H1652" s="145">
        <v>0</v>
      </c>
      <c r="I1652" s="77">
        <f t="shared" si="28"/>
        <v>309.08999999999997</v>
      </c>
      <c r="J1652" s="123" t="str">
        <f>IFERROR(VLOOKUP($C1652,'CEDARS School FRPL'!C:H,4,FALSE),"No")</f>
        <v>No</v>
      </c>
      <c r="K1652" s="109"/>
      <c r="L1652" s="109"/>
      <c r="M1652" s="110">
        <f>IFERROR(VLOOKUP($C1652,'CEDARS School FRPL'!C:H,3,FALSE),0)</f>
        <v>0.33790000000000003</v>
      </c>
      <c r="N1652" s="123" t="str">
        <f>IFERROR(VLOOKUP(C1652,'CEDARS School FRPL'!C:H,6,FALSE),"No")</f>
        <v>No</v>
      </c>
      <c r="O1652" s="147"/>
      <c r="P1652" s="148"/>
    </row>
    <row r="1653" spans="1:16">
      <c r="A1653" s="95" t="s">
        <v>2459</v>
      </c>
      <c r="B1653" s="95" t="s">
        <v>1537</v>
      </c>
      <c r="C1653" s="4">
        <v>2879</v>
      </c>
      <c r="D1653" s="95" t="s">
        <v>1540</v>
      </c>
      <c r="E1653" s="145">
        <v>238.77</v>
      </c>
      <c r="F1653" s="145">
        <v>4.9799999999999995</v>
      </c>
      <c r="G1653" s="145">
        <v>0</v>
      </c>
      <c r="H1653" s="145">
        <v>0</v>
      </c>
      <c r="I1653" s="77">
        <f t="shared" si="28"/>
        <v>243.75</v>
      </c>
      <c r="J1653" s="123" t="str">
        <f>IFERROR(VLOOKUP($C1653,'CEDARS School FRPL'!C:H,4,FALSE),"No")</f>
        <v>No</v>
      </c>
      <c r="K1653" s="109"/>
      <c r="L1653" s="109"/>
      <c r="M1653" s="110">
        <f>IFERROR(VLOOKUP($C1653,'CEDARS School FRPL'!C:H,3,FALSE),0)</f>
        <v>0.36330000000000001</v>
      </c>
      <c r="N1653" s="123" t="str">
        <f>IFERROR(VLOOKUP(C1653,'CEDARS School FRPL'!C:H,6,FALSE),"No")</f>
        <v>No</v>
      </c>
      <c r="O1653" s="147"/>
      <c r="P1653" s="148"/>
    </row>
    <row r="1654" spans="1:16">
      <c r="A1654" s="95" t="s">
        <v>2459</v>
      </c>
      <c r="B1654" s="95" t="s">
        <v>1537</v>
      </c>
      <c r="C1654" s="4">
        <v>3011</v>
      </c>
      <c r="D1654" s="95" t="s">
        <v>1541</v>
      </c>
      <c r="E1654" s="145">
        <v>169.17</v>
      </c>
      <c r="F1654" s="145">
        <v>0</v>
      </c>
      <c r="G1654" s="145">
        <v>0</v>
      </c>
      <c r="H1654" s="145">
        <v>0</v>
      </c>
      <c r="I1654" s="77">
        <f t="shared" si="28"/>
        <v>169.17</v>
      </c>
      <c r="J1654" s="123" t="str">
        <f>IFERROR(VLOOKUP($C1654,'CEDARS School FRPL'!C:H,4,FALSE),"No")</f>
        <v>No</v>
      </c>
      <c r="K1654" s="109"/>
      <c r="L1654" s="109"/>
      <c r="M1654" s="110">
        <f>IFERROR(VLOOKUP($C1654,'CEDARS School FRPL'!C:H,3,FALSE),0)</f>
        <v>0.40303333333333335</v>
      </c>
      <c r="N1654" s="123" t="str">
        <f>IFERROR(VLOOKUP(C1654,'CEDARS School FRPL'!C:H,6,FALSE),"No")</f>
        <v>No</v>
      </c>
      <c r="O1654" s="147"/>
      <c r="P1654" s="148"/>
    </row>
    <row r="1655" spans="1:16">
      <c r="A1655" s="95" t="s">
        <v>2459</v>
      </c>
      <c r="B1655" s="95" t="s">
        <v>1537</v>
      </c>
      <c r="C1655" s="4">
        <v>5559</v>
      </c>
      <c r="D1655" s="95" t="s">
        <v>2918</v>
      </c>
      <c r="E1655" s="145">
        <v>0</v>
      </c>
      <c r="F1655" s="145">
        <v>0</v>
      </c>
      <c r="G1655" s="145">
        <v>4.29</v>
      </c>
      <c r="H1655" s="145">
        <v>0</v>
      </c>
      <c r="I1655" s="77">
        <f t="shared" si="28"/>
        <v>4.29</v>
      </c>
      <c r="J1655" s="123" t="str">
        <f>IFERROR(VLOOKUP($C1655,'CEDARS School FRPL'!C:H,4,FALSE),"No")</f>
        <v>No</v>
      </c>
      <c r="K1655" s="109"/>
      <c r="L1655" s="109"/>
      <c r="M1655" s="110">
        <f>IFERROR(VLOOKUP($C1655,'CEDARS School FRPL'!C:H,3,FALSE),0)</f>
        <v>0.2</v>
      </c>
      <c r="N1655" s="123" t="str">
        <f>IFERROR(VLOOKUP(C1655,'CEDARS School FRPL'!C:H,6,FALSE),"No")</f>
        <v>No</v>
      </c>
      <c r="O1655" s="147"/>
      <c r="P1655" s="148"/>
    </row>
    <row r="1656" spans="1:16">
      <c r="A1656" s="95" t="s">
        <v>2336</v>
      </c>
      <c r="B1656" s="95" t="s">
        <v>503</v>
      </c>
      <c r="C1656" s="4">
        <v>2010</v>
      </c>
      <c r="D1656" s="95" t="s">
        <v>504</v>
      </c>
      <c r="E1656" s="145">
        <v>54.29</v>
      </c>
      <c r="F1656" s="145">
        <v>0</v>
      </c>
      <c r="G1656" s="145">
        <v>0</v>
      </c>
      <c r="H1656" s="145">
        <v>0</v>
      </c>
      <c r="I1656" s="77">
        <f t="shared" si="28"/>
        <v>54.29</v>
      </c>
      <c r="J1656" s="123" t="str">
        <f>IFERROR(VLOOKUP($C1656,'CEDARS School FRPL'!C:H,4,FALSE),"No")</f>
        <v>Yes</v>
      </c>
      <c r="K1656" s="109"/>
      <c r="L1656" s="109"/>
      <c r="M1656" s="110">
        <f>IFERROR(VLOOKUP($C1656,'CEDARS School FRPL'!C:H,3,FALSE),0)</f>
        <v>0.54876666666666674</v>
      </c>
      <c r="N1656" s="123" t="str">
        <f>IFERROR(VLOOKUP(C1656,'CEDARS School FRPL'!C:H,6,FALSE),"No")</f>
        <v>No</v>
      </c>
      <c r="O1656" s="147"/>
      <c r="P1656" s="148"/>
    </row>
    <row r="1657" spans="1:16">
      <c r="A1657" s="95" t="s">
        <v>2348</v>
      </c>
      <c r="B1657" s="95" t="s">
        <v>547</v>
      </c>
      <c r="C1657" s="4">
        <v>1547</v>
      </c>
      <c r="D1657" s="95" t="s">
        <v>548</v>
      </c>
      <c r="E1657" s="145">
        <v>57.3</v>
      </c>
      <c r="F1657" s="145">
        <v>29.759999999999998</v>
      </c>
      <c r="G1657" s="145">
        <v>0</v>
      </c>
      <c r="H1657" s="145">
        <v>0</v>
      </c>
      <c r="I1657" s="77">
        <f t="shared" si="28"/>
        <v>87.06</v>
      </c>
      <c r="J1657" s="123" t="str">
        <f>IFERROR(VLOOKUP($C1657,'CEDARS School FRPL'!C:H,4,FALSE),"No")</f>
        <v>No</v>
      </c>
      <c r="K1657" s="109"/>
      <c r="L1657" s="109"/>
      <c r="M1657" s="110">
        <f>IFERROR(VLOOKUP($C1657,'CEDARS School FRPL'!C:H,3,FALSE),0)</f>
        <v>0.37176666666666663</v>
      </c>
      <c r="N1657" s="123" t="str">
        <f>IFERROR(VLOOKUP(C1657,'CEDARS School FRPL'!C:H,6,FALSE),"No")</f>
        <v>No</v>
      </c>
      <c r="O1657" s="147"/>
      <c r="P1657" s="148"/>
    </row>
    <row r="1658" spans="1:16">
      <c r="A1658" s="95" t="s">
        <v>2348</v>
      </c>
      <c r="B1658" s="95" t="s">
        <v>547</v>
      </c>
      <c r="C1658" s="4">
        <v>1579</v>
      </c>
      <c r="D1658" s="95" t="s">
        <v>549</v>
      </c>
      <c r="E1658" s="145">
        <v>475.85</v>
      </c>
      <c r="F1658" s="145">
        <v>0</v>
      </c>
      <c r="G1658" s="145">
        <v>0</v>
      </c>
      <c r="H1658" s="145">
        <v>0</v>
      </c>
      <c r="I1658" s="77">
        <f t="shared" si="28"/>
        <v>475.85</v>
      </c>
      <c r="J1658" s="123" t="str">
        <f>IFERROR(VLOOKUP($C1658,'CEDARS School FRPL'!C:H,4,FALSE),"No")</f>
        <v>No</v>
      </c>
      <c r="K1658" s="109"/>
      <c r="L1658" s="109"/>
      <c r="M1658" s="110">
        <f>IFERROR(VLOOKUP($C1658,'CEDARS School FRPL'!C:H,3,FALSE),0)</f>
        <v>0.24996666666666667</v>
      </c>
      <c r="N1658" s="123" t="str">
        <f>IFERROR(VLOOKUP(C1658,'CEDARS School FRPL'!C:H,6,FALSE),"No")</f>
        <v>No</v>
      </c>
      <c r="O1658" s="147"/>
      <c r="P1658" s="148"/>
    </row>
    <row r="1659" spans="1:16">
      <c r="A1659" s="95" t="s">
        <v>2348</v>
      </c>
      <c r="B1659" s="95" t="s">
        <v>547</v>
      </c>
      <c r="C1659" s="4">
        <v>1596</v>
      </c>
      <c r="D1659" s="95" t="s">
        <v>550</v>
      </c>
      <c r="E1659" s="145">
        <v>217.28</v>
      </c>
      <c r="F1659" s="145">
        <v>1.26</v>
      </c>
      <c r="G1659" s="145">
        <v>0</v>
      </c>
      <c r="H1659" s="145">
        <v>0</v>
      </c>
      <c r="I1659" s="77">
        <f t="shared" si="28"/>
        <v>218.54</v>
      </c>
      <c r="J1659" s="123" t="str">
        <f>IFERROR(VLOOKUP($C1659,'CEDARS School FRPL'!C:H,4,FALSE),"No")</f>
        <v>Yes</v>
      </c>
      <c r="K1659" s="109"/>
      <c r="L1659" s="109"/>
      <c r="M1659" s="110">
        <f>IFERROR(VLOOKUP($C1659,'CEDARS School FRPL'!C:H,3,FALSE),0)</f>
        <v>0.80506666666666671</v>
      </c>
      <c r="N1659" s="123" t="str">
        <f>IFERROR(VLOOKUP(C1659,'CEDARS School FRPL'!C:H,6,FALSE),"No")</f>
        <v>No</v>
      </c>
      <c r="O1659" s="147"/>
      <c r="P1659" s="148"/>
    </row>
    <row r="1660" spans="1:16">
      <c r="A1660" s="95" t="s">
        <v>2348</v>
      </c>
      <c r="B1660" s="95" t="s">
        <v>547</v>
      </c>
      <c r="C1660" s="4">
        <v>1620</v>
      </c>
      <c r="D1660" s="95" t="s">
        <v>551</v>
      </c>
      <c r="E1660" s="145">
        <v>465.57</v>
      </c>
      <c r="F1660" s="145">
        <v>0</v>
      </c>
      <c r="G1660" s="145">
        <v>0</v>
      </c>
      <c r="H1660" s="145">
        <v>0</v>
      </c>
      <c r="I1660" s="77">
        <f t="shared" si="28"/>
        <v>465.57</v>
      </c>
      <c r="J1660" s="123" t="str">
        <f>IFERROR(VLOOKUP($C1660,'CEDARS School FRPL'!C:H,4,FALSE),"No")</f>
        <v>No</v>
      </c>
      <c r="K1660" s="109"/>
      <c r="L1660" s="109"/>
      <c r="M1660" s="110">
        <f>IFERROR(VLOOKUP($C1660,'CEDARS School FRPL'!C:H,3,FALSE),0)</f>
        <v>0.11053333333333333</v>
      </c>
      <c r="N1660" s="123" t="str">
        <f>IFERROR(VLOOKUP(C1660,'CEDARS School FRPL'!C:H,6,FALSE),"No")</f>
        <v>No</v>
      </c>
      <c r="O1660" s="147"/>
      <c r="P1660" s="148"/>
    </row>
    <row r="1661" spans="1:16">
      <c r="A1661" s="95" t="s">
        <v>2348</v>
      </c>
      <c r="B1661" s="95" t="s">
        <v>547</v>
      </c>
      <c r="C1661" s="4">
        <v>1635</v>
      </c>
      <c r="D1661" s="95" t="s">
        <v>552</v>
      </c>
      <c r="E1661" s="145">
        <v>246.93</v>
      </c>
      <c r="F1661" s="145">
        <v>0.85</v>
      </c>
      <c r="G1661" s="145">
        <v>0</v>
      </c>
      <c r="H1661" s="145">
        <v>0</v>
      </c>
      <c r="I1661" s="77">
        <f t="shared" si="28"/>
        <v>247.78</v>
      </c>
      <c r="J1661" s="123" t="str">
        <f>IFERROR(VLOOKUP($C1661,'CEDARS School FRPL'!C:H,4,FALSE),"No")</f>
        <v>Yes</v>
      </c>
      <c r="K1661" s="109"/>
      <c r="L1661" s="109"/>
      <c r="M1661" s="110">
        <f>IFERROR(VLOOKUP($C1661,'CEDARS School FRPL'!C:H,3,FALSE),0)</f>
        <v>0.69169999999999998</v>
      </c>
      <c r="N1661" s="123" t="str">
        <f>IFERROR(VLOOKUP(C1661,'CEDARS School FRPL'!C:H,6,FALSE),"No")</f>
        <v>No</v>
      </c>
      <c r="O1661" s="147"/>
      <c r="P1661" s="148"/>
    </row>
    <row r="1662" spans="1:16">
      <c r="A1662" s="95" t="s">
        <v>2348</v>
      </c>
      <c r="B1662" s="95" t="s">
        <v>547</v>
      </c>
      <c r="C1662" s="4">
        <v>1796</v>
      </c>
      <c r="D1662" s="95" t="s">
        <v>554</v>
      </c>
      <c r="E1662" s="145">
        <v>661.74</v>
      </c>
      <c r="F1662" s="145">
        <v>0</v>
      </c>
      <c r="G1662" s="145">
        <v>0</v>
      </c>
      <c r="H1662" s="145">
        <v>0</v>
      </c>
      <c r="I1662" s="77">
        <f t="shared" si="28"/>
        <v>661.74</v>
      </c>
      <c r="J1662" s="123" t="str">
        <f>IFERROR(VLOOKUP($C1662,'CEDARS School FRPL'!C:H,4,FALSE),"No")</f>
        <v>No</v>
      </c>
      <c r="K1662" s="109"/>
      <c r="L1662" s="109"/>
      <c r="M1662" s="110">
        <f>IFERROR(VLOOKUP($C1662,'CEDARS School FRPL'!C:H,3,FALSE),0)</f>
        <v>9.4466666666666657E-2</v>
      </c>
      <c r="N1662" s="123" t="str">
        <f>IFERROR(VLOOKUP(C1662,'CEDARS School FRPL'!C:H,6,FALSE),"No")</f>
        <v>No</v>
      </c>
      <c r="O1662" s="147"/>
      <c r="P1662" s="148"/>
    </row>
    <row r="1663" spans="1:16">
      <c r="A1663" s="95" t="s">
        <v>2348</v>
      </c>
      <c r="B1663" s="95" t="s">
        <v>547</v>
      </c>
      <c r="C1663" s="4">
        <v>1856</v>
      </c>
      <c r="D1663" s="95" t="s">
        <v>555</v>
      </c>
      <c r="E1663" s="145">
        <v>229.15</v>
      </c>
      <c r="F1663" s="145">
        <v>17.09</v>
      </c>
      <c r="G1663" s="145">
        <v>0</v>
      </c>
      <c r="H1663" s="145">
        <v>0</v>
      </c>
      <c r="I1663" s="77">
        <f t="shared" si="28"/>
        <v>246.24</v>
      </c>
      <c r="J1663" s="123" t="str">
        <f>IFERROR(VLOOKUP($C1663,'CEDARS School FRPL'!C:H,4,FALSE),"No")</f>
        <v>No</v>
      </c>
      <c r="K1663" s="109"/>
      <c r="L1663" s="109"/>
      <c r="M1663" s="110">
        <f>IFERROR(VLOOKUP($C1663,'CEDARS School FRPL'!C:H,3,FALSE),0)</f>
        <v>0.15603333333333333</v>
      </c>
      <c r="N1663" s="123" t="str">
        <f>IFERROR(VLOOKUP(C1663,'CEDARS School FRPL'!C:H,6,FALSE),"No")</f>
        <v>No</v>
      </c>
      <c r="O1663" s="147"/>
      <c r="P1663" s="148"/>
    </row>
    <row r="1664" spans="1:16">
      <c r="A1664" s="95" t="s">
        <v>2348</v>
      </c>
      <c r="B1664" s="95" t="s">
        <v>547</v>
      </c>
      <c r="C1664" s="4">
        <v>2061</v>
      </c>
      <c r="D1664" s="95" t="s">
        <v>556</v>
      </c>
      <c r="E1664" s="145">
        <v>305.29000000000002</v>
      </c>
      <c r="F1664" s="145">
        <v>0</v>
      </c>
      <c r="G1664" s="145">
        <v>0</v>
      </c>
      <c r="H1664" s="145">
        <v>0</v>
      </c>
      <c r="I1664" s="77">
        <f t="shared" si="28"/>
        <v>305.29000000000002</v>
      </c>
      <c r="J1664" s="123" t="str">
        <f>IFERROR(VLOOKUP($C1664,'CEDARS School FRPL'!C:H,4,FALSE),"No")</f>
        <v>No</v>
      </c>
      <c r="K1664" s="109"/>
      <c r="L1664" s="109"/>
      <c r="M1664" s="110">
        <f>IFERROR(VLOOKUP($C1664,'CEDARS School FRPL'!C:H,3,FALSE),0)</f>
        <v>9.976666666666667E-2</v>
      </c>
      <c r="N1664" s="123" t="str">
        <f>IFERROR(VLOOKUP(C1664,'CEDARS School FRPL'!C:H,6,FALSE),"No")</f>
        <v>No</v>
      </c>
      <c r="O1664" s="147"/>
      <c r="P1664" s="148"/>
    </row>
    <row r="1665" spans="1:16">
      <c r="A1665" s="95" t="s">
        <v>2348</v>
      </c>
      <c r="B1665" s="95" t="s">
        <v>547</v>
      </c>
      <c r="C1665" s="4">
        <v>2063</v>
      </c>
      <c r="D1665" s="95" t="s">
        <v>557</v>
      </c>
      <c r="E1665" s="145">
        <v>301.13</v>
      </c>
      <c r="F1665" s="145">
        <v>0</v>
      </c>
      <c r="G1665" s="145">
        <v>0</v>
      </c>
      <c r="H1665" s="145">
        <v>0</v>
      </c>
      <c r="I1665" s="77">
        <f t="shared" si="28"/>
        <v>301.13</v>
      </c>
      <c r="J1665" s="123" t="str">
        <f>IFERROR(VLOOKUP($C1665,'CEDARS School FRPL'!C:H,4,FALSE),"No")</f>
        <v>No</v>
      </c>
      <c r="K1665" s="109"/>
      <c r="L1665" s="109"/>
      <c r="M1665" s="110">
        <f>IFERROR(VLOOKUP($C1665,'CEDARS School FRPL'!C:H,3,FALSE),0)</f>
        <v>0.11596666666666666</v>
      </c>
      <c r="N1665" s="123" t="str">
        <f>IFERROR(VLOOKUP(C1665,'CEDARS School FRPL'!C:H,6,FALSE),"No")</f>
        <v>No</v>
      </c>
      <c r="O1665" s="147"/>
      <c r="P1665" s="148"/>
    </row>
    <row r="1666" spans="1:16">
      <c r="A1666" s="95" t="s">
        <v>2348</v>
      </c>
      <c r="B1666" s="95" t="s">
        <v>547</v>
      </c>
      <c r="C1666" s="4">
        <v>2069</v>
      </c>
      <c r="D1666" s="95" t="s">
        <v>558</v>
      </c>
      <c r="E1666" s="145">
        <v>229.57</v>
      </c>
      <c r="F1666" s="145">
        <v>0</v>
      </c>
      <c r="G1666" s="145">
        <v>0</v>
      </c>
      <c r="H1666" s="145">
        <v>0</v>
      </c>
      <c r="I1666" s="77">
        <f t="shared" si="28"/>
        <v>229.57</v>
      </c>
      <c r="J1666" s="123" t="str">
        <f>IFERROR(VLOOKUP($C1666,'CEDARS School FRPL'!C:H,4,FALSE),"No")</f>
        <v>No</v>
      </c>
      <c r="K1666" s="109"/>
      <c r="L1666" s="109"/>
      <c r="M1666" s="110">
        <f>IFERROR(VLOOKUP($C1666,'CEDARS School FRPL'!C:H,3,FALSE),0)</f>
        <v>0.40756666666666663</v>
      </c>
      <c r="N1666" s="123" t="str">
        <f>IFERROR(VLOOKUP(C1666,'CEDARS School FRPL'!C:H,6,FALSE),"No")</f>
        <v>No</v>
      </c>
      <c r="O1666" s="147"/>
      <c r="P1666" s="148"/>
    </row>
    <row r="1667" spans="1:16">
      <c r="A1667" s="95" t="s">
        <v>2348</v>
      </c>
      <c r="B1667" s="95" t="s">
        <v>547</v>
      </c>
      <c r="C1667" s="4">
        <v>2070</v>
      </c>
      <c r="D1667" s="95" t="s">
        <v>559</v>
      </c>
      <c r="E1667" s="145">
        <v>332.57</v>
      </c>
      <c r="F1667" s="145">
        <v>0</v>
      </c>
      <c r="G1667" s="145">
        <v>0</v>
      </c>
      <c r="H1667" s="145">
        <v>0</v>
      </c>
      <c r="I1667" s="77">
        <f t="shared" si="28"/>
        <v>332.57</v>
      </c>
      <c r="J1667" s="123" t="str">
        <f>IFERROR(VLOOKUP($C1667,'CEDARS School FRPL'!C:H,4,FALSE),"No")</f>
        <v>No</v>
      </c>
      <c r="K1667" s="109"/>
      <c r="L1667" s="109"/>
      <c r="M1667" s="110">
        <f>IFERROR(VLOOKUP($C1667,'CEDARS School FRPL'!C:H,3,FALSE),0)</f>
        <v>0.48776666666666668</v>
      </c>
      <c r="N1667" s="123" t="str">
        <f>IFERROR(VLOOKUP(C1667,'CEDARS School FRPL'!C:H,6,FALSE),"No")</f>
        <v>Yes</v>
      </c>
      <c r="O1667" s="147"/>
      <c r="P1667" s="148"/>
    </row>
    <row r="1668" spans="1:16">
      <c r="A1668" s="95" t="s">
        <v>2348</v>
      </c>
      <c r="B1668" s="95" t="s">
        <v>547</v>
      </c>
      <c r="C1668" s="4">
        <v>2080</v>
      </c>
      <c r="D1668" s="95" t="s">
        <v>469</v>
      </c>
      <c r="E1668" s="145">
        <v>183.43</v>
      </c>
      <c r="F1668" s="145">
        <v>0</v>
      </c>
      <c r="G1668" s="145">
        <v>0</v>
      </c>
      <c r="H1668" s="145">
        <v>0</v>
      </c>
      <c r="I1668" s="77">
        <f t="shared" ref="I1668:I1731" si="29">+E1668+F1668+G1668+H1668</f>
        <v>183.43</v>
      </c>
      <c r="J1668" s="123" t="str">
        <f>IFERROR(VLOOKUP($C1668,'CEDARS School FRPL'!C:H,4,FALSE),"No")</f>
        <v>No</v>
      </c>
      <c r="K1668" s="109"/>
      <c r="L1668" s="109"/>
      <c r="M1668" s="110">
        <f>IFERROR(VLOOKUP($C1668,'CEDARS School FRPL'!C:H,3,FALSE),0)</f>
        <v>0.29076666666666667</v>
      </c>
      <c r="N1668" s="123" t="str">
        <f>IFERROR(VLOOKUP(C1668,'CEDARS School FRPL'!C:H,6,FALSE),"No")</f>
        <v>No</v>
      </c>
      <c r="O1668" s="147"/>
      <c r="P1668" s="148"/>
    </row>
    <row r="1669" spans="1:16">
      <c r="A1669" s="95" t="s">
        <v>2348</v>
      </c>
      <c r="B1669" s="95" t="s">
        <v>547</v>
      </c>
      <c r="C1669" s="4">
        <v>2081</v>
      </c>
      <c r="D1669" s="95" t="s">
        <v>560</v>
      </c>
      <c r="E1669" s="145">
        <v>441.29</v>
      </c>
      <c r="F1669" s="145">
        <v>0</v>
      </c>
      <c r="G1669" s="145">
        <v>0</v>
      </c>
      <c r="H1669" s="145">
        <v>0</v>
      </c>
      <c r="I1669" s="77">
        <f t="shared" si="29"/>
        <v>441.29</v>
      </c>
      <c r="J1669" s="123" t="str">
        <f>IFERROR(VLOOKUP($C1669,'CEDARS School FRPL'!C:H,4,FALSE),"No")</f>
        <v>No</v>
      </c>
      <c r="K1669" s="109"/>
      <c r="L1669" s="109"/>
      <c r="M1669" s="110">
        <f>IFERROR(VLOOKUP($C1669,'CEDARS School FRPL'!C:H,3,FALSE),0)</f>
        <v>6.5666666666666665E-2</v>
      </c>
      <c r="N1669" s="123" t="str">
        <f>IFERROR(VLOOKUP(C1669,'CEDARS School FRPL'!C:H,6,FALSE),"No")</f>
        <v>No</v>
      </c>
      <c r="O1669" s="147"/>
      <c r="P1669" s="148"/>
    </row>
    <row r="1670" spans="1:16">
      <c r="A1670" s="95" t="s">
        <v>2348</v>
      </c>
      <c r="B1670" s="95" t="s">
        <v>547</v>
      </c>
      <c r="C1670" s="4">
        <v>2089</v>
      </c>
      <c r="D1670" s="95" t="s">
        <v>561</v>
      </c>
      <c r="E1670" s="145">
        <v>232.29</v>
      </c>
      <c r="F1670" s="145">
        <v>0</v>
      </c>
      <c r="G1670" s="145">
        <v>0</v>
      </c>
      <c r="H1670" s="145">
        <v>0</v>
      </c>
      <c r="I1670" s="77">
        <f t="shared" si="29"/>
        <v>232.29</v>
      </c>
      <c r="J1670" s="123" t="str">
        <f>IFERROR(VLOOKUP($C1670,'CEDARS School FRPL'!C:H,4,FALSE),"No")</f>
        <v>Yes</v>
      </c>
      <c r="K1670" s="109"/>
      <c r="L1670" s="109"/>
      <c r="M1670" s="110">
        <f>IFERROR(VLOOKUP($C1670,'CEDARS School FRPL'!C:H,3,FALSE),0)</f>
        <v>0.67663333333333331</v>
      </c>
      <c r="N1670" s="123" t="str">
        <f>IFERROR(VLOOKUP(C1670,'CEDARS School FRPL'!C:H,6,FALSE),"No")</f>
        <v>No</v>
      </c>
      <c r="O1670" s="147"/>
      <c r="P1670" s="148"/>
    </row>
    <row r="1671" spans="1:16">
      <c r="A1671" s="95" t="s">
        <v>2348</v>
      </c>
      <c r="B1671" s="95" t="s">
        <v>547</v>
      </c>
      <c r="C1671" s="4">
        <v>2090</v>
      </c>
      <c r="D1671" s="95" t="s">
        <v>562</v>
      </c>
      <c r="E1671" s="145">
        <v>446.43</v>
      </c>
      <c r="F1671" s="145">
        <v>0</v>
      </c>
      <c r="G1671" s="145">
        <v>0</v>
      </c>
      <c r="H1671" s="145">
        <v>0</v>
      </c>
      <c r="I1671" s="77">
        <f t="shared" si="29"/>
        <v>446.43</v>
      </c>
      <c r="J1671" s="123" t="str">
        <f>IFERROR(VLOOKUP($C1671,'CEDARS School FRPL'!C:H,4,FALSE),"No")</f>
        <v>No</v>
      </c>
      <c r="K1671" s="107"/>
      <c r="L1671" s="107"/>
      <c r="M1671" s="110">
        <f>IFERROR(VLOOKUP($C1671,'CEDARS School FRPL'!C:H,3,FALSE),0)</f>
        <v>4.7366666666666668E-2</v>
      </c>
      <c r="N1671" s="123" t="str">
        <f>IFERROR(VLOOKUP(C1671,'CEDARS School FRPL'!C:H,6,FALSE),"No")</f>
        <v>No</v>
      </c>
      <c r="O1671" s="147"/>
      <c r="P1671" s="148"/>
    </row>
    <row r="1672" spans="1:16">
      <c r="A1672" s="95" t="s">
        <v>2348</v>
      </c>
      <c r="B1672" s="95" t="s">
        <v>547</v>
      </c>
      <c r="C1672" s="4">
        <v>2092</v>
      </c>
      <c r="D1672" s="95" t="s">
        <v>563</v>
      </c>
      <c r="E1672" s="145">
        <v>394.43</v>
      </c>
      <c r="F1672" s="145">
        <v>0</v>
      </c>
      <c r="G1672" s="145">
        <v>0</v>
      </c>
      <c r="H1672" s="145">
        <v>0</v>
      </c>
      <c r="I1672" s="77">
        <f t="shared" si="29"/>
        <v>394.43</v>
      </c>
      <c r="J1672" s="123" t="str">
        <f>IFERROR(VLOOKUP($C1672,'CEDARS School FRPL'!C:H,4,FALSE),"No")</f>
        <v>No</v>
      </c>
      <c r="K1672" s="109"/>
      <c r="L1672" s="109"/>
      <c r="M1672" s="110">
        <f>IFERROR(VLOOKUP($C1672,'CEDARS School FRPL'!C:H,3,FALSE),0)</f>
        <v>6.9466666666666677E-2</v>
      </c>
      <c r="N1672" s="123" t="str">
        <f>IFERROR(VLOOKUP(C1672,'CEDARS School FRPL'!C:H,6,FALSE),"No")</f>
        <v>No</v>
      </c>
      <c r="O1672" s="147"/>
      <c r="P1672" s="148"/>
    </row>
    <row r="1673" spans="1:16">
      <c r="A1673" s="95" t="s">
        <v>2348</v>
      </c>
      <c r="B1673" s="95" t="s">
        <v>547</v>
      </c>
      <c r="C1673" s="4">
        <v>2118</v>
      </c>
      <c r="D1673" s="95" t="s">
        <v>564</v>
      </c>
      <c r="E1673" s="145">
        <v>294.86</v>
      </c>
      <c r="F1673" s="145">
        <v>0</v>
      </c>
      <c r="G1673" s="145">
        <v>0</v>
      </c>
      <c r="H1673" s="145">
        <v>0</v>
      </c>
      <c r="I1673" s="77">
        <f t="shared" si="29"/>
        <v>294.86</v>
      </c>
      <c r="J1673" s="123" t="str">
        <f>IFERROR(VLOOKUP($C1673,'CEDARS School FRPL'!C:H,4,FALSE),"No")</f>
        <v>Yes</v>
      </c>
      <c r="K1673" s="109"/>
      <c r="L1673" s="109"/>
      <c r="M1673" s="110">
        <f>IFERROR(VLOOKUP($C1673,'CEDARS School FRPL'!C:H,3,FALSE),0)</f>
        <v>0.64296666666666669</v>
      </c>
      <c r="N1673" s="123" t="str">
        <f>IFERROR(VLOOKUP(C1673,'CEDARS School FRPL'!C:H,6,FALSE),"No")</f>
        <v>No</v>
      </c>
      <c r="O1673" s="147"/>
      <c r="P1673" s="148"/>
    </row>
    <row r="1674" spans="1:16">
      <c r="A1674" s="95" t="s">
        <v>2348</v>
      </c>
      <c r="B1674" s="95" t="s">
        <v>547</v>
      </c>
      <c r="C1674" s="4">
        <v>2120</v>
      </c>
      <c r="D1674" s="95" t="s">
        <v>2920</v>
      </c>
      <c r="E1674" s="145">
        <v>291.70999999999998</v>
      </c>
      <c r="F1674" s="145">
        <v>0</v>
      </c>
      <c r="G1674" s="145">
        <v>0</v>
      </c>
      <c r="H1674" s="145">
        <v>0</v>
      </c>
      <c r="I1674" s="77">
        <f t="shared" si="29"/>
        <v>291.70999999999998</v>
      </c>
      <c r="J1674" s="123" t="str">
        <f>IFERROR(VLOOKUP($C1674,'CEDARS School FRPL'!C:H,4,FALSE),"No")</f>
        <v>Yes</v>
      </c>
      <c r="K1674" s="109"/>
      <c r="L1674" s="109"/>
      <c r="M1674" s="110">
        <f>IFERROR(VLOOKUP($C1674,'CEDARS School FRPL'!C:H,3,FALSE),0)</f>
        <v>0.73226666666666673</v>
      </c>
      <c r="N1674" s="123" t="str">
        <f>IFERROR(VLOOKUP(C1674,'CEDARS School FRPL'!C:H,6,FALSE),"No")</f>
        <v>No</v>
      </c>
      <c r="O1674" s="147"/>
      <c r="P1674" s="148"/>
    </row>
    <row r="1675" spans="1:16">
      <c r="A1675" s="95" t="s">
        <v>2348</v>
      </c>
      <c r="B1675" s="95" t="s">
        <v>547</v>
      </c>
      <c r="C1675" s="4">
        <v>2121</v>
      </c>
      <c r="D1675" s="95" t="s">
        <v>565</v>
      </c>
      <c r="E1675" s="145">
        <v>305.29000000000002</v>
      </c>
      <c r="F1675" s="145">
        <v>0</v>
      </c>
      <c r="G1675" s="145">
        <v>0</v>
      </c>
      <c r="H1675" s="145">
        <v>0</v>
      </c>
      <c r="I1675" s="77">
        <f t="shared" si="29"/>
        <v>305.29000000000002</v>
      </c>
      <c r="J1675" s="123" t="str">
        <f>IFERROR(VLOOKUP($C1675,'CEDARS School FRPL'!C:H,4,FALSE),"No")</f>
        <v>No</v>
      </c>
      <c r="K1675" s="109"/>
      <c r="L1675" s="109"/>
      <c r="M1675" s="110">
        <f>IFERROR(VLOOKUP($C1675,'CEDARS School FRPL'!C:H,3,FALSE),0)</f>
        <v>0.43283333333333335</v>
      </c>
      <c r="N1675" s="123" t="str">
        <f>IFERROR(VLOOKUP(C1675,'CEDARS School FRPL'!C:H,6,FALSE),"No")</f>
        <v>No</v>
      </c>
      <c r="O1675" s="147"/>
      <c r="P1675" s="148"/>
    </row>
    <row r="1676" spans="1:16">
      <c r="A1676" s="95" t="s">
        <v>2348</v>
      </c>
      <c r="B1676" s="95" t="s">
        <v>547</v>
      </c>
      <c r="C1676" s="4">
        <v>2123</v>
      </c>
      <c r="D1676" s="95" t="s">
        <v>566</v>
      </c>
      <c r="E1676" s="145">
        <v>306.86</v>
      </c>
      <c r="F1676" s="145">
        <v>0</v>
      </c>
      <c r="G1676" s="145">
        <v>0</v>
      </c>
      <c r="H1676" s="145">
        <v>0</v>
      </c>
      <c r="I1676" s="77">
        <f t="shared" si="29"/>
        <v>306.86</v>
      </c>
      <c r="J1676" s="123" t="str">
        <f>IFERROR(VLOOKUP($C1676,'CEDARS School FRPL'!C:H,4,FALSE),"No")</f>
        <v>No</v>
      </c>
      <c r="K1676" s="109"/>
      <c r="L1676" s="109"/>
      <c r="M1676" s="110">
        <f>IFERROR(VLOOKUP($C1676,'CEDARS School FRPL'!C:H,3,FALSE),0)</f>
        <v>9.9966666666666662E-2</v>
      </c>
      <c r="N1676" s="123" t="str">
        <f>IFERROR(VLOOKUP(C1676,'CEDARS School FRPL'!C:H,6,FALSE),"No")</f>
        <v>No</v>
      </c>
      <c r="O1676" s="147"/>
      <c r="P1676" s="148"/>
    </row>
    <row r="1677" spans="1:16">
      <c r="A1677" s="95" t="s">
        <v>2348</v>
      </c>
      <c r="B1677" s="95" t="s">
        <v>547</v>
      </c>
      <c r="C1677" s="4">
        <v>2138</v>
      </c>
      <c r="D1677" s="95" t="s">
        <v>567</v>
      </c>
      <c r="E1677" s="145">
        <v>362.43</v>
      </c>
      <c r="F1677" s="145">
        <v>0</v>
      </c>
      <c r="G1677" s="145">
        <v>0</v>
      </c>
      <c r="H1677" s="145">
        <v>0</v>
      </c>
      <c r="I1677" s="77">
        <f t="shared" si="29"/>
        <v>362.43</v>
      </c>
      <c r="J1677" s="123" t="str">
        <f>IFERROR(VLOOKUP($C1677,'CEDARS School FRPL'!C:H,4,FALSE),"No")</f>
        <v>No</v>
      </c>
      <c r="K1677" s="109"/>
      <c r="L1677" s="109"/>
      <c r="M1677" s="110">
        <f>IFERROR(VLOOKUP($C1677,'CEDARS School FRPL'!C:H,3,FALSE),0)</f>
        <v>9.6066666666666675E-2</v>
      </c>
      <c r="N1677" s="123" t="str">
        <f>IFERROR(VLOOKUP(C1677,'CEDARS School FRPL'!C:H,6,FALSE),"No")</f>
        <v>No</v>
      </c>
      <c r="O1677" s="147"/>
      <c r="P1677" s="148"/>
    </row>
    <row r="1678" spans="1:16">
      <c r="A1678" s="95" t="s">
        <v>2348</v>
      </c>
      <c r="B1678" s="95" t="s">
        <v>547</v>
      </c>
      <c r="C1678" s="4">
        <v>2139</v>
      </c>
      <c r="D1678" s="95" t="s">
        <v>568</v>
      </c>
      <c r="E1678" s="145">
        <v>353</v>
      </c>
      <c r="F1678" s="145">
        <v>0</v>
      </c>
      <c r="G1678" s="145">
        <v>0</v>
      </c>
      <c r="H1678" s="145">
        <v>0</v>
      </c>
      <c r="I1678" s="77">
        <f t="shared" si="29"/>
        <v>353</v>
      </c>
      <c r="J1678" s="123" t="str">
        <f>IFERROR(VLOOKUP($C1678,'CEDARS School FRPL'!C:H,4,FALSE),"No")</f>
        <v>No</v>
      </c>
      <c r="K1678" s="109"/>
      <c r="L1678" s="109"/>
      <c r="M1678" s="110">
        <f>IFERROR(VLOOKUP($C1678,'CEDARS School FRPL'!C:H,3,FALSE),0)</f>
        <v>0.12873333333333334</v>
      </c>
      <c r="N1678" s="123" t="str">
        <f>IFERROR(VLOOKUP(C1678,'CEDARS School FRPL'!C:H,6,FALSE),"No")</f>
        <v>No</v>
      </c>
      <c r="O1678" s="147"/>
      <c r="P1678" s="148"/>
    </row>
    <row r="1679" spans="1:16">
      <c r="A1679" s="95" t="s">
        <v>2348</v>
      </c>
      <c r="B1679" s="95" t="s">
        <v>547</v>
      </c>
      <c r="C1679" s="4">
        <v>2141</v>
      </c>
      <c r="D1679" s="95" t="s">
        <v>569</v>
      </c>
      <c r="E1679" s="145">
        <v>429</v>
      </c>
      <c r="F1679" s="145">
        <v>0</v>
      </c>
      <c r="G1679" s="145">
        <v>0</v>
      </c>
      <c r="H1679" s="145">
        <v>0</v>
      </c>
      <c r="I1679" s="77">
        <f t="shared" si="29"/>
        <v>429</v>
      </c>
      <c r="J1679" s="123" t="str">
        <f>IFERROR(VLOOKUP($C1679,'CEDARS School FRPL'!C:H,4,FALSE),"No")</f>
        <v>No</v>
      </c>
      <c r="K1679" s="109"/>
      <c r="L1679" s="109"/>
      <c r="M1679" s="110">
        <f>IFERROR(VLOOKUP($C1679,'CEDARS School FRPL'!C:H,3,FALSE),0)</f>
        <v>0.34913333333333335</v>
      </c>
      <c r="N1679" s="123" t="str">
        <f>IFERROR(VLOOKUP(C1679,'CEDARS School FRPL'!C:H,6,FALSE),"No")</f>
        <v>No</v>
      </c>
      <c r="O1679" s="147"/>
      <c r="P1679" s="148"/>
    </row>
    <row r="1680" spans="1:16">
      <c r="A1680" s="95" t="s">
        <v>2348</v>
      </c>
      <c r="B1680" s="95" t="s">
        <v>547</v>
      </c>
      <c r="C1680" s="4">
        <v>2142</v>
      </c>
      <c r="D1680" s="95" t="s">
        <v>570</v>
      </c>
      <c r="E1680" s="145">
        <v>406.57</v>
      </c>
      <c r="F1680" s="145">
        <v>0</v>
      </c>
      <c r="G1680" s="145">
        <v>0</v>
      </c>
      <c r="H1680" s="145">
        <v>0</v>
      </c>
      <c r="I1680" s="77">
        <f t="shared" si="29"/>
        <v>406.57</v>
      </c>
      <c r="J1680" s="123" t="str">
        <f>IFERROR(VLOOKUP($C1680,'CEDARS School FRPL'!C:H,4,FALSE),"No")</f>
        <v>No</v>
      </c>
      <c r="K1680" s="109"/>
      <c r="L1680" s="109"/>
      <c r="M1680" s="110">
        <f>IFERROR(VLOOKUP($C1680,'CEDARS School FRPL'!C:H,3,FALSE),0)</f>
        <v>5.8299999999999998E-2</v>
      </c>
      <c r="N1680" s="123" t="str">
        <f>IFERROR(VLOOKUP(C1680,'CEDARS School FRPL'!C:H,6,FALSE),"No")</f>
        <v>No</v>
      </c>
      <c r="O1680" s="147"/>
      <c r="P1680" s="148"/>
    </row>
    <row r="1681" spans="1:16">
      <c r="A1681" s="95" t="s">
        <v>2348</v>
      </c>
      <c r="B1681" s="95" t="s">
        <v>547</v>
      </c>
      <c r="C1681" s="4">
        <v>2143</v>
      </c>
      <c r="D1681" s="95" t="s">
        <v>571</v>
      </c>
      <c r="E1681" s="145">
        <v>323.43</v>
      </c>
      <c r="F1681" s="145">
        <v>0</v>
      </c>
      <c r="G1681" s="145">
        <v>0</v>
      </c>
      <c r="H1681" s="145">
        <v>0</v>
      </c>
      <c r="I1681" s="77">
        <f t="shared" si="29"/>
        <v>323.43</v>
      </c>
      <c r="J1681" s="123" t="str">
        <f>IFERROR(VLOOKUP($C1681,'CEDARS School FRPL'!C:H,4,FALSE),"No")</f>
        <v>Yes</v>
      </c>
      <c r="K1681" s="109"/>
      <c r="L1681" s="109"/>
      <c r="M1681" s="110">
        <f>IFERROR(VLOOKUP($C1681,'CEDARS School FRPL'!C:H,3,FALSE),0)</f>
        <v>0.5623999999999999</v>
      </c>
      <c r="N1681" s="123" t="str">
        <f>IFERROR(VLOOKUP(C1681,'CEDARS School FRPL'!C:H,6,FALSE),"No")</f>
        <v>No</v>
      </c>
      <c r="O1681" s="147"/>
      <c r="P1681" s="148"/>
    </row>
    <row r="1682" spans="1:16">
      <c r="A1682" s="95" t="s">
        <v>2348</v>
      </c>
      <c r="B1682" s="95" t="s">
        <v>547</v>
      </c>
      <c r="C1682" s="4">
        <v>2181</v>
      </c>
      <c r="D1682" s="95" t="s">
        <v>572</v>
      </c>
      <c r="E1682" s="145">
        <v>308.29000000000002</v>
      </c>
      <c r="F1682" s="145">
        <v>0</v>
      </c>
      <c r="G1682" s="145">
        <v>0</v>
      </c>
      <c r="H1682" s="145">
        <v>0</v>
      </c>
      <c r="I1682" s="77">
        <f t="shared" si="29"/>
        <v>308.29000000000002</v>
      </c>
      <c r="J1682" s="123" t="str">
        <f>IFERROR(VLOOKUP($C1682,'CEDARS School FRPL'!C:H,4,FALSE),"No")</f>
        <v>No</v>
      </c>
      <c r="K1682" s="109"/>
      <c r="L1682" s="109"/>
      <c r="M1682" s="110">
        <f>IFERROR(VLOOKUP($C1682,'CEDARS School FRPL'!C:H,3,FALSE),0)</f>
        <v>9.6133333333333335E-2</v>
      </c>
      <c r="N1682" s="123" t="str">
        <f>IFERROR(VLOOKUP(C1682,'CEDARS School FRPL'!C:H,6,FALSE),"No")</f>
        <v>No</v>
      </c>
      <c r="O1682" s="147"/>
      <c r="P1682" s="148"/>
    </row>
    <row r="1683" spans="1:16">
      <c r="A1683" s="95" t="s">
        <v>2348</v>
      </c>
      <c r="B1683" s="95" t="s">
        <v>547</v>
      </c>
      <c r="C1683" s="4">
        <v>2182</v>
      </c>
      <c r="D1683" s="95" t="s">
        <v>573</v>
      </c>
      <c r="E1683" s="145">
        <v>1155.42</v>
      </c>
      <c r="F1683" s="145">
        <v>88.389999999999986</v>
      </c>
      <c r="G1683" s="145">
        <v>0</v>
      </c>
      <c r="H1683" s="145">
        <v>0</v>
      </c>
      <c r="I1683" s="77">
        <f t="shared" si="29"/>
        <v>1243.81</v>
      </c>
      <c r="J1683" s="123" t="str">
        <f>IFERROR(VLOOKUP($C1683,'CEDARS School FRPL'!C:H,4,FALSE),"No")</f>
        <v>Yes</v>
      </c>
      <c r="K1683" s="109"/>
      <c r="L1683" s="109"/>
      <c r="M1683" s="110">
        <f>IFERROR(VLOOKUP($C1683,'CEDARS School FRPL'!C:H,3,FALSE),0)</f>
        <v>0.62556666666666672</v>
      </c>
      <c r="N1683" s="123" t="str">
        <f>IFERROR(VLOOKUP(C1683,'CEDARS School FRPL'!C:H,6,FALSE),"No")</f>
        <v>No</v>
      </c>
      <c r="O1683" s="147"/>
      <c r="P1683" s="148"/>
    </row>
    <row r="1684" spans="1:16">
      <c r="A1684" s="95" t="s">
        <v>2348</v>
      </c>
      <c r="B1684" s="95" t="s">
        <v>547</v>
      </c>
      <c r="C1684" s="4">
        <v>2183</v>
      </c>
      <c r="D1684" s="95" t="s">
        <v>574</v>
      </c>
      <c r="E1684" s="145">
        <v>334.71</v>
      </c>
      <c r="F1684" s="145">
        <v>0</v>
      </c>
      <c r="G1684" s="145">
        <v>0</v>
      </c>
      <c r="H1684" s="145">
        <v>0</v>
      </c>
      <c r="I1684" s="77">
        <f t="shared" si="29"/>
        <v>334.71</v>
      </c>
      <c r="J1684" s="123" t="str">
        <f>IFERROR(VLOOKUP($C1684,'CEDARS School FRPL'!C:H,4,FALSE),"No")</f>
        <v>No</v>
      </c>
      <c r="K1684" s="109"/>
      <c r="L1684" s="109"/>
      <c r="M1684" s="110">
        <f>IFERROR(VLOOKUP($C1684,'CEDARS School FRPL'!C:H,3,FALSE),0)</f>
        <v>5.8766666666666668E-2</v>
      </c>
      <c r="N1684" s="123" t="str">
        <f>IFERROR(VLOOKUP(C1684,'CEDARS School FRPL'!C:H,6,FALSE),"No")</f>
        <v>No</v>
      </c>
      <c r="O1684" s="147"/>
      <c r="P1684" s="148"/>
    </row>
    <row r="1685" spans="1:16">
      <c r="A1685" s="95" t="s">
        <v>2348</v>
      </c>
      <c r="B1685" s="95" t="s">
        <v>547</v>
      </c>
      <c r="C1685" s="4">
        <v>2199</v>
      </c>
      <c r="D1685" s="95" t="s">
        <v>575</v>
      </c>
      <c r="E1685" s="145">
        <v>298.79000000000002</v>
      </c>
      <c r="F1685" s="145">
        <v>0</v>
      </c>
      <c r="G1685" s="145">
        <v>0</v>
      </c>
      <c r="H1685" s="145">
        <v>0</v>
      </c>
      <c r="I1685" s="77">
        <f t="shared" si="29"/>
        <v>298.79000000000002</v>
      </c>
      <c r="J1685" s="123" t="str">
        <f>IFERROR(VLOOKUP($C1685,'CEDARS School FRPL'!C:H,4,FALSE),"No")</f>
        <v>Yes</v>
      </c>
      <c r="K1685" s="109"/>
      <c r="L1685" s="109"/>
      <c r="M1685" s="110">
        <f>IFERROR(VLOOKUP($C1685,'CEDARS School FRPL'!C:H,3,FALSE),0)</f>
        <v>0.64026666666666665</v>
      </c>
      <c r="N1685" s="123" t="str">
        <f>IFERROR(VLOOKUP(C1685,'CEDARS School FRPL'!C:H,6,FALSE),"No")</f>
        <v>No</v>
      </c>
      <c r="O1685" s="147"/>
      <c r="P1685" s="148"/>
    </row>
    <row r="1686" spans="1:16">
      <c r="A1686" s="95" t="s">
        <v>2348</v>
      </c>
      <c r="B1686" s="95" t="s">
        <v>547</v>
      </c>
      <c r="C1686" s="4">
        <v>2201</v>
      </c>
      <c r="D1686" s="95" t="s">
        <v>576</v>
      </c>
      <c r="E1686" s="145">
        <v>221.47</v>
      </c>
      <c r="F1686" s="145">
        <v>0</v>
      </c>
      <c r="G1686" s="145">
        <v>0</v>
      </c>
      <c r="H1686" s="145">
        <v>0</v>
      </c>
      <c r="I1686" s="77">
        <f t="shared" si="29"/>
        <v>221.47</v>
      </c>
      <c r="J1686" s="123" t="str">
        <f>IFERROR(VLOOKUP($C1686,'CEDARS School FRPL'!C:H,4,FALSE),"No")</f>
        <v>No</v>
      </c>
      <c r="K1686" s="109"/>
      <c r="L1686" s="109"/>
      <c r="M1686" s="110">
        <f>IFERROR(VLOOKUP($C1686,'CEDARS School FRPL'!C:H,3,FALSE),0)</f>
        <v>6.9766666666666657E-2</v>
      </c>
      <c r="N1686" s="123" t="str">
        <f>IFERROR(VLOOKUP(C1686,'CEDARS School FRPL'!C:H,6,FALSE),"No")</f>
        <v>No</v>
      </c>
      <c r="O1686" s="147"/>
      <c r="P1686" s="148"/>
    </row>
    <row r="1687" spans="1:16">
      <c r="A1687" s="95" t="s">
        <v>2348</v>
      </c>
      <c r="B1687" s="95" t="s">
        <v>547</v>
      </c>
      <c r="C1687" s="4">
        <v>2209</v>
      </c>
      <c r="D1687" s="95" t="s">
        <v>577</v>
      </c>
      <c r="E1687" s="145">
        <v>524.47</v>
      </c>
      <c r="F1687" s="145">
        <v>0</v>
      </c>
      <c r="G1687" s="145">
        <v>0</v>
      </c>
      <c r="H1687" s="145">
        <v>0</v>
      </c>
      <c r="I1687" s="77">
        <f t="shared" si="29"/>
        <v>524.47</v>
      </c>
      <c r="J1687" s="123" t="str">
        <f>IFERROR(VLOOKUP($C1687,'CEDARS School FRPL'!C:H,4,FALSE),"No")</f>
        <v>Yes</v>
      </c>
      <c r="K1687" s="109"/>
      <c r="L1687" s="109"/>
      <c r="M1687" s="110">
        <f>IFERROR(VLOOKUP($C1687,'CEDARS School FRPL'!C:H,3,FALSE),0)</f>
        <v>0.5554</v>
      </c>
      <c r="N1687" s="123" t="str">
        <f>IFERROR(VLOOKUP(C1687,'CEDARS School FRPL'!C:H,6,FALSE),"No")</f>
        <v>No</v>
      </c>
      <c r="O1687" s="147"/>
      <c r="P1687" s="148"/>
    </row>
    <row r="1688" spans="1:16">
      <c r="A1688" s="95" t="s">
        <v>2348</v>
      </c>
      <c r="B1688" s="95" t="s">
        <v>547</v>
      </c>
      <c r="C1688" s="4">
        <v>2220</v>
      </c>
      <c r="D1688" s="95" t="s">
        <v>578</v>
      </c>
      <c r="E1688" s="145">
        <v>1589.94</v>
      </c>
      <c r="F1688" s="145">
        <v>61.46</v>
      </c>
      <c r="G1688" s="145">
        <v>0</v>
      </c>
      <c r="H1688" s="145">
        <v>0</v>
      </c>
      <c r="I1688" s="77">
        <f t="shared" si="29"/>
        <v>1651.4</v>
      </c>
      <c r="J1688" s="123" t="str">
        <f>IFERROR(VLOOKUP($C1688,'CEDARS School FRPL'!C:H,4,FALSE),"No")</f>
        <v>No</v>
      </c>
      <c r="K1688" s="109"/>
      <c r="L1688" s="109"/>
      <c r="M1688" s="110">
        <f>IFERROR(VLOOKUP($C1688,'CEDARS School FRPL'!C:H,3,FALSE),0)</f>
        <v>8.5033333333333336E-2</v>
      </c>
      <c r="N1688" s="123" t="str">
        <f>IFERROR(VLOOKUP(C1688,'CEDARS School FRPL'!C:H,6,FALSE),"No")</f>
        <v>No</v>
      </c>
      <c r="O1688" s="147"/>
      <c r="P1688" s="148"/>
    </row>
    <row r="1689" spans="1:16">
      <c r="A1689" s="95" t="s">
        <v>2348</v>
      </c>
      <c r="B1689" s="95" t="s">
        <v>547</v>
      </c>
      <c r="C1689" s="4">
        <v>2234</v>
      </c>
      <c r="D1689" s="95" t="s">
        <v>579</v>
      </c>
      <c r="E1689" s="145">
        <v>1130.6600000000001</v>
      </c>
      <c r="F1689" s="145">
        <v>79.209999999999994</v>
      </c>
      <c r="G1689" s="145">
        <v>0</v>
      </c>
      <c r="H1689" s="145">
        <v>0</v>
      </c>
      <c r="I1689" s="77">
        <f t="shared" si="29"/>
        <v>1209.8700000000001</v>
      </c>
      <c r="J1689" s="123" t="str">
        <f>IFERROR(VLOOKUP($C1689,'CEDARS School FRPL'!C:H,4,FALSE),"No")</f>
        <v>No</v>
      </c>
      <c r="K1689" s="109"/>
      <c r="L1689" s="109"/>
      <c r="M1689" s="110">
        <f>IFERROR(VLOOKUP($C1689,'CEDARS School FRPL'!C:H,3,FALSE),0)</f>
        <v>0.16996666666666668</v>
      </c>
      <c r="N1689" s="123" t="str">
        <f>IFERROR(VLOOKUP(C1689,'CEDARS School FRPL'!C:H,6,FALSE),"No")</f>
        <v>No</v>
      </c>
      <c r="O1689" s="147"/>
      <c r="P1689" s="148"/>
    </row>
    <row r="1690" spans="1:16">
      <c r="A1690" s="95" t="s">
        <v>2348</v>
      </c>
      <c r="B1690" s="95" t="s">
        <v>547</v>
      </c>
      <c r="C1690" s="4">
        <v>2256</v>
      </c>
      <c r="D1690" s="95" t="s">
        <v>580</v>
      </c>
      <c r="E1690" s="145">
        <v>365.14</v>
      </c>
      <c r="F1690" s="145">
        <v>0</v>
      </c>
      <c r="G1690" s="145">
        <v>0</v>
      </c>
      <c r="H1690" s="145">
        <v>0</v>
      </c>
      <c r="I1690" s="77">
        <f t="shared" si="29"/>
        <v>365.14</v>
      </c>
      <c r="J1690" s="123" t="str">
        <f>IFERROR(VLOOKUP($C1690,'CEDARS School FRPL'!C:H,4,FALSE),"No")</f>
        <v>No</v>
      </c>
      <c r="K1690" s="109"/>
      <c r="L1690" s="109"/>
      <c r="M1690" s="110">
        <f>IFERROR(VLOOKUP($C1690,'CEDARS School FRPL'!C:H,3,FALSE),0)</f>
        <v>0.34569999999999995</v>
      </c>
      <c r="N1690" s="123" t="str">
        <f>IFERROR(VLOOKUP(C1690,'CEDARS School FRPL'!C:H,6,FALSE),"No")</f>
        <v>No</v>
      </c>
      <c r="O1690" s="147"/>
      <c r="P1690" s="148"/>
    </row>
    <row r="1691" spans="1:16">
      <c r="A1691" s="95" t="s">
        <v>2348</v>
      </c>
      <c r="B1691" s="95" t="s">
        <v>547</v>
      </c>
      <c r="C1691" s="4">
        <v>2269</v>
      </c>
      <c r="D1691" s="95" t="s">
        <v>581</v>
      </c>
      <c r="E1691" s="145">
        <v>277.29000000000002</v>
      </c>
      <c r="F1691" s="145">
        <v>0</v>
      </c>
      <c r="G1691" s="145">
        <v>0</v>
      </c>
      <c r="H1691" s="145">
        <v>0</v>
      </c>
      <c r="I1691" s="77">
        <f t="shared" si="29"/>
        <v>277.29000000000002</v>
      </c>
      <c r="J1691" s="123" t="str">
        <f>IFERROR(VLOOKUP($C1691,'CEDARS School FRPL'!C:H,4,FALSE),"No")</f>
        <v>Yes</v>
      </c>
      <c r="K1691" s="109"/>
      <c r="L1691" s="109"/>
      <c r="M1691" s="110">
        <f>IFERROR(VLOOKUP($C1691,'CEDARS School FRPL'!C:H,3,FALSE),0)</f>
        <v>0.59186666666666665</v>
      </c>
      <c r="N1691" s="123" t="str">
        <f>IFERROR(VLOOKUP(C1691,'CEDARS School FRPL'!C:H,6,FALSE),"No")</f>
        <v>No</v>
      </c>
      <c r="O1691" s="147"/>
      <c r="P1691" s="148"/>
    </row>
    <row r="1692" spans="1:16">
      <c r="A1692" s="95" t="s">
        <v>2348</v>
      </c>
      <c r="B1692" s="95" t="s">
        <v>547</v>
      </c>
      <c r="C1692" s="4">
        <v>2285</v>
      </c>
      <c r="D1692" s="95" t="s">
        <v>582</v>
      </c>
      <c r="E1692" s="145">
        <v>1488.98</v>
      </c>
      <c r="F1692" s="145">
        <v>66.69</v>
      </c>
      <c r="G1692" s="145">
        <v>0</v>
      </c>
      <c r="H1692" s="145">
        <v>0</v>
      </c>
      <c r="I1692" s="77">
        <f t="shared" si="29"/>
        <v>1555.67</v>
      </c>
      <c r="J1692" s="123" t="str">
        <f>IFERROR(VLOOKUP($C1692,'CEDARS School FRPL'!C:H,4,FALSE),"No")</f>
        <v>No</v>
      </c>
      <c r="K1692" s="109"/>
      <c r="L1692" s="109"/>
      <c r="M1692" s="110">
        <f>IFERROR(VLOOKUP($C1692,'CEDARS School FRPL'!C:H,3,FALSE),0)</f>
        <v>9.7533333333333319E-2</v>
      </c>
      <c r="N1692" s="123" t="str">
        <f>IFERROR(VLOOKUP(C1692,'CEDARS School FRPL'!C:H,6,FALSE),"No")</f>
        <v>No</v>
      </c>
      <c r="O1692" s="147"/>
      <c r="P1692" s="148"/>
    </row>
    <row r="1693" spans="1:16">
      <c r="A1693" s="95" t="s">
        <v>2348</v>
      </c>
      <c r="B1693" s="95" t="s">
        <v>547</v>
      </c>
      <c r="C1693" s="4">
        <v>2306</v>
      </c>
      <c r="D1693" s="95" t="s">
        <v>583</v>
      </c>
      <c r="E1693" s="145">
        <v>1495.35</v>
      </c>
      <c r="F1693" s="145">
        <v>120.76</v>
      </c>
      <c r="G1693" s="145">
        <v>0</v>
      </c>
      <c r="H1693" s="145">
        <v>0</v>
      </c>
      <c r="I1693" s="77">
        <f t="shared" si="29"/>
        <v>1616.11</v>
      </c>
      <c r="J1693" s="123" t="str">
        <f>IFERROR(VLOOKUP($C1693,'CEDARS School FRPL'!C:H,4,FALSE),"No")</f>
        <v>No</v>
      </c>
      <c r="K1693" s="109"/>
      <c r="L1693" s="109"/>
      <c r="M1693" s="110">
        <f>IFERROR(VLOOKUP($C1693,'CEDARS School FRPL'!C:H,3,FALSE),0)</f>
        <v>0.31279999999999997</v>
      </c>
      <c r="N1693" s="123" t="str">
        <f>IFERROR(VLOOKUP(C1693,'CEDARS School FRPL'!C:H,6,FALSE),"No")</f>
        <v>No</v>
      </c>
      <c r="O1693" s="147"/>
      <c r="P1693" s="148"/>
    </row>
    <row r="1694" spans="1:16">
      <c r="A1694" s="95" t="s">
        <v>2348</v>
      </c>
      <c r="B1694" s="95" t="s">
        <v>547</v>
      </c>
      <c r="C1694" s="4">
        <v>2307</v>
      </c>
      <c r="D1694" s="95" t="s">
        <v>584</v>
      </c>
      <c r="E1694" s="145">
        <v>293.29000000000002</v>
      </c>
      <c r="F1694" s="145">
        <v>0</v>
      </c>
      <c r="G1694" s="145">
        <v>0</v>
      </c>
      <c r="H1694" s="145">
        <v>0</v>
      </c>
      <c r="I1694" s="77">
        <f t="shared" si="29"/>
        <v>293.29000000000002</v>
      </c>
      <c r="J1694" s="123" t="str">
        <f>IFERROR(VLOOKUP($C1694,'CEDARS School FRPL'!C:H,4,FALSE),"No")</f>
        <v>Yes</v>
      </c>
      <c r="K1694" s="109"/>
      <c r="L1694" s="109"/>
      <c r="M1694" s="110">
        <f>IFERROR(VLOOKUP($C1694,'CEDARS School FRPL'!C:H,3,FALSE),0)</f>
        <v>0.71326666666666672</v>
      </c>
      <c r="N1694" s="123" t="str">
        <f>IFERROR(VLOOKUP(C1694,'CEDARS School FRPL'!C:H,6,FALSE),"No")</f>
        <v>No</v>
      </c>
      <c r="O1694" s="147"/>
      <c r="P1694" s="148"/>
    </row>
    <row r="1695" spans="1:16">
      <c r="A1695" s="95" t="s">
        <v>2348</v>
      </c>
      <c r="B1695" s="95" t="s">
        <v>547</v>
      </c>
      <c r="C1695" s="4">
        <v>2321</v>
      </c>
      <c r="D1695" s="95" t="s">
        <v>585</v>
      </c>
      <c r="E1695" s="145">
        <v>223.29</v>
      </c>
      <c r="F1695" s="145">
        <v>0</v>
      </c>
      <c r="G1695" s="145">
        <v>0</v>
      </c>
      <c r="H1695" s="145">
        <v>0</v>
      </c>
      <c r="I1695" s="77">
        <f t="shared" si="29"/>
        <v>223.29</v>
      </c>
      <c r="J1695" s="123" t="str">
        <f>IFERROR(VLOOKUP($C1695,'CEDARS School FRPL'!C:H,4,FALSE),"No")</f>
        <v>Yes</v>
      </c>
      <c r="K1695" s="109"/>
      <c r="L1695" s="109"/>
      <c r="M1695" s="110">
        <f>IFERROR(VLOOKUP($C1695,'CEDARS School FRPL'!C:H,3,FALSE),0)</f>
        <v>0.59829999999999994</v>
      </c>
      <c r="N1695" s="123" t="str">
        <f>IFERROR(VLOOKUP(C1695,'CEDARS School FRPL'!C:H,6,FALSE),"No")</f>
        <v>No</v>
      </c>
      <c r="O1695" s="147"/>
      <c r="P1695" s="148"/>
    </row>
    <row r="1696" spans="1:16">
      <c r="A1696" s="95" t="s">
        <v>2348</v>
      </c>
      <c r="B1696" s="95" t="s">
        <v>547</v>
      </c>
      <c r="C1696" s="4">
        <v>2322</v>
      </c>
      <c r="D1696" s="95" t="s">
        <v>586</v>
      </c>
      <c r="E1696" s="145">
        <v>185.44</v>
      </c>
      <c r="F1696" s="145">
        <v>0</v>
      </c>
      <c r="G1696" s="145">
        <v>0</v>
      </c>
      <c r="H1696" s="145">
        <v>0</v>
      </c>
      <c r="I1696" s="77">
        <f t="shared" si="29"/>
        <v>185.44</v>
      </c>
      <c r="J1696" s="123" t="str">
        <f>IFERROR(VLOOKUP($C1696,'CEDARS School FRPL'!C:H,4,FALSE),"No")</f>
        <v>No</v>
      </c>
      <c r="K1696" s="109"/>
      <c r="L1696" s="109"/>
      <c r="M1696" s="110">
        <f>IFERROR(VLOOKUP($C1696,'CEDARS School FRPL'!C:H,3,FALSE),0)</f>
        <v>4.6766666666666658E-2</v>
      </c>
      <c r="N1696" s="123" t="str">
        <f>IFERROR(VLOOKUP(C1696,'CEDARS School FRPL'!C:H,6,FALSE),"No")</f>
        <v>No</v>
      </c>
      <c r="O1696" s="147"/>
      <c r="P1696" s="148"/>
    </row>
    <row r="1697" spans="1:16">
      <c r="A1697" s="95" t="s">
        <v>2348</v>
      </c>
      <c r="B1697" s="95" t="s">
        <v>547</v>
      </c>
      <c r="C1697" s="4">
        <v>2353</v>
      </c>
      <c r="D1697" s="95" t="s">
        <v>587</v>
      </c>
      <c r="E1697" s="145">
        <v>442.43</v>
      </c>
      <c r="F1697" s="145">
        <v>0</v>
      </c>
      <c r="G1697" s="145">
        <v>0</v>
      </c>
      <c r="H1697" s="145">
        <v>0</v>
      </c>
      <c r="I1697" s="77">
        <f t="shared" si="29"/>
        <v>442.43</v>
      </c>
      <c r="J1697" s="123" t="str">
        <f>IFERROR(VLOOKUP($C1697,'CEDARS School FRPL'!C:H,4,FALSE),"No")</f>
        <v>No</v>
      </c>
      <c r="K1697" s="109"/>
      <c r="L1697" s="109"/>
      <c r="M1697" s="110">
        <f>IFERROR(VLOOKUP($C1697,'CEDARS School FRPL'!C:H,3,FALSE),0)</f>
        <v>0.49709999999999993</v>
      </c>
      <c r="N1697" s="123" t="str">
        <f>IFERROR(VLOOKUP(C1697,'CEDARS School FRPL'!C:H,6,FALSE),"No")</f>
        <v>Yes</v>
      </c>
      <c r="O1697" s="147"/>
      <c r="P1697" s="148"/>
    </row>
    <row r="1698" spans="1:16">
      <c r="A1698" s="95" t="s">
        <v>2348</v>
      </c>
      <c r="B1698" s="95" t="s">
        <v>547</v>
      </c>
      <c r="C1698" s="4">
        <v>2371</v>
      </c>
      <c r="D1698" s="95" t="s">
        <v>588</v>
      </c>
      <c r="E1698" s="145">
        <v>923.99</v>
      </c>
      <c r="F1698" s="145">
        <v>0</v>
      </c>
      <c r="G1698" s="145">
        <v>0</v>
      </c>
      <c r="H1698" s="145">
        <v>0</v>
      </c>
      <c r="I1698" s="77">
        <f t="shared" si="29"/>
        <v>923.99</v>
      </c>
      <c r="J1698" s="123" t="str">
        <f>IFERROR(VLOOKUP($C1698,'CEDARS School FRPL'!C:H,4,FALSE),"No")</f>
        <v>No</v>
      </c>
      <c r="K1698" s="109"/>
      <c r="L1698" s="109"/>
      <c r="M1698" s="110">
        <f>IFERROR(VLOOKUP($C1698,'CEDARS School FRPL'!C:H,3,FALSE),0)</f>
        <v>8.4600000000000009E-2</v>
      </c>
      <c r="N1698" s="123" t="str">
        <f>IFERROR(VLOOKUP(C1698,'CEDARS School FRPL'!C:H,6,FALSE),"No")</f>
        <v>No</v>
      </c>
      <c r="O1698" s="147"/>
      <c r="P1698" s="148"/>
    </row>
    <row r="1699" spans="1:16">
      <c r="A1699" s="95" t="s">
        <v>2348</v>
      </c>
      <c r="B1699" s="95" t="s">
        <v>547</v>
      </c>
      <c r="C1699" s="4">
        <v>2372</v>
      </c>
      <c r="D1699" s="95" t="s">
        <v>589</v>
      </c>
      <c r="E1699" s="145">
        <v>451.91</v>
      </c>
      <c r="F1699" s="145">
        <v>0</v>
      </c>
      <c r="G1699" s="145">
        <v>0</v>
      </c>
      <c r="H1699" s="145">
        <v>0</v>
      </c>
      <c r="I1699" s="77">
        <f t="shared" si="29"/>
        <v>451.91</v>
      </c>
      <c r="J1699" s="123" t="str">
        <f>IFERROR(VLOOKUP($C1699,'CEDARS School FRPL'!C:H,4,FALSE),"No")</f>
        <v>No</v>
      </c>
      <c r="K1699" s="109"/>
      <c r="L1699" s="109"/>
      <c r="M1699" s="110">
        <f>IFERROR(VLOOKUP($C1699,'CEDARS School FRPL'!C:H,3,FALSE),0)</f>
        <v>3.9599999999999996E-2</v>
      </c>
      <c r="N1699" s="123" t="str">
        <f>IFERROR(VLOOKUP(C1699,'CEDARS School FRPL'!C:H,6,FALSE),"No")</f>
        <v>No</v>
      </c>
      <c r="O1699" s="147"/>
      <c r="P1699" s="148"/>
    </row>
    <row r="1700" spans="1:16">
      <c r="A1700" s="95" t="s">
        <v>2348</v>
      </c>
      <c r="B1700" s="95" t="s">
        <v>547</v>
      </c>
      <c r="C1700" s="4">
        <v>2392</v>
      </c>
      <c r="D1700" s="95" t="s">
        <v>590</v>
      </c>
      <c r="E1700" s="145">
        <v>801.21</v>
      </c>
      <c r="F1700" s="145">
        <v>92.69</v>
      </c>
      <c r="G1700" s="145">
        <v>0</v>
      </c>
      <c r="H1700" s="145">
        <v>0</v>
      </c>
      <c r="I1700" s="77">
        <f t="shared" si="29"/>
        <v>893.90000000000009</v>
      </c>
      <c r="J1700" s="123" t="str">
        <f>IFERROR(VLOOKUP($C1700,'CEDARS School FRPL'!C:H,4,FALSE),"No")</f>
        <v>Yes</v>
      </c>
      <c r="K1700" s="109"/>
      <c r="L1700" s="109"/>
      <c r="M1700" s="110">
        <f>IFERROR(VLOOKUP($C1700,'CEDARS School FRPL'!C:H,3,FALSE),0)</f>
        <v>0.53336666666666666</v>
      </c>
      <c r="N1700" s="123" t="str">
        <f>IFERROR(VLOOKUP(C1700,'CEDARS School FRPL'!C:H,6,FALSE),"No")</f>
        <v>No</v>
      </c>
      <c r="O1700" s="147"/>
      <c r="P1700" s="148"/>
    </row>
    <row r="1701" spans="1:16">
      <c r="A1701" s="95" t="s">
        <v>2348</v>
      </c>
      <c r="B1701" s="95" t="s">
        <v>547</v>
      </c>
      <c r="C1701" s="4">
        <v>2435</v>
      </c>
      <c r="D1701" s="95" t="s">
        <v>591</v>
      </c>
      <c r="E1701" s="145">
        <v>969.34</v>
      </c>
      <c r="F1701" s="145">
        <v>0</v>
      </c>
      <c r="G1701" s="145">
        <v>0</v>
      </c>
      <c r="H1701" s="145">
        <v>0</v>
      </c>
      <c r="I1701" s="77">
        <f t="shared" si="29"/>
        <v>969.34</v>
      </c>
      <c r="J1701" s="123" t="str">
        <f>IFERROR(VLOOKUP($C1701,'CEDARS School FRPL'!C:H,4,FALSE),"No")</f>
        <v>No</v>
      </c>
      <c r="K1701" s="109"/>
      <c r="L1701" s="109"/>
      <c r="M1701" s="110">
        <f>IFERROR(VLOOKUP($C1701,'CEDARS School FRPL'!C:H,3,FALSE),0)</f>
        <v>0.15609999999999999</v>
      </c>
      <c r="N1701" s="123" t="str">
        <f>IFERROR(VLOOKUP(C1701,'CEDARS School FRPL'!C:H,6,FALSE),"No")</f>
        <v>No</v>
      </c>
      <c r="O1701" s="147"/>
      <c r="P1701" s="148"/>
    </row>
    <row r="1702" spans="1:16">
      <c r="A1702" s="95" t="s">
        <v>2348</v>
      </c>
      <c r="B1702" s="95" t="s">
        <v>547</v>
      </c>
      <c r="C1702" s="4">
        <v>2437</v>
      </c>
      <c r="D1702" s="95" t="s">
        <v>592</v>
      </c>
      <c r="E1702" s="145">
        <v>240.43</v>
      </c>
      <c r="F1702" s="145">
        <v>0</v>
      </c>
      <c r="G1702" s="145">
        <v>0</v>
      </c>
      <c r="H1702" s="145">
        <v>0</v>
      </c>
      <c r="I1702" s="77">
        <f t="shared" si="29"/>
        <v>240.43</v>
      </c>
      <c r="J1702" s="123" t="str">
        <f>IFERROR(VLOOKUP($C1702,'CEDARS School FRPL'!C:H,4,FALSE),"No")</f>
        <v>No</v>
      </c>
      <c r="K1702" s="109"/>
      <c r="L1702" s="109"/>
      <c r="M1702" s="110">
        <f>IFERROR(VLOOKUP($C1702,'CEDARS School FRPL'!C:H,3,FALSE),0)</f>
        <v>0.25940000000000002</v>
      </c>
      <c r="N1702" s="123" t="str">
        <f>IFERROR(VLOOKUP(C1702,'CEDARS School FRPL'!C:H,6,FALSE),"No")</f>
        <v>No</v>
      </c>
      <c r="O1702" s="147"/>
      <c r="P1702" s="148"/>
    </row>
    <row r="1703" spans="1:16">
      <c r="A1703" s="95" t="s">
        <v>2348</v>
      </c>
      <c r="B1703" s="95" t="s">
        <v>547</v>
      </c>
      <c r="C1703" s="4">
        <v>2450</v>
      </c>
      <c r="D1703" s="95" t="s">
        <v>593</v>
      </c>
      <c r="E1703" s="145">
        <v>325.57</v>
      </c>
      <c r="F1703" s="145">
        <v>0</v>
      </c>
      <c r="G1703" s="145">
        <v>0</v>
      </c>
      <c r="H1703" s="145">
        <v>0</v>
      </c>
      <c r="I1703" s="77">
        <f t="shared" si="29"/>
        <v>325.57</v>
      </c>
      <c r="J1703" s="123" t="str">
        <f>IFERROR(VLOOKUP($C1703,'CEDARS School FRPL'!C:H,4,FALSE),"No")</f>
        <v>No</v>
      </c>
      <c r="K1703" s="109"/>
      <c r="L1703" s="109"/>
      <c r="M1703" s="110">
        <f>IFERROR(VLOOKUP($C1703,'CEDARS School FRPL'!C:H,3,FALSE),0)</f>
        <v>0.12113333333333333</v>
      </c>
      <c r="N1703" s="123" t="str">
        <f>IFERROR(VLOOKUP(C1703,'CEDARS School FRPL'!C:H,6,FALSE),"No")</f>
        <v>No</v>
      </c>
      <c r="O1703" s="147"/>
      <c r="P1703" s="148"/>
    </row>
    <row r="1704" spans="1:16">
      <c r="A1704" s="95" t="s">
        <v>2348</v>
      </c>
      <c r="B1704" s="95" t="s">
        <v>547</v>
      </c>
      <c r="C1704" s="4">
        <v>2462</v>
      </c>
      <c r="D1704" s="95" t="s">
        <v>594</v>
      </c>
      <c r="E1704" s="145">
        <v>478.57</v>
      </c>
      <c r="F1704" s="145">
        <v>0</v>
      </c>
      <c r="G1704" s="145">
        <v>0</v>
      </c>
      <c r="H1704" s="145">
        <v>0</v>
      </c>
      <c r="I1704" s="77">
        <f t="shared" si="29"/>
        <v>478.57</v>
      </c>
      <c r="J1704" s="123" t="str">
        <f>IFERROR(VLOOKUP($C1704,'CEDARS School FRPL'!C:H,4,FALSE),"No")</f>
        <v>No</v>
      </c>
      <c r="K1704" s="109"/>
      <c r="L1704" s="109"/>
      <c r="M1704" s="110">
        <f>IFERROR(VLOOKUP($C1704,'CEDARS School FRPL'!C:H,3,FALSE),0)</f>
        <v>7.0899999999999991E-2</v>
      </c>
      <c r="N1704" s="123" t="str">
        <f>IFERROR(VLOOKUP(C1704,'CEDARS School FRPL'!C:H,6,FALSE),"No")</f>
        <v>No</v>
      </c>
      <c r="O1704" s="147"/>
      <c r="P1704" s="148"/>
    </row>
    <row r="1705" spans="1:16">
      <c r="A1705" s="95" t="s">
        <v>2348</v>
      </c>
      <c r="B1705" s="95" t="s">
        <v>547</v>
      </c>
      <c r="C1705" s="4">
        <v>2645</v>
      </c>
      <c r="D1705" s="95" t="s">
        <v>595</v>
      </c>
      <c r="E1705" s="145">
        <v>327.14999999999998</v>
      </c>
      <c r="F1705" s="145">
        <v>0</v>
      </c>
      <c r="G1705" s="145">
        <v>0</v>
      </c>
      <c r="H1705" s="145">
        <v>0</v>
      </c>
      <c r="I1705" s="77">
        <f t="shared" si="29"/>
        <v>327.14999999999998</v>
      </c>
      <c r="J1705" s="123" t="str">
        <f>IFERROR(VLOOKUP($C1705,'CEDARS School FRPL'!C:H,4,FALSE),"No")</f>
        <v>Yes</v>
      </c>
      <c r="K1705" s="109"/>
      <c r="L1705" s="109"/>
      <c r="M1705" s="110">
        <f>IFERROR(VLOOKUP($C1705,'CEDARS School FRPL'!C:H,3,FALSE),0)</f>
        <v>0.78436666666666666</v>
      </c>
      <c r="N1705" s="123" t="str">
        <f>IFERROR(VLOOKUP(C1705,'CEDARS School FRPL'!C:H,6,FALSE),"No")</f>
        <v>No</v>
      </c>
      <c r="O1705" s="147"/>
      <c r="P1705" s="148"/>
    </row>
    <row r="1706" spans="1:16">
      <c r="A1706" s="95" t="s">
        <v>2348</v>
      </c>
      <c r="B1706" s="95" t="s">
        <v>547</v>
      </c>
      <c r="C1706" s="4">
        <v>2667</v>
      </c>
      <c r="D1706" s="95" t="s">
        <v>596</v>
      </c>
      <c r="E1706" s="145">
        <v>352.86</v>
      </c>
      <c r="F1706" s="145">
        <v>0</v>
      </c>
      <c r="G1706" s="145">
        <v>0</v>
      </c>
      <c r="H1706" s="145">
        <v>0</v>
      </c>
      <c r="I1706" s="77">
        <f t="shared" si="29"/>
        <v>352.86</v>
      </c>
      <c r="J1706" s="123" t="str">
        <f>IFERROR(VLOOKUP($C1706,'CEDARS School FRPL'!C:H,4,FALSE),"No")</f>
        <v>No</v>
      </c>
      <c r="K1706" s="109"/>
      <c r="L1706" s="109"/>
      <c r="M1706" s="110">
        <f>IFERROR(VLOOKUP($C1706,'CEDARS School FRPL'!C:H,3,FALSE),0)</f>
        <v>8.72E-2</v>
      </c>
      <c r="N1706" s="123" t="str">
        <f>IFERROR(VLOOKUP(C1706,'CEDARS School FRPL'!C:H,6,FALSE),"No")</f>
        <v>No</v>
      </c>
      <c r="O1706" s="147"/>
      <c r="P1706" s="148"/>
    </row>
    <row r="1707" spans="1:16">
      <c r="A1707" s="95" t="s">
        <v>2348</v>
      </c>
      <c r="B1707" s="95" t="s">
        <v>547</v>
      </c>
      <c r="C1707" s="4">
        <v>2729</v>
      </c>
      <c r="D1707" s="95" t="s">
        <v>597</v>
      </c>
      <c r="E1707" s="145">
        <v>1057.6400000000001</v>
      </c>
      <c r="F1707" s="145">
        <v>0</v>
      </c>
      <c r="G1707" s="145">
        <v>0</v>
      </c>
      <c r="H1707" s="145">
        <v>0</v>
      </c>
      <c r="I1707" s="77">
        <f t="shared" si="29"/>
        <v>1057.6400000000001</v>
      </c>
      <c r="J1707" s="123" t="str">
        <f>IFERROR(VLOOKUP($C1707,'CEDARS School FRPL'!C:H,4,FALSE),"No")</f>
        <v>No</v>
      </c>
      <c r="K1707" s="109"/>
      <c r="L1707" s="109"/>
      <c r="M1707" s="110">
        <f>IFERROR(VLOOKUP($C1707,'CEDARS School FRPL'!C:H,3,FALSE),0)</f>
        <v>0.14319999999999999</v>
      </c>
      <c r="N1707" s="123" t="str">
        <f>IFERROR(VLOOKUP(C1707,'CEDARS School FRPL'!C:H,6,FALSE),"No")</f>
        <v>No</v>
      </c>
      <c r="O1707" s="147"/>
      <c r="P1707" s="148"/>
    </row>
    <row r="1708" spans="1:16">
      <c r="A1708" s="95" t="s">
        <v>2348</v>
      </c>
      <c r="B1708" s="95" t="s">
        <v>547</v>
      </c>
      <c r="C1708" s="4">
        <v>2730</v>
      </c>
      <c r="D1708" s="95" t="s">
        <v>598</v>
      </c>
      <c r="E1708" s="145">
        <v>501.71</v>
      </c>
      <c r="F1708" s="145">
        <v>0</v>
      </c>
      <c r="G1708" s="145">
        <v>0</v>
      </c>
      <c r="H1708" s="145">
        <v>0</v>
      </c>
      <c r="I1708" s="77">
        <f t="shared" si="29"/>
        <v>501.71</v>
      </c>
      <c r="J1708" s="123" t="str">
        <f>IFERROR(VLOOKUP($C1708,'CEDARS School FRPL'!C:H,4,FALSE),"No")</f>
        <v>No</v>
      </c>
      <c r="K1708" s="109"/>
      <c r="L1708" s="109"/>
      <c r="M1708" s="110">
        <f>IFERROR(VLOOKUP($C1708,'CEDARS School FRPL'!C:H,3,FALSE),0)</f>
        <v>0.16713333333333336</v>
      </c>
      <c r="N1708" s="123" t="str">
        <f>IFERROR(VLOOKUP(C1708,'CEDARS School FRPL'!C:H,6,FALSE),"No")</f>
        <v>No</v>
      </c>
      <c r="O1708" s="147"/>
      <c r="P1708" s="148"/>
    </row>
    <row r="1709" spans="1:16">
      <c r="A1709" s="95" t="s">
        <v>2348</v>
      </c>
      <c r="B1709" s="95" t="s">
        <v>547</v>
      </c>
      <c r="C1709" s="4">
        <v>2733</v>
      </c>
      <c r="D1709" s="95" t="s">
        <v>599</v>
      </c>
      <c r="E1709" s="145">
        <v>449.57</v>
      </c>
      <c r="F1709" s="145">
        <v>0</v>
      </c>
      <c r="G1709" s="145">
        <v>0</v>
      </c>
      <c r="H1709" s="145">
        <v>0</v>
      </c>
      <c r="I1709" s="77">
        <f t="shared" si="29"/>
        <v>449.57</v>
      </c>
      <c r="J1709" s="123" t="str">
        <f>IFERROR(VLOOKUP($C1709,'CEDARS School FRPL'!C:H,4,FALSE),"No")</f>
        <v>No</v>
      </c>
      <c r="K1709" s="109"/>
      <c r="L1709" s="109"/>
      <c r="M1709" s="110">
        <f>IFERROR(VLOOKUP($C1709,'CEDARS School FRPL'!C:H,3,FALSE),0)</f>
        <v>0.13546666666666665</v>
      </c>
      <c r="N1709" s="123" t="str">
        <f>IFERROR(VLOOKUP(C1709,'CEDARS School FRPL'!C:H,6,FALSE),"No")</f>
        <v>No</v>
      </c>
      <c r="O1709" s="147"/>
      <c r="P1709" s="148"/>
    </row>
    <row r="1710" spans="1:16">
      <c r="A1710" s="95" t="s">
        <v>2348</v>
      </c>
      <c r="B1710" s="95" t="s">
        <v>547</v>
      </c>
      <c r="C1710" s="4">
        <v>2838</v>
      </c>
      <c r="D1710" s="95" t="s">
        <v>600</v>
      </c>
      <c r="E1710" s="145">
        <v>463.15</v>
      </c>
      <c r="F1710" s="145">
        <v>0</v>
      </c>
      <c r="G1710" s="145">
        <v>0</v>
      </c>
      <c r="H1710" s="145">
        <v>0</v>
      </c>
      <c r="I1710" s="77">
        <f t="shared" si="29"/>
        <v>463.15</v>
      </c>
      <c r="J1710" s="123" t="str">
        <f>IFERROR(VLOOKUP($C1710,'CEDARS School FRPL'!C:H,4,FALSE),"No")</f>
        <v>No</v>
      </c>
      <c r="K1710" s="109"/>
      <c r="L1710" s="109"/>
      <c r="M1710" s="110">
        <f>IFERROR(VLOOKUP($C1710,'CEDARS School FRPL'!C:H,3,FALSE),0)</f>
        <v>3.7666666666666661E-2</v>
      </c>
      <c r="N1710" s="123" t="str">
        <f>IFERROR(VLOOKUP(C1710,'CEDARS School FRPL'!C:H,6,FALSE),"No")</f>
        <v>No</v>
      </c>
      <c r="O1710" s="147"/>
      <c r="P1710" s="148"/>
    </row>
    <row r="1711" spans="1:16">
      <c r="A1711" s="95" t="s">
        <v>2348</v>
      </c>
      <c r="B1711" s="95" t="s">
        <v>547</v>
      </c>
      <c r="C1711" s="4">
        <v>2839</v>
      </c>
      <c r="D1711" s="95" t="s">
        <v>601</v>
      </c>
      <c r="E1711" s="145">
        <v>862.86</v>
      </c>
      <c r="F1711" s="145">
        <v>0</v>
      </c>
      <c r="G1711" s="145">
        <v>0</v>
      </c>
      <c r="H1711" s="145">
        <v>0</v>
      </c>
      <c r="I1711" s="77">
        <f t="shared" si="29"/>
        <v>862.86</v>
      </c>
      <c r="J1711" s="123" t="str">
        <f>IFERROR(VLOOKUP($C1711,'CEDARS School FRPL'!C:H,4,FALSE),"No")</f>
        <v>Yes</v>
      </c>
      <c r="K1711" s="109"/>
      <c r="L1711" s="109"/>
      <c r="M1711" s="110">
        <f>IFERROR(VLOOKUP($C1711,'CEDARS School FRPL'!C:H,3,FALSE),0)</f>
        <v>0.61699999999999999</v>
      </c>
      <c r="N1711" s="123" t="str">
        <f>IFERROR(VLOOKUP(C1711,'CEDARS School FRPL'!C:H,6,FALSE),"No")</f>
        <v>No</v>
      </c>
      <c r="O1711" s="147"/>
      <c r="P1711" s="148"/>
    </row>
    <row r="1712" spans="1:16">
      <c r="A1712" s="95" t="s">
        <v>2348</v>
      </c>
      <c r="B1712" s="95" t="s">
        <v>547</v>
      </c>
      <c r="C1712" s="4">
        <v>2975</v>
      </c>
      <c r="D1712" s="95" t="s">
        <v>602</v>
      </c>
      <c r="E1712" s="145">
        <v>263.86</v>
      </c>
      <c r="F1712" s="145">
        <v>0</v>
      </c>
      <c r="G1712" s="145">
        <v>0</v>
      </c>
      <c r="H1712" s="145">
        <v>0</v>
      </c>
      <c r="I1712" s="77">
        <f t="shared" si="29"/>
        <v>263.86</v>
      </c>
      <c r="J1712" s="123" t="str">
        <f>IFERROR(VLOOKUP($C1712,'CEDARS School FRPL'!C:H,4,FALSE),"No")</f>
        <v>No</v>
      </c>
      <c r="K1712" s="109"/>
      <c r="L1712" s="109"/>
      <c r="M1712" s="110">
        <f>IFERROR(VLOOKUP($C1712,'CEDARS School FRPL'!C:H,3,FALSE),0)</f>
        <v>0.37253333333333333</v>
      </c>
      <c r="N1712" s="123" t="str">
        <f>IFERROR(VLOOKUP(C1712,'CEDARS School FRPL'!C:H,6,FALSE),"No")</f>
        <v>No</v>
      </c>
      <c r="O1712" s="147"/>
      <c r="P1712" s="148"/>
    </row>
    <row r="1713" spans="1:16">
      <c r="A1713" s="95" t="s">
        <v>2348</v>
      </c>
      <c r="B1713" s="95" t="s">
        <v>547</v>
      </c>
      <c r="C1713" s="4">
        <v>2976</v>
      </c>
      <c r="D1713" s="95" t="s">
        <v>603</v>
      </c>
      <c r="E1713" s="145">
        <v>453.29</v>
      </c>
      <c r="F1713" s="145">
        <v>0</v>
      </c>
      <c r="G1713" s="145">
        <v>0</v>
      </c>
      <c r="H1713" s="145">
        <v>0</v>
      </c>
      <c r="I1713" s="77">
        <f t="shared" si="29"/>
        <v>453.29</v>
      </c>
      <c r="J1713" s="123" t="str">
        <f>IFERROR(VLOOKUP($C1713,'CEDARS School FRPL'!C:H,4,FALSE),"No")</f>
        <v>Yes</v>
      </c>
      <c r="K1713" s="109"/>
      <c r="L1713" s="109"/>
      <c r="M1713" s="110">
        <f>IFERROR(VLOOKUP($C1713,'CEDARS School FRPL'!C:H,3,FALSE),0)</f>
        <v>0.53639999999999999</v>
      </c>
      <c r="N1713" s="123" t="str">
        <f>IFERROR(VLOOKUP(C1713,'CEDARS School FRPL'!C:H,6,FALSE),"No")</f>
        <v>No</v>
      </c>
      <c r="O1713" s="147"/>
      <c r="P1713" s="148"/>
    </row>
    <row r="1714" spans="1:16">
      <c r="A1714" s="95" t="s">
        <v>2348</v>
      </c>
      <c r="B1714" s="95" t="s">
        <v>547</v>
      </c>
      <c r="C1714" s="4">
        <v>2977</v>
      </c>
      <c r="D1714" s="95" t="s">
        <v>604</v>
      </c>
      <c r="E1714" s="145">
        <v>284.70999999999998</v>
      </c>
      <c r="F1714" s="145">
        <v>0</v>
      </c>
      <c r="G1714" s="145">
        <v>0</v>
      </c>
      <c r="H1714" s="145">
        <v>0</v>
      </c>
      <c r="I1714" s="77">
        <f t="shared" si="29"/>
        <v>284.70999999999998</v>
      </c>
      <c r="J1714" s="123" t="str">
        <f>IFERROR(VLOOKUP($C1714,'CEDARS School FRPL'!C:H,4,FALSE),"No")</f>
        <v>No</v>
      </c>
      <c r="K1714" s="109"/>
      <c r="L1714" s="109"/>
      <c r="M1714" s="110">
        <f>IFERROR(VLOOKUP($C1714,'CEDARS School FRPL'!C:H,3,FALSE),0)</f>
        <v>0.31560000000000005</v>
      </c>
      <c r="N1714" s="123" t="str">
        <f>IFERROR(VLOOKUP(C1714,'CEDARS School FRPL'!C:H,6,FALSE),"No")</f>
        <v>No</v>
      </c>
      <c r="O1714" s="147"/>
      <c r="P1714" s="148"/>
    </row>
    <row r="1715" spans="1:16">
      <c r="A1715" s="95" t="s">
        <v>2348</v>
      </c>
      <c r="B1715" s="95" t="s">
        <v>547</v>
      </c>
      <c r="C1715" s="4">
        <v>3026</v>
      </c>
      <c r="D1715" s="95" t="s">
        <v>605</v>
      </c>
      <c r="E1715" s="145">
        <v>391.43</v>
      </c>
      <c r="F1715" s="145">
        <v>0</v>
      </c>
      <c r="G1715" s="145">
        <v>0</v>
      </c>
      <c r="H1715" s="145">
        <v>0</v>
      </c>
      <c r="I1715" s="77">
        <f t="shared" si="29"/>
        <v>391.43</v>
      </c>
      <c r="J1715" s="123" t="str">
        <f>IFERROR(VLOOKUP($C1715,'CEDARS School FRPL'!C:H,4,FALSE),"No")</f>
        <v>No</v>
      </c>
      <c r="K1715" s="109"/>
      <c r="L1715" s="109"/>
      <c r="M1715" s="110">
        <f>IFERROR(VLOOKUP($C1715,'CEDARS School FRPL'!C:H,3,FALSE),0)</f>
        <v>5.843333333333333E-2</v>
      </c>
      <c r="N1715" s="123" t="str">
        <f>IFERROR(VLOOKUP(C1715,'CEDARS School FRPL'!C:H,6,FALSE),"No")</f>
        <v>No</v>
      </c>
      <c r="O1715" s="147"/>
      <c r="P1715" s="148"/>
    </row>
    <row r="1716" spans="1:16">
      <c r="A1716" s="95" t="s">
        <v>2348</v>
      </c>
      <c r="B1716" s="95" t="s">
        <v>547</v>
      </c>
      <c r="C1716" s="4">
        <v>3027</v>
      </c>
      <c r="D1716" s="95" t="s">
        <v>606</v>
      </c>
      <c r="E1716" s="145">
        <v>186.14</v>
      </c>
      <c r="F1716" s="145">
        <v>0</v>
      </c>
      <c r="G1716" s="145">
        <v>0</v>
      </c>
      <c r="H1716" s="145">
        <v>0</v>
      </c>
      <c r="I1716" s="77">
        <f t="shared" si="29"/>
        <v>186.14</v>
      </c>
      <c r="J1716" s="123" t="str">
        <f>IFERROR(VLOOKUP($C1716,'CEDARS School FRPL'!C:H,4,FALSE),"No")</f>
        <v>Yes</v>
      </c>
      <c r="K1716" s="109"/>
      <c r="L1716" s="109"/>
      <c r="M1716" s="110">
        <f>IFERROR(VLOOKUP($C1716,'CEDARS School FRPL'!C:H,3,FALSE),0)</f>
        <v>0.64196666666666669</v>
      </c>
      <c r="N1716" s="123" t="str">
        <f>IFERROR(VLOOKUP(C1716,'CEDARS School FRPL'!C:H,6,FALSE),"No")</f>
        <v>No</v>
      </c>
      <c r="O1716" s="147"/>
      <c r="P1716" s="148"/>
    </row>
    <row r="1717" spans="1:16">
      <c r="A1717" s="95" t="s">
        <v>2348</v>
      </c>
      <c r="B1717" s="95" t="s">
        <v>547</v>
      </c>
      <c r="C1717" s="4">
        <v>3028</v>
      </c>
      <c r="D1717" s="95" t="s">
        <v>192</v>
      </c>
      <c r="E1717" s="145">
        <v>169.57</v>
      </c>
      <c r="F1717" s="145">
        <v>0</v>
      </c>
      <c r="G1717" s="145">
        <v>0</v>
      </c>
      <c r="H1717" s="145">
        <v>0</v>
      </c>
      <c r="I1717" s="77">
        <f t="shared" si="29"/>
        <v>169.57</v>
      </c>
      <c r="J1717" s="123" t="str">
        <f>IFERROR(VLOOKUP($C1717,'CEDARS School FRPL'!C:H,4,FALSE),"No")</f>
        <v>No</v>
      </c>
      <c r="K1717" s="107"/>
      <c r="L1717" s="107"/>
      <c r="M1717" s="110">
        <f>IFERROR(VLOOKUP($C1717,'CEDARS School FRPL'!C:H,3,FALSE),0)</f>
        <v>0.23336666666666664</v>
      </c>
      <c r="N1717" s="123" t="str">
        <f>IFERROR(VLOOKUP(C1717,'CEDARS School FRPL'!C:H,6,FALSE),"No")</f>
        <v>No</v>
      </c>
      <c r="O1717" s="147"/>
      <c r="P1717" s="148"/>
    </row>
    <row r="1718" spans="1:16">
      <c r="A1718" s="95" t="s">
        <v>2348</v>
      </c>
      <c r="B1718" s="95" t="s">
        <v>547</v>
      </c>
      <c r="C1718" s="4">
        <v>3095</v>
      </c>
      <c r="D1718" s="95" t="s">
        <v>607</v>
      </c>
      <c r="E1718" s="145">
        <v>980.79</v>
      </c>
      <c r="F1718" s="145">
        <v>0</v>
      </c>
      <c r="G1718" s="145">
        <v>0</v>
      </c>
      <c r="H1718" s="145">
        <v>0</v>
      </c>
      <c r="I1718" s="77">
        <f t="shared" si="29"/>
        <v>980.79</v>
      </c>
      <c r="J1718" s="123" t="str">
        <f>IFERROR(VLOOKUP($C1718,'CEDARS School FRPL'!C:H,4,FALSE),"No")</f>
        <v>Yes</v>
      </c>
      <c r="K1718" s="109"/>
      <c r="L1718" s="109"/>
      <c r="M1718" s="110">
        <f>IFERROR(VLOOKUP($C1718,'CEDARS School FRPL'!C:H,3,FALSE),0)</f>
        <v>0.58633333333333326</v>
      </c>
      <c r="N1718" s="123" t="str">
        <f>IFERROR(VLOOKUP(C1718,'CEDARS School FRPL'!C:H,6,FALSE),"No")</f>
        <v>No</v>
      </c>
      <c r="O1718" s="147"/>
      <c r="P1718" s="148"/>
    </row>
    <row r="1719" spans="1:16">
      <c r="A1719" s="95" t="s">
        <v>2348</v>
      </c>
      <c r="B1719" s="95" t="s">
        <v>547</v>
      </c>
      <c r="C1719" s="4">
        <v>3096</v>
      </c>
      <c r="D1719" s="95" t="s">
        <v>608</v>
      </c>
      <c r="E1719" s="145">
        <v>1073.3699999999999</v>
      </c>
      <c r="F1719" s="145">
        <v>116.83</v>
      </c>
      <c r="G1719" s="145">
        <v>0</v>
      </c>
      <c r="H1719" s="145">
        <v>0</v>
      </c>
      <c r="I1719" s="77">
        <f t="shared" si="29"/>
        <v>1190.1999999999998</v>
      </c>
      <c r="J1719" s="123" t="str">
        <f>IFERROR(VLOOKUP($C1719,'CEDARS School FRPL'!C:H,4,FALSE),"No")</f>
        <v>Yes</v>
      </c>
      <c r="K1719" s="109"/>
      <c r="L1719" s="109"/>
      <c r="M1719" s="110">
        <f>IFERROR(VLOOKUP($C1719,'CEDARS School FRPL'!C:H,3,FALSE),0)</f>
        <v>0.61280000000000001</v>
      </c>
      <c r="N1719" s="123" t="str">
        <f>IFERROR(VLOOKUP(C1719,'CEDARS School FRPL'!C:H,6,FALSE),"No")</f>
        <v>No</v>
      </c>
      <c r="O1719" s="147"/>
      <c r="P1719" s="148"/>
    </row>
    <row r="1720" spans="1:16">
      <c r="A1720" s="95" t="s">
        <v>2348</v>
      </c>
      <c r="B1720" s="95" t="s">
        <v>547</v>
      </c>
      <c r="C1720" s="4">
        <v>3157</v>
      </c>
      <c r="D1720" s="95" t="s">
        <v>609</v>
      </c>
      <c r="E1720" s="145">
        <v>232.71</v>
      </c>
      <c r="F1720" s="145">
        <v>0</v>
      </c>
      <c r="G1720" s="145">
        <v>0</v>
      </c>
      <c r="H1720" s="145">
        <v>0</v>
      </c>
      <c r="I1720" s="77">
        <f t="shared" si="29"/>
        <v>232.71</v>
      </c>
      <c r="J1720" s="123" t="str">
        <f>IFERROR(VLOOKUP($C1720,'CEDARS School FRPL'!C:H,4,FALSE),"No")</f>
        <v>Yes</v>
      </c>
      <c r="K1720" s="109"/>
      <c r="L1720" s="109"/>
      <c r="M1720" s="110">
        <f>IFERROR(VLOOKUP($C1720,'CEDARS School FRPL'!C:H,3,FALSE),0)</f>
        <v>0.56396666666666673</v>
      </c>
      <c r="N1720" s="123" t="str">
        <f>IFERROR(VLOOKUP(C1720,'CEDARS School FRPL'!C:H,6,FALSE),"No")</f>
        <v>No</v>
      </c>
      <c r="O1720" s="147"/>
      <c r="P1720" s="148"/>
    </row>
    <row r="1721" spans="1:16">
      <c r="A1721" s="95" t="s">
        <v>2348</v>
      </c>
      <c r="B1721" s="95" t="s">
        <v>547</v>
      </c>
      <c r="C1721" s="4">
        <v>3218</v>
      </c>
      <c r="D1721" s="95" t="s">
        <v>610</v>
      </c>
      <c r="E1721" s="145">
        <v>347.87</v>
      </c>
      <c r="F1721" s="145">
        <v>0</v>
      </c>
      <c r="G1721" s="145">
        <v>0</v>
      </c>
      <c r="H1721" s="145">
        <v>0</v>
      </c>
      <c r="I1721" s="77">
        <f t="shared" si="29"/>
        <v>347.87</v>
      </c>
      <c r="J1721" s="123" t="str">
        <f>IFERROR(VLOOKUP($C1721,'CEDARS School FRPL'!C:H,4,FALSE),"No")</f>
        <v>No</v>
      </c>
      <c r="K1721" s="109"/>
      <c r="L1721" s="109"/>
      <c r="M1721" s="110">
        <f>IFERROR(VLOOKUP($C1721,'CEDARS School FRPL'!C:H,3,FALSE),0)</f>
        <v>7.9866666666666669E-2</v>
      </c>
      <c r="N1721" s="123" t="str">
        <f>IFERROR(VLOOKUP(C1721,'CEDARS School FRPL'!C:H,6,FALSE),"No")</f>
        <v>No</v>
      </c>
      <c r="O1721" s="147"/>
      <c r="P1721" s="148"/>
    </row>
    <row r="1722" spans="1:16">
      <c r="A1722" s="95" t="s">
        <v>2348</v>
      </c>
      <c r="B1722" s="95" t="s">
        <v>547</v>
      </c>
      <c r="C1722" s="4">
        <v>3276</v>
      </c>
      <c r="D1722" s="95" t="s">
        <v>611</v>
      </c>
      <c r="E1722" s="145">
        <v>1334.5</v>
      </c>
      <c r="F1722" s="145">
        <v>77.98</v>
      </c>
      <c r="G1722" s="145">
        <v>0</v>
      </c>
      <c r="H1722" s="145">
        <v>0</v>
      </c>
      <c r="I1722" s="77">
        <f t="shared" si="29"/>
        <v>1412.48</v>
      </c>
      <c r="J1722" s="123" t="str">
        <f>IFERROR(VLOOKUP($C1722,'CEDARS School FRPL'!C:H,4,FALSE),"No")</f>
        <v>No</v>
      </c>
      <c r="K1722" s="109"/>
      <c r="L1722" s="109"/>
      <c r="M1722" s="110">
        <f>IFERROR(VLOOKUP($C1722,'CEDARS School FRPL'!C:H,3,FALSE),0)</f>
        <v>0.27136666666666664</v>
      </c>
      <c r="N1722" s="123" t="str">
        <f>IFERROR(VLOOKUP(C1722,'CEDARS School FRPL'!C:H,6,FALSE),"No")</f>
        <v>No</v>
      </c>
      <c r="O1722" s="147"/>
      <c r="P1722" s="148"/>
    </row>
    <row r="1723" spans="1:16">
      <c r="A1723" s="95" t="s">
        <v>2348</v>
      </c>
      <c r="B1723" s="95" t="s">
        <v>547</v>
      </c>
      <c r="C1723" s="4">
        <v>3277</v>
      </c>
      <c r="D1723" s="95" t="s">
        <v>612</v>
      </c>
      <c r="E1723" s="145">
        <v>671.02</v>
      </c>
      <c r="F1723" s="145">
        <v>0</v>
      </c>
      <c r="G1723" s="145">
        <v>0</v>
      </c>
      <c r="H1723" s="145">
        <v>0</v>
      </c>
      <c r="I1723" s="77">
        <f t="shared" si="29"/>
        <v>671.02</v>
      </c>
      <c r="J1723" s="123" t="str">
        <f>IFERROR(VLOOKUP($C1723,'CEDARS School FRPL'!C:H,4,FALSE),"No")</f>
        <v>No</v>
      </c>
      <c r="K1723" s="109"/>
      <c r="L1723" s="109"/>
      <c r="M1723" s="110">
        <f>IFERROR(VLOOKUP($C1723,'CEDARS School FRPL'!C:H,3,FALSE),0)</f>
        <v>0.14130000000000001</v>
      </c>
      <c r="N1723" s="123" t="str">
        <f>IFERROR(VLOOKUP(C1723,'CEDARS School FRPL'!C:H,6,FALSE),"No")</f>
        <v>No</v>
      </c>
      <c r="O1723" s="147"/>
      <c r="P1723" s="148"/>
    </row>
    <row r="1724" spans="1:16">
      <c r="A1724" s="95" t="s">
        <v>2348</v>
      </c>
      <c r="B1724" s="95" t="s">
        <v>547</v>
      </c>
      <c r="C1724" s="4">
        <v>3327</v>
      </c>
      <c r="D1724" s="95" t="s">
        <v>613</v>
      </c>
      <c r="E1724" s="145">
        <v>728.45</v>
      </c>
      <c r="F1724" s="145">
        <v>44.11</v>
      </c>
      <c r="G1724" s="145">
        <v>0</v>
      </c>
      <c r="H1724" s="145">
        <v>0</v>
      </c>
      <c r="I1724" s="77">
        <f t="shared" si="29"/>
        <v>772.56000000000006</v>
      </c>
      <c r="J1724" s="123" t="str">
        <f>IFERROR(VLOOKUP($C1724,'CEDARS School FRPL'!C:H,4,FALSE),"No")</f>
        <v>Yes</v>
      </c>
      <c r="K1724" s="109"/>
      <c r="L1724" s="109"/>
      <c r="M1724" s="110">
        <f>IFERROR(VLOOKUP($C1724,'CEDARS School FRPL'!C:H,3,FALSE),0)</f>
        <v>0.71919999999999995</v>
      </c>
      <c r="N1724" s="123" t="str">
        <f>IFERROR(VLOOKUP(C1724,'CEDARS School FRPL'!C:H,6,FALSE),"No")</f>
        <v>No</v>
      </c>
      <c r="O1724" s="147"/>
      <c r="P1724" s="148"/>
    </row>
    <row r="1725" spans="1:16">
      <c r="A1725" s="95" t="s">
        <v>2348</v>
      </c>
      <c r="B1725" s="95" t="s">
        <v>547</v>
      </c>
      <c r="C1725" s="4">
        <v>3378</v>
      </c>
      <c r="D1725" s="95" t="s">
        <v>614</v>
      </c>
      <c r="E1725" s="145">
        <v>265</v>
      </c>
      <c r="F1725" s="145">
        <v>0</v>
      </c>
      <c r="G1725" s="145">
        <v>0</v>
      </c>
      <c r="H1725" s="145">
        <v>0</v>
      </c>
      <c r="I1725" s="77">
        <f t="shared" si="29"/>
        <v>265</v>
      </c>
      <c r="J1725" s="123" t="str">
        <f>IFERROR(VLOOKUP($C1725,'CEDARS School FRPL'!C:H,4,FALSE),"No")</f>
        <v>Yes</v>
      </c>
      <c r="K1725" s="109"/>
      <c r="L1725" s="109"/>
      <c r="M1725" s="110">
        <f>IFERROR(VLOOKUP($C1725,'CEDARS School FRPL'!C:H,3,FALSE),0)</f>
        <v>0.51456666666666673</v>
      </c>
      <c r="N1725" s="123" t="str">
        <f>IFERROR(VLOOKUP(C1725,'CEDARS School FRPL'!C:H,6,FALSE),"No")</f>
        <v>No</v>
      </c>
      <c r="O1725" s="147"/>
      <c r="P1725" s="148"/>
    </row>
    <row r="1726" spans="1:16">
      <c r="A1726" s="95" t="s">
        <v>2348</v>
      </c>
      <c r="B1726" s="95" t="s">
        <v>547</v>
      </c>
      <c r="C1726" s="4">
        <v>3380</v>
      </c>
      <c r="D1726" s="95" t="s">
        <v>615</v>
      </c>
      <c r="E1726" s="145">
        <v>222.57</v>
      </c>
      <c r="F1726" s="145">
        <v>0</v>
      </c>
      <c r="G1726" s="145">
        <v>0</v>
      </c>
      <c r="H1726" s="145">
        <v>0</v>
      </c>
      <c r="I1726" s="77">
        <f t="shared" si="29"/>
        <v>222.57</v>
      </c>
      <c r="J1726" s="123" t="str">
        <f>IFERROR(VLOOKUP($C1726,'CEDARS School FRPL'!C:H,4,FALSE),"No")</f>
        <v>Yes</v>
      </c>
      <c r="K1726" s="107"/>
      <c r="L1726" s="107"/>
      <c r="M1726" s="110">
        <f>IFERROR(VLOOKUP($C1726,'CEDARS School FRPL'!C:H,3,FALSE),0)</f>
        <v>0.6212333333333333</v>
      </c>
      <c r="N1726" s="123" t="str">
        <f>IFERROR(VLOOKUP(C1726,'CEDARS School FRPL'!C:H,6,FALSE),"No")</f>
        <v>No</v>
      </c>
      <c r="O1726" s="147"/>
      <c r="P1726" s="148"/>
    </row>
    <row r="1727" spans="1:16">
      <c r="A1727" s="95" t="s">
        <v>2348</v>
      </c>
      <c r="B1727" s="95" t="s">
        <v>547</v>
      </c>
      <c r="C1727" s="4">
        <v>3429</v>
      </c>
      <c r="D1727" s="95" t="s">
        <v>616</v>
      </c>
      <c r="E1727" s="145">
        <v>547.42999999999995</v>
      </c>
      <c r="F1727" s="145">
        <v>0</v>
      </c>
      <c r="G1727" s="145">
        <v>0</v>
      </c>
      <c r="H1727" s="145">
        <v>0</v>
      </c>
      <c r="I1727" s="77">
        <f t="shared" si="29"/>
        <v>547.42999999999995</v>
      </c>
      <c r="J1727" s="123" t="str">
        <f>IFERROR(VLOOKUP($C1727,'CEDARS School FRPL'!C:H,4,FALSE),"No")</f>
        <v>No</v>
      </c>
      <c r="K1727" s="109"/>
      <c r="L1727" s="109"/>
      <c r="M1727" s="110">
        <f>IFERROR(VLOOKUP($C1727,'CEDARS School FRPL'!C:H,3,FALSE),0)</f>
        <v>7.5466666666666668E-2</v>
      </c>
      <c r="N1727" s="123" t="str">
        <f>IFERROR(VLOOKUP(C1727,'CEDARS School FRPL'!C:H,6,FALSE),"No")</f>
        <v>No</v>
      </c>
      <c r="O1727" s="147"/>
      <c r="P1727" s="148"/>
    </row>
    <row r="1728" spans="1:16">
      <c r="A1728" s="95" t="s">
        <v>2348</v>
      </c>
      <c r="B1728" s="95" t="s">
        <v>547</v>
      </c>
      <c r="C1728" s="4">
        <v>3478</v>
      </c>
      <c r="D1728" s="95" t="s">
        <v>617</v>
      </c>
      <c r="E1728" s="145">
        <v>366.14</v>
      </c>
      <c r="F1728" s="145">
        <v>0</v>
      </c>
      <c r="G1728" s="145">
        <v>0</v>
      </c>
      <c r="H1728" s="145">
        <v>0</v>
      </c>
      <c r="I1728" s="77">
        <f t="shared" si="29"/>
        <v>366.14</v>
      </c>
      <c r="J1728" s="123" t="str">
        <f>IFERROR(VLOOKUP($C1728,'CEDARS School FRPL'!C:H,4,FALSE),"No")</f>
        <v>No</v>
      </c>
      <c r="K1728" s="109"/>
      <c r="L1728" s="109"/>
      <c r="M1728" s="110">
        <f>IFERROR(VLOOKUP($C1728,'CEDARS School FRPL'!C:H,3,FALSE),0)</f>
        <v>0.40873333333333334</v>
      </c>
      <c r="N1728" s="123" t="str">
        <f>IFERROR(VLOOKUP(C1728,'CEDARS School FRPL'!C:H,6,FALSE),"No")</f>
        <v>No</v>
      </c>
      <c r="O1728" s="147"/>
      <c r="P1728" s="148"/>
    </row>
    <row r="1729" spans="1:16">
      <c r="A1729" s="95" t="s">
        <v>2348</v>
      </c>
      <c r="B1729" s="95" t="s">
        <v>547</v>
      </c>
      <c r="C1729" s="4">
        <v>3479</v>
      </c>
      <c r="D1729" s="95" t="s">
        <v>618</v>
      </c>
      <c r="E1729" s="145">
        <v>1021.78</v>
      </c>
      <c r="F1729" s="145">
        <v>79.13</v>
      </c>
      <c r="G1729" s="145">
        <v>0</v>
      </c>
      <c r="H1729" s="145">
        <v>0</v>
      </c>
      <c r="I1729" s="77">
        <f t="shared" si="29"/>
        <v>1100.9099999999999</v>
      </c>
      <c r="J1729" s="123" t="str">
        <f>IFERROR(VLOOKUP($C1729,'CEDARS School FRPL'!C:H,4,FALSE),"No")</f>
        <v>No</v>
      </c>
      <c r="K1729" s="109"/>
      <c r="L1729" s="109"/>
      <c r="M1729" s="110">
        <f>IFERROR(VLOOKUP($C1729,'CEDARS School FRPL'!C:H,3,FALSE),0)</f>
        <v>0.3029</v>
      </c>
      <c r="N1729" s="123" t="str">
        <f>IFERROR(VLOOKUP(C1729,'CEDARS School FRPL'!C:H,6,FALSE),"No")</f>
        <v>No</v>
      </c>
      <c r="O1729" s="147"/>
      <c r="P1729" s="148"/>
    </row>
    <row r="1730" spans="1:16">
      <c r="A1730" s="95" t="s">
        <v>2348</v>
      </c>
      <c r="B1730" s="95" t="s">
        <v>547</v>
      </c>
      <c r="C1730" s="4">
        <v>3517</v>
      </c>
      <c r="D1730" s="95" t="s">
        <v>619</v>
      </c>
      <c r="E1730" s="145">
        <v>432.46</v>
      </c>
      <c r="F1730" s="145">
        <v>0</v>
      </c>
      <c r="G1730" s="145">
        <v>0</v>
      </c>
      <c r="H1730" s="145">
        <v>0</v>
      </c>
      <c r="I1730" s="77">
        <f t="shared" si="29"/>
        <v>432.46</v>
      </c>
      <c r="J1730" s="123" t="str">
        <f>IFERROR(VLOOKUP($C1730,'CEDARS School FRPL'!C:H,4,FALSE),"No")</f>
        <v>No</v>
      </c>
      <c r="K1730" s="109"/>
      <c r="L1730" s="109"/>
      <c r="M1730" s="110">
        <f>IFERROR(VLOOKUP($C1730,'CEDARS School FRPL'!C:H,3,FALSE),0)</f>
        <v>0.15680000000000002</v>
      </c>
      <c r="N1730" s="123" t="str">
        <f>IFERROR(VLOOKUP(C1730,'CEDARS School FRPL'!C:H,6,FALSE),"No")</f>
        <v>No</v>
      </c>
      <c r="O1730" s="147"/>
      <c r="P1730" s="148"/>
    </row>
    <row r="1731" spans="1:16">
      <c r="A1731" s="95" t="s">
        <v>2348</v>
      </c>
      <c r="B1731" s="95" t="s">
        <v>547</v>
      </c>
      <c r="C1731" s="4">
        <v>3518</v>
      </c>
      <c r="D1731" s="95" t="s">
        <v>620</v>
      </c>
      <c r="E1731" s="145">
        <v>423.71</v>
      </c>
      <c r="F1731" s="145">
        <v>0</v>
      </c>
      <c r="G1731" s="145">
        <v>0</v>
      </c>
      <c r="H1731" s="145">
        <v>0</v>
      </c>
      <c r="I1731" s="77">
        <f t="shared" si="29"/>
        <v>423.71</v>
      </c>
      <c r="J1731" s="123" t="str">
        <f>IFERROR(VLOOKUP($C1731,'CEDARS School FRPL'!C:H,4,FALSE),"No")</f>
        <v>No</v>
      </c>
      <c r="K1731" s="109"/>
      <c r="L1731" s="109"/>
      <c r="M1731" s="110">
        <f>IFERROR(VLOOKUP($C1731,'CEDARS School FRPL'!C:H,3,FALSE),0)</f>
        <v>0.14566666666666664</v>
      </c>
      <c r="N1731" s="123" t="str">
        <f>IFERROR(VLOOKUP(C1731,'CEDARS School FRPL'!C:H,6,FALSE),"No")</f>
        <v>No</v>
      </c>
      <c r="O1731" s="147"/>
      <c r="P1731" s="148"/>
    </row>
    <row r="1732" spans="1:16">
      <c r="A1732" s="95" t="s">
        <v>2348</v>
      </c>
      <c r="B1732" s="95" t="s">
        <v>547</v>
      </c>
      <c r="C1732" s="4">
        <v>3581</v>
      </c>
      <c r="D1732" s="95" t="s">
        <v>621</v>
      </c>
      <c r="E1732" s="145">
        <v>268.70999999999998</v>
      </c>
      <c r="F1732" s="145">
        <v>0</v>
      </c>
      <c r="G1732" s="145">
        <v>0</v>
      </c>
      <c r="H1732" s="145">
        <v>0</v>
      </c>
      <c r="I1732" s="77">
        <f t="shared" ref="I1732:I1795" si="30">+E1732+F1732+G1732+H1732</f>
        <v>268.70999999999998</v>
      </c>
      <c r="J1732" s="123" t="str">
        <f>IFERROR(VLOOKUP($C1732,'CEDARS School FRPL'!C:H,4,FALSE),"No")</f>
        <v>Yes</v>
      </c>
      <c r="K1732" s="109"/>
      <c r="L1732" s="109"/>
      <c r="M1732" s="110">
        <f>IFERROR(VLOOKUP($C1732,'CEDARS School FRPL'!C:H,3,FALSE),0)</f>
        <v>0.68070000000000019</v>
      </c>
      <c r="N1732" s="123" t="str">
        <f>IFERROR(VLOOKUP(C1732,'CEDARS School FRPL'!C:H,6,FALSE),"No")</f>
        <v>No</v>
      </c>
      <c r="O1732" s="147"/>
      <c r="P1732" s="148"/>
    </row>
    <row r="1733" spans="1:16">
      <c r="A1733" s="95" t="s">
        <v>2348</v>
      </c>
      <c r="B1733" s="95" t="s">
        <v>547</v>
      </c>
      <c r="C1733" s="4">
        <v>3665</v>
      </c>
      <c r="D1733" s="95" t="s">
        <v>622</v>
      </c>
      <c r="E1733" s="145">
        <v>170.09</v>
      </c>
      <c r="F1733" s="145">
        <v>0</v>
      </c>
      <c r="G1733" s="145">
        <v>0</v>
      </c>
      <c r="H1733" s="145">
        <v>0</v>
      </c>
      <c r="I1733" s="77">
        <f t="shared" si="30"/>
        <v>170.09</v>
      </c>
      <c r="J1733" s="123" t="str">
        <f>IFERROR(VLOOKUP($C1733,'CEDARS School FRPL'!C:H,4,FALSE),"No")</f>
        <v>Yes</v>
      </c>
      <c r="K1733" s="109"/>
      <c r="L1733" s="109"/>
      <c r="M1733" s="110">
        <f>IFERROR(VLOOKUP($C1733,'CEDARS School FRPL'!C:H,3,FALSE),0)</f>
        <v>0.53183333333333327</v>
      </c>
      <c r="N1733" s="123" t="str">
        <f>IFERROR(VLOOKUP(C1733,'CEDARS School FRPL'!C:H,6,FALSE),"No")</f>
        <v>No</v>
      </c>
      <c r="O1733" s="147"/>
      <c r="P1733" s="148"/>
    </row>
    <row r="1734" spans="1:16">
      <c r="A1734" s="95" t="s">
        <v>2348</v>
      </c>
      <c r="B1734" s="95" t="s">
        <v>547</v>
      </c>
      <c r="C1734" s="4">
        <v>3714</v>
      </c>
      <c r="D1734" s="95" t="s">
        <v>623</v>
      </c>
      <c r="E1734" s="145">
        <v>286</v>
      </c>
      <c r="F1734" s="145">
        <v>0</v>
      </c>
      <c r="G1734" s="145">
        <v>0</v>
      </c>
      <c r="H1734" s="145">
        <v>0</v>
      </c>
      <c r="I1734" s="77">
        <f t="shared" si="30"/>
        <v>286</v>
      </c>
      <c r="J1734" s="123" t="str">
        <f>IFERROR(VLOOKUP($C1734,'CEDARS School FRPL'!C:H,4,FALSE),"No")</f>
        <v>Yes</v>
      </c>
      <c r="K1734" s="109"/>
      <c r="L1734" s="109"/>
      <c r="M1734" s="110">
        <f>IFERROR(VLOOKUP($C1734,'CEDARS School FRPL'!C:H,3,FALSE),0)</f>
        <v>0.57950000000000002</v>
      </c>
      <c r="N1734" s="123" t="str">
        <f>IFERROR(VLOOKUP(C1734,'CEDARS School FRPL'!C:H,6,FALSE),"No")</f>
        <v>No</v>
      </c>
      <c r="O1734" s="147"/>
      <c r="P1734" s="148"/>
    </row>
    <row r="1735" spans="1:16">
      <c r="A1735" s="95" t="s">
        <v>2348</v>
      </c>
      <c r="B1735" s="95" t="s">
        <v>547</v>
      </c>
      <c r="C1735" s="4">
        <v>3717</v>
      </c>
      <c r="D1735" s="95" t="s">
        <v>624</v>
      </c>
      <c r="E1735" s="145">
        <v>375</v>
      </c>
      <c r="F1735" s="145">
        <v>0</v>
      </c>
      <c r="G1735" s="145">
        <v>0</v>
      </c>
      <c r="H1735" s="145">
        <v>0</v>
      </c>
      <c r="I1735" s="77">
        <f t="shared" si="30"/>
        <v>375</v>
      </c>
      <c r="J1735" s="123" t="str">
        <f>IFERROR(VLOOKUP($C1735,'CEDARS School FRPL'!C:H,4,FALSE),"No")</f>
        <v>No</v>
      </c>
      <c r="K1735" s="109"/>
      <c r="L1735" s="109"/>
      <c r="M1735" s="110">
        <f>IFERROR(VLOOKUP($C1735,'CEDARS School FRPL'!C:H,3,FALSE),0)</f>
        <v>0.14249999999999999</v>
      </c>
      <c r="N1735" s="123" t="str">
        <f>IFERROR(VLOOKUP(C1735,'CEDARS School FRPL'!C:H,6,FALSE),"No")</f>
        <v>No</v>
      </c>
      <c r="O1735" s="147"/>
      <c r="P1735" s="148"/>
    </row>
    <row r="1736" spans="1:16">
      <c r="A1736" s="95" t="s">
        <v>2348</v>
      </c>
      <c r="B1736" s="95" t="s">
        <v>547</v>
      </c>
      <c r="C1736" s="4">
        <v>3774</v>
      </c>
      <c r="D1736" s="95" t="s">
        <v>625</v>
      </c>
      <c r="E1736" s="145">
        <v>716.46</v>
      </c>
      <c r="F1736" s="145">
        <v>0</v>
      </c>
      <c r="G1736" s="145">
        <v>0</v>
      </c>
      <c r="H1736" s="145">
        <v>0</v>
      </c>
      <c r="I1736" s="77">
        <f t="shared" si="30"/>
        <v>716.46</v>
      </c>
      <c r="J1736" s="123" t="str">
        <f>IFERROR(VLOOKUP($C1736,'CEDARS School FRPL'!C:H,4,FALSE),"No")</f>
        <v>Yes</v>
      </c>
      <c r="K1736" s="109"/>
      <c r="L1736" s="109"/>
      <c r="M1736" s="110">
        <f>IFERROR(VLOOKUP($C1736,'CEDARS School FRPL'!C:H,3,FALSE),0)</f>
        <v>0.69609999999999994</v>
      </c>
      <c r="N1736" s="123" t="str">
        <f>IFERROR(VLOOKUP(C1736,'CEDARS School FRPL'!C:H,6,FALSE),"No")</f>
        <v>No</v>
      </c>
      <c r="O1736" s="147"/>
      <c r="P1736" s="148"/>
    </row>
    <row r="1737" spans="1:16">
      <c r="A1737" s="95" t="s">
        <v>2348</v>
      </c>
      <c r="B1737" s="95" t="s">
        <v>547</v>
      </c>
      <c r="C1737" s="4">
        <v>3778</v>
      </c>
      <c r="D1737" s="95" t="s">
        <v>626</v>
      </c>
      <c r="E1737" s="145">
        <v>23.36</v>
      </c>
      <c r="F1737" s="145">
        <v>1</v>
      </c>
      <c r="G1737" s="145">
        <v>0</v>
      </c>
      <c r="H1737" s="145">
        <v>0</v>
      </c>
      <c r="I1737" s="77">
        <f t="shared" si="30"/>
        <v>24.36</v>
      </c>
      <c r="J1737" s="123" t="str">
        <f>IFERROR(VLOOKUP($C1737,'CEDARS School FRPL'!C:H,4,FALSE),"No")</f>
        <v>Yes</v>
      </c>
      <c r="K1737" s="109"/>
      <c r="L1737" s="109"/>
      <c r="M1737" s="110">
        <f>IFERROR(VLOOKUP($C1737,'CEDARS School FRPL'!C:H,3,FALSE),0)</f>
        <v>0.74196666666666677</v>
      </c>
      <c r="N1737" s="123" t="str">
        <f>IFERROR(VLOOKUP(C1737,'CEDARS School FRPL'!C:H,6,FALSE),"No")</f>
        <v>No</v>
      </c>
      <c r="O1737" s="147"/>
      <c r="P1737" s="148"/>
    </row>
    <row r="1738" spans="1:16">
      <c r="A1738" s="95" t="s">
        <v>2348</v>
      </c>
      <c r="B1738" s="95" t="s">
        <v>547</v>
      </c>
      <c r="C1738" s="4">
        <v>3803</v>
      </c>
      <c r="D1738" s="95" t="s">
        <v>627</v>
      </c>
      <c r="E1738" s="145">
        <v>287</v>
      </c>
      <c r="F1738" s="145">
        <v>0</v>
      </c>
      <c r="G1738" s="145">
        <v>0</v>
      </c>
      <c r="H1738" s="145">
        <v>0</v>
      </c>
      <c r="I1738" s="77">
        <f t="shared" si="30"/>
        <v>287</v>
      </c>
      <c r="J1738" s="123" t="str">
        <f>IFERROR(VLOOKUP($C1738,'CEDARS School FRPL'!C:H,4,FALSE),"No")</f>
        <v>Yes</v>
      </c>
      <c r="K1738" s="109"/>
      <c r="L1738" s="109"/>
      <c r="M1738" s="110">
        <f>IFERROR(VLOOKUP($C1738,'CEDARS School FRPL'!C:H,3,FALSE),0)</f>
        <v>0.53083333333333338</v>
      </c>
      <c r="N1738" s="123" t="str">
        <f>IFERROR(VLOOKUP(C1738,'CEDARS School FRPL'!C:H,6,FALSE),"No")</f>
        <v>No</v>
      </c>
      <c r="O1738" s="147"/>
      <c r="P1738" s="148"/>
    </row>
    <row r="1739" spans="1:16">
      <c r="A1739" s="95" t="s">
        <v>2348</v>
      </c>
      <c r="B1739" s="95" t="s">
        <v>547</v>
      </c>
      <c r="C1739" s="4">
        <v>3868</v>
      </c>
      <c r="D1739" s="95" t="s">
        <v>628</v>
      </c>
      <c r="E1739" s="145">
        <v>236.47</v>
      </c>
      <c r="F1739" s="145">
        <v>2.78</v>
      </c>
      <c r="G1739" s="145">
        <v>0</v>
      </c>
      <c r="H1739" s="145">
        <v>0</v>
      </c>
      <c r="I1739" s="77">
        <f t="shared" si="30"/>
        <v>239.25</v>
      </c>
      <c r="J1739" s="123" t="str">
        <f>IFERROR(VLOOKUP($C1739,'CEDARS School FRPL'!C:H,4,FALSE),"No")</f>
        <v>No</v>
      </c>
      <c r="K1739" s="109"/>
      <c r="L1739" s="109"/>
      <c r="M1739" s="110">
        <f>IFERROR(VLOOKUP($C1739,'CEDARS School FRPL'!C:H,3,FALSE),0)</f>
        <v>0.28483333333333333</v>
      </c>
      <c r="N1739" s="123" t="str">
        <f>IFERROR(VLOOKUP(C1739,'CEDARS School FRPL'!C:H,6,FALSE),"No")</f>
        <v>No</v>
      </c>
      <c r="O1739" s="147"/>
      <c r="P1739" s="148"/>
    </row>
    <row r="1740" spans="1:16">
      <c r="A1740" s="95" t="s">
        <v>2348</v>
      </c>
      <c r="B1740" s="95" t="s">
        <v>547</v>
      </c>
      <c r="C1740" s="4">
        <v>3874</v>
      </c>
      <c r="D1740" s="95" t="s">
        <v>629</v>
      </c>
      <c r="E1740" s="145">
        <v>93.26</v>
      </c>
      <c r="F1740" s="145">
        <v>0</v>
      </c>
      <c r="G1740" s="145">
        <v>0</v>
      </c>
      <c r="H1740" s="145">
        <v>0</v>
      </c>
      <c r="I1740" s="77">
        <f t="shared" si="30"/>
        <v>93.26</v>
      </c>
      <c r="J1740" s="123" t="str">
        <f>IFERROR(VLOOKUP($C1740,'CEDARS School FRPL'!C:H,4,FALSE),"No")</f>
        <v>Yes</v>
      </c>
      <c r="K1740" s="109"/>
      <c r="L1740" s="109"/>
      <c r="M1740" s="110">
        <f>IFERROR(VLOOKUP($C1740,'CEDARS School FRPL'!C:H,3,FALSE),0)</f>
        <v>0.54526666666666668</v>
      </c>
      <c r="N1740" s="123" t="str">
        <f>IFERROR(VLOOKUP(C1740,'CEDARS School FRPL'!C:H,6,FALSE),"No")</f>
        <v>No</v>
      </c>
      <c r="O1740" s="147"/>
      <c r="P1740" s="148"/>
    </row>
    <row r="1741" spans="1:16">
      <c r="A1741" s="95" t="s">
        <v>2348</v>
      </c>
      <c r="B1741" s="95" t="s">
        <v>547</v>
      </c>
      <c r="C1741" s="4">
        <v>3974</v>
      </c>
      <c r="D1741" s="95" t="s">
        <v>630</v>
      </c>
      <c r="E1741" s="145">
        <v>455.29</v>
      </c>
      <c r="F1741" s="145">
        <v>0</v>
      </c>
      <c r="G1741" s="145">
        <v>0</v>
      </c>
      <c r="H1741" s="145">
        <v>0</v>
      </c>
      <c r="I1741" s="77">
        <f t="shared" si="30"/>
        <v>455.29</v>
      </c>
      <c r="J1741" s="123" t="str">
        <f>IFERROR(VLOOKUP($C1741,'CEDARS School FRPL'!C:H,4,FALSE),"No")</f>
        <v>No</v>
      </c>
      <c r="K1741" s="109"/>
      <c r="L1741" s="109"/>
      <c r="M1741" s="110">
        <f>IFERROR(VLOOKUP($C1741,'CEDARS School FRPL'!C:H,3,FALSE),0)</f>
        <v>6.6566666666666663E-2</v>
      </c>
      <c r="N1741" s="123" t="str">
        <f>IFERROR(VLOOKUP(C1741,'CEDARS School FRPL'!C:H,6,FALSE),"No")</f>
        <v>No</v>
      </c>
      <c r="O1741" s="147"/>
      <c r="P1741" s="148"/>
    </row>
    <row r="1742" spans="1:16">
      <c r="A1742" s="95" t="s">
        <v>2348</v>
      </c>
      <c r="B1742" s="95" t="s">
        <v>547</v>
      </c>
      <c r="C1742" s="4">
        <v>4064</v>
      </c>
      <c r="D1742" s="95" t="s">
        <v>631</v>
      </c>
      <c r="E1742" s="145">
        <v>557.26</v>
      </c>
      <c r="F1742" s="145">
        <v>0</v>
      </c>
      <c r="G1742" s="145">
        <v>0</v>
      </c>
      <c r="H1742" s="145">
        <v>0</v>
      </c>
      <c r="I1742" s="77">
        <f t="shared" si="30"/>
        <v>557.26</v>
      </c>
      <c r="J1742" s="123" t="str">
        <f>IFERROR(VLOOKUP($C1742,'CEDARS School FRPL'!C:H,4,FALSE),"No")</f>
        <v>No</v>
      </c>
      <c r="K1742" s="109"/>
      <c r="L1742" s="109"/>
      <c r="M1742" s="110">
        <f>IFERROR(VLOOKUP($C1742,'CEDARS School FRPL'!C:H,3,FALSE),0)</f>
        <v>0.46480000000000005</v>
      </c>
      <c r="N1742" s="123" t="str">
        <f>IFERROR(VLOOKUP(C1742,'CEDARS School FRPL'!C:H,6,FALSE),"No")</f>
        <v>No</v>
      </c>
      <c r="O1742" s="147"/>
      <c r="P1742" s="148"/>
    </row>
    <row r="1743" spans="1:16">
      <c r="A1743" s="95" t="s">
        <v>2348</v>
      </c>
      <c r="B1743" s="95" t="s">
        <v>547</v>
      </c>
      <c r="C1743" s="4">
        <v>4065</v>
      </c>
      <c r="D1743" s="95" t="s">
        <v>632</v>
      </c>
      <c r="E1743" s="145">
        <v>396.24</v>
      </c>
      <c r="F1743" s="145">
        <v>0</v>
      </c>
      <c r="G1743" s="145">
        <v>0</v>
      </c>
      <c r="H1743" s="145">
        <v>0</v>
      </c>
      <c r="I1743" s="77">
        <f t="shared" si="30"/>
        <v>396.24</v>
      </c>
      <c r="J1743" s="123" t="str">
        <f>IFERROR(VLOOKUP($C1743,'CEDARS School FRPL'!C:H,4,FALSE),"No")</f>
        <v>No</v>
      </c>
      <c r="K1743" s="109"/>
      <c r="L1743" s="109"/>
      <c r="M1743" s="110">
        <f>IFERROR(VLOOKUP($C1743,'CEDARS School FRPL'!C:H,3,FALSE),0)</f>
        <v>0.30590000000000001</v>
      </c>
      <c r="N1743" s="123" t="str">
        <f>IFERROR(VLOOKUP(C1743,'CEDARS School FRPL'!C:H,6,FALSE),"No")</f>
        <v>No</v>
      </c>
      <c r="O1743" s="147"/>
      <c r="P1743" s="148"/>
    </row>
    <row r="1744" spans="1:16">
      <c r="A1744" s="95" t="s">
        <v>2348</v>
      </c>
      <c r="B1744" s="95" t="s">
        <v>547</v>
      </c>
      <c r="C1744" s="4">
        <v>4218</v>
      </c>
      <c r="D1744" s="95" t="s">
        <v>633</v>
      </c>
      <c r="E1744" s="145">
        <v>526.09</v>
      </c>
      <c r="F1744" s="145">
        <v>0</v>
      </c>
      <c r="G1744" s="145">
        <v>0</v>
      </c>
      <c r="H1744" s="145">
        <v>0</v>
      </c>
      <c r="I1744" s="77">
        <f t="shared" si="30"/>
        <v>526.09</v>
      </c>
      <c r="J1744" s="123" t="str">
        <f>IFERROR(VLOOKUP($C1744,'CEDARS School FRPL'!C:H,4,FALSE),"No")</f>
        <v>Yes</v>
      </c>
      <c r="K1744" s="109"/>
      <c r="L1744" s="109"/>
      <c r="M1744" s="110">
        <f>IFERROR(VLOOKUP($C1744,'CEDARS School FRPL'!C:H,3,FALSE),0)</f>
        <v>0.62906666666666666</v>
      </c>
      <c r="N1744" s="123" t="str">
        <f>IFERROR(VLOOKUP(C1744,'CEDARS School FRPL'!C:H,6,FALSE),"No")</f>
        <v>No</v>
      </c>
      <c r="O1744" s="147"/>
      <c r="P1744" s="148"/>
    </row>
    <row r="1745" spans="1:16">
      <c r="A1745" s="95" t="s">
        <v>2348</v>
      </c>
      <c r="B1745" s="95" t="s">
        <v>547</v>
      </c>
      <c r="C1745" s="4">
        <v>4248</v>
      </c>
      <c r="D1745" s="95" t="s">
        <v>634</v>
      </c>
      <c r="E1745" s="145">
        <v>371.14</v>
      </c>
      <c r="F1745" s="145">
        <v>0</v>
      </c>
      <c r="G1745" s="145">
        <v>0</v>
      </c>
      <c r="H1745" s="145">
        <v>0</v>
      </c>
      <c r="I1745" s="77">
        <f t="shared" si="30"/>
        <v>371.14</v>
      </c>
      <c r="J1745" s="123" t="str">
        <f>IFERROR(VLOOKUP($C1745,'CEDARS School FRPL'!C:H,4,FALSE),"No")</f>
        <v>No</v>
      </c>
      <c r="K1745" s="109"/>
      <c r="L1745" s="109"/>
      <c r="M1745" s="110">
        <f>IFERROR(VLOOKUP($C1745,'CEDARS School FRPL'!C:H,3,FALSE),0)</f>
        <v>0.34439999999999998</v>
      </c>
      <c r="N1745" s="123" t="str">
        <f>IFERROR(VLOOKUP(C1745,'CEDARS School FRPL'!C:H,6,FALSE),"No")</f>
        <v>No</v>
      </c>
      <c r="O1745" s="147"/>
      <c r="P1745" s="148"/>
    </row>
    <row r="1746" spans="1:16">
      <c r="A1746" s="95" t="s">
        <v>2348</v>
      </c>
      <c r="B1746" s="95" t="s">
        <v>547</v>
      </c>
      <c r="C1746" s="4">
        <v>5046</v>
      </c>
      <c r="D1746" s="95" t="s">
        <v>635</v>
      </c>
      <c r="E1746" s="145">
        <v>97.61</v>
      </c>
      <c r="F1746" s="145">
        <v>0</v>
      </c>
      <c r="G1746" s="145">
        <v>0</v>
      </c>
      <c r="H1746" s="145">
        <v>0</v>
      </c>
      <c r="I1746" s="77">
        <f t="shared" si="30"/>
        <v>97.61</v>
      </c>
      <c r="J1746" s="123" t="str">
        <f>IFERROR(VLOOKUP($C1746,'CEDARS School FRPL'!C:H,4,FALSE),"No")</f>
        <v>No</v>
      </c>
      <c r="K1746" s="109"/>
      <c r="L1746" s="109"/>
      <c r="M1746" s="110">
        <f>IFERROR(VLOOKUP($C1746,'CEDARS School FRPL'!C:H,3,FALSE),0)</f>
        <v>0.14936666666666668</v>
      </c>
      <c r="N1746" s="123" t="str">
        <f>IFERROR(VLOOKUP(C1746,'CEDARS School FRPL'!C:H,6,FALSE),"No")</f>
        <v>No</v>
      </c>
      <c r="O1746" s="147"/>
      <c r="P1746" s="148"/>
    </row>
    <row r="1747" spans="1:16">
      <c r="A1747" s="95" t="s">
        <v>2348</v>
      </c>
      <c r="B1747" s="95" t="s">
        <v>547</v>
      </c>
      <c r="C1747" s="4">
        <v>5175</v>
      </c>
      <c r="D1747" s="95" t="s">
        <v>636</v>
      </c>
      <c r="E1747" s="145">
        <v>713.09</v>
      </c>
      <c r="F1747" s="145">
        <v>0</v>
      </c>
      <c r="G1747" s="145">
        <v>0</v>
      </c>
      <c r="H1747" s="145">
        <v>0</v>
      </c>
      <c r="I1747" s="77">
        <f t="shared" si="30"/>
        <v>713.09</v>
      </c>
      <c r="J1747" s="123" t="str">
        <f>IFERROR(VLOOKUP($C1747,'CEDARS School FRPL'!C:H,4,FALSE),"No")</f>
        <v>No</v>
      </c>
      <c r="K1747" s="109"/>
      <c r="L1747" s="109"/>
      <c r="M1747" s="110">
        <f>IFERROR(VLOOKUP($C1747,'CEDARS School FRPL'!C:H,3,FALSE),0)</f>
        <v>0.16453333333333334</v>
      </c>
      <c r="N1747" s="123" t="str">
        <f>IFERROR(VLOOKUP(C1747,'CEDARS School FRPL'!C:H,6,FALSE),"No")</f>
        <v>No</v>
      </c>
      <c r="O1747" s="147"/>
      <c r="P1747" s="148"/>
    </row>
    <row r="1748" spans="1:16">
      <c r="A1748" s="95" t="s">
        <v>2348</v>
      </c>
      <c r="B1748" s="95" t="s">
        <v>547</v>
      </c>
      <c r="C1748" s="4">
        <v>5203</v>
      </c>
      <c r="D1748" s="95" t="s">
        <v>637</v>
      </c>
      <c r="E1748" s="145">
        <v>452.29</v>
      </c>
      <c r="F1748" s="145">
        <v>0</v>
      </c>
      <c r="G1748" s="145">
        <v>0</v>
      </c>
      <c r="H1748" s="145">
        <v>0</v>
      </c>
      <c r="I1748" s="77">
        <f t="shared" si="30"/>
        <v>452.29</v>
      </c>
      <c r="J1748" s="123" t="str">
        <f>IFERROR(VLOOKUP($C1748,'CEDARS School FRPL'!C:H,4,FALSE),"No")</f>
        <v>No</v>
      </c>
      <c r="K1748" s="109"/>
      <c r="L1748" s="109"/>
      <c r="M1748" s="110">
        <f>IFERROR(VLOOKUP($C1748,'CEDARS School FRPL'!C:H,3,FALSE),0)</f>
        <v>1.7233333333333333E-2</v>
      </c>
      <c r="N1748" s="123" t="str">
        <f>IFERROR(VLOOKUP(C1748,'CEDARS School FRPL'!C:H,6,FALSE),"No")</f>
        <v>No</v>
      </c>
      <c r="O1748" s="147"/>
      <c r="P1748" s="148"/>
    </row>
    <row r="1749" spans="1:16">
      <c r="A1749" s="95" t="s">
        <v>2348</v>
      </c>
      <c r="B1749" s="95" t="s">
        <v>547</v>
      </c>
      <c r="C1749" s="4">
        <v>5204</v>
      </c>
      <c r="D1749" s="95" t="s">
        <v>638</v>
      </c>
      <c r="E1749" s="145">
        <v>493.43</v>
      </c>
      <c r="F1749" s="145">
        <v>0</v>
      </c>
      <c r="G1749" s="145">
        <v>0</v>
      </c>
      <c r="H1749" s="145">
        <v>0</v>
      </c>
      <c r="I1749" s="77">
        <f t="shared" si="30"/>
        <v>493.43</v>
      </c>
      <c r="J1749" s="123" t="str">
        <f>IFERROR(VLOOKUP($C1749,'CEDARS School FRPL'!C:H,4,FALSE),"No")</f>
        <v>No</v>
      </c>
      <c r="K1749" s="109"/>
      <c r="L1749" s="109"/>
      <c r="M1749" s="110">
        <f>IFERROR(VLOOKUP($C1749,'CEDARS School FRPL'!C:H,3,FALSE),0)</f>
        <v>0.14456666666666665</v>
      </c>
      <c r="N1749" s="123" t="str">
        <f>IFERROR(VLOOKUP(C1749,'CEDARS School FRPL'!C:H,6,FALSE),"No")</f>
        <v>No</v>
      </c>
      <c r="O1749" s="147"/>
      <c r="P1749" s="148"/>
    </row>
    <row r="1750" spans="1:16">
      <c r="A1750" s="95" t="s">
        <v>2348</v>
      </c>
      <c r="B1750" s="95" t="s">
        <v>547</v>
      </c>
      <c r="C1750" s="4">
        <v>5205</v>
      </c>
      <c r="D1750" s="95" t="s">
        <v>639</v>
      </c>
      <c r="E1750" s="145">
        <v>170.9</v>
      </c>
      <c r="F1750" s="145">
        <v>0</v>
      </c>
      <c r="G1750" s="145">
        <v>0</v>
      </c>
      <c r="H1750" s="145">
        <v>0</v>
      </c>
      <c r="I1750" s="77">
        <f t="shared" si="30"/>
        <v>170.9</v>
      </c>
      <c r="J1750" s="123" t="str">
        <f>IFERROR(VLOOKUP($C1750,'CEDARS School FRPL'!C:H,4,FALSE),"No")</f>
        <v>No</v>
      </c>
      <c r="K1750" s="109"/>
      <c r="L1750" s="109"/>
      <c r="M1750" s="110">
        <f>IFERROR(VLOOKUP($C1750,'CEDARS School FRPL'!C:H,3,FALSE),0)</f>
        <v>0.42563333333333331</v>
      </c>
      <c r="N1750" s="123" t="str">
        <f>IFERROR(VLOOKUP(C1750,'CEDARS School FRPL'!C:H,6,FALSE),"No")</f>
        <v>No</v>
      </c>
      <c r="O1750" s="147"/>
      <c r="P1750" s="148"/>
    </row>
    <row r="1751" spans="1:16">
      <c r="A1751" s="95" t="s">
        <v>2348</v>
      </c>
      <c r="B1751" s="95" t="s">
        <v>547</v>
      </c>
      <c r="C1751" s="4">
        <v>5260</v>
      </c>
      <c r="D1751" s="95" t="s">
        <v>2978</v>
      </c>
      <c r="E1751" s="145">
        <v>103.51</v>
      </c>
      <c r="F1751" s="145">
        <v>0</v>
      </c>
      <c r="G1751" s="145">
        <v>0</v>
      </c>
      <c r="H1751" s="145">
        <v>0</v>
      </c>
      <c r="I1751" s="77">
        <f t="shared" si="30"/>
        <v>103.51</v>
      </c>
      <c r="J1751" s="123" t="str">
        <f>IFERROR(VLOOKUP($C1751,'CEDARS School FRPL'!C:H,4,FALSE),"No")</f>
        <v>No</v>
      </c>
      <c r="M1751" s="110">
        <f>IFERROR(VLOOKUP($C1751,'CEDARS School FRPL'!C:H,3,FALSE),0)</f>
        <v>0</v>
      </c>
      <c r="N1751" s="123" t="str">
        <f>IFERROR(VLOOKUP(C1751,'CEDARS School FRPL'!C:H,6,FALSE),"No")</f>
        <v>No</v>
      </c>
      <c r="O1751" s="147"/>
      <c r="P1751" s="148"/>
    </row>
    <row r="1752" spans="1:16">
      <c r="A1752" s="95" t="s">
        <v>2348</v>
      </c>
      <c r="B1752" s="95" t="s">
        <v>547</v>
      </c>
      <c r="C1752" s="4">
        <v>5276</v>
      </c>
      <c r="D1752" s="95" t="s">
        <v>640</v>
      </c>
      <c r="E1752" s="145">
        <v>487.5</v>
      </c>
      <c r="F1752" s="145">
        <v>0</v>
      </c>
      <c r="G1752" s="145">
        <v>0</v>
      </c>
      <c r="H1752" s="145">
        <v>0</v>
      </c>
      <c r="I1752" s="77">
        <f t="shared" si="30"/>
        <v>487.5</v>
      </c>
      <c r="J1752" s="123" t="str">
        <f>IFERROR(VLOOKUP($C1752,'CEDARS School FRPL'!C:H,4,FALSE),"No")</f>
        <v>No</v>
      </c>
      <c r="K1752" s="109"/>
      <c r="L1752" s="109"/>
      <c r="M1752" s="110">
        <f>IFERROR(VLOOKUP($C1752,'CEDARS School FRPL'!C:H,3,FALSE),0)</f>
        <v>0.31383333333333335</v>
      </c>
      <c r="N1752" s="123" t="str">
        <f>IFERROR(VLOOKUP(C1752,'CEDARS School FRPL'!C:H,6,FALSE),"No")</f>
        <v>No</v>
      </c>
      <c r="O1752" s="147"/>
      <c r="P1752" s="148"/>
    </row>
    <row r="1753" spans="1:16">
      <c r="A1753" s="95" t="s">
        <v>2348</v>
      </c>
      <c r="B1753" s="95" t="s">
        <v>547</v>
      </c>
      <c r="C1753" s="4">
        <v>5292</v>
      </c>
      <c r="D1753" s="95" t="s">
        <v>641</v>
      </c>
      <c r="E1753" s="145">
        <v>473</v>
      </c>
      <c r="F1753" s="145">
        <v>0</v>
      </c>
      <c r="G1753" s="145">
        <v>0</v>
      </c>
      <c r="H1753" s="145">
        <v>0</v>
      </c>
      <c r="I1753" s="77">
        <f t="shared" si="30"/>
        <v>473</v>
      </c>
      <c r="J1753" s="123" t="str">
        <f>IFERROR(VLOOKUP($C1753,'CEDARS School FRPL'!C:H,4,FALSE),"No")</f>
        <v>No</v>
      </c>
      <c r="K1753" s="109"/>
      <c r="L1753" s="109"/>
      <c r="M1753" s="110">
        <f>IFERROR(VLOOKUP($C1753,'CEDARS School FRPL'!C:H,3,FALSE),0)</f>
        <v>3.8666666666666662E-2</v>
      </c>
      <c r="N1753" s="123" t="str">
        <f>IFERROR(VLOOKUP(C1753,'CEDARS School FRPL'!C:H,6,FALSE),"No")</f>
        <v>No</v>
      </c>
      <c r="O1753" s="147"/>
      <c r="P1753" s="148"/>
    </row>
    <row r="1754" spans="1:16">
      <c r="A1754" s="95" t="s">
        <v>2348</v>
      </c>
      <c r="B1754" s="95" t="s">
        <v>547</v>
      </c>
      <c r="C1754" s="4">
        <v>5351</v>
      </c>
      <c r="D1754" s="95" t="s">
        <v>642</v>
      </c>
      <c r="E1754" s="145">
        <v>956.41</v>
      </c>
      <c r="F1754" s="145">
        <v>0</v>
      </c>
      <c r="G1754" s="145">
        <v>0</v>
      </c>
      <c r="H1754" s="145">
        <v>0</v>
      </c>
      <c r="I1754" s="77">
        <f t="shared" si="30"/>
        <v>956.41</v>
      </c>
      <c r="J1754" s="123" t="str">
        <f>IFERROR(VLOOKUP($C1754,'CEDARS School FRPL'!C:H,4,FALSE),"No")</f>
        <v>No</v>
      </c>
      <c r="K1754" s="109"/>
      <c r="L1754" s="109"/>
      <c r="M1754" s="110">
        <f>IFERROR(VLOOKUP($C1754,'CEDARS School FRPL'!C:H,3,FALSE),0)</f>
        <v>0.29003333333333337</v>
      </c>
      <c r="N1754" s="123" t="str">
        <f>IFERROR(VLOOKUP(C1754,'CEDARS School FRPL'!C:H,6,FALSE),"No")</f>
        <v>No</v>
      </c>
      <c r="O1754" s="147"/>
      <c r="P1754" s="148"/>
    </row>
    <row r="1755" spans="1:16">
      <c r="A1755" s="95" t="s">
        <v>2348</v>
      </c>
      <c r="B1755" s="95" t="s">
        <v>547</v>
      </c>
      <c r="C1755" s="4">
        <v>5405</v>
      </c>
      <c r="D1755" s="95" t="s">
        <v>643</v>
      </c>
      <c r="E1755" s="145">
        <v>0</v>
      </c>
      <c r="F1755" s="145">
        <v>0</v>
      </c>
      <c r="G1755" s="145">
        <v>63.53</v>
      </c>
      <c r="H1755" s="145">
        <v>0</v>
      </c>
      <c r="I1755" s="77">
        <f t="shared" si="30"/>
        <v>63.53</v>
      </c>
      <c r="J1755" s="123" t="str">
        <f>IFERROR(VLOOKUP($C1755,'CEDARS School FRPL'!C:H,4,FALSE),"No")</f>
        <v>Yes</v>
      </c>
      <c r="K1755" s="109"/>
      <c r="L1755" s="109"/>
      <c r="M1755" s="110">
        <f>IFERROR(VLOOKUP($C1755,'CEDARS School FRPL'!C:H,3,FALSE),0)</f>
        <v>0.5203000000000001</v>
      </c>
      <c r="N1755" s="123" t="str">
        <f>IFERROR(VLOOKUP(C1755,'CEDARS School FRPL'!C:H,6,FALSE),"No")</f>
        <v>No</v>
      </c>
      <c r="O1755" s="147"/>
      <c r="P1755" s="148"/>
    </row>
    <row r="1756" spans="1:16">
      <c r="A1756" s="95" t="s">
        <v>2348</v>
      </c>
      <c r="B1756" s="95" t="s">
        <v>547</v>
      </c>
      <c r="C1756" s="4">
        <v>5406</v>
      </c>
      <c r="D1756" s="95" t="s">
        <v>644</v>
      </c>
      <c r="E1756" s="145">
        <v>153.51</v>
      </c>
      <c r="F1756" s="145">
        <v>0</v>
      </c>
      <c r="G1756" s="145">
        <v>0</v>
      </c>
      <c r="H1756" s="145">
        <v>0</v>
      </c>
      <c r="I1756" s="77">
        <f t="shared" si="30"/>
        <v>153.51</v>
      </c>
      <c r="J1756" s="123" t="str">
        <f>IFERROR(VLOOKUP($C1756,'CEDARS School FRPL'!C:H,4,FALSE),"No")</f>
        <v>No</v>
      </c>
      <c r="K1756" s="109"/>
      <c r="L1756" s="109"/>
      <c r="M1756" s="110">
        <f>IFERROR(VLOOKUP($C1756,'CEDARS School FRPL'!C:H,3,FALSE),0)</f>
        <v>0.47009999999999996</v>
      </c>
      <c r="N1756" s="123" t="str">
        <f>IFERROR(VLOOKUP(C1756,'CEDARS School FRPL'!C:H,6,FALSE),"No")</f>
        <v>No</v>
      </c>
      <c r="O1756" s="147"/>
      <c r="P1756" s="148"/>
    </row>
    <row r="1757" spans="1:16">
      <c r="A1757" s="95" t="s">
        <v>2348</v>
      </c>
      <c r="B1757" s="95" t="s">
        <v>547</v>
      </c>
      <c r="C1757" s="4">
        <v>5485</v>
      </c>
      <c r="D1757" s="95" t="s">
        <v>2736</v>
      </c>
      <c r="E1757" s="145">
        <v>501.66</v>
      </c>
      <c r="F1757" s="145">
        <v>0</v>
      </c>
      <c r="G1757" s="145">
        <v>0</v>
      </c>
      <c r="H1757" s="145">
        <v>0</v>
      </c>
      <c r="I1757" s="77">
        <f t="shared" si="30"/>
        <v>501.66</v>
      </c>
      <c r="J1757" s="123" t="str">
        <f>IFERROR(VLOOKUP($C1757,'CEDARS School FRPL'!C:H,4,FALSE),"No")</f>
        <v>No</v>
      </c>
      <c r="K1757" s="109"/>
      <c r="L1757" s="109"/>
      <c r="M1757" s="110">
        <f>IFERROR(VLOOKUP($C1757,'CEDARS School FRPL'!C:H,3,FALSE),0)</f>
        <v>0.45723333333333338</v>
      </c>
      <c r="N1757" s="123" t="str">
        <f>IFERROR(VLOOKUP(C1757,'CEDARS School FRPL'!C:H,6,FALSE),"No")</f>
        <v>No</v>
      </c>
      <c r="O1757" s="147"/>
      <c r="P1757" s="148"/>
    </row>
    <row r="1758" spans="1:16">
      <c r="A1758" s="95" t="s">
        <v>2348</v>
      </c>
      <c r="B1758" s="95" t="s">
        <v>547</v>
      </c>
      <c r="C1758" s="4">
        <v>5486</v>
      </c>
      <c r="D1758" s="95" t="s">
        <v>2737</v>
      </c>
      <c r="E1758" s="145">
        <v>688.72</v>
      </c>
      <c r="F1758" s="145">
        <v>0</v>
      </c>
      <c r="G1758" s="145">
        <v>0</v>
      </c>
      <c r="H1758" s="145">
        <v>0</v>
      </c>
      <c r="I1758" s="77">
        <f t="shared" si="30"/>
        <v>688.72</v>
      </c>
      <c r="J1758" s="123" t="str">
        <f>IFERROR(VLOOKUP($C1758,'CEDARS School FRPL'!C:H,4,FALSE),"No")</f>
        <v>No</v>
      </c>
      <c r="K1758" s="109"/>
      <c r="L1758" s="109"/>
      <c r="M1758" s="110">
        <f>IFERROR(VLOOKUP($C1758,'CEDARS School FRPL'!C:H,3,FALSE),0)</f>
        <v>0.24833333333333338</v>
      </c>
      <c r="N1758" s="123" t="str">
        <f>IFERROR(VLOOKUP(C1758,'CEDARS School FRPL'!C:H,6,FALSE),"No")</f>
        <v>No</v>
      </c>
      <c r="O1758" s="147"/>
      <c r="P1758" s="148"/>
    </row>
    <row r="1759" spans="1:16">
      <c r="A1759" s="95" t="s">
        <v>2348</v>
      </c>
      <c r="B1759" s="95" t="s">
        <v>547</v>
      </c>
      <c r="C1759" s="4">
        <v>5487</v>
      </c>
      <c r="D1759" s="95" t="s">
        <v>2734</v>
      </c>
      <c r="E1759" s="145">
        <v>185.57</v>
      </c>
      <c r="F1759" s="145">
        <v>0</v>
      </c>
      <c r="G1759" s="145">
        <v>0</v>
      </c>
      <c r="H1759" s="145">
        <v>0</v>
      </c>
      <c r="I1759" s="77">
        <f t="shared" si="30"/>
        <v>185.57</v>
      </c>
      <c r="J1759" s="123" t="str">
        <f>IFERROR(VLOOKUP($C1759,'CEDARS School FRPL'!C:H,4,FALSE),"No")</f>
        <v>No</v>
      </c>
      <c r="K1759" s="109"/>
      <c r="L1759" s="109"/>
      <c r="M1759" s="110">
        <f>IFERROR(VLOOKUP($C1759,'CEDARS School FRPL'!C:H,3,FALSE),0)</f>
        <v>0.16479999999999997</v>
      </c>
      <c r="N1759" s="123" t="str">
        <f>IFERROR(VLOOKUP(C1759,'CEDARS School FRPL'!C:H,6,FALSE),"No")</f>
        <v>No</v>
      </c>
      <c r="O1759" s="147"/>
      <c r="P1759" s="148"/>
    </row>
    <row r="1760" spans="1:16">
      <c r="A1760" s="95" t="s">
        <v>2348</v>
      </c>
      <c r="B1760" s="95" t="s">
        <v>547</v>
      </c>
      <c r="C1760" s="4">
        <v>5488</v>
      </c>
      <c r="D1760" s="95" t="s">
        <v>2735</v>
      </c>
      <c r="E1760" s="145">
        <v>200.29</v>
      </c>
      <c r="F1760" s="145">
        <v>0</v>
      </c>
      <c r="G1760" s="145">
        <v>0</v>
      </c>
      <c r="H1760" s="145">
        <v>0</v>
      </c>
      <c r="I1760" s="77">
        <f t="shared" si="30"/>
        <v>200.29</v>
      </c>
      <c r="J1760" s="123" t="str">
        <f>IFERROR(VLOOKUP($C1760,'CEDARS School FRPL'!C:H,4,FALSE),"No")</f>
        <v>No</v>
      </c>
      <c r="K1760" s="109"/>
      <c r="L1760" s="109"/>
      <c r="M1760" s="110">
        <f>IFERROR(VLOOKUP($C1760,'CEDARS School FRPL'!C:H,3,FALSE),0)</f>
        <v>2.3099999999999999E-2</v>
      </c>
      <c r="N1760" s="123" t="str">
        <f>IFERROR(VLOOKUP(C1760,'CEDARS School FRPL'!C:H,6,FALSE),"No")</f>
        <v>No</v>
      </c>
      <c r="O1760" s="147"/>
      <c r="P1760" s="148"/>
    </row>
    <row r="1761" spans="1:16">
      <c r="A1761" s="95" t="s">
        <v>2348</v>
      </c>
      <c r="B1761" s="95" t="s">
        <v>547</v>
      </c>
      <c r="C1761" s="4">
        <v>5565</v>
      </c>
      <c r="D1761" s="95" t="s">
        <v>2919</v>
      </c>
      <c r="E1761" s="145">
        <v>308.17</v>
      </c>
      <c r="F1761" s="145">
        <v>0</v>
      </c>
      <c r="G1761" s="145">
        <v>0</v>
      </c>
      <c r="H1761" s="145">
        <v>0</v>
      </c>
      <c r="I1761" s="77">
        <f t="shared" si="30"/>
        <v>308.17</v>
      </c>
      <c r="J1761" s="123" t="str">
        <f>IFERROR(VLOOKUP($C1761,'CEDARS School FRPL'!C:H,4,FALSE),"No")</f>
        <v>No</v>
      </c>
      <c r="K1761" s="109"/>
      <c r="L1761" s="109"/>
      <c r="M1761" s="110">
        <f>IFERROR(VLOOKUP($C1761,'CEDARS School FRPL'!C:H,3,FALSE),0)</f>
        <v>9.853333333333332E-2</v>
      </c>
      <c r="N1761" s="123" t="str">
        <f>IFERROR(VLOOKUP(C1761,'CEDARS School FRPL'!C:H,6,FALSE),"No")</f>
        <v>No</v>
      </c>
      <c r="O1761" s="147"/>
      <c r="P1761" s="148"/>
    </row>
    <row r="1762" spans="1:16">
      <c r="A1762" s="95" t="s">
        <v>2348</v>
      </c>
      <c r="B1762" s="95" t="s">
        <v>547</v>
      </c>
      <c r="C1762" s="4">
        <v>5566</v>
      </c>
      <c r="D1762" s="95" t="s">
        <v>142</v>
      </c>
      <c r="E1762" s="145">
        <v>1333.15</v>
      </c>
      <c r="F1762" s="145">
        <v>34.22</v>
      </c>
      <c r="G1762" s="145">
        <v>0</v>
      </c>
      <c r="H1762" s="145">
        <v>0</v>
      </c>
      <c r="I1762" s="77">
        <f t="shared" si="30"/>
        <v>1367.3700000000001</v>
      </c>
      <c r="J1762" s="123" t="str">
        <f>IFERROR(VLOOKUP($C1762,'CEDARS School FRPL'!C:H,4,FALSE),"No")</f>
        <v>No</v>
      </c>
      <c r="K1762" s="109"/>
      <c r="L1762" s="109"/>
      <c r="M1762" s="110">
        <f>IFERROR(VLOOKUP($C1762,'CEDARS School FRPL'!C:H,3,FALSE),0)</f>
        <v>7.8699999999999992E-2</v>
      </c>
      <c r="N1762" s="123" t="str">
        <f>IFERROR(VLOOKUP(C1762,'CEDARS School FRPL'!C:H,6,FALSE),"No")</f>
        <v>No</v>
      </c>
      <c r="O1762" s="147"/>
      <c r="P1762" s="148"/>
    </row>
    <row r="1763" spans="1:16">
      <c r="A1763" s="95" t="s">
        <v>2348</v>
      </c>
      <c r="B1763" s="95" t="s">
        <v>547</v>
      </c>
      <c r="C1763" s="4">
        <v>5649</v>
      </c>
      <c r="D1763" s="95" t="s">
        <v>553</v>
      </c>
      <c r="E1763" s="145">
        <v>253.51</v>
      </c>
      <c r="F1763" s="145">
        <v>0.08</v>
      </c>
      <c r="G1763" s="145">
        <v>0</v>
      </c>
      <c r="H1763" s="145">
        <v>0</v>
      </c>
      <c r="I1763" s="77">
        <f t="shared" si="30"/>
        <v>253.59</v>
      </c>
      <c r="J1763" s="123" t="str">
        <f>IFERROR(VLOOKUP($C1763,'CEDARS School FRPL'!C:H,4,FALSE),"No")</f>
        <v>No</v>
      </c>
      <c r="K1763" s="109"/>
      <c r="L1763" s="109"/>
      <c r="M1763" s="110">
        <f>IFERROR(VLOOKUP($C1763,'CEDARS School FRPL'!C:H,3,FALSE),0)</f>
        <v>0.15455000000000002</v>
      </c>
      <c r="N1763" s="123" t="str">
        <f>IFERROR(VLOOKUP(C1763,'CEDARS School FRPL'!C:H,6,FALSE),"No")</f>
        <v>No</v>
      </c>
      <c r="O1763" s="147"/>
      <c r="P1763" s="148"/>
    </row>
    <row r="1764" spans="1:16">
      <c r="A1764" s="95" t="s">
        <v>2462</v>
      </c>
      <c r="B1764" s="95" t="s">
        <v>1554</v>
      </c>
      <c r="C1764" s="4">
        <v>1537</v>
      </c>
      <c r="D1764" s="95" t="s">
        <v>1555</v>
      </c>
      <c r="E1764" s="145">
        <v>99.86</v>
      </c>
      <c r="F1764" s="145">
        <v>4.8100000000000005</v>
      </c>
      <c r="G1764" s="145">
        <v>0</v>
      </c>
      <c r="H1764" s="145">
        <v>0</v>
      </c>
      <c r="I1764" s="77">
        <f t="shared" si="30"/>
        <v>104.67</v>
      </c>
      <c r="J1764" s="123" t="str">
        <f>IFERROR(VLOOKUP($C1764,'CEDARS School FRPL'!C:H,4,FALSE),"No")</f>
        <v>Yes</v>
      </c>
      <c r="K1764" s="109"/>
      <c r="L1764" s="109"/>
      <c r="M1764" s="110">
        <f>IFERROR(VLOOKUP($C1764,'CEDARS School FRPL'!C:H,3,FALSE),0)</f>
        <v>0.60866666666666669</v>
      </c>
      <c r="N1764" s="123" t="str">
        <f>IFERROR(VLOOKUP(C1764,'CEDARS School FRPL'!C:H,6,FALSE),"No")</f>
        <v>No</v>
      </c>
      <c r="O1764" s="147"/>
      <c r="P1764" s="148"/>
    </row>
    <row r="1765" spans="1:16">
      <c r="A1765" s="95" t="s">
        <v>2462</v>
      </c>
      <c r="B1765" s="95" t="s">
        <v>1554</v>
      </c>
      <c r="C1765" s="4">
        <v>2150</v>
      </c>
      <c r="D1765" s="95" t="s">
        <v>1556</v>
      </c>
      <c r="E1765" s="145">
        <v>1103.95</v>
      </c>
      <c r="F1765" s="145">
        <v>50.13</v>
      </c>
      <c r="G1765" s="145">
        <v>0</v>
      </c>
      <c r="H1765" s="145">
        <v>0</v>
      </c>
      <c r="I1765" s="77">
        <f t="shared" si="30"/>
        <v>1154.0800000000002</v>
      </c>
      <c r="J1765" s="123" t="str">
        <f>IFERROR(VLOOKUP($C1765,'CEDARS School FRPL'!C:H,4,FALSE),"No")</f>
        <v>No</v>
      </c>
      <c r="K1765" s="109"/>
      <c r="L1765" s="109"/>
      <c r="M1765" s="110">
        <f>IFERROR(VLOOKUP($C1765,'CEDARS School FRPL'!C:H,3,FALSE),0)</f>
        <v>0.4800666666666667</v>
      </c>
      <c r="N1765" s="123" t="str">
        <f>IFERROR(VLOOKUP(C1765,'CEDARS School FRPL'!C:H,6,FALSE),"No")</f>
        <v>No</v>
      </c>
      <c r="O1765" s="147"/>
      <c r="P1765" s="148"/>
    </row>
    <row r="1766" spans="1:16">
      <c r="A1766" s="95" t="s">
        <v>2462</v>
      </c>
      <c r="B1766" s="95" t="s">
        <v>1554</v>
      </c>
      <c r="C1766" s="4">
        <v>2380</v>
      </c>
      <c r="D1766" s="95" t="s">
        <v>476</v>
      </c>
      <c r="E1766" s="145">
        <v>413.29</v>
      </c>
      <c r="F1766" s="145">
        <v>0</v>
      </c>
      <c r="G1766" s="145">
        <v>0</v>
      </c>
      <c r="H1766" s="145">
        <v>0</v>
      </c>
      <c r="I1766" s="77">
        <f t="shared" si="30"/>
        <v>413.29</v>
      </c>
      <c r="J1766" s="123" t="str">
        <f>IFERROR(VLOOKUP($C1766,'CEDARS School FRPL'!C:H,4,FALSE),"No")</f>
        <v>Yes</v>
      </c>
      <c r="K1766" s="109"/>
      <c r="L1766" s="109"/>
      <c r="M1766" s="110">
        <f>IFERROR(VLOOKUP($C1766,'CEDARS School FRPL'!C:H,3,FALSE),0)</f>
        <v>0.56530000000000002</v>
      </c>
      <c r="N1766" s="123" t="str">
        <f>IFERROR(VLOOKUP(C1766,'CEDARS School FRPL'!C:H,6,FALSE),"No")</f>
        <v>No</v>
      </c>
      <c r="O1766" s="147"/>
      <c r="P1766" s="148"/>
    </row>
    <row r="1767" spans="1:16">
      <c r="A1767" s="95" t="s">
        <v>2462</v>
      </c>
      <c r="B1767" s="95" t="s">
        <v>1554</v>
      </c>
      <c r="C1767" s="4">
        <v>2521</v>
      </c>
      <c r="D1767" s="95" t="s">
        <v>1557</v>
      </c>
      <c r="E1767" s="145">
        <v>242.16</v>
      </c>
      <c r="F1767" s="145">
        <v>0</v>
      </c>
      <c r="G1767" s="145">
        <v>0</v>
      </c>
      <c r="H1767" s="145">
        <v>0</v>
      </c>
      <c r="I1767" s="77">
        <f t="shared" si="30"/>
        <v>242.16</v>
      </c>
      <c r="J1767" s="123" t="str">
        <f>IFERROR(VLOOKUP($C1767,'CEDARS School FRPL'!C:H,4,FALSE),"No")</f>
        <v>No</v>
      </c>
      <c r="K1767" s="109"/>
      <c r="L1767" s="109"/>
      <c r="M1767" s="110">
        <f>IFERROR(VLOOKUP($C1767,'CEDARS School FRPL'!C:H,3,FALSE),0)</f>
        <v>0.21709999999999999</v>
      </c>
      <c r="N1767" s="123" t="str">
        <f>IFERROR(VLOOKUP(C1767,'CEDARS School FRPL'!C:H,6,FALSE),"No")</f>
        <v>No</v>
      </c>
      <c r="O1767" s="147"/>
      <c r="P1767" s="148"/>
    </row>
    <row r="1768" spans="1:16">
      <c r="A1768" s="95" t="s">
        <v>2462</v>
      </c>
      <c r="B1768" s="95" t="s">
        <v>1554</v>
      </c>
      <c r="C1768" s="4">
        <v>2620</v>
      </c>
      <c r="D1768" s="95" t="s">
        <v>1558</v>
      </c>
      <c r="E1768" s="145">
        <v>155.43</v>
      </c>
      <c r="F1768" s="145">
        <v>0</v>
      </c>
      <c r="G1768" s="145">
        <v>0</v>
      </c>
      <c r="H1768" s="145">
        <v>0</v>
      </c>
      <c r="I1768" s="77">
        <f t="shared" si="30"/>
        <v>155.43</v>
      </c>
      <c r="J1768" s="123" t="str">
        <f>IFERROR(VLOOKUP($C1768,'CEDARS School FRPL'!C:H,4,FALSE),"No")</f>
        <v>No</v>
      </c>
      <c r="K1768" s="109"/>
      <c r="L1768" s="109"/>
      <c r="M1768" s="110">
        <f>IFERROR(VLOOKUP($C1768,'CEDARS School FRPL'!C:H,3,FALSE),0)</f>
        <v>0.44443333333333329</v>
      </c>
      <c r="N1768" s="123" t="str">
        <f>IFERROR(VLOOKUP(C1768,'CEDARS School FRPL'!C:H,6,FALSE),"No")</f>
        <v>No</v>
      </c>
      <c r="O1768" s="147"/>
      <c r="P1768" s="148"/>
    </row>
    <row r="1769" spans="1:16">
      <c r="A1769" s="95" t="s">
        <v>2462</v>
      </c>
      <c r="B1769" s="95" t="s">
        <v>1554</v>
      </c>
      <c r="C1769" s="4">
        <v>2774</v>
      </c>
      <c r="D1769" s="95" t="s">
        <v>1559</v>
      </c>
      <c r="E1769" s="145">
        <v>394.14</v>
      </c>
      <c r="F1769" s="145">
        <v>0</v>
      </c>
      <c r="G1769" s="145">
        <v>0</v>
      </c>
      <c r="H1769" s="145">
        <v>0</v>
      </c>
      <c r="I1769" s="77">
        <f t="shared" si="30"/>
        <v>394.14</v>
      </c>
      <c r="J1769" s="123" t="str">
        <f>IFERROR(VLOOKUP($C1769,'CEDARS School FRPL'!C:H,4,FALSE),"No")</f>
        <v>Yes</v>
      </c>
      <c r="K1769" s="109"/>
      <c r="L1769" s="109"/>
      <c r="M1769" s="110">
        <f>IFERROR(VLOOKUP($C1769,'CEDARS School FRPL'!C:H,3,FALSE),0)</f>
        <v>0.66353333333333342</v>
      </c>
      <c r="N1769" s="123" t="str">
        <f>IFERROR(VLOOKUP(C1769,'CEDARS School FRPL'!C:H,6,FALSE),"No")</f>
        <v>No</v>
      </c>
      <c r="O1769" s="147"/>
      <c r="P1769" s="148"/>
    </row>
    <row r="1770" spans="1:16">
      <c r="A1770" s="95" t="s">
        <v>2462</v>
      </c>
      <c r="B1770" s="95" t="s">
        <v>1554</v>
      </c>
      <c r="C1770" s="4">
        <v>3181</v>
      </c>
      <c r="D1770" s="95" t="s">
        <v>231</v>
      </c>
      <c r="E1770" s="145">
        <v>682.43</v>
      </c>
      <c r="F1770" s="145">
        <v>0</v>
      </c>
      <c r="G1770" s="145">
        <v>0</v>
      </c>
      <c r="H1770" s="145">
        <v>0</v>
      </c>
      <c r="I1770" s="77">
        <f t="shared" si="30"/>
        <v>682.43</v>
      </c>
      <c r="J1770" s="123" t="str">
        <f>IFERROR(VLOOKUP($C1770,'CEDARS School FRPL'!C:H,4,FALSE),"No")</f>
        <v>Yes</v>
      </c>
      <c r="K1770" s="109"/>
      <c r="L1770" s="109"/>
      <c r="M1770" s="110">
        <f>IFERROR(VLOOKUP($C1770,'CEDARS School FRPL'!C:H,3,FALSE),0)</f>
        <v>0.52780000000000005</v>
      </c>
      <c r="N1770" s="123" t="str">
        <f>IFERROR(VLOOKUP(C1770,'CEDARS School FRPL'!C:H,6,FALSE),"No")</f>
        <v>No</v>
      </c>
      <c r="O1770" s="147"/>
      <c r="P1770" s="148"/>
    </row>
    <row r="1771" spans="1:16">
      <c r="A1771" s="95" t="s">
        <v>2462</v>
      </c>
      <c r="B1771" s="95" t="s">
        <v>1554</v>
      </c>
      <c r="C1771" s="4">
        <v>3402</v>
      </c>
      <c r="D1771" s="95" t="s">
        <v>1560</v>
      </c>
      <c r="E1771" s="145">
        <v>172.57</v>
      </c>
      <c r="F1771" s="145">
        <v>0</v>
      </c>
      <c r="G1771" s="145">
        <v>0</v>
      </c>
      <c r="H1771" s="145">
        <v>0</v>
      </c>
      <c r="I1771" s="77">
        <f t="shared" si="30"/>
        <v>172.57</v>
      </c>
      <c r="J1771" s="123" t="str">
        <f>IFERROR(VLOOKUP($C1771,'CEDARS School FRPL'!C:H,4,FALSE),"No")</f>
        <v>No</v>
      </c>
      <c r="K1771" s="109"/>
      <c r="L1771" s="109"/>
      <c r="M1771" s="110">
        <f>IFERROR(VLOOKUP($C1771,'CEDARS School FRPL'!C:H,3,FALSE),0)</f>
        <v>0.39093333333333335</v>
      </c>
      <c r="N1771" s="123" t="str">
        <f>IFERROR(VLOOKUP(C1771,'CEDARS School FRPL'!C:H,6,FALSE),"No")</f>
        <v>No</v>
      </c>
      <c r="O1771" s="147"/>
      <c r="P1771" s="148"/>
    </row>
    <row r="1772" spans="1:16">
      <c r="A1772" s="95" t="s">
        <v>2462</v>
      </c>
      <c r="B1772" s="95" t="s">
        <v>1554</v>
      </c>
      <c r="C1772" s="4">
        <v>3403</v>
      </c>
      <c r="D1772" s="95" t="s">
        <v>1561</v>
      </c>
      <c r="E1772" s="145">
        <v>268.04000000000002</v>
      </c>
      <c r="F1772" s="145">
        <v>0</v>
      </c>
      <c r="G1772" s="145">
        <v>0</v>
      </c>
      <c r="H1772" s="145">
        <v>0</v>
      </c>
      <c r="I1772" s="77">
        <f t="shared" si="30"/>
        <v>268.04000000000002</v>
      </c>
      <c r="J1772" s="123" t="str">
        <f>IFERROR(VLOOKUP($C1772,'CEDARS School FRPL'!C:H,4,FALSE),"No")</f>
        <v>No</v>
      </c>
      <c r="K1772" s="109"/>
      <c r="L1772" s="109"/>
      <c r="M1772" s="110">
        <f>IFERROR(VLOOKUP($C1772,'CEDARS School FRPL'!C:H,3,FALSE),0)</f>
        <v>0.37316666666666665</v>
      </c>
      <c r="N1772" s="123" t="str">
        <f>IFERROR(VLOOKUP(C1772,'CEDARS School FRPL'!C:H,6,FALSE),"No")</f>
        <v>No</v>
      </c>
      <c r="O1772" s="147"/>
      <c r="P1772" s="148"/>
    </row>
    <row r="1773" spans="1:16">
      <c r="A1773" s="95" t="s">
        <v>2462</v>
      </c>
      <c r="B1773" s="95" t="s">
        <v>1554</v>
      </c>
      <c r="C1773" s="4">
        <v>3942</v>
      </c>
      <c r="D1773" s="95" t="s">
        <v>1209</v>
      </c>
      <c r="E1773" s="145">
        <v>532.87</v>
      </c>
      <c r="F1773" s="145">
        <v>0</v>
      </c>
      <c r="G1773" s="145">
        <v>0</v>
      </c>
      <c r="H1773" s="145">
        <v>0</v>
      </c>
      <c r="I1773" s="77">
        <f t="shared" si="30"/>
        <v>532.87</v>
      </c>
      <c r="J1773" s="123" t="str">
        <f>IFERROR(VLOOKUP($C1773,'CEDARS School FRPL'!C:H,4,FALSE),"No")</f>
        <v>Yes</v>
      </c>
      <c r="K1773" s="109"/>
      <c r="L1773" s="109"/>
      <c r="M1773" s="110">
        <f>IFERROR(VLOOKUP($C1773,'CEDARS School FRPL'!C:H,3,FALSE),0)</f>
        <v>0.62506666666666666</v>
      </c>
      <c r="N1773" s="123" t="str">
        <f>IFERROR(VLOOKUP(C1773,'CEDARS School FRPL'!C:H,6,FALSE),"No")</f>
        <v>No</v>
      </c>
      <c r="O1773" s="147"/>
      <c r="P1773" s="148"/>
    </row>
    <row r="1774" spans="1:16">
      <c r="A1774" s="95" t="s">
        <v>2462</v>
      </c>
      <c r="B1774" s="95" t="s">
        <v>1554</v>
      </c>
      <c r="C1774" s="4">
        <v>5456</v>
      </c>
      <c r="D1774" s="95" t="s">
        <v>2842</v>
      </c>
      <c r="E1774" s="145">
        <v>0</v>
      </c>
      <c r="F1774" s="145">
        <v>0</v>
      </c>
      <c r="G1774" s="145">
        <v>31.71</v>
      </c>
      <c r="H1774" s="145">
        <v>0</v>
      </c>
      <c r="I1774" s="77">
        <f t="shared" si="30"/>
        <v>31.71</v>
      </c>
      <c r="J1774" s="123" t="str">
        <f>IFERROR(VLOOKUP($C1774,'CEDARS School FRPL'!C:H,4,FALSE),"No")</f>
        <v>No</v>
      </c>
      <c r="K1774" s="109"/>
      <c r="L1774" s="109"/>
      <c r="M1774" s="110">
        <f>IFERROR(VLOOKUP($C1774,'CEDARS School FRPL'!C:H,3,FALSE),0)</f>
        <v>0</v>
      </c>
      <c r="N1774" s="123" t="str">
        <f>IFERROR(VLOOKUP(C1774,'CEDARS School FRPL'!C:H,6,FALSE),"No")</f>
        <v>No</v>
      </c>
      <c r="O1774" s="147"/>
      <c r="P1774" s="148"/>
    </row>
    <row r="1775" spans="1:16">
      <c r="A1775" s="95" t="s">
        <v>2462</v>
      </c>
      <c r="B1775" s="95" t="s">
        <v>1554</v>
      </c>
      <c r="C1775" s="4">
        <v>5692</v>
      </c>
      <c r="D1775" s="95" t="s">
        <v>3046</v>
      </c>
      <c r="E1775" s="145">
        <v>145.30000000000001</v>
      </c>
      <c r="F1775" s="145">
        <v>0</v>
      </c>
      <c r="G1775" s="145">
        <v>0</v>
      </c>
      <c r="H1775" s="145">
        <v>0</v>
      </c>
      <c r="I1775" s="77">
        <f t="shared" si="30"/>
        <v>145.30000000000001</v>
      </c>
      <c r="J1775" s="123" t="str">
        <f>IFERROR(VLOOKUP($C1775,'CEDARS School FRPL'!C:H,4,FALSE),"No")</f>
        <v>No</v>
      </c>
      <c r="K1775" s="109"/>
      <c r="L1775" s="109"/>
      <c r="M1775" s="110">
        <f>IFERROR(VLOOKUP($C1775,'CEDARS School FRPL'!C:H,3,FALSE),0)</f>
        <v>0.48599999999999999</v>
      </c>
      <c r="N1775" s="123" t="str">
        <f>IFERROR(VLOOKUP(C1775,'CEDARS School FRPL'!C:H,6,FALSE),"No")</f>
        <v>No</v>
      </c>
      <c r="O1775" s="147"/>
      <c r="P1775" s="148"/>
    </row>
    <row r="1776" spans="1:16">
      <c r="A1776" s="95" t="s">
        <v>2557</v>
      </c>
      <c r="B1776" s="95" t="s">
        <v>2195</v>
      </c>
      <c r="C1776" s="4">
        <v>2388</v>
      </c>
      <c r="D1776" s="95" t="s">
        <v>2196</v>
      </c>
      <c r="E1776" s="145">
        <v>1016.57</v>
      </c>
      <c r="F1776" s="145">
        <v>36.5</v>
      </c>
      <c r="G1776" s="145">
        <v>0</v>
      </c>
      <c r="H1776" s="145">
        <v>0</v>
      </c>
      <c r="I1776" s="77">
        <f t="shared" si="30"/>
        <v>1053.0700000000002</v>
      </c>
      <c r="J1776" s="123" t="str">
        <f>IFERROR(VLOOKUP($C1776,'CEDARS School FRPL'!C:H,4,FALSE),"No")</f>
        <v>No</v>
      </c>
      <c r="K1776" s="109"/>
      <c r="L1776" s="109"/>
      <c r="M1776" s="110">
        <f>IFERROR(VLOOKUP($C1776,'CEDARS School FRPL'!C:H,3,FALSE),0)</f>
        <v>0.48449999999999999</v>
      </c>
      <c r="N1776" s="123" t="str">
        <f>IFERROR(VLOOKUP(C1776,'CEDARS School FRPL'!C:H,6,FALSE),"No")</f>
        <v>No</v>
      </c>
      <c r="O1776" s="147"/>
      <c r="P1776" s="148"/>
    </row>
    <row r="1777" spans="1:16">
      <c r="A1777" s="95" t="s">
        <v>2557</v>
      </c>
      <c r="B1777" s="95" t="s">
        <v>2195</v>
      </c>
      <c r="C1777" s="4">
        <v>4272</v>
      </c>
      <c r="D1777" s="95" t="s">
        <v>2922</v>
      </c>
      <c r="E1777" s="145">
        <v>35.28</v>
      </c>
      <c r="F1777" s="145">
        <v>0</v>
      </c>
      <c r="G1777" s="145">
        <v>0</v>
      </c>
      <c r="H1777" s="145">
        <v>0</v>
      </c>
      <c r="I1777" s="77">
        <f t="shared" si="30"/>
        <v>35.28</v>
      </c>
      <c r="J1777" s="123" t="str">
        <f>IFERROR(VLOOKUP($C1777,'CEDARS School FRPL'!C:H,4,FALSE),"No")</f>
        <v>Yes</v>
      </c>
      <c r="K1777" s="109"/>
      <c r="L1777" s="109"/>
      <c r="M1777" s="110">
        <f>IFERROR(VLOOKUP($C1777,'CEDARS School FRPL'!C:H,3,FALSE),0)</f>
        <v>0.56669999999999998</v>
      </c>
      <c r="N1777" s="123" t="str">
        <f>IFERROR(VLOOKUP(C1777,'CEDARS School FRPL'!C:H,6,FALSE),"No")</f>
        <v>No</v>
      </c>
      <c r="O1777" s="147"/>
      <c r="P1777" s="148"/>
    </row>
    <row r="1778" spans="1:16">
      <c r="A1778" s="95" t="s">
        <v>2557</v>
      </c>
      <c r="B1778" s="95" t="s">
        <v>2195</v>
      </c>
      <c r="C1778" s="4">
        <v>5231</v>
      </c>
      <c r="D1778" s="95" t="s">
        <v>2197</v>
      </c>
      <c r="E1778" s="145">
        <v>70.599999999999994</v>
      </c>
      <c r="F1778" s="145">
        <v>0</v>
      </c>
      <c r="G1778" s="145">
        <v>0</v>
      </c>
      <c r="H1778" s="145">
        <v>0</v>
      </c>
      <c r="I1778" s="77">
        <f t="shared" si="30"/>
        <v>70.599999999999994</v>
      </c>
      <c r="J1778" s="123" t="str">
        <f>IFERROR(VLOOKUP($C1778,'CEDARS School FRPL'!C:H,4,FALSE),"No")</f>
        <v>No</v>
      </c>
      <c r="K1778" s="109"/>
      <c r="L1778" s="109"/>
      <c r="M1778" s="110">
        <f>IFERROR(VLOOKUP($C1778,'CEDARS School FRPL'!C:H,3,FALSE),0)</f>
        <v>0.41436666666666661</v>
      </c>
      <c r="N1778" s="123" t="str">
        <f>IFERROR(VLOOKUP(C1778,'CEDARS School FRPL'!C:H,6,FALSE),"No")</f>
        <v>No</v>
      </c>
      <c r="O1778" s="147"/>
      <c r="P1778" s="148"/>
    </row>
    <row r="1779" spans="1:16">
      <c r="A1779" s="95" t="s">
        <v>2557</v>
      </c>
      <c r="B1779" s="95" t="s">
        <v>2195</v>
      </c>
      <c r="C1779" s="4">
        <v>5232</v>
      </c>
      <c r="D1779" s="95" t="s">
        <v>2921</v>
      </c>
      <c r="E1779" s="145">
        <v>293.45999999999998</v>
      </c>
      <c r="F1779" s="145">
        <v>0</v>
      </c>
      <c r="G1779" s="145">
        <v>0</v>
      </c>
      <c r="H1779" s="145">
        <v>0</v>
      </c>
      <c r="I1779" s="77">
        <f t="shared" si="30"/>
        <v>293.45999999999998</v>
      </c>
      <c r="J1779" s="123" t="str">
        <f>IFERROR(VLOOKUP($C1779,'CEDARS School FRPL'!C:H,4,FALSE),"No")</f>
        <v>Yes</v>
      </c>
      <c r="K1779" s="109"/>
      <c r="L1779" s="109"/>
      <c r="M1779" s="110">
        <f>IFERROR(VLOOKUP($C1779,'CEDARS School FRPL'!C:H,3,FALSE),0)</f>
        <v>0.53889999999999993</v>
      </c>
      <c r="N1779" s="123" t="str">
        <f>IFERROR(VLOOKUP(C1779,'CEDARS School FRPL'!C:H,6,FALSE),"No")</f>
        <v>No</v>
      </c>
      <c r="O1779" s="147"/>
      <c r="P1779" s="148"/>
    </row>
    <row r="1780" spans="1:16">
      <c r="A1780" s="95" t="s">
        <v>2557</v>
      </c>
      <c r="B1780" s="95" t="s">
        <v>2195</v>
      </c>
      <c r="C1780" s="4">
        <v>5383</v>
      </c>
      <c r="D1780" s="95" t="s">
        <v>2198</v>
      </c>
      <c r="E1780" s="145">
        <v>500.43</v>
      </c>
      <c r="F1780" s="145">
        <v>0</v>
      </c>
      <c r="G1780" s="145">
        <v>0</v>
      </c>
      <c r="H1780" s="145">
        <v>0</v>
      </c>
      <c r="I1780" s="77">
        <f t="shared" si="30"/>
        <v>500.43</v>
      </c>
      <c r="J1780" s="123" t="str">
        <f>IFERROR(VLOOKUP($C1780,'CEDARS School FRPL'!C:H,4,FALSE),"No")</f>
        <v>Yes</v>
      </c>
      <c r="K1780" s="109"/>
      <c r="L1780" s="109"/>
      <c r="M1780" s="110">
        <f>IFERROR(VLOOKUP($C1780,'CEDARS School FRPL'!C:H,3,FALSE),0)</f>
        <v>0.54260000000000008</v>
      </c>
      <c r="N1780" s="123" t="str">
        <f>IFERROR(VLOOKUP(C1780,'CEDARS School FRPL'!C:H,6,FALSE),"No")</f>
        <v>No</v>
      </c>
      <c r="O1780" s="147"/>
      <c r="P1780" s="148"/>
    </row>
    <row r="1781" spans="1:16">
      <c r="A1781" s="95" t="s">
        <v>2557</v>
      </c>
      <c r="B1781" s="95" t="s">
        <v>2195</v>
      </c>
      <c r="C1781" s="4">
        <v>5384</v>
      </c>
      <c r="D1781" s="95" t="s">
        <v>2199</v>
      </c>
      <c r="E1781" s="145">
        <v>797.77</v>
      </c>
      <c r="F1781" s="145">
        <v>0</v>
      </c>
      <c r="G1781" s="145">
        <v>0</v>
      </c>
      <c r="H1781" s="145">
        <v>0</v>
      </c>
      <c r="I1781" s="77">
        <f t="shared" si="30"/>
        <v>797.77</v>
      </c>
      <c r="J1781" s="123" t="str">
        <f>IFERROR(VLOOKUP($C1781,'CEDARS School FRPL'!C:H,4,FALSE),"No")</f>
        <v>Yes</v>
      </c>
      <c r="K1781" s="109"/>
      <c r="L1781" s="109"/>
      <c r="M1781" s="110">
        <f>IFERROR(VLOOKUP($C1781,'CEDARS School FRPL'!C:H,3,FALSE),0)</f>
        <v>0.5571666666666667</v>
      </c>
      <c r="N1781" s="123" t="str">
        <f>IFERROR(VLOOKUP(C1781,'CEDARS School FRPL'!C:H,6,FALSE),"No")</f>
        <v>No</v>
      </c>
      <c r="O1781" s="147"/>
      <c r="P1781" s="148"/>
    </row>
    <row r="1782" spans="1:16">
      <c r="A1782" s="95" t="s">
        <v>2557</v>
      </c>
      <c r="B1782" s="95" t="s">
        <v>2195</v>
      </c>
      <c r="C1782" s="4">
        <v>5385</v>
      </c>
      <c r="D1782" s="95" t="s">
        <v>2200</v>
      </c>
      <c r="E1782" s="145">
        <v>833.43</v>
      </c>
      <c r="F1782" s="145">
        <v>0</v>
      </c>
      <c r="G1782" s="145">
        <v>0</v>
      </c>
      <c r="H1782" s="145">
        <v>0</v>
      </c>
      <c r="I1782" s="77">
        <f t="shared" si="30"/>
        <v>833.43</v>
      </c>
      <c r="J1782" s="123" t="str">
        <f>IFERROR(VLOOKUP($C1782,'CEDARS School FRPL'!C:H,4,FALSE),"No")</f>
        <v>Yes</v>
      </c>
      <c r="K1782" s="109"/>
      <c r="L1782" s="109"/>
      <c r="M1782" s="110">
        <f>IFERROR(VLOOKUP($C1782,'CEDARS School FRPL'!C:H,3,FALSE),0)</f>
        <v>0.55786666666666662</v>
      </c>
      <c r="N1782" s="123" t="str">
        <f>IFERROR(VLOOKUP(C1782,'CEDARS School FRPL'!C:H,6,FALSE),"No")</f>
        <v>No</v>
      </c>
      <c r="O1782" s="147"/>
      <c r="P1782" s="148"/>
    </row>
    <row r="1783" spans="1:16">
      <c r="A1783" s="95" t="s">
        <v>2557</v>
      </c>
      <c r="B1783" s="95" t="s">
        <v>2195</v>
      </c>
      <c r="C1783" s="4">
        <v>5560</v>
      </c>
      <c r="D1783" s="95" t="s">
        <v>2839</v>
      </c>
      <c r="E1783" s="145">
        <v>9</v>
      </c>
      <c r="F1783" s="145">
        <v>0</v>
      </c>
      <c r="G1783" s="145">
        <v>12</v>
      </c>
      <c r="H1783" s="145">
        <v>0</v>
      </c>
      <c r="I1783" s="77">
        <f t="shared" si="30"/>
        <v>21</v>
      </c>
      <c r="J1783" s="123" t="str">
        <f>IFERROR(VLOOKUP($C1783,'CEDARS School FRPL'!C:H,4,FALSE),"No")</f>
        <v>No</v>
      </c>
      <c r="K1783" s="109"/>
      <c r="L1783" s="109"/>
      <c r="M1783" s="110">
        <f>IFERROR(VLOOKUP($C1783,'CEDARS School FRPL'!C:H,3,FALSE),0)</f>
        <v>0.2238</v>
      </c>
      <c r="N1783" s="123" t="str">
        <f>IFERROR(VLOOKUP(C1783,'CEDARS School FRPL'!C:H,6,FALSE),"No")</f>
        <v>No</v>
      </c>
      <c r="O1783" s="147"/>
      <c r="P1783" s="148"/>
    </row>
    <row r="1784" spans="1:16">
      <c r="A1784" s="95" t="s">
        <v>2557</v>
      </c>
      <c r="B1784" s="95" t="s">
        <v>2195</v>
      </c>
      <c r="C1784" s="4">
        <v>5561</v>
      </c>
      <c r="D1784" s="95" t="s">
        <v>2840</v>
      </c>
      <c r="E1784" s="145">
        <v>15.53</v>
      </c>
      <c r="F1784" s="145">
        <v>0</v>
      </c>
      <c r="G1784" s="145">
        <v>0</v>
      </c>
      <c r="H1784" s="145">
        <v>0</v>
      </c>
      <c r="I1784" s="77">
        <f t="shared" si="30"/>
        <v>15.53</v>
      </c>
      <c r="J1784" s="123" t="str">
        <f>IFERROR(VLOOKUP($C1784,'CEDARS School FRPL'!C:H,4,FALSE),"No")</f>
        <v>Yes</v>
      </c>
      <c r="K1784" s="109"/>
      <c r="L1784" s="109"/>
      <c r="M1784" s="110">
        <f>IFERROR(VLOOKUP($C1784,'CEDARS School FRPL'!C:H,3,FALSE),0)</f>
        <v>0.52723333333333333</v>
      </c>
      <c r="N1784" s="123" t="str">
        <f>IFERROR(VLOOKUP(C1784,'CEDARS School FRPL'!C:H,6,FALSE),"No")</f>
        <v>No</v>
      </c>
      <c r="O1784" s="147"/>
      <c r="P1784" s="148"/>
    </row>
    <row r="1785" spans="1:16">
      <c r="A1785" s="95" t="s">
        <v>2437</v>
      </c>
      <c r="B1785" s="95" t="s">
        <v>1288</v>
      </c>
      <c r="C1785" s="4">
        <v>5075</v>
      </c>
      <c r="D1785" s="95" t="s">
        <v>1289</v>
      </c>
      <c r="E1785" s="145">
        <v>112.51</v>
      </c>
      <c r="F1785" s="145">
        <v>0</v>
      </c>
      <c r="G1785" s="145">
        <v>0</v>
      </c>
      <c r="H1785" s="145">
        <v>0</v>
      </c>
      <c r="I1785" s="77">
        <f t="shared" si="30"/>
        <v>112.51</v>
      </c>
      <c r="J1785" s="123" t="str">
        <f>IFERROR(VLOOKUP($C1785,'CEDARS School FRPL'!C:H,4,FALSE),"No")</f>
        <v>Yes</v>
      </c>
      <c r="K1785" s="109"/>
      <c r="L1785" s="109"/>
      <c r="M1785" s="110">
        <f>IFERROR(VLOOKUP($C1785,'CEDARS School FRPL'!C:H,3,FALSE),0)</f>
        <v>0.62363333333333337</v>
      </c>
      <c r="N1785" s="123" t="str">
        <f>IFERROR(VLOOKUP(C1785,'CEDARS School FRPL'!C:H,6,FALSE),"No")</f>
        <v>No</v>
      </c>
      <c r="O1785" s="147"/>
      <c r="P1785" s="148"/>
    </row>
    <row r="1786" spans="1:16">
      <c r="A1786" s="95" t="s">
        <v>2437</v>
      </c>
      <c r="B1786" s="95" t="s">
        <v>1288</v>
      </c>
      <c r="C1786" s="4">
        <v>5225</v>
      </c>
      <c r="D1786" s="95" t="s">
        <v>1290</v>
      </c>
      <c r="E1786" s="145">
        <v>61.21</v>
      </c>
      <c r="F1786" s="145">
        <v>0</v>
      </c>
      <c r="G1786" s="145">
        <v>0</v>
      </c>
      <c r="H1786" s="145">
        <v>0</v>
      </c>
      <c r="I1786" s="77">
        <f t="shared" si="30"/>
        <v>61.21</v>
      </c>
      <c r="J1786" s="123" t="str">
        <f>IFERROR(VLOOKUP($C1786,'CEDARS School FRPL'!C:H,4,FALSE),"No")</f>
        <v>Yes</v>
      </c>
      <c r="K1786" s="109"/>
      <c r="L1786" s="109"/>
      <c r="M1786" s="110">
        <f>IFERROR(VLOOKUP($C1786,'CEDARS School FRPL'!C:H,3,FALSE),0)</f>
        <v>0.55546666666666666</v>
      </c>
      <c r="N1786" s="123" t="str">
        <f>IFERROR(VLOOKUP(C1786,'CEDARS School FRPL'!C:H,6,FALSE),"No")</f>
        <v>No</v>
      </c>
      <c r="O1786" s="147"/>
      <c r="P1786" s="148"/>
    </row>
    <row r="1787" spans="1:16">
      <c r="A1787" s="95" t="s">
        <v>2437</v>
      </c>
      <c r="B1787" s="95" t="s">
        <v>1288</v>
      </c>
      <c r="C1787" s="4">
        <v>5226</v>
      </c>
      <c r="D1787" s="95" t="s">
        <v>1291</v>
      </c>
      <c r="E1787" s="145">
        <v>56.61</v>
      </c>
      <c r="F1787" s="145">
        <v>4.8600000000000003</v>
      </c>
      <c r="G1787" s="145">
        <v>0</v>
      </c>
      <c r="H1787" s="145">
        <v>0</v>
      </c>
      <c r="I1787" s="77">
        <f t="shared" si="30"/>
        <v>61.47</v>
      </c>
      <c r="J1787" s="123" t="str">
        <f>IFERROR(VLOOKUP($C1787,'CEDARS School FRPL'!C:H,4,FALSE),"No")</f>
        <v>No</v>
      </c>
      <c r="K1787" s="109"/>
      <c r="L1787" s="109"/>
      <c r="M1787" s="110">
        <f>IFERROR(VLOOKUP($C1787,'CEDARS School FRPL'!C:H,3,FALSE),0)</f>
        <v>0.43146666666666667</v>
      </c>
      <c r="N1787" s="123" t="str">
        <f>IFERROR(VLOOKUP(C1787,'CEDARS School FRPL'!C:H,6,FALSE),"No")</f>
        <v>No</v>
      </c>
      <c r="O1787" s="147"/>
      <c r="P1787" s="148"/>
    </row>
    <row r="1788" spans="1:16">
      <c r="A1788" s="95" t="s">
        <v>2279</v>
      </c>
      <c r="B1788" s="95" t="s">
        <v>148</v>
      </c>
      <c r="C1788" s="4">
        <v>1708</v>
      </c>
      <c r="D1788" s="95" t="s">
        <v>2924</v>
      </c>
      <c r="E1788" s="145">
        <v>91.81</v>
      </c>
      <c r="F1788" s="145">
        <v>0</v>
      </c>
      <c r="G1788" s="145">
        <v>0</v>
      </c>
      <c r="H1788" s="145">
        <v>0</v>
      </c>
      <c r="I1788" s="77">
        <f t="shared" si="30"/>
        <v>91.81</v>
      </c>
      <c r="J1788" s="123" t="str">
        <f>IFERROR(VLOOKUP($C1788,'CEDARS School FRPL'!C:H,4,FALSE),"No")</f>
        <v>No</v>
      </c>
      <c r="K1788" s="109"/>
      <c r="L1788" s="109"/>
      <c r="M1788" s="110">
        <f>IFERROR(VLOOKUP($C1788,'CEDARS School FRPL'!C:H,3,FALSE),0)</f>
        <v>0.34816666666666668</v>
      </c>
      <c r="N1788" s="123" t="str">
        <f>IFERROR(VLOOKUP(C1788,'CEDARS School FRPL'!C:H,6,FALSE),"No")</f>
        <v>No</v>
      </c>
      <c r="O1788" s="147"/>
      <c r="P1788" s="148"/>
    </row>
    <row r="1789" spans="1:16">
      <c r="A1789" s="95" t="s">
        <v>2279</v>
      </c>
      <c r="B1789" s="95" t="s">
        <v>148</v>
      </c>
      <c r="C1789" s="4">
        <v>2471</v>
      </c>
      <c r="D1789" s="95" t="s">
        <v>149</v>
      </c>
      <c r="E1789" s="145">
        <v>696.41</v>
      </c>
      <c r="F1789" s="145">
        <v>63.19</v>
      </c>
      <c r="G1789" s="145">
        <v>0</v>
      </c>
      <c r="H1789" s="145">
        <v>0</v>
      </c>
      <c r="I1789" s="77">
        <f t="shared" si="30"/>
        <v>759.59999999999991</v>
      </c>
      <c r="J1789" s="123" t="str">
        <f>IFERROR(VLOOKUP($C1789,'CEDARS School FRPL'!C:H,4,FALSE),"No")</f>
        <v>No</v>
      </c>
      <c r="K1789" s="109"/>
      <c r="L1789" s="109"/>
      <c r="M1789" s="110">
        <f>IFERROR(VLOOKUP($C1789,'CEDARS School FRPL'!C:H,3,FALSE),0)</f>
        <v>0.3831</v>
      </c>
      <c r="N1789" s="123" t="str">
        <f>IFERROR(VLOOKUP(C1789,'CEDARS School FRPL'!C:H,6,FALSE),"No")</f>
        <v>No</v>
      </c>
      <c r="O1789" s="147"/>
      <c r="P1789" s="148"/>
    </row>
    <row r="1790" spans="1:16">
      <c r="A1790" s="95" t="s">
        <v>2279</v>
      </c>
      <c r="B1790" s="95" t="s">
        <v>148</v>
      </c>
      <c r="C1790" s="4">
        <v>2722</v>
      </c>
      <c r="D1790" s="95" t="s">
        <v>150</v>
      </c>
      <c r="E1790" s="145">
        <v>499.22</v>
      </c>
      <c r="F1790" s="145">
        <v>0</v>
      </c>
      <c r="G1790" s="145">
        <v>0</v>
      </c>
      <c r="H1790" s="145">
        <v>0</v>
      </c>
      <c r="I1790" s="77">
        <f t="shared" si="30"/>
        <v>499.22</v>
      </c>
      <c r="J1790" s="123" t="str">
        <f>IFERROR(VLOOKUP($C1790,'CEDARS School FRPL'!C:H,4,FALSE),"No")</f>
        <v>No</v>
      </c>
      <c r="K1790" s="109"/>
      <c r="L1790" s="109"/>
      <c r="M1790" s="110">
        <f>IFERROR(VLOOKUP($C1790,'CEDARS School FRPL'!C:H,3,FALSE),0)</f>
        <v>0.48913333333333336</v>
      </c>
      <c r="N1790" s="123" t="str">
        <f>IFERROR(VLOOKUP(C1790,'CEDARS School FRPL'!C:H,6,FALSE),"No")</f>
        <v>No</v>
      </c>
      <c r="O1790" s="147"/>
      <c r="P1790" s="148"/>
    </row>
    <row r="1791" spans="1:16">
      <c r="A1791" s="95" t="s">
        <v>2279</v>
      </c>
      <c r="B1791" s="95" t="s">
        <v>148</v>
      </c>
      <c r="C1791" s="4">
        <v>4378</v>
      </c>
      <c r="D1791" s="95" t="s">
        <v>151</v>
      </c>
      <c r="E1791" s="145">
        <v>513.65</v>
      </c>
      <c r="F1791" s="145">
        <v>0</v>
      </c>
      <c r="G1791" s="145">
        <v>0</v>
      </c>
      <c r="H1791" s="145">
        <v>0</v>
      </c>
      <c r="I1791" s="77">
        <f t="shared" si="30"/>
        <v>513.65</v>
      </c>
      <c r="J1791" s="123" t="str">
        <f>IFERROR(VLOOKUP($C1791,'CEDARS School FRPL'!C:H,4,FALSE),"No")</f>
        <v>No</v>
      </c>
      <c r="K1791" s="109"/>
      <c r="L1791" s="109"/>
      <c r="M1791" s="110">
        <f>IFERROR(VLOOKUP($C1791,'CEDARS School FRPL'!C:H,3,FALSE),0)</f>
        <v>0.45986666666666665</v>
      </c>
      <c r="N1791" s="123" t="str">
        <f>IFERROR(VLOOKUP(C1791,'CEDARS School FRPL'!C:H,6,FALSE),"No")</f>
        <v>No</v>
      </c>
      <c r="O1791" s="147"/>
      <c r="P1791" s="148"/>
    </row>
    <row r="1792" spans="1:16">
      <c r="A1792" s="95" t="s">
        <v>2279</v>
      </c>
      <c r="B1792" s="95" t="s">
        <v>148</v>
      </c>
      <c r="C1792" s="4">
        <v>4519</v>
      </c>
      <c r="D1792" s="95" t="s">
        <v>152</v>
      </c>
      <c r="E1792" s="145">
        <v>547.92999999999995</v>
      </c>
      <c r="F1792" s="145">
        <v>0</v>
      </c>
      <c r="G1792" s="145">
        <v>0</v>
      </c>
      <c r="H1792" s="145">
        <v>0</v>
      </c>
      <c r="I1792" s="77">
        <f t="shared" si="30"/>
        <v>547.92999999999995</v>
      </c>
      <c r="J1792" s="123" t="str">
        <f>IFERROR(VLOOKUP($C1792,'CEDARS School FRPL'!C:H,4,FALSE),"No")</f>
        <v>No</v>
      </c>
      <c r="K1792" s="109"/>
      <c r="L1792" s="109"/>
      <c r="M1792" s="110">
        <f>IFERROR(VLOOKUP($C1792,'CEDARS School FRPL'!C:H,3,FALSE),0)</f>
        <v>0.4427666666666667</v>
      </c>
      <c r="N1792" s="123" t="str">
        <f>IFERROR(VLOOKUP(C1792,'CEDARS School FRPL'!C:H,6,FALSE),"No")</f>
        <v>No</v>
      </c>
      <c r="O1792" s="147"/>
      <c r="P1792" s="148"/>
    </row>
    <row r="1793" spans="1:16">
      <c r="A1793" s="95" t="s">
        <v>2279</v>
      </c>
      <c r="B1793" s="95" t="s">
        <v>148</v>
      </c>
      <c r="C1793" s="4">
        <v>5613</v>
      </c>
      <c r="D1793" s="95" t="s">
        <v>2923</v>
      </c>
      <c r="E1793" s="145">
        <v>125.26</v>
      </c>
      <c r="F1793" s="145">
        <v>0</v>
      </c>
      <c r="G1793" s="145">
        <v>0</v>
      </c>
      <c r="H1793" s="145">
        <v>0</v>
      </c>
      <c r="I1793" s="77">
        <f t="shared" si="30"/>
        <v>125.26</v>
      </c>
      <c r="J1793" s="123" t="str">
        <f>IFERROR(VLOOKUP($C1793,'CEDARS School FRPL'!C:H,4,FALSE),"No")</f>
        <v>No</v>
      </c>
      <c r="K1793" s="109"/>
      <c r="L1793" s="109"/>
      <c r="M1793" s="110">
        <f>IFERROR(VLOOKUP($C1793,'CEDARS School FRPL'!C:H,3,FALSE),0)</f>
        <v>0.4602</v>
      </c>
      <c r="N1793" s="123" t="str">
        <f>IFERROR(VLOOKUP(C1793,'CEDARS School FRPL'!C:H,6,FALSE),"No")</f>
        <v>No</v>
      </c>
      <c r="O1793" s="147"/>
      <c r="P1793" s="148"/>
    </row>
    <row r="1794" spans="1:16">
      <c r="A1794" s="95" t="s">
        <v>2456</v>
      </c>
      <c r="B1794" s="95" t="s">
        <v>1525</v>
      </c>
      <c r="C1794" s="4">
        <v>3725</v>
      </c>
      <c r="D1794" s="95" t="s">
        <v>1526</v>
      </c>
      <c r="E1794" s="145">
        <v>9.57</v>
      </c>
      <c r="F1794" s="145">
        <v>0</v>
      </c>
      <c r="G1794" s="145">
        <v>0</v>
      </c>
      <c r="H1794" s="145">
        <v>0</v>
      </c>
      <c r="I1794" s="77">
        <f t="shared" si="30"/>
        <v>9.57</v>
      </c>
      <c r="J1794" s="123" t="str">
        <f>IFERROR(VLOOKUP($C1794,'CEDARS School FRPL'!C:H,4,FALSE),"No")</f>
        <v>No</v>
      </c>
      <c r="K1794" s="109"/>
      <c r="L1794" s="109"/>
      <c r="M1794" s="110">
        <f>IFERROR(VLOOKUP($C1794,'CEDARS School FRPL'!C:H,3,FALSE),0)</f>
        <v>0</v>
      </c>
      <c r="N1794" s="123" t="str">
        <f>IFERROR(VLOOKUP(C1794,'CEDARS School FRPL'!C:H,6,FALSE),"No")</f>
        <v>No</v>
      </c>
      <c r="O1794" s="147"/>
      <c r="P1794" s="148"/>
    </row>
    <row r="1795" spans="1:16">
      <c r="A1795" s="95" t="s">
        <v>2416</v>
      </c>
      <c r="B1795" s="95" t="s">
        <v>1208</v>
      </c>
      <c r="C1795" s="4">
        <v>2745</v>
      </c>
      <c r="D1795" s="95" t="s">
        <v>1209</v>
      </c>
      <c r="E1795" s="145">
        <v>426.63</v>
      </c>
      <c r="F1795" s="145">
        <v>0</v>
      </c>
      <c r="G1795" s="145">
        <v>0</v>
      </c>
      <c r="H1795" s="145">
        <v>0</v>
      </c>
      <c r="I1795" s="77">
        <f t="shared" si="30"/>
        <v>426.63</v>
      </c>
      <c r="J1795" s="123" t="str">
        <f>IFERROR(VLOOKUP($C1795,'CEDARS School FRPL'!C:H,4,FALSE),"No")</f>
        <v>Yes</v>
      </c>
      <c r="K1795" s="109"/>
      <c r="L1795" s="109"/>
      <c r="M1795" s="110">
        <f>IFERROR(VLOOKUP($C1795,'CEDARS School FRPL'!C:H,3,FALSE),0)</f>
        <v>0.85946666666666671</v>
      </c>
      <c r="N1795" s="123" t="str">
        <f>IFERROR(VLOOKUP(C1795,'CEDARS School FRPL'!C:H,6,FALSE),"No")</f>
        <v>No</v>
      </c>
      <c r="O1795" s="147"/>
      <c r="P1795" s="148"/>
    </row>
    <row r="1796" spans="1:16">
      <c r="A1796" s="95" t="s">
        <v>2416</v>
      </c>
      <c r="B1796" s="95" t="s">
        <v>1208</v>
      </c>
      <c r="C1796" s="4">
        <v>3241</v>
      </c>
      <c r="D1796" s="95" t="s">
        <v>1210</v>
      </c>
      <c r="E1796" s="145">
        <v>1429.37</v>
      </c>
      <c r="F1796" s="145">
        <v>44.43</v>
      </c>
      <c r="G1796" s="145">
        <v>0</v>
      </c>
      <c r="H1796" s="145">
        <v>0</v>
      </c>
      <c r="I1796" s="77">
        <f t="shared" ref="I1796:I1859" si="31">+E1796+F1796+G1796+H1796</f>
        <v>1473.8</v>
      </c>
      <c r="J1796" s="123" t="str">
        <f>IFERROR(VLOOKUP($C1796,'CEDARS School FRPL'!C:H,4,FALSE),"No")</f>
        <v>Yes</v>
      </c>
      <c r="K1796" s="109"/>
      <c r="L1796" s="109"/>
      <c r="M1796" s="110">
        <f>IFERROR(VLOOKUP($C1796,'CEDARS School FRPL'!C:H,3,FALSE),0)</f>
        <v>0.57856666666666667</v>
      </c>
      <c r="N1796" s="123" t="str">
        <f>IFERROR(VLOOKUP(C1796,'CEDARS School FRPL'!C:H,6,FALSE),"No")</f>
        <v>No</v>
      </c>
      <c r="O1796" s="147"/>
      <c r="P1796" s="148"/>
    </row>
    <row r="1797" spans="1:16">
      <c r="A1797" s="95" t="s">
        <v>2416</v>
      </c>
      <c r="B1797" s="95" t="s">
        <v>1208</v>
      </c>
      <c r="C1797" s="4">
        <v>3291</v>
      </c>
      <c r="D1797" s="95" t="s">
        <v>1211</v>
      </c>
      <c r="E1797" s="145">
        <v>449.76</v>
      </c>
      <c r="F1797" s="145">
        <v>0</v>
      </c>
      <c r="G1797" s="145">
        <v>0</v>
      </c>
      <c r="H1797" s="145">
        <v>0</v>
      </c>
      <c r="I1797" s="77">
        <f t="shared" si="31"/>
        <v>449.76</v>
      </c>
      <c r="J1797" s="123" t="str">
        <f>IFERROR(VLOOKUP($C1797,'CEDARS School FRPL'!C:H,4,FALSE),"No")</f>
        <v>Yes</v>
      </c>
      <c r="K1797" s="109"/>
      <c r="L1797" s="109"/>
      <c r="M1797" s="110">
        <f>IFERROR(VLOOKUP($C1797,'CEDARS School FRPL'!C:H,3,FALSE),0)</f>
        <v>0.64170000000000005</v>
      </c>
      <c r="N1797" s="123" t="str">
        <f>IFERROR(VLOOKUP(C1797,'CEDARS School FRPL'!C:H,6,FALSE),"No")</f>
        <v>No</v>
      </c>
      <c r="O1797" s="147"/>
      <c r="P1797" s="148"/>
    </row>
    <row r="1798" spans="1:16">
      <c r="A1798" s="95" t="s">
        <v>2416</v>
      </c>
      <c r="B1798" s="95" t="s">
        <v>1208</v>
      </c>
      <c r="C1798" s="4">
        <v>3292</v>
      </c>
      <c r="D1798" s="95" t="s">
        <v>417</v>
      </c>
      <c r="E1798" s="145">
        <v>483.12</v>
      </c>
      <c r="F1798" s="145">
        <v>0</v>
      </c>
      <c r="G1798" s="145">
        <v>0</v>
      </c>
      <c r="H1798" s="145">
        <v>0</v>
      </c>
      <c r="I1798" s="77">
        <f t="shared" si="31"/>
        <v>483.12</v>
      </c>
      <c r="J1798" s="123" t="str">
        <f>IFERROR(VLOOKUP($C1798,'CEDARS School FRPL'!C:H,4,FALSE),"No")</f>
        <v>Yes</v>
      </c>
      <c r="K1798" s="109"/>
      <c r="L1798" s="109"/>
      <c r="M1798" s="110">
        <f>IFERROR(VLOOKUP($C1798,'CEDARS School FRPL'!C:H,3,FALSE),0)</f>
        <v>0.66566666666666663</v>
      </c>
      <c r="N1798" s="123" t="str">
        <f>IFERROR(VLOOKUP(C1798,'CEDARS School FRPL'!C:H,6,FALSE),"No")</f>
        <v>No</v>
      </c>
      <c r="O1798" s="147"/>
      <c r="P1798" s="148"/>
    </row>
    <row r="1799" spans="1:16">
      <c r="A1799" s="95" t="s">
        <v>2416</v>
      </c>
      <c r="B1799" s="95" t="s">
        <v>1208</v>
      </c>
      <c r="C1799" s="4">
        <v>4288</v>
      </c>
      <c r="D1799" s="95" t="s">
        <v>2926</v>
      </c>
      <c r="E1799" s="145">
        <v>157.97999999999999</v>
      </c>
      <c r="F1799" s="145">
        <v>10.290000000000001</v>
      </c>
      <c r="G1799" s="145">
        <v>0</v>
      </c>
      <c r="H1799" s="145">
        <v>0</v>
      </c>
      <c r="I1799" s="77">
        <f t="shared" si="31"/>
        <v>168.26999999999998</v>
      </c>
      <c r="J1799" s="123" t="str">
        <f>IFERROR(VLOOKUP($C1799,'CEDARS School FRPL'!C:H,4,FALSE),"No")</f>
        <v>Yes</v>
      </c>
      <c r="K1799" s="109"/>
      <c r="L1799" s="109"/>
      <c r="M1799" s="110">
        <f>IFERROR(VLOOKUP($C1799,'CEDARS School FRPL'!C:H,3,FALSE),0)</f>
        <v>0.68410000000000004</v>
      </c>
      <c r="N1799" s="123" t="str">
        <f>IFERROR(VLOOKUP(C1799,'CEDARS School FRPL'!C:H,6,FALSE),"No")</f>
        <v>No</v>
      </c>
      <c r="O1799" s="147"/>
      <c r="P1799" s="148"/>
    </row>
    <row r="1800" spans="1:16">
      <c r="A1800" s="95" t="s">
        <v>2416</v>
      </c>
      <c r="B1800" s="95" t="s">
        <v>1208</v>
      </c>
      <c r="C1800" s="4">
        <v>4363</v>
      </c>
      <c r="D1800" s="95" t="s">
        <v>1212</v>
      </c>
      <c r="E1800" s="145">
        <v>584.66</v>
      </c>
      <c r="F1800" s="145">
        <v>0</v>
      </c>
      <c r="G1800" s="145">
        <v>0</v>
      </c>
      <c r="H1800" s="145">
        <v>0</v>
      </c>
      <c r="I1800" s="77">
        <f t="shared" si="31"/>
        <v>584.66</v>
      </c>
      <c r="J1800" s="123" t="str">
        <f>IFERROR(VLOOKUP($C1800,'CEDARS School FRPL'!C:H,4,FALSE),"No")</f>
        <v>Yes</v>
      </c>
      <c r="K1800" s="109"/>
      <c r="L1800" s="109"/>
      <c r="M1800" s="110">
        <f>IFERROR(VLOOKUP($C1800,'CEDARS School FRPL'!C:H,3,FALSE),0)</f>
        <v>0.67220000000000002</v>
      </c>
      <c r="N1800" s="123" t="str">
        <f>IFERROR(VLOOKUP(C1800,'CEDARS School FRPL'!C:H,6,FALSE),"No")</f>
        <v>No</v>
      </c>
      <c r="O1800" s="147"/>
      <c r="P1800" s="148"/>
    </row>
    <row r="1801" spans="1:16">
      <c r="A1801" s="95" t="s">
        <v>2416</v>
      </c>
      <c r="B1801" s="95" t="s">
        <v>1208</v>
      </c>
      <c r="C1801" s="4">
        <v>4586</v>
      </c>
      <c r="D1801" s="95" t="s">
        <v>813</v>
      </c>
      <c r="E1801" s="145">
        <v>541.42999999999995</v>
      </c>
      <c r="F1801" s="145">
        <v>0</v>
      </c>
      <c r="G1801" s="145">
        <v>0</v>
      </c>
      <c r="H1801" s="145">
        <v>0</v>
      </c>
      <c r="I1801" s="77">
        <f t="shared" si="31"/>
        <v>541.42999999999995</v>
      </c>
      <c r="J1801" s="123" t="str">
        <f>IFERROR(VLOOKUP($C1801,'CEDARS School FRPL'!C:H,4,FALSE),"No")</f>
        <v>Yes</v>
      </c>
      <c r="K1801" s="109"/>
      <c r="L1801" s="109"/>
      <c r="M1801" s="110">
        <f>IFERROR(VLOOKUP($C1801,'CEDARS School FRPL'!C:H,3,FALSE),0)</f>
        <v>0.7203666666666666</v>
      </c>
      <c r="N1801" s="123" t="str">
        <f>IFERROR(VLOOKUP(C1801,'CEDARS School FRPL'!C:H,6,FALSE),"No")</f>
        <v>No</v>
      </c>
      <c r="O1801" s="147"/>
      <c r="P1801" s="148"/>
    </row>
    <row r="1802" spans="1:16">
      <c r="A1802" s="95" t="s">
        <v>2416</v>
      </c>
      <c r="B1802" s="95" t="s">
        <v>1208</v>
      </c>
      <c r="C1802" s="4">
        <v>5548</v>
      </c>
      <c r="D1802" s="95" t="s">
        <v>2810</v>
      </c>
      <c r="E1802" s="145">
        <v>0</v>
      </c>
      <c r="F1802" s="145">
        <v>0</v>
      </c>
      <c r="G1802" s="145">
        <v>44</v>
      </c>
      <c r="H1802" s="145">
        <v>0</v>
      </c>
      <c r="I1802" s="77">
        <f t="shared" si="31"/>
        <v>44</v>
      </c>
      <c r="J1802" s="123" t="str">
        <f>IFERROR(VLOOKUP($C1802,'CEDARS School FRPL'!C:H,4,FALSE),"No")</f>
        <v>Yes</v>
      </c>
      <c r="K1802" s="109"/>
      <c r="L1802" s="109"/>
      <c r="M1802" s="110">
        <f>IFERROR(VLOOKUP($C1802,'CEDARS School FRPL'!C:H,3,FALSE),0)</f>
        <v>0.54323333333333335</v>
      </c>
      <c r="N1802" s="123" t="str">
        <f>IFERROR(VLOOKUP(C1802,'CEDARS School FRPL'!C:H,6,FALSE),"No")</f>
        <v>No</v>
      </c>
      <c r="O1802" s="147"/>
      <c r="P1802" s="148"/>
    </row>
    <row r="1803" spans="1:16">
      <c r="A1803" s="95" t="s">
        <v>2416</v>
      </c>
      <c r="B1803" s="95" t="s">
        <v>1208</v>
      </c>
      <c r="C1803" s="4">
        <v>5621</v>
      </c>
      <c r="D1803" s="95" t="s">
        <v>2925</v>
      </c>
      <c r="E1803" s="145">
        <v>86.97</v>
      </c>
      <c r="F1803" s="145">
        <v>2.46</v>
      </c>
      <c r="G1803" s="145">
        <v>0</v>
      </c>
      <c r="H1803" s="145">
        <v>0</v>
      </c>
      <c r="I1803" s="77">
        <f t="shared" si="31"/>
        <v>89.429999999999993</v>
      </c>
      <c r="J1803" s="123" t="str">
        <f>IFERROR(VLOOKUP($C1803,'CEDARS School FRPL'!C:H,4,FALSE),"No")</f>
        <v>Yes</v>
      </c>
      <c r="K1803" s="109"/>
      <c r="L1803" s="109"/>
      <c r="M1803" s="110">
        <f>IFERROR(VLOOKUP($C1803,'CEDARS School FRPL'!C:H,3,FALSE),0)</f>
        <v>0.68864999999999998</v>
      </c>
      <c r="N1803" s="123" t="str">
        <f>IFERROR(VLOOKUP(C1803,'CEDARS School FRPL'!C:H,6,FALSE),"No")</f>
        <v>No</v>
      </c>
      <c r="O1803" s="147"/>
      <c r="P1803" s="148"/>
    </row>
    <row r="1804" spans="1:16">
      <c r="A1804" s="95" t="s">
        <v>2363</v>
      </c>
      <c r="B1804" s="95" t="s">
        <v>871</v>
      </c>
      <c r="C1804" s="4">
        <v>1667</v>
      </c>
      <c r="D1804" s="95" t="s">
        <v>872</v>
      </c>
      <c r="E1804" s="145">
        <v>7.9</v>
      </c>
      <c r="F1804" s="145">
        <v>0</v>
      </c>
      <c r="G1804" s="145">
        <v>0</v>
      </c>
      <c r="H1804" s="145">
        <v>0</v>
      </c>
      <c r="I1804" s="77">
        <f t="shared" si="31"/>
        <v>7.9</v>
      </c>
      <c r="J1804" s="123" t="str">
        <f>IFERROR(VLOOKUP($C1804,'CEDARS School FRPL'!C:H,4,FALSE),"No")</f>
        <v>No</v>
      </c>
      <c r="K1804" s="109"/>
      <c r="L1804" s="109"/>
      <c r="M1804" s="110">
        <f>IFERROR(VLOOKUP($C1804,'CEDARS School FRPL'!C:H,3,FALSE),0)</f>
        <v>0.19286666666666666</v>
      </c>
      <c r="N1804" s="123" t="str">
        <f>IFERROR(VLOOKUP(C1804,'CEDARS School FRPL'!C:H,6,FALSE),"No")</f>
        <v>No</v>
      </c>
      <c r="O1804" s="147"/>
      <c r="P1804" s="148"/>
    </row>
    <row r="1805" spans="1:16">
      <c r="A1805" s="95" t="s">
        <v>2363</v>
      </c>
      <c r="B1805" s="95" t="s">
        <v>871</v>
      </c>
      <c r="C1805" s="4">
        <v>1771</v>
      </c>
      <c r="D1805" s="95" t="s">
        <v>873</v>
      </c>
      <c r="E1805" s="145">
        <v>114.35</v>
      </c>
      <c r="F1805" s="145">
        <v>0</v>
      </c>
      <c r="G1805" s="145">
        <v>0</v>
      </c>
      <c r="H1805" s="145">
        <v>0</v>
      </c>
      <c r="I1805" s="77">
        <f t="shared" si="31"/>
        <v>114.35</v>
      </c>
      <c r="J1805" s="123" t="str">
        <f>IFERROR(VLOOKUP($C1805,'CEDARS School FRPL'!C:H,4,FALSE),"No")</f>
        <v>No</v>
      </c>
      <c r="K1805" s="109"/>
      <c r="L1805" s="109"/>
      <c r="M1805" s="110">
        <f>IFERROR(VLOOKUP($C1805,'CEDARS School FRPL'!C:H,3,FALSE),0)</f>
        <v>7.0733333333333329E-2</v>
      </c>
      <c r="N1805" s="123" t="str">
        <f>IFERROR(VLOOKUP(C1805,'CEDARS School FRPL'!C:H,6,FALSE),"No")</f>
        <v>No</v>
      </c>
      <c r="O1805" s="147"/>
      <c r="P1805" s="148"/>
    </row>
    <row r="1806" spans="1:16">
      <c r="A1806" s="95" t="s">
        <v>2363</v>
      </c>
      <c r="B1806" s="95" t="s">
        <v>871</v>
      </c>
      <c r="C1806" s="4">
        <v>1942</v>
      </c>
      <c r="D1806" s="95" t="s">
        <v>874</v>
      </c>
      <c r="E1806" s="145">
        <v>198.76</v>
      </c>
      <c r="F1806" s="145">
        <v>0</v>
      </c>
      <c r="G1806" s="145">
        <v>0</v>
      </c>
      <c r="H1806" s="145">
        <v>0</v>
      </c>
      <c r="I1806" s="77">
        <f t="shared" si="31"/>
        <v>198.76</v>
      </c>
      <c r="J1806" s="123" t="str">
        <f>IFERROR(VLOOKUP($C1806,'CEDARS School FRPL'!C:H,4,FALSE),"No")</f>
        <v>No</v>
      </c>
      <c r="K1806" s="109"/>
      <c r="L1806" s="109"/>
      <c r="M1806" s="110">
        <f>IFERROR(VLOOKUP($C1806,'CEDARS School FRPL'!C:H,3,FALSE),0)</f>
        <v>0.2132333333333333</v>
      </c>
      <c r="N1806" s="123" t="str">
        <f>IFERROR(VLOOKUP(C1806,'CEDARS School FRPL'!C:H,6,FALSE),"No")</f>
        <v>No</v>
      </c>
      <c r="O1806" s="147"/>
      <c r="P1806" s="148"/>
    </row>
    <row r="1807" spans="1:16">
      <c r="A1807" s="95" t="s">
        <v>2363</v>
      </c>
      <c r="B1807" s="95" t="s">
        <v>871</v>
      </c>
      <c r="C1807" s="4">
        <v>2185</v>
      </c>
      <c r="D1807" s="95" t="s">
        <v>875</v>
      </c>
      <c r="E1807" s="145">
        <v>439.39</v>
      </c>
      <c r="F1807" s="145">
        <v>0</v>
      </c>
      <c r="G1807" s="145">
        <v>0</v>
      </c>
      <c r="H1807" s="145">
        <v>0</v>
      </c>
      <c r="I1807" s="77">
        <f t="shared" si="31"/>
        <v>439.39</v>
      </c>
      <c r="J1807" s="123" t="str">
        <f>IFERROR(VLOOKUP($C1807,'CEDARS School FRPL'!C:H,4,FALSE),"No")</f>
        <v>No</v>
      </c>
      <c r="K1807" s="109"/>
      <c r="L1807" s="109"/>
      <c r="M1807" s="110">
        <f>IFERROR(VLOOKUP($C1807,'CEDARS School FRPL'!C:H,3,FALSE),0)</f>
        <v>0.2351</v>
      </c>
      <c r="N1807" s="123" t="str">
        <f>IFERROR(VLOOKUP(C1807,'CEDARS School FRPL'!C:H,6,FALSE),"No")</f>
        <v>No</v>
      </c>
      <c r="O1807" s="147"/>
      <c r="P1807" s="148"/>
    </row>
    <row r="1808" spans="1:16">
      <c r="A1808" s="95" t="s">
        <v>2363</v>
      </c>
      <c r="B1808" s="95" t="s">
        <v>871</v>
      </c>
      <c r="C1808" s="4">
        <v>2703</v>
      </c>
      <c r="D1808" s="95" t="s">
        <v>876</v>
      </c>
      <c r="E1808" s="145">
        <v>439.29</v>
      </c>
      <c r="F1808" s="145">
        <v>0</v>
      </c>
      <c r="G1808" s="145">
        <v>0</v>
      </c>
      <c r="H1808" s="145">
        <v>0</v>
      </c>
      <c r="I1808" s="77">
        <f t="shared" si="31"/>
        <v>439.29</v>
      </c>
      <c r="J1808" s="123" t="str">
        <f>IFERROR(VLOOKUP($C1808,'CEDARS School FRPL'!C:H,4,FALSE),"No")</f>
        <v>No</v>
      </c>
      <c r="K1808" s="109"/>
      <c r="L1808" s="109"/>
      <c r="M1808" s="110">
        <f>IFERROR(VLOOKUP($C1808,'CEDARS School FRPL'!C:H,3,FALSE),0)</f>
        <v>0.29380000000000001</v>
      </c>
      <c r="N1808" s="123" t="str">
        <f>IFERROR(VLOOKUP(C1808,'CEDARS School FRPL'!C:H,6,FALSE),"No")</f>
        <v>No</v>
      </c>
      <c r="O1808" s="147"/>
      <c r="P1808" s="148"/>
    </row>
    <row r="1809" spans="1:16">
      <c r="A1809" s="95" t="s">
        <v>2363</v>
      </c>
      <c r="B1809" s="95" t="s">
        <v>871</v>
      </c>
      <c r="C1809" s="4">
        <v>2990</v>
      </c>
      <c r="D1809" s="95" t="s">
        <v>877</v>
      </c>
      <c r="E1809" s="145">
        <v>433.52</v>
      </c>
      <c r="F1809" s="145">
        <v>0</v>
      </c>
      <c r="G1809" s="145">
        <v>0</v>
      </c>
      <c r="H1809" s="145">
        <v>0</v>
      </c>
      <c r="I1809" s="77">
        <f t="shared" si="31"/>
        <v>433.52</v>
      </c>
      <c r="J1809" s="123" t="str">
        <f>IFERROR(VLOOKUP($C1809,'CEDARS School FRPL'!C:H,4,FALSE),"No")</f>
        <v>No</v>
      </c>
      <c r="K1809" s="109"/>
      <c r="L1809" s="109"/>
      <c r="M1809" s="110">
        <f>IFERROR(VLOOKUP($C1809,'CEDARS School FRPL'!C:H,3,FALSE),0)</f>
        <v>0.32006666666666667</v>
      </c>
      <c r="N1809" s="123" t="str">
        <f>IFERROR(VLOOKUP(C1809,'CEDARS School FRPL'!C:H,6,FALSE),"No")</f>
        <v>No</v>
      </c>
      <c r="O1809" s="147"/>
      <c r="P1809" s="148"/>
    </row>
    <row r="1810" spans="1:16">
      <c r="A1810" s="95" t="s">
        <v>2363</v>
      </c>
      <c r="B1810" s="95" t="s">
        <v>871</v>
      </c>
      <c r="C1810" s="4">
        <v>3104</v>
      </c>
      <c r="D1810" s="95" t="s">
        <v>878</v>
      </c>
      <c r="E1810" s="145">
        <v>390.23</v>
      </c>
      <c r="F1810" s="145">
        <v>0</v>
      </c>
      <c r="G1810" s="145">
        <v>0</v>
      </c>
      <c r="H1810" s="145">
        <v>0</v>
      </c>
      <c r="I1810" s="77">
        <f t="shared" si="31"/>
        <v>390.23</v>
      </c>
      <c r="J1810" s="123" t="str">
        <f>IFERROR(VLOOKUP($C1810,'CEDARS School FRPL'!C:H,4,FALSE),"No")</f>
        <v>No</v>
      </c>
      <c r="K1810" s="109"/>
      <c r="L1810" s="109"/>
      <c r="M1810" s="110">
        <f>IFERROR(VLOOKUP($C1810,'CEDARS School FRPL'!C:H,3,FALSE),0)</f>
        <v>0.35693333333333332</v>
      </c>
      <c r="N1810" s="123" t="str">
        <f>IFERROR(VLOOKUP(C1810,'CEDARS School FRPL'!C:H,6,FALSE),"No")</f>
        <v>No</v>
      </c>
      <c r="O1810" s="147"/>
      <c r="P1810" s="148"/>
    </row>
    <row r="1811" spans="1:16">
      <c r="A1811" s="95" t="s">
        <v>2363</v>
      </c>
      <c r="B1811" s="95" t="s">
        <v>871</v>
      </c>
      <c r="C1811" s="4">
        <v>3230</v>
      </c>
      <c r="D1811" s="95" t="s">
        <v>879</v>
      </c>
      <c r="E1811" s="145">
        <v>345.9</v>
      </c>
      <c r="F1811" s="145">
        <v>0</v>
      </c>
      <c r="G1811" s="145">
        <v>0</v>
      </c>
      <c r="H1811" s="145">
        <v>0</v>
      </c>
      <c r="I1811" s="77">
        <f t="shared" si="31"/>
        <v>345.9</v>
      </c>
      <c r="J1811" s="123" t="str">
        <f>IFERROR(VLOOKUP($C1811,'CEDARS School FRPL'!C:H,4,FALSE),"No")</f>
        <v>No</v>
      </c>
      <c r="K1811" s="109"/>
      <c r="L1811" s="109"/>
      <c r="M1811" s="110">
        <f>IFERROR(VLOOKUP($C1811,'CEDARS School FRPL'!C:H,3,FALSE),0)</f>
        <v>0.14503333333333335</v>
      </c>
      <c r="N1811" s="123" t="str">
        <f>IFERROR(VLOOKUP(C1811,'CEDARS School FRPL'!C:H,6,FALSE),"No")</f>
        <v>No</v>
      </c>
      <c r="O1811" s="147"/>
      <c r="P1811" s="148"/>
    </row>
    <row r="1812" spans="1:16">
      <c r="A1812" s="95" t="s">
        <v>2363</v>
      </c>
      <c r="B1812" s="95" t="s">
        <v>871</v>
      </c>
      <c r="C1812" s="4">
        <v>3231</v>
      </c>
      <c r="D1812" s="95" t="s">
        <v>880</v>
      </c>
      <c r="E1812" s="145">
        <v>381.95</v>
      </c>
      <c r="F1812" s="145">
        <v>0</v>
      </c>
      <c r="G1812" s="145">
        <v>0</v>
      </c>
      <c r="H1812" s="145">
        <v>0</v>
      </c>
      <c r="I1812" s="77">
        <f t="shared" si="31"/>
        <v>381.95</v>
      </c>
      <c r="J1812" s="123" t="str">
        <f>IFERROR(VLOOKUP($C1812,'CEDARS School FRPL'!C:H,4,FALSE),"No")</f>
        <v>No</v>
      </c>
      <c r="K1812" s="109"/>
      <c r="L1812" s="109"/>
      <c r="M1812" s="110">
        <f>IFERROR(VLOOKUP($C1812,'CEDARS School FRPL'!C:H,3,FALSE),0)</f>
        <v>0.12369999999999999</v>
      </c>
      <c r="N1812" s="123" t="str">
        <f>IFERROR(VLOOKUP(C1812,'CEDARS School FRPL'!C:H,6,FALSE),"No")</f>
        <v>No</v>
      </c>
      <c r="O1812" s="147"/>
      <c r="P1812" s="148"/>
    </row>
    <row r="1813" spans="1:16">
      <c r="A1813" s="95" t="s">
        <v>2363</v>
      </c>
      <c r="B1813" s="95" t="s">
        <v>871</v>
      </c>
      <c r="C1813" s="4">
        <v>3343</v>
      </c>
      <c r="D1813" s="95" t="s">
        <v>881</v>
      </c>
      <c r="E1813" s="145">
        <v>1379.54</v>
      </c>
      <c r="F1813" s="145">
        <v>89.61</v>
      </c>
      <c r="G1813" s="145">
        <v>0</v>
      </c>
      <c r="H1813" s="145">
        <v>0</v>
      </c>
      <c r="I1813" s="77">
        <f t="shared" si="31"/>
        <v>1469.1499999999999</v>
      </c>
      <c r="J1813" s="123" t="str">
        <f>IFERROR(VLOOKUP($C1813,'CEDARS School FRPL'!C:H,4,FALSE),"No")</f>
        <v>No</v>
      </c>
      <c r="K1813" s="109"/>
      <c r="L1813" s="109"/>
      <c r="M1813" s="110">
        <f>IFERROR(VLOOKUP($C1813,'CEDARS School FRPL'!C:H,3,FALSE),0)</f>
        <v>0.27216666666666667</v>
      </c>
      <c r="N1813" s="123" t="str">
        <f>IFERROR(VLOOKUP(C1813,'CEDARS School FRPL'!C:H,6,FALSE),"No")</f>
        <v>No</v>
      </c>
      <c r="O1813" s="147"/>
      <c r="P1813" s="148"/>
    </row>
    <row r="1814" spans="1:16">
      <c r="A1814" s="95" t="s">
        <v>2363</v>
      </c>
      <c r="B1814" s="95" t="s">
        <v>871</v>
      </c>
      <c r="C1814" s="4">
        <v>3387</v>
      </c>
      <c r="D1814" s="95" t="s">
        <v>882</v>
      </c>
      <c r="E1814" s="145">
        <v>978.5</v>
      </c>
      <c r="F1814" s="145">
        <v>0</v>
      </c>
      <c r="G1814" s="145">
        <v>0</v>
      </c>
      <c r="H1814" s="145">
        <v>0</v>
      </c>
      <c r="I1814" s="77">
        <f t="shared" si="31"/>
        <v>978.5</v>
      </c>
      <c r="J1814" s="123" t="str">
        <f>IFERROR(VLOOKUP($C1814,'CEDARS School FRPL'!C:H,4,FALSE),"No")</f>
        <v>No</v>
      </c>
      <c r="K1814" s="109"/>
      <c r="L1814" s="109"/>
      <c r="M1814" s="110">
        <f>IFERROR(VLOOKUP($C1814,'CEDARS School FRPL'!C:H,3,FALSE),0)</f>
        <v>0.28200000000000003</v>
      </c>
      <c r="N1814" s="123" t="str">
        <f>IFERROR(VLOOKUP(C1814,'CEDARS School FRPL'!C:H,6,FALSE),"No")</f>
        <v>No</v>
      </c>
      <c r="O1814" s="147"/>
      <c r="P1814" s="148"/>
    </row>
    <row r="1815" spans="1:16">
      <c r="A1815" s="95" t="s">
        <v>2363</v>
      </c>
      <c r="B1815" s="95" t="s">
        <v>871</v>
      </c>
      <c r="C1815" s="4">
        <v>3489</v>
      </c>
      <c r="D1815" s="95" t="s">
        <v>883</v>
      </c>
      <c r="E1815" s="145">
        <v>386.86</v>
      </c>
      <c r="F1815" s="145">
        <v>0</v>
      </c>
      <c r="G1815" s="145">
        <v>0</v>
      </c>
      <c r="H1815" s="145">
        <v>0</v>
      </c>
      <c r="I1815" s="77">
        <f t="shared" si="31"/>
        <v>386.86</v>
      </c>
      <c r="J1815" s="123" t="str">
        <f>IFERROR(VLOOKUP($C1815,'CEDARS School FRPL'!C:H,4,FALSE),"No")</f>
        <v>No</v>
      </c>
      <c r="K1815" s="109"/>
      <c r="L1815" s="109"/>
      <c r="M1815" s="110">
        <f>IFERROR(VLOOKUP($C1815,'CEDARS School FRPL'!C:H,3,FALSE),0)</f>
        <v>0.31853333333333333</v>
      </c>
      <c r="N1815" s="123" t="str">
        <f>IFERROR(VLOOKUP(C1815,'CEDARS School FRPL'!C:H,6,FALSE),"No")</f>
        <v>No</v>
      </c>
      <c r="O1815" s="147"/>
      <c r="P1815" s="148"/>
    </row>
    <row r="1816" spans="1:16">
      <c r="A1816" s="95" t="s">
        <v>2363</v>
      </c>
      <c r="B1816" s="95" t="s">
        <v>871</v>
      </c>
      <c r="C1816" s="4">
        <v>3527</v>
      </c>
      <c r="D1816" s="95" t="s">
        <v>884</v>
      </c>
      <c r="E1816" s="145">
        <v>428.13</v>
      </c>
      <c r="F1816" s="145">
        <v>0</v>
      </c>
      <c r="G1816" s="145">
        <v>0</v>
      </c>
      <c r="H1816" s="145">
        <v>0</v>
      </c>
      <c r="I1816" s="77">
        <f t="shared" si="31"/>
        <v>428.13</v>
      </c>
      <c r="J1816" s="123" t="str">
        <f>IFERROR(VLOOKUP($C1816,'CEDARS School FRPL'!C:H,4,FALSE),"No")</f>
        <v>No</v>
      </c>
      <c r="K1816" s="109"/>
      <c r="L1816" s="109"/>
      <c r="M1816" s="110">
        <f>IFERROR(VLOOKUP($C1816,'CEDARS School FRPL'!C:H,3,FALSE),0)</f>
        <v>0.14456666666666665</v>
      </c>
      <c r="N1816" s="123" t="str">
        <f>IFERROR(VLOOKUP(C1816,'CEDARS School FRPL'!C:H,6,FALSE),"No")</f>
        <v>No</v>
      </c>
      <c r="O1816" s="147"/>
      <c r="P1816" s="148"/>
    </row>
    <row r="1817" spans="1:16">
      <c r="A1817" s="95" t="s">
        <v>2363</v>
      </c>
      <c r="B1817" s="95" t="s">
        <v>871</v>
      </c>
      <c r="C1817" s="4">
        <v>3674</v>
      </c>
      <c r="D1817" s="95" t="s">
        <v>885</v>
      </c>
      <c r="E1817" s="145">
        <v>1033.8800000000001</v>
      </c>
      <c r="F1817" s="145">
        <v>0</v>
      </c>
      <c r="G1817" s="145">
        <v>0</v>
      </c>
      <c r="H1817" s="145">
        <v>0</v>
      </c>
      <c r="I1817" s="77">
        <f t="shared" si="31"/>
        <v>1033.8800000000001</v>
      </c>
      <c r="J1817" s="123" t="str">
        <f>IFERROR(VLOOKUP($C1817,'CEDARS School FRPL'!C:H,4,FALSE),"No")</f>
        <v>No</v>
      </c>
      <c r="K1817" s="109"/>
      <c r="L1817" s="109"/>
      <c r="M1817" s="110">
        <f>IFERROR(VLOOKUP($C1817,'CEDARS School FRPL'!C:H,3,FALSE),0)</f>
        <v>0.25716666666666665</v>
      </c>
      <c r="N1817" s="123" t="str">
        <f>IFERROR(VLOOKUP(C1817,'CEDARS School FRPL'!C:H,6,FALSE),"No")</f>
        <v>No</v>
      </c>
      <c r="O1817" s="147"/>
      <c r="P1817" s="148"/>
    </row>
    <row r="1818" spans="1:16">
      <c r="A1818" s="95" t="s">
        <v>2363</v>
      </c>
      <c r="B1818" s="95" t="s">
        <v>871</v>
      </c>
      <c r="C1818" s="4">
        <v>3921</v>
      </c>
      <c r="D1818" s="95" t="s">
        <v>886</v>
      </c>
      <c r="E1818" s="145">
        <v>1411.24</v>
      </c>
      <c r="F1818" s="145">
        <v>111.38</v>
      </c>
      <c r="G1818" s="145">
        <v>0</v>
      </c>
      <c r="H1818" s="145">
        <v>0</v>
      </c>
      <c r="I1818" s="77">
        <f t="shared" si="31"/>
        <v>1522.62</v>
      </c>
      <c r="J1818" s="123" t="str">
        <f>IFERROR(VLOOKUP($C1818,'CEDARS School FRPL'!C:H,4,FALSE),"No")</f>
        <v>No</v>
      </c>
      <c r="K1818" s="109"/>
      <c r="L1818" s="109"/>
      <c r="M1818" s="110">
        <f>IFERROR(VLOOKUP($C1818,'CEDARS School FRPL'!C:H,3,FALSE),0)</f>
        <v>0.25433333333333336</v>
      </c>
      <c r="N1818" s="123" t="str">
        <f>IFERROR(VLOOKUP(C1818,'CEDARS School FRPL'!C:H,6,FALSE),"No")</f>
        <v>No</v>
      </c>
      <c r="O1818" s="147"/>
      <c r="P1818" s="148"/>
    </row>
    <row r="1819" spans="1:16">
      <c r="A1819" s="95" t="s">
        <v>2363</v>
      </c>
      <c r="B1819" s="95" t="s">
        <v>871</v>
      </c>
      <c r="C1819" s="4">
        <v>3958</v>
      </c>
      <c r="D1819" s="95" t="s">
        <v>887</v>
      </c>
      <c r="E1819" s="145">
        <v>520.4</v>
      </c>
      <c r="F1819" s="145">
        <v>0</v>
      </c>
      <c r="G1819" s="145">
        <v>0</v>
      </c>
      <c r="H1819" s="145">
        <v>0</v>
      </c>
      <c r="I1819" s="77">
        <f t="shared" si="31"/>
        <v>520.4</v>
      </c>
      <c r="J1819" s="123" t="str">
        <f>IFERROR(VLOOKUP($C1819,'CEDARS School FRPL'!C:H,4,FALSE),"No")</f>
        <v>No</v>
      </c>
      <c r="K1819" s="109"/>
      <c r="L1819" s="109"/>
      <c r="M1819" s="110">
        <f>IFERROR(VLOOKUP($C1819,'CEDARS School FRPL'!C:H,3,FALSE),0)</f>
        <v>0.28426666666666667</v>
      </c>
      <c r="N1819" s="123" t="str">
        <f>IFERROR(VLOOKUP(C1819,'CEDARS School FRPL'!C:H,6,FALSE),"No")</f>
        <v>No</v>
      </c>
      <c r="O1819" s="147"/>
      <c r="P1819" s="148"/>
    </row>
    <row r="1820" spans="1:16">
      <c r="A1820" s="95" t="s">
        <v>2468</v>
      </c>
      <c r="B1820" s="95" t="s">
        <v>1585</v>
      </c>
      <c r="C1820" s="4">
        <v>3405</v>
      </c>
      <c r="D1820" s="95" t="s">
        <v>1586</v>
      </c>
      <c r="E1820" s="145">
        <v>63.86</v>
      </c>
      <c r="F1820" s="145">
        <v>0</v>
      </c>
      <c r="G1820" s="145">
        <v>0</v>
      </c>
      <c r="H1820" s="145">
        <v>0</v>
      </c>
      <c r="I1820" s="77">
        <f t="shared" si="31"/>
        <v>63.86</v>
      </c>
      <c r="J1820" s="123" t="str">
        <f>IFERROR(VLOOKUP($C1820,'CEDARS School FRPL'!C:H,4,FALSE),"No")</f>
        <v>No</v>
      </c>
      <c r="K1820" s="109"/>
      <c r="L1820" s="109"/>
      <c r="M1820" s="110">
        <f>IFERROR(VLOOKUP($C1820,'CEDARS School FRPL'!C:H,3,FALSE),0)</f>
        <v>0.42919999999999997</v>
      </c>
      <c r="N1820" s="123" t="str">
        <f>IFERROR(VLOOKUP(C1820,'CEDARS School FRPL'!C:H,6,FALSE),"No")</f>
        <v>Yes</v>
      </c>
      <c r="O1820" s="147"/>
      <c r="P1820" s="148"/>
    </row>
    <row r="1821" spans="1:16">
      <c r="A1821" s="95" t="s">
        <v>2355</v>
      </c>
      <c r="B1821" s="95" t="s">
        <v>760</v>
      </c>
      <c r="C1821" s="4">
        <v>2512</v>
      </c>
      <c r="D1821" s="95" t="s">
        <v>761</v>
      </c>
      <c r="E1821" s="145">
        <v>22.57</v>
      </c>
      <c r="F1821" s="145">
        <v>0</v>
      </c>
      <c r="G1821" s="145">
        <v>0</v>
      </c>
      <c r="H1821" s="145">
        <v>0</v>
      </c>
      <c r="I1821" s="77">
        <f t="shared" si="31"/>
        <v>22.57</v>
      </c>
      <c r="J1821" s="123" t="str">
        <f>IFERROR(VLOOKUP($C1821,'CEDARS School FRPL'!C:H,4,FALSE),"No")</f>
        <v>Yes</v>
      </c>
      <c r="K1821" s="109"/>
      <c r="L1821" s="109"/>
      <c r="M1821" s="110">
        <f>IFERROR(VLOOKUP($C1821,'CEDARS School FRPL'!C:H,3,FALSE),0)</f>
        <v>0.69913333333333327</v>
      </c>
      <c r="N1821" s="123" t="str">
        <f>IFERROR(VLOOKUP(C1821,'CEDARS School FRPL'!C:H,6,FALSE),"No")</f>
        <v>No</v>
      </c>
      <c r="O1821" s="147"/>
      <c r="P1821" s="148"/>
    </row>
    <row r="1822" spans="1:16">
      <c r="A1822" s="95" t="s">
        <v>2355</v>
      </c>
      <c r="B1822" s="95" t="s">
        <v>760</v>
      </c>
      <c r="C1822" s="4">
        <v>2513</v>
      </c>
      <c r="D1822" s="95" t="s">
        <v>762</v>
      </c>
      <c r="E1822" s="145">
        <v>11.33</v>
      </c>
      <c r="F1822" s="145">
        <v>1.01</v>
      </c>
      <c r="G1822" s="145">
        <v>0</v>
      </c>
      <c r="H1822" s="145">
        <v>0</v>
      </c>
      <c r="I1822" s="77">
        <f t="shared" si="31"/>
        <v>12.34</v>
      </c>
      <c r="J1822" s="123" t="str">
        <f>IFERROR(VLOOKUP($C1822,'CEDARS School FRPL'!C:H,4,FALSE),"No")</f>
        <v>Yes</v>
      </c>
      <c r="K1822" s="109"/>
      <c r="L1822" s="109"/>
      <c r="M1822" s="110">
        <f>IFERROR(VLOOKUP($C1822,'CEDARS School FRPL'!C:H,3,FALSE),0)</f>
        <v>0.63106666666666666</v>
      </c>
      <c r="N1822" s="123" t="str">
        <f>IFERROR(VLOOKUP(C1822,'CEDARS School FRPL'!C:H,6,FALSE),"No")</f>
        <v>No</v>
      </c>
      <c r="O1822" s="147"/>
      <c r="P1822" s="148"/>
    </row>
    <row r="1823" spans="1:16">
      <c r="A1823" s="95" t="s">
        <v>2480</v>
      </c>
      <c r="B1823" s="95" t="s">
        <v>1724</v>
      </c>
      <c r="C1823" s="4">
        <v>1730</v>
      </c>
      <c r="D1823" s="95" t="s">
        <v>1725</v>
      </c>
      <c r="E1823" s="145">
        <v>6.71</v>
      </c>
      <c r="F1823" s="145">
        <v>0</v>
      </c>
      <c r="G1823" s="145">
        <v>0</v>
      </c>
      <c r="H1823" s="145">
        <v>0</v>
      </c>
      <c r="I1823" s="77">
        <f t="shared" si="31"/>
        <v>6.71</v>
      </c>
      <c r="J1823" s="123" t="str">
        <f>IFERROR(VLOOKUP($C1823,'CEDARS School FRPL'!C:H,4,FALSE),"No")</f>
        <v>No</v>
      </c>
      <c r="K1823" s="109"/>
      <c r="L1823" s="109"/>
      <c r="M1823" s="110">
        <f>IFERROR(VLOOKUP($C1823,'CEDARS School FRPL'!C:H,3,FALSE),0)</f>
        <v>0.24596666666666667</v>
      </c>
      <c r="N1823" s="123" t="str">
        <f>IFERROR(VLOOKUP(C1823,'CEDARS School FRPL'!C:H,6,FALSE),"No")</f>
        <v>No</v>
      </c>
      <c r="O1823" s="147"/>
      <c r="P1823" s="148"/>
    </row>
    <row r="1824" spans="1:16">
      <c r="A1824" s="95" t="s">
        <v>2480</v>
      </c>
      <c r="B1824" s="95" t="s">
        <v>1724</v>
      </c>
      <c r="C1824" s="4">
        <v>1904</v>
      </c>
      <c r="D1824" s="95" t="s">
        <v>2927</v>
      </c>
      <c r="E1824" s="145">
        <v>80.16</v>
      </c>
      <c r="F1824" s="145">
        <v>16.37</v>
      </c>
      <c r="G1824" s="145">
        <v>0</v>
      </c>
      <c r="H1824" s="145">
        <v>0</v>
      </c>
      <c r="I1824" s="77">
        <f t="shared" si="31"/>
        <v>96.53</v>
      </c>
      <c r="J1824" s="123" t="str">
        <f>IFERROR(VLOOKUP($C1824,'CEDARS School FRPL'!C:H,4,FALSE),"No")</f>
        <v>No</v>
      </c>
      <c r="K1824" s="109"/>
      <c r="L1824" s="109"/>
      <c r="M1824" s="110">
        <f>IFERROR(VLOOKUP($C1824,'CEDARS School FRPL'!C:H,3,FALSE),0)</f>
        <v>0.15240000000000001</v>
      </c>
      <c r="N1824" s="123" t="str">
        <f>IFERROR(VLOOKUP(C1824,'CEDARS School FRPL'!C:H,6,FALSE),"No")</f>
        <v>No</v>
      </c>
      <c r="O1824" s="147"/>
      <c r="P1824" s="148"/>
    </row>
    <row r="1825" spans="1:16">
      <c r="A1825" s="95" t="s">
        <v>2480</v>
      </c>
      <c r="B1825" s="95" t="s">
        <v>1724</v>
      </c>
      <c r="C1825" s="4">
        <v>2073</v>
      </c>
      <c r="D1825" s="95" t="s">
        <v>1726</v>
      </c>
      <c r="E1825" s="145">
        <v>550.29999999999995</v>
      </c>
      <c r="F1825" s="145">
        <v>0</v>
      </c>
      <c r="G1825" s="145">
        <v>0</v>
      </c>
      <c r="H1825" s="145">
        <v>0</v>
      </c>
      <c r="I1825" s="77">
        <f t="shared" si="31"/>
        <v>550.29999999999995</v>
      </c>
      <c r="J1825" s="123" t="str">
        <f>IFERROR(VLOOKUP($C1825,'CEDARS School FRPL'!C:H,4,FALSE),"No")</f>
        <v>No</v>
      </c>
      <c r="K1825" s="109"/>
      <c r="L1825" s="109"/>
      <c r="M1825" s="110">
        <f>IFERROR(VLOOKUP($C1825,'CEDARS School FRPL'!C:H,3,FALSE),0)</f>
        <v>0.1482</v>
      </c>
      <c r="N1825" s="123" t="str">
        <f>IFERROR(VLOOKUP(C1825,'CEDARS School FRPL'!C:H,6,FALSE),"No")</f>
        <v>No</v>
      </c>
      <c r="O1825" s="147"/>
      <c r="P1825" s="148"/>
    </row>
    <row r="1826" spans="1:16">
      <c r="A1826" s="95" t="s">
        <v>2480</v>
      </c>
      <c r="B1826" s="95" t="s">
        <v>1724</v>
      </c>
      <c r="C1826" s="4">
        <v>2428</v>
      </c>
      <c r="D1826" s="95" t="s">
        <v>1727</v>
      </c>
      <c r="E1826" s="145">
        <v>1450.26</v>
      </c>
      <c r="F1826" s="145">
        <v>88.25</v>
      </c>
      <c r="G1826" s="145">
        <v>0</v>
      </c>
      <c r="H1826" s="145">
        <v>0</v>
      </c>
      <c r="I1826" s="77">
        <f t="shared" si="31"/>
        <v>1538.51</v>
      </c>
      <c r="J1826" s="123" t="str">
        <f>IFERROR(VLOOKUP($C1826,'CEDARS School FRPL'!C:H,4,FALSE),"No")</f>
        <v>No</v>
      </c>
      <c r="K1826" s="109"/>
      <c r="L1826" s="109"/>
      <c r="M1826" s="110">
        <f>IFERROR(VLOOKUP($C1826,'CEDARS School FRPL'!C:H,3,FALSE),0)</f>
        <v>0.20713333333333331</v>
      </c>
      <c r="N1826" s="123" t="str">
        <f>IFERROR(VLOOKUP(C1826,'CEDARS School FRPL'!C:H,6,FALSE),"No")</f>
        <v>No</v>
      </c>
      <c r="O1826" s="147"/>
      <c r="P1826" s="148"/>
    </row>
    <row r="1827" spans="1:16">
      <c r="A1827" s="95" t="s">
        <v>2480</v>
      </c>
      <c r="B1827" s="95" t="s">
        <v>1724</v>
      </c>
      <c r="C1827" s="4">
        <v>2446</v>
      </c>
      <c r="D1827" s="95" t="s">
        <v>1728</v>
      </c>
      <c r="E1827" s="145">
        <v>197.28</v>
      </c>
      <c r="F1827" s="145">
        <v>0</v>
      </c>
      <c r="G1827" s="145">
        <v>0</v>
      </c>
      <c r="H1827" s="145">
        <v>0</v>
      </c>
      <c r="I1827" s="77">
        <f t="shared" si="31"/>
        <v>197.28</v>
      </c>
      <c r="J1827" s="123" t="str">
        <f>IFERROR(VLOOKUP($C1827,'CEDARS School FRPL'!C:H,4,FALSE),"No")</f>
        <v>No</v>
      </c>
      <c r="K1827" s="109"/>
      <c r="L1827" s="109"/>
      <c r="M1827" s="110">
        <f>IFERROR(VLOOKUP($C1827,'CEDARS School FRPL'!C:H,3,FALSE),0)</f>
        <v>0.45283333333333337</v>
      </c>
      <c r="N1827" s="123" t="str">
        <f>IFERROR(VLOOKUP(C1827,'CEDARS School FRPL'!C:H,6,FALSE),"No")</f>
        <v>No</v>
      </c>
      <c r="O1827" s="147"/>
      <c r="P1827" s="148"/>
    </row>
    <row r="1828" spans="1:16">
      <c r="A1828" s="95" t="s">
        <v>2480</v>
      </c>
      <c r="B1828" s="95" t="s">
        <v>1724</v>
      </c>
      <c r="C1828" s="4">
        <v>3005</v>
      </c>
      <c r="D1828" s="95" t="s">
        <v>375</v>
      </c>
      <c r="E1828" s="145">
        <v>365.18</v>
      </c>
      <c r="F1828" s="145">
        <v>0</v>
      </c>
      <c r="G1828" s="145">
        <v>0</v>
      </c>
      <c r="H1828" s="145">
        <v>0</v>
      </c>
      <c r="I1828" s="77">
        <f t="shared" si="31"/>
        <v>365.18</v>
      </c>
      <c r="J1828" s="123" t="str">
        <f>IFERROR(VLOOKUP($C1828,'CEDARS School FRPL'!C:H,4,FALSE),"No")</f>
        <v>No</v>
      </c>
      <c r="K1828" s="109"/>
      <c r="L1828" s="109"/>
      <c r="M1828" s="110">
        <f>IFERROR(VLOOKUP($C1828,'CEDARS School FRPL'!C:H,3,FALSE),0)</f>
        <v>0.45046666666666663</v>
      </c>
      <c r="N1828" s="123" t="str">
        <f>IFERROR(VLOOKUP(C1828,'CEDARS School FRPL'!C:H,6,FALSE),"No")</f>
        <v>No</v>
      </c>
      <c r="O1828" s="147"/>
      <c r="P1828" s="148"/>
    </row>
    <row r="1829" spans="1:16">
      <c r="A1829" s="95" t="s">
        <v>2480</v>
      </c>
      <c r="B1829" s="95" t="s">
        <v>1724</v>
      </c>
      <c r="C1829" s="4">
        <v>3305</v>
      </c>
      <c r="D1829" s="95" t="s">
        <v>1729</v>
      </c>
      <c r="E1829" s="145">
        <v>413.41</v>
      </c>
      <c r="F1829" s="145">
        <v>0</v>
      </c>
      <c r="G1829" s="145">
        <v>0</v>
      </c>
      <c r="H1829" s="145">
        <v>0</v>
      </c>
      <c r="I1829" s="77">
        <f t="shared" si="31"/>
        <v>413.41</v>
      </c>
      <c r="J1829" s="123" t="str">
        <f>IFERROR(VLOOKUP($C1829,'CEDARS School FRPL'!C:H,4,FALSE),"No")</f>
        <v>No</v>
      </c>
      <c r="K1829" s="109"/>
      <c r="L1829" s="109"/>
      <c r="M1829" s="110">
        <f>IFERROR(VLOOKUP($C1829,'CEDARS School FRPL'!C:H,3,FALSE),0)</f>
        <v>0.25899999999999995</v>
      </c>
      <c r="N1829" s="123" t="str">
        <f>IFERROR(VLOOKUP(C1829,'CEDARS School FRPL'!C:H,6,FALSE),"No")</f>
        <v>No</v>
      </c>
      <c r="O1829" s="147"/>
      <c r="P1829" s="148"/>
    </row>
    <row r="1830" spans="1:16">
      <c r="A1830" s="95" t="s">
        <v>2480</v>
      </c>
      <c r="B1830" s="95" t="s">
        <v>1724</v>
      </c>
      <c r="C1830" s="4">
        <v>3561</v>
      </c>
      <c r="D1830" s="95" t="s">
        <v>1730</v>
      </c>
      <c r="E1830" s="145">
        <v>482.94</v>
      </c>
      <c r="F1830" s="145">
        <v>0</v>
      </c>
      <c r="G1830" s="145">
        <v>0</v>
      </c>
      <c r="H1830" s="145">
        <v>0</v>
      </c>
      <c r="I1830" s="77">
        <f t="shared" si="31"/>
        <v>482.94</v>
      </c>
      <c r="J1830" s="123" t="str">
        <f>IFERROR(VLOOKUP($C1830,'CEDARS School FRPL'!C:H,4,FALSE),"No")</f>
        <v>No</v>
      </c>
      <c r="K1830" s="109"/>
      <c r="L1830" s="109"/>
      <c r="M1830" s="110">
        <f>IFERROR(VLOOKUP($C1830,'CEDARS School FRPL'!C:H,3,FALSE),0)</f>
        <v>0.22656666666666669</v>
      </c>
      <c r="N1830" s="123" t="str">
        <f>IFERROR(VLOOKUP(C1830,'CEDARS School FRPL'!C:H,6,FALSE),"No")</f>
        <v>No</v>
      </c>
      <c r="O1830" s="147"/>
      <c r="P1830" s="148"/>
    </row>
    <row r="1831" spans="1:16">
      <c r="A1831" s="95" t="s">
        <v>2480</v>
      </c>
      <c r="B1831" s="95" t="s">
        <v>1724</v>
      </c>
      <c r="C1831" s="4">
        <v>3981</v>
      </c>
      <c r="D1831" s="95" t="s">
        <v>1731</v>
      </c>
      <c r="E1831" s="145">
        <v>10.69</v>
      </c>
      <c r="F1831" s="145">
        <v>0</v>
      </c>
      <c r="G1831" s="145">
        <v>0</v>
      </c>
      <c r="H1831" s="145">
        <v>0</v>
      </c>
      <c r="I1831" s="77">
        <f t="shared" si="31"/>
        <v>10.69</v>
      </c>
      <c r="J1831" s="123" t="str">
        <f>IFERROR(VLOOKUP($C1831,'CEDARS School FRPL'!C:H,4,FALSE),"No")</f>
        <v>No</v>
      </c>
      <c r="K1831" s="109"/>
      <c r="L1831" s="109"/>
      <c r="M1831" s="110">
        <f>IFERROR(VLOOKUP($C1831,'CEDARS School FRPL'!C:H,3,FALSE),0)</f>
        <v>0.11109999999999999</v>
      </c>
      <c r="N1831" s="123" t="str">
        <f>IFERROR(VLOOKUP(C1831,'CEDARS School FRPL'!C:H,6,FALSE),"No")</f>
        <v>No</v>
      </c>
      <c r="O1831" s="147"/>
      <c r="P1831" s="148"/>
    </row>
    <row r="1832" spans="1:16">
      <c r="A1832" s="95" t="s">
        <v>2480</v>
      </c>
      <c r="B1832" s="95" t="s">
        <v>1724</v>
      </c>
      <c r="C1832" s="4">
        <v>4145</v>
      </c>
      <c r="D1832" s="95" t="s">
        <v>1732</v>
      </c>
      <c r="E1832" s="145">
        <v>656.05</v>
      </c>
      <c r="F1832" s="145">
        <v>0</v>
      </c>
      <c r="G1832" s="145">
        <v>0</v>
      </c>
      <c r="H1832" s="145">
        <v>0</v>
      </c>
      <c r="I1832" s="77">
        <f t="shared" si="31"/>
        <v>656.05</v>
      </c>
      <c r="J1832" s="123" t="str">
        <f>IFERROR(VLOOKUP($C1832,'CEDARS School FRPL'!C:H,4,FALSE),"No")</f>
        <v>No</v>
      </c>
      <c r="K1832" s="109"/>
      <c r="L1832" s="109"/>
      <c r="M1832" s="110">
        <f>IFERROR(VLOOKUP($C1832,'CEDARS School FRPL'!C:H,3,FALSE),0)</f>
        <v>0.15743333333333331</v>
      </c>
      <c r="N1832" s="123" t="str">
        <f>IFERROR(VLOOKUP(C1832,'CEDARS School FRPL'!C:H,6,FALSE),"No")</f>
        <v>No</v>
      </c>
      <c r="O1832" s="147"/>
      <c r="P1832" s="148"/>
    </row>
    <row r="1833" spans="1:16">
      <c r="A1833" s="95" t="s">
        <v>2480</v>
      </c>
      <c r="B1833" s="95" t="s">
        <v>1724</v>
      </c>
      <c r="C1833" s="4">
        <v>4184</v>
      </c>
      <c r="D1833" s="95" t="s">
        <v>1733</v>
      </c>
      <c r="E1833" s="145">
        <v>549.63</v>
      </c>
      <c r="F1833" s="145">
        <v>0</v>
      </c>
      <c r="G1833" s="145">
        <v>0</v>
      </c>
      <c r="H1833" s="145">
        <v>0</v>
      </c>
      <c r="I1833" s="77">
        <f t="shared" si="31"/>
        <v>549.63</v>
      </c>
      <c r="J1833" s="123" t="str">
        <f>IFERROR(VLOOKUP($C1833,'CEDARS School FRPL'!C:H,4,FALSE),"No")</f>
        <v>No</v>
      </c>
      <c r="K1833" s="109"/>
      <c r="L1833" s="109"/>
      <c r="M1833" s="110">
        <f>IFERROR(VLOOKUP($C1833,'CEDARS School FRPL'!C:H,3,FALSE),0)</f>
        <v>0.15049999999999999</v>
      </c>
      <c r="N1833" s="123" t="str">
        <f>IFERROR(VLOOKUP(C1833,'CEDARS School FRPL'!C:H,6,FALSE),"No")</f>
        <v>No</v>
      </c>
      <c r="O1833" s="147"/>
      <c r="P1833" s="148"/>
    </row>
    <row r="1834" spans="1:16">
      <c r="A1834" s="95" t="s">
        <v>2480</v>
      </c>
      <c r="B1834" s="95" t="s">
        <v>1724</v>
      </c>
      <c r="C1834" s="4">
        <v>4241</v>
      </c>
      <c r="D1834" s="95" t="s">
        <v>1734</v>
      </c>
      <c r="E1834" s="145">
        <v>583.52</v>
      </c>
      <c r="F1834" s="145">
        <v>0</v>
      </c>
      <c r="G1834" s="145">
        <v>0</v>
      </c>
      <c r="H1834" s="145">
        <v>0</v>
      </c>
      <c r="I1834" s="77">
        <f t="shared" si="31"/>
        <v>583.52</v>
      </c>
      <c r="J1834" s="123" t="str">
        <f>IFERROR(VLOOKUP($C1834,'CEDARS School FRPL'!C:H,4,FALSE),"No")</f>
        <v>No</v>
      </c>
      <c r="K1834" s="109"/>
      <c r="L1834" s="109"/>
      <c r="M1834" s="110">
        <f>IFERROR(VLOOKUP($C1834,'CEDARS School FRPL'!C:H,3,FALSE),0)</f>
        <v>0.13393333333333332</v>
      </c>
      <c r="N1834" s="123" t="str">
        <f>IFERROR(VLOOKUP(C1834,'CEDARS School FRPL'!C:H,6,FALSE),"No")</f>
        <v>No</v>
      </c>
      <c r="O1834" s="147"/>
      <c r="P1834" s="148"/>
    </row>
    <row r="1835" spans="1:16">
      <c r="A1835" s="95" t="s">
        <v>2480</v>
      </c>
      <c r="B1835" s="95" t="s">
        <v>1724</v>
      </c>
      <c r="C1835" s="4">
        <v>4265</v>
      </c>
      <c r="D1835" s="95" t="s">
        <v>1735</v>
      </c>
      <c r="E1835" s="145">
        <v>128.61000000000001</v>
      </c>
      <c r="F1835" s="145">
        <v>2.57</v>
      </c>
      <c r="G1835" s="145">
        <v>0</v>
      </c>
      <c r="H1835" s="145">
        <v>0</v>
      </c>
      <c r="I1835" s="77">
        <f t="shared" si="31"/>
        <v>131.18</v>
      </c>
      <c r="J1835" s="123" t="str">
        <f>IFERROR(VLOOKUP($C1835,'CEDARS School FRPL'!C:H,4,FALSE),"No")</f>
        <v>No</v>
      </c>
      <c r="K1835" s="109"/>
      <c r="L1835" s="109"/>
      <c r="M1835" s="110">
        <f>IFERROR(VLOOKUP($C1835,'CEDARS School FRPL'!C:H,3,FALSE),0)</f>
        <v>0.29786666666666667</v>
      </c>
      <c r="N1835" s="123" t="str">
        <f>IFERROR(VLOOKUP(C1835,'CEDARS School FRPL'!C:H,6,FALSE),"No")</f>
        <v>No</v>
      </c>
      <c r="O1835" s="147"/>
      <c r="P1835" s="148"/>
    </row>
    <row r="1836" spans="1:16">
      <c r="A1836" s="95" t="s">
        <v>2480</v>
      </c>
      <c r="B1836" s="95" t="s">
        <v>1724</v>
      </c>
      <c r="C1836" s="4">
        <v>4366</v>
      </c>
      <c r="D1836" s="95" t="s">
        <v>795</v>
      </c>
      <c r="E1836" s="145">
        <v>335.61</v>
      </c>
      <c r="F1836" s="145">
        <v>0</v>
      </c>
      <c r="G1836" s="145">
        <v>0</v>
      </c>
      <c r="H1836" s="145">
        <v>0</v>
      </c>
      <c r="I1836" s="77">
        <f t="shared" si="31"/>
        <v>335.61</v>
      </c>
      <c r="J1836" s="123" t="str">
        <f>IFERROR(VLOOKUP($C1836,'CEDARS School FRPL'!C:H,4,FALSE),"No")</f>
        <v>No</v>
      </c>
      <c r="K1836" s="109"/>
      <c r="L1836" s="109"/>
      <c r="M1836" s="110">
        <f>IFERROR(VLOOKUP($C1836,'CEDARS School FRPL'!C:H,3,FALSE),0)</f>
        <v>0.2359</v>
      </c>
      <c r="N1836" s="123" t="str">
        <f>IFERROR(VLOOKUP(C1836,'CEDARS School FRPL'!C:H,6,FALSE),"No")</f>
        <v>No</v>
      </c>
      <c r="O1836" s="147"/>
      <c r="P1836" s="148"/>
    </row>
    <row r="1837" spans="1:16">
      <c r="A1837" s="95" t="s">
        <v>2480</v>
      </c>
      <c r="B1837" s="95" t="s">
        <v>1724</v>
      </c>
      <c r="C1837" s="4">
        <v>4383</v>
      </c>
      <c r="D1837" s="95" t="s">
        <v>1736</v>
      </c>
      <c r="E1837" s="145">
        <v>387.05</v>
      </c>
      <c r="F1837" s="145">
        <v>0</v>
      </c>
      <c r="G1837" s="145">
        <v>0</v>
      </c>
      <c r="H1837" s="145">
        <v>0</v>
      </c>
      <c r="I1837" s="77">
        <f t="shared" si="31"/>
        <v>387.05</v>
      </c>
      <c r="J1837" s="123" t="str">
        <f>IFERROR(VLOOKUP($C1837,'CEDARS School FRPL'!C:H,4,FALSE),"No")</f>
        <v>No</v>
      </c>
      <c r="K1837" s="109"/>
      <c r="L1837" s="109"/>
      <c r="M1837" s="110">
        <f>IFERROR(VLOOKUP($C1837,'CEDARS School FRPL'!C:H,3,FALSE),0)</f>
        <v>8.6000000000000007E-2</v>
      </c>
      <c r="N1837" s="123" t="str">
        <f>IFERROR(VLOOKUP(C1837,'CEDARS School FRPL'!C:H,6,FALSE),"No")</f>
        <v>No</v>
      </c>
      <c r="O1837" s="147"/>
      <c r="P1837" s="148"/>
    </row>
    <row r="1838" spans="1:16">
      <c r="A1838" s="95" t="s">
        <v>2480</v>
      </c>
      <c r="B1838" s="95" t="s">
        <v>1724</v>
      </c>
      <c r="C1838" s="4">
        <v>4395</v>
      </c>
      <c r="D1838" s="95" t="s">
        <v>1737</v>
      </c>
      <c r="E1838" s="145">
        <v>749.5</v>
      </c>
      <c r="F1838" s="145">
        <v>0</v>
      </c>
      <c r="G1838" s="145">
        <v>0</v>
      </c>
      <c r="H1838" s="145">
        <v>0</v>
      </c>
      <c r="I1838" s="77">
        <f t="shared" si="31"/>
        <v>749.5</v>
      </c>
      <c r="J1838" s="123" t="str">
        <f>IFERROR(VLOOKUP($C1838,'CEDARS School FRPL'!C:H,4,FALSE),"No")</f>
        <v>No</v>
      </c>
      <c r="K1838" s="109"/>
      <c r="L1838" s="109"/>
      <c r="M1838" s="110">
        <f>IFERROR(VLOOKUP($C1838,'CEDARS School FRPL'!C:H,3,FALSE),0)</f>
        <v>0.24046666666666663</v>
      </c>
      <c r="N1838" s="123" t="str">
        <f>IFERROR(VLOOKUP(C1838,'CEDARS School FRPL'!C:H,6,FALSE),"No")</f>
        <v>No</v>
      </c>
      <c r="O1838" s="147"/>
      <c r="P1838" s="148"/>
    </row>
    <row r="1839" spans="1:16">
      <c r="A1839" s="95" t="s">
        <v>2480</v>
      </c>
      <c r="B1839" s="95" t="s">
        <v>1724</v>
      </c>
      <c r="C1839" s="4">
        <v>5100</v>
      </c>
      <c r="D1839" s="95" t="s">
        <v>1738</v>
      </c>
      <c r="E1839" s="145">
        <v>544.88</v>
      </c>
      <c r="F1839" s="145">
        <v>0</v>
      </c>
      <c r="G1839" s="145">
        <v>0</v>
      </c>
      <c r="H1839" s="145">
        <v>0</v>
      </c>
      <c r="I1839" s="77">
        <f t="shared" si="31"/>
        <v>544.88</v>
      </c>
      <c r="J1839" s="123" t="str">
        <f>IFERROR(VLOOKUP($C1839,'CEDARS School FRPL'!C:H,4,FALSE),"No")</f>
        <v>No</v>
      </c>
      <c r="K1839" s="109"/>
      <c r="L1839" s="109"/>
      <c r="M1839" s="110">
        <f>IFERROR(VLOOKUP($C1839,'CEDARS School FRPL'!C:H,3,FALSE),0)</f>
        <v>0.10316666666666667</v>
      </c>
      <c r="N1839" s="123" t="str">
        <f>IFERROR(VLOOKUP(C1839,'CEDARS School FRPL'!C:H,6,FALSE),"No")</f>
        <v>No</v>
      </c>
      <c r="O1839" s="147"/>
      <c r="P1839" s="148"/>
    </row>
    <row r="1840" spans="1:16">
      <c r="A1840" s="95" t="s">
        <v>2480</v>
      </c>
      <c r="B1840" s="95" t="s">
        <v>1724</v>
      </c>
      <c r="C1840" s="4">
        <v>5128</v>
      </c>
      <c r="D1840" s="95" t="s">
        <v>1739</v>
      </c>
      <c r="E1840" s="145">
        <v>1551.53</v>
      </c>
      <c r="F1840" s="145">
        <v>89.3</v>
      </c>
      <c r="G1840" s="145">
        <v>0</v>
      </c>
      <c r="H1840" s="145">
        <v>0</v>
      </c>
      <c r="I1840" s="77">
        <f t="shared" si="31"/>
        <v>1640.83</v>
      </c>
      <c r="J1840" s="123" t="str">
        <f>IFERROR(VLOOKUP($C1840,'CEDARS School FRPL'!C:H,4,FALSE),"No")</f>
        <v>No</v>
      </c>
      <c r="K1840" s="109"/>
      <c r="L1840" s="109"/>
      <c r="M1840" s="110">
        <f>IFERROR(VLOOKUP($C1840,'CEDARS School FRPL'!C:H,3,FALSE),0)</f>
        <v>0.11569999999999998</v>
      </c>
      <c r="N1840" s="123" t="str">
        <f>IFERROR(VLOOKUP(C1840,'CEDARS School FRPL'!C:H,6,FALSE),"No")</f>
        <v>No</v>
      </c>
      <c r="O1840" s="147"/>
      <c r="P1840" s="148"/>
    </row>
    <row r="1841" spans="1:16">
      <c r="A1841" s="95" t="s">
        <v>2361</v>
      </c>
      <c r="B1841" s="95" t="s">
        <v>832</v>
      </c>
      <c r="C1841" s="4">
        <v>1502</v>
      </c>
      <c r="D1841" s="95" t="s">
        <v>833</v>
      </c>
      <c r="E1841" s="145">
        <v>32.07</v>
      </c>
      <c r="F1841" s="145">
        <v>0.2</v>
      </c>
      <c r="G1841" s="145">
        <v>0</v>
      </c>
      <c r="H1841" s="145">
        <v>0</v>
      </c>
      <c r="I1841" s="77">
        <f t="shared" si="31"/>
        <v>32.270000000000003</v>
      </c>
      <c r="J1841" s="123" t="str">
        <f>IFERROR(VLOOKUP($C1841,'CEDARS School FRPL'!C:H,4,FALSE),"No")</f>
        <v>No</v>
      </c>
      <c r="K1841" s="109"/>
      <c r="L1841" s="109"/>
      <c r="M1841" s="110">
        <f>IFERROR(VLOOKUP($C1841,'CEDARS School FRPL'!C:H,3,FALSE),0)</f>
        <v>0.13133333333333333</v>
      </c>
      <c r="N1841" s="123" t="str">
        <f>IFERROR(VLOOKUP(C1841,'CEDARS School FRPL'!C:H,6,FALSE),"No")</f>
        <v>No</v>
      </c>
      <c r="O1841" s="147"/>
      <c r="P1841" s="148"/>
    </row>
    <row r="1842" spans="1:16">
      <c r="A1842" s="95" t="s">
        <v>2361</v>
      </c>
      <c r="B1842" s="95" t="s">
        <v>832</v>
      </c>
      <c r="C1842" s="4">
        <v>2124</v>
      </c>
      <c r="D1842" s="95" t="s">
        <v>2827</v>
      </c>
      <c r="E1842" s="145">
        <v>503.11</v>
      </c>
      <c r="F1842" s="145">
        <v>0</v>
      </c>
      <c r="G1842" s="145">
        <v>0</v>
      </c>
      <c r="H1842" s="145">
        <v>0</v>
      </c>
      <c r="I1842" s="77">
        <f t="shared" si="31"/>
        <v>503.11</v>
      </c>
      <c r="J1842" s="123" t="str">
        <f>IFERROR(VLOOKUP($C1842,'CEDARS School FRPL'!C:H,4,FALSE),"No")</f>
        <v>No</v>
      </c>
      <c r="K1842" s="109"/>
      <c r="L1842" s="109"/>
      <c r="M1842" s="110">
        <f>IFERROR(VLOOKUP($C1842,'CEDARS School FRPL'!C:H,3,FALSE),0)</f>
        <v>8.9099999999999999E-2</v>
      </c>
      <c r="N1842" s="123" t="str">
        <f>IFERROR(VLOOKUP(C1842,'CEDARS School FRPL'!C:H,6,FALSE),"No")</f>
        <v>No</v>
      </c>
      <c r="O1842" s="147"/>
      <c r="P1842" s="148"/>
    </row>
    <row r="1843" spans="1:16">
      <c r="A1843" s="95" t="s">
        <v>2361</v>
      </c>
      <c r="B1843" s="95" t="s">
        <v>832</v>
      </c>
      <c r="C1843" s="4">
        <v>2222</v>
      </c>
      <c r="D1843" s="95" t="s">
        <v>834</v>
      </c>
      <c r="E1843" s="145">
        <v>462.49</v>
      </c>
      <c r="F1843" s="145">
        <v>0</v>
      </c>
      <c r="G1843" s="145">
        <v>0</v>
      </c>
      <c r="H1843" s="145">
        <v>0</v>
      </c>
      <c r="I1843" s="77">
        <f t="shared" si="31"/>
        <v>462.49</v>
      </c>
      <c r="J1843" s="123" t="str">
        <f>IFERROR(VLOOKUP($C1843,'CEDARS School FRPL'!C:H,4,FALSE),"No")</f>
        <v>No</v>
      </c>
      <c r="K1843" s="109"/>
      <c r="L1843" s="109"/>
      <c r="M1843" s="110">
        <f>IFERROR(VLOOKUP($C1843,'CEDARS School FRPL'!C:H,3,FALSE),0)</f>
        <v>9.3266666666666664E-2</v>
      </c>
      <c r="N1843" s="123" t="str">
        <f>IFERROR(VLOOKUP(C1843,'CEDARS School FRPL'!C:H,6,FALSE),"No")</f>
        <v>No</v>
      </c>
      <c r="O1843" s="147"/>
      <c r="P1843" s="148"/>
    </row>
    <row r="1844" spans="1:16">
      <c r="A1844" s="95" t="s">
        <v>2361</v>
      </c>
      <c r="B1844" s="95" t="s">
        <v>832</v>
      </c>
      <c r="C1844" s="4">
        <v>2287</v>
      </c>
      <c r="D1844" s="95" t="s">
        <v>835</v>
      </c>
      <c r="E1844" s="145">
        <v>460.29</v>
      </c>
      <c r="F1844" s="145">
        <v>0</v>
      </c>
      <c r="G1844" s="145">
        <v>0</v>
      </c>
      <c r="H1844" s="145">
        <v>0</v>
      </c>
      <c r="I1844" s="77">
        <f t="shared" si="31"/>
        <v>460.29</v>
      </c>
      <c r="J1844" s="123" t="str">
        <f>IFERROR(VLOOKUP($C1844,'CEDARS School FRPL'!C:H,4,FALSE),"No")</f>
        <v>No</v>
      </c>
      <c r="K1844" s="109"/>
      <c r="L1844" s="109"/>
      <c r="M1844" s="110">
        <f>IFERROR(VLOOKUP($C1844,'CEDARS School FRPL'!C:H,3,FALSE),0)</f>
        <v>0.14643333333333333</v>
      </c>
      <c r="N1844" s="123" t="str">
        <f>IFERROR(VLOOKUP(C1844,'CEDARS School FRPL'!C:H,6,FALSE),"No")</f>
        <v>No</v>
      </c>
      <c r="O1844" s="147"/>
      <c r="P1844" s="148"/>
    </row>
    <row r="1845" spans="1:16">
      <c r="A1845" s="95" t="s">
        <v>2361</v>
      </c>
      <c r="B1845" s="95" t="s">
        <v>832</v>
      </c>
      <c r="C1845" s="4">
        <v>2288</v>
      </c>
      <c r="D1845" s="95" t="s">
        <v>836</v>
      </c>
      <c r="E1845" s="145">
        <v>406.26</v>
      </c>
      <c r="F1845" s="145">
        <v>0</v>
      </c>
      <c r="G1845" s="145">
        <v>0</v>
      </c>
      <c r="H1845" s="145">
        <v>0</v>
      </c>
      <c r="I1845" s="77">
        <f t="shared" si="31"/>
        <v>406.26</v>
      </c>
      <c r="J1845" s="123" t="str">
        <f>IFERROR(VLOOKUP($C1845,'CEDARS School FRPL'!C:H,4,FALSE),"No")</f>
        <v>No</v>
      </c>
      <c r="K1845" s="109"/>
      <c r="L1845" s="109"/>
      <c r="M1845" s="110">
        <f>IFERROR(VLOOKUP($C1845,'CEDARS School FRPL'!C:H,3,FALSE),0)</f>
        <v>0.12906666666666666</v>
      </c>
      <c r="N1845" s="123" t="str">
        <f>IFERROR(VLOOKUP(C1845,'CEDARS School FRPL'!C:H,6,FALSE),"No")</f>
        <v>No</v>
      </c>
      <c r="O1845" s="147"/>
      <c r="P1845" s="148"/>
    </row>
    <row r="1846" spans="1:16">
      <c r="A1846" s="95" t="s">
        <v>2361</v>
      </c>
      <c r="B1846" s="95" t="s">
        <v>832</v>
      </c>
      <c r="C1846" s="4">
        <v>2850</v>
      </c>
      <c r="D1846" s="95" t="s">
        <v>837</v>
      </c>
      <c r="E1846" s="145">
        <v>1821.1</v>
      </c>
      <c r="F1846" s="145">
        <v>216.81</v>
      </c>
      <c r="G1846" s="145">
        <v>0</v>
      </c>
      <c r="H1846" s="145">
        <v>0</v>
      </c>
      <c r="I1846" s="77">
        <f t="shared" si="31"/>
        <v>2037.9099999999999</v>
      </c>
      <c r="J1846" s="123" t="str">
        <f>IFERROR(VLOOKUP($C1846,'CEDARS School FRPL'!C:H,4,FALSE),"No")</f>
        <v>No</v>
      </c>
      <c r="K1846" s="109"/>
      <c r="L1846" s="109"/>
      <c r="M1846" s="110">
        <f>IFERROR(VLOOKUP($C1846,'CEDARS School FRPL'!C:H,3,FALSE),0)</f>
        <v>9.6700000000000008E-2</v>
      </c>
      <c r="N1846" s="123" t="str">
        <f>IFERROR(VLOOKUP(C1846,'CEDARS School FRPL'!C:H,6,FALSE),"No")</f>
        <v>No</v>
      </c>
      <c r="O1846" s="147"/>
      <c r="P1846" s="148"/>
    </row>
    <row r="1847" spans="1:16">
      <c r="A1847" s="95" t="s">
        <v>2361</v>
      </c>
      <c r="B1847" s="95" t="s">
        <v>832</v>
      </c>
      <c r="C1847" s="4">
        <v>4308</v>
      </c>
      <c r="D1847" s="95" t="s">
        <v>838</v>
      </c>
      <c r="E1847" s="145">
        <v>540.74</v>
      </c>
      <c r="F1847" s="145">
        <v>0</v>
      </c>
      <c r="G1847" s="145">
        <v>0</v>
      </c>
      <c r="H1847" s="145">
        <v>0</v>
      </c>
      <c r="I1847" s="77">
        <f t="shared" si="31"/>
        <v>540.74</v>
      </c>
      <c r="J1847" s="123" t="str">
        <f>IFERROR(VLOOKUP($C1847,'CEDARS School FRPL'!C:H,4,FALSE),"No")</f>
        <v>No</v>
      </c>
      <c r="K1847" s="109"/>
      <c r="L1847" s="109"/>
      <c r="M1847" s="110">
        <f>IFERROR(VLOOKUP($C1847,'CEDARS School FRPL'!C:H,3,FALSE),0)</f>
        <v>0.10476666666666667</v>
      </c>
      <c r="N1847" s="123" t="str">
        <f>IFERROR(VLOOKUP(C1847,'CEDARS School FRPL'!C:H,6,FALSE),"No")</f>
        <v>No</v>
      </c>
      <c r="O1847" s="147"/>
      <c r="P1847" s="148"/>
    </row>
    <row r="1848" spans="1:16">
      <c r="A1848" s="95" t="s">
        <v>2361</v>
      </c>
      <c r="B1848" s="95" t="s">
        <v>832</v>
      </c>
      <c r="C1848" s="4">
        <v>4397</v>
      </c>
      <c r="D1848" s="95" t="s">
        <v>839</v>
      </c>
      <c r="E1848" s="145">
        <v>589.79</v>
      </c>
      <c r="F1848" s="145">
        <v>0</v>
      </c>
      <c r="G1848" s="145">
        <v>0</v>
      </c>
      <c r="H1848" s="145">
        <v>0</v>
      </c>
      <c r="I1848" s="77">
        <f t="shared" si="31"/>
        <v>589.79</v>
      </c>
      <c r="J1848" s="123" t="str">
        <f>IFERROR(VLOOKUP($C1848,'CEDARS School FRPL'!C:H,4,FALSE),"No")</f>
        <v>No</v>
      </c>
      <c r="K1848" s="109"/>
      <c r="L1848" s="109"/>
      <c r="M1848" s="110">
        <f>IFERROR(VLOOKUP($C1848,'CEDARS School FRPL'!C:H,3,FALSE),0)</f>
        <v>7.3033333333333339E-2</v>
      </c>
      <c r="N1848" s="123" t="str">
        <f>IFERROR(VLOOKUP(C1848,'CEDARS School FRPL'!C:H,6,FALSE),"No")</f>
        <v>No</v>
      </c>
      <c r="O1848" s="147"/>
      <c r="P1848" s="148"/>
    </row>
    <row r="1849" spans="1:16">
      <c r="A1849" s="95" t="s">
        <v>2361</v>
      </c>
      <c r="B1849" s="95" t="s">
        <v>832</v>
      </c>
      <c r="C1849" s="4">
        <v>5015</v>
      </c>
      <c r="D1849" s="95" t="s">
        <v>840</v>
      </c>
      <c r="E1849" s="145">
        <v>563.29</v>
      </c>
      <c r="F1849" s="145">
        <v>0</v>
      </c>
      <c r="G1849" s="145">
        <v>0</v>
      </c>
      <c r="H1849" s="145">
        <v>0</v>
      </c>
      <c r="I1849" s="77">
        <f t="shared" si="31"/>
        <v>563.29</v>
      </c>
      <c r="J1849" s="123" t="str">
        <f>IFERROR(VLOOKUP($C1849,'CEDARS School FRPL'!C:H,4,FALSE),"No")</f>
        <v>No</v>
      </c>
      <c r="K1849" s="109"/>
      <c r="L1849" s="109"/>
      <c r="M1849" s="110">
        <f>IFERROR(VLOOKUP($C1849,'CEDARS School FRPL'!C:H,3,FALSE),0)</f>
        <v>2.4966666666666665E-2</v>
      </c>
      <c r="N1849" s="123" t="str">
        <f>IFERROR(VLOOKUP(C1849,'CEDARS School FRPL'!C:H,6,FALSE),"No")</f>
        <v>No</v>
      </c>
      <c r="O1849" s="147"/>
      <c r="P1849" s="148"/>
    </row>
    <row r="1850" spans="1:16">
      <c r="A1850" s="95" t="s">
        <v>2361</v>
      </c>
      <c r="B1850" s="95" t="s">
        <v>832</v>
      </c>
      <c r="C1850" s="4">
        <v>5135</v>
      </c>
      <c r="D1850" s="95" t="s">
        <v>841</v>
      </c>
      <c r="E1850" s="145">
        <v>547.54</v>
      </c>
      <c r="F1850" s="145">
        <v>0</v>
      </c>
      <c r="G1850" s="145">
        <v>0</v>
      </c>
      <c r="H1850" s="145">
        <v>0</v>
      </c>
      <c r="I1850" s="77">
        <f t="shared" si="31"/>
        <v>547.54</v>
      </c>
      <c r="J1850" s="123" t="str">
        <f>IFERROR(VLOOKUP($C1850,'CEDARS School FRPL'!C:H,4,FALSE),"No")</f>
        <v>No</v>
      </c>
      <c r="K1850" s="109"/>
      <c r="L1850" s="109"/>
      <c r="M1850" s="110">
        <f>IFERROR(VLOOKUP($C1850,'CEDARS School FRPL'!C:H,3,FALSE),0)</f>
        <v>0.15806666666666666</v>
      </c>
      <c r="N1850" s="123" t="str">
        <f>IFERROR(VLOOKUP(C1850,'CEDARS School FRPL'!C:H,6,FALSE),"No")</f>
        <v>No</v>
      </c>
      <c r="O1850" s="147"/>
      <c r="P1850" s="148"/>
    </row>
    <row r="1851" spans="1:16">
      <c r="A1851" s="95" t="s">
        <v>2361</v>
      </c>
      <c r="B1851" s="95" t="s">
        <v>832</v>
      </c>
      <c r="C1851" s="4">
        <v>5181</v>
      </c>
      <c r="D1851" s="95" t="s">
        <v>842</v>
      </c>
      <c r="E1851" s="145">
        <v>13.27</v>
      </c>
      <c r="F1851" s="145">
        <v>0</v>
      </c>
      <c r="G1851" s="145">
        <v>0</v>
      </c>
      <c r="H1851" s="145">
        <v>0</v>
      </c>
      <c r="I1851" s="77">
        <f t="shared" si="31"/>
        <v>13.27</v>
      </c>
      <c r="J1851" s="123" t="str">
        <f>IFERROR(VLOOKUP($C1851,'CEDARS School FRPL'!C:H,4,FALSE),"No")</f>
        <v>No</v>
      </c>
      <c r="K1851" s="109"/>
      <c r="L1851" s="109"/>
      <c r="M1851" s="110">
        <f>IFERROR(VLOOKUP($C1851,'CEDARS School FRPL'!C:H,3,FALSE),0)</f>
        <v>0</v>
      </c>
      <c r="N1851" s="123" t="str">
        <f>IFERROR(VLOOKUP(C1851,'CEDARS School FRPL'!C:H,6,FALSE),"No")</f>
        <v>No</v>
      </c>
      <c r="O1851" s="147"/>
      <c r="P1851" s="148"/>
    </row>
    <row r="1852" spans="1:16">
      <c r="A1852" s="95" t="s">
        <v>2361</v>
      </c>
      <c r="B1852" s="95" t="s">
        <v>832</v>
      </c>
      <c r="C1852" s="4">
        <v>5296</v>
      </c>
      <c r="D1852" s="95" t="s">
        <v>843</v>
      </c>
      <c r="E1852" s="145">
        <v>240.73</v>
      </c>
      <c r="F1852" s="145">
        <v>0</v>
      </c>
      <c r="G1852" s="145">
        <v>0</v>
      </c>
      <c r="H1852" s="145">
        <v>0</v>
      </c>
      <c r="I1852" s="77">
        <f t="shared" si="31"/>
        <v>240.73</v>
      </c>
      <c r="J1852" s="123" t="str">
        <f>IFERROR(VLOOKUP($C1852,'CEDARS School FRPL'!C:H,4,FALSE),"No")</f>
        <v>No</v>
      </c>
      <c r="K1852" s="109"/>
      <c r="L1852" s="109"/>
      <c r="M1852" s="110">
        <f>IFERROR(VLOOKUP($C1852,'CEDARS School FRPL'!C:H,3,FALSE),0)</f>
        <v>5.4699999999999992E-2</v>
      </c>
      <c r="N1852" s="123" t="str">
        <f>IFERROR(VLOOKUP(C1852,'CEDARS School FRPL'!C:H,6,FALSE),"No")</f>
        <v>No</v>
      </c>
      <c r="O1852" s="147"/>
      <c r="P1852" s="148"/>
    </row>
    <row r="1853" spans="1:16">
      <c r="A1853" s="95" t="s">
        <v>2361</v>
      </c>
      <c r="B1853" s="95" t="s">
        <v>832</v>
      </c>
      <c r="C1853" s="4">
        <v>5374</v>
      </c>
      <c r="D1853" s="95" t="s">
        <v>844</v>
      </c>
      <c r="E1853" s="145">
        <v>0</v>
      </c>
      <c r="F1853" s="145">
        <v>0</v>
      </c>
      <c r="G1853" s="145">
        <v>17.14</v>
      </c>
      <c r="H1853" s="145">
        <v>0</v>
      </c>
      <c r="I1853" s="77">
        <f t="shared" si="31"/>
        <v>17.14</v>
      </c>
      <c r="J1853" s="123" t="str">
        <f>IFERROR(VLOOKUP($C1853,'CEDARS School FRPL'!C:H,4,FALSE),"No")</f>
        <v>No</v>
      </c>
      <c r="K1853" s="109"/>
      <c r="L1853" s="109"/>
      <c r="M1853" s="110">
        <f>IFERROR(VLOOKUP($C1853,'CEDARS School FRPL'!C:H,3,FALSE),0)</f>
        <v>0.35196666666666671</v>
      </c>
      <c r="N1853" s="123" t="str">
        <f>IFERROR(VLOOKUP(C1853,'CEDARS School FRPL'!C:H,6,FALSE),"No")</f>
        <v>No</v>
      </c>
      <c r="O1853" s="147"/>
      <c r="P1853" s="148"/>
    </row>
    <row r="1854" spans="1:16">
      <c r="A1854" s="95" t="s">
        <v>2361</v>
      </c>
      <c r="B1854" s="95" t="s">
        <v>832</v>
      </c>
      <c r="C1854" s="4">
        <v>5457</v>
      </c>
      <c r="D1854" s="95" t="s">
        <v>845</v>
      </c>
      <c r="E1854" s="145">
        <v>656.79</v>
      </c>
      <c r="F1854" s="145">
        <v>0</v>
      </c>
      <c r="G1854" s="145">
        <v>0</v>
      </c>
      <c r="H1854" s="145">
        <v>0</v>
      </c>
      <c r="I1854" s="77">
        <f t="shared" si="31"/>
        <v>656.79</v>
      </c>
      <c r="J1854" s="123" t="str">
        <f>IFERROR(VLOOKUP($C1854,'CEDARS School FRPL'!C:H,4,FALSE),"No")</f>
        <v>No</v>
      </c>
      <c r="K1854" s="109"/>
      <c r="L1854" s="109"/>
      <c r="M1854" s="110">
        <f>IFERROR(VLOOKUP($C1854,'CEDARS School FRPL'!C:H,3,FALSE),0)</f>
        <v>6.1400000000000003E-2</v>
      </c>
      <c r="N1854" s="123" t="str">
        <f>IFERROR(VLOOKUP(C1854,'CEDARS School FRPL'!C:H,6,FALSE),"No")</f>
        <v>No</v>
      </c>
      <c r="O1854" s="147"/>
      <c r="P1854" s="148"/>
    </row>
    <row r="1855" spans="1:16">
      <c r="A1855" s="95" t="s">
        <v>2321</v>
      </c>
      <c r="B1855" s="95" t="s">
        <v>428</v>
      </c>
      <c r="C1855" s="4">
        <v>1518</v>
      </c>
      <c r="D1855" s="95" t="s">
        <v>2928</v>
      </c>
      <c r="E1855" s="145">
        <v>25.49</v>
      </c>
      <c r="F1855" s="145">
        <v>0</v>
      </c>
      <c r="G1855" s="145">
        <v>0</v>
      </c>
      <c r="H1855" s="145">
        <v>0</v>
      </c>
      <c r="I1855" s="77">
        <f t="shared" si="31"/>
        <v>25.49</v>
      </c>
      <c r="J1855" s="123" t="str">
        <f>IFERROR(VLOOKUP($C1855,'CEDARS School FRPL'!C:H,4,FALSE),"No")</f>
        <v>Yes</v>
      </c>
      <c r="K1855" s="109"/>
      <c r="L1855" s="109"/>
      <c r="M1855" s="110">
        <f>IFERROR(VLOOKUP($C1855,'CEDARS School FRPL'!C:H,3,FALSE),0)</f>
        <v>0.67659999999999998</v>
      </c>
      <c r="N1855" s="123" t="str">
        <f>IFERROR(VLOOKUP(C1855,'CEDARS School FRPL'!C:H,6,FALSE),"No")</f>
        <v>No</v>
      </c>
      <c r="O1855" s="147"/>
      <c r="P1855" s="148"/>
    </row>
    <row r="1856" spans="1:16">
      <c r="A1856" s="95" t="s">
        <v>2321</v>
      </c>
      <c r="B1856" s="95" t="s">
        <v>428</v>
      </c>
      <c r="C1856" s="4">
        <v>2694</v>
      </c>
      <c r="D1856" s="95" t="s">
        <v>429</v>
      </c>
      <c r="E1856" s="145">
        <v>243.03</v>
      </c>
      <c r="F1856" s="145">
        <v>0</v>
      </c>
      <c r="G1856" s="145">
        <v>0</v>
      </c>
      <c r="H1856" s="145">
        <v>0</v>
      </c>
      <c r="I1856" s="77">
        <f t="shared" si="31"/>
        <v>243.03</v>
      </c>
      <c r="J1856" s="123" t="str">
        <f>IFERROR(VLOOKUP($C1856,'CEDARS School FRPL'!C:H,4,FALSE),"No")</f>
        <v>Yes</v>
      </c>
      <c r="K1856" s="109"/>
      <c r="L1856" s="109"/>
      <c r="M1856" s="110">
        <f>IFERROR(VLOOKUP($C1856,'CEDARS School FRPL'!C:H,3,FALSE),0)</f>
        <v>0.88719999999999999</v>
      </c>
      <c r="N1856" s="123" t="str">
        <f>IFERROR(VLOOKUP(C1856,'CEDARS School FRPL'!C:H,6,FALSE),"No")</f>
        <v>No</v>
      </c>
      <c r="O1856" s="147"/>
      <c r="P1856" s="148"/>
    </row>
    <row r="1857" spans="1:16">
      <c r="A1857" s="95" t="s">
        <v>2321</v>
      </c>
      <c r="B1857" s="95" t="s">
        <v>428</v>
      </c>
      <c r="C1857" s="4">
        <v>3089</v>
      </c>
      <c r="D1857" s="95" t="s">
        <v>430</v>
      </c>
      <c r="E1857" s="145">
        <v>266.74</v>
      </c>
      <c r="F1857" s="145">
        <v>19</v>
      </c>
      <c r="G1857" s="145">
        <v>0</v>
      </c>
      <c r="H1857" s="145">
        <v>0</v>
      </c>
      <c r="I1857" s="77">
        <f t="shared" si="31"/>
        <v>285.74</v>
      </c>
      <c r="J1857" s="123" t="str">
        <f>IFERROR(VLOOKUP($C1857,'CEDARS School FRPL'!C:H,4,FALSE),"No")</f>
        <v>Yes</v>
      </c>
      <c r="K1857" s="109"/>
      <c r="L1857" s="109"/>
      <c r="M1857" s="110">
        <f>IFERROR(VLOOKUP($C1857,'CEDARS School FRPL'!C:H,3,FALSE),0)</f>
        <v>0.85049999999999992</v>
      </c>
      <c r="N1857" s="123" t="str">
        <f>IFERROR(VLOOKUP(C1857,'CEDARS School FRPL'!C:H,6,FALSE),"No")</f>
        <v>No</v>
      </c>
      <c r="O1857" s="147"/>
      <c r="P1857" s="148"/>
    </row>
    <row r="1858" spans="1:16">
      <c r="A1858" s="95" t="s">
        <v>2431</v>
      </c>
      <c r="B1858" s="95" t="s">
        <v>1270</v>
      </c>
      <c r="C1858" s="4">
        <v>2214</v>
      </c>
      <c r="D1858" s="95" t="s">
        <v>1271</v>
      </c>
      <c r="E1858" s="145">
        <v>234.31</v>
      </c>
      <c r="F1858" s="145">
        <v>14.33</v>
      </c>
      <c r="G1858" s="145">
        <v>0</v>
      </c>
      <c r="H1858" s="145">
        <v>0</v>
      </c>
      <c r="I1858" s="77">
        <f t="shared" si="31"/>
        <v>248.64000000000001</v>
      </c>
      <c r="J1858" s="123" t="str">
        <f>IFERROR(VLOOKUP($C1858,'CEDARS School FRPL'!C:H,4,FALSE),"No")</f>
        <v>Yes</v>
      </c>
      <c r="K1858" s="109"/>
      <c r="L1858" s="109"/>
      <c r="M1858" s="110">
        <f>IFERROR(VLOOKUP($C1858,'CEDARS School FRPL'!C:H,3,FALSE),0)</f>
        <v>0.69186666666666652</v>
      </c>
      <c r="N1858" s="123" t="str">
        <f>IFERROR(VLOOKUP(C1858,'CEDARS School FRPL'!C:H,6,FALSE),"No")</f>
        <v>No</v>
      </c>
      <c r="O1858" s="147"/>
      <c r="P1858" s="148"/>
    </row>
    <row r="1859" spans="1:16">
      <c r="A1859" s="95" t="s">
        <v>2431</v>
      </c>
      <c r="B1859" s="95" t="s">
        <v>1270</v>
      </c>
      <c r="C1859" s="4">
        <v>2804</v>
      </c>
      <c r="D1859" s="95" t="s">
        <v>2929</v>
      </c>
      <c r="E1859" s="145">
        <v>269.07</v>
      </c>
      <c r="F1859" s="145">
        <v>0</v>
      </c>
      <c r="G1859" s="145">
        <v>0</v>
      </c>
      <c r="H1859" s="145">
        <v>0</v>
      </c>
      <c r="I1859" s="77">
        <f t="shared" si="31"/>
        <v>269.07</v>
      </c>
      <c r="J1859" s="123" t="str">
        <f>IFERROR(VLOOKUP($C1859,'CEDARS School FRPL'!C:H,4,FALSE),"No")</f>
        <v>Yes</v>
      </c>
      <c r="K1859" s="109"/>
      <c r="L1859" s="109"/>
      <c r="M1859" s="110">
        <f>IFERROR(VLOOKUP($C1859,'CEDARS School FRPL'!C:H,3,FALSE),0)</f>
        <v>0.75363333333333327</v>
      </c>
      <c r="N1859" s="123" t="str">
        <f>IFERROR(VLOOKUP(C1859,'CEDARS School FRPL'!C:H,6,FALSE),"No")</f>
        <v>No</v>
      </c>
      <c r="O1859" s="147"/>
      <c r="P1859" s="148"/>
    </row>
    <row r="1860" spans="1:16">
      <c r="A1860" s="95" t="s">
        <v>2431</v>
      </c>
      <c r="B1860" s="95" t="s">
        <v>1270</v>
      </c>
      <c r="C1860" s="4">
        <v>5243</v>
      </c>
      <c r="D1860" s="95" t="s">
        <v>2930</v>
      </c>
      <c r="E1860" s="145">
        <v>34.04</v>
      </c>
      <c r="F1860" s="145">
        <v>0</v>
      </c>
      <c r="G1860" s="145">
        <v>0</v>
      </c>
      <c r="H1860" s="145">
        <v>0</v>
      </c>
      <c r="I1860" s="77">
        <f t="shared" ref="I1860:I1923" si="32">+E1860+F1860+G1860+H1860</f>
        <v>34.04</v>
      </c>
      <c r="J1860" s="123" t="str">
        <f>IFERROR(VLOOKUP($C1860,'CEDARS School FRPL'!C:H,4,FALSE),"No")</f>
        <v>No</v>
      </c>
      <c r="K1860" s="109"/>
      <c r="L1860" s="109"/>
      <c r="M1860" s="110">
        <f>IFERROR(VLOOKUP($C1860,'CEDARS School FRPL'!C:H,3,FALSE),0)</f>
        <v>0.30303333333333332</v>
      </c>
      <c r="N1860" s="123" t="str">
        <f>IFERROR(VLOOKUP(C1860,'CEDARS School FRPL'!C:H,6,FALSE),"No")</f>
        <v>No</v>
      </c>
      <c r="O1860" s="147"/>
      <c r="P1860" s="148"/>
    </row>
    <row r="1861" spans="1:16">
      <c r="A1861" s="95" t="s">
        <v>2375</v>
      </c>
      <c r="B1861" s="95" t="s">
        <v>1068</v>
      </c>
      <c r="C1861" s="4">
        <v>1718</v>
      </c>
      <c r="D1861" s="95" t="s">
        <v>1069</v>
      </c>
      <c r="E1861" s="145">
        <v>271.88</v>
      </c>
      <c r="F1861" s="145">
        <v>4.7</v>
      </c>
      <c r="G1861" s="145">
        <v>0</v>
      </c>
      <c r="H1861" s="145">
        <v>0</v>
      </c>
      <c r="I1861" s="77">
        <f t="shared" si="32"/>
        <v>276.58</v>
      </c>
      <c r="J1861" s="123" t="str">
        <f>IFERROR(VLOOKUP($C1861,'CEDARS School FRPL'!C:H,4,FALSE),"No")</f>
        <v>No</v>
      </c>
      <c r="K1861" s="109"/>
      <c r="L1861" s="109"/>
      <c r="M1861" s="110">
        <f>IFERROR(VLOOKUP($C1861,'CEDARS School FRPL'!C:H,3,FALSE),0)</f>
        <v>0.2964</v>
      </c>
      <c r="N1861" s="123" t="str">
        <f>IFERROR(VLOOKUP(C1861,'CEDARS School FRPL'!C:H,6,FALSE),"No")</f>
        <v>No</v>
      </c>
      <c r="O1861" s="147"/>
      <c r="P1861" s="148"/>
    </row>
    <row r="1862" spans="1:16">
      <c r="A1862" s="95" t="s">
        <v>2375</v>
      </c>
      <c r="B1862" s="95" t="s">
        <v>1068</v>
      </c>
      <c r="C1862" s="4">
        <v>2272</v>
      </c>
      <c r="D1862" s="95" t="s">
        <v>1070</v>
      </c>
      <c r="E1862" s="145">
        <v>2088.75</v>
      </c>
      <c r="F1862" s="145">
        <v>217.86</v>
      </c>
      <c r="G1862" s="145">
        <v>0</v>
      </c>
      <c r="H1862" s="145">
        <v>0</v>
      </c>
      <c r="I1862" s="77">
        <f t="shared" si="32"/>
        <v>2306.61</v>
      </c>
      <c r="J1862" s="123" t="str">
        <f>IFERROR(VLOOKUP($C1862,'CEDARS School FRPL'!C:H,4,FALSE),"No")</f>
        <v>No</v>
      </c>
      <c r="K1862" s="109"/>
      <c r="L1862" s="109"/>
      <c r="M1862" s="110">
        <f>IFERROR(VLOOKUP($C1862,'CEDARS School FRPL'!C:H,3,FALSE),0)</f>
        <v>0.33383333333333337</v>
      </c>
      <c r="N1862" s="123" t="str">
        <f>IFERROR(VLOOKUP(C1862,'CEDARS School FRPL'!C:H,6,FALSE),"No")</f>
        <v>No</v>
      </c>
      <c r="O1862" s="147"/>
      <c r="P1862" s="148"/>
    </row>
    <row r="1863" spans="1:16">
      <c r="A1863" s="95" t="s">
        <v>2375</v>
      </c>
      <c r="B1863" s="95" t="s">
        <v>1068</v>
      </c>
      <c r="C1863" s="4">
        <v>2641</v>
      </c>
      <c r="D1863" s="95" t="s">
        <v>1071</v>
      </c>
      <c r="E1863" s="145">
        <v>431.57</v>
      </c>
      <c r="F1863" s="145">
        <v>0</v>
      </c>
      <c r="G1863" s="145">
        <v>0</v>
      </c>
      <c r="H1863" s="145">
        <v>0</v>
      </c>
      <c r="I1863" s="77">
        <f t="shared" si="32"/>
        <v>431.57</v>
      </c>
      <c r="J1863" s="123" t="str">
        <f>IFERROR(VLOOKUP($C1863,'CEDARS School FRPL'!C:H,4,FALSE),"No")</f>
        <v>Yes</v>
      </c>
      <c r="K1863" s="109"/>
      <c r="L1863" s="109"/>
      <c r="M1863" s="110">
        <f>IFERROR(VLOOKUP($C1863,'CEDARS School FRPL'!C:H,3,FALSE),0)</f>
        <v>0.53313333333333335</v>
      </c>
      <c r="N1863" s="123" t="str">
        <f>IFERROR(VLOOKUP(C1863,'CEDARS School FRPL'!C:H,6,FALSE),"No")</f>
        <v>No</v>
      </c>
      <c r="O1863" s="147"/>
      <c r="P1863" s="148"/>
    </row>
    <row r="1864" spans="1:16">
      <c r="A1864" s="95" t="s">
        <v>2375</v>
      </c>
      <c r="B1864" s="95" t="s">
        <v>1068</v>
      </c>
      <c r="C1864" s="4">
        <v>2650</v>
      </c>
      <c r="D1864" s="95" t="s">
        <v>1072</v>
      </c>
      <c r="E1864" s="145">
        <v>540.47</v>
      </c>
      <c r="F1864" s="145">
        <v>0</v>
      </c>
      <c r="G1864" s="145">
        <v>0</v>
      </c>
      <c r="H1864" s="145">
        <v>0</v>
      </c>
      <c r="I1864" s="77">
        <f t="shared" si="32"/>
        <v>540.47</v>
      </c>
      <c r="J1864" s="123" t="str">
        <f>IFERROR(VLOOKUP($C1864,'CEDARS School FRPL'!C:H,4,FALSE),"No")</f>
        <v>No</v>
      </c>
      <c r="K1864" s="109"/>
      <c r="L1864" s="109"/>
      <c r="M1864" s="110">
        <f>IFERROR(VLOOKUP($C1864,'CEDARS School FRPL'!C:H,3,FALSE),0)</f>
        <v>0.42709999999999998</v>
      </c>
      <c r="N1864" s="123" t="str">
        <f>IFERROR(VLOOKUP(C1864,'CEDARS School FRPL'!C:H,6,FALSE),"No")</f>
        <v>No</v>
      </c>
      <c r="O1864" s="147"/>
      <c r="P1864" s="148"/>
    </row>
    <row r="1865" spans="1:16">
      <c r="A1865" s="95" t="s">
        <v>2375</v>
      </c>
      <c r="B1865" s="95" t="s">
        <v>1068</v>
      </c>
      <c r="C1865" s="4">
        <v>2995</v>
      </c>
      <c r="D1865" s="95" t="s">
        <v>1073</v>
      </c>
      <c r="E1865" s="145">
        <v>288.39999999999998</v>
      </c>
      <c r="F1865" s="145">
        <v>0</v>
      </c>
      <c r="G1865" s="145">
        <v>0</v>
      </c>
      <c r="H1865" s="145">
        <v>0</v>
      </c>
      <c r="I1865" s="77">
        <f t="shared" si="32"/>
        <v>288.39999999999998</v>
      </c>
      <c r="J1865" s="123" t="str">
        <f>IFERROR(VLOOKUP($C1865,'CEDARS School FRPL'!C:H,4,FALSE),"No")</f>
        <v>No</v>
      </c>
      <c r="K1865" s="109"/>
      <c r="L1865" s="109"/>
      <c r="M1865" s="110">
        <f>IFERROR(VLOOKUP($C1865,'CEDARS School FRPL'!C:H,3,FALSE),0)</f>
        <v>0.32580000000000003</v>
      </c>
      <c r="N1865" s="123" t="str">
        <f>IFERROR(VLOOKUP(C1865,'CEDARS School FRPL'!C:H,6,FALSE),"No")</f>
        <v>No</v>
      </c>
      <c r="O1865" s="147"/>
      <c r="P1865" s="148"/>
    </row>
    <row r="1866" spans="1:16">
      <c r="A1866" s="95" t="s">
        <v>2375</v>
      </c>
      <c r="B1866" s="95" t="s">
        <v>1068</v>
      </c>
      <c r="C1866" s="4">
        <v>3046</v>
      </c>
      <c r="D1866" s="95" t="s">
        <v>2932</v>
      </c>
      <c r="E1866" s="145">
        <v>653.54</v>
      </c>
      <c r="F1866" s="145">
        <v>0</v>
      </c>
      <c r="G1866" s="145">
        <v>0</v>
      </c>
      <c r="H1866" s="145">
        <v>0</v>
      </c>
      <c r="I1866" s="77">
        <f t="shared" si="32"/>
        <v>653.54</v>
      </c>
      <c r="J1866" s="123" t="str">
        <f>IFERROR(VLOOKUP($C1866,'CEDARS School FRPL'!C:H,4,FALSE),"No")</f>
        <v>No</v>
      </c>
      <c r="K1866" s="109"/>
      <c r="L1866" s="109"/>
      <c r="M1866" s="110">
        <f>IFERROR(VLOOKUP($C1866,'CEDARS School FRPL'!C:H,3,FALSE),0)</f>
        <v>0.4719666666666667</v>
      </c>
      <c r="N1866" s="123" t="str">
        <f>IFERROR(VLOOKUP(C1866,'CEDARS School FRPL'!C:H,6,FALSE),"No")</f>
        <v>No</v>
      </c>
      <c r="O1866" s="147"/>
      <c r="P1866" s="148"/>
    </row>
    <row r="1867" spans="1:16">
      <c r="A1867" s="95" t="s">
        <v>2375</v>
      </c>
      <c r="B1867" s="95" t="s">
        <v>1068</v>
      </c>
      <c r="C1867" s="4">
        <v>3110</v>
      </c>
      <c r="D1867" s="95" t="s">
        <v>1074</v>
      </c>
      <c r="E1867" s="145">
        <v>300.83999999999997</v>
      </c>
      <c r="F1867" s="145">
        <v>0</v>
      </c>
      <c r="G1867" s="145">
        <v>0</v>
      </c>
      <c r="H1867" s="145">
        <v>0</v>
      </c>
      <c r="I1867" s="77">
        <f t="shared" si="32"/>
        <v>300.83999999999997</v>
      </c>
      <c r="J1867" s="123" t="str">
        <f>IFERROR(VLOOKUP($C1867,'CEDARS School FRPL'!C:H,4,FALSE),"No")</f>
        <v>No</v>
      </c>
      <c r="K1867" s="109"/>
      <c r="L1867" s="109"/>
      <c r="M1867" s="110">
        <f>IFERROR(VLOOKUP($C1867,'CEDARS School FRPL'!C:H,3,FALSE),0)</f>
        <v>0.23339999999999997</v>
      </c>
      <c r="N1867" s="123" t="str">
        <f>IFERROR(VLOOKUP(C1867,'CEDARS School FRPL'!C:H,6,FALSE),"No")</f>
        <v>No</v>
      </c>
      <c r="O1867" s="147"/>
      <c r="P1867" s="148"/>
    </row>
    <row r="1868" spans="1:16">
      <c r="A1868" s="95" t="s">
        <v>2375</v>
      </c>
      <c r="B1868" s="95" t="s">
        <v>1068</v>
      </c>
      <c r="C1868" s="4">
        <v>3680</v>
      </c>
      <c r="D1868" s="95" t="s">
        <v>967</v>
      </c>
      <c r="E1868" s="145">
        <v>633.78</v>
      </c>
      <c r="F1868" s="145">
        <v>0</v>
      </c>
      <c r="G1868" s="145">
        <v>0</v>
      </c>
      <c r="H1868" s="145">
        <v>0</v>
      </c>
      <c r="I1868" s="77">
        <f t="shared" si="32"/>
        <v>633.78</v>
      </c>
      <c r="J1868" s="123" t="str">
        <f>IFERROR(VLOOKUP($C1868,'CEDARS School FRPL'!C:H,4,FALSE),"No")</f>
        <v>No</v>
      </c>
      <c r="K1868" s="109"/>
      <c r="L1868" s="109"/>
      <c r="M1868" s="110">
        <f>IFERROR(VLOOKUP($C1868,'CEDARS School FRPL'!C:H,3,FALSE),0)</f>
        <v>0.39460000000000001</v>
      </c>
      <c r="N1868" s="123" t="str">
        <f>IFERROR(VLOOKUP(C1868,'CEDARS School FRPL'!C:H,6,FALSE),"No")</f>
        <v>No</v>
      </c>
      <c r="O1868" s="147"/>
      <c r="P1868" s="148"/>
    </row>
    <row r="1869" spans="1:16">
      <c r="A1869" s="95" t="s">
        <v>2375</v>
      </c>
      <c r="B1869" s="95" t="s">
        <v>1068</v>
      </c>
      <c r="C1869" s="4">
        <v>3899</v>
      </c>
      <c r="D1869" s="95" t="s">
        <v>1075</v>
      </c>
      <c r="E1869" s="145">
        <v>183.04</v>
      </c>
      <c r="F1869" s="145">
        <v>2.67</v>
      </c>
      <c r="G1869" s="145">
        <v>0</v>
      </c>
      <c r="H1869" s="145">
        <v>0</v>
      </c>
      <c r="I1869" s="77">
        <f t="shared" si="32"/>
        <v>185.70999999999998</v>
      </c>
      <c r="J1869" s="123" t="str">
        <f>IFERROR(VLOOKUP($C1869,'CEDARS School FRPL'!C:H,4,FALSE),"No")</f>
        <v>Yes</v>
      </c>
      <c r="K1869" s="109"/>
      <c r="L1869" s="109"/>
      <c r="M1869" s="110">
        <f>IFERROR(VLOOKUP($C1869,'CEDARS School FRPL'!C:H,3,FALSE),0)</f>
        <v>0.62629999999999997</v>
      </c>
      <c r="N1869" s="123" t="str">
        <f>IFERROR(VLOOKUP(C1869,'CEDARS School FRPL'!C:H,6,FALSE),"No")</f>
        <v>No</v>
      </c>
      <c r="O1869" s="147"/>
      <c r="P1869" s="148"/>
    </row>
    <row r="1870" spans="1:16">
      <c r="A1870" s="95" t="s">
        <v>2375</v>
      </c>
      <c r="B1870" s="95" t="s">
        <v>1068</v>
      </c>
      <c r="C1870" s="4">
        <v>4029</v>
      </c>
      <c r="D1870" s="95" t="s">
        <v>1076</v>
      </c>
      <c r="E1870" s="145">
        <v>408.22</v>
      </c>
      <c r="F1870" s="145">
        <v>0</v>
      </c>
      <c r="G1870" s="145">
        <v>0</v>
      </c>
      <c r="H1870" s="145">
        <v>0</v>
      </c>
      <c r="I1870" s="77">
        <f t="shared" si="32"/>
        <v>408.22</v>
      </c>
      <c r="J1870" s="123" t="str">
        <f>IFERROR(VLOOKUP($C1870,'CEDARS School FRPL'!C:H,4,FALSE),"No")</f>
        <v>No</v>
      </c>
      <c r="K1870" s="109"/>
      <c r="L1870" s="109"/>
      <c r="M1870" s="110">
        <f>IFERROR(VLOOKUP($C1870,'CEDARS School FRPL'!C:H,3,FALSE),0)</f>
        <v>0.32073333333333337</v>
      </c>
      <c r="N1870" s="123" t="str">
        <f>IFERROR(VLOOKUP(C1870,'CEDARS School FRPL'!C:H,6,FALSE),"No")</f>
        <v>No</v>
      </c>
      <c r="O1870" s="147"/>
      <c r="P1870" s="148"/>
    </row>
    <row r="1871" spans="1:16">
      <c r="A1871" s="95" t="s">
        <v>2375</v>
      </c>
      <c r="B1871" s="95" t="s">
        <v>1068</v>
      </c>
      <c r="C1871" s="4">
        <v>4079</v>
      </c>
      <c r="D1871" s="95" t="s">
        <v>1077</v>
      </c>
      <c r="E1871" s="145">
        <v>433</v>
      </c>
      <c r="F1871" s="145">
        <v>0</v>
      </c>
      <c r="G1871" s="145">
        <v>0</v>
      </c>
      <c r="H1871" s="145">
        <v>0</v>
      </c>
      <c r="I1871" s="77">
        <f t="shared" si="32"/>
        <v>433</v>
      </c>
      <c r="J1871" s="123" t="str">
        <f>IFERROR(VLOOKUP($C1871,'CEDARS School FRPL'!C:H,4,FALSE),"No")</f>
        <v>No</v>
      </c>
      <c r="K1871" s="109"/>
      <c r="L1871" s="109"/>
      <c r="M1871" s="110">
        <f>IFERROR(VLOOKUP($C1871,'CEDARS School FRPL'!C:H,3,FALSE),0)</f>
        <v>0.33583333333333337</v>
      </c>
      <c r="N1871" s="123" t="str">
        <f>IFERROR(VLOOKUP(C1871,'CEDARS School FRPL'!C:H,6,FALSE),"No")</f>
        <v>No</v>
      </c>
      <c r="O1871" s="147"/>
      <c r="P1871" s="148"/>
    </row>
    <row r="1872" spans="1:16">
      <c r="A1872" s="95" t="s">
        <v>2375</v>
      </c>
      <c r="B1872" s="95" t="s">
        <v>1068</v>
      </c>
      <c r="C1872" s="4">
        <v>4141</v>
      </c>
      <c r="D1872" s="95" t="s">
        <v>128</v>
      </c>
      <c r="E1872" s="145">
        <v>428.57</v>
      </c>
      <c r="F1872" s="145">
        <v>0</v>
      </c>
      <c r="G1872" s="145">
        <v>0</v>
      </c>
      <c r="H1872" s="145">
        <v>0</v>
      </c>
      <c r="I1872" s="77">
        <f t="shared" si="32"/>
        <v>428.57</v>
      </c>
      <c r="J1872" s="123" t="str">
        <f>IFERROR(VLOOKUP($C1872,'CEDARS School FRPL'!C:H,4,FALSE),"No")</f>
        <v>No</v>
      </c>
      <c r="K1872" s="107"/>
      <c r="L1872" s="107"/>
      <c r="M1872" s="110">
        <f>IFERROR(VLOOKUP($C1872,'CEDARS School FRPL'!C:H,3,FALSE),0)</f>
        <v>0.27726666666666661</v>
      </c>
      <c r="N1872" s="123" t="str">
        <f>IFERROR(VLOOKUP(C1872,'CEDARS School FRPL'!C:H,6,FALSE),"No")</f>
        <v>No</v>
      </c>
      <c r="O1872" s="147"/>
      <c r="P1872" s="148"/>
    </row>
    <row r="1873" spans="1:16">
      <c r="A1873" s="95" t="s">
        <v>2375</v>
      </c>
      <c r="B1873" s="95" t="s">
        <v>1068</v>
      </c>
      <c r="C1873" s="4">
        <v>4142</v>
      </c>
      <c r="D1873" s="95" t="s">
        <v>2931</v>
      </c>
      <c r="E1873" s="145">
        <v>713.5</v>
      </c>
      <c r="F1873" s="145">
        <v>0</v>
      </c>
      <c r="G1873" s="145">
        <v>0</v>
      </c>
      <c r="H1873" s="145">
        <v>0</v>
      </c>
      <c r="I1873" s="77">
        <f t="shared" si="32"/>
        <v>713.5</v>
      </c>
      <c r="J1873" s="123" t="str">
        <f>IFERROR(VLOOKUP($C1873,'CEDARS School FRPL'!C:H,4,FALSE),"No")</f>
        <v>No</v>
      </c>
      <c r="K1873" s="109"/>
      <c r="L1873" s="109"/>
      <c r="M1873" s="110">
        <f>IFERROR(VLOOKUP($C1873,'CEDARS School FRPL'!C:H,3,FALSE),0)</f>
        <v>0.3004</v>
      </c>
      <c r="N1873" s="123" t="str">
        <f>IFERROR(VLOOKUP(C1873,'CEDARS School FRPL'!C:H,6,FALSE),"No")</f>
        <v>No</v>
      </c>
      <c r="O1873" s="147"/>
      <c r="P1873" s="148"/>
    </row>
    <row r="1874" spans="1:16">
      <c r="A1874" s="95" t="s">
        <v>2375</v>
      </c>
      <c r="B1874" s="95" t="s">
        <v>1068</v>
      </c>
      <c r="C1874" s="4">
        <v>4348</v>
      </c>
      <c r="D1874" s="95" t="s">
        <v>1078</v>
      </c>
      <c r="E1874" s="145">
        <v>373.53</v>
      </c>
      <c r="F1874" s="145">
        <v>0</v>
      </c>
      <c r="G1874" s="145">
        <v>0</v>
      </c>
      <c r="H1874" s="145">
        <v>0</v>
      </c>
      <c r="I1874" s="77">
        <f t="shared" si="32"/>
        <v>373.53</v>
      </c>
      <c r="J1874" s="123" t="str">
        <f>IFERROR(VLOOKUP($C1874,'CEDARS School FRPL'!C:H,4,FALSE),"No")</f>
        <v>No</v>
      </c>
      <c r="K1874" s="109"/>
      <c r="L1874" s="109"/>
      <c r="M1874" s="110">
        <f>IFERROR(VLOOKUP($C1874,'CEDARS School FRPL'!C:H,3,FALSE),0)</f>
        <v>0.36513333333333337</v>
      </c>
      <c r="N1874" s="123" t="str">
        <f>IFERROR(VLOOKUP(C1874,'CEDARS School FRPL'!C:H,6,FALSE),"No")</f>
        <v>No</v>
      </c>
      <c r="O1874" s="147"/>
      <c r="P1874" s="148"/>
    </row>
    <row r="1875" spans="1:16">
      <c r="A1875" s="95" t="s">
        <v>2375</v>
      </c>
      <c r="B1875" s="95" t="s">
        <v>1068</v>
      </c>
      <c r="C1875" s="4">
        <v>4349</v>
      </c>
      <c r="D1875" s="95" t="s">
        <v>1079</v>
      </c>
      <c r="E1875" s="145">
        <v>429.38</v>
      </c>
      <c r="F1875" s="145">
        <v>0</v>
      </c>
      <c r="G1875" s="145">
        <v>0</v>
      </c>
      <c r="H1875" s="145">
        <v>0</v>
      </c>
      <c r="I1875" s="77">
        <f t="shared" si="32"/>
        <v>429.38</v>
      </c>
      <c r="J1875" s="123" t="str">
        <f>IFERROR(VLOOKUP($C1875,'CEDARS School FRPL'!C:H,4,FALSE),"No")</f>
        <v>No</v>
      </c>
      <c r="K1875" s="109"/>
      <c r="L1875" s="109"/>
      <c r="M1875" s="110">
        <f>IFERROR(VLOOKUP($C1875,'CEDARS School FRPL'!C:H,3,FALSE),0)</f>
        <v>0.40529999999999999</v>
      </c>
      <c r="N1875" s="123" t="str">
        <f>IFERROR(VLOOKUP(C1875,'CEDARS School FRPL'!C:H,6,FALSE),"No")</f>
        <v>No</v>
      </c>
      <c r="O1875" s="147"/>
      <c r="P1875" s="148"/>
    </row>
    <row r="1876" spans="1:16">
      <c r="A1876" s="95" t="s">
        <v>2375</v>
      </c>
      <c r="B1876" s="95" t="s">
        <v>1068</v>
      </c>
      <c r="C1876" s="4">
        <v>4350</v>
      </c>
      <c r="D1876" s="95" t="s">
        <v>1080</v>
      </c>
      <c r="E1876" s="145">
        <v>357.83</v>
      </c>
      <c r="F1876" s="145">
        <v>0</v>
      </c>
      <c r="G1876" s="145">
        <v>0</v>
      </c>
      <c r="H1876" s="145">
        <v>0</v>
      </c>
      <c r="I1876" s="77">
        <f t="shared" si="32"/>
        <v>357.83</v>
      </c>
      <c r="J1876" s="123" t="str">
        <f>IFERROR(VLOOKUP($C1876,'CEDARS School FRPL'!C:H,4,FALSE),"No")</f>
        <v>No</v>
      </c>
      <c r="K1876" s="109"/>
      <c r="L1876" s="109"/>
      <c r="M1876" s="110">
        <f>IFERROR(VLOOKUP($C1876,'CEDARS School FRPL'!C:H,3,FALSE),0)</f>
        <v>0.26006666666666667</v>
      </c>
      <c r="N1876" s="123" t="str">
        <f>IFERROR(VLOOKUP(C1876,'CEDARS School FRPL'!C:H,6,FALSE),"No")</f>
        <v>No</v>
      </c>
      <c r="O1876" s="147"/>
      <c r="P1876" s="148"/>
    </row>
    <row r="1877" spans="1:16">
      <c r="A1877" s="95" t="s">
        <v>2375</v>
      </c>
      <c r="B1877" s="95" t="s">
        <v>1068</v>
      </c>
      <c r="C1877" s="4">
        <v>5562</v>
      </c>
      <c r="D1877" s="95" t="s">
        <v>2830</v>
      </c>
      <c r="E1877" s="145">
        <v>878.73</v>
      </c>
      <c r="F1877" s="145">
        <v>0</v>
      </c>
      <c r="G1877" s="145">
        <v>0</v>
      </c>
      <c r="H1877" s="145">
        <v>0</v>
      </c>
      <c r="I1877" s="77">
        <f t="shared" si="32"/>
        <v>878.73</v>
      </c>
      <c r="J1877" s="123" t="str">
        <f>IFERROR(VLOOKUP($C1877,'CEDARS School FRPL'!C:H,4,FALSE),"No")</f>
        <v>No</v>
      </c>
      <c r="K1877" s="109"/>
      <c r="L1877" s="109"/>
      <c r="M1877" s="110">
        <f>IFERROR(VLOOKUP($C1877,'CEDARS School FRPL'!C:H,3,FALSE),0)</f>
        <v>6.2666666666666669E-3</v>
      </c>
      <c r="N1877" s="123" t="str">
        <f>IFERROR(VLOOKUP(C1877,'CEDARS School FRPL'!C:H,6,FALSE),"No")</f>
        <v>No</v>
      </c>
      <c r="O1877" s="147"/>
      <c r="P1877" s="148"/>
    </row>
    <row r="1878" spans="1:16">
      <c r="A1878" s="95" t="s">
        <v>2342</v>
      </c>
      <c r="B1878" s="95" t="s">
        <v>527</v>
      </c>
      <c r="C1878" s="4">
        <v>1682</v>
      </c>
      <c r="D1878" s="95" t="s">
        <v>528</v>
      </c>
      <c r="E1878" s="145">
        <v>28.3</v>
      </c>
      <c r="F1878" s="145">
        <v>0.73</v>
      </c>
      <c r="G1878" s="145">
        <v>0</v>
      </c>
      <c r="H1878" s="145">
        <v>0</v>
      </c>
      <c r="I1878" s="77">
        <f t="shared" si="32"/>
        <v>29.03</v>
      </c>
      <c r="J1878" s="123" t="str">
        <f>IFERROR(VLOOKUP($C1878,'CEDARS School FRPL'!C:H,4,FALSE),"No")</f>
        <v>Yes</v>
      </c>
      <c r="K1878" s="109"/>
      <c r="L1878" s="109"/>
      <c r="M1878" s="110">
        <f>IFERROR(VLOOKUP($C1878,'CEDARS School FRPL'!C:H,3,FALSE),0)</f>
        <v>0.5528333333333334</v>
      </c>
      <c r="N1878" s="123" t="str">
        <f>IFERROR(VLOOKUP(C1878,'CEDARS School FRPL'!C:H,6,FALSE),"No")</f>
        <v>No</v>
      </c>
      <c r="O1878" s="147"/>
      <c r="P1878" s="148"/>
    </row>
    <row r="1879" spans="1:16">
      <c r="A1879" s="95" t="s">
        <v>2342</v>
      </c>
      <c r="B1879" s="95" t="s">
        <v>527</v>
      </c>
      <c r="C1879" s="4">
        <v>2511</v>
      </c>
      <c r="D1879" s="95" t="s">
        <v>529</v>
      </c>
      <c r="E1879" s="145">
        <v>186.86</v>
      </c>
      <c r="F1879" s="145">
        <v>0</v>
      </c>
      <c r="G1879" s="145">
        <v>0</v>
      </c>
      <c r="H1879" s="145">
        <v>0</v>
      </c>
      <c r="I1879" s="77">
        <f t="shared" si="32"/>
        <v>186.86</v>
      </c>
      <c r="J1879" s="123" t="str">
        <f>IFERROR(VLOOKUP($C1879,'CEDARS School FRPL'!C:H,4,FALSE),"No")</f>
        <v>No</v>
      </c>
      <c r="K1879" s="109"/>
      <c r="L1879" s="109"/>
      <c r="M1879" s="110">
        <f>IFERROR(VLOOKUP($C1879,'CEDARS School FRPL'!C:H,3,FALSE),0)</f>
        <v>0.28509999999999996</v>
      </c>
      <c r="N1879" s="123" t="str">
        <f>IFERROR(VLOOKUP(C1879,'CEDARS School FRPL'!C:H,6,FALSE),"No")</f>
        <v>No</v>
      </c>
      <c r="O1879" s="147"/>
      <c r="P1879" s="148"/>
    </row>
    <row r="1880" spans="1:16">
      <c r="A1880" s="95" t="s">
        <v>2342</v>
      </c>
      <c r="B1880" s="95" t="s">
        <v>527</v>
      </c>
      <c r="C1880" s="4">
        <v>4149</v>
      </c>
      <c r="D1880" s="95" t="s">
        <v>530</v>
      </c>
      <c r="E1880" s="145">
        <v>377.7</v>
      </c>
      <c r="F1880" s="145">
        <v>26.08</v>
      </c>
      <c r="G1880" s="145">
        <v>0</v>
      </c>
      <c r="H1880" s="145">
        <v>0</v>
      </c>
      <c r="I1880" s="77">
        <f t="shared" si="32"/>
        <v>403.78</v>
      </c>
      <c r="J1880" s="123" t="str">
        <f>IFERROR(VLOOKUP($C1880,'CEDARS School FRPL'!C:H,4,FALSE),"No")</f>
        <v>No</v>
      </c>
      <c r="K1880" s="109"/>
      <c r="L1880" s="109"/>
      <c r="M1880" s="110">
        <f>IFERROR(VLOOKUP($C1880,'CEDARS School FRPL'!C:H,3,FALSE),0)</f>
        <v>0.22823333333333332</v>
      </c>
      <c r="N1880" s="123" t="str">
        <f>IFERROR(VLOOKUP(C1880,'CEDARS School FRPL'!C:H,6,FALSE),"No")</f>
        <v>No</v>
      </c>
      <c r="O1880" s="147"/>
      <c r="P1880" s="148"/>
    </row>
    <row r="1881" spans="1:16">
      <c r="A1881" s="95" t="s">
        <v>2342</v>
      </c>
      <c r="B1881" s="95" t="s">
        <v>527</v>
      </c>
      <c r="C1881" s="4">
        <v>4321</v>
      </c>
      <c r="D1881" s="95" t="s">
        <v>531</v>
      </c>
      <c r="E1881" s="145">
        <v>568.45000000000005</v>
      </c>
      <c r="F1881" s="145">
        <v>0</v>
      </c>
      <c r="G1881" s="145">
        <v>0</v>
      </c>
      <c r="H1881" s="145">
        <v>0</v>
      </c>
      <c r="I1881" s="77">
        <f t="shared" si="32"/>
        <v>568.45000000000005</v>
      </c>
      <c r="J1881" s="123" t="str">
        <f>IFERROR(VLOOKUP($C1881,'CEDARS School FRPL'!C:H,4,FALSE),"No")</f>
        <v>No</v>
      </c>
      <c r="K1881" s="109"/>
      <c r="L1881" s="109"/>
      <c r="M1881" s="110">
        <f>IFERROR(VLOOKUP($C1881,'CEDARS School FRPL'!C:H,3,FALSE),0)</f>
        <v>0.28453333333333336</v>
      </c>
      <c r="N1881" s="123" t="str">
        <f>IFERROR(VLOOKUP(C1881,'CEDARS School FRPL'!C:H,6,FALSE),"No")</f>
        <v>No</v>
      </c>
      <c r="O1881" s="147"/>
      <c r="P1881" s="148"/>
    </row>
    <row r="1882" spans="1:16">
      <c r="A1882" s="95" t="s">
        <v>2414</v>
      </c>
      <c r="B1882" s="95" t="s">
        <v>1204</v>
      </c>
      <c r="C1882" s="4">
        <v>2744</v>
      </c>
      <c r="D1882" s="95" t="s">
        <v>1205</v>
      </c>
      <c r="E1882" s="145">
        <v>199.29</v>
      </c>
      <c r="F1882" s="145">
        <v>0</v>
      </c>
      <c r="G1882" s="145">
        <v>0</v>
      </c>
      <c r="H1882" s="145">
        <v>0</v>
      </c>
      <c r="I1882" s="77">
        <f t="shared" si="32"/>
        <v>199.29</v>
      </c>
      <c r="J1882" s="123" t="str">
        <f>IFERROR(VLOOKUP($C1882,'CEDARS School FRPL'!C:H,4,FALSE),"No")</f>
        <v>No</v>
      </c>
      <c r="K1882" s="109"/>
      <c r="L1882" s="109"/>
      <c r="M1882" s="110">
        <f>IFERROR(VLOOKUP($C1882,'CEDARS School FRPL'!C:H,3,FALSE),0)</f>
        <v>0.40516666666666667</v>
      </c>
      <c r="N1882" s="123" t="str">
        <f>IFERROR(VLOOKUP(C1882,'CEDARS School FRPL'!C:H,6,FALSE),"No")</f>
        <v>No</v>
      </c>
      <c r="O1882" s="147"/>
      <c r="P1882" s="148"/>
    </row>
    <row r="1883" spans="1:16">
      <c r="A1883" s="95" t="s">
        <v>2486</v>
      </c>
      <c r="B1883" s="95" t="s">
        <v>1773</v>
      </c>
      <c r="C1883" s="4">
        <v>1533</v>
      </c>
      <c r="D1883" s="95" t="s">
        <v>1774</v>
      </c>
      <c r="E1883" s="145">
        <v>26.37</v>
      </c>
      <c r="F1883" s="145">
        <v>0</v>
      </c>
      <c r="G1883" s="145">
        <v>0</v>
      </c>
      <c r="H1883" s="145">
        <v>0</v>
      </c>
      <c r="I1883" s="77">
        <f t="shared" si="32"/>
        <v>26.37</v>
      </c>
      <c r="J1883" s="123" t="str">
        <f>IFERROR(VLOOKUP($C1883,'CEDARS School FRPL'!C:H,4,FALSE),"No")</f>
        <v>Yes</v>
      </c>
      <c r="K1883" s="109"/>
      <c r="L1883" s="109"/>
      <c r="M1883" s="110">
        <f>IFERROR(VLOOKUP($C1883,'CEDARS School FRPL'!C:H,3,FALSE),0)</f>
        <v>0.78359999999999996</v>
      </c>
      <c r="N1883" s="123" t="str">
        <f>IFERROR(VLOOKUP(C1883,'CEDARS School FRPL'!C:H,6,FALSE),"No")</f>
        <v>No</v>
      </c>
      <c r="O1883" s="147"/>
      <c r="P1883" s="148"/>
    </row>
    <row r="1884" spans="1:16">
      <c r="A1884" s="95" t="s">
        <v>2486</v>
      </c>
      <c r="B1884" s="95" t="s">
        <v>1773</v>
      </c>
      <c r="C1884" s="4">
        <v>1567</v>
      </c>
      <c r="D1884" s="95" t="s">
        <v>2933</v>
      </c>
      <c r="E1884" s="145">
        <v>106.03</v>
      </c>
      <c r="F1884" s="145">
        <v>0.5</v>
      </c>
      <c r="G1884" s="145">
        <v>0</v>
      </c>
      <c r="H1884" s="145">
        <v>0</v>
      </c>
      <c r="I1884" s="77">
        <f t="shared" si="32"/>
        <v>106.53</v>
      </c>
      <c r="J1884" s="123" t="str">
        <f>IFERROR(VLOOKUP($C1884,'CEDARS School FRPL'!C:H,4,FALSE),"No")</f>
        <v>Yes</v>
      </c>
      <c r="K1884" s="109"/>
      <c r="L1884" s="109"/>
      <c r="M1884" s="110">
        <f>IFERROR(VLOOKUP($C1884,'CEDARS School FRPL'!C:H,3,FALSE),0)</f>
        <v>0.81830000000000014</v>
      </c>
      <c r="N1884" s="123" t="str">
        <f>IFERROR(VLOOKUP(C1884,'CEDARS School FRPL'!C:H,6,FALSE),"No")</f>
        <v>No</v>
      </c>
      <c r="O1884" s="147"/>
      <c r="P1884" s="148"/>
    </row>
    <row r="1885" spans="1:16">
      <c r="A1885" s="95" t="s">
        <v>2486</v>
      </c>
      <c r="B1885" s="95" t="s">
        <v>1773</v>
      </c>
      <c r="C1885" s="4">
        <v>1603</v>
      </c>
      <c r="D1885" s="95" t="s">
        <v>1775</v>
      </c>
      <c r="E1885" s="145">
        <v>9.4</v>
      </c>
      <c r="F1885" s="145">
        <v>0</v>
      </c>
      <c r="G1885" s="145">
        <v>0</v>
      </c>
      <c r="H1885" s="145">
        <v>0</v>
      </c>
      <c r="I1885" s="77">
        <f t="shared" si="32"/>
        <v>9.4</v>
      </c>
      <c r="J1885" s="123" t="str">
        <f>IFERROR(VLOOKUP($C1885,'CEDARS School FRPL'!C:H,4,FALSE),"No")</f>
        <v>No</v>
      </c>
      <c r="K1885" s="107"/>
      <c r="L1885" s="107"/>
      <c r="M1885" s="110">
        <f>IFERROR(VLOOKUP($C1885,'CEDARS School FRPL'!C:H,3,FALSE),0)</f>
        <v>9.5233333333333337E-2</v>
      </c>
      <c r="N1885" s="123" t="str">
        <f>IFERROR(VLOOKUP(C1885,'CEDARS School FRPL'!C:H,6,FALSE),"No")</f>
        <v>No</v>
      </c>
      <c r="O1885" s="147"/>
      <c r="P1885" s="148"/>
    </row>
    <row r="1886" spans="1:16">
      <c r="A1886" s="95" t="s">
        <v>2486</v>
      </c>
      <c r="B1886" s="95" t="s">
        <v>1773</v>
      </c>
      <c r="C1886" s="4">
        <v>1604</v>
      </c>
      <c r="D1886" s="95" t="s">
        <v>1776</v>
      </c>
      <c r="E1886" s="145">
        <v>11.71</v>
      </c>
      <c r="F1886" s="145">
        <v>0</v>
      </c>
      <c r="G1886" s="145">
        <v>0</v>
      </c>
      <c r="H1886" s="145">
        <v>0</v>
      </c>
      <c r="I1886" s="77">
        <f t="shared" si="32"/>
        <v>11.71</v>
      </c>
      <c r="J1886" s="123" t="str">
        <f>IFERROR(VLOOKUP($C1886,'CEDARS School FRPL'!C:H,4,FALSE),"No")</f>
        <v>No</v>
      </c>
      <c r="K1886" s="109"/>
      <c r="L1886" s="109"/>
      <c r="M1886" s="110">
        <f>IFERROR(VLOOKUP($C1886,'CEDARS School FRPL'!C:H,3,FALSE),0)</f>
        <v>0.36509999999999998</v>
      </c>
      <c r="N1886" s="123" t="str">
        <f>IFERROR(VLOOKUP(C1886,'CEDARS School FRPL'!C:H,6,FALSE),"No")</f>
        <v>Yes</v>
      </c>
      <c r="O1886" s="147"/>
      <c r="P1886" s="148"/>
    </row>
    <row r="1887" spans="1:16">
      <c r="A1887" s="95" t="s">
        <v>2486</v>
      </c>
      <c r="B1887" s="95" t="s">
        <v>1773</v>
      </c>
      <c r="C1887" s="4">
        <v>1698</v>
      </c>
      <c r="D1887" s="95" t="s">
        <v>1777</v>
      </c>
      <c r="E1887" s="145">
        <v>69.45</v>
      </c>
      <c r="F1887" s="145">
        <v>0</v>
      </c>
      <c r="G1887" s="145">
        <v>0</v>
      </c>
      <c r="H1887" s="145">
        <v>0</v>
      </c>
      <c r="I1887" s="77">
        <f t="shared" si="32"/>
        <v>69.45</v>
      </c>
      <c r="J1887" s="123" t="str">
        <f>IFERROR(VLOOKUP($C1887,'CEDARS School FRPL'!C:H,4,FALSE),"No")</f>
        <v>Yes</v>
      </c>
      <c r="K1887" s="109"/>
      <c r="L1887" s="109"/>
      <c r="M1887" s="110">
        <f>IFERROR(VLOOKUP($C1887,'CEDARS School FRPL'!C:H,3,FALSE),0)</f>
        <v>0.55033333333333323</v>
      </c>
      <c r="N1887" s="123" t="str">
        <f>IFERROR(VLOOKUP(C1887,'CEDARS School FRPL'!C:H,6,FALSE),"No")</f>
        <v>No</v>
      </c>
      <c r="O1887" s="147"/>
      <c r="P1887" s="148"/>
    </row>
    <row r="1888" spans="1:16">
      <c r="A1888" s="95" t="s">
        <v>2486</v>
      </c>
      <c r="B1888" s="95" t="s">
        <v>1773</v>
      </c>
      <c r="C1888" s="4">
        <v>1767</v>
      </c>
      <c r="D1888" s="95" t="s">
        <v>1778</v>
      </c>
      <c r="E1888" s="145">
        <v>10.57</v>
      </c>
      <c r="F1888" s="145">
        <v>0</v>
      </c>
      <c r="G1888" s="145">
        <v>0</v>
      </c>
      <c r="H1888" s="145">
        <v>0</v>
      </c>
      <c r="I1888" s="77">
        <f t="shared" si="32"/>
        <v>10.57</v>
      </c>
      <c r="J1888" s="123" t="str">
        <f>IFERROR(VLOOKUP($C1888,'CEDARS School FRPL'!C:H,4,FALSE),"No")</f>
        <v>Yes</v>
      </c>
      <c r="K1888" s="109"/>
      <c r="L1888" s="109"/>
      <c r="M1888" s="110">
        <f>IFERROR(VLOOKUP($C1888,'CEDARS School FRPL'!C:H,3,FALSE),0)</f>
        <v>0.59366666666666668</v>
      </c>
      <c r="N1888" s="123" t="str">
        <f>IFERROR(VLOOKUP(C1888,'CEDARS School FRPL'!C:H,6,FALSE),"No")</f>
        <v>No</v>
      </c>
      <c r="O1888" s="147"/>
      <c r="P1888" s="148"/>
    </row>
    <row r="1889" spans="1:16">
      <c r="A1889" s="95" t="s">
        <v>2486</v>
      </c>
      <c r="B1889" s="95" t="s">
        <v>1773</v>
      </c>
      <c r="C1889" s="4">
        <v>2056</v>
      </c>
      <c r="D1889" s="95" t="s">
        <v>1779</v>
      </c>
      <c r="E1889" s="145">
        <v>296.86</v>
      </c>
      <c r="F1889" s="145">
        <v>0</v>
      </c>
      <c r="G1889" s="145">
        <v>0</v>
      </c>
      <c r="H1889" s="145">
        <v>0</v>
      </c>
      <c r="I1889" s="77">
        <f t="shared" si="32"/>
        <v>296.86</v>
      </c>
      <c r="J1889" s="123" t="str">
        <f>IFERROR(VLOOKUP($C1889,'CEDARS School FRPL'!C:H,4,FALSE),"No")</f>
        <v>Yes</v>
      </c>
      <c r="K1889" s="109"/>
      <c r="L1889" s="109"/>
      <c r="M1889" s="110">
        <f>IFERROR(VLOOKUP($C1889,'CEDARS School FRPL'!C:H,3,FALSE),0)</f>
        <v>0.90133333333333321</v>
      </c>
      <c r="N1889" s="123" t="str">
        <f>IFERROR(VLOOKUP(C1889,'CEDARS School FRPL'!C:H,6,FALSE),"No")</f>
        <v>No</v>
      </c>
      <c r="O1889" s="147"/>
      <c r="P1889" s="148"/>
    </row>
    <row r="1890" spans="1:16">
      <c r="A1890" s="95" t="s">
        <v>2486</v>
      </c>
      <c r="B1890" s="95" t="s">
        <v>1773</v>
      </c>
      <c r="C1890" s="4">
        <v>2086</v>
      </c>
      <c r="D1890" s="95" t="s">
        <v>1780</v>
      </c>
      <c r="E1890" s="145">
        <v>442.51</v>
      </c>
      <c r="F1890" s="145">
        <v>0</v>
      </c>
      <c r="G1890" s="145">
        <v>0</v>
      </c>
      <c r="H1890" s="145">
        <v>0</v>
      </c>
      <c r="I1890" s="77">
        <f t="shared" si="32"/>
        <v>442.51</v>
      </c>
      <c r="J1890" s="123" t="str">
        <f>IFERROR(VLOOKUP($C1890,'CEDARS School FRPL'!C:H,4,FALSE),"No")</f>
        <v>Yes</v>
      </c>
      <c r="K1890" s="109"/>
      <c r="L1890" s="109"/>
      <c r="M1890" s="110">
        <f>IFERROR(VLOOKUP($C1890,'CEDARS School FRPL'!C:H,3,FALSE),0)</f>
        <v>0.55633333333333335</v>
      </c>
      <c r="N1890" s="123" t="str">
        <f>IFERROR(VLOOKUP(C1890,'CEDARS School FRPL'!C:H,6,FALSE),"No")</f>
        <v>No</v>
      </c>
      <c r="O1890" s="147"/>
      <c r="P1890" s="148"/>
    </row>
    <row r="1891" spans="1:16">
      <c r="A1891" s="95" t="s">
        <v>2486</v>
      </c>
      <c r="B1891" s="95" t="s">
        <v>1773</v>
      </c>
      <c r="C1891" s="4">
        <v>2096</v>
      </c>
      <c r="D1891" s="95" t="s">
        <v>1781</v>
      </c>
      <c r="E1891" s="145">
        <v>420.86</v>
      </c>
      <c r="F1891" s="145">
        <v>0</v>
      </c>
      <c r="G1891" s="145">
        <v>0</v>
      </c>
      <c r="H1891" s="145">
        <v>0</v>
      </c>
      <c r="I1891" s="77">
        <f t="shared" si="32"/>
        <v>420.86</v>
      </c>
      <c r="J1891" s="123" t="str">
        <f>IFERROR(VLOOKUP($C1891,'CEDARS School FRPL'!C:H,4,FALSE),"No")</f>
        <v>Yes</v>
      </c>
      <c r="K1891" s="109"/>
      <c r="L1891" s="109"/>
      <c r="M1891" s="110">
        <f>IFERROR(VLOOKUP($C1891,'CEDARS School FRPL'!C:H,3,FALSE),0)</f>
        <v>0.89869999999999994</v>
      </c>
      <c r="N1891" s="123" t="str">
        <f>IFERROR(VLOOKUP(C1891,'CEDARS School FRPL'!C:H,6,FALSE),"No")</f>
        <v>No</v>
      </c>
      <c r="O1891" s="147"/>
      <c r="P1891" s="148"/>
    </row>
    <row r="1892" spans="1:16">
      <c r="A1892" s="95" t="s">
        <v>2486</v>
      </c>
      <c r="B1892" s="95" t="s">
        <v>1773</v>
      </c>
      <c r="C1892" s="4">
        <v>2106</v>
      </c>
      <c r="D1892" s="95" t="s">
        <v>1782</v>
      </c>
      <c r="E1892" s="145">
        <v>1474.74</v>
      </c>
      <c r="F1892" s="145">
        <v>62.730000000000004</v>
      </c>
      <c r="G1892" s="145">
        <v>0</v>
      </c>
      <c r="H1892" s="145">
        <v>0</v>
      </c>
      <c r="I1892" s="77">
        <f t="shared" si="32"/>
        <v>1537.47</v>
      </c>
      <c r="J1892" s="123" t="str">
        <f>IFERROR(VLOOKUP($C1892,'CEDARS School FRPL'!C:H,4,FALSE),"No")</f>
        <v>Yes</v>
      </c>
      <c r="K1892" s="109"/>
      <c r="L1892" s="109"/>
      <c r="M1892" s="110">
        <f>IFERROR(VLOOKUP($C1892,'CEDARS School FRPL'!C:H,3,FALSE),0)</f>
        <v>0.56243333333333334</v>
      </c>
      <c r="N1892" s="123" t="str">
        <f>IFERROR(VLOOKUP(C1892,'CEDARS School FRPL'!C:H,6,FALSE),"No")</f>
        <v>No</v>
      </c>
      <c r="O1892" s="147"/>
      <c r="P1892" s="148"/>
    </row>
    <row r="1893" spans="1:16">
      <c r="A1893" s="95" t="s">
        <v>2486</v>
      </c>
      <c r="B1893" s="95" t="s">
        <v>1773</v>
      </c>
      <c r="C1893" s="4">
        <v>2108</v>
      </c>
      <c r="D1893" s="95" t="s">
        <v>1783</v>
      </c>
      <c r="E1893" s="145">
        <v>420.77</v>
      </c>
      <c r="F1893" s="145">
        <v>0</v>
      </c>
      <c r="G1893" s="145">
        <v>0</v>
      </c>
      <c r="H1893" s="145">
        <v>0</v>
      </c>
      <c r="I1893" s="77">
        <f t="shared" si="32"/>
        <v>420.77</v>
      </c>
      <c r="J1893" s="123" t="str">
        <f>IFERROR(VLOOKUP($C1893,'CEDARS School FRPL'!C:H,4,FALSE),"No")</f>
        <v>Yes</v>
      </c>
      <c r="K1893" s="109"/>
      <c r="L1893" s="109"/>
      <c r="M1893" s="110">
        <f>IFERROR(VLOOKUP($C1893,'CEDARS School FRPL'!C:H,3,FALSE),0)</f>
        <v>0.91170000000000007</v>
      </c>
      <c r="N1893" s="123" t="str">
        <f>IFERROR(VLOOKUP(C1893,'CEDARS School FRPL'!C:H,6,FALSE),"No")</f>
        <v>No</v>
      </c>
      <c r="O1893" s="147"/>
      <c r="P1893" s="148"/>
    </row>
    <row r="1894" spans="1:16">
      <c r="A1894" s="95" t="s">
        <v>2486</v>
      </c>
      <c r="B1894" s="95" t="s">
        <v>1773</v>
      </c>
      <c r="C1894" s="4">
        <v>2109</v>
      </c>
      <c r="D1894" s="95" t="s">
        <v>1784</v>
      </c>
      <c r="E1894" s="145">
        <v>496.71</v>
      </c>
      <c r="F1894" s="145">
        <v>0</v>
      </c>
      <c r="G1894" s="145">
        <v>0</v>
      </c>
      <c r="H1894" s="145">
        <v>0</v>
      </c>
      <c r="I1894" s="77">
        <f t="shared" si="32"/>
        <v>496.71</v>
      </c>
      <c r="J1894" s="123" t="str">
        <f>IFERROR(VLOOKUP($C1894,'CEDARS School FRPL'!C:H,4,FALSE),"No")</f>
        <v>Yes</v>
      </c>
      <c r="K1894" s="109"/>
      <c r="L1894" s="109"/>
      <c r="M1894" s="110">
        <f>IFERROR(VLOOKUP($C1894,'CEDARS School FRPL'!C:H,3,FALSE),0)</f>
        <v>0.7631</v>
      </c>
      <c r="N1894" s="123" t="str">
        <f>IFERROR(VLOOKUP(C1894,'CEDARS School FRPL'!C:H,6,FALSE),"No")</f>
        <v>No</v>
      </c>
      <c r="O1894" s="147"/>
      <c r="P1894" s="148"/>
    </row>
    <row r="1895" spans="1:16">
      <c r="A1895" s="95" t="s">
        <v>2486</v>
      </c>
      <c r="B1895" s="95" t="s">
        <v>1773</v>
      </c>
      <c r="C1895" s="4">
        <v>2110</v>
      </c>
      <c r="D1895" s="95" t="s">
        <v>1785</v>
      </c>
      <c r="E1895" s="145">
        <v>403.62</v>
      </c>
      <c r="F1895" s="145">
        <v>0</v>
      </c>
      <c r="G1895" s="145">
        <v>0</v>
      </c>
      <c r="H1895" s="145">
        <v>0</v>
      </c>
      <c r="I1895" s="77">
        <f t="shared" si="32"/>
        <v>403.62</v>
      </c>
      <c r="J1895" s="123" t="str">
        <f>IFERROR(VLOOKUP($C1895,'CEDARS School FRPL'!C:H,4,FALSE),"No")</f>
        <v>Yes</v>
      </c>
      <c r="K1895" s="109"/>
      <c r="L1895" s="109"/>
      <c r="M1895" s="110">
        <f>IFERROR(VLOOKUP($C1895,'CEDARS School FRPL'!C:H,3,FALSE),0)</f>
        <v>0.86603333333333332</v>
      </c>
      <c r="N1895" s="123" t="str">
        <f>IFERROR(VLOOKUP(C1895,'CEDARS School FRPL'!C:H,6,FALSE),"No")</f>
        <v>No</v>
      </c>
      <c r="O1895" s="147"/>
      <c r="P1895" s="148"/>
    </row>
    <row r="1896" spans="1:16">
      <c r="A1896" s="95" t="s">
        <v>2486</v>
      </c>
      <c r="B1896" s="95" t="s">
        <v>1773</v>
      </c>
      <c r="C1896" s="4">
        <v>2111</v>
      </c>
      <c r="D1896" s="95" t="s">
        <v>79</v>
      </c>
      <c r="E1896" s="145">
        <v>421.38</v>
      </c>
      <c r="F1896" s="145">
        <v>0</v>
      </c>
      <c r="G1896" s="145">
        <v>0</v>
      </c>
      <c r="H1896" s="145">
        <v>0</v>
      </c>
      <c r="I1896" s="77">
        <f t="shared" si="32"/>
        <v>421.38</v>
      </c>
      <c r="J1896" s="123" t="str">
        <f>IFERROR(VLOOKUP($C1896,'CEDARS School FRPL'!C:H,4,FALSE),"No")</f>
        <v>No</v>
      </c>
      <c r="K1896" s="109"/>
      <c r="L1896" s="109"/>
      <c r="M1896" s="110">
        <f>IFERROR(VLOOKUP($C1896,'CEDARS School FRPL'!C:H,3,FALSE),0)</f>
        <v>0.32790000000000002</v>
      </c>
      <c r="N1896" s="123" t="str">
        <f>IFERROR(VLOOKUP(C1896,'CEDARS School FRPL'!C:H,6,FALSE),"No")</f>
        <v>No</v>
      </c>
      <c r="O1896" s="147"/>
      <c r="P1896" s="148"/>
    </row>
    <row r="1897" spans="1:16">
      <c r="A1897" s="95" t="s">
        <v>2486</v>
      </c>
      <c r="B1897" s="95" t="s">
        <v>1773</v>
      </c>
      <c r="C1897" s="4">
        <v>2127</v>
      </c>
      <c r="D1897" s="95" t="s">
        <v>139</v>
      </c>
      <c r="E1897" s="145">
        <v>429.55</v>
      </c>
      <c r="F1897" s="145">
        <v>0</v>
      </c>
      <c r="G1897" s="145">
        <v>0</v>
      </c>
      <c r="H1897" s="145">
        <v>0</v>
      </c>
      <c r="I1897" s="77">
        <f t="shared" si="32"/>
        <v>429.55</v>
      </c>
      <c r="J1897" s="123" t="str">
        <f>IFERROR(VLOOKUP($C1897,'CEDARS School FRPL'!C:H,4,FALSE),"No")</f>
        <v>No</v>
      </c>
      <c r="K1897" s="109"/>
      <c r="L1897" s="109"/>
      <c r="M1897" s="110">
        <f>IFERROR(VLOOKUP($C1897,'CEDARS School FRPL'!C:H,3,FALSE),0)</f>
        <v>0.45693333333333336</v>
      </c>
      <c r="N1897" s="123" t="str">
        <f>IFERROR(VLOOKUP(C1897,'CEDARS School FRPL'!C:H,6,FALSE),"No")</f>
        <v>No</v>
      </c>
      <c r="O1897" s="147"/>
      <c r="P1897" s="148"/>
    </row>
    <row r="1898" spans="1:16">
      <c r="A1898" s="95" t="s">
        <v>2486</v>
      </c>
      <c r="B1898" s="95" t="s">
        <v>1773</v>
      </c>
      <c r="C1898" s="4">
        <v>2128</v>
      </c>
      <c r="D1898" s="95" t="s">
        <v>908</v>
      </c>
      <c r="E1898" s="145">
        <v>487</v>
      </c>
      <c r="F1898" s="145">
        <v>0</v>
      </c>
      <c r="G1898" s="145">
        <v>0</v>
      </c>
      <c r="H1898" s="145">
        <v>0</v>
      </c>
      <c r="I1898" s="77">
        <f t="shared" si="32"/>
        <v>487</v>
      </c>
      <c r="J1898" s="123" t="str">
        <f>IFERROR(VLOOKUP($C1898,'CEDARS School FRPL'!C:H,4,FALSE),"No")</f>
        <v>Yes</v>
      </c>
      <c r="K1898" s="109"/>
      <c r="L1898" s="109"/>
      <c r="M1898" s="110">
        <f>IFERROR(VLOOKUP($C1898,'CEDARS School FRPL'!C:H,3,FALSE),0)</f>
        <v>0.86076666666666668</v>
      </c>
      <c r="N1898" s="123" t="str">
        <f>IFERROR(VLOOKUP(C1898,'CEDARS School FRPL'!C:H,6,FALSE),"No")</f>
        <v>No</v>
      </c>
      <c r="O1898" s="147"/>
      <c r="P1898" s="148"/>
    </row>
    <row r="1899" spans="1:16">
      <c r="A1899" s="95" t="s">
        <v>2486</v>
      </c>
      <c r="B1899" s="95" t="s">
        <v>1773</v>
      </c>
      <c r="C1899" s="4">
        <v>2129</v>
      </c>
      <c r="D1899" s="95" t="s">
        <v>1786</v>
      </c>
      <c r="E1899" s="145">
        <v>417.93</v>
      </c>
      <c r="F1899" s="145">
        <v>0</v>
      </c>
      <c r="G1899" s="145">
        <v>0</v>
      </c>
      <c r="H1899" s="145">
        <v>0</v>
      </c>
      <c r="I1899" s="77">
        <f t="shared" si="32"/>
        <v>417.93</v>
      </c>
      <c r="J1899" s="123" t="str">
        <f>IFERROR(VLOOKUP($C1899,'CEDARS School FRPL'!C:H,4,FALSE),"No")</f>
        <v>Yes</v>
      </c>
      <c r="K1899" s="109"/>
      <c r="L1899" s="109"/>
      <c r="M1899" s="110">
        <f>IFERROR(VLOOKUP($C1899,'CEDARS School FRPL'!C:H,3,FALSE),0)</f>
        <v>0.74529999999999996</v>
      </c>
      <c r="N1899" s="123" t="str">
        <f>IFERROR(VLOOKUP(C1899,'CEDARS School FRPL'!C:H,6,FALSE),"No")</f>
        <v>No</v>
      </c>
      <c r="O1899" s="147"/>
      <c r="P1899" s="148"/>
    </row>
    <row r="1900" spans="1:16">
      <c r="A1900" s="95" t="s">
        <v>2486</v>
      </c>
      <c r="B1900" s="95" t="s">
        <v>1773</v>
      </c>
      <c r="C1900" s="4">
        <v>2155</v>
      </c>
      <c r="D1900" s="95" t="s">
        <v>1787</v>
      </c>
      <c r="E1900" s="145">
        <v>427.59</v>
      </c>
      <c r="F1900" s="145">
        <v>0</v>
      </c>
      <c r="G1900" s="145">
        <v>0</v>
      </c>
      <c r="H1900" s="145">
        <v>0</v>
      </c>
      <c r="I1900" s="77">
        <f t="shared" si="32"/>
        <v>427.59</v>
      </c>
      <c r="J1900" s="123" t="str">
        <f>IFERROR(VLOOKUP($C1900,'CEDARS School FRPL'!C:H,4,FALSE),"No")</f>
        <v>Yes</v>
      </c>
      <c r="K1900" s="109"/>
      <c r="L1900" s="109"/>
      <c r="M1900" s="110">
        <f>IFERROR(VLOOKUP($C1900,'CEDARS School FRPL'!C:H,3,FALSE),0)</f>
        <v>0.87063333333333326</v>
      </c>
      <c r="N1900" s="123" t="str">
        <f>IFERROR(VLOOKUP(C1900,'CEDARS School FRPL'!C:H,6,FALSE),"No")</f>
        <v>No</v>
      </c>
      <c r="O1900" s="147"/>
      <c r="P1900" s="148"/>
    </row>
    <row r="1901" spans="1:16">
      <c r="A1901" s="95" t="s">
        <v>2486</v>
      </c>
      <c r="B1901" s="95" t="s">
        <v>1773</v>
      </c>
      <c r="C1901" s="4">
        <v>2156</v>
      </c>
      <c r="D1901" s="95" t="s">
        <v>1788</v>
      </c>
      <c r="E1901" s="145">
        <v>359</v>
      </c>
      <c r="F1901" s="145">
        <v>0</v>
      </c>
      <c r="G1901" s="145">
        <v>0</v>
      </c>
      <c r="H1901" s="145">
        <v>0</v>
      </c>
      <c r="I1901" s="77">
        <f t="shared" si="32"/>
        <v>359</v>
      </c>
      <c r="J1901" s="123" t="str">
        <f>IFERROR(VLOOKUP($C1901,'CEDARS School FRPL'!C:H,4,FALSE),"No")</f>
        <v>Yes</v>
      </c>
      <c r="K1901" s="109"/>
      <c r="L1901" s="109"/>
      <c r="M1901" s="110">
        <f>IFERROR(VLOOKUP($C1901,'CEDARS School FRPL'!C:H,3,FALSE),0)</f>
        <v>0.68230000000000002</v>
      </c>
      <c r="N1901" s="123" t="str">
        <f>IFERROR(VLOOKUP(C1901,'CEDARS School FRPL'!C:H,6,FALSE),"No")</f>
        <v>No</v>
      </c>
      <c r="O1901" s="147"/>
      <c r="P1901" s="148"/>
    </row>
    <row r="1902" spans="1:16">
      <c r="A1902" s="95" t="s">
        <v>2486</v>
      </c>
      <c r="B1902" s="95" t="s">
        <v>1773</v>
      </c>
      <c r="C1902" s="4">
        <v>2172</v>
      </c>
      <c r="D1902" s="95" t="s">
        <v>1789</v>
      </c>
      <c r="E1902" s="145">
        <v>1706.77</v>
      </c>
      <c r="F1902" s="145">
        <v>95.64</v>
      </c>
      <c r="G1902" s="145">
        <v>0</v>
      </c>
      <c r="H1902" s="145">
        <v>0</v>
      </c>
      <c r="I1902" s="77">
        <f t="shared" si="32"/>
        <v>1802.41</v>
      </c>
      <c r="J1902" s="123" t="str">
        <f>IFERROR(VLOOKUP($C1902,'CEDARS School FRPL'!C:H,4,FALSE),"No")</f>
        <v>No</v>
      </c>
      <c r="K1902" s="109"/>
      <c r="L1902" s="109"/>
      <c r="M1902" s="110">
        <f>IFERROR(VLOOKUP($C1902,'CEDARS School FRPL'!C:H,3,FALSE),0)</f>
        <v>0.37476666666666669</v>
      </c>
      <c r="N1902" s="123" t="str">
        <f>IFERROR(VLOOKUP(C1902,'CEDARS School FRPL'!C:H,6,FALSE),"No")</f>
        <v>No</v>
      </c>
      <c r="O1902" s="147"/>
      <c r="P1902" s="148"/>
    </row>
    <row r="1903" spans="1:16">
      <c r="A1903" s="95" t="s">
        <v>2486</v>
      </c>
      <c r="B1903" s="95" t="s">
        <v>1773</v>
      </c>
      <c r="C1903" s="4">
        <v>2191</v>
      </c>
      <c r="D1903" s="95" t="s">
        <v>1790</v>
      </c>
      <c r="E1903" s="145">
        <v>442.29</v>
      </c>
      <c r="F1903" s="145">
        <v>0</v>
      </c>
      <c r="G1903" s="145">
        <v>0</v>
      </c>
      <c r="H1903" s="145">
        <v>0</v>
      </c>
      <c r="I1903" s="77">
        <f t="shared" si="32"/>
        <v>442.29</v>
      </c>
      <c r="J1903" s="123" t="str">
        <f>IFERROR(VLOOKUP($C1903,'CEDARS School FRPL'!C:H,4,FALSE),"No")</f>
        <v>Yes</v>
      </c>
      <c r="K1903" s="109"/>
      <c r="L1903" s="109"/>
      <c r="M1903" s="110">
        <f>IFERROR(VLOOKUP($C1903,'CEDARS School FRPL'!C:H,3,FALSE),0)</f>
        <v>0.86676666666666657</v>
      </c>
      <c r="N1903" s="123" t="str">
        <f>IFERROR(VLOOKUP(C1903,'CEDARS School FRPL'!C:H,6,FALSE),"No")</f>
        <v>No</v>
      </c>
      <c r="O1903" s="147"/>
      <c r="P1903" s="148"/>
    </row>
    <row r="1904" spans="1:16">
      <c r="A1904" s="95" t="s">
        <v>2486</v>
      </c>
      <c r="B1904" s="95" t="s">
        <v>1773</v>
      </c>
      <c r="C1904" s="4">
        <v>2218</v>
      </c>
      <c r="D1904" s="95" t="s">
        <v>1791</v>
      </c>
      <c r="E1904" s="145">
        <v>340.86</v>
      </c>
      <c r="F1904" s="145">
        <v>0</v>
      </c>
      <c r="G1904" s="145">
        <v>0</v>
      </c>
      <c r="H1904" s="145">
        <v>0</v>
      </c>
      <c r="I1904" s="77">
        <f t="shared" si="32"/>
        <v>340.86</v>
      </c>
      <c r="J1904" s="123" t="str">
        <f>IFERROR(VLOOKUP($C1904,'CEDARS School FRPL'!C:H,4,FALSE),"No")</f>
        <v>Yes</v>
      </c>
      <c r="K1904" s="109"/>
      <c r="L1904" s="109"/>
      <c r="M1904" s="110">
        <f>IFERROR(VLOOKUP($C1904,'CEDARS School FRPL'!C:H,3,FALSE),0)</f>
        <v>0.62219999999999998</v>
      </c>
      <c r="N1904" s="123" t="str">
        <f>IFERROR(VLOOKUP(C1904,'CEDARS School FRPL'!C:H,6,FALSE),"No")</f>
        <v>No</v>
      </c>
      <c r="O1904" s="147"/>
      <c r="P1904" s="148"/>
    </row>
    <row r="1905" spans="1:16">
      <c r="A1905" s="95" t="s">
        <v>2486</v>
      </c>
      <c r="B1905" s="95" t="s">
        <v>1773</v>
      </c>
      <c r="C1905" s="4">
        <v>2258</v>
      </c>
      <c r="D1905" s="95" t="s">
        <v>1792</v>
      </c>
      <c r="E1905" s="145">
        <v>556.02</v>
      </c>
      <c r="F1905" s="145">
        <v>0</v>
      </c>
      <c r="G1905" s="145">
        <v>0</v>
      </c>
      <c r="H1905" s="145">
        <v>0</v>
      </c>
      <c r="I1905" s="77">
        <f t="shared" si="32"/>
        <v>556.02</v>
      </c>
      <c r="J1905" s="123" t="str">
        <f>IFERROR(VLOOKUP($C1905,'CEDARS School FRPL'!C:H,4,FALSE),"No")</f>
        <v>No</v>
      </c>
      <c r="K1905" s="109"/>
      <c r="L1905" s="109"/>
      <c r="M1905" s="110">
        <f>IFERROR(VLOOKUP($C1905,'CEDARS School FRPL'!C:H,3,FALSE),0)</f>
        <v>0.21830000000000002</v>
      </c>
      <c r="N1905" s="123" t="str">
        <f>IFERROR(VLOOKUP(C1905,'CEDARS School FRPL'!C:H,6,FALSE),"No")</f>
        <v>No</v>
      </c>
      <c r="O1905" s="147"/>
      <c r="P1905" s="148"/>
    </row>
    <row r="1906" spans="1:16">
      <c r="A1906" s="95" t="s">
        <v>2486</v>
      </c>
      <c r="B1906" s="95" t="s">
        <v>1773</v>
      </c>
      <c r="C1906" s="4">
        <v>2296</v>
      </c>
      <c r="D1906" s="95" t="s">
        <v>1793</v>
      </c>
      <c r="E1906" s="145">
        <v>356.15</v>
      </c>
      <c r="F1906" s="145">
        <v>0</v>
      </c>
      <c r="G1906" s="145">
        <v>0</v>
      </c>
      <c r="H1906" s="145">
        <v>0</v>
      </c>
      <c r="I1906" s="77">
        <f t="shared" si="32"/>
        <v>356.15</v>
      </c>
      <c r="J1906" s="123" t="str">
        <f>IFERROR(VLOOKUP($C1906,'CEDARS School FRPL'!C:H,4,FALSE),"No")</f>
        <v>No</v>
      </c>
      <c r="K1906" s="109"/>
      <c r="L1906" s="109"/>
      <c r="M1906" s="110">
        <f>IFERROR(VLOOKUP($C1906,'CEDARS School FRPL'!C:H,3,FALSE),0)</f>
        <v>0.19863333333333333</v>
      </c>
      <c r="N1906" s="123" t="str">
        <f>IFERROR(VLOOKUP(C1906,'CEDARS School FRPL'!C:H,6,FALSE),"No")</f>
        <v>No</v>
      </c>
      <c r="O1906" s="147"/>
      <c r="P1906" s="148"/>
    </row>
    <row r="1907" spans="1:16">
      <c r="A1907" s="95" t="s">
        <v>2486</v>
      </c>
      <c r="B1907" s="95" t="s">
        <v>1773</v>
      </c>
      <c r="C1907" s="4">
        <v>2312</v>
      </c>
      <c r="D1907" s="95" t="s">
        <v>1794</v>
      </c>
      <c r="E1907" s="145">
        <v>459.77</v>
      </c>
      <c r="F1907" s="145">
        <v>0</v>
      </c>
      <c r="G1907" s="145">
        <v>0</v>
      </c>
      <c r="H1907" s="145">
        <v>0</v>
      </c>
      <c r="I1907" s="77">
        <f t="shared" si="32"/>
        <v>459.77</v>
      </c>
      <c r="J1907" s="123" t="str">
        <f>IFERROR(VLOOKUP($C1907,'CEDARS School FRPL'!C:H,4,FALSE),"No")</f>
        <v>No</v>
      </c>
      <c r="K1907" s="109"/>
      <c r="L1907" s="109"/>
      <c r="M1907" s="110">
        <f>IFERROR(VLOOKUP($C1907,'CEDARS School FRPL'!C:H,3,FALSE),0)</f>
        <v>0.48943333333333339</v>
      </c>
      <c r="N1907" s="123" t="str">
        <f>IFERROR(VLOOKUP(C1907,'CEDARS School FRPL'!C:H,6,FALSE),"No")</f>
        <v>Yes</v>
      </c>
      <c r="O1907" s="147"/>
      <c r="P1907" s="148"/>
    </row>
    <row r="1908" spans="1:16">
      <c r="A1908" s="95" t="s">
        <v>2486</v>
      </c>
      <c r="B1908" s="95" t="s">
        <v>1773</v>
      </c>
      <c r="C1908" s="4">
        <v>2381</v>
      </c>
      <c r="D1908" s="95" t="s">
        <v>1795</v>
      </c>
      <c r="E1908" s="145">
        <v>539.51</v>
      </c>
      <c r="F1908" s="145">
        <v>0</v>
      </c>
      <c r="G1908" s="145">
        <v>0</v>
      </c>
      <c r="H1908" s="145">
        <v>0</v>
      </c>
      <c r="I1908" s="77">
        <f t="shared" si="32"/>
        <v>539.51</v>
      </c>
      <c r="J1908" s="123" t="str">
        <f>IFERROR(VLOOKUP($C1908,'CEDARS School FRPL'!C:H,4,FALSE),"No")</f>
        <v>Yes</v>
      </c>
      <c r="K1908" s="109"/>
      <c r="L1908" s="109"/>
      <c r="M1908" s="110">
        <f>IFERROR(VLOOKUP($C1908,'CEDARS School FRPL'!C:H,3,FALSE),0)</f>
        <v>0.78149999999999997</v>
      </c>
      <c r="N1908" s="123" t="str">
        <f>IFERROR(VLOOKUP(C1908,'CEDARS School FRPL'!C:H,6,FALSE),"No")</f>
        <v>No</v>
      </c>
      <c r="O1908" s="147"/>
      <c r="P1908" s="148"/>
    </row>
    <row r="1909" spans="1:16">
      <c r="A1909" s="95" t="s">
        <v>2486</v>
      </c>
      <c r="B1909" s="95" t="s">
        <v>1773</v>
      </c>
      <c r="C1909" s="4">
        <v>2401</v>
      </c>
      <c r="D1909" s="95" t="s">
        <v>1796</v>
      </c>
      <c r="E1909" s="145">
        <v>487.79</v>
      </c>
      <c r="F1909" s="145">
        <v>0</v>
      </c>
      <c r="G1909" s="145">
        <v>0</v>
      </c>
      <c r="H1909" s="145">
        <v>0</v>
      </c>
      <c r="I1909" s="77">
        <f t="shared" si="32"/>
        <v>487.79</v>
      </c>
      <c r="J1909" s="123" t="str">
        <f>IFERROR(VLOOKUP($C1909,'CEDARS School FRPL'!C:H,4,FALSE),"No")</f>
        <v>No</v>
      </c>
      <c r="K1909" s="109"/>
      <c r="L1909" s="109"/>
      <c r="M1909" s="110">
        <f>IFERROR(VLOOKUP($C1909,'CEDARS School FRPL'!C:H,3,FALSE),0)</f>
        <v>0.24363333333333334</v>
      </c>
      <c r="N1909" s="123" t="str">
        <f>IFERROR(VLOOKUP(C1909,'CEDARS School FRPL'!C:H,6,FALSE),"No")</f>
        <v>No</v>
      </c>
      <c r="O1909" s="147"/>
      <c r="P1909" s="148"/>
    </row>
    <row r="1910" spans="1:16">
      <c r="A1910" s="95" t="s">
        <v>2486</v>
      </c>
      <c r="B1910" s="95" t="s">
        <v>1773</v>
      </c>
      <c r="C1910" s="4">
        <v>2479</v>
      </c>
      <c r="D1910" s="95" t="s">
        <v>1315</v>
      </c>
      <c r="E1910" s="145">
        <v>1498.41</v>
      </c>
      <c r="F1910" s="145">
        <v>50.5</v>
      </c>
      <c r="G1910" s="145">
        <v>0</v>
      </c>
      <c r="H1910" s="145">
        <v>0</v>
      </c>
      <c r="I1910" s="77">
        <f t="shared" si="32"/>
        <v>1548.91</v>
      </c>
      <c r="J1910" s="123" t="str">
        <f>IFERROR(VLOOKUP($C1910,'CEDARS School FRPL'!C:H,4,FALSE),"No")</f>
        <v>Yes</v>
      </c>
      <c r="K1910" s="109"/>
      <c r="L1910" s="109"/>
      <c r="M1910" s="110">
        <f>IFERROR(VLOOKUP($C1910,'CEDARS School FRPL'!C:H,3,FALSE),0)</f>
        <v>0.79879999999999995</v>
      </c>
      <c r="N1910" s="123" t="str">
        <f>IFERROR(VLOOKUP(C1910,'CEDARS School FRPL'!C:H,6,FALSE),"No")</f>
        <v>No</v>
      </c>
      <c r="O1910" s="147"/>
      <c r="P1910" s="148"/>
    </row>
    <row r="1911" spans="1:16">
      <c r="A1911" s="95" t="s">
        <v>2486</v>
      </c>
      <c r="B1911" s="95" t="s">
        <v>1773</v>
      </c>
      <c r="C1911" s="4">
        <v>2708</v>
      </c>
      <c r="D1911" s="95" t="s">
        <v>1577</v>
      </c>
      <c r="E1911" s="145">
        <v>265.57</v>
      </c>
      <c r="F1911" s="145">
        <v>0</v>
      </c>
      <c r="G1911" s="145">
        <v>0</v>
      </c>
      <c r="H1911" s="145">
        <v>0</v>
      </c>
      <c r="I1911" s="77">
        <f t="shared" si="32"/>
        <v>265.57</v>
      </c>
      <c r="J1911" s="123" t="str">
        <f>IFERROR(VLOOKUP($C1911,'CEDARS School FRPL'!C:H,4,FALSE),"No")</f>
        <v>Yes</v>
      </c>
      <c r="K1911" s="109"/>
      <c r="L1911" s="109"/>
      <c r="M1911" s="110">
        <f>IFERROR(VLOOKUP($C1911,'CEDARS School FRPL'!C:H,3,FALSE),0)</f>
        <v>0.69530000000000003</v>
      </c>
      <c r="N1911" s="123" t="str">
        <f>IFERROR(VLOOKUP(C1911,'CEDARS School FRPL'!C:H,6,FALSE),"No")</f>
        <v>No</v>
      </c>
      <c r="O1911" s="147"/>
      <c r="P1911" s="148"/>
    </row>
    <row r="1912" spans="1:16">
      <c r="A1912" s="95" t="s">
        <v>2486</v>
      </c>
      <c r="B1912" s="95" t="s">
        <v>1773</v>
      </c>
      <c r="C1912" s="4">
        <v>2950</v>
      </c>
      <c r="D1912" s="95" t="s">
        <v>1797</v>
      </c>
      <c r="E1912" s="145">
        <v>309</v>
      </c>
      <c r="F1912" s="145">
        <v>0</v>
      </c>
      <c r="G1912" s="145">
        <v>0</v>
      </c>
      <c r="H1912" s="145">
        <v>0</v>
      </c>
      <c r="I1912" s="77">
        <f t="shared" si="32"/>
        <v>309</v>
      </c>
      <c r="J1912" s="123" t="str">
        <f>IFERROR(VLOOKUP($C1912,'CEDARS School FRPL'!C:H,4,FALSE),"No")</f>
        <v>Yes</v>
      </c>
      <c r="K1912" s="109"/>
      <c r="L1912" s="109"/>
      <c r="M1912" s="110">
        <f>IFERROR(VLOOKUP($C1912,'CEDARS School FRPL'!C:H,3,FALSE),0)</f>
        <v>0.62783333333333335</v>
      </c>
      <c r="N1912" s="123" t="str">
        <f>IFERROR(VLOOKUP(C1912,'CEDARS School FRPL'!C:H,6,FALSE),"No")</f>
        <v>No</v>
      </c>
      <c r="O1912" s="147"/>
      <c r="P1912" s="148"/>
    </row>
    <row r="1913" spans="1:16">
      <c r="A1913" s="95" t="s">
        <v>2486</v>
      </c>
      <c r="B1913" s="95" t="s">
        <v>1773</v>
      </c>
      <c r="C1913" s="4">
        <v>2951</v>
      </c>
      <c r="D1913" s="95" t="s">
        <v>1798</v>
      </c>
      <c r="E1913" s="145">
        <v>461.47</v>
      </c>
      <c r="F1913" s="145">
        <v>0</v>
      </c>
      <c r="G1913" s="145">
        <v>0</v>
      </c>
      <c r="H1913" s="145">
        <v>0</v>
      </c>
      <c r="I1913" s="77">
        <f t="shared" si="32"/>
        <v>461.47</v>
      </c>
      <c r="J1913" s="123" t="str">
        <f>IFERROR(VLOOKUP($C1913,'CEDARS School FRPL'!C:H,4,FALSE),"No")</f>
        <v>Yes</v>
      </c>
      <c r="K1913" s="109"/>
      <c r="L1913" s="109"/>
      <c r="M1913" s="110">
        <f>IFERROR(VLOOKUP($C1913,'CEDARS School FRPL'!C:H,3,FALSE),0)</f>
        <v>0.54146666666666665</v>
      </c>
      <c r="N1913" s="123" t="str">
        <f>IFERROR(VLOOKUP(C1913,'CEDARS School FRPL'!C:H,6,FALSE),"No")</f>
        <v>No</v>
      </c>
      <c r="O1913" s="147"/>
      <c r="P1913" s="148"/>
    </row>
    <row r="1914" spans="1:16">
      <c r="A1914" s="95" t="s">
        <v>2486</v>
      </c>
      <c r="B1914" s="95" t="s">
        <v>1773</v>
      </c>
      <c r="C1914" s="4">
        <v>2952</v>
      </c>
      <c r="D1914" s="95" t="s">
        <v>1799</v>
      </c>
      <c r="E1914" s="145">
        <v>385.29</v>
      </c>
      <c r="F1914" s="145">
        <v>0</v>
      </c>
      <c r="G1914" s="145">
        <v>0</v>
      </c>
      <c r="H1914" s="145">
        <v>0</v>
      </c>
      <c r="I1914" s="77">
        <f t="shared" si="32"/>
        <v>385.29</v>
      </c>
      <c r="J1914" s="123" t="str">
        <f>IFERROR(VLOOKUP($C1914,'CEDARS School FRPL'!C:H,4,FALSE),"No")</f>
        <v>Yes</v>
      </c>
      <c r="K1914" s="109"/>
      <c r="L1914" s="109"/>
      <c r="M1914" s="110">
        <f>IFERROR(VLOOKUP($C1914,'CEDARS School FRPL'!C:H,3,FALSE),0)</f>
        <v>0.88890000000000002</v>
      </c>
      <c r="N1914" s="123" t="str">
        <f>IFERROR(VLOOKUP(C1914,'CEDARS School FRPL'!C:H,6,FALSE),"No")</f>
        <v>No</v>
      </c>
      <c r="O1914" s="147"/>
      <c r="P1914" s="148"/>
    </row>
    <row r="1915" spans="1:16">
      <c r="A1915" s="95" t="s">
        <v>2486</v>
      </c>
      <c r="B1915" s="95" t="s">
        <v>1773</v>
      </c>
      <c r="C1915" s="4">
        <v>3007</v>
      </c>
      <c r="D1915" s="95" t="s">
        <v>1800</v>
      </c>
      <c r="E1915" s="145">
        <v>487</v>
      </c>
      <c r="F1915" s="145">
        <v>0</v>
      </c>
      <c r="G1915" s="145">
        <v>0</v>
      </c>
      <c r="H1915" s="145">
        <v>0</v>
      </c>
      <c r="I1915" s="77">
        <f t="shared" si="32"/>
        <v>487</v>
      </c>
      <c r="J1915" s="123" t="str">
        <f>IFERROR(VLOOKUP($C1915,'CEDARS School FRPL'!C:H,4,FALSE),"No")</f>
        <v>No</v>
      </c>
      <c r="K1915" s="109"/>
      <c r="L1915" s="109"/>
      <c r="M1915" s="110">
        <f>IFERROR(VLOOKUP($C1915,'CEDARS School FRPL'!C:H,3,FALSE),0)</f>
        <v>0.33823333333333333</v>
      </c>
      <c r="N1915" s="123" t="str">
        <f>IFERROR(VLOOKUP(C1915,'CEDARS School FRPL'!C:H,6,FALSE),"No")</f>
        <v>No</v>
      </c>
      <c r="O1915" s="147"/>
      <c r="P1915" s="148"/>
    </row>
    <row r="1916" spans="1:16">
      <c r="A1916" s="95" t="s">
        <v>2486</v>
      </c>
      <c r="B1916" s="95" t="s">
        <v>1773</v>
      </c>
      <c r="C1916" s="4">
        <v>3008</v>
      </c>
      <c r="D1916" s="95" t="s">
        <v>1801</v>
      </c>
      <c r="E1916" s="145">
        <v>500.73</v>
      </c>
      <c r="F1916" s="145">
        <v>15.72</v>
      </c>
      <c r="G1916" s="145">
        <v>0</v>
      </c>
      <c r="H1916" s="145">
        <v>0</v>
      </c>
      <c r="I1916" s="77">
        <f t="shared" si="32"/>
        <v>516.45000000000005</v>
      </c>
      <c r="J1916" s="123" t="str">
        <f>IFERROR(VLOOKUP($C1916,'CEDARS School FRPL'!C:H,4,FALSE),"No")</f>
        <v>No</v>
      </c>
      <c r="K1916" s="109"/>
      <c r="L1916" s="109"/>
      <c r="M1916" s="110">
        <f>IFERROR(VLOOKUP($C1916,'CEDARS School FRPL'!C:H,3,FALSE),0)</f>
        <v>0.2629333333333333</v>
      </c>
      <c r="N1916" s="123" t="str">
        <f>IFERROR(VLOOKUP(C1916,'CEDARS School FRPL'!C:H,6,FALSE),"No")</f>
        <v>No</v>
      </c>
      <c r="O1916" s="147"/>
      <c r="P1916" s="148"/>
    </row>
    <row r="1917" spans="1:16">
      <c r="A1917" s="95" t="s">
        <v>2486</v>
      </c>
      <c r="B1917" s="95" t="s">
        <v>1773</v>
      </c>
      <c r="C1917" s="4">
        <v>3063</v>
      </c>
      <c r="D1917" s="95" t="s">
        <v>1802</v>
      </c>
      <c r="E1917" s="145">
        <v>425.04</v>
      </c>
      <c r="F1917" s="145">
        <v>0</v>
      </c>
      <c r="G1917" s="145">
        <v>0</v>
      </c>
      <c r="H1917" s="145">
        <v>0</v>
      </c>
      <c r="I1917" s="77">
        <f t="shared" si="32"/>
        <v>425.04</v>
      </c>
      <c r="J1917" s="123" t="str">
        <f>IFERROR(VLOOKUP($C1917,'CEDARS School FRPL'!C:H,4,FALSE),"No")</f>
        <v>Yes</v>
      </c>
      <c r="K1917" s="109"/>
      <c r="L1917" s="109"/>
      <c r="M1917" s="110">
        <f>IFERROR(VLOOKUP($C1917,'CEDARS School FRPL'!C:H,3,FALSE),0)</f>
        <v>0.64976666666666671</v>
      </c>
      <c r="N1917" s="123" t="str">
        <f>IFERROR(VLOOKUP(C1917,'CEDARS School FRPL'!C:H,6,FALSE),"No")</f>
        <v>No</v>
      </c>
      <c r="O1917" s="147"/>
      <c r="P1917" s="148"/>
    </row>
    <row r="1918" spans="1:16">
      <c r="A1918" s="95" t="s">
        <v>2486</v>
      </c>
      <c r="B1918" s="95" t="s">
        <v>1773</v>
      </c>
      <c r="C1918" s="4">
        <v>3189</v>
      </c>
      <c r="D1918" s="95" t="s">
        <v>1803</v>
      </c>
      <c r="E1918" s="145">
        <v>1103.3699999999999</v>
      </c>
      <c r="F1918" s="145">
        <v>76.790000000000006</v>
      </c>
      <c r="G1918" s="145">
        <v>0</v>
      </c>
      <c r="H1918" s="145">
        <v>0</v>
      </c>
      <c r="I1918" s="77">
        <f t="shared" si="32"/>
        <v>1180.1599999999999</v>
      </c>
      <c r="J1918" s="123" t="str">
        <f>IFERROR(VLOOKUP($C1918,'CEDARS School FRPL'!C:H,4,FALSE),"No")</f>
        <v>Yes</v>
      </c>
      <c r="K1918" s="109"/>
      <c r="L1918" s="109"/>
      <c r="M1918" s="110">
        <f>IFERROR(VLOOKUP($C1918,'CEDARS School FRPL'!C:H,3,FALSE),0)</f>
        <v>0.52869999999999995</v>
      </c>
      <c r="N1918" s="123" t="str">
        <f>IFERROR(VLOOKUP(C1918,'CEDARS School FRPL'!C:H,6,FALSE),"No")</f>
        <v>No</v>
      </c>
      <c r="O1918" s="147"/>
      <c r="P1918" s="148"/>
    </row>
    <row r="1919" spans="1:16">
      <c r="A1919" s="95" t="s">
        <v>2486</v>
      </c>
      <c r="B1919" s="95" t="s">
        <v>1773</v>
      </c>
      <c r="C1919" s="4">
        <v>3190</v>
      </c>
      <c r="D1919" s="95" t="s">
        <v>1804</v>
      </c>
      <c r="E1919" s="145">
        <v>439.29</v>
      </c>
      <c r="F1919" s="145">
        <v>0</v>
      </c>
      <c r="G1919" s="145">
        <v>0</v>
      </c>
      <c r="H1919" s="145">
        <v>0</v>
      </c>
      <c r="I1919" s="77">
        <f t="shared" si="32"/>
        <v>439.29</v>
      </c>
      <c r="J1919" s="123" t="str">
        <f>IFERROR(VLOOKUP($C1919,'CEDARS School FRPL'!C:H,4,FALSE),"No")</f>
        <v>Yes</v>
      </c>
      <c r="K1919" s="109"/>
      <c r="L1919" s="109"/>
      <c r="M1919" s="110">
        <f>IFERROR(VLOOKUP($C1919,'CEDARS School FRPL'!C:H,3,FALSE),0)</f>
        <v>0.73050000000000004</v>
      </c>
      <c r="N1919" s="123" t="str">
        <f>IFERROR(VLOOKUP(C1919,'CEDARS School FRPL'!C:H,6,FALSE),"No")</f>
        <v>No</v>
      </c>
      <c r="O1919" s="147"/>
      <c r="P1919" s="148"/>
    </row>
    <row r="1920" spans="1:16">
      <c r="A1920" s="95" t="s">
        <v>2486</v>
      </c>
      <c r="B1920" s="95" t="s">
        <v>1773</v>
      </c>
      <c r="C1920" s="4">
        <v>3257</v>
      </c>
      <c r="D1920" s="95" t="s">
        <v>1805</v>
      </c>
      <c r="E1920" s="145">
        <v>529.05999999999995</v>
      </c>
      <c r="F1920" s="145">
        <v>0</v>
      </c>
      <c r="G1920" s="145">
        <v>0</v>
      </c>
      <c r="H1920" s="145">
        <v>0</v>
      </c>
      <c r="I1920" s="77">
        <f t="shared" si="32"/>
        <v>529.05999999999995</v>
      </c>
      <c r="J1920" s="123" t="str">
        <f>IFERROR(VLOOKUP($C1920,'CEDARS School FRPL'!C:H,4,FALSE),"No")</f>
        <v>Yes</v>
      </c>
      <c r="K1920" s="109"/>
      <c r="L1920" s="109"/>
      <c r="M1920" s="110">
        <f>IFERROR(VLOOKUP($C1920,'CEDARS School FRPL'!C:H,3,FALSE),0)</f>
        <v>0.85293333333333343</v>
      </c>
      <c r="N1920" s="123" t="str">
        <f>IFERROR(VLOOKUP(C1920,'CEDARS School FRPL'!C:H,6,FALSE),"No")</f>
        <v>No</v>
      </c>
      <c r="O1920" s="147"/>
      <c r="P1920" s="148"/>
    </row>
    <row r="1921" spans="1:16">
      <c r="A1921" s="95" t="s">
        <v>2486</v>
      </c>
      <c r="B1921" s="95" t="s">
        <v>1773</v>
      </c>
      <c r="C1921" s="4">
        <v>3258</v>
      </c>
      <c r="D1921" s="95" t="s">
        <v>1806</v>
      </c>
      <c r="E1921" s="145">
        <v>553.94000000000005</v>
      </c>
      <c r="F1921" s="145">
        <v>0</v>
      </c>
      <c r="G1921" s="145">
        <v>0</v>
      </c>
      <c r="H1921" s="145">
        <v>0</v>
      </c>
      <c r="I1921" s="77">
        <f t="shared" si="32"/>
        <v>553.94000000000005</v>
      </c>
      <c r="J1921" s="123" t="str">
        <f>IFERROR(VLOOKUP($C1921,'CEDARS School FRPL'!C:H,4,FALSE),"No")</f>
        <v>Yes</v>
      </c>
      <c r="K1921" s="109"/>
      <c r="L1921" s="109"/>
      <c r="M1921" s="110">
        <f>IFERROR(VLOOKUP($C1921,'CEDARS School FRPL'!C:H,3,FALSE),0)</f>
        <v>0.7641</v>
      </c>
      <c r="N1921" s="123" t="str">
        <f>IFERROR(VLOOKUP(C1921,'CEDARS School FRPL'!C:H,6,FALSE),"No")</f>
        <v>No</v>
      </c>
      <c r="O1921" s="147"/>
      <c r="P1921" s="148"/>
    </row>
    <row r="1922" spans="1:16">
      <c r="A1922" s="95" t="s">
        <v>2486</v>
      </c>
      <c r="B1922" s="95" t="s">
        <v>1773</v>
      </c>
      <c r="C1922" s="4">
        <v>3356</v>
      </c>
      <c r="D1922" s="95" t="s">
        <v>666</v>
      </c>
      <c r="E1922" s="145">
        <v>776.73</v>
      </c>
      <c r="F1922" s="145">
        <v>0</v>
      </c>
      <c r="G1922" s="145">
        <v>0</v>
      </c>
      <c r="H1922" s="145">
        <v>0</v>
      </c>
      <c r="I1922" s="77">
        <f t="shared" si="32"/>
        <v>776.73</v>
      </c>
      <c r="J1922" s="123" t="str">
        <f>IFERROR(VLOOKUP($C1922,'CEDARS School FRPL'!C:H,4,FALSE),"No")</f>
        <v>No</v>
      </c>
      <c r="K1922" s="109"/>
      <c r="L1922" s="109"/>
      <c r="M1922" s="110">
        <f>IFERROR(VLOOKUP($C1922,'CEDARS School FRPL'!C:H,3,FALSE),0)</f>
        <v>0.35660000000000003</v>
      </c>
      <c r="N1922" s="123" t="str">
        <f>IFERROR(VLOOKUP(C1922,'CEDARS School FRPL'!C:H,6,FALSE),"No")</f>
        <v>No</v>
      </c>
      <c r="O1922" s="147"/>
      <c r="P1922" s="148"/>
    </row>
    <row r="1923" spans="1:16">
      <c r="A1923" s="95" t="s">
        <v>2486</v>
      </c>
      <c r="B1923" s="95" t="s">
        <v>1773</v>
      </c>
      <c r="C1923" s="4">
        <v>3357</v>
      </c>
      <c r="D1923" s="95" t="s">
        <v>1807</v>
      </c>
      <c r="E1923" s="145">
        <v>310.22000000000003</v>
      </c>
      <c r="F1923" s="145">
        <v>0</v>
      </c>
      <c r="G1923" s="145">
        <v>0</v>
      </c>
      <c r="H1923" s="145">
        <v>0</v>
      </c>
      <c r="I1923" s="77">
        <f t="shared" si="32"/>
        <v>310.22000000000003</v>
      </c>
      <c r="J1923" s="123" t="str">
        <f>IFERROR(VLOOKUP($C1923,'CEDARS School FRPL'!C:H,4,FALSE),"No")</f>
        <v>No</v>
      </c>
      <c r="K1923" s="109"/>
      <c r="L1923" s="109"/>
      <c r="M1923" s="110">
        <f>IFERROR(VLOOKUP($C1923,'CEDARS School FRPL'!C:H,3,FALSE),0)</f>
        <v>0.42626666666666663</v>
      </c>
      <c r="N1923" s="123" t="str">
        <f>IFERROR(VLOOKUP(C1923,'CEDARS School FRPL'!C:H,6,FALSE),"No")</f>
        <v>No</v>
      </c>
      <c r="O1923" s="147"/>
      <c r="P1923" s="148"/>
    </row>
    <row r="1924" spans="1:16">
      <c r="A1924" s="95" t="s">
        <v>2486</v>
      </c>
      <c r="B1924" s="95" t="s">
        <v>1773</v>
      </c>
      <c r="C1924" s="4">
        <v>3412</v>
      </c>
      <c r="D1924" s="95" t="s">
        <v>1808</v>
      </c>
      <c r="E1924" s="145">
        <v>1534.89</v>
      </c>
      <c r="F1924" s="145">
        <v>79.59</v>
      </c>
      <c r="G1924" s="145">
        <v>0</v>
      </c>
      <c r="H1924" s="145">
        <v>0</v>
      </c>
      <c r="I1924" s="77">
        <f t="shared" ref="I1924:I1987" si="33">+E1924+F1924+G1924+H1924</f>
        <v>1614.48</v>
      </c>
      <c r="J1924" s="123" t="str">
        <f>IFERROR(VLOOKUP($C1924,'CEDARS School FRPL'!C:H,4,FALSE),"No")</f>
        <v>No</v>
      </c>
      <c r="K1924" s="109"/>
      <c r="L1924" s="109"/>
      <c r="M1924" s="110">
        <f>IFERROR(VLOOKUP($C1924,'CEDARS School FRPL'!C:H,3,FALSE),0)</f>
        <v>0.42723333333333335</v>
      </c>
      <c r="N1924" s="123" t="str">
        <f>IFERROR(VLOOKUP(C1924,'CEDARS School FRPL'!C:H,6,FALSE),"No")</f>
        <v>No</v>
      </c>
      <c r="O1924" s="147"/>
      <c r="P1924" s="148"/>
    </row>
    <row r="1925" spans="1:16">
      <c r="A1925" s="95" t="s">
        <v>2486</v>
      </c>
      <c r="B1925" s="95" t="s">
        <v>1773</v>
      </c>
      <c r="C1925" s="4">
        <v>3413</v>
      </c>
      <c r="D1925" s="95" t="s">
        <v>1809</v>
      </c>
      <c r="E1925" s="145">
        <v>705.42</v>
      </c>
      <c r="F1925" s="145">
        <v>0</v>
      </c>
      <c r="G1925" s="145">
        <v>0</v>
      </c>
      <c r="H1925" s="145">
        <v>0</v>
      </c>
      <c r="I1925" s="77">
        <f t="shared" si="33"/>
        <v>705.42</v>
      </c>
      <c r="J1925" s="123" t="str">
        <f>IFERROR(VLOOKUP($C1925,'CEDARS School FRPL'!C:H,4,FALSE),"No")</f>
        <v>Yes</v>
      </c>
      <c r="K1925" s="109"/>
      <c r="L1925" s="109"/>
      <c r="M1925" s="110">
        <f>IFERROR(VLOOKUP($C1925,'CEDARS School FRPL'!C:H,3,FALSE),0)</f>
        <v>0.53706666666666669</v>
      </c>
      <c r="N1925" s="123" t="str">
        <f>IFERROR(VLOOKUP(C1925,'CEDARS School FRPL'!C:H,6,FALSE),"No")</f>
        <v>No</v>
      </c>
      <c r="O1925" s="147"/>
      <c r="P1925" s="148"/>
    </row>
    <row r="1926" spans="1:16">
      <c r="A1926" s="95" t="s">
        <v>2486</v>
      </c>
      <c r="B1926" s="95" t="s">
        <v>1773</v>
      </c>
      <c r="C1926" s="4">
        <v>3506</v>
      </c>
      <c r="D1926" s="95" t="s">
        <v>1810</v>
      </c>
      <c r="E1926" s="145">
        <v>278.14</v>
      </c>
      <c r="F1926" s="145">
        <v>0</v>
      </c>
      <c r="G1926" s="145">
        <v>0</v>
      </c>
      <c r="H1926" s="145">
        <v>0</v>
      </c>
      <c r="I1926" s="77">
        <f t="shared" si="33"/>
        <v>278.14</v>
      </c>
      <c r="J1926" s="123" t="str">
        <f>IFERROR(VLOOKUP($C1926,'CEDARS School FRPL'!C:H,4,FALSE),"No")</f>
        <v>No</v>
      </c>
      <c r="K1926" s="109"/>
      <c r="L1926" s="109"/>
      <c r="M1926" s="110">
        <f>IFERROR(VLOOKUP($C1926,'CEDARS School FRPL'!C:H,3,FALSE),0)</f>
        <v>0.3658333333333334</v>
      </c>
      <c r="N1926" s="123" t="str">
        <f>IFERROR(VLOOKUP(C1926,'CEDARS School FRPL'!C:H,6,FALSE),"No")</f>
        <v>No</v>
      </c>
      <c r="O1926" s="147"/>
      <c r="P1926" s="148"/>
    </row>
    <row r="1927" spans="1:16">
      <c r="A1927" s="95" t="s">
        <v>2486</v>
      </c>
      <c r="B1927" s="95" t="s">
        <v>1773</v>
      </c>
      <c r="C1927" s="4">
        <v>3718</v>
      </c>
      <c r="D1927" s="95" t="s">
        <v>373</v>
      </c>
      <c r="E1927" s="145">
        <v>466.71</v>
      </c>
      <c r="F1927" s="145">
        <v>0</v>
      </c>
      <c r="G1927" s="145">
        <v>0</v>
      </c>
      <c r="H1927" s="145">
        <v>0</v>
      </c>
      <c r="I1927" s="77">
        <f t="shared" si="33"/>
        <v>466.71</v>
      </c>
      <c r="J1927" s="123" t="str">
        <f>IFERROR(VLOOKUP($C1927,'CEDARS School FRPL'!C:H,4,FALSE),"No")</f>
        <v>Yes</v>
      </c>
      <c r="K1927" s="109"/>
      <c r="L1927" s="109"/>
      <c r="M1927" s="110">
        <f>IFERROR(VLOOKUP($C1927,'CEDARS School FRPL'!C:H,3,FALSE),0)</f>
        <v>0.84249999999999992</v>
      </c>
      <c r="N1927" s="123" t="str">
        <f>IFERROR(VLOOKUP(C1927,'CEDARS School FRPL'!C:H,6,FALSE),"No")</f>
        <v>No</v>
      </c>
      <c r="O1927" s="147"/>
      <c r="P1927" s="148"/>
    </row>
    <row r="1928" spans="1:16">
      <c r="A1928" s="95" t="s">
        <v>2486</v>
      </c>
      <c r="B1928" s="95" t="s">
        <v>1773</v>
      </c>
      <c r="C1928" s="4">
        <v>3719</v>
      </c>
      <c r="D1928" s="95" t="s">
        <v>1811</v>
      </c>
      <c r="E1928" s="145">
        <v>278.62</v>
      </c>
      <c r="F1928" s="145">
        <v>0</v>
      </c>
      <c r="G1928" s="145">
        <v>0</v>
      </c>
      <c r="H1928" s="145">
        <v>0</v>
      </c>
      <c r="I1928" s="77">
        <f t="shared" si="33"/>
        <v>278.62</v>
      </c>
      <c r="J1928" s="123" t="str">
        <f>IFERROR(VLOOKUP($C1928,'CEDARS School FRPL'!C:H,4,FALSE),"No")</f>
        <v>Yes</v>
      </c>
      <c r="K1928" s="109"/>
      <c r="L1928" s="109"/>
      <c r="M1928" s="110">
        <f>IFERROR(VLOOKUP($C1928,'CEDARS School FRPL'!C:H,3,FALSE),0)</f>
        <v>0.9075333333333333</v>
      </c>
      <c r="N1928" s="123" t="str">
        <f>IFERROR(VLOOKUP(C1928,'CEDARS School FRPL'!C:H,6,FALSE),"No")</f>
        <v>No</v>
      </c>
      <c r="O1928" s="147"/>
      <c r="P1928" s="148"/>
    </row>
    <row r="1929" spans="1:16">
      <c r="A1929" s="95" t="s">
        <v>2486</v>
      </c>
      <c r="B1929" s="95" t="s">
        <v>1773</v>
      </c>
      <c r="C1929" s="4">
        <v>3727</v>
      </c>
      <c r="D1929" s="95" t="s">
        <v>1812</v>
      </c>
      <c r="E1929" s="145">
        <v>386</v>
      </c>
      <c r="F1929" s="145">
        <v>0</v>
      </c>
      <c r="G1929" s="145">
        <v>0</v>
      </c>
      <c r="H1929" s="145">
        <v>0</v>
      </c>
      <c r="I1929" s="77">
        <f t="shared" si="33"/>
        <v>386</v>
      </c>
      <c r="J1929" s="123" t="str">
        <f>IFERROR(VLOOKUP($C1929,'CEDARS School FRPL'!C:H,4,FALSE),"No")</f>
        <v>Yes</v>
      </c>
      <c r="K1929" s="109"/>
      <c r="L1929" s="109"/>
      <c r="M1929" s="110">
        <f>IFERROR(VLOOKUP($C1929,'CEDARS School FRPL'!C:H,3,FALSE),0)</f>
        <v>0.72710000000000008</v>
      </c>
      <c r="N1929" s="123" t="str">
        <f>IFERROR(VLOOKUP(C1929,'CEDARS School FRPL'!C:H,6,FALSE),"No")</f>
        <v>No</v>
      </c>
      <c r="O1929" s="147"/>
      <c r="P1929" s="148"/>
    </row>
    <row r="1930" spans="1:16">
      <c r="A1930" s="95" t="s">
        <v>2486</v>
      </c>
      <c r="B1930" s="95" t="s">
        <v>1773</v>
      </c>
      <c r="C1930" s="4">
        <v>3729</v>
      </c>
      <c r="D1930" s="95" t="s">
        <v>456</v>
      </c>
      <c r="E1930" s="145">
        <v>306.57</v>
      </c>
      <c r="F1930" s="145">
        <v>0</v>
      </c>
      <c r="G1930" s="145">
        <v>0</v>
      </c>
      <c r="H1930" s="145">
        <v>0</v>
      </c>
      <c r="I1930" s="77">
        <f t="shared" si="33"/>
        <v>306.57</v>
      </c>
      <c r="J1930" s="123" t="str">
        <f>IFERROR(VLOOKUP($C1930,'CEDARS School FRPL'!C:H,4,FALSE),"No")</f>
        <v>Yes</v>
      </c>
      <c r="K1930" s="109"/>
      <c r="L1930" s="109"/>
      <c r="M1930" s="110">
        <f>IFERROR(VLOOKUP($C1930,'CEDARS School FRPL'!C:H,3,FALSE),0)</f>
        <v>0.87709999999999999</v>
      </c>
      <c r="N1930" s="123" t="str">
        <f>IFERROR(VLOOKUP(C1930,'CEDARS School FRPL'!C:H,6,FALSE),"No")</f>
        <v>No</v>
      </c>
      <c r="O1930" s="147"/>
      <c r="P1930" s="148"/>
    </row>
    <row r="1931" spans="1:16">
      <c r="A1931" s="95" t="s">
        <v>2486</v>
      </c>
      <c r="B1931" s="95" t="s">
        <v>1773</v>
      </c>
      <c r="C1931" s="4">
        <v>3758</v>
      </c>
      <c r="D1931" s="95" t="s">
        <v>1813</v>
      </c>
      <c r="E1931" s="145">
        <v>617.47</v>
      </c>
      <c r="F1931" s="145">
        <v>0</v>
      </c>
      <c r="G1931" s="145">
        <v>0</v>
      </c>
      <c r="H1931" s="145">
        <v>0</v>
      </c>
      <c r="I1931" s="77">
        <f t="shared" si="33"/>
        <v>617.47</v>
      </c>
      <c r="J1931" s="123" t="str">
        <f>IFERROR(VLOOKUP($C1931,'CEDARS School FRPL'!C:H,4,FALSE),"No")</f>
        <v>Yes</v>
      </c>
      <c r="K1931" s="109"/>
      <c r="L1931" s="109"/>
      <c r="M1931" s="110">
        <f>IFERROR(VLOOKUP($C1931,'CEDARS School FRPL'!C:H,3,FALSE),0)</f>
        <v>0.86286666666666667</v>
      </c>
      <c r="N1931" s="123" t="str">
        <f>IFERROR(VLOOKUP(C1931,'CEDARS School FRPL'!C:H,6,FALSE),"No")</f>
        <v>No</v>
      </c>
      <c r="O1931" s="147"/>
      <c r="P1931" s="148"/>
    </row>
    <row r="1932" spans="1:16">
      <c r="A1932" s="95" t="s">
        <v>2486</v>
      </c>
      <c r="B1932" s="95" t="s">
        <v>1773</v>
      </c>
      <c r="C1932" s="4">
        <v>4035</v>
      </c>
      <c r="D1932" s="95" t="s">
        <v>1814</v>
      </c>
      <c r="E1932" s="145">
        <v>605.65</v>
      </c>
      <c r="F1932" s="145">
        <v>0</v>
      </c>
      <c r="G1932" s="145">
        <v>0</v>
      </c>
      <c r="H1932" s="145">
        <v>0</v>
      </c>
      <c r="I1932" s="77">
        <f t="shared" si="33"/>
        <v>605.65</v>
      </c>
      <c r="J1932" s="123" t="str">
        <f>IFERROR(VLOOKUP($C1932,'CEDARS School FRPL'!C:H,4,FALSE),"No")</f>
        <v>No</v>
      </c>
      <c r="K1932" s="109"/>
      <c r="L1932" s="109"/>
      <c r="M1932" s="110">
        <f>IFERROR(VLOOKUP($C1932,'CEDARS School FRPL'!C:H,3,FALSE),0)</f>
        <v>0.34243333333333337</v>
      </c>
      <c r="N1932" s="123" t="str">
        <f>IFERROR(VLOOKUP(C1932,'CEDARS School FRPL'!C:H,6,FALSE),"No")</f>
        <v>No</v>
      </c>
      <c r="O1932" s="147"/>
      <c r="P1932" s="148"/>
    </row>
    <row r="1933" spans="1:16">
      <c r="A1933" s="95" t="s">
        <v>2486</v>
      </c>
      <c r="B1933" s="95" t="s">
        <v>1773</v>
      </c>
      <c r="C1933" s="4">
        <v>4191</v>
      </c>
      <c r="D1933" s="95" t="s">
        <v>2792</v>
      </c>
      <c r="E1933" s="145">
        <v>376.13</v>
      </c>
      <c r="F1933" s="145">
        <v>0</v>
      </c>
      <c r="G1933" s="145">
        <v>0</v>
      </c>
      <c r="H1933" s="145">
        <v>0</v>
      </c>
      <c r="I1933" s="77">
        <f t="shared" si="33"/>
        <v>376.13</v>
      </c>
      <c r="J1933" s="123" t="str">
        <f>IFERROR(VLOOKUP($C1933,'CEDARS School FRPL'!C:H,4,FALSE),"No")</f>
        <v>No</v>
      </c>
      <c r="K1933" s="109"/>
      <c r="L1933" s="109"/>
      <c r="M1933" s="110">
        <f>IFERROR(VLOOKUP($C1933,'CEDARS School FRPL'!C:H,3,FALSE),0)</f>
        <v>0.21209999999999998</v>
      </c>
      <c r="N1933" s="123" t="str">
        <f>IFERROR(VLOOKUP(C1933,'CEDARS School FRPL'!C:H,6,FALSE),"No")</f>
        <v>No</v>
      </c>
      <c r="O1933" s="147"/>
      <c r="P1933" s="148"/>
    </row>
    <row r="1934" spans="1:16">
      <c r="A1934" s="95" t="s">
        <v>2486</v>
      </c>
      <c r="B1934" s="95" t="s">
        <v>1773</v>
      </c>
      <c r="C1934" s="4">
        <v>4192</v>
      </c>
      <c r="D1934" s="95" t="s">
        <v>769</v>
      </c>
      <c r="E1934" s="145">
        <v>401.45</v>
      </c>
      <c r="F1934" s="145">
        <v>0</v>
      </c>
      <c r="G1934" s="145">
        <v>0</v>
      </c>
      <c r="H1934" s="145">
        <v>0</v>
      </c>
      <c r="I1934" s="77">
        <f t="shared" si="33"/>
        <v>401.45</v>
      </c>
      <c r="J1934" s="123" t="str">
        <f>IFERROR(VLOOKUP($C1934,'CEDARS School FRPL'!C:H,4,FALSE),"No")</f>
        <v>No</v>
      </c>
      <c r="K1934" s="109"/>
      <c r="L1934" s="109"/>
      <c r="M1934" s="110">
        <f>IFERROR(VLOOKUP($C1934,'CEDARS School FRPL'!C:H,3,FALSE),0)</f>
        <v>0.31513333333333332</v>
      </c>
      <c r="N1934" s="123" t="str">
        <f>IFERROR(VLOOKUP(C1934,'CEDARS School FRPL'!C:H,6,FALSE),"No")</f>
        <v>No</v>
      </c>
      <c r="O1934" s="147"/>
      <c r="P1934" s="148"/>
    </row>
    <row r="1935" spans="1:16">
      <c r="A1935" s="95" t="s">
        <v>2486</v>
      </c>
      <c r="B1935" s="95" t="s">
        <v>1773</v>
      </c>
      <c r="C1935" s="4">
        <v>4389</v>
      </c>
      <c r="D1935" s="95" t="s">
        <v>1816</v>
      </c>
      <c r="E1935" s="145">
        <v>455.49</v>
      </c>
      <c r="F1935" s="145">
        <v>0</v>
      </c>
      <c r="G1935" s="145">
        <v>0</v>
      </c>
      <c r="H1935" s="145">
        <v>0</v>
      </c>
      <c r="I1935" s="77">
        <f t="shared" si="33"/>
        <v>455.49</v>
      </c>
      <c r="J1935" s="123" t="str">
        <f>IFERROR(VLOOKUP($C1935,'CEDARS School FRPL'!C:H,4,FALSE),"No")</f>
        <v>No</v>
      </c>
      <c r="K1935" s="109"/>
      <c r="L1935" s="109"/>
      <c r="M1935" s="110">
        <f>IFERROR(VLOOKUP($C1935,'CEDARS School FRPL'!C:H,3,FALSE),0)</f>
        <v>0.25973333333333332</v>
      </c>
      <c r="N1935" s="123" t="str">
        <f>IFERROR(VLOOKUP(C1935,'CEDARS School FRPL'!C:H,6,FALSE),"No")</f>
        <v>No</v>
      </c>
      <c r="O1935" s="147"/>
      <c r="P1935" s="148"/>
    </row>
    <row r="1936" spans="1:16">
      <c r="A1936" s="95" t="s">
        <v>2486</v>
      </c>
      <c r="B1936" s="95" t="s">
        <v>1773</v>
      </c>
      <c r="C1936" s="4">
        <v>4457</v>
      </c>
      <c r="D1936" s="95" t="s">
        <v>1817</v>
      </c>
      <c r="E1936" s="145">
        <v>682.83</v>
      </c>
      <c r="F1936" s="145">
        <v>0</v>
      </c>
      <c r="G1936" s="145">
        <v>0</v>
      </c>
      <c r="H1936" s="145">
        <v>0</v>
      </c>
      <c r="I1936" s="77">
        <f t="shared" si="33"/>
        <v>682.83</v>
      </c>
      <c r="J1936" s="123" t="str">
        <f>IFERROR(VLOOKUP($C1936,'CEDARS School FRPL'!C:H,4,FALSE),"No")</f>
        <v>Yes</v>
      </c>
      <c r="K1936" s="109"/>
      <c r="L1936" s="109"/>
      <c r="M1936" s="110">
        <f>IFERROR(VLOOKUP($C1936,'CEDARS School FRPL'!C:H,3,FALSE),0)</f>
        <v>0.53666666666666663</v>
      </c>
      <c r="N1936" s="123" t="str">
        <f>IFERROR(VLOOKUP(C1936,'CEDARS School FRPL'!C:H,6,FALSE),"No")</f>
        <v>No</v>
      </c>
      <c r="O1936" s="147"/>
      <c r="P1936" s="148"/>
    </row>
    <row r="1937" spans="1:16">
      <c r="A1937" s="95" t="s">
        <v>2486</v>
      </c>
      <c r="B1937" s="95" t="s">
        <v>1773</v>
      </c>
      <c r="C1937" s="4">
        <v>5250</v>
      </c>
      <c r="D1937" s="95" t="s">
        <v>1818</v>
      </c>
      <c r="E1937" s="145">
        <v>306.51</v>
      </c>
      <c r="F1937" s="145">
        <v>6.11</v>
      </c>
      <c r="G1937" s="145">
        <v>0</v>
      </c>
      <c r="H1937" s="145">
        <v>0</v>
      </c>
      <c r="I1937" s="77">
        <f t="shared" si="33"/>
        <v>312.62</v>
      </c>
      <c r="J1937" s="123" t="str">
        <f>IFERROR(VLOOKUP($C1937,'CEDARS School FRPL'!C:H,4,FALSE),"No")</f>
        <v>Yes</v>
      </c>
      <c r="K1937" s="109"/>
      <c r="L1937" s="109"/>
      <c r="M1937" s="110">
        <f>IFERROR(VLOOKUP($C1937,'CEDARS School FRPL'!C:H,3,FALSE),0)</f>
        <v>0.70816666666666672</v>
      </c>
      <c r="N1937" s="123" t="str">
        <f>IFERROR(VLOOKUP(C1937,'CEDARS School FRPL'!C:H,6,FALSE),"No")</f>
        <v>No</v>
      </c>
      <c r="O1937" s="147"/>
      <c r="P1937" s="148"/>
    </row>
    <row r="1938" spans="1:16">
      <c r="A1938" s="95" t="s">
        <v>2486</v>
      </c>
      <c r="B1938" s="95" t="s">
        <v>1773</v>
      </c>
      <c r="C1938" s="4">
        <v>5301</v>
      </c>
      <c r="D1938" s="95" t="s">
        <v>1819</v>
      </c>
      <c r="E1938" s="145">
        <v>155.35</v>
      </c>
      <c r="F1938" s="145">
        <v>6.66</v>
      </c>
      <c r="G1938" s="145">
        <v>0</v>
      </c>
      <c r="H1938" s="145">
        <v>0</v>
      </c>
      <c r="I1938" s="77">
        <f t="shared" si="33"/>
        <v>162.01</v>
      </c>
      <c r="J1938" s="123" t="str">
        <f>IFERROR(VLOOKUP($C1938,'CEDARS School FRPL'!C:H,4,FALSE),"No")</f>
        <v>No</v>
      </c>
      <c r="K1938" s="109"/>
      <c r="L1938" s="109"/>
      <c r="M1938" s="110">
        <f>IFERROR(VLOOKUP($C1938,'CEDARS School FRPL'!C:H,3,FALSE),0)</f>
        <v>0.44663333333333338</v>
      </c>
      <c r="N1938" s="123" t="str">
        <f>IFERROR(VLOOKUP(C1938,'CEDARS School FRPL'!C:H,6,FALSE),"No")</f>
        <v>No</v>
      </c>
      <c r="O1938" s="147"/>
      <c r="P1938" s="148"/>
    </row>
    <row r="1939" spans="1:16">
      <c r="A1939" s="95" t="s">
        <v>2486</v>
      </c>
      <c r="B1939" s="95" t="s">
        <v>1773</v>
      </c>
      <c r="C1939" s="4">
        <v>5344</v>
      </c>
      <c r="D1939" s="95" t="s">
        <v>1820</v>
      </c>
      <c r="E1939" s="145">
        <v>0</v>
      </c>
      <c r="F1939" s="145">
        <v>0</v>
      </c>
      <c r="G1939" s="145">
        <v>91.79</v>
      </c>
      <c r="H1939" s="145">
        <v>0</v>
      </c>
      <c r="I1939" s="77">
        <f t="shared" si="33"/>
        <v>91.79</v>
      </c>
      <c r="J1939" s="123" t="str">
        <f>IFERROR(VLOOKUP($C1939,'CEDARS School FRPL'!C:H,4,FALSE),"No")</f>
        <v>Yes</v>
      </c>
      <c r="K1939" s="109"/>
      <c r="L1939" s="109"/>
      <c r="M1939" s="110">
        <f>IFERROR(VLOOKUP($C1939,'CEDARS School FRPL'!C:H,3,FALSE),0)</f>
        <v>0.58306666666666673</v>
      </c>
      <c r="N1939" s="123" t="str">
        <f>IFERROR(VLOOKUP(C1939,'CEDARS School FRPL'!C:H,6,FALSE),"No")</f>
        <v>No</v>
      </c>
      <c r="O1939" s="147"/>
      <c r="P1939" s="148"/>
    </row>
    <row r="1940" spans="1:16">
      <c r="A1940" s="95" t="s">
        <v>2486</v>
      </c>
      <c r="B1940" s="95" t="s">
        <v>1773</v>
      </c>
      <c r="C1940" s="4">
        <v>5361</v>
      </c>
      <c r="D1940" s="95" t="s">
        <v>1821</v>
      </c>
      <c r="E1940" s="145">
        <v>378.57</v>
      </c>
      <c r="F1940" s="145">
        <v>0</v>
      </c>
      <c r="G1940" s="145">
        <v>0</v>
      </c>
      <c r="H1940" s="145">
        <v>0</v>
      </c>
      <c r="I1940" s="77">
        <f t="shared" si="33"/>
        <v>378.57</v>
      </c>
      <c r="J1940" s="123" t="str">
        <f>IFERROR(VLOOKUP($C1940,'CEDARS School FRPL'!C:H,4,FALSE),"No")</f>
        <v>No</v>
      </c>
      <c r="K1940" s="109"/>
      <c r="L1940" s="109"/>
      <c r="M1940" s="110">
        <f>IFERROR(VLOOKUP($C1940,'CEDARS School FRPL'!C:H,3,FALSE),0)</f>
        <v>0.24783333333333335</v>
      </c>
      <c r="N1940" s="123" t="str">
        <f>IFERROR(VLOOKUP(C1940,'CEDARS School FRPL'!C:H,6,FALSE),"No")</f>
        <v>No</v>
      </c>
      <c r="O1940" s="147"/>
      <c r="P1940" s="148"/>
    </row>
    <row r="1941" spans="1:16">
      <c r="A1941" s="95" t="s">
        <v>2486</v>
      </c>
      <c r="B1941" s="95" t="s">
        <v>1773</v>
      </c>
      <c r="C1941" s="4">
        <v>5694</v>
      </c>
      <c r="D1941" s="95" t="s">
        <v>3048</v>
      </c>
      <c r="E1941" s="145">
        <v>260.86</v>
      </c>
      <c r="F1941" s="145">
        <v>0</v>
      </c>
      <c r="G1941" s="145">
        <v>0</v>
      </c>
      <c r="H1941" s="145">
        <v>0</v>
      </c>
      <c r="I1941" s="77">
        <f t="shared" si="33"/>
        <v>260.86</v>
      </c>
      <c r="J1941" s="123" t="str">
        <f>IFERROR(VLOOKUP($C1941,'CEDARS School FRPL'!C:H,4,FALSE),"No")</f>
        <v>Yes</v>
      </c>
      <c r="K1941" s="109"/>
      <c r="L1941" s="109"/>
      <c r="M1941" s="110">
        <f>IFERROR(VLOOKUP($C1941,'CEDARS School FRPL'!C:H,3,FALSE),0)</f>
        <v>0.66549999999999998</v>
      </c>
      <c r="N1941" s="123" t="str">
        <f>IFERROR(VLOOKUP(C1941,'CEDARS School FRPL'!C:H,6,FALSE),"No")</f>
        <v>No</v>
      </c>
      <c r="O1941" s="147"/>
      <c r="P1941" s="148"/>
    </row>
    <row r="1942" spans="1:16">
      <c r="A1942" s="95" t="s">
        <v>2501</v>
      </c>
      <c r="B1942" s="95" t="s">
        <v>1921</v>
      </c>
      <c r="C1942" s="4">
        <v>5381</v>
      </c>
      <c r="D1942" s="95" t="s">
        <v>1921</v>
      </c>
      <c r="E1942" s="145">
        <v>677.85</v>
      </c>
      <c r="F1942" s="145">
        <v>0</v>
      </c>
      <c r="G1942" s="145">
        <v>0</v>
      </c>
      <c r="H1942" s="145">
        <v>0</v>
      </c>
      <c r="I1942" s="77">
        <f t="shared" si="33"/>
        <v>677.85</v>
      </c>
      <c r="J1942" s="123" t="str">
        <f>IFERROR(VLOOKUP($C1942,'CEDARS School FRPL'!C:H,4,FALSE),"No")</f>
        <v>No</v>
      </c>
      <c r="K1942" s="109"/>
      <c r="L1942" s="109"/>
      <c r="M1942" s="110">
        <f>IFERROR(VLOOKUP($C1942,'CEDARS School FRPL'!C:H,3,FALSE),0)</f>
        <v>0.47473333333333328</v>
      </c>
      <c r="N1942" s="123" t="str">
        <f>IFERROR(VLOOKUP(C1942,'CEDARS School FRPL'!C:H,6,FALSE),"No")</f>
        <v>No</v>
      </c>
      <c r="O1942" s="147"/>
      <c r="P1942" s="148"/>
    </row>
    <row r="1943" spans="1:16">
      <c r="A1943" s="95" t="s">
        <v>2406</v>
      </c>
      <c r="B1943" s="95" t="s">
        <v>1181</v>
      </c>
      <c r="C1943" s="4">
        <v>2186</v>
      </c>
      <c r="D1943" s="95" t="s">
        <v>1182</v>
      </c>
      <c r="E1943" s="145">
        <v>35.29</v>
      </c>
      <c r="F1943" s="145">
        <v>0</v>
      </c>
      <c r="G1943" s="145">
        <v>0</v>
      </c>
      <c r="H1943" s="145">
        <v>0</v>
      </c>
      <c r="I1943" s="77">
        <f t="shared" si="33"/>
        <v>35.29</v>
      </c>
      <c r="J1943" s="123" t="str">
        <f>IFERROR(VLOOKUP($C1943,'CEDARS School FRPL'!C:H,4,FALSE),"No")</f>
        <v>No</v>
      </c>
      <c r="K1943" s="107"/>
      <c r="L1943" s="107"/>
      <c r="M1943" s="110">
        <f>IFERROR(VLOOKUP($C1943,'CEDARS School FRPL'!C:H,3,FALSE),0)</f>
        <v>0.41606666666666675</v>
      </c>
      <c r="N1943" s="123" t="str">
        <f>IFERROR(VLOOKUP(C1943,'CEDARS School FRPL'!C:H,6,FALSE),"No")</f>
        <v>No</v>
      </c>
      <c r="O1943" s="147"/>
      <c r="P1943" s="148"/>
    </row>
    <row r="1944" spans="1:16">
      <c r="A1944" s="95" t="s">
        <v>2406</v>
      </c>
      <c r="B1944" s="95" t="s">
        <v>1181</v>
      </c>
      <c r="C1944" s="4">
        <v>3050</v>
      </c>
      <c r="D1944" s="95" t="s">
        <v>1183</v>
      </c>
      <c r="E1944" s="145">
        <v>36.14</v>
      </c>
      <c r="F1944" s="145">
        <v>0</v>
      </c>
      <c r="G1944" s="145">
        <v>0</v>
      </c>
      <c r="H1944" s="145">
        <v>0</v>
      </c>
      <c r="I1944" s="77">
        <f t="shared" si="33"/>
        <v>36.14</v>
      </c>
      <c r="J1944" s="123" t="str">
        <f>IFERROR(VLOOKUP($C1944,'CEDARS School FRPL'!C:H,4,FALSE),"No")</f>
        <v>Yes</v>
      </c>
      <c r="K1944" s="107"/>
      <c r="L1944" s="107"/>
      <c r="M1944" s="110">
        <f>IFERROR(VLOOKUP($C1944,'CEDARS School FRPL'!C:H,3,FALSE),0)</f>
        <v>0.61746666666666672</v>
      </c>
      <c r="N1944" s="123" t="str">
        <f>IFERROR(VLOOKUP(C1944,'CEDARS School FRPL'!C:H,6,FALSE),"No")</f>
        <v>No</v>
      </c>
      <c r="O1944" s="147"/>
      <c r="P1944" s="148"/>
    </row>
    <row r="1945" spans="1:16">
      <c r="A1945" s="95" t="s">
        <v>2551</v>
      </c>
      <c r="B1945" s="95" t="s">
        <v>2158</v>
      </c>
      <c r="C1945" s="4">
        <v>3068</v>
      </c>
      <c r="D1945" s="95" t="s">
        <v>2159</v>
      </c>
      <c r="E1945" s="145">
        <v>50.85</v>
      </c>
      <c r="F1945" s="145">
        <v>3.45</v>
      </c>
      <c r="G1945" s="145">
        <v>0</v>
      </c>
      <c r="H1945" s="145">
        <v>0</v>
      </c>
      <c r="I1945" s="77">
        <f t="shared" si="33"/>
        <v>54.300000000000004</v>
      </c>
      <c r="J1945" s="123" t="str">
        <f>IFERROR(VLOOKUP($C1945,'CEDARS School FRPL'!C:H,4,FALSE),"No")</f>
        <v>Yes</v>
      </c>
      <c r="K1945" s="109"/>
      <c r="L1945" s="109"/>
      <c r="M1945" s="110">
        <f>IFERROR(VLOOKUP($C1945,'CEDARS School FRPL'!C:H,3,FALSE),0)</f>
        <v>0.51136666666666664</v>
      </c>
      <c r="N1945" s="123" t="str">
        <f>IFERROR(VLOOKUP(C1945,'CEDARS School FRPL'!C:H,6,FALSE),"No")</f>
        <v>No</v>
      </c>
      <c r="O1945" s="147"/>
      <c r="P1945" s="148"/>
    </row>
    <row r="1946" spans="1:16">
      <c r="A1946" s="95" t="s">
        <v>2551</v>
      </c>
      <c r="B1946" s="95" t="s">
        <v>2158</v>
      </c>
      <c r="C1946" s="4">
        <v>3069</v>
      </c>
      <c r="D1946" s="95" t="s">
        <v>2160</v>
      </c>
      <c r="E1946" s="145">
        <v>70.709999999999994</v>
      </c>
      <c r="F1946" s="145">
        <v>0</v>
      </c>
      <c r="G1946" s="145">
        <v>0</v>
      </c>
      <c r="H1946" s="145">
        <v>0</v>
      </c>
      <c r="I1946" s="77">
        <f t="shared" si="33"/>
        <v>70.709999999999994</v>
      </c>
      <c r="J1946" s="123" t="str">
        <f>IFERROR(VLOOKUP($C1946,'CEDARS School FRPL'!C:H,4,FALSE),"No")</f>
        <v>No</v>
      </c>
      <c r="K1946" s="109"/>
      <c r="L1946" s="109"/>
      <c r="M1946" s="110">
        <f>IFERROR(VLOOKUP($C1946,'CEDARS School FRPL'!C:H,3,FALSE),0)</f>
        <v>0.38106666666666666</v>
      </c>
      <c r="N1946" s="123" t="str">
        <f>IFERROR(VLOOKUP(C1946,'CEDARS School FRPL'!C:H,6,FALSE),"No")</f>
        <v>No</v>
      </c>
      <c r="O1946" s="147"/>
      <c r="P1946" s="148"/>
    </row>
    <row r="1947" spans="1:16">
      <c r="A1947" s="95" t="s">
        <v>2485</v>
      </c>
      <c r="B1947" s="95" t="s">
        <v>1761</v>
      </c>
      <c r="C1947" s="4">
        <v>1707</v>
      </c>
      <c r="D1947" s="95" t="s">
        <v>1762</v>
      </c>
      <c r="E1947" s="145">
        <v>123.15</v>
      </c>
      <c r="F1947" s="145">
        <v>1.64</v>
      </c>
      <c r="G1947" s="145">
        <v>8.86</v>
      </c>
      <c r="H1947" s="145">
        <v>0</v>
      </c>
      <c r="I1947" s="77">
        <f t="shared" si="33"/>
        <v>133.65</v>
      </c>
      <c r="J1947" s="123" t="str">
        <f>IFERROR(VLOOKUP($C1947,'CEDARS School FRPL'!C:H,4,FALSE),"No")</f>
        <v>No</v>
      </c>
      <c r="K1947" s="109"/>
      <c r="L1947" s="109"/>
      <c r="M1947" s="110">
        <f>IFERROR(VLOOKUP($C1947,'CEDARS School FRPL'!C:H,3,FALSE),0)</f>
        <v>0.41076666666666667</v>
      </c>
      <c r="N1947" s="123" t="str">
        <f>IFERROR(VLOOKUP(C1947,'CEDARS School FRPL'!C:H,6,FALSE),"No")</f>
        <v>No</v>
      </c>
      <c r="O1947" s="147"/>
      <c r="P1947" s="148"/>
    </row>
    <row r="1948" spans="1:16">
      <c r="A1948" s="95" t="s">
        <v>2485</v>
      </c>
      <c r="B1948" s="95" t="s">
        <v>1761</v>
      </c>
      <c r="C1948" s="4">
        <v>2400</v>
      </c>
      <c r="D1948" s="95" t="s">
        <v>1763</v>
      </c>
      <c r="E1948" s="145">
        <v>473.84</v>
      </c>
      <c r="F1948" s="145">
        <v>0</v>
      </c>
      <c r="G1948" s="145">
        <v>0</v>
      </c>
      <c r="H1948" s="145">
        <v>0</v>
      </c>
      <c r="I1948" s="77">
        <f t="shared" si="33"/>
        <v>473.84</v>
      </c>
      <c r="J1948" s="123" t="str">
        <f>IFERROR(VLOOKUP($C1948,'CEDARS School FRPL'!C:H,4,FALSE),"No")</f>
        <v>No</v>
      </c>
      <c r="K1948" s="109"/>
      <c r="L1948" s="109"/>
      <c r="M1948" s="110">
        <f>IFERROR(VLOOKUP($C1948,'CEDARS School FRPL'!C:H,3,FALSE),0)</f>
        <v>0.34326666666666666</v>
      </c>
      <c r="N1948" s="123" t="str">
        <f>IFERROR(VLOOKUP(C1948,'CEDARS School FRPL'!C:H,6,FALSE),"No")</f>
        <v>No</v>
      </c>
      <c r="O1948" s="147"/>
      <c r="P1948" s="148"/>
    </row>
    <row r="1949" spans="1:16">
      <c r="A1949" s="95" t="s">
        <v>2485</v>
      </c>
      <c r="B1949" s="95" t="s">
        <v>1761</v>
      </c>
      <c r="C1949" s="4">
        <v>2581</v>
      </c>
      <c r="D1949" s="95" t="s">
        <v>1764</v>
      </c>
      <c r="E1949" s="145">
        <v>1194.8800000000001</v>
      </c>
      <c r="F1949" s="145">
        <v>61.74</v>
      </c>
      <c r="G1949" s="145">
        <v>0</v>
      </c>
      <c r="H1949" s="145">
        <v>0</v>
      </c>
      <c r="I1949" s="77">
        <f t="shared" si="33"/>
        <v>1256.6200000000001</v>
      </c>
      <c r="J1949" s="123" t="str">
        <f>IFERROR(VLOOKUP($C1949,'CEDARS School FRPL'!C:H,4,FALSE),"No")</f>
        <v>No</v>
      </c>
      <c r="K1949" s="107"/>
      <c r="L1949" s="107"/>
      <c r="M1949" s="110">
        <f>IFERROR(VLOOKUP($C1949,'CEDARS School FRPL'!C:H,3,FALSE),0)</f>
        <v>0.2492</v>
      </c>
      <c r="N1949" s="123" t="str">
        <f>IFERROR(VLOOKUP(C1949,'CEDARS School FRPL'!C:H,6,FALSE),"No")</f>
        <v>No</v>
      </c>
      <c r="O1949" s="147"/>
      <c r="P1949" s="148"/>
    </row>
    <row r="1950" spans="1:16">
      <c r="A1950" s="95" t="s">
        <v>2485</v>
      </c>
      <c r="B1950" s="95" t="s">
        <v>1761</v>
      </c>
      <c r="C1950" s="4">
        <v>3125</v>
      </c>
      <c r="D1950" s="95" t="s">
        <v>1765</v>
      </c>
      <c r="E1950" s="145">
        <v>420.28</v>
      </c>
      <c r="F1950" s="145">
        <v>0</v>
      </c>
      <c r="G1950" s="145">
        <v>0</v>
      </c>
      <c r="H1950" s="145">
        <v>0</v>
      </c>
      <c r="I1950" s="77">
        <f t="shared" si="33"/>
        <v>420.28</v>
      </c>
      <c r="J1950" s="123" t="str">
        <f>IFERROR(VLOOKUP($C1950,'CEDARS School FRPL'!C:H,4,FALSE),"No")</f>
        <v>No</v>
      </c>
      <c r="K1950" s="109"/>
      <c r="L1950" s="109"/>
      <c r="M1950" s="110">
        <f>IFERROR(VLOOKUP($C1950,'CEDARS School FRPL'!C:H,3,FALSE),0)</f>
        <v>0.32666666666666666</v>
      </c>
      <c r="N1950" s="123" t="str">
        <f>IFERROR(VLOOKUP(C1950,'CEDARS School FRPL'!C:H,6,FALSE),"No")</f>
        <v>No</v>
      </c>
      <c r="O1950" s="147"/>
      <c r="P1950" s="148"/>
    </row>
    <row r="1951" spans="1:16">
      <c r="A1951" s="95" t="s">
        <v>2485</v>
      </c>
      <c r="B1951" s="95" t="s">
        <v>1761</v>
      </c>
      <c r="C1951" s="4">
        <v>4364</v>
      </c>
      <c r="D1951" s="95" t="s">
        <v>1766</v>
      </c>
      <c r="E1951" s="145">
        <v>361.97</v>
      </c>
      <c r="F1951" s="145">
        <v>0</v>
      </c>
      <c r="G1951" s="145">
        <v>0</v>
      </c>
      <c r="H1951" s="145">
        <v>0</v>
      </c>
      <c r="I1951" s="77">
        <f t="shared" si="33"/>
        <v>361.97</v>
      </c>
      <c r="J1951" s="123" t="str">
        <f>IFERROR(VLOOKUP($C1951,'CEDARS School FRPL'!C:H,4,FALSE),"No")</f>
        <v>No</v>
      </c>
      <c r="K1951" s="109"/>
      <c r="L1951" s="109"/>
      <c r="M1951" s="110">
        <f>IFERROR(VLOOKUP($C1951,'CEDARS School FRPL'!C:H,3,FALSE),0)</f>
        <v>0.34129999999999999</v>
      </c>
      <c r="N1951" s="123" t="str">
        <f>IFERROR(VLOOKUP(C1951,'CEDARS School FRPL'!C:H,6,FALSE),"No")</f>
        <v>No</v>
      </c>
      <c r="O1951" s="147"/>
      <c r="P1951" s="148"/>
    </row>
    <row r="1952" spans="1:16">
      <c r="A1952" s="95" t="s">
        <v>2485</v>
      </c>
      <c r="B1952" s="95" t="s">
        <v>1761</v>
      </c>
      <c r="C1952" s="4">
        <v>4512</v>
      </c>
      <c r="D1952" s="95" t="s">
        <v>1767</v>
      </c>
      <c r="E1952" s="145">
        <v>490.08</v>
      </c>
      <c r="F1952" s="145">
        <v>0</v>
      </c>
      <c r="G1952" s="145">
        <v>0</v>
      </c>
      <c r="H1952" s="145">
        <v>0</v>
      </c>
      <c r="I1952" s="77">
        <f t="shared" si="33"/>
        <v>490.08</v>
      </c>
      <c r="J1952" s="123" t="str">
        <f>IFERROR(VLOOKUP($C1952,'CEDARS School FRPL'!C:H,4,FALSE),"No")</f>
        <v>No</v>
      </c>
      <c r="K1952" s="109"/>
      <c r="L1952" s="109"/>
      <c r="M1952" s="110">
        <f>IFERROR(VLOOKUP($C1952,'CEDARS School FRPL'!C:H,3,FALSE),0)</f>
        <v>0.314</v>
      </c>
      <c r="N1952" s="123" t="str">
        <f>IFERROR(VLOOKUP(C1952,'CEDARS School FRPL'!C:H,6,FALSE),"No")</f>
        <v>No</v>
      </c>
      <c r="O1952" s="147"/>
      <c r="P1952" s="148"/>
    </row>
    <row r="1953" spans="1:16">
      <c r="A1953" s="95" t="s">
        <v>2485</v>
      </c>
      <c r="B1953" s="95" t="s">
        <v>1761</v>
      </c>
      <c r="C1953" s="4">
        <v>4513</v>
      </c>
      <c r="D1953" s="95" t="s">
        <v>1768</v>
      </c>
      <c r="E1953" s="145">
        <v>569</v>
      </c>
      <c r="F1953" s="145">
        <v>0</v>
      </c>
      <c r="G1953" s="145">
        <v>0</v>
      </c>
      <c r="H1953" s="145">
        <v>0</v>
      </c>
      <c r="I1953" s="77">
        <f t="shared" si="33"/>
        <v>569</v>
      </c>
      <c r="J1953" s="123" t="str">
        <f>IFERROR(VLOOKUP($C1953,'CEDARS School FRPL'!C:H,4,FALSE),"No")</f>
        <v>No</v>
      </c>
      <c r="K1953" s="109"/>
      <c r="L1953" s="109"/>
      <c r="M1953" s="110">
        <f>IFERROR(VLOOKUP($C1953,'CEDARS School FRPL'!C:H,3,FALSE),0)</f>
        <v>0.2503333333333333</v>
      </c>
      <c r="N1953" s="123" t="str">
        <f>IFERROR(VLOOKUP(C1953,'CEDARS School FRPL'!C:H,6,FALSE),"No")</f>
        <v>No</v>
      </c>
      <c r="O1953" s="147"/>
      <c r="P1953" s="148"/>
    </row>
    <row r="1954" spans="1:16">
      <c r="A1954" s="95" t="s">
        <v>2485</v>
      </c>
      <c r="B1954" s="95" t="s">
        <v>1761</v>
      </c>
      <c r="C1954" s="4">
        <v>4551</v>
      </c>
      <c r="D1954" s="95" t="s">
        <v>1769</v>
      </c>
      <c r="E1954" s="145">
        <v>279.89999999999998</v>
      </c>
      <c r="F1954" s="145">
        <v>0</v>
      </c>
      <c r="G1954" s="145">
        <v>0</v>
      </c>
      <c r="H1954" s="145">
        <v>0</v>
      </c>
      <c r="I1954" s="77">
        <f t="shared" si="33"/>
        <v>279.89999999999998</v>
      </c>
      <c r="J1954" s="123" t="str">
        <f>IFERROR(VLOOKUP($C1954,'CEDARS School FRPL'!C:H,4,FALSE),"No")</f>
        <v>No</v>
      </c>
      <c r="K1954" s="109"/>
      <c r="L1954" s="109"/>
      <c r="M1954" s="110">
        <f>IFERROR(VLOOKUP($C1954,'CEDARS School FRPL'!C:H,3,FALSE),0)</f>
        <v>0.25023333333333331</v>
      </c>
      <c r="N1954" s="123" t="str">
        <f>IFERROR(VLOOKUP(C1954,'CEDARS School FRPL'!C:H,6,FALSE),"No")</f>
        <v>No</v>
      </c>
      <c r="O1954" s="147"/>
      <c r="P1954" s="148"/>
    </row>
    <row r="1955" spans="1:16">
      <c r="A1955" s="95" t="s">
        <v>2485</v>
      </c>
      <c r="B1955" s="95" t="s">
        <v>1761</v>
      </c>
      <c r="C1955" s="4">
        <v>4553</v>
      </c>
      <c r="D1955" s="95" t="s">
        <v>1770</v>
      </c>
      <c r="E1955" s="145">
        <v>333.24</v>
      </c>
      <c r="F1955" s="145">
        <v>0</v>
      </c>
      <c r="G1955" s="145">
        <v>0</v>
      </c>
      <c r="H1955" s="145">
        <v>0</v>
      </c>
      <c r="I1955" s="77">
        <f t="shared" si="33"/>
        <v>333.24</v>
      </c>
      <c r="J1955" s="123" t="str">
        <f>IFERROR(VLOOKUP($C1955,'CEDARS School FRPL'!C:H,4,FALSE),"No")</f>
        <v>No</v>
      </c>
      <c r="K1955" s="109"/>
      <c r="L1955" s="109"/>
      <c r="M1955" s="110">
        <f>IFERROR(VLOOKUP($C1955,'CEDARS School FRPL'!C:H,3,FALSE),0)</f>
        <v>0.34329999999999999</v>
      </c>
      <c r="N1955" s="123" t="str">
        <f>IFERROR(VLOOKUP(C1955,'CEDARS School FRPL'!C:H,6,FALSE),"No")</f>
        <v>No</v>
      </c>
      <c r="O1955" s="147"/>
      <c r="P1955" s="148"/>
    </row>
    <row r="1956" spans="1:16">
      <c r="A1956" s="95" t="s">
        <v>2485</v>
      </c>
      <c r="B1956" s="95" t="s">
        <v>1761</v>
      </c>
      <c r="C1956" s="4">
        <v>5004</v>
      </c>
      <c r="D1956" s="95" t="s">
        <v>1771</v>
      </c>
      <c r="E1956" s="145">
        <v>239.38</v>
      </c>
      <c r="F1956" s="145">
        <v>0</v>
      </c>
      <c r="G1956" s="145">
        <v>0</v>
      </c>
      <c r="H1956" s="145">
        <v>0</v>
      </c>
      <c r="I1956" s="77">
        <f t="shared" si="33"/>
        <v>239.38</v>
      </c>
      <c r="J1956" s="123" t="str">
        <f>IFERROR(VLOOKUP($C1956,'CEDARS School FRPL'!C:H,4,FALSE),"No")</f>
        <v>No</v>
      </c>
      <c r="K1956" s="109"/>
      <c r="L1956" s="109"/>
      <c r="M1956" s="110">
        <f>IFERROR(VLOOKUP($C1956,'CEDARS School FRPL'!C:H,3,FALSE),0)</f>
        <v>0.16416666666666666</v>
      </c>
      <c r="N1956" s="123" t="str">
        <f>IFERROR(VLOOKUP(C1956,'CEDARS School FRPL'!C:H,6,FALSE),"No")</f>
        <v>No</v>
      </c>
      <c r="O1956" s="147"/>
      <c r="P1956" s="148"/>
    </row>
    <row r="1957" spans="1:16">
      <c r="A1957" s="95" t="s">
        <v>2485</v>
      </c>
      <c r="B1957" s="95" t="s">
        <v>1761</v>
      </c>
      <c r="C1957" s="4">
        <v>5108</v>
      </c>
      <c r="D1957" s="95" t="s">
        <v>1772</v>
      </c>
      <c r="E1957" s="145">
        <v>17.57</v>
      </c>
      <c r="F1957" s="145">
        <v>0</v>
      </c>
      <c r="G1957" s="145">
        <v>0</v>
      </c>
      <c r="H1957" s="145">
        <v>0</v>
      </c>
      <c r="I1957" s="77">
        <f t="shared" si="33"/>
        <v>17.57</v>
      </c>
      <c r="J1957" s="123" t="str">
        <f>IFERROR(VLOOKUP($C1957,'CEDARS School FRPL'!C:H,4,FALSE),"No")</f>
        <v>Yes</v>
      </c>
      <c r="K1957" s="109"/>
      <c r="L1957" s="109"/>
      <c r="M1957" s="110">
        <f>IFERROR(VLOOKUP($C1957,'CEDARS School FRPL'!C:H,3,FALSE),0)</f>
        <v>0.64639999999999997</v>
      </c>
      <c r="N1957" s="123" t="str">
        <f>IFERROR(VLOOKUP(C1957,'CEDARS School FRPL'!C:H,6,FALSE),"No")</f>
        <v>No</v>
      </c>
      <c r="O1957" s="147"/>
      <c r="P1957" s="148"/>
    </row>
    <row r="1958" spans="1:16">
      <c r="A1958" s="95" t="s">
        <v>2314</v>
      </c>
      <c r="B1958" s="95" t="s">
        <v>401</v>
      </c>
      <c r="C1958" s="4">
        <v>2007</v>
      </c>
      <c r="D1958" s="95" t="s">
        <v>402</v>
      </c>
      <c r="E1958" s="145">
        <v>12.43</v>
      </c>
      <c r="F1958" s="145">
        <v>0</v>
      </c>
      <c r="G1958" s="145">
        <v>0</v>
      </c>
      <c r="H1958" s="145">
        <v>0</v>
      </c>
      <c r="I1958" s="77">
        <f t="shared" si="33"/>
        <v>12.43</v>
      </c>
      <c r="J1958" s="123" t="str">
        <f>IFERROR(VLOOKUP($C1958,'CEDARS School FRPL'!C:H,4,FALSE),"No")</f>
        <v>No</v>
      </c>
      <c r="K1958" s="109"/>
      <c r="L1958" s="109"/>
      <c r="M1958" s="110">
        <f>IFERROR(VLOOKUP($C1958,'CEDARS School FRPL'!C:H,3,FALSE),0)</f>
        <v>0</v>
      </c>
      <c r="N1958" s="123" t="str">
        <f>IFERROR(VLOOKUP(C1958,'CEDARS School FRPL'!C:H,6,FALSE),"No")</f>
        <v>No</v>
      </c>
      <c r="O1958" s="147"/>
      <c r="P1958" s="148"/>
    </row>
    <row r="1959" spans="1:16">
      <c r="A1959" s="95" t="s">
        <v>2294</v>
      </c>
      <c r="B1959" s="95" t="s">
        <v>294</v>
      </c>
      <c r="C1959" s="4">
        <v>2135</v>
      </c>
      <c r="D1959" s="95" t="s">
        <v>295</v>
      </c>
      <c r="E1959" s="145">
        <v>28</v>
      </c>
      <c r="F1959" s="145">
        <v>0</v>
      </c>
      <c r="G1959" s="145">
        <v>0</v>
      </c>
      <c r="H1959" s="145">
        <v>0</v>
      </c>
      <c r="I1959" s="77">
        <f t="shared" si="33"/>
        <v>28</v>
      </c>
      <c r="J1959" s="123" t="str">
        <f>IFERROR(VLOOKUP($C1959,'CEDARS School FRPL'!C:H,4,FALSE),"No")</f>
        <v>Yes</v>
      </c>
      <c r="K1959" s="109"/>
      <c r="L1959" s="109"/>
      <c r="M1959" s="110">
        <f>IFERROR(VLOOKUP($C1959,'CEDARS School FRPL'!C:H,3,FALSE),0)</f>
        <v>0.54606666666666659</v>
      </c>
      <c r="N1959" s="123" t="str">
        <f>IFERROR(VLOOKUP(C1959,'CEDARS School FRPL'!C:H,6,FALSE),"No")</f>
        <v>No</v>
      </c>
      <c r="O1959" s="147"/>
      <c r="P1959" s="148"/>
    </row>
    <row r="1960" spans="1:16">
      <c r="A1960" s="95" t="s">
        <v>2294</v>
      </c>
      <c r="B1960" s="95" t="s">
        <v>294</v>
      </c>
      <c r="C1960" s="4">
        <v>5696</v>
      </c>
      <c r="D1960" s="95" t="s">
        <v>3073</v>
      </c>
      <c r="E1960" s="145">
        <v>275.86</v>
      </c>
      <c r="F1960" s="145">
        <v>0</v>
      </c>
      <c r="G1960" s="145">
        <v>0</v>
      </c>
      <c r="H1960" s="145">
        <v>0</v>
      </c>
      <c r="I1960" s="77">
        <f t="shared" si="33"/>
        <v>275.86</v>
      </c>
      <c r="J1960" s="123" t="str">
        <f>IFERROR(VLOOKUP($C1960,'CEDARS School FRPL'!C:H,4,FALSE),"No")</f>
        <v>No</v>
      </c>
      <c r="K1960" s="109"/>
      <c r="L1960" s="109"/>
      <c r="M1960" s="110">
        <f>IFERROR(VLOOKUP($C1960,'CEDARS School FRPL'!C:H,3,FALSE),0)</f>
        <v>0</v>
      </c>
      <c r="N1960" s="123" t="str">
        <f>IFERROR(VLOOKUP(C1960,'CEDARS School FRPL'!C:H,6,FALSE),"No")</f>
        <v>No</v>
      </c>
      <c r="O1960" s="147"/>
      <c r="P1960" s="148"/>
    </row>
    <row r="1961" spans="1:16">
      <c r="A1961" s="95" t="s">
        <v>2271</v>
      </c>
      <c r="B1961" s="95" t="s">
        <v>100</v>
      </c>
      <c r="C1961" s="4">
        <v>2265</v>
      </c>
      <c r="D1961" s="95" t="s">
        <v>101</v>
      </c>
      <c r="E1961" s="145">
        <v>11</v>
      </c>
      <c r="F1961" s="145">
        <v>0</v>
      </c>
      <c r="G1961" s="145">
        <v>0</v>
      </c>
      <c r="H1961" s="145">
        <v>0</v>
      </c>
      <c r="I1961" s="77">
        <f t="shared" si="33"/>
        <v>11</v>
      </c>
      <c r="J1961" s="123" t="str">
        <f>IFERROR(VLOOKUP($C1961,'CEDARS School FRPL'!C:H,4,FALSE),"No")</f>
        <v>No</v>
      </c>
      <c r="K1961" s="107"/>
      <c r="L1961" s="107"/>
      <c r="M1961" s="110">
        <f>IFERROR(VLOOKUP($C1961,'CEDARS School FRPL'!C:H,3,FALSE),0)</f>
        <v>0</v>
      </c>
      <c r="N1961" s="123" t="str">
        <f>IFERROR(VLOOKUP(C1961,'CEDARS School FRPL'!C:H,6,FALSE),"No")</f>
        <v>No</v>
      </c>
      <c r="O1961" s="147"/>
      <c r="P1961" s="148"/>
    </row>
    <row r="1962" spans="1:16">
      <c r="A1962" s="95" t="s">
        <v>2438</v>
      </c>
      <c r="B1962" s="95" t="s">
        <v>1292</v>
      </c>
      <c r="C1962" s="4">
        <v>2040</v>
      </c>
      <c r="D1962" s="95" t="s">
        <v>1293</v>
      </c>
      <c r="E1962" s="145">
        <v>20.86</v>
      </c>
      <c r="F1962" s="145">
        <v>0</v>
      </c>
      <c r="G1962" s="145">
        <v>0</v>
      </c>
      <c r="H1962" s="145">
        <v>0</v>
      </c>
      <c r="I1962" s="77">
        <f t="shared" si="33"/>
        <v>20.86</v>
      </c>
      <c r="J1962" s="123" t="str">
        <f>IFERROR(VLOOKUP($C1962,'CEDARS School FRPL'!C:H,4,FALSE),"No")</f>
        <v>No</v>
      </c>
      <c r="K1962" s="109"/>
      <c r="L1962" s="109"/>
      <c r="M1962" s="110">
        <f>IFERROR(VLOOKUP($C1962,'CEDARS School FRPL'!C:H,3,FALSE),0)</f>
        <v>0.39773333333333333</v>
      </c>
      <c r="N1962" s="123" t="str">
        <f>IFERROR(VLOOKUP(C1962,'CEDARS School FRPL'!C:H,6,FALSE),"No")</f>
        <v>Yes</v>
      </c>
      <c r="O1962" s="147"/>
      <c r="P1962" s="148"/>
    </row>
    <row r="1963" spans="1:16">
      <c r="A1963" s="95" t="s">
        <v>2438</v>
      </c>
      <c r="B1963" s="95" t="s">
        <v>1292</v>
      </c>
      <c r="C1963" s="4">
        <v>2237</v>
      </c>
      <c r="D1963" s="95" t="s">
        <v>1294</v>
      </c>
      <c r="E1963" s="145">
        <v>718.31</v>
      </c>
      <c r="F1963" s="145">
        <v>0</v>
      </c>
      <c r="G1963" s="145">
        <v>0</v>
      </c>
      <c r="H1963" s="145">
        <v>0</v>
      </c>
      <c r="I1963" s="77">
        <f t="shared" si="33"/>
        <v>718.31</v>
      </c>
      <c r="J1963" s="123" t="str">
        <f>IFERROR(VLOOKUP($C1963,'CEDARS School FRPL'!C:H,4,FALSE),"No")</f>
        <v>No</v>
      </c>
      <c r="K1963" s="109"/>
      <c r="L1963" s="109"/>
      <c r="M1963" s="110">
        <f>IFERROR(VLOOKUP($C1963,'CEDARS School FRPL'!C:H,3,FALSE),0)</f>
        <v>0.24296666666666666</v>
      </c>
      <c r="N1963" s="123" t="str">
        <f>IFERROR(VLOOKUP(C1963,'CEDARS School FRPL'!C:H,6,FALSE),"No")</f>
        <v>No</v>
      </c>
      <c r="O1963" s="147"/>
      <c r="P1963" s="148"/>
    </row>
    <row r="1964" spans="1:16">
      <c r="A1964" s="95" t="s">
        <v>2438</v>
      </c>
      <c r="B1964" s="95" t="s">
        <v>1292</v>
      </c>
      <c r="C1964" s="4">
        <v>3446</v>
      </c>
      <c r="D1964" s="95" t="s">
        <v>1295</v>
      </c>
      <c r="E1964" s="145">
        <v>364.45</v>
      </c>
      <c r="F1964" s="145">
        <v>0</v>
      </c>
      <c r="G1964" s="145">
        <v>0</v>
      </c>
      <c r="H1964" s="145">
        <v>0</v>
      </c>
      <c r="I1964" s="77">
        <f t="shared" si="33"/>
        <v>364.45</v>
      </c>
      <c r="J1964" s="123" t="str">
        <f>IFERROR(VLOOKUP($C1964,'CEDARS School FRPL'!C:H,4,FALSE),"No")</f>
        <v>No</v>
      </c>
      <c r="K1964" s="109"/>
      <c r="L1964" s="109"/>
      <c r="M1964" s="110">
        <f>IFERROR(VLOOKUP($C1964,'CEDARS School FRPL'!C:H,3,FALSE),0)</f>
        <v>0.31783333333333336</v>
      </c>
      <c r="N1964" s="123" t="str">
        <f>IFERROR(VLOOKUP(C1964,'CEDARS School FRPL'!C:H,6,FALSE),"No")</f>
        <v>No</v>
      </c>
      <c r="O1964" s="147"/>
      <c r="P1964" s="148"/>
    </row>
    <row r="1965" spans="1:16">
      <c r="A1965" s="95" t="s">
        <v>2438</v>
      </c>
      <c r="B1965" s="95" t="s">
        <v>1292</v>
      </c>
      <c r="C1965" s="4">
        <v>3827</v>
      </c>
      <c r="D1965" s="95" t="s">
        <v>1296</v>
      </c>
      <c r="E1965" s="145">
        <v>444.72</v>
      </c>
      <c r="F1965" s="145">
        <v>0</v>
      </c>
      <c r="G1965" s="145">
        <v>0</v>
      </c>
      <c r="H1965" s="145">
        <v>0</v>
      </c>
      <c r="I1965" s="77">
        <f t="shared" si="33"/>
        <v>444.72</v>
      </c>
      <c r="J1965" s="123" t="str">
        <f>IFERROR(VLOOKUP($C1965,'CEDARS School FRPL'!C:H,4,FALSE),"No")</f>
        <v>No</v>
      </c>
      <c r="K1965" s="109"/>
      <c r="L1965" s="109"/>
      <c r="M1965" s="110">
        <f>IFERROR(VLOOKUP($C1965,'CEDARS School FRPL'!C:H,3,FALSE),0)</f>
        <v>0.2659333333333333</v>
      </c>
      <c r="N1965" s="123" t="str">
        <f>IFERROR(VLOOKUP(C1965,'CEDARS School FRPL'!C:H,6,FALSE),"No")</f>
        <v>No</v>
      </c>
      <c r="O1965" s="147"/>
      <c r="P1965" s="148"/>
    </row>
    <row r="1966" spans="1:16">
      <c r="A1966" s="95" t="s">
        <v>2438</v>
      </c>
      <c r="B1966" s="95" t="s">
        <v>1292</v>
      </c>
      <c r="C1966" s="4">
        <v>4131</v>
      </c>
      <c r="D1966" s="95" t="s">
        <v>1297</v>
      </c>
      <c r="E1966" s="145">
        <v>789.66</v>
      </c>
      <c r="F1966" s="145">
        <v>158.43</v>
      </c>
      <c r="G1966" s="145">
        <v>0</v>
      </c>
      <c r="H1966" s="145">
        <v>0</v>
      </c>
      <c r="I1966" s="77">
        <f t="shared" si="33"/>
        <v>948.08999999999992</v>
      </c>
      <c r="J1966" s="123" t="str">
        <f>IFERROR(VLOOKUP($C1966,'CEDARS School FRPL'!C:H,4,FALSE),"No")</f>
        <v>No</v>
      </c>
      <c r="K1966" s="109"/>
      <c r="L1966" s="109"/>
      <c r="M1966" s="110">
        <f>IFERROR(VLOOKUP($C1966,'CEDARS School FRPL'!C:H,3,FALSE),0)</f>
        <v>0.2135</v>
      </c>
      <c r="N1966" s="123" t="str">
        <f>IFERROR(VLOOKUP(C1966,'CEDARS School FRPL'!C:H,6,FALSE),"No")</f>
        <v>No</v>
      </c>
      <c r="O1966" s="147"/>
      <c r="P1966" s="148"/>
    </row>
    <row r="1967" spans="1:16">
      <c r="A1967" s="95" t="s">
        <v>2438</v>
      </c>
      <c r="B1967" s="95" t="s">
        <v>1292</v>
      </c>
      <c r="C1967" s="4">
        <v>4562</v>
      </c>
      <c r="D1967" s="95" t="s">
        <v>1298</v>
      </c>
      <c r="E1967" s="145">
        <v>548.34</v>
      </c>
      <c r="F1967" s="145">
        <v>0</v>
      </c>
      <c r="G1967" s="145">
        <v>0</v>
      </c>
      <c r="H1967" s="145">
        <v>0</v>
      </c>
      <c r="I1967" s="77">
        <f t="shared" si="33"/>
        <v>548.34</v>
      </c>
      <c r="J1967" s="123" t="str">
        <f>IFERROR(VLOOKUP($C1967,'CEDARS School FRPL'!C:H,4,FALSE),"No")</f>
        <v>No</v>
      </c>
      <c r="K1967" s="109"/>
      <c r="L1967" s="109"/>
      <c r="M1967" s="110">
        <f>IFERROR(VLOOKUP($C1967,'CEDARS School FRPL'!C:H,3,FALSE),0)</f>
        <v>0.16839999999999999</v>
      </c>
      <c r="N1967" s="123" t="str">
        <f>IFERROR(VLOOKUP(C1967,'CEDARS School FRPL'!C:H,6,FALSE),"No")</f>
        <v>No</v>
      </c>
      <c r="O1967" s="147"/>
      <c r="P1967" s="148"/>
    </row>
    <row r="1968" spans="1:16">
      <c r="A1968" s="95" t="s">
        <v>2438</v>
      </c>
      <c r="B1968" s="95" t="s">
        <v>1292</v>
      </c>
      <c r="C1968" s="4">
        <v>5527</v>
      </c>
      <c r="D1968" s="95" t="s">
        <v>2811</v>
      </c>
      <c r="E1968" s="145">
        <v>0</v>
      </c>
      <c r="F1968" s="145">
        <v>0</v>
      </c>
      <c r="G1968" s="145">
        <v>14.71</v>
      </c>
      <c r="H1968" s="145">
        <v>0</v>
      </c>
      <c r="I1968" s="77">
        <f t="shared" si="33"/>
        <v>14.71</v>
      </c>
      <c r="J1968" s="123" t="str">
        <f>IFERROR(VLOOKUP($C1968,'CEDARS School FRPL'!C:H,4,FALSE),"No")</f>
        <v>Yes</v>
      </c>
      <c r="K1968" s="109"/>
      <c r="L1968" s="109"/>
      <c r="M1968" s="110">
        <f>IFERROR(VLOOKUP($C1968,'CEDARS School FRPL'!C:H,3,FALSE),0)</f>
        <v>0.58946666666666669</v>
      </c>
      <c r="N1968" s="123" t="str">
        <f>IFERROR(VLOOKUP(C1968,'CEDARS School FRPL'!C:H,6,FALSE),"No")</f>
        <v>No</v>
      </c>
      <c r="O1968" s="147"/>
      <c r="P1968" s="148"/>
    </row>
    <row r="1969" spans="1:16">
      <c r="A1969" s="95" t="s">
        <v>2438</v>
      </c>
      <c r="B1969" s="95" t="s">
        <v>1292</v>
      </c>
      <c r="C1969" s="4">
        <v>5709</v>
      </c>
      <c r="D1969" s="95" t="s">
        <v>3049</v>
      </c>
      <c r="E1969" s="145">
        <v>65.02</v>
      </c>
      <c r="F1969" s="145">
        <v>0</v>
      </c>
      <c r="G1969" s="145">
        <v>0</v>
      </c>
      <c r="H1969" s="145">
        <v>0</v>
      </c>
      <c r="I1969" s="77">
        <f t="shared" si="33"/>
        <v>65.02</v>
      </c>
      <c r="J1969" s="123" t="str">
        <f>IFERROR(VLOOKUP($C1969,'CEDARS School FRPL'!C:H,4,FALSE),"No")</f>
        <v>No</v>
      </c>
      <c r="K1969" s="109"/>
      <c r="L1969" s="109"/>
      <c r="M1969" s="110">
        <f>IFERROR(VLOOKUP($C1969,'CEDARS School FRPL'!C:H,3,FALSE),0)</f>
        <v>0.32350000000000001</v>
      </c>
      <c r="N1969" s="123" t="str">
        <f>IFERROR(VLOOKUP(C1969,'CEDARS School FRPL'!C:H,6,FALSE),"No")</f>
        <v>No</v>
      </c>
      <c r="O1969" s="147"/>
      <c r="P1969" s="148"/>
    </row>
    <row r="1970" spans="1:16">
      <c r="A1970" s="95" t="s">
        <v>2547</v>
      </c>
      <c r="B1970" s="95" t="s">
        <v>2150</v>
      </c>
      <c r="C1970" s="4">
        <v>2115</v>
      </c>
      <c r="D1970" s="95" t="s">
        <v>2151</v>
      </c>
      <c r="E1970" s="145">
        <v>38.71</v>
      </c>
      <c r="F1970" s="145">
        <v>0</v>
      </c>
      <c r="G1970" s="145">
        <v>0</v>
      </c>
      <c r="H1970" s="145">
        <v>0</v>
      </c>
      <c r="I1970" s="77">
        <f t="shared" si="33"/>
        <v>38.71</v>
      </c>
      <c r="J1970" s="123" t="str">
        <f>IFERROR(VLOOKUP($C1970,'CEDARS School FRPL'!C:H,4,FALSE),"No")</f>
        <v>No</v>
      </c>
      <c r="K1970" s="109"/>
      <c r="L1970" s="109"/>
      <c r="M1970" s="110">
        <f>IFERROR(VLOOKUP($C1970,'CEDARS School FRPL'!C:H,3,FALSE),0)</f>
        <v>0</v>
      </c>
      <c r="N1970" s="123" t="str">
        <f>IFERROR(VLOOKUP(C1970,'CEDARS School FRPL'!C:H,6,FALSE),"No")</f>
        <v>No</v>
      </c>
      <c r="O1970" s="147"/>
      <c r="P1970" s="148"/>
    </row>
    <row r="1971" spans="1:16">
      <c r="A1971" s="95" t="s">
        <v>2471</v>
      </c>
      <c r="B1971" s="95" t="s">
        <v>1591</v>
      </c>
      <c r="C1971" s="4">
        <v>2682</v>
      </c>
      <c r="D1971" s="95" t="s">
        <v>767</v>
      </c>
      <c r="E1971" s="145">
        <v>136.86000000000001</v>
      </c>
      <c r="F1971" s="145">
        <v>0</v>
      </c>
      <c r="G1971" s="145">
        <v>0</v>
      </c>
      <c r="H1971" s="145">
        <v>0</v>
      </c>
      <c r="I1971" s="77">
        <f t="shared" si="33"/>
        <v>136.86000000000001</v>
      </c>
      <c r="J1971" s="123" t="str">
        <f>IFERROR(VLOOKUP($C1971,'CEDARS School FRPL'!C:H,4,FALSE),"No")</f>
        <v>Yes</v>
      </c>
      <c r="K1971" s="109"/>
      <c r="L1971" s="109"/>
      <c r="M1971" s="110">
        <f>IFERROR(VLOOKUP($C1971,'CEDARS School FRPL'!C:H,3,FALSE),0)</f>
        <v>0.52879999999999994</v>
      </c>
      <c r="N1971" s="123" t="str">
        <f>IFERROR(VLOOKUP(C1971,'CEDARS School FRPL'!C:H,6,FALSE),"No")</f>
        <v>No</v>
      </c>
      <c r="O1971" s="147"/>
      <c r="P1971" s="148"/>
    </row>
    <row r="1972" spans="1:16">
      <c r="A1972" s="95" t="s">
        <v>2471</v>
      </c>
      <c r="B1972" s="95" t="s">
        <v>1591</v>
      </c>
      <c r="C1972" s="4">
        <v>2882</v>
      </c>
      <c r="D1972" s="95" t="s">
        <v>937</v>
      </c>
      <c r="E1972" s="145">
        <v>201.87</v>
      </c>
      <c r="F1972" s="145">
        <v>0</v>
      </c>
      <c r="G1972" s="145">
        <v>0</v>
      </c>
      <c r="H1972" s="145">
        <v>0</v>
      </c>
      <c r="I1972" s="77">
        <f t="shared" si="33"/>
        <v>201.87</v>
      </c>
      <c r="J1972" s="123" t="str">
        <f>IFERROR(VLOOKUP($C1972,'CEDARS School FRPL'!C:H,4,FALSE),"No")</f>
        <v>Yes</v>
      </c>
      <c r="K1972" s="109"/>
      <c r="L1972" s="109"/>
      <c r="M1972" s="110">
        <f>IFERROR(VLOOKUP($C1972,'CEDARS School FRPL'!C:H,3,FALSE),0)</f>
        <v>0.51993333333333325</v>
      </c>
      <c r="N1972" s="123" t="str">
        <f>IFERROR(VLOOKUP(C1972,'CEDARS School FRPL'!C:H,6,FALSE),"No")</f>
        <v>No</v>
      </c>
      <c r="O1972" s="147"/>
      <c r="P1972" s="148"/>
    </row>
    <row r="1973" spans="1:16">
      <c r="A1973" s="95" t="s">
        <v>2471</v>
      </c>
      <c r="B1973" s="95" t="s">
        <v>1591</v>
      </c>
      <c r="C1973" s="4">
        <v>3119</v>
      </c>
      <c r="D1973" s="95" t="s">
        <v>1592</v>
      </c>
      <c r="E1973" s="145">
        <v>236.32</v>
      </c>
      <c r="F1973" s="145">
        <v>2.6399999999999997</v>
      </c>
      <c r="G1973" s="145">
        <v>2.71</v>
      </c>
      <c r="H1973" s="145">
        <v>0</v>
      </c>
      <c r="I1973" s="77">
        <f t="shared" si="33"/>
        <v>241.67</v>
      </c>
      <c r="J1973" s="123" t="str">
        <f>IFERROR(VLOOKUP($C1973,'CEDARS School FRPL'!C:H,4,FALSE),"No")</f>
        <v>Yes</v>
      </c>
      <c r="K1973" s="109"/>
      <c r="L1973" s="109"/>
      <c r="M1973" s="110">
        <f>IFERROR(VLOOKUP($C1973,'CEDARS School FRPL'!C:H,3,FALSE),0)</f>
        <v>0.50206666666666666</v>
      </c>
      <c r="N1973" s="123" t="str">
        <f>IFERROR(VLOOKUP(C1973,'CEDARS School FRPL'!C:H,6,FALSE),"No")</f>
        <v>No</v>
      </c>
      <c r="O1973" s="147"/>
      <c r="P1973" s="148"/>
    </row>
    <row r="1974" spans="1:16">
      <c r="A1974" s="95" t="s">
        <v>2471</v>
      </c>
      <c r="B1974" s="95" t="s">
        <v>1591</v>
      </c>
      <c r="C1974" s="4">
        <v>3800</v>
      </c>
      <c r="D1974" s="95" t="s">
        <v>1593</v>
      </c>
      <c r="E1974" s="145">
        <v>201.03</v>
      </c>
      <c r="F1974" s="145">
        <v>0</v>
      </c>
      <c r="G1974" s="145">
        <v>0</v>
      </c>
      <c r="H1974" s="145">
        <v>0</v>
      </c>
      <c r="I1974" s="77">
        <f t="shared" si="33"/>
        <v>201.03</v>
      </c>
      <c r="J1974" s="123" t="str">
        <f>IFERROR(VLOOKUP($C1974,'CEDARS School FRPL'!C:H,4,FALSE),"No")</f>
        <v>Yes</v>
      </c>
      <c r="K1974" s="109"/>
      <c r="L1974" s="109"/>
      <c r="M1974" s="110">
        <f>IFERROR(VLOOKUP($C1974,'CEDARS School FRPL'!C:H,3,FALSE),0)</f>
        <v>0.53159999999999996</v>
      </c>
      <c r="N1974" s="123" t="str">
        <f>IFERROR(VLOOKUP(C1974,'CEDARS School FRPL'!C:H,6,FALSE),"No")</f>
        <v>No</v>
      </c>
      <c r="O1974" s="147"/>
      <c r="P1974" s="148"/>
    </row>
    <row r="1975" spans="1:16">
      <c r="A1975" s="95" t="s">
        <v>2482</v>
      </c>
      <c r="B1975" s="95" t="s">
        <v>1746</v>
      </c>
      <c r="C1975" s="4">
        <v>2105</v>
      </c>
      <c r="D1975" s="95" t="s">
        <v>1747</v>
      </c>
      <c r="E1975" s="145">
        <v>422.24</v>
      </c>
      <c r="F1975" s="145">
        <v>0</v>
      </c>
      <c r="G1975" s="145">
        <v>0</v>
      </c>
      <c r="H1975" s="145">
        <v>0</v>
      </c>
      <c r="I1975" s="77">
        <f t="shared" si="33"/>
        <v>422.24</v>
      </c>
      <c r="J1975" s="123" t="str">
        <f>IFERROR(VLOOKUP($C1975,'CEDARS School FRPL'!C:H,4,FALSE),"No")</f>
        <v>Yes</v>
      </c>
      <c r="K1975" s="109"/>
      <c r="L1975" s="109"/>
      <c r="M1975" s="110">
        <f>IFERROR(VLOOKUP($C1975,'CEDARS School FRPL'!C:H,3,FALSE),0)</f>
        <v>0.5583999999999999</v>
      </c>
      <c r="N1975" s="123" t="str">
        <f>IFERROR(VLOOKUP(C1975,'CEDARS School FRPL'!C:H,6,FALSE),"No")</f>
        <v>No</v>
      </c>
      <c r="O1975" s="147"/>
      <c r="P1975" s="148"/>
    </row>
    <row r="1976" spans="1:16">
      <c r="A1976" s="95" t="s">
        <v>2482</v>
      </c>
      <c r="B1976" s="95" t="s">
        <v>1746</v>
      </c>
      <c r="C1976" s="4">
        <v>2229</v>
      </c>
      <c r="D1976" s="95" t="s">
        <v>1748</v>
      </c>
      <c r="E1976" s="145">
        <v>561.20000000000005</v>
      </c>
      <c r="F1976" s="145">
        <v>0</v>
      </c>
      <c r="G1976" s="145">
        <v>0</v>
      </c>
      <c r="H1976" s="145">
        <v>0</v>
      </c>
      <c r="I1976" s="77">
        <f t="shared" si="33"/>
        <v>561.20000000000005</v>
      </c>
      <c r="J1976" s="123" t="str">
        <f>IFERROR(VLOOKUP($C1976,'CEDARS School FRPL'!C:H,4,FALSE),"No")</f>
        <v>Yes</v>
      </c>
      <c r="K1976" s="109"/>
      <c r="L1976" s="109"/>
      <c r="M1976" s="110">
        <f>IFERROR(VLOOKUP($C1976,'CEDARS School FRPL'!C:H,3,FALSE),0)</f>
        <v>0.52823333333333344</v>
      </c>
      <c r="N1976" s="123" t="str">
        <f>IFERROR(VLOOKUP(C1976,'CEDARS School FRPL'!C:H,6,FALSE),"No")</f>
        <v>No</v>
      </c>
      <c r="O1976" s="147"/>
      <c r="P1976" s="148"/>
    </row>
    <row r="1977" spans="1:16">
      <c r="A1977" s="95" t="s">
        <v>2482</v>
      </c>
      <c r="B1977" s="95" t="s">
        <v>1746</v>
      </c>
      <c r="C1977" s="4">
        <v>4274</v>
      </c>
      <c r="D1977" s="95" t="s">
        <v>1749</v>
      </c>
      <c r="E1977" s="145">
        <v>501</v>
      </c>
      <c r="F1977" s="145">
        <v>15.049999999999999</v>
      </c>
      <c r="G1977" s="145">
        <v>0</v>
      </c>
      <c r="H1977" s="145">
        <v>0</v>
      </c>
      <c r="I1977" s="77">
        <f t="shared" si="33"/>
        <v>516.04999999999995</v>
      </c>
      <c r="J1977" s="123" t="str">
        <f>IFERROR(VLOOKUP($C1977,'CEDARS School FRPL'!C:H,4,FALSE),"No")</f>
        <v>Yes</v>
      </c>
      <c r="K1977" s="109"/>
      <c r="L1977" s="109"/>
      <c r="M1977" s="110">
        <f>IFERROR(VLOOKUP($C1977,'CEDARS School FRPL'!C:H,3,FALSE),0)</f>
        <v>0.50396666666666667</v>
      </c>
      <c r="N1977" s="123" t="str">
        <f>IFERROR(VLOOKUP(C1977,'CEDARS School FRPL'!C:H,6,FALSE),"No")</f>
        <v>No</v>
      </c>
      <c r="O1977" s="147"/>
      <c r="P1977" s="148"/>
    </row>
    <row r="1978" spans="1:16">
      <c r="A1978" s="95" t="s">
        <v>2482</v>
      </c>
      <c r="B1978" s="95" t="s">
        <v>1746</v>
      </c>
      <c r="C1978" s="4">
        <v>4399</v>
      </c>
      <c r="D1978" s="95" t="s">
        <v>1750</v>
      </c>
      <c r="E1978" s="145">
        <v>332.14</v>
      </c>
      <c r="F1978" s="145">
        <v>0</v>
      </c>
      <c r="G1978" s="145">
        <v>0</v>
      </c>
      <c r="H1978" s="145">
        <v>0</v>
      </c>
      <c r="I1978" s="77">
        <f t="shared" si="33"/>
        <v>332.14</v>
      </c>
      <c r="J1978" s="123" t="str">
        <f>IFERROR(VLOOKUP($C1978,'CEDARS School FRPL'!C:H,4,FALSE),"No")</f>
        <v>Yes</v>
      </c>
      <c r="K1978" s="109"/>
      <c r="L1978" s="109"/>
      <c r="M1978" s="110">
        <f>IFERROR(VLOOKUP($C1978,'CEDARS School FRPL'!C:H,3,FALSE),0)</f>
        <v>0.63200000000000001</v>
      </c>
      <c r="N1978" s="123" t="str">
        <f>IFERROR(VLOOKUP(C1978,'CEDARS School FRPL'!C:H,6,FALSE),"No")</f>
        <v>No</v>
      </c>
      <c r="O1978" s="147"/>
      <c r="P1978" s="148"/>
    </row>
    <row r="1979" spans="1:16">
      <c r="A1979" s="95" t="s">
        <v>2482</v>
      </c>
      <c r="B1979" s="95" t="s">
        <v>1746</v>
      </c>
      <c r="C1979" s="4">
        <v>5114</v>
      </c>
      <c r="D1979" s="95" t="s">
        <v>2738</v>
      </c>
      <c r="E1979" s="145">
        <v>18.920000000000002</v>
      </c>
      <c r="F1979" s="145">
        <v>0</v>
      </c>
      <c r="G1979" s="145">
        <v>0</v>
      </c>
      <c r="H1979" s="145">
        <v>0</v>
      </c>
      <c r="I1979" s="77">
        <f t="shared" si="33"/>
        <v>18.920000000000002</v>
      </c>
      <c r="J1979" s="123" t="str">
        <f>IFERROR(VLOOKUP($C1979,'CEDARS School FRPL'!C:H,4,FALSE),"No")</f>
        <v>No</v>
      </c>
      <c r="K1979" s="109"/>
      <c r="L1979" s="109"/>
      <c r="M1979" s="110">
        <f>IFERROR(VLOOKUP($C1979,'CEDARS School FRPL'!C:H,3,FALSE),0)</f>
        <v>0.33766666666666673</v>
      </c>
      <c r="N1979" s="123" t="str">
        <f>IFERROR(VLOOKUP(C1979,'CEDARS School FRPL'!C:H,6,FALSE),"No")</f>
        <v>No</v>
      </c>
      <c r="O1979" s="147"/>
      <c r="P1979" s="148"/>
    </row>
    <row r="1980" spans="1:16">
      <c r="A1980" s="95" t="s">
        <v>2482</v>
      </c>
      <c r="B1980" s="95" t="s">
        <v>1746</v>
      </c>
      <c r="C1980" s="4">
        <v>5329</v>
      </c>
      <c r="D1980" s="95" t="s">
        <v>1751</v>
      </c>
      <c r="E1980" s="145">
        <v>3</v>
      </c>
      <c r="F1980" s="145">
        <v>0</v>
      </c>
      <c r="G1980" s="145">
        <v>11.43</v>
      </c>
      <c r="H1980" s="145">
        <v>0</v>
      </c>
      <c r="I1980" s="77">
        <f t="shared" si="33"/>
        <v>14.43</v>
      </c>
      <c r="J1980" s="123" t="str">
        <f>IFERROR(VLOOKUP($C1980,'CEDARS School FRPL'!C:H,4,FALSE),"No")</f>
        <v>No</v>
      </c>
      <c r="K1980" s="109"/>
      <c r="L1980" s="109"/>
      <c r="M1980" s="110">
        <f>IFERROR(VLOOKUP($C1980,'CEDARS School FRPL'!C:H,3,FALSE),0)</f>
        <v>0.36310000000000003</v>
      </c>
      <c r="N1980" s="123" t="str">
        <f>IFERROR(VLOOKUP(C1980,'CEDARS School FRPL'!C:H,6,FALSE),"No")</f>
        <v>No</v>
      </c>
      <c r="O1980" s="147"/>
      <c r="P1980" s="148"/>
    </row>
    <row r="1981" spans="1:16">
      <c r="A1981" s="95" t="s">
        <v>2482</v>
      </c>
      <c r="B1981" s="95" t="s">
        <v>1746</v>
      </c>
      <c r="C1981" s="4">
        <v>5641</v>
      </c>
      <c r="D1981" s="95" t="s">
        <v>2934</v>
      </c>
      <c r="E1981" s="145">
        <v>24.03</v>
      </c>
      <c r="F1981" s="145">
        <v>0</v>
      </c>
      <c r="G1981" s="145">
        <v>0</v>
      </c>
      <c r="H1981" s="145">
        <v>0</v>
      </c>
      <c r="I1981" s="77">
        <f t="shared" si="33"/>
        <v>24.03</v>
      </c>
      <c r="J1981" s="123" t="str">
        <f>IFERROR(VLOOKUP($C1981,'CEDARS School FRPL'!C:H,4,FALSE),"No")</f>
        <v>Yes</v>
      </c>
      <c r="K1981" s="109"/>
      <c r="L1981" s="109"/>
      <c r="M1981" s="110">
        <f>IFERROR(VLOOKUP($C1981,'CEDARS School FRPL'!C:H,3,FALSE),0)</f>
        <v>0.51575000000000004</v>
      </c>
      <c r="N1981" s="123" t="str">
        <f>IFERROR(VLOOKUP(C1981,'CEDARS School FRPL'!C:H,6,FALSE),"No")</f>
        <v>No</v>
      </c>
      <c r="O1981" s="147"/>
      <c r="P1981" s="148"/>
    </row>
    <row r="1982" spans="1:16">
      <c r="A1982" s="95" t="s">
        <v>2482</v>
      </c>
      <c r="B1982" s="95" t="s">
        <v>1746</v>
      </c>
      <c r="C1982" s="4">
        <v>5642</v>
      </c>
      <c r="D1982" s="95" t="s">
        <v>2935</v>
      </c>
      <c r="E1982" s="145">
        <v>47.71</v>
      </c>
      <c r="F1982" s="145">
        <v>0</v>
      </c>
      <c r="G1982" s="145">
        <v>0</v>
      </c>
      <c r="H1982" s="145">
        <v>0</v>
      </c>
      <c r="I1982" s="77">
        <f t="shared" si="33"/>
        <v>47.71</v>
      </c>
      <c r="J1982" s="123" t="str">
        <f>IFERROR(VLOOKUP($C1982,'CEDARS School FRPL'!C:H,4,FALSE),"No")</f>
        <v>Yes</v>
      </c>
      <c r="K1982" s="109"/>
      <c r="L1982" s="109"/>
      <c r="M1982" s="110">
        <f>IFERROR(VLOOKUP($C1982,'CEDARS School FRPL'!C:H,3,FALSE),0)</f>
        <v>0.50350000000000006</v>
      </c>
      <c r="N1982" s="123" t="str">
        <f>IFERROR(VLOOKUP(C1982,'CEDARS School FRPL'!C:H,6,FALSE),"No")</f>
        <v>No</v>
      </c>
      <c r="O1982" s="147"/>
      <c r="P1982" s="148"/>
    </row>
    <row r="1983" spans="1:16">
      <c r="A1983" s="95" t="s">
        <v>2586</v>
      </c>
      <c r="B1983" s="95" t="s">
        <v>2709</v>
      </c>
      <c r="C1983" s="4">
        <v>5469</v>
      </c>
      <c r="D1983" s="95" t="s">
        <v>2709</v>
      </c>
      <c r="E1983" s="145">
        <v>454.06</v>
      </c>
      <c r="F1983" s="145">
        <v>6.85</v>
      </c>
      <c r="G1983" s="145">
        <v>0</v>
      </c>
      <c r="H1983" s="145">
        <v>0</v>
      </c>
      <c r="I1983" s="77">
        <f t="shared" si="33"/>
        <v>460.91</v>
      </c>
      <c r="J1983" s="123" t="str">
        <f>IFERROR(VLOOKUP($C1983,'CEDARS School FRPL'!C:H,4,FALSE),"No")</f>
        <v>No</v>
      </c>
      <c r="K1983" s="109"/>
      <c r="L1983" s="109"/>
      <c r="M1983" s="110">
        <f>IFERROR(VLOOKUP($C1983,'CEDARS School FRPL'!C:H,3,FALSE),0)</f>
        <v>0.45423333333333332</v>
      </c>
      <c r="N1983" s="123" t="str">
        <f>IFERROR(VLOOKUP(C1983,'CEDARS School FRPL'!C:H,6,FALSE),"No")</f>
        <v>Yes</v>
      </c>
      <c r="O1983" s="147"/>
      <c r="P1983" s="148"/>
    </row>
    <row r="1984" spans="1:16">
      <c r="A1984" s="95" t="s">
        <v>2453</v>
      </c>
      <c r="B1984" s="95" t="s">
        <v>1522</v>
      </c>
      <c r="C1984" s="4">
        <v>5376</v>
      </c>
      <c r="D1984" s="95" t="s">
        <v>1522</v>
      </c>
      <c r="E1984" s="145">
        <v>177.43</v>
      </c>
      <c r="F1984" s="145">
        <v>0</v>
      </c>
      <c r="G1984" s="145">
        <v>0</v>
      </c>
      <c r="H1984" s="145">
        <v>0</v>
      </c>
      <c r="I1984" s="77">
        <f t="shared" si="33"/>
        <v>177.43</v>
      </c>
      <c r="J1984" s="123" t="str">
        <f>IFERROR(VLOOKUP($C1984,'CEDARS School FRPL'!C:H,4,FALSE),"No")</f>
        <v>Yes</v>
      </c>
      <c r="K1984" s="109"/>
      <c r="L1984" s="109"/>
      <c r="M1984" s="110">
        <f>IFERROR(VLOOKUP($C1984,'CEDARS School FRPL'!C:H,3,FALSE),0)</f>
        <v>0.61599999999999999</v>
      </c>
      <c r="N1984" s="123" t="str">
        <f>IFERROR(VLOOKUP(C1984,'CEDARS School FRPL'!C:H,6,FALSE),"No")</f>
        <v>No</v>
      </c>
      <c r="O1984" s="147"/>
      <c r="P1984" s="148"/>
    </row>
    <row r="1985" spans="1:16">
      <c r="A1985" s="95" t="s">
        <v>2367</v>
      </c>
      <c r="B1985" s="95" t="s">
        <v>1011</v>
      </c>
      <c r="C1985" s="4">
        <v>5375</v>
      </c>
      <c r="D1985" s="95" t="s">
        <v>1011</v>
      </c>
      <c r="E1985" s="145">
        <v>300.37</v>
      </c>
      <c r="F1985" s="145">
        <v>4.58</v>
      </c>
      <c r="G1985" s="145">
        <v>0</v>
      </c>
      <c r="H1985" s="145">
        <v>0</v>
      </c>
      <c r="I1985" s="77">
        <f t="shared" si="33"/>
        <v>304.95</v>
      </c>
      <c r="J1985" s="123" t="str">
        <f>IFERROR(VLOOKUP($C1985,'CEDARS School FRPL'!C:H,4,FALSE),"No")</f>
        <v>No</v>
      </c>
      <c r="K1985" s="109"/>
      <c r="L1985" s="109"/>
      <c r="M1985" s="110">
        <f>IFERROR(VLOOKUP($C1985,'CEDARS School FRPL'!C:H,3,FALSE),0)</f>
        <v>0.32493333333333335</v>
      </c>
      <c r="N1985" s="123" t="str">
        <f>IFERROR(VLOOKUP(C1985,'CEDARS School FRPL'!C:H,6,FALSE),"No")</f>
        <v>No</v>
      </c>
      <c r="O1985" s="147"/>
      <c r="P1985" s="148"/>
    </row>
    <row r="1986" spans="1:16">
      <c r="A1986" s="95" t="s">
        <v>2509</v>
      </c>
      <c r="B1986" s="95" t="s">
        <v>1945</v>
      </c>
      <c r="C1986" s="4">
        <v>4394</v>
      </c>
      <c r="D1986" s="95" t="s">
        <v>1946</v>
      </c>
      <c r="E1986" s="145">
        <v>70.98</v>
      </c>
      <c r="F1986" s="145">
        <v>0</v>
      </c>
      <c r="G1986" s="145">
        <v>0</v>
      </c>
      <c r="H1986" s="145">
        <v>0</v>
      </c>
      <c r="I1986" s="77">
        <f t="shared" si="33"/>
        <v>70.98</v>
      </c>
      <c r="J1986" s="123" t="str">
        <f>IFERROR(VLOOKUP($C1986,'CEDARS School FRPL'!C:H,4,FALSE),"No")</f>
        <v>Yes</v>
      </c>
      <c r="K1986" s="109"/>
      <c r="L1986" s="109"/>
      <c r="M1986" s="110">
        <f>IFERROR(VLOOKUP($C1986,'CEDARS School FRPL'!C:H,3,FALSE),0)</f>
        <v>0.7782</v>
      </c>
      <c r="N1986" s="123" t="str">
        <f>IFERROR(VLOOKUP(C1986,'CEDARS School FRPL'!C:H,6,FALSE),"No")</f>
        <v>No</v>
      </c>
      <c r="O1986" s="147"/>
      <c r="P1986" s="148"/>
    </row>
    <row r="1987" spans="1:16">
      <c r="A1987" s="95" t="s">
        <v>2443</v>
      </c>
      <c r="B1987" s="95" t="s">
        <v>1396</v>
      </c>
      <c r="C1987" s="4">
        <v>2875</v>
      </c>
      <c r="D1987" s="95" t="s">
        <v>1397</v>
      </c>
      <c r="E1987" s="145">
        <v>574.91999999999996</v>
      </c>
      <c r="F1987" s="145">
        <v>0</v>
      </c>
      <c r="G1987" s="145">
        <v>0</v>
      </c>
      <c r="H1987" s="145">
        <v>0</v>
      </c>
      <c r="I1987" s="77">
        <f t="shared" si="33"/>
        <v>574.91999999999996</v>
      </c>
      <c r="J1987" s="123" t="str">
        <f>IFERROR(VLOOKUP($C1987,'CEDARS School FRPL'!C:H,4,FALSE),"No")</f>
        <v>No</v>
      </c>
      <c r="K1987" s="109"/>
      <c r="L1987" s="109"/>
      <c r="M1987" s="110">
        <f>IFERROR(VLOOKUP($C1987,'CEDARS School FRPL'!C:H,3,FALSE),0)</f>
        <v>0.26573333333333332</v>
      </c>
      <c r="N1987" s="123" t="str">
        <f>IFERROR(VLOOKUP(C1987,'CEDARS School FRPL'!C:H,6,FALSE),"No")</f>
        <v>No</v>
      </c>
      <c r="O1987" s="147"/>
      <c r="P1987" s="148"/>
    </row>
    <row r="1988" spans="1:16">
      <c r="A1988" s="95" t="s">
        <v>2443</v>
      </c>
      <c r="B1988" s="95" t="s">
        <v>1396</v>
      </c>
      <c r="C1988" s="4">
        <v>3247</v>
      </c>
      <c r="D1988" s="95" t="s">
        <v>1398</v>
      </c>
      <c r="E1988" s="145">
        <v>1573.7</v>
      </c>
      <c r="F1988" s="145">
        <v>114.82</v>
      </c>
      <c r="G1988" s="145">
        <v>0</v>
      </c>
      <c r="H1988" s="145">
        <v>0</v>
      </c>
      <c r="I1988" s="77">
        <f t="shared" ref="I1988:I2051" si="34">+E1988+F1988+G1988+H1988</f>
        <v>1688.52</v>
      </c>
      <c r="J1988" s="123" t="str">
        <f>IFERROR(VLOOKUP($C1988,'CEDARS School FRPL'!C:H,4,FALSE),"No")</f>
        <v>No</v>
      </c>
      <c r="K1988" s="109"/>
      <c r="L1988" s="109"/>
      <c r="M1988" s="110">
        <f>IFERROR(VLOOKUP($C1988,'CEDARS School FRPL'!C:H,3,FALSE),0)</f>
        <v>0.27489999999999998</v>
      </c>
      <c r="N1988" s="123" t="str">
        <f>IFERROR(VLOOKUP(C1988,'CEDARS School FRPL'!C:H,6,FALSE),"No")</f>
        <v>No</v>
      </c>
      <c r="O1988" s="147"/>
      <c r="P1988" s="148"/>
    </row>
    <row r="1989" spans="1:16">
      <c r="A1989" s="95" t="s">
        <v>2443</v>
      </c>
      <c r="B1989" s="95" t="s">
        <v>1396</v>
      </c>
      <c r="C1989" s="4">
        <v>3349</v>
      </c>
      <c r="D1989" s="95" t="s">
        <v>1399</v>
      </c>
      <c r="E1989" s="145">
        <v>441.93</v>
      </c>
      <c r="F1989" s="145">
        <v>0</v>
      </c>
      <c r="G1989" s="145">
        <v>0</v>
      </c>
      <c r="H1989" s="145">
        <v>0</v>
      </c>
      <c r="I1989" s="77">
        <f t="shared" si="34"/>
        <v>441.93</v>
      </c>
      <c r="J1989" s="123" t="str">
        <f>IFERROR(VLOOKUP($C1989,'CEDARS School FRPL'!C:H,4,FALSE),"No")</f>
        <v>No</v>
      </c>
      <c r="K1989" s="109"/>
      <c r="L1989" s="109"/>
      <c r="M1989" s="110">
        <f>IFERROR(VLOOKUP($C1989,'CEDARS School FRPL'!C:H,3,FALSE),0)</f>
        <v>0.27289999999999998</v>
      </c>
      <c r="N1989" s="123" t="str">
        <f>IFERROR(VLOOKUP(C1989,'CEDARS School FRPL'!C:H,6,FALSE),"No")</f>
        <v>No</v>
      </c>
      <c r="O1989" s="147"/>
      <c r="P1989" s="148"/>
    </row>
    <row r="1990" spans="1:16">
      <c r="A1990" s="95" t="s">
        <v>2443</v>
      </c>
      <c r="B1990" s="95" t="s">
        <v>1396</v>
      </c>
      <c r="C1990" s="4">
        <v>3399</v>
      </c>
      <c r="D1990" s="95" t="s">
        <v>1400</v>
      </c>
      <c r="E1990" s="145">
        <v>597.65</v>
      </c>
      <c r="F1990" s="145">
        <v>0</v>
      </c>
      <c r="G1990" s="145">
        <v>0</v>
      </c>
      <c r="H1990" s="145">
        <v>0</v>
      </c>
      <c r="I1990" s="77">
        <f t="shared" si="34"/>
        <v>597.65</v>
      </c>
      <c r="J1990" s="123" t="str">
        <f>IFERROR(VLOOKUP($C1990,'CEDARS School FRPL'!C:H,4,FALSE),"No")</f>
        <v>No</v>
      </c>
      <c r="K1990" s="109"/>
      <c r="L1990" s="109"/>
      <c r="M1990" s="110">
        <f>IFERROR(VLOOKUP($C1990,'CEDARS School FRPL'!C:H,3,FALSE),0)</f>
        <v>0.15523333333333333</v>
      </c>
      <c r="N1990" s="123" t="str">
        <f>IFERROR(VLOOKUP(C1990,'CEDARS School FRPL'!C:H,6,FALSE),"No")</f>
        <v>No</v>
      </c>
      <c r="O1990" s="147"/>
      <c r="P1990" s="148"/>
    </row>
    <row r="1991" spans="1:16">
      <c r="A1991" s="95" t="s">
        <v>2443</v>
      </c>
      <c r="B1991" s="95" t="s">
        <v>1396</v>
      </c>
      <c r="C1991" s="4">
        <v>3499</v>
      </c>
      <c r="D1991" s="95" t="s">
        <v>1401</v>
      </c>
      <c r="E1991" s="145">
        <v>702.52</v>
      </c>
      <c r="F1991" s="145">
        <v>0</v>
      </c>
      <c r="G1991" s="145">
        <v>0</v>
      </c>
      <c r="H1991" s="145">
        <v>0</v>
      </c>
      <c r="I1991" s="77">
        <f t="shared" si="34"/>
        <v>702.52</v>
      </c>
      <c r="J1991" s="123" t="str">
        <f>IFERROR(VLOOKUP($C1991,'CEDARS School FRPL'!C:H,4,FALSE),"No")</f>
        <v>No</v>
      </c>
      <c r="K1991" s="109"/>
      <c r="L1991" s="109"/>
      <c r="M1991" s="110">
        <f>IFERROR(VLOOKUP($C1991,'CEDARS School FRPL'!C:H,3,FALSE),0)</f>
        <v>0.40093333333333331</v>
      </c>
      <c r="N1991" s="123" t="str">
        <f>IFERROR(VLOOKUP(C1991,'CEDARS School FRPL'!C:H,6,FALSE),"No")</f>
        <v>No</v>
      </c>
      <c r="O1991" s="147"/>
      <c r="P1991" s="148"/>
    </row>
    <row r="1992" spans="1:16">
      <c r="A1992" s="95" t="s">
        <v>2443</v>
      </c>
      <c r="B1992" s="95" t="s">
        <v>1396</v>
      </c>
      <c r="C1992" s="4">
        <v>4132</v>
      </c>
      <c r="D1992" s="95" t="s">
        <v>1402</v>
      </c>
      <c r="E1992" s="145">
        <v>726.51</v>
      </c>
      <c r="F1992" s="145">
        <v>0</v>
      </c>
      <c r="G1992" s="145">
        <v>0</v>
      </c>
      <c r="H1992" s="145">
        <v>0</v>
      </c>
      <c r="I1992" s="77">
        <f t="shared" si="34"/>
        <v>726.51</v>
      </c>
      <c r="J1992" s="123" t="str">
        <f>IFERROR(VLOOKUP($C1992,'CEDARS School FRPL'!C:H,4,FALSE),"No")</f>
        <v>No</v>
      </c>
      <c r="K1992" s="109"/>
      <c r="L1992" s="109"/>
      <c r="M1992" s="110">
        <f>IFERROR(VLOOKUP($C1992,'CEDARS School FRPL'!C:H,3,FALSE),0)</f>
        <v>0.31126666666666664</v>
      </c>
      <c r="N1992" s="123" t="str">
        <f>IFERROR(VLOOKUP(C1992,'CEDARS School FRPL'!C:H,6,FALSE),"No")</f>
        <v>No</v>
      </c>
      <c r="O1992" s="147"/>
      <c r="P1992" s="148"/>
    </row>
    <row r="1993" spans="1:16">
      <c r="A1993" s="95" t="s">
        <v>2443</v>
      </c>
      <c r="B1993" s="95" t="s">
        <v>1396</v>
      </c>
      <c r="C1993" s="4">
        <v>4166</v>
      </c>
      <c r="D1993" s="95" t="s">
        <v>1403</v>
      </c>
      <c r="E1993" s="145">
        <v>515.9</v>
      </c>
      <c r="F1993" s="145">
        <v>0</v>
      </c>
      <c r="G1993" s="145">
        <v>0</v>
      </c>
      <c r="H1993" s="145">
        <v>0</v>
      </c>
      <c r="I1993" s="77">
        <f t="shared" si="34"/>
        <v>515.9</v>
      </c>
      <c r="J1993" s="123" t="str">
        <f>IFERROR(VLOOKUP($C1993,'CEDARS School FRPL'!C:H,4,FALSE),"No")</f>
        <v>No</v>
      </c>
      <c r="K1993" s="109"/>
      <c r="L1993" s="109"/>
      <c r="M1993" s="110">
        <f>IFERROR(VLOOKUP($C1993,'CEDARS School FRPL'!C:H,3,FALSE),0)</f>
        <v>0.21246666666666666</v>
      </c>
      <c r="N1993" s="123" t="str">
        <f>IFERROR(VLOOKUP(C1993,'CEDARS School FRPL'!C:H,6,FALSE),"No")</f>
        <v>No</v>
      </c>
      <c r="O1993" s="147"/>
      <c r="P1993" s="148"/>
    </row>
    <row r="1994" spans="1:16">
      <c r="A1994" s="95" t="s">
        <v>2443</v>
      </c>
      <c r="B1994" s="95" t="s">
        <v>1396</v>
      </c>
      <c r="C1994" s="4">
        <v>4250</v>
      </c>
      <c r="D1994" s="95" t="s">
        <v>1404</v>
      </c>
      <c r="E1994" s="145">
        <v>517.71</v>
      </c>
      <c r="F1994" s="145">
        <v>0</v>
      </c>
      <c r="G1994" s="145">
        <v>0</v>
      </c>
      <c r="H1994" s="145">
        <v>0</v>
      </c>
      <c r="I1994" s="77">
        <f t="shared" si="34"/>
        <v>517.71</v>
      </c>
      <c r="J1994" s="123" t="str">
        <f>IFERROR(VLOOKUP($C1994,'CEDARS School FRPL'!C:H,4,FALSE),"No")</f>
        <v>No</v>
      </c>
      <c r="K1994" s="109"/>
      <c r="L1994" s="109"/>
      <c r="M1994" s="110">
        <f>IFERROR(VLOOKUP($C1994,'CEDARS School FRPL'!C:H,3,FALSE),0)</f>
        <v>0.2825333333333333</v>
      </c>
      <c r="N1994" s="123" t="str">
        <f>IFERROR(VLOOKUP(C1994,'CEDARS School FRPL'!C:H,6,FALSE),"No")</f>
        <v>No</v>
      </c>
      <c r="O1994" s="147"/>
      <c r="P1994" s="148"/>
    </row>
    <row r="1995" spans="1:16">
      <c r="A1995" s="95" t="s">
        <v>2443</v>
      </c>
      <c r="B1995" s="95" t="s">
        <v>1396</v>
      </c>
      <c r="C1995" s="4">
        <v>4402</v>
      </c>
      <c r="D1995" s="95" t="s">
        <v>1405</v>
      </c>
      <c r="E1995" s="145">
        <v>434.86</v>
      </c>
      <c r="F1995" s="145">
        <v>0</v>
      </c>
      <c r="G1995" s="145">
        <v>0</v>
      </c>
      <c r="H1995" s="145">
        <v>0</v>
      </c>
      <c r="I1995" s="77">
        <f t="shared" si="34"/>
        <v>434.86</v>
      </c>
      <c r="J1995" s="123" t="str">
        <f>IFERROR(VLOOKUP($C1995,'CEDARS School FRPL'!C:H,4,FALSE),"No")</f>
        <v>No</v>
      </c>
      <c r="K1995" s="109"/>
      <c r="L1995" s="109"/>
      <c r="M1995" s="110">
        <f>IFERROR(VLOOKUP($C1995,'CEDARS School FRPL'!C:H,3,FALSE),0)</f>
        <v>0.42943333333333333</v>
      </c>
      <c r="N1995" s="123" t="str">
        <f>IFERROR(VLOOKUP(C1995,'CEDARS School FRPL'!C:H,6,FALSE),"No")</f>
        <v>No</v>
      </c>
      <c r="O1995" s="147"/>
      <c r="P1995" s="148"/>
    </row>
    <row r="1996" spans="1:16">
      <c r="A1996" s="95" t="s">
        <v>2443</v>
      </c>
      <c r="B1996" s="95" t="s">
        <v>1396</v>
      </c>
      <c r="C1996" s="4">
        <v>4435</v>
      </c>
      <c r="D1996" s="95" t="s">
        <v>1406</v>
      </c>
      <c r="E1996" s="145">
        <v>391.05</v>
      </c>
      <c r="F1996" s="145">
        <v>0</v>
      </c>
      <c r="G1996" s="145">
        <v>0</v>
      </c>
      <c r="H1996" s="145">
        <v>0</v>
      </c>
      <c r="I1996" s="77">
        <f t="shared" si="34"/>
        <v>391.05</v>
      </c>
      <c r="J1996" s="123" t="str">
        <f>IFERROR(VLOOKUP($C1996,'CEDARS School FRPL'!C:H,4,FALSE),"No")</f>
        <v>No</v>
      </c>
      <c r="K1996" s="109"/>
      <c r="L1996" s="109"/>
      <c r="M1996" s="110">
        <f>IFERROR(VLOOKUP($C1996,'CEDARS School FRPL'!C:H,3,FALSE),0)</f>
        <v>0.30269999999999997</v>
      </c>
      <c r="N1996" s="123" t="str">
        <f>IFERROR(VLOOKUP(C1996,'CEDARS School FRPL'!C:H,6,FALSE),"No")</f>
        <v>No</v>
      </c>
      <c r="O1996" s="147"/>
      <c r="P1996" s="148"/>
    </row>
    <row r="1997" spans="1:16">
      <c r="A1997" s="95" t="s">
        <v>2443</v>
      </c>
      <c r="B1997" s="95" t="s">
        <v>1396</v>
      </c>
      <c r="C1997" s="4">
        <v>4502</v>
      </c>
      <c r="D1997" s="95" t="s">
        <v>1026</v>
      </c>
      <c r="E1997" s="145">
        <v>863.49</v>
      </c>
      <c r="F1997" s="145">
        <v>0</v>
      </c>
      <c r="G1997" s="145">
        <v>0</v>
      </c>
      <c r="H1997" s="145">
        <v>0</v>
      </c>
      <c r="I1997" s="77">
        <f t="shared" si="34"/>
        <v>863.49</v>
      </c>
      <c r="J1997" s="123" t="str">
        <f>IFERROR(VLOOKUP($C1997,'CEDARS School FRPL'!C:H,4,FALSE),"No")</f>
        <v>No</v>
      </c>
      <c r="K1997" s="109"/>
      <c r="L1997" s="109"/>
      <c r="M1997" s="110">
        <f>IFERROR(VLOOKUP($C1997,'CEDARS School FRPL'!C:H,3,FALSE),0)</f>
        <v>0.26186666666666669</v>
      </c>
      <c r="N1997" s="123" t="str">
        <f>IFERROR(VLOOKUP(C1997,'CEDARS School FRPL'!C:H,6,FALSE),"No")</f>
        <v>No</v>
      </c>
      <c r="O1997" s="147"/>
      <c r="P1997" s="148"/>
    </row>
    <row r="1998" spans="1:16">
      <c r="A1998" s="95" t="s">
        <v>2443</v>
      </c>
      <c r="B1998" s="95" t="s">
        <v>1396</v>
      </c>
      <c r="C1998" s="4">
        <v>4541</v>
      </c>
      <c r="D1998" s="95" t="s">
        <v>1407</v>
      </c>
      <c r="E1998" s="145">
        <v>422.18</v>
      </c>
      <c r="F1998" s="145">
        <v>0</v>
      </c>
      <c r="G1998" s="145">
        <v>0</v>
      </c>
      <c r="H1998" s="145">
        <v>0</v>
      </c>
      <c r="I1998" s="77">
        <f t="shared" si="34"/>
        <v>422.18</v>
      </c>
      <c r="J1998" s="123" t="str">
        <f>IFERROR(VLOOKUP($C1998,'CEDARS School FRPL'!C:H,4,FALSE),"No")</f>
        <v>Yes</v>
      </c>
      <c r="K1998" s="109"/>
      <c r="L1998" s="109"/>
      <c r="M1998" s="110">
        <f>IFERROR(VLOOKUP($C1998,'CEDARS School FRPL'!C:H,3,FALSE),0)</f>
        <v>0.54336666666666666</v>
      </c>
      <c r="N1998" s="123" t="str">
        <f>IFERROR(VLOOKUP(C1998,'CEDARS School FRPL'!C:H,6,FALSE),"No")</f>
        <v>No</v>
      </c>
      <c r="O1998" s="147"/>
      <c r="P1998" s="148"/>
    </row>
    <row r="1999" spans="1:16">
      <c r="A1999" s="95" t="s">
        <v>2443</v>
      </c>
      <c r="B1999" s="95" t="s">
        <v>1396</v>
      </c>
      <c r="C1999" s="4">
        <v>4585</v>
      </c>
      <c r="D1999" s="95" t="s">
        <v>1408</v>
      </c>
      <c r="E1999" s="145">
        <v>1478.65</v>
      </c>
      <c r="F1999" s="145">
        <v>95.84</v>
      </c>
      <c r="G1999" s="145">
        <v>0</v>
      </c>
      <c r="H1999" s="145">
        <v>0</v>
      </c>
      <c r="I1999" s="77">
        <f t="shared" si="34"/>
        <v>1574.49</v>
      </c>
      <c r="J1999" s="123" t="str">
        <f>IFERROR(VLOOKUP($C1999,'CEDARS School FRPL'!C:H,4,FALSE),"No")</f>
        <v>No</v>
      </c>
      <c r="K1999" s="109"/>
      <c r="L1999" s="109"/>
      <c r="M1999" s="110">
        <f>IFERROR(VLOOKUP($C1999,'CEDARS School FRPL'!C:H,3,FALSE),0)</f>
        <v>0.27246666666666669</v>
      </c>
      <c r="N1999" s="123" t="str">
        <f>IFERROR(VLOOKUP(C1999,'CEDARS School FRPL'!C:H,6,FALSE),"No")</f>
        <v>No</v>
      </c>
      <c r="O1999" s="147"/>
      <c r="P1999" s="148"/>
    </row>
    <row r="2000" spans="1:16">
      <c r="A2000" s="95" t="s">
        <v>2443</v>
      </c>
      <c r="B2000" s="95" t="s">
        <v>1396</v>
      </c>
      <c r="C2000" s="4">
        <v>5524</v>
      </c>
      <c r="D2000" s="95" t="s">
        <v>2936</v>
      </c>
      <c r="E2000" s="145">
        <v>422.83</v>
      </c>
      <c r="F2000" s="145">
        <v>0</v>
      </c>
      <c r="G2000" s="145">
        <v>0</v>
      </c>
      <c r="H2000" s="145">
        <v>0</v>
      </c>
      <c r="I2000" s="77">
        <f t="shared" si="34"/>
        <v>422.83</v>
      </c>
      <c r="J2000" s="123" t="str">
        <f>IFERROR(VLOOKUP($C2000,'CEDARS School FRPL'!C:H,4,FALSE),"No")</f>
        <v>No</v>
      </c>
      <c r="K2000" s="107"/>
      <c r="L2000" s="107"/>
      <c r="M2000" s="110">
        <f>IFERROR(VLOOKUP($C2000,'CEDARS School FRPL'!C:H,3,FALSE),0)</f>
        <v>7.5999999999999998E-2</v>
      </c>
      <c r="N2000" s="123" t="str">
        <f>IFERROR(VLOOKUP(C2000,'CEDARS School FRPL'!C:H,6,FALSE),"No")</f>
        <v>No</v>
      </c>
      <c r="O2000" s="147"/>
      <c r="P2000" s="148"/>
    </row>
    <row r="2001" spans="1:16">
      <c r="A2001" s="95" t="s">
        <v>2560</v>
      </c>
      <c r="B2001" s="95" t="s">
        <v>2212</v>
      </c>
      <c r="C2001" s="4">
        <v>2469</v>
      </c>
      <c r="D2001" s="95" t="s">
        <v>2213</v>
      </c>
      <c r="E2001" s="145">
        <v>441.57</v>
      </c>
      <c r="F2001" s="145">
        <v>0</v>
      </c>
      <c r="G2001" s="145">
        <v>0</v>
      </c>
      <c r="H2001" s="145">
        <v>0</v>
      </c>
      <c r="I2001" s="77">
        <f t="shared" si="34"/>
        <v>441.57</v>
      </c>
      <c r="J2001" s="123" t="str">
        <f>IFERROR(VLOOKUP($C2001,'CEDARS School FRPL'!C:H,4,FALSE),"No")</f>
        <v>Yes</v>
      </c>
      <c r="K2001" s="109"/>
      <c r="L2001" s="109"/>
      <c r="M2001" s="110">
        <f>IFERROR(VLOOKUP($C2001,'CEDARS School FRPL'!C:H,3,FALSE),0)</f>
        <v>0.77033333333333331</v>
      </c>
      <c r="N2001" s="123" t="str">
        <f>IFERROR(VLOOKUP(C2001,'CEDARS School FRPL'!C:H,6,FALSE),"No")</f>
        <v>No</v>
      </c>
      <c r="O2001" s="147"/>
      <c r="P2001" s="148"/>
    </row>
    <row r="2002" spans="1:16">
      <c r="A2002" s="95" t="s">
        <v>2560</v>
      </c>
      <c r="B2002" s="95" t="s">
        <v>2212</v>
      </c>
      <c r="C2002" s="4">
        <v>2717</v>
      </c>
      <c r="D2002" s="95" t="s">
        <v>186</v>
      </c>
      <c r="E2002" s="145">
        <v>640.86</v>
      </c>
      <c r="F2002" s="145">
        <v>0</v>
      </c>
      <c r="G2002" s="145">
        <v>0</v>
      </c>
      <c r="H2002" s="145">
        <v>0</v>
      </c>
      <c r="I2002" s="77">
        <f t="shared" si="34"/>
        <v>640.86</v>
      </c>
      <c r="J2002" s="123" t="str">
        <f>IFERROR(VLOOKUP($C2002,'CEDARS School FRPL'!C:H,4,FALSE),"No")</f>
        <v>Yes</v>
      </c>
      <c r="K2002" s="109"/>
      <c r="L2002" s="109"/>
      <c r="M2002" s="110">
        <f>IFERROR(VLOOKUP($C2002,'CEDARS School FRPL'!C:H,3,FALSE),0)</f>
        <v>0.79543333333333333</v>
      </c>
      <c r="N2002" s="123" t="str">
        <f>IFERROR(VLOOKUP(C2002,'CEDARS School FRPL'!C:H,6,FALSE),"No")</f>
        <v>No</v>
      </c>
      <c r="O2002" s="147"/>
      <c r="P2002" s="148"/>
    </row>
    <row r="2003" spans="1:16">
      <c r="A2003" s="95" t="s">
        <v>2560</v>
      </c>
      <c r="B2003" s="95" t="s">
        <v>2212</v>
      </c>
      <c r="C2003" s="4">
        <v>2959</v>
      </c>
      <c r="D2003" s="95" t="s">
        <v>2214</v>
      </c>
      <c r="E2003" s="145">
        <v>2046.67</v>
      </c>
      <c r="F2003" s="145">
        <v>89.71</v>
      </c>
      <c r="G2003" s="145">
        <v>0</v>
      </c>
      <c r="H2003" s="145">
        <v>0</v>
      </c>
      <c r="I2003" s="77">
        <f t="shared" si="34"/>
        <v>2136.38</v>
      </c>
      <c r="J2003" s="123" t="str">
        <f>IFERROR(VLOOKUP($C2003,'CEDARS School FRPL'!C:H,4,FALSE),"No")</f>
        <v>Yes</v>
      </c>
      <c r="K2003" s="109"/>
      <c r="L2003" s="109"/>
      <c r="M2003" s="110">
        <f>IFERROR(VLOOKUP($C2003,'CEDARS School FRPL'!C:H,3,FALSE),0)</f>
        <v>0.72483333333333333</v>
      </c>
      <c r="N2003" s="123" t="str">
        <f>IFERROR(VLOOKUP(C2003,'CEDARS School FRPL'!C:H,6,FALSE),"No")</f>
        <v>No</v>
      </c>
      <c r="O2003" s="147"/>
      <c r="P2003" s="148"/>
    </row>
    <row r="2004" spans="1:16">
      <c r="A2004" s="95" t="s">
        <v>2560</v>
      </c>
      <c r="B2004" s="95" t="s">
        <v>2212</v>
      </c>
      <c r="C2004" s="4">
        <v>3313</v>
      </c>
      <c r="D2004" s="95" t="s">
        <v>2215</v>
      </c>
      <c r="E2004" s="145">
        <v>886.98</v>
      </c>
      <c r="F2004" s="145">
        <v>0</v>
      </c>
      <c r="G2004" s="145">
        <v>0</v>
      </c>
      <c r="H2004" s="145">
        <v>0</v>
      </c>
      <c r="I2004" s="77">
        <f t="shared" si="34"/>
        <v>886.98</v>
      </c>
      <c r="J2004" s="123" t="str">
        <f>IFERROR(VLOOKUP($C2004,'CEDARS School FRPL'!C:H,4,FALSE),"No")</f>
        <v>Yes</v>
      </c>
      <c r="K2004" s="109"/>
      <c r="L2004" s="109"/>
      <c r="M2004" s="110">
        <f>IFERROR(VLOOKUP($C2004,'CEDARS School FRPL'!C:H,3,FALSE),0)</f>
        <v>0.75236666666666663</v>
      </c>
      <c r="N2004" s="123" t="str">
        <f>IFERROR(VLOOKUP(C2004,'CEDARS School FRPL'!C:H,6,FALSE),"No")</f>
        <v>No</v>
      </c>
      <c r="O2004" s="147"/>
      <c r="P2004" s="148"/>
    </row>
    <row r="2005" spans="1:16">
      <c r="A2005" s="95" t="s">
        <v>2560</v>
      </c>
      <c r="B2005" s="95" t="s">
        <v>2212</v>
      </c>
      <c r="C2005" s="4">
        <v>4000</v>
      </c>
      <c r="D2005" s="95" t="s">
        <v>2216</v>
      </c>
      <c r="E2005" s="145">
        <v>587.19000000000005</v>
      </c>
      <c r="F2005" s="145">
        <v>0</v>
      </c>
      <c r="G2005" s="145">
        <v>0</v>
      </c>
      <c r="H2005" s="145">
        <v>0</v>
      </c>
      <c r="I2005" s="77">
        <f t="shared" si="34"/>
        <v>587.19000000000005</v>
      </c>
      <c r="J2005" s="123" t="str">
        <f>IFERROR(VLOOKUP($C2005,'CEDARS School FRPL'!C:H,4,FALSE),"No")</f>
        <v>Yes</v>
      </c>
      <c r="K2005" s="109"/>
      <c r="L2005" s="109"/>
      <c r="M2005" s="110">
        <f>IFERROR(VLOOKUP($C2005,'CEDARS School FRPL'!C:H,3,FALSE),0)</f>
        <v>0.79030000000000011</v>
      </c>
      <c r="N2005" s="123" t="str">
        <f>IFERROR(VLOOKUP(C2005,'CEDARS School FRPL'!C:H,6,FALSE),"No")</f>
        <v>No</v>
      </c>
      <c r="O2005" s="147"/>
      <c r="P2005" s="148"/>
    </row>
    <row r="2006" spans="1:16">
      <c r="A2006" s="95" t="s">
        <v>2560</v>
      </c>
      <c r="B2006" s="95" t="s">
        <v>2212</v>
      </c>
      <c r="C2006" s="4">
        <v>4497</v>
      </c>
      <c r="D2006" s="95" t="s">
        <v>244</v>
      </c>
      <c r="E2006" s="145">
        <v>594.71</v>
      </c>
      <c r="F2006" s="145">
        <v>0</v>
      </c>
      <c r="G2006" s="145">
        <v>0</v>
      </c>
      <c r="H2006" s="145">
        <v>0</v>
      </c>
      <c r="I2006" s="77">
        <f t="shared" si="34"/>
        <v>594.71</v>
      </c>
      <c r="J2006" s="123" t="str">
        <f>IFERROR(VLOOKUP($C2006,'CEDARS School FRPL'!C:H,4,FALSE),"No")</f>
        <v>Yes</v>
      </c>
      <c r="K2006" s="109"/>
      <c r="L2006" s="109"/>
      <c r="M2006" s="110">
        <f>IFERROR(VLOOKUP($C2006,'CEDARS School FRPL'!C:H,3,FALSE),0)</f>
        <v>0.77366666666666661</v>
      </c>
      <c r="N2006" s="123" t="str">
        <f>IFERROR(VLOOKUP(C2006,'CEDARS School FRPL'!C:H,6,FALSE),"No")</f>
        <v>No</v>
      </c>
      <c r="O2006" s="147"/>
      <c r="P2006" s="148"/>
    </row>
    <row r="2007" spans="1:16">
      <c r="A2007" s="95" t="s">
        <v>2560</v>
      </c>
      <c r="B2007" s="95" t="s">
        <v>2212</v>
      </c>
      <c r="C2007" s="4">
        <v>5049</v>
      </c>
      <c r="D2007" s="95" t="s">
        <v>2217</v>
      </c>
      <c r="E2007" s="145">
        <v>692.25</v>
      </c>
      <c r="F2007" s="145">
        <v>0</v>
      </c>
      <c r="G2007" s="145">
        <v>0</v>
      </c>
      <c r="H2007" s="145">
        <v>0</v>
      </c>
      <c r="I2007" s="77">
        <f t="shared" si="34"/>
        <v>692.25</v>
      </c>
      <c r="J2007" s="123" t="str">
        <f>IFERROR(VLOOKUP($C2007,'CEDARS School FRPL'!C:H,4,FALSE),"No")</f>
        <v>Yes</v>
      </c>
      <c r="K2007" s="109"/>
      <c r="L2007" s="109"/>
      <c r="M2007" s="110">
        <f>IFERROR(VLOOKUP($C2007,'CEDARS School FRPL'!C:H,3,FALSE),0)</f>
        <v>0.78806666666666658</v>
      </c>
      <c r="N2007" s="123" t="str">
        <f>IFERROR(VLOOKUP(C2007,'CEDARS School FRPL'!C:H,6,FALSE),"No")</f>
        <v>No</v>
      </c>
      <c r="O2007" s="147"/>
      <c r="P2007" s="148"/>
    </row>
    <row r="2008" spans="1:16">
      <c r="A2008" s="95" t="s">
        <v>2560</v>
      </c>
      <c r="B2008" s="95" t="s">
        <v>2212</v>
      </c>
      <c r="C2008" s="4">
        <v>5137</v>
      </c>
      <c r="D2008" s="95" t="s">
        <v>2218</v>
      </c>
      <c r="E2008" s="145">
        <v>458.43</v>
      </c>
      <c r="F2008" s="145">
        <v>0</v>
      </c>
      <c r="G2008" s="145">
        <v>0</v>
      </c>
      <c r="H2008" s="145">
        <v>0</v>
      </c>
      <c r="I2008" s="77">
        <f t="shared" si="34"/>
        <v>458.43</v>
      </c>
      <c r="J2008" s="123" t="str">
        <f>IFERROR(VLOOKUP($C2008,'CEDARS School FRPL'!C:H,4,FALSE),"No")</f>
        <v>Yes</v>
      </c>
      <c r="K2008" s="109"/>
      <c r="L2008" s="109"/>
      <c r="M2008" s="110">
        <f>IFERROR(VLOOKUP($C2008,'CEDARS School FRPL'!C:H,3,FALSE),0)</f>
        <v>0.79979999999999996</v>
      </c>
      <c r="N2008" s="123" t="str">
        <f>IFERROR(VLOOKUP(C2008,'CEDARS School FRPL'!C:H,6,FALSE),"No")</f>
        <v>No</v>
      </c>
      <c r="O2008" s="147"/>
      <c r="P2008" s="148"/>
    </row>
    <row r="2009" spans="1:16">
      <c r="A2009" s="95" t="s">
        <v>2560</v>
      </c>
      <c r="B2009" s="95" t="s">
        <v>2212</v>
      </c>
      <c r="C2009" s="4">
        <v>5352</v>
      </c>
      <c r="D2009" s="95" t="s">
        <v>2219</v>
      </c>
      <c r="E2009" s="145">
        <v>0</v>
      </c>
      <c r="F2009" s="145">
        <v>0</v>
      </c>
      <c r="G2009" s="145">
        <v>4.1399999999999997</v>
      </c>
      <c r="H2009" s="145">
        <v>0</v>
      </c>
      <c r="I2009" s="77">
        <f t="shared" si="34"/>
        <v>4.1399999999999997</v>
      </c>
      <c r="J2009" s="123" t="str">
        <f>IFERROR(VLOOKUP($C2009,'CEDARS School FRPL'!C:H,4,FALSE),"No")</f>
        <v>Yes</v>
      </c>
      <c r="K2009" s="109"/>
      <c r="L2009" s="109"/>
      <c r="M2009" s="110">
        <f>IFERROR(VLOOKUP($C2009,'CEDARS School FRPL'!C:H,3,FALSE),0)</f>
        <v>0.79126666666666667</v>
      </c>
      <c r="N2009" s="123" t="str">
        <f>IFERROR(VLOOKUP(C2009,'CEDARS School FRPL'!C:H,6,FALSE),"No")</f>
        <v>No</v>
      </c>
      <c r="O2009" s="147"/>
      <c r="P2009" s="148"/>
    </row>
    <row r="2010" spans="1:16">
      <c r="A2010" s="95" t="s">
        <v>2376</v>
      </c>
      <c r="B2010" s="95" t="s">
        <v>1081</v>
      </c>
      <c r="C2010" s="4">
        <v>5319</v>
      </c>
      <c r="D2010" s="95" t="s">
        <v>1082</v>
      </c>
      <c r="E2010" s="145">
        <v>82.5</v>
      </c>
      <c r="F2010" s="145">
        <v>3.5</v>
      </c>
      <c r="G2010" s="145">
        <v>0</v>
      </c>
      <c r="H2010" s="145">
        <v>0</v>
      </c>
      <c r="I2010" s="77">
        <f t="shared" si="34"/>
        <v>86</v>
      </c>
      <c r="J2010" s="123" t="str">
        <f>IFERROR(VLOOKUP($C2010,'CEDARS School FRPL'!C:H,4,FALSE),"No")</f>
        <v>Yes</v>
      </c>
      <c r="K2010" s="109"/>
      <c r="L2010" s="109"/>
      <c r="M2010" s="110">
        <f>IFERROR(VLOOKUP($C2010,'CEDARS School FRPL'!C:H,3,FALSE),0)</f>
        <v>0.63726666666666665</v>
      </c>
      <c r="N2010" s="123" t="str">
        <f>IFERROR(VLOOKUP(C2010,'CEDARS School FRPL'!C:H,6,FALSE),"No")</f>
        <v>No</v>
      </c>
      <c r="O2010" s="147"/>
      <c r="P2010" s="148"/>
    </row>
    <row r="2011" spans="1:16">
      <c r="A2011" s="95" t="s">
        <v>2440</v>
      </c>
      <c r="B2011" s="95" t="s">
        <v>1330</v>
      </c>
      <c r="C2011" s="4">
        <v>1514</v>
      </c>
      <c r="D2011" s="95" t="s">
        <v>3074</v>
      </c>
      <c r="E2011" s="145">
        <v>7.17</v>
      </c>
      <c r="F2011" s="145">
        <v>0</v>
      </c>
      <c r="G2011" s="145">
        <v>0</v>
      </c>
      <c r="H2011" s="145">
        <v>0</v>
      </c>
      <c r="I2011" s="77">
        <f t="shared" si="34"/>
        <v>7.17</v>
      </c>
      <c r="J2011" s="123" t="str">
        <f>IFERROR(VLOOKUP($C2011,'CEDARS School FRPL'!C:H,4,FALSE),"No")</f>
        <v>No</v>
      </c>
      <c r="K2011" s="109"/>
      <c r="L2011" s="109"/>
      <c r="M2011" s="110">
        <f>IFERROR(VLOOKUP($C2011,'CEDARS School FRPL'!C:H,3,FALSE),0)</f>
        <v>0</v>
      </c>
      <c r="N2011" s="123" t="str">
        <f>IFERROR(VLOOKUP(C2011,'CEDARS School FRPL'!C:H,6,FALSE),"No")</f>
        <v>No</v>
      </c>
      <c r="O2011" s="147"/>
      <c r="P2011" s="148"/>
    </row>
    <row r="2012" spans="1:16">
      <c r="A2012" s="95" t="s">
        <v>2440</v>
      </c>
      <c r="B2012" s="95" t="s">
        <v>1330</v>
      </c>
      <c r="C2012" s="4">
        <v>1585</v>
      </c>
      <c r="D2012" s="95" t="s">
        <v>2739</v>
      </c>
      <c r="E2012" s="145">
        <v>53.17</v>
      </c>
      <c r="F2012" s="145">
        <v>0</v>
      </c>
      <c r="G2012" s="145">
        <v>0</v>
      </c>
      <c r="H2012" s="145">
        <v>0</v>
      </c>
      <c r="I2012" s="77">
        <f t="shared" si="34"/>
        <v>53.17</v>
      </c>
      <c r="J2012" s="123" t="str">
        <f>IFERROR(VLOOKUP($C2012,'CEDARS School FRPL'!C:H,4,FALSE),"No")</f>
        <v>Yes</v>
      </c>
      <c r="K2012" s="109"/>
      <c r="L2012" s="109"/>
      <c r="M2012" s="110">
        <f>IFERROR(VLOOKUP($C2012,'CEDARS School FRPL'!C:H,3,FALSE),0)</f>
        <v>0.61293333333333333</v>
      </c>
      <c r="N2012" s="123" t="str">
        <f>IFERROR(VLOOKUP(C2012,'CEDARS School FRPL'!C:H,6,FALSE),"No")</f>
        <v>No</v>
      </c>
      <c r="O2012" s="147"/>
      <c r="P2012" s="148"/>
    </row>
    <row r="2013" spans="1:16">
      <c r="A2013" s="95" t="s">
        <v>2440</v>
      </c>
      <c r="B2013" s="95" t="s">
        <v>1330</v>
      </c>
      <c r="C2013" s="4">
        <v>1860</v>
      </c>
      <c r="D2013" s="95" t="s">
        <v>1331</v>
      </c>
      <c r="E2013" s="145">
        <v>577.98</v>
      </c>
      <c r="F2013" s="145">
        <v>11.88</v>
      </c>
      <c r="G2013" s="145">
        <v>0</v>
      </c>
      <c r="H2013" s="145">
        <v>0</v>
      </c>
      <c r="I2013" s="77">
        <f t="shared" si="34"/>
        <v>589.86</v>
      </c>
      <c r="J2013" s="123" t="str">
        <f>IFERROR(VLOOKUP($C2013,'CEDARS School FRPL'!C:H,4,FALSE),"No")</f>
        <v>No</v>
      </c>
      <c r="K2013" s="109"/>
      <c r="L2013" s="109"/>
      <c r="M2013" s="110">
        <f>IFERROR(VLOOKUP($C2013,'CEDARS School FRPL'!C:H,3,FALSE),0)</f>
        <v>0.42020000000000007</v>
      </c>
      <c r="N2013" s="123" t="str">
        <f>IFERROR(VLOOKUP(C2013,'CEDARS School FRPL'!C:H,6,FALSE),"No")</f>
        <v>No</v>
      </c>
      <c r="O2013" s="147"/>
      <c r="P2013" s="148"/>
    </row>
    <row r="2014" spans="1:16">
      <c r="A2014" s="95" t="s">
        <v>2440</v>
      </c>
      <c r="B2014" s="95" t="s">
        <v>1330</v>
      </c>
      <c r="C2014" s="4">
        <v>2036</v>
      </c>
      <c r="D2014" s="95" t="s">
        <v>1332</v>
      </c>
      <c r="E2014" s="145">
        <v>241.43</v>
      </c>
      <c r="F2014" s="145">
        <v>0</v>
      </c>
      <c r="G2014" s="145">
        <v>0</v>
      </c>
      <c r="H2014" s="145">
        <v>0</v>
      </c>
      <c r="I2014" s="77">
        <f t="shared" si="34"/>
        <v>241.43</v>
      </c>
      <c r="J2014" s="123" t="str">
        <f>IFERROR(VLOOKUP($C2014,'CEDARS School FRPL'!C:H,4,FALSE),"No")</f>
        <v>Yes</v>
      </c>
      <c r="K2014" s="109"/>
      <c r="L2014" s="109"/>
      <c r="M2014" s="110">
        <f>IFERROR(VLOOKUP($C2014,'CEDARS School FRPL'!C:H,3,FALSE),0)</f>
        <v>0.69853333333333334</v>
      </c>
      <c r="N2014" s="123" t="str">
        <f>IFERROR(VLOOKUP(C2014,'CEDARS School FRPL'!C:H,6,FALSE),"No")</f>
        <v>No</v>
      </c>
      <c r="O2014" s="147"/>
      <c r="P2014" s="148"/>
    </row>
    <row r="2015" spans="1:16">
      <c r="A2015" s="95" t="s">
        <v>2440</v>
      </c>
      <c r="B2015" s="95" t="s">
        <v>1330</v>
      </c>
      <c r="C2015" s="4">
        <v>2083</v>
      </c>
      <c r="D2015" s="95" t="s">
        <v>186</v>
      </c>
      <c r="E2015" s="145">
        <v>335.26</v>
      </c>
      <c r="F2015" s="145">
        <v>0</v>
      </c>
      <c r="G2015" s="145">
        <v>0</v>
      </c>
      <c r="H2015" s="145">
        <v>0</v>
      </c>
      <c r="I2015" s="77">
        <f t="shared" si="34"/>
        <v>335.26</v>
      </c>
      <c r="J2015" s="123" t="str">
        <f>IFERROR(VLOOKUP($C2015,'CEDARS School FRPL'!C:H,4,FALSE),"No")</f>
        <v>No</v>
      </c>
      <c r="K2015" s="109"/>
      <c r="L2015" s="109"/>
      <c r="M2015" s="110">
        <f>IFERROR(VLOOKUP($C2015,'CEDARS School FRPL'!C:H,3,FALSE),0)</f>
        <v>0.18733333333333335</v>
      </c>
      <c r="N2015" s="123" t="str">
        <f>IFERROR(VLOOKUP(C2015,'CEDARS School FRPL'!C:H,6,FALSE),"No")</f>
        <v>No</v>
      </c>
      <c r="O2015" s="147"/>
      <c r="P2015" s="148"/>
    </row>
    <row r="2016" spans="1:16">
      <c r="A2016" s="95" t="s">
        <v>2440</v>
      </c>
      <c r="B2016" s="95" t="s">
        <v>1330</v>
      </c>
      <c r="C2016" s="4">
        <v>2084</v>
      </c>
      <c r="D2016" s="95" t="s">
        <v>1333</v>
      </c>
      <c r="E2016" s="145">
        <v>1406.6</v>
      </c>
      <c r="F2016" s="145">
        <v>106.46</v>
      </c>
      <c r="G2016" s="145">
        <v>0</v>
      </c>
      <c r="H2016" s="145">
        <v>0</v>
      </c>
      <c r="I2016" s="77">
        <f t="shared" si="34"/>
        <v>1513.06</v>
      </c>
      <c r="J2016" s="123" t="str">
        <f>IFERROR(VLOOKUP($C2016,'CEDARS School FRPL'!C:H,4,FALSE),"No")</f>
        <v>No</v>
      </c>
      <c r="K2016" s="109"/>
      <c r="L2016" s="109"/>
      <c r="M2016" s="110">
        <f>IFERROR(VLOOKUP($C2016,'CEDARS School FRPL'!C:H,3,FALSE),0)</f>
        <v>0.32540000000000002</v>
      </c>
      <c r="N2016" s="123" t="str">
        <f>IFERROR(VLOOKUP(C2016,'CEDARS School FRPL'!C:H,6,FALSE),"No")</f>
        <v>No</v>
      </c>
      <c r="O2016" s="147"/>
      <c r="P2016" s="148"/>
    </row>
    <row r="2017" spans="1:16">
      <c r="A2017" s="95" t="s">
        <v>2440</v>
      </c>
      <c r="B2017" s="95" t="s">
        <v>1330</v>
      </c>
      <c r="C2017" s="4">
        <v>2094</v>
      </c>
      <c r="D2017" s="95" t="s">
        <v>1334</v>
      </c>
      <c r="E2017" s="145">
        <v>475.57</v>
      </c>
      <c r="F2017" s="145">
        <v>0</v>
      </c>
      <c r="G2017" s="145">
        <v>0</v>
      </c>
      <c r="H2017" s="145">
        <v>0</v>
      </c>
      <c r="I2017" s="77">
        <f t="shared" si="34"/>
        <v>475.57</v>
      </c>
      <c r="J2017" s="123" t="str">
        <f>IFERROR(VLOOKUP($C2017,'CEDARS School FRPL'!C:H,4,FALSE),"No")</f>
        <v>Yes</v>
      </c>
      <c r="K2017" s="109"/>
      <c r="L2017" s="109"/>
      <c r="M2017" s="110">
        <f>IFERROR(VLOOKUP($C2017,'CEDARS School FRPL'!C:H,3,FALSE),0)</f>
        <v>0.71196666666666675</v>
      </c>
      <c r="N2017" s="123" t="str">
        <f>IFERROR(VLOOKUP(C2017,'CEDARS School FRPL'!C:H,6,FALSE),"No")</f>
        <v>No</v>
      </c>
      <c r="O2017" s="147"/>
      <c r="P2017" s="148"/>
    </row>
    <row r="2018" spans="1:16">
      <c r="A2018" s="95" t="s">
        <v>2440</v>
      </c>
      <c r="B2018" s="95" t="s">
        <v>1330</v>
      </c>
      <c r="C2018" s="4">
        <v>2103</v>
      </c>
      <c r="D2018" s="95" t="s">
        <v>1335</v>
      </c>
      <c r="E2018" s="145">
        <v>269.14</v>
      </c>
      <c r="F2018" s="145">
        <v>0</v>
      </c>
      <c r="G2018" s="145">
        <v>0</v>
      </c>
      <c r="H2018" s="145">
        <v>0</v>
      </c>
      <c r="I2018" s="77">
        <f t="shared" si="34"/>
        <v>269.14</v>
      </c>
      <c r="J2018" s="123" t="str">
        <f>IFERROR(VLOOKUP($C2018,'CEDARS School FRPL'!C:H,4,FALSE),"No")</f>
        <v>No</v>
      </c>
      <c r="K2018" s="109"/>
      <c r="L2018" s="109"/>
      <c r="M2018" s="110">
        <f>IFERROR(VLOOKUP($C2018,'CEDARS School FRPL'!C:H,3,FALSE),0)</f>
        <v>0.40160000000000001</v>
      </c>
      <c r="N2018" s="123" t="str">
        <f>IFERROR(VLOOKUP(C2018,'CEDARS School FRPL'!C:H,6,FALSE),"No")</f>
        <v>No</v>
      </c>
      <c r="O2018" s="147"/>
      <c r="P2018" s="148"/>
    </row>
    <row r="2019" spans="1:16">
      <c r="A2019" s="95" t="s">
        <v>2440</v>
      </c>
      <c r="B2019" s="95" t="s">
        <v>1330</v>
      </c>
      <c r="C2019" s="4">
        <v>2148</v>
      </c>
      <c r="D2019" s="95" t="s">
        <v>1336</v>
      </c>
      <c r="E2019" s="145">
        <v>223</v>
      </c>
      <c r="F2019" s="145">
        <v>0</v>
      </c>
      <c r="G2019" s="145">
        <v>0</v>
      </c>
      <c r="H2019" s="145">
        <v>0</v>
      </c>
      <c r="I2019" s="77">
        <f t="shared" si="34"/>
        <v>223</v>
      </c>
      <c r="J2019" s="123" t="str">
        <f>IFERROR(VLOOKUP($C2019,'CEDARS School FRPL'!C:H,4,FALSE),"No")</f>
        <v>Yes</v>
      </c>
      <c r="K2019" s="109"/>
      <c r="L2019" s="109"/>
      <c r="M2019" s="110">
        <f>IFERROR(VLOOKUP($C2019,'CEDARS School FRPL'!C:H,3,FALSE),0)</f>
        <v>0.69476666666666664</v>
      </c>
      <c r="N2019" s="123" t="str">
        <f>IFERROR(VLOOKUP(C2019,'CEDARS School FRPL'!C:H,6,FALSE),"No")</f>
        <v>No</v>
      </c>
      <c r="O2019" s="147"/>
      <c r="P2019" s="148"/>
    </row>
    <row r="2020" spans="1:16">
      <c r="A2020" s="95" t="s">
        <v>2440</v>
      </c>
      <c r="B2020" s="95" t="s">
        <v>1330</v>
      </c>
      <c r="C2020" s="4">
        <v>2167</v>
      </c>
      <c r="D2020" s="95" t="s">
        <v>1337</v>
      </c>
      <c r="E2020" s="145">
        <v>244.43</v>
      </c>
      <c r="F2020" s="145">
        <v>0</v>
      </c>
      <c r="G2020" s="145">
        <v>0</v>
      </c>
      <c r="H2020" s="145">
        <v>0</v>
      </c>
      <c r="I2020" s="77">
        <f t="shared" si="34"/>
        <v>244.43</v>
      </c>
      <c r="J2020" s="123" t="str">
        <f>IFERROR(VLOOKUP($C2020,'CEDARS School FRPL'!C:H,4,FALSE),"No")</f>
        <v>Yes</v>
      </c>
      <c r="K2020" s="109"/>
      <c r="L2020" s="109"/>
      <c r="M2020" s="110">
        <f>IFERROR(VLOOKUP($C2020,'CEDARS School FRPL'!C:H,3,FALSE),0)</f>
        <v>0.67249999999999999</v>
      </c>
      <c r="N2020" s="123" t="str">
        <f>IFERROR(VLOOKUP(C2020,'CEDARS School FRPL'!C:H,6,FALSE),"No")</f>
        <v>No</v>
      </c>
      <c r="O2020" s="147"/>
      <c r="P2020" s="148"/>
    </row>
    <row r="2021" spans="1:16">
      <c r="A2021" s="95" t="s">
        <v>2440</v>
      </c>
      <c r="B2021" s="95" t="s">
        <v>1330</v>
      </c>
      <c r="C2021" s="4">
        <v>2168</v>
      </c>
      <c r="D2021" s="95" t="s">
        <v>1338</v>
      </c>
      <c r="E2021" s="145">
        <v>412.14</v>
      </c>
      <c r="F2021" s="145">
        <v>0</v>
      </c>
      <c r="G2021" s="145">
        <v>0</v>
      </c>
      <c r="H2021" s="145">
        <v>0</v>
      </c>
      <c r="I2021" s="77">
        <f t="shared" si="34"/>
        <v>412.14</v>
      </c>
      <c r="J2021" s="123" t="str">
        <f>IFERROR(VLOOKUP($C2021,'CEDARS School FRPL'!C:H,4,FALSE),"No")</f>
        <v>Yes</v>
      </c>
      <c r="K2021" s="109"/>
      <c r="L2021" s="109"/>
      <c r="M2021" s="110">
        <f>IFERROR(VLOOKUP($C2021,'CEDARS School FRPL'!C:H,3,FALSE),0)</f>
        <v>0.7019333333333333</v>
      </c>
      <c r="N2021" s="123" t="str">
        <f>IFERROR(VLOOKUP(C2021,'CEDARS School FRPL'!C:H,6,FALSE),"No")</f>
        <v>No</v>
      </c>
      <c r="O2021" s="147"/>
      <c r="P2021" s="148"/>
    </row>
    <row r="2022" spans="1:16">
      <c r="A2022" s="95" t="s">
        <v>2440</v>
      </c>
      <c r="B2022" s="95" t="s">
        <v>1330</v>
      </c>
      <c r="C2022" s="4">
        <v>2169</v>
      </c>
      <c r="D2022" s="95" t="s">
        <v>1339</v>
      </c>
      <c r="E2022" s="145">
        <v>323.57</v>
      </c>
      <c r="F2022" s="145">
        <v>0</v>
      </c>
      <c r="G2022" s="145">
        <v>0</v>
      </c>
      <c r="H2022" s="145">
        <v>0</v>
      </c>
      <c r="I2022" s="77">
        <f t="shared" si="34"/>
        <v>323.57</v>
      </c>
      <c r="J2022" s="123" t="str">
        <f>IFERROR(VLOOKUP($C2022,'CEDARS School FRPL'!C:H,4,FALSE),"No")</f>
        <v>No</v>
      </c>
      <c r="K2022" s="109"/>
      <c r="L2022" s="109"/>
      <c r="M2022" s="110">
        <f>IFERROR(VLOOKUP($C2022,'CEDARS School FRPL'!C:H,3,FALSE),0)</f>
        <v>0.30696666666666667</v>
      </c>
      <c r="N2022" s="123" t="str">
        <f>IFERROR(VLOOKUP(C2022,'CEDARS School FRPL'!C:H,6,FALSE),"No")</f>
        <v>No</v>
      </c>
      <c r="O2022" s="147"/>
      <c r="P2022" s="148"/>
    </row>
    <row r="2023" spans="1:16">
      <c r="A2023" s="95" t="s">
        <v>2440</v>
      </c>
      <c r="B2023" s="95" t="s">
        <v>1330</v>
      </c>
      <c r="C2023" s="4">
        <v>2215</v>
      </c>
      <c r="D2023" s="95" t="s">
        <v>1340</v>
      </c>
      <c r="E2023" s="145">
        <v>1525.4</v>
      </c>
      <c r="F2023" s="145">
        <v>43.36</v>
      </c>
      <c r="G2023" s="145">
        <v>0</v>
      </c>
      <c r="H2023" s="145">
        <v>0</v>
      </c>
      <c r="I2023" s="77">
        <f t="shared" si="34"/>
        <v>1568.76</v>
      </c>
      <c r="J2023" s="123" t="str">
        <f>IFERROR(VLOOKUP($C2023,'CEDARS School FRPL'!C:H,4,FALSE),"No")</f>
        <v>Yes</v>
      </c>
      <c r="K2023" s="109"/>
      <c r="L2023" s="109"/>
      <c r="M2023" s="110">
        <f>IFERROR(VLOOKUP($C2023,'CEDARS School FRPL'!C:H,3,FALSE),0)</f>
        <v>0.73669999999999991</v>
      </c>
      <c r="N2023" s="123" t="str">
        <f>IFERROR(VLOOKUP(C2023,'CEDARS School FRPL'!C:H,6,FALSE),"No")</f>
        <v>No</v>
      </c>
      <c r="O2023" s="147"/>
      <c r="P2023" s="148"/>
    </row>
    <row r="2024" spans="1:16">
      <c r="A2024" s="95" t="s">
        <v>2440</v>
      </c>
      <c r="B2024" s="95" t="s">
        <v>1330</v>
      </c>
      <c r="C2024" s="4">
        <v>2247</v>
      </c>
      <c r="D2024" s="95" t="s">
        <v>1341</v>
      </c>
      <c r="E2024" s="145">
        <v>327.16000000000003</v>
      </c>
      <c r="F2024" s="145">
        <v>0</v>
      </c>
      <c r="G2024" s="145">
        <v>0</v>
      </c>
      <c r="H2024" s="145">
        <v>0</v>
      </c>
      <c r="I2024" s="77">
        <f t="shared" si="34"/>
        <v>327.16000000000003</v>
      </c>
      <c r="J2024" s="123" t="str">
        <f>IFERROR(VLOOKUP($C2024,'CEDARS School FRPL'!C:H,4,FALSE),"No")</f>
        <v>Yes</v>
      </c>
      <c r="K2024" s="109"/>
      <c r="L2024" s="109"/>
      <c r="M2024" s="110">
        <f>IFERROR(VLOOKUP($C2024,'CEDARS School FRPL'!C:H,3,FALSE),0)</f>
        <v>0.49793333333333334</v>
      </c>
      <c r="N2024" s="123" t="str">
        <f>IFERROR(VLOOKUP(C2024,'CEDARS School FRPL'!C:H,6,FALSE),"No")</f>
        <v>No</v>
      </c>
      <c r="O2024" s="147"/>
      <c r="P2024" s="148"/>
    </row>
    <row r="2025" spans="1:16">
      <c r="A2025" s="95" t="s">
        <v>2440</v>
      </c>
      <c r="B2025" s="95" t="s">
        <v>1330</v>
      </c>
      <c r="C2025" s="4">
        <v>2252</v>
      </c>
      <c r="D2025" s="95" t="s">
        <v>1342</v>
      </c>
      <c r="E2025" s="145">
        <v>391.71</v>
      </c>
      <c r="F2025" s="145">
        <v>0</v>
      </c>
      <c r="G2025" s="145">
        <v>0</v>
      </c>
      <c r="H2025" s="145">
        <v>0</v>
      </c>
      <c r="I2025" s="77">
        <f t="shared" si="34"/>
        <v>391.71</v>
      </c>
      <c r="J2025" s="123" t="str">
        <f>IFERROR(VLOOKUP($C2025,'CEDARS School FRPL'!C:H,4,FALSE),"No")</f>
        <v>Yes</v>
      </c>
      <c r="K2025" s="109"/>
      <c r="L2025" s="109"/>
      <c r="M2025" s="110">
        <f>IFERROR(VLOOKUP($C2025,'CEDARS School FRPL'!C:H,3,FALSE),0)</f>
        <v>0.71283333333333332</v>
      </c>
      <c r="N2025" s="123" t="str">
        <f>IFERROR(VLOOKUP(C2025,'CEDARS School FRPL'!C:H,6,FALSE),"No")</f>
        <v>No</v>
      </c>
      <c r="O2025" s="147"/>
      <c r="P2025" s="148"/>
    </row>
    <row r="2026" spans="1:16">
      <c r="A2026" s="95" t="s">
        <v>2440</v>
      </c>
      <c r="B2026" s="95" t="s">
        <v>1330</v>
      </c>
      <c r="C2026" s="4">
        <v>2275</v>
      </c>
      <c r="D2026" s="95" t="s">
        <v>1343</v>
      </c>
      <c r="E2026" s="145">
        <v>222.57</v>
      </c>
      <c r="F2026" s="145">
        <v>0</v>
      </c>
      <c r="G2026" s="145">
        <v>0</v>
      </c>
      <c r="H2026" s="145">
        <v>0</v>
      </c>
      <c r="I2026" s="77">
        <f t="shared" si="34"/>
        <v>222.57</v>
      </c>
      <c r="J2026" s="123" t="str">
        <f>IFERROR(VLOOKUP($C2026,'CEDARS School FRPL'!C:H,4,FALSE),"No")</f>
        <v>Yes</v>
      </c>
      <c r="K2026" s="109"/>
      <c r="L2026" s="109"/>
      <c r="M2026" s="110">
        <f>IFERROR(VLOOKUP($C2026,'CEDARS School FRPL'!C:H,3,FALSE),0)</f>
        <v>0.8042666666666668</v>
      </c>
      <c r="N2026" s="123" t="str">
        <f>IFERROR(VLOOKUP(C2026,'CEDARS School FRPL'!C:H,6,FALSE),"No")</f>
        <v>No</v>
      </c>
      <c r="O2026" s="147"/>
      <c r="P2026" s="148"/>
    </row>
    <row r="2027" spans="1:16">
      <c r="A2027" s="95" t="s">
        <v>2440</v>
      </c>
      <c r="B2027" s="95" t="s">
        <v>1330</v>
      </c>
      <c r="C2027" s="4">
        <v>2336</v>
      </c>
      <c r="D2027" s="95" t="s">
        <v>1344</v>
      </c>
      <c r="E2027" s="145">
        <v>299.43</v>
      </c>
      <c r="F2027" s="145">
        <v>0</v>
      </c>
      <c r="G2027" s="145">
        <v>0</v>
      </c>
      <c r="H2027" s="145">
        <v>0</v>
      </c>
      <c r="I2027" s="77">
        <f t="shared" si="34"/>
        <v>299.43</v>
      </c>
      <c r="J2027" s="123" t="str">
        <f>IFERROR(VLOOKUP($C2027,'CEDARS School FRPL'!C:H,4,FALSE),"No")</f>
        <v>Yes</v>
      </c>
      <c r="K2027" s="109"/>
      <c r="L2027" s="109"/>
      <c r="M2027" s="110">
        <f>IFERROR(VLOOKUP($C2027,'CEDARS School FRPL'!C:H,3,FALSE),0)</f>
        <v>0.65963333333333329</v>
      </c>
      <c r="N2027" s="123" t="str">
        <f>IFERROR(VLOOKUP(C2027,'CEDARS School FRPL'!C:H,6,FALSE),"No")</f>
        <v>No</v>
      </c>
      <c r="O2027" s="147"/>
      <c r="P2027" s="148"/>
    </row>
    <row r="2028" spans="1:16">
      <c r="A2028" s="95" t="s">
        <v>2440</v>
      </c>
      <c r="B2028" s="95" t="s">
        <v>1330</v>
      </c>
      <c r="C2028" s="4">
        <v>2338</v>
      </c>
      <c r="D2028" s="95" t="s">
        <v>1345</v>
      </c>
      <c r="E2028" s="145">
        <v>544.9</v>
      </c>
      <c r="F2028" s="145">
        <v>0</v>
      </c>
      <c r="G2028" s="145">
        <v>0</v>
      </c>
      <c r="H2028" s="145">
        <v>0</v>
      </c>
      <c r="I2028" s="77">
        <f t="shared" si="34"/>
        <v>544.9</v>
      </c>
      <c r="J2028" s="123" t="str">
        <f>IFERROR(VLOOKUP($C2028,'CEDARS School FRPL'!C:H,4,FALSE),"No")</f>
        <v>Yes</v>
      </c>
      <c r="K2028" s="109"/>
      <c r="L2028" s="109"/>
      <c r="M2028" s="110">
        <f>IFERROR(VLOOKUP($C2028,'CEDARS School FRPL'!C:H,3,FALSE),0)</f>
        <v>0.6277666666666667</v>
      </c>
      <c r="N2028" s="123" t="str">
        <f>IFERROR(VLOOKUP(C2028,'CEDARS School FRPL'!C:H,6,FALSE),"No")</f>
        <v>No</v>
      </c>
      <c r="O2028" s="147"/>
      <c r="P2028" s="148"/>
    </row>
    <row r="2029" spans="1:16">
      <c r="A2029" s="95" t="s">
        <v>2440</v>
      </c>
      <c r="B2029" s="95" t="s">
        <v>1330</v>
      </c>
      <c r="C2029" s="4">
        <v>2358</v>
      </c>
      <c r="D2029" s="95" t="s">
        <v>1346</v>
      </c>
      <c r="E2029" s="145">
        <v>300.70999999999998</v>
      </c>
      <c r="F2029" s="145">
        <v>0</v>
      </c>
      <c r="G2029" s="145">
        <v>0</v>
      </c>
      <c r="H2029" s="145">
        <v>0</v>
      </c>
      <c r="I2029" s="77">
        <f t="shared" si="34"/>
        <v>300.70999999999998</v>
      </c>
      <c r="J2029" s="123" t="str">
        <f>IFERROR(VLOOKUP($C2029,'CEDARS School FRPL'!C:H,4,FALSE),"No")</f>
        <v>Yes</v>
      </c>
      <c r="K2029" s="109"/>
      <c r="L2029" s="109"/>
      <c r="M2029" s="110">
        <f>IFERROR(VLOOKUP($C2029,'CEDARS School FRPL'!C:H,3,FALSE),0)</f>
        <v>0.66576666666666662</v>
      </c>
      <c r="N2029" s="123" t="str">
        <f>IFERROR(VLOOKUP(C2029,'CEDARS School FRPL'!C:H,6,FALSE),"No")</f>
        <v>No</v>
      </c>
      <c r="O2029" s="147"/>
      <c r="P2029" s="148"/>
    </row>
    <row r="2030" spans="1:16">
      <c r="A2030" s="95" t="s">
        <v>2440</v>
      </c>
      <c r="B2030" s="95" t="s">
        <v>1330</v>
      </c>
      <c r="C2030" s="4">
        <v>2359</v>
      </c>
      <c r="D2030" s="95" t="s">
        <v>1347</v>
      </c>
      <c r="E2030" s="145">
        <v>611.59</v>
      </c>
      <c r="F2030" s="145">
        <v>0</v>
      </c>
      <c r="G2030" s="145">
        <v>0</v>
      </c>
      <c r="H2030" s="145">
        <v>0</v>
      </c>
      <c r="I2030" s="77">
        <f t="shared" si="34"/>
        <v>611.59</v>
      </c>
      <c r="J2030" s="123" t="str">
        <f>IFERROR(VLOOKUP($C2030,'CEDARS School FRPL'!C:H,4,FALSE),"No")</f>
        <v>Yes</v>
      </c>
      <c r="K2030" s="109"/>
      <c r="L2030" s="109"/>
      <c r="M2030" s="110">
        <f>IFERROR(VLOOKUP($C2030,'CEDARS School FRPL'!C:H,3,FALSE),0)</f>
        <v>0.71363333333333323</v>
      </c>
      <c r="N2030" s="123" t="str">
        <f>IFERROR(VLOOKUP(C2030,'CEDARS School FRPL'!C:H,6,FALSE),"No")</f>
        <v>No</v>
      </c>
      <c r="O2030" s="147"/>
      <c r="P2030" s="148"/>
    </row>
    <row r="2031" spans="1:16">
      <c r="A2031" s="95" t="s">
        <v>2440</v>
      </c>
      <c r="B2031" s="95" t="s">
        <v>1330</v>
      </c>
      <c r="C2031" s="4">
        <v>2376</v>
      </c>
      <c r="D2031" s="95" t="s">
        <v>1348</v>
      </c>
      <c r="E2031" s="145">
        <v>684.23</v>
      </c>
      <c r="F2031" s="145">
        <v>0</v>
      </c>
      <c r="G2031" s="145">
        <v>0</v>
      </c>
      <c r="H2031" s="145">
        <v>0</v>
      </c>
      <c r="I2031" s="77">
        <f t="shared" si="34"/>
        <v>684.23</v>
      </c>
      <c r="J2031" s="123" t="str">
        <f>IFERROR(VLOOKUP($C2031,'CEDARS School FRPL'!C:H,4,FALSE),"No")</f>
        <v>No</v>
      </c>
      <c r="K2031" s="109"/>
      <c r="L2031" s="109"/>
      <c r="M2031" s="110">
        <f>IFERROR(VLOOKUP($C2031,'CEDARS School FRPL'!C:H,3,FALSE),0)</f>
        <v>0.27579999999999999</v>
      </c>
      <c r="N2031" s="123" t="str">
        <f>IFERROR(VLOOKUP(C2031,'CEDARS School FRPL'!C:H,6,FALSE),"No")</f>
        <v>No</v>
      </c>
      <c r="O2031" s="147"/>
      <c r="P2031" s="148"/>
    </row>
    <row r="2032" spans="1:16">
      <c r="A2032" s="95" t="s">
        <v>2440</v>
      </c>
      <c r="B2032" s="95" t="s">
        <v>1330</v>
      </c>
      <c r="C2032" s="4">
        <v>2377</v>
      </c>
      <c r="D2032" s="95" t="s">
        <v>1349</v>
      </c>
      <c r="E2032" s="145">
        <v>542.88</v>
      </c>
      <c r="F2032" s="145">
        <v>0</v>
      </c>
      <c r="G2032" s="145">
        <v>0</v>
      </c>
      <c r="H2032" s="145">
        <v>0</v>
      </c>
      <c r="I2032" s="77">
        <f t="shared" si="34"/>
        <v>542.88</v>
      </c>
      <c r="J2032" s="123" t="str">
        <f>IFERROR(VLOOKUP($C2032,'CEDARS School FRPL'!C:H,4,FALSE),"No")</f>
        <v>Yes</v>
      </c>
      <c r="K2032" s="109"/>
      <c r="L2032" s="109"/>
      <c r="M2032" s="110">
        <f>IFERROR(VLOOKUP($C2032,'CEDARS School FRPL'!C:H,3,FALSE),0)</f>
        <v>0.78286666666666671</v>
      </c>
      <c r="N2032" s="123" t="str">
        <f>IFERROR(VLOOKUP(C2032,'CEDARS School FRPL'!C:H,6,FALSE),"No")</f>
        <v>No</v>
      </c>
      <c r="O2032" s="147"/>
      <c r="P2032" s="148"/>
    </row>
    <row r="2033" spans="1:16">
      <c r="A2033" s="95" t="s">
        <v>2440</v>
      </c>
      <c r="B2033" s="95" t="s">
        <v>1330</v>
      </c>
      <c r="C2033" s="4">
        <v>2746</v>
      </c>
      <c r="D2033" s="95" t="s">
        <v>1350</v>
      </c>
      <c r="E2033" s="145">
        <v>427.84</v>
      </c>
      <c r="F2033" s="145">
        <v>0</v>
      </c>
      <c r="G2033" s="145">
        <v>0</v>
      </c>
      <c r="H2033" s="145">
        <v>0</v>
      </c>
      <c r="I2033" s="77">
        <f t="shared" si="34"/>
        <v>427.84</v>
      </c>
      <c r="J2033" s="123" t="str">
        <f>IFERROR(VLOOKUP($C2033,'CEDARS School FRPL'!C:H,4,FALSE),"No")</f>
        <v>No</v>
      </c>
      <c r="K2033" s="109"/>
      <c r="L2033" s="109"/>
      <c r="M2033" s="110">
        <f>IFERROR(VLOOKUP($C2033,'CEDARS School FRPL'!C:H,3,FALSE),0)</f>
        <v>0.37623333333333336</v>
      </c>
      <c r="N2033" s="123" t="str">
        <f>IFERROR(VLOOKUP(C2033,'CEDARS School FRPL'!C:H,6,FALSE),"No")</f>
        <v>No</v>
      </c>
      <c r="O2033" s="147"/>
      <c r="P2033" s="148"/>
    </row>
    <row r="2034" spans="1:16">
      <c r="A2034" s="95" t="s">
        <v>2440</v>
      </c>
      <c r="B2034" s="95" t="s">
        <v>1330</v>
      </c>
      <c r="C2034" s="4">
        <v>2747</v>
      </c>
      <c r="D2034" s="95" t="s">
        <v>1351</v>
      </c>
      <c r="E2034" s="145">
        <v>226.71</v>
      </c>
      <c r="F2034" s="145">
        <v>0</v>
      </c>
      <c r="G2034" s="145">
        <v>0</v>
      </c>
      <c r="H2034" s="145">
        <v>0</v>
      </c>
      <c r="I2034" s="77">
        <f t="shared" si="34"/>
        <v>226.71</v>
      </c>
      <c r="J2034" s="123" t="str">
        <f>IFERROR(VLOOKUP($C2034,'CEDARS School FRPL'!C:H,4,FALSE),"No")</f>
        <v>No</v>
      </c>
      <c r="K2034" s="109"/>
      <c r="L2034" s="109"/>
      <c r="M2034" s="110">
        <f>IFERROR(VLOOKUP($C2034,'CEDARS School FRPL'!C:H,3,FALSE),0)</f>
        <v>0.4239</v>
      </c>
      <c r="N2034" s="123" t="str">
        <f>IFERROR(VLOOKUP(C2034,'CEDARS School FRPL'!C:H,6,FALSE),"No")</f>
        <v>No</v>
      </c>
      <c r="O2034" s="147"/>
      <c r="P2034" s="148"/>
    </row>
    <row r="2035" spans="1:16">
      <c r="A2035" s="95" t="s">
        <v>2440</v>
      </c>
      <c r="B2035" s="95" t="s">
        <v>1330</v>
      </c>
      <c r="C2035" s="4">
        <v>2771</v>
      </c>
      <c r="D2035" s="95" t="s">
        <v>1352</v>
      </c>
      <c r="E2035" s="145">
        <v>342.14</v>
      </c>
      <c r="F2035" s="145">
        <v>0</v>
      </c>
      <c r="G2035" s="145">
        <v>0</v>
      </c>
      <c r="H2035" s="145">
        <v>0</v>
      </c>
      <c r="I2035" s="77">
        <f t="shared" si="34"/>
        <v>342.14</v>
      </c>
      <c r="J2035" s="123" t="str">
        <f>IFERROR(VLOOKUP($C2035,'CEDARS School FRPL'!C:H,4,FALSE),"No")</f>
        <v>Yes</v>
      </c>
      <c r="K2035" s="109"/>
      <c r="L2035" s="109"/>
      <c r="M2035" s="110">
        <f>IFERROR(VLOOKUP($C2035,'CEDARS School FRPL'!C:H,3,FALSE),0)</f>
        <v>0.82043333333333335</v>
      </c>
      <c r="N2035" s="123" t="str">
        <f>IFERROR(VLOOKUP(C2035,'CEDARS School FRPL'!C:H,6,FALSE),"No")</f>
        <v>No</v>
      </c>
      <c r="O2035" s="147"/>
      <c r="P2035" s="148"/>
    </row>
    <row r="2036" spans="1:16">
      <c r="A2036" s="95" t="s">
        <v>2440</v>
      </c>
      <c r="B2036" s="95" t="s">
        <v>1330</v>
      </c>
      <c r="C2036" s="4">
        <v>2772</v>
      </c>
      <c r="D2036" s="95" t="s">
        <v>1353</v>
      </c>
      <c r="E2036" s="145">
        <v>317.14999999999998</v>
      </c>
      <c r="F2036" s="145">
        <v>0</v>
      </c>
      <c r="G2036" s="145">
        <v>0</v>
      </c>
      <c r="H2036" s="145">
        <v>0</v>
      </c>
      <c r="I2036" s="77">
        <f t="shared" si="34"/>
        <v>317.14999999999998</v>
      </c>
      <c r="J2036" s="123" t="str">
        <f>IFERROR(VLOOKUP($C2036,'CEDARS School FRPL'!C:H,4,FALSE),"No")</f>
        <v>Yes</v>
      </c>
      <c r="K2036" s="109"/>
      <c r="L2036" s="109"/>
      <c r="M2036" s="110">
        <f>IFERROR(VLOOKUP($C2036,'CEDARS School FRPL'!C:H,3,FALSE),0)</f>
        <v>0.61886666666666668</v>
      </c>
      <c r="N2036" s="123" t="str">
        <f>IFERROR(VLOOKUP(C2036,'CEDARS School FRPL'!C:H,6,FALSE),"No")</f>
        <v>No</v>
      </c>
      <c r="O2036" s="147"/>
      <c r="P2036" s="148"/>
    </row>
    <row r="2037" spans="1:16">
      <c r="A2037" s="95" t="s">
        <v>2440</v>
      </c>
      <c r="B2037" s="95" t="s">
        <v>1330</v>
      </c>
      <c r="C2037" s="4">
        <v>2805</v>
      </c>
      <c r="D2037" s="95" t="s">
        <v>1354</v>
      </c>
      <c r="E2037" s="145">
        <v>326.7</v>
      </c>
      <c r="F2037" s="145">
        <v>0</v>
      </c>
      <c r="G2037" s="145">
        <v>0</v>
      </c>
      <c r="H2037" s="145">
        <v>0</v>
      </c>
      <c r="I2037" s="77">
        <f t="shared" si="34"/>
        <v>326.7</v>
      </c>
      <c r="J2037" s="123" t="str">
        <f>IFERROR(VLOOKUP($C2037,'CEDARS School FRPL'!C:H,4,FALSE),"No")</f>
        <v>No</v>
      </c>
      <c r="K2037" s="109"/>
      <c r="L2037" s="109"/>
      <c r="M2037" s="110">
        <f>IFERROR(VLOOKUP($C2037,'CEDARS School FRPL'!C:H,3,FALSE),0)</f>
        <v>0.19566666666666666</v>
      </c>
      <c r="N2037" s="123" t="str">
        <f>IFERROR(VLOOKUP(C2037,'CEDARS School FRPL'!C:H,6,FALSE),"No")</f>
        <v>No</v>
      </c>
      <c r="O2037" s="147"/>
      <c r="P2037" s="148"/>
    </row>
    <row r="2038" spans="1:16">
      <c r="A2038" s="95" t="s">
        <v>2440</v>
      </c>
      <c r="B2038" s="95" t="s">
        <v>1330</v>
      </c>
      <c r="C2038" s="4">
        <v>2806</v>
      </c>
      <c r="D2038" s="95" t="s">
        <v>1355</v>
      </c>
      <c r="E2038" s="145">
        <v>341</v>
      </c>
      <c r="F2038" s="145">
        <v>0</v>
      </c>
      <c r="G2038" s="145">
        <v>0</v>
      </c>
      <c r="H2038" s="145">
        <v>0</v>
      </c>
      <c r="I2038" s="77">
        <f t="shared" si="34"/>
        <v>341</v>
      </c>
      <c r="J2038" s="123" t="str">
        <f>IFERROR(VLOOKUP($C2038,'CEDARS School FRPL'!C:H,4,FALSE),"No")</f>
        <v>Yes</v>
      </c>
      <c r="K2038" s="109"/>
      <c r="L2038" s="109"/>
      <c r="M2038" s="110">
        <f>IFERROR(VLOOKUP($C2038,'CEDARS School FRPL'!C:H,3,FALSE),0)</f>
        <v>0.7651</v>
      </c>
      <c r="N2038" s="123" t="str">
        <f>IFERROR(VLOOKUP(C2038,'CEDARS School FRPL'!C:H,6,FALSE),"No")</f>
        <v>No</v>
      </c>
      <c r="O2038" s="147"/>
      <c r="P2038" s="148"/>
    </row>
    <row r="2039" spans="1:16">
      <c r="A2039" s="95" t="s">
        <v>2440</v>
      </c>
      <c r="B2039" s="95" t="s">
        <v>1330</v>
      </c>
      <c r="C2039" s="4">
        <v>2871</v>
      </c>
      <c r="D2039" s="95" t="s">
        <v>1356</v>
      </c>
      <c r="E2039" s="145">
        <v>361.3</v>
      </c>
      <c r="F2039" s="145">
        <v>0</v>
      </c>
      <c r="G2039" s="145">
        <v>0</v>
      </c>
      <c r="H2039" s="145">
        <v>0</v>
      </c>
      <c r="I2039" s="77">
        <f t="shared" si="34"/>
        <v>361.3</v>
      </c>
      <c r="J2039" s="123" t="str">
        <f>IFERROR(VLOOKUP($C2039,'CEDARS School FRPL'!C:H,4,FALSE),"No")</f>
        <v>Yes</v>
      </c>
      <c r="K2039" s="109"/>
      <c r="L2039" s="109"/>
      <c r="M2039" s="110">
        <f>IFERROR(VLOOKUP($C2039,'CEDARS School FRPL'!C:H,3,FALSE),0)</f>
        <v>0.71966666666666679</v>
      </c>
      <c r="N2039" s="123" t="str">
        <f>IFERROR(VLOOKUP(C2039,'CEDARS School FRPL'!C:H,6,FALSE),"No")</f>
        <v>No</v>
      </c>
      <c r="O2039" s="147"/>
      <c r="P2039" s="148"/>
    </row>
    <row r="2040" spans="1:16">
      <c r="A2040" s="95" t="s">
        <v>2440</v>
      </c>
      <c r="B2040" s="95" t="s">
        <v>1330</v>
      </c>
      <c r="C2040" s="4">
        <v>2872</v>
      </c>
      <c r="D2040" s="95" t="s">
        <v>1357</v>
      </c>
      <c r="E2040" s="145">
        <v>392.81</v>
      </c>
      <c r="F2040" s="145">
        <v>0</v>
      </c>
      <c r="G2040" s="145">
        <v>0</v>
      </c>
      <c r="H2040" s="145">
        <v>0</v>
      </c>
      <c r="I2040" s="77">
        <f t="shared" si="34"/>
        <v>392.81</v>
      </c>
      <c r="J2040" s="123" t="str">
        <f>IFERROR(VLOOKUP($C2040,'CEDARS School FRPL'!C:H,4,FALSE),"No")</f>
        <v>No</v>
      </c>
      <c r="K2040" s="109"/>
      <c r="L2040" s="109"/>
      <c r="M2040" s="110">
        <f>IFERROR(VLOOKUP($C2040,'CEDARS School FRPL'!C:H,3,FALSE),0)</f>
        <v>0.17166666666666666</v>
      </c>
      <c r="N2040" s="123" t="str">
        <f>IFERROR(VLOOKUP(C2040,'CEDARS School FRPL'!C:H,6,FALSE),"No")</f>
        <v>No</v>
      </c>
      <c r="O2040" s="147"/>
      <c r="P2040" s="148"/>
    </row>
    <row r="2041" spans="1:16">
      <c r="A2041" s="95" t="s">
        <v>2440</v>
      </c>
      <c r="B2041" s="95" t="s">
        <v>1330</v>
      </c>
      <c r="C2041" s="4">
        <v>2874</v>
      </c>
      <c r="D2041" s="95" t="s">
        <v>1358</v>
      </c>
      <c r="E2041" s="145">
        <v>274.86</v>
      </c>
      <c r="F2041" s="145">
        <v>0</v>
      </c>
      <c r="G2041" s="145">
        <v>0</v>
      </c>
      <c r="H2041" s="145">
        <v>0</v>
      </c>
      <c r="I2041" s="77">
        <f t="shared" si="34"/>
        <v>274.86</v>
      </c>
      <c r="J2041" s="123" t="str">
        <f>IFERROR(VLOOKUP($C2041,'CEDARS School FRPL'!C:H,4,FALSE),"No")</f>
        <v>Yes</v>
      </c>
      <c r="K2041" s="109"/>
      <c r="L2041" s="109"/>
      <c r="M2041" s="110">
        <f>IFERROR(VLOOKUP($C2041,'CEDARS School FRPL'!C:H,3,FALSE),0)</f>
        <v>0.71609999999999996</v>
      </c>
      <c r="N2041" s="123" t="str">
        <f>IFERROR(VLOOKUP(C2041,'CEDARS School FRPL'!C:H,6,FALSE),"No")</f>
        <v>No</v>
      </c>
      <c r="O2041" s="147"/>
      <c r="P2041" s="148"/>
    </row>
    <row r="2042" spans="1:16">
      <c r="A2042" s="95" t="s">
        <v>2440</v>
      </c>
      <c r="B2042" s="95" t="s">
        <v>1330</v>
      </c>
      <c r="C2042" s="4">
        <v>2938</v>
      </c>
      <c r="D2042" s="95" t="s">
        <v>1359</v>
      </c>
      <c r="E2042" s="145">
        <v>426.71</v>
      </c>
      <c r="F2042" s="145">
        <v>0</v>
      </c>
      <c r="G2042" s="145">
        <v>0</v>
      </c>
      <c r="H2042" s="145">
        <v>0</v>
      </c>
      <c r="I2042" s="77">
        <f t="shared" si="34"/>
        <v>426.71</v>
      </c>
      <c r="J2042" s="123" t="str">
        <f>IFERROR(VLOOKUP($C2042,'CEDARS School FRPL'!C:H,4,FALSE),"No")</f>
        <v>No</v>
      </c>
      <c r="K2042" s="109"/>
      <c r="L2042" s="109"/>
      <c r="M2042" s="110">
        <f>IFERROR(VLOOKUP($C2042,'CEDARS School FRPL'!C:H,3,FALSE),0)</f>
        <v>0.12243333333333332</v>
      </c>
      <c r="N2042" s="123" t="str">
        <f>IFERROR(VLOOKUP(C2042,'CEDARS School FRPL'!C:H,6,FALSE),"No")</f>
        <v>No</v>
      </c>
      <c r="O2042" s="147"/>
      <c r="P2042" s="148"/>
    </row>
    <row r="2043" spans="1:16">
      <c r="A2043" s="95" t="s">
        <v>2440</v>
      </c>
      <c r="B2043" s="95" t="s">
        <v>1330</v>
      </c>
      <c r="C2043" s="4">
        <v>2939</v>
      </c>
      <c r="D2043" s="95" t="s">
        <v>1360</v>
      </c>
      <c r="E2043" s="145">
        <v>319.73</v>
      </c>
      <c r="F2043" s="145">
        <v>0</v>
      </c>
      <c r="G2043" s="145">
        <v>0</v>
      </c>
      <c r="H2043" s="145">
        <v>0</v>
      </c>
      <c r="I2043" s="77">
        <f t="shared" si="34"/>
        <v>319.73</v>
      </c>
      <c r="J2043" s="123" t="str">
        <f>IFERROR(VLOOKUP($C2043,'CEDARS School FRPL'!C:H,4,FALSE),"No")</f>
        <v>Yes</v>
      </c>
      <c r="K2043" s="109"/>
      <c r="L2043" s="109"/>
      <c r="M2043" s="110">
        <f>IFERROR(VLOOKUP($C2043,'CEDARS School FRPL'!C:H,3,FALSE),0)</f>
        <v>0.63103333333333333</v>
      </c>
      <c r="N2043" s="123" t="str">
        <f>IFERROR(VLOOKUP(C2043,'CEDARS School FRPL'!C:H,6,FALSE),"No")</f>
        <v>No</v>
      </c>
      <c r="O2043" s="147"/>
      <c r="P2043" s="148"/>
    </row>
    <row r="2044" spans="1:16">
      <c r="A2044" s="95" t="s">
        <v>2440</v>
      </c>
      <c r="B2044" s="95" t="s">
        <v>1330</v>
      </c>
      <c r="C2044" s="4">
        <v>2940</v>
      </c>
      <c r="D2044" s="95" t="s">
        <v>1361</v>
      </c>
      <c r="E2044" s="145">
        <v>357.87</v>
      </c>
      <c r="F2044" s="145">
        <v>0</v>
      </c>
      <c r="G2044" s="145">
        <v>0</v>
      </c>
      <c r="H2044" s="145">
        <v>0</v>
      </c>
      <c r="I2044" s="77">
        <f t="shared" si="34"/>
        <v>357.87</v>
      </c>
      <c r="J2044" s="123" t="str">
        <f>IFERROR(VLOOKUP($C2044,'CEDARS School FRPL'!C:H,4,FALSE),"No")</f>
        <v>Yes</v>
      </c>
      <c r="K2044" s="109"/>
      <c r="L2044" s="109"/>
      <c r="M2044" s="110">
        <f>IFERROR(VLOOKUP($C2044,'CEDARS School FRPL'!C:H,3,FALSE),0)</f>
        <v>0.71826666666666672</v>
      </c>
      <c r="N2044" s="123" t="str">
        <f>IFERROR(VLOOKUP(C2044,'CEDARS School FRPL'!C:H,6,FALSE),"No")</f>
        <v>No</v>
      </c>
      <c r="O2044" s="147"/>
      <c r="P2044" s="148"/>
    </row>
    <row r="2045" spans="1:16">
      <c r="A2045" s="95" t="s">
        <v>2440</v>
      </c>
      <c r="B2045" s="95" t="s">
        <v>1330</v>
      </c>
      <c r="C2045" s="4">
        <v>2941</v>
      </c>
      <c r="D2045" s="95" t="s">
        <v>1362</v>
      </c>
      <c r="E2045" s="145">
        <v>307.29000000000002</v>
      </c>
      <c r="F2045" s="145">
        <v>0</v>
      </c>
      <c r="G2045" s="145">
        <v>0</v>
      </c>
      <c r="H2045" s="145">
        <v>0</v>
      </c>
      <c r="I2045" s="77">
        <f t="shared" si="34"/>
        <v>307.29000000000002</v>
      </c>
      <c r="J2045" s="123" t="str">
        <f>IFERROR(VLOOKUP($C2045,'CEDARS School FRPL'!C:H,4,FALSE),"No")</f>
        <v>Yes</v>
      </c>
      <c r="K2045" s="109"/>
      <c r="L2045" s="109"/>
      <c r="M2045" s="110">
        <f>IFERROR(VLOOKUP($C2045,'CEDARS School FRPL'!C:H,3,FALSE),0)</f>
        <v>0.65249999999999997</v>
      </c>
      <c r="N2045" s="123" t="str">
        <f>IFERROR(VLOOKUP(C2045,'CEDARS School FRPL'!C:H,6,FALSE),"No")</f>
        <v>No</v>
      </c>
      <c r="P2045" s="148"/>
    </row>
    <row r="2046" spans="1:16">
      <c r="A2046" s="95" t="s">
        <v>2440</v>
      </c>
      <c r="B2046" s="95" t="s">
        <v>1330</v>
      </c>
      <c r="C2046" s="4">
        <v>3053</v>
      </c>
      <c r="D2046" s="95" t="s">
        <v>1363</v>
      </c>
      <c r="E2046" s="145">
        <v>316.35000000000002</v>
      </c>
      <c r="F2046" s="145">
        <v>0</v>
      </c>
      <c r="G2046" s="145">
        <v>0</v>
      </c>
      <c r="H2046" s="145">
        <v>0</v>
      </c>
      <c r="I2046" s="77">
        <f t="shared" si="34"/>
        <v>316.35000000000002</v>
      </c>
      <c r="J2046" s="123" t="str">
        <f>IFERROR(VLOOKUP($C2046,'CEDARS School FRPL'!C:H,4,FALSE),"No")</f>
        <v>No</v>
      </c>
      <c r="K2046" s="109"/>
      <c r="L2046" s="109"/>
      <c r="M2046" s="110">
        <f>IFERROR(VLOOKUP($C2046,'CEDARS School FRPL'!C:H,3,FALSE),0)</f>
        <v>0.30236666666666667</v>
      </c>
      <c r="N2046" s="123" t="str">
        <f>IFERROR(VLOOKUP(C2046,'CEDARS School FRPL'!C:H,6,FALSE),"No")</f>
        <v>No</v>
      </c>
      <c r="P2046" s="148"/>
    </row>
    <row r="2047" spans="1:16">
      <c r="A2047" s="95" t="s">
        <v>2440</v>
      </c>
      <c r="B2047" s="95" t="s">
        <v>1330</v>
      </c>
      <c r="C2047" s="4">
        <v>3054</v>
      </c>
      <c r="D2047" s="95" t="s">
        <v>1364</v>
      </c>
      <c r="E2047" s="145">
        <v>691.09</v>
      </c>
      <c r="F2047" s="145">
        <v>0</v>
      </c>
      <c r="G2047" s="145">
        <v>0</v>
      </c>
      <c r="H2047" s="145">
        <v>0</v>
      </c>
      <c r="I2047" s="77">
        <f t="shared" si="34"/>
        <v>691.09</v>
      </c>
      <c r="J2047" s="123" t="str">
        <f>IFERROR(VLOOKUP($C2047,'CEDARS School FRPL'!C:H,4,FALSE),"No")</f>
        <v>Yes</v>
      </c>
      <c r="K2047" s="109"/>
      <c r="L2047" s="109"/>
      <c r="M2047" s="110">
        <f>IFERROR(VLOOKUP($C2047,'CEDARS School FRPL'!C:H,3,FALSE),0)</f>
        <v>0.72473333333333334</v>
      </c>
      <c r="N2047" s="123" t="str">
        <f>IFERROR(VLOOKUP(C2047,'CEDARS School FRPL'!C:H,6,FALSE),"No")</f>
        <v>No</v>
      </c>
      <c r="P2047" s="148"/>
    </row>
    <row r="2048" spans="1:16">
      <c r="A2048" s="95" t="s">
        <v>2440</v>
      </c>
      <c r="B2048" s="95" t="s">
        <v>1330</v>
      </c>
      <c r="C2048" s="4">
        <v>3116</v>
      </c>
      <c r="D2048" s="95" t="s">
        <v>1365</v>
      </c>
      <c r="E2048" s="145">
        <v>363.59</v>
      </c>
      <c r="F2048" s="145">
        <v>0</v>
      </c>
      <c r="G2048" s="145">
        <v>0</v>
      </c>
      <c r="H2048" s="145">
        <v>0</v>
      </c>
      <c r="I2048" s="77">
        <f t="shared" si="34"/>
        <v>363.59</v>
      </c>
      <c r="J2048" s="123" t="str">
        <f>IFERROR(VLOOKUP($C2048,'CEDARS School FRPL'!C:H,4,FALSE),"No")</f>
        <v>Yes</v>
      </c>
      <c r="K2048" s="109"/>
      <c r="L2048" s="109"/>
      <c r="M2048" s="110">
        <f>IFERROR(VLOOKUP($C2048,'CEDARS School FRPL'!C:H,3,FALSE),0)</f>
        <v>0.52426666666666666</v>
      </c>
      <c r="N2048" s="123" t="str">
        <f>IFERROR(VLOOKUP(C2048,'CEDARS School FRPL'!C:H,6,FALSE),"No")</f>
        <v>No</v>
      </c>
      <c r="P2048" s="148"/>
    </row>
    <row r="2049" spans="1:16">
      <c r="A2049" s="95" t="s">
        <v>2440</v>
      </c>
      <c r="B2049" s="95" t="s">
        <v>1330</v>
      </c>
      <c r="C2049" s="4">
        <v>3244</v>
      </c>
      <c r="D2049" s="95" t="s">
        <v>1366</v>
      </c>
      <c r="E2049" s="145">
        <v>634.62</v>
      </c>
      <c r="F2049" s="145">
        <v>0</v>
      </c>
      <c r="G2049" s="145">
        <v>0</v>
      </c>
      <c r="H2049" s="145">
        <v>0</v>
      </c>
      <c r="I2049" s="77">
        <f t="shared" si="34"/>
        <v>634.62</v>
      </c>
      <c r="J2049" s="123" t="str">
        <f>IFERROR(VLOOKUP($C2049,'CEDARS School FRPL'!C:H,4,FALSE),"No")</f>
        <v>No</v>
      </c>
      <c r="K2049" s="109"/>
      <c r="L2049" s="109"/>
      <c r="M2049" s="110">
        <f>IFERROR(VLOOKUP($C2049,'CEDARS School FRPL'!C:H,3,FALSE),0)</f>
        <v>0.35923333333333335</v>
      </c>
      <c r="N2049" s="123" t="str">
        <f>IFERROR(VLOOKUP(C2049,'CEDARS School FRPL'!C:H,6,FALSE),"No")</f>
        <v>No</v>
      </c>
      <c r="P2049" s="148"/>
    </row>
    <row r="2050" spans="1:16">
      <c r="A2050" s="95" t="s">
        <v>2440</v>
      </c>
      <c r="B2050" s="95" t="s">
        <v>1330</v>
      </c>
      <c r="C2050" s="4">
        <v>3246</v>
      </c>
      <c r="D2050" s="95" t="s">
        <v>1367</v>
      </c>
      <c r="E2050" s="145">
        <v>988.47</v>
      </c>
      <c r="F2050" s="145">
        <v>114.65</v>
      </c>
      <c r="G2050" s="145">
        <v>0</v>
      </c>
      <c r="H2050" s="145">
        <v>0</v>
      </c>
      <c r="I2050" s="77">
        <f t="shared" si="34"/>
        <v>1103.1200000000001</v>
      </c>
      <c r="J2050" s="123" t="str">
        <f>IFERROR(VLOOKUP($C2050,'CEDARS School FRPL'!C:H,4,FALSE),"No")</f>
        <v>No</v>
      </c>
      <c r="K2050" s="109"/>
      <c r="L2050" s="109"/>
      <c r="M2050" s="110">
        <f>IFERROR(VLOOKUP($C2050,'CEDARS School FRPL'!C:H,3,FALSE),0)</f>
        <v>0.4173</v>
      </c>
      <c r="N2050" s="123" t="str">
        <f>IFERROR(VLOOKUP(C2050,'CEDARS School FRPL'!C:H,6,FALSE),"No")</f>
        <v>No</v>
      </c>
      <c r="P2050" s="148"/>
    </row>
    <row r="2051" spans="1:16">
      <c r="A2051" s="95" t="s">
        <v>2440</v>
      </c>
      <c r="B2051" s="95" t="s">
        <v>1330</v>
      </c>
      <c r="C2051" s="4">
        <v>3397</v>
      </c>
      <c r="D2051" s="95" t="s">
        <v>1368</v>
      </c>
      <c r="E2051" s="145">
        <v>212.71</v>
      </c>
      <c r="F2051" s="145">
        <v>0</v>
      </c>
      <c r="G2051" s="145">
        <v>0</v>
      </c>
      <c r="H2051" s="145">
        <v>0</v>
      </c>
      <c r="I2051" s="77">
        <f t="shared" si="34"/>
        <v>212.71</v>
      </c>
      <c r="J2051" s="123" t="str">
        <f>IFERROR(VLOOKUP($C2051,'CEDARS School FRPL'!C:H,4,FALSE),"No")</f>
        <v>No</v>
      </c>
      <c r="K2051" s="109"/>
      <c r="L2051" s="109"/>
      <c r="M2051" s="110">
        <f>IFERROR(VLOOKUP($C2051,'CEDARS School FRPL'!C:H,3,FALSE),0)</f>
        <v>0.44203333333333333</v>
      </c>
      <c r="N2051" s="123" t="str">
        <f>IFERROR(VLOOKUP(C2051,'CEDARS School FRPL'!C:H,6,FALSE),"No")</f>
        <v>No</v>
      </c>
      <c r="P2051" s="148"/>
    </row>
    <row r="2052" spans="1:16">
      <c r="A2052" s="95" t="s">
        <v>2440</v>
      </c>
      <c r="B2052" s="95" t="s">
        <v>1330</v>
      </c>
      <c r="C2052" s="4">
        <v>3398</v>
      </c>
      <c r="D2052" s="95" t="s">
        <v>1369</v>
      </c>
      <c r="E2052" s="145">
        <v>1259.47</v>
      </c>
      <c r="F2052" s="145">
        <v>69.419999999999987</v>
      </c>
      <c r="G2052" s="145">
        <v>0</v>
      </c>
      <c r="H2052" s="145">
        <v>0</v>
      </c>
      <c r="I2052" s="77">
        <f t="shared" ref="I2052:I2115" si="35">+E2052+F2052+G2052+H2052</f>
        <v>1328.89</v>
      </c>
      <c r="J2052" s="123" t="str">
        <f>IFERROR(VLOOKUP($C2052,'CEDARS School FRPL'!C:H,4,FALSE),"No")</f>
        <v>Yes</v>
      </c>
      <c r="K2052" s="109"/>
      <c r="L2052" s="109"/>
      <c r="M2052" s="110">
        <f>IFERROR(VLOOKUP($C2052,'CEDARS School FRPL'!C:H,3,FALSE),0)</f>
        <v>0.67886666666666662</v>
      </c>
      <c r="N2052" s="123" t="str">
        <f>IFERROR(VLOOKUP(C2052,'CEDARS School FRPL'!C:H,6,FALSE),"No")</f>
        <v>No</v>
      </c>
      <c r="O2052" s="147"/>
      <c r="P2052" s="148"/>
    </row>
    <row r="2053" spans="1:16">
      <c r="A2053" s="95" t="s">
        <v>2440</v>
      </c>
      <c r="B2053" s="95" t="s">
        <v>1330</v>
      </c>
      <c r="C2053" s="4">
        <v>3448</v>
      </c>
      <c r="D2053" s="95" t="s">
        <v>1370</v>
      </c>
      <c r="E2053" s="145">
        <v>528.48</v>
      </c>
      <c r="F2053" s="145">
        <v>0</v>
      </c>
      <c r="G2053" s="145">
        <v>0</v>
      </c>
      <c r="H2053" s="145">
        <v>0</v>
      </c>
      <c r="I2053" s="77">
        <f t="shared" si="35"/>
        <v>528.48</v>
      </c>
      <c r="J2053" s="123" t="str">
        <f>IFERROR(VLOOKUP($C2053,'CEDARS School FRPL'!C:H,4,FALSE),"No")</f>
        <v>Yes</v>
      </c>
      <c r="K2053" s="109"/>
      <c r="L2053" s="109"/>
      <c r="M2053" s="110">
        <f>IFERROR(VLOOKUP($C2053,'CEDARS School FRPL'!C:H,3,FALSE),0)</f>
        <v>0.51919999999999999</v>
      </c>
      <c r="N2053" s="123" t="str">
        <f>IFERROR(VLOOKUP(C2053,'CEDARS School FRPL'!C:H,6,FALSE),"No")</f>
        <v>No</v>
      </c>
      <c r="P2053" s="148"/>
    </row>
    <row r="2054" spans="1:16">
      <c r="A2054" s="95" t="s">
        <v>2440</v>
      </c>
      <c r="B2054" s="95" t="s">
        <v>1330</v>
      </c>
      <c r="C2054" s="4">
        <v>3449</v>
      </c>
      <c r="D2054" s="95" t="s">
        <v>1371</v>
      </c>
      <c r="E2054" s="145">
        <v>368.71</v>
      </c>
      <c r="F2054" s="145">
        <v>0</v>
      </c>
      <c r="G2054" s="145">
        <v>0</v>
      </c>
      <c r="H2054" s="145">
        <v>0</v>
      </c>
      <c r="I2054" s="77">
        <f t="shared" si="35"/>
        <v>368.71</v>
      </c>
      <c r="J2054" s="123" t="str">
        <f>IFERROR(VLOOKUP($C2054,'CEDARS School FRPL'!C:H,4,FALSE),"No")</f>
        <v>Yes</v>
      </c>
      <c r="K2054" s="109"/>
      <c r="L2054" s="109"/>
      <c r="M2054" s="110">
        <f>IFERROR(VLOOKUP($C2054,'CEDARS School FRPL'!C:H,3,FALSE),0)</f>
        <v>0.71626666666666672</v>
      </c>
      <c r="N2054" s="123" t="str">
        <f>IFERROR(VLOOKUP(C2054,'CEDARS School FRPL'!C:H,6,FALSE),"No")</f>
        <v>No</v>
      </c>
      <c r="O2054" s="147"/>
      <c r="P2054" s="148"/>
    </row>
    <row r="2055" spans="1:16">
      <c r="A2055" s="95" t="s">
        <v>2440</v>
      </c>
      <c r="B2055" s="95" t="s">
        <v>1330</v>
      </c>
      <c r="C2055" s="4">
        <v>3452</v>
      </c>
      <c r="D2055" s="95" t="s">
        <v>1372</v>
      </c>
      <c r="E2055" s="145">
        <v>280.70999999999998</v>
      </c>
      <c r="F2055" s="145">
        <v>0</v>
      </c>
      <c r="G2055" s="145">
        <v>0</v>
      </c>
      <c r="H2055" s="145">
        <v>0</v>
      </c>
      <c r="I2055" s="77">
        <f t="shared" si="35"/>
        <v>280.70999999999998</v>
      </c>
      <c r="J2055" s="123" t="str">
        <f>IFERROR(VLOOKUP($C2055,'CEDARS School FRPL'!C:H,4,FALSE),"No")</f>
        <v>Yes</v>
      </c>
      <c r="K2055" s="109"/>
      <c r="L2055" s="109"/>
      <c r="M2055" s="110">
        <f>IFERROR(VLOOKUP($C2055,'CEDARS School FRPL'!C:H,3,FALSE),0)</f>
        <v>0.50026666666666664</v>
      </c>
      <c r="N2055" s="123" t="str">
        <f>IFERROR(VLOOKUP(C2055,'CEDARS School FRPL'!C:H,6,FALSE),"No")</f>
        <v>No</v>
      </c>
      <c r="O2055" s="147"/>
      <c r="P2055" s="148"/>
    </row>
    <row r="2056" spans="1:16">
      <c r="A2056" s="95" t="s">
        <v>2440</v>
      </c>
      <c r="B2056" s="95" t="s">
        <v>1330</v>
      </c>
      <c r="C2056" s="4">
        <v>3453</v>
      </c>
      <c r="D2056" s="95" t="s">
        <v>1373</v>
      </c>
      <c r="E2056" s="145">
        <v>358.43</v>
      </c>
      <c r="F2056" s="145">
        <v>0</v>
      </c>
      <c r="G2056" s="145">
        <v>0</v>
      </c>
      <c r="H2056" s="145">
        <v>0</v>
      </c>
      <c r="I2056" s="77">
        <f t="shared" si="35"/>
        <v>358.43</v>
      </c>
      <c r="J2056" s="123" t="str">
        <f>IFERROR(VLOOKUP($C2056,'CEDARS School FRPL'!C:H,4,FALSE),"No")</f>
        <v>Yes</v>
      </c>
      <c r="K2056" s="109"/>
      <c r="L2056" s="109"/>
      <c r="M2056" s="110">
        <f>IFERROR(VLOOKUP($C2056,'CEDARS School FRPL'!C:H,3,FALSE),0)</f>
        <v>0.83253333333333324</v>
      </c>
      <c r="N2056" s="123" t="str">
        <f>IFERROR(VLOOKUP(C2056,'CEDARS School FRPL'!C:H,6,FALSE),"No")</f>
        <v>No</v>
      </c>
      <c r="O2056" s="147"/>
      <c r="P2056" s="148"/>
    </row>
    <row r="2057" spans="1:16">
      <c r="A2057" s="95" t="s">
        <v>2440</v>
      </c>
      <c r="B2057" s="95" t="s">
        <v>1330</v>
      </c>
      <c r="C2057" s="4">
        <v>3498</v>
      </c>
      <c r="D2057" s="95" t="s">
        <v>1374</v>
      </c>
      <c r="E2057" s="145">
        <v>281.87</v>
      </c>
      <c r="F2057" s="145">
        <v>0</v>
      </c>
      <c r="G2057" s="145">
        <v>0</v>
      </c>
      <c r="H2057" s="145">
        <v>0</v>
      </c>
      <c r="I2057" s="77">
        <f t="shared" si="35"/>
        <v>281.87</v>
      </c>
      <c r="J2057" s="123" t="str">
        <f>IFERROR(VLOOKUP($C2057,'CEDARS School FRPL'!C:H,4,FALSE),"No")</f>
        <v>Yes</v>
      </c>
      <c r="K2057" s="109"/>
      <c r="L2057" s="109"/>
      <c r="M2057" s="110">
        <f>IFERROR(VLOOKUP($C2057,'CEDARS School FRPL'!C:H,3,FALSE),0)</f>
        <v>0.53563333333333329</v>
      </c>
      <c r="N2057" s="123" t="str">
        <f>IFERROR(VLOOKUP(C2057,'CEDARS School FRPL'!C:H,6,FALSE),"No")</f>
        <v>No</v>
      </c>
      <c r="O2057" s="147"/>
      <c r="P2057" s="148"/>
    </row>
    <row r="2058" spans="1:16">
      <c r="A2058" s="95" t="s">
        <v>2440</v>
      </c>
      <c r="B2058" s="95" t="s">
        <v>1330</v>
      </c>
      <c r="C2058" s="4">
        <v>3646</v>
      </c>
      <c r="D2058" s="95" t="s">
        <v>1375</v>
      </c>
      <c r="E2058" s="145">
        <v>383.71</v>
      </c>
      <c r="F2058" s="145">
        <v>0</v>
      </c>
      <c r="G2058" s="145">
        <v>0</v>
      </c>
      <c r="H2058" s="145">
        <v>0</v>
      </c>
      <c r="I2058" s="77">
        <f t="shared" si="35"/>
        <v>383.71</v>
      </c>
      <c r="J2058" s="123" t="str">
        <f>IFERROR(VLOOKUP($C2058,'CEDARS School FRPL'!C:H,4,FALSE),"No")</f>
        <v>Yes</v>
      </c>
      <c r="K2058" s="109"/>
      <c r="L2058" s="109"/>
      <c r="M2058" s="110">
        <f>IFERROR(VLOOKUP($C2058,'CEDARS School FRPL'!C:H,3,FALSE),0)</f>
        <v>0.69799999999999995</v>
      </c>
      <c r="N2058" s="123" t="str">
        <f>IFERROR(VLOOKUP(C2058,'CEDARS School FRPL'!C:H,6,FALSE),"No")</f>
        <v>No</v>
      </c>
      <c r="O2058" s="147"/>
      <c r="P2058" s="148"/>
    </row>
    <row r="2059" spans="1:16">
      <c r="A2059" s="95" t="s">
        <v>2440</v>
      </c>
      <c r="B2059" s="95" t="s">
        <v>1330</v>
      </c>
      <c r="C2059" s="4">
        <v>3880</v>
      </c>
      <c r="D2059" s="95" t="s">
        <v>1376</v>
      </c>
      <c r="E2059" s="145">
        <v>560.97</v>
      </c>
      <c r="F2059" s="145">
        <v>27.25</v>
      </c>
      <c r="G2059" s="145">
        <v>0</v>
      </c>
      <c r="H2059" s="145">
        <v>0</v>
      </c>
      <c r="I2059" s="77">
        <f t="shared" si="35"/>
        <v>588.22</v>
      </c>
      <c r="J2059" s="123" t="str">
        <f>IFERROR(VLOOKUP($C2059,'CEDARS School FRPL'!C:H,4,FALSE),"No")</f>
        <v>Yes</v>
      </c>
      <c r="K2059" s="109"/>
      <c r="L2059" s="109"/>
      <c r="M2059" s="110">
        <f>IFERROR(VLOOKUP($C2059,'CEDARS School FRPL'!C:H,3,FALSE),0)</f>
        <v>0.70913333333333328</v>
      </c>
      <c r="N2059" s="123" t="str">
        <f>IFERROR(VLOOKUP(C2059,'CEDARS School FRPL'!C:H,6,FALSE),"No")</f>
        <v>No</v>
      </c>
      <c r="O2059" s="147"/>
      <c r="P2059" s="148"/>
    </row>
    <row r="2060" spans="1:16">
      <c r="A2060" s="95" t="s">
        <v>2440</v>
      </c>
      <c r="B2060" s="95" t="s">
        <v>1330</v>
      </c>
      <c r="C2060" s="4">
        <v>4109</v>
      </c>
      <c r="D2060" s="95" t="s">
        <v>1377</v>
      </c>
      <c r="E2060" s="145">
        <v>110.48</v>
      </c>
      <c r="F2060" s="145">
        <v>0.74</v>
      </c>
      <c r="G2060" s="145">
        <v>0</v>
      </c>
      <c r="H2060" s="145">
        <v>0</v>
      </c>
      <c r="I2060" s="77">
        <f t="shared" si="35"/>
        <v>111.22</v>
      </c>
      <c r="J2060" s="123" t="str">
        <f>IFERROR(VLOOKUP($C2060,'CEDARS School FRPL'!C:H,4,FALSE),"No")</f>
        <v>Yes</v>
      </c>
      <c r="K2060" s="109"/>
      <c r="L2060" s="109"/>
      <c r="M2060" s="110">
        <f>IFERROR(VLOOKUP($C2060,'CEDARS School FRPL'!C:H,3,FALSE),0)</f>
        <v>0.81510000000000005</v>
      </c>
      <c r="N2060" s="123" t="str">
        <f>IFERROR(VLOOKUP(C2060,'CEDARS School FRPL'!C:H,6,FALSE),"No")</f>
        <v>No</v>
      </c>
      <c r="O2060" s="147"/>
      <c r="P2060" s="148"/>
    </row>
    <row r="2061" spans="1:16">
      <c r="A2061" s="95" t="s">
        <v>2440</v>
      </c>
      <c r="B2061" s="95" t="s">
        <v>1330</v>
      </c>
      <c r="C2061" s="4">
        <v>4283</v>
      </c>
      <c r="D2061" s="95" t="s">
        <v>1378</v>
      </c>
      <c r="E2061" s="145">
        <v>19.690000000000001</v>
      </c>
      <c r="F2061" s="145">
        <v>0</v>
      </c>
      <c r="G2061" s="145">
        <v>0</v>
      </c>
      <c r="H2061" s="145">
        <v>0</v>
      </c>
      <c r="I2061" s="77">
        <f t="shared" si="35"/>
        <v>19.690000000000001</v>
      </c>
      <c r="J2061" s="123" t="str">
        <f>IFERROR(VLOOKUP($C2061,'CEDARS School FRPL'!C:H,4,FALSE),"No")</f>
        <v>Yes</v>
      </c>
      <c r="K2061" s="109"/>
      <c r="L2061" s="109"/>
      <c r="M2061" s="110">
        <f>IFERROR(VLOOKUP($C2061,'CEDARS School FRPL'!C:H,3,FALSE),0)</f>
        <v>0.74266666666666659</v>
      </c>
      <c r="N2061" s="123" t="str">
        <f>IFERROR(VLOOKUP(C2061,'CEDARS School FRPL'!C:H,6,FALSE),"No")</f>
        <v>No</v>
      </c>
      <c r="O2061" s="147"/>
      <c r="P2061" s="148"/>
    </row>
    <row r="2062" spans="1:16">
      <c r="A2062" s="95" t="s">
        <v>2440</v>
      </c>
      <c r="B2062" s="95" t="s">
        <v>1330</v>
      </c>
      <c r="C2062" s="4">
        <v>4537</v>
      </c>
      <c r="D2062" s="95" t="s">
        <v>1379</v>
      </c>
      <c r="E2062" s="145">
        <v>387.14</v>
      </c>
      <c r="F2062" s="145">
        <v>0</v>
      </c>
      <c r="G2062" s="145">
        <v>0</v>
      </c>
      <c r="H2062" s="145">
        <v>0</v>
      </c>
      <c r="I2062" s="77">
        <f t="shared" si="35"/>
        <v>387.14</v>
      </c>
      <c r="J2062" s="123" t="str">
        <f>IFERROR(VLOOKUP($C2062,'CEDARS School FRPL'!C:H,4,FALSE),"No")</f>
        <v>No</v>
      </c>
      <c r="M2062" s="110">
        <f>IFERROR(VLOOKUP($C2062,'CEDARS School FRPL'!C:H,3,FALSE),0)</f>
        <v>0.35003333333333336</v>
      </c>
      <c r="N2062" s="123" t="str">
        <f>IFERROR(VLOOKUP(C2062,'CEDARS School FRPL'!C:H,6,FALSE),"No")</f>
        <v>No</v>
      </c>
      <c r="O2062" s="147"/>
      <c r="P2062" s="148"/>
    </row>
    <row r="2063" spans="1:16">
      <c r="A2063" s="95" t="s">
        <v>2440</v>
      </c>
      <c r="B2063" s="95" t="s">
        <v>1330</v>
      </c>
      <c r="C2063" s="4">
        <v>4575</v>
      </c>
      <c r="D2063" s="95" t="s">
        <v>1380</v>
      </c>
      <c r="E2063" s="145">
        <v>493.57</v>
      </c>
      <c r="F2063" s="145">
        <v>0</v>
      </c>
      <c r="G2063" s="145">
        <v>0</v>
      </c>
      <c r="H2063" s="145">
        <v>0</v>
      </c>
      <c r="I2063" s="77">
        <f t="shared" si="35"/>
        <v>493.57</v>
      </c>
      <c r="J2063" s="123" t="str">
        <f>IFERROR(VLOOKUP($C2063,'CEDARS School FRPL'!C:H,4,FALSE),"No")</f>
        <v>Yes</v>
      </c>
      <c r="K2063" s="109"/>
      <c r="L2063" s="109"/>
      <c r="M2063" s="110">
        <f>IFERROR(VLOOKUP($C2063,'CEDARS School FRPL'!C:H,3,FALSE),0)</f>
        <v>0.75436666666666674</v>
      </c>
      <c r="N2063" s="123" t="str">
        <f>IFERROR(VLOOKUP(C2063,'CEDARS School FRPL'!C:H,6,FALSE),"No")</f>
        <v>No</v>
      </c>
      <c r="O2063" s="147"/>
      <c r="P2063" s="148"/>
    </row>
    <row r="2064" spans="1:16">
      <c r="A2064" s="95" t="s">
        <v>2440</v>
      </c>
      <c r="B2064" s="95" t="s">
        <v>1330</v>
      </c>
      <c r="C2064" s="4">
        <v>5066</v>
      </c>
      <c r="D2064" s="95" t="s">
        <v>1381</v>
      </c>
      <c r="E2064" s="145">
        <v>411.71</v>
      </c>
      <c r="F2064" s="145">
        <v>0</v>
      </c>
      <c r="G2064" s="145">
        <v>0</v>
      </c>
      <c r="H2064" s="145">
        <v>0</v>
      </c>
      <c r="I2064" s="77">
        <f t="shared" si="35"/>
        <v>411.71</v>
      </c>
      <c r="J2064" s="123" t="str">
        <f>IFERROR(VLOOKUP($C2064,'CEDARS School FRPL'!C:H,4,FALSE),"No")</f>
        <v>Yes</v>
      </c>
      <c r="K2064" s="109"/>
      <c r="L2064" s="109"/>
      <c r="M2064" s="110">
        <f>IFERROR(VLOOKUP($C2064,'CEDARS School FRPL'!C:H,3,FALSE),0)</f>
        <v>0.69373333333333331</v>
      </c>
      <c r="N2064" s="123" t="str">
        <f>IFERROR(VLOOKUP(C2064,'CEDARS School FRPL'!C:H,6,FALSE),"No")</f>
        <v>No</v>
      </c>
      <c r="O2064" s="147"/>
      <c r="P2064" s="148"/>
    </row>
    <row r="2065" spans="1:16">
      <c r="A2065" s="95" t="s">
        <v>2440</v>
      </c>
      <c r="B2065" s="95" t="s">
        <v>1330</v>
      </c>
      <c r="C2065" s="4">
        <v>5169</v>
      </c>
      <c r="D2065" s="95" t="s">
        <v>1382</v>
      </c>
      <c r="E2065" s="145">
        <v>549.13</v>
      </c>
      <c r="F2065" s="145">
        <v>24.03</v>
      </c>
      <c r="G2065" s="145">
        <v>0</v>
      </c>
      <c r="H2065" s="145">
        <v>0</v>
      </c>
      <c r="I2065" s="77">
        <f t="shared" si="35"/>
        <v>573.16</v>
      </c>
      <c r="J2065" s="123" t="str">
        <f>IFERROR(VLOOKUP($C2065,'CEDARS School FRPL'!C:H,4,FALSE),"No")</f>
        <v>No</v>
      </c>
      <c r="K2065" s="109"/>
      <c r="L2065" s="109"/>
      <c r="M2065" s="110">
        <f>IFERROR(VLOOKUP($C2065,'CEDARS School FRPL'!C:H,3,FALSE),0)</f>
        <v>0.36610000000000004</v>
      </c>
      <c r="N2065" s="123" t="str">
        <f>IFERROR(VLOOKUP(C2065,'CEDARS School FRPL'!C:H,6,FALSE),"No")</f>
        <v>No</v>
      </c>
      <c r="O2065" s="147"/>
      <c r="P2065" s="148"/>
    </row>
    <row r="2066" spans="1:16">
      <c r="A2066" s="95" t="s">
        <v>2440</v>
      </c>
      <c r="B2066" s="95" t="s">
        <v>1330</v>
      </c>
      <c r="C2066" s="4">
        <v>5170</v>
      </c>
      <c r="D2066" s="95" t="s">
        <v>1383</v>
      </c>
      <c r="E2066" s="145">
        <v>616.34</v>
      </c>
      <c r="F2066" s="145">
        <v>0</v>
      </c>
      <c r="G2066" s="145">
        <v>0</v>
      </c>
      <c r="H2066" s="145">
        <v>0</v>
      </c>
      <c r="I2066" s="77">
        <f t="shared" si="35"/>
        <v>616.34</v>
      </c>
      <c r="J2066" s="123" t="str">
        <f>IFERROR(VLOOKUP($C2066,'CEDARS School FRPL'!C:H,4,FALSE),"No")</f>
        <v>Yes</v>
      </c>
      <c r="K2066" s="109"/>
      <c r="L2066" s="109"/>
      <c r="M2066" s="110">
        <f>IFERROR(VLOOKUP($C2066,'CEDARS School FRPL'!C:H,3,FALSE),0)</f>
        <v>0.82333333333333325</v>
      </c>
      <c r="N2066" s="123" t="str">
        <f>IFERROR(VLOOKUP(C2066,'CEDARS School FRPL'!C:H,6,FALSE),"No")</f>
        <v>No</v>
      </c>
      <c r="O2066" s="147"/>
      <c r="P2066" s="148"/>
    </row>
    <row r="2067" spans="1:16">
      <c r="A2067" s="95" t="s">
        <v>2440</v>
      </c>
      <c r="B2067" s="95" t="s">
        <v>1330</v>
      </c>
      <c r="C2067" s="4">
        <v>5307</v>
      </c>
      <c r="D2067" s="95" t="s">
        <v>2938</v>
      </c>
      <c r="E2067" s="145">
        <v>0</v>
      </c>
      <c r="F2067" s="145">
        <v>0</v>
      </c>
      <c r="G2067" s="145">
        <v>248.98</v>
      </c>
      <c r="H2067" s="145">
        <v>0</v>
      </c>
      <c r="I2067" s="77">
        <f t="shared" si="35"/>
        <v>248.98</v>
      </c>
      <c r="J2067" s="123" t="str">
        <f>IFERROR(VLOOKUP($C2067,'CEDARS School FRPL'!C:H,4,FALSE),"No")</f>
        <v>No</v>
      </c>
      <c r="K2067" s="109"/>
      <c r="L2067" s="109"/>
      <c r="M2067" s="110">
        <f>IFERROR(VLOOKUP($C2067,'CEDARS School FRPL'!C:H,3,FALSE),0)</f>
        <v>0.43576666666666669</v>
      </c>
      <c r="N2067" s="123" t="str">
        <f>IFERROR(VLOOKUP(C2067,'CEDARS School FRPL'!C:H,6,FALSE),"No")</f>
        <v>No</v>
      </c>
      <c r="O2067" s="147"/>
      <c r="P2067" s="148"/>
    </row>
    <row r="2068" spans="1:16">
      <c r="A2068" s="95" t="s">
        <v>2440</v>
      </c>
      <c r="B2068" s="95" t="s">
        <v>1330</v>
      </c>
      <c r="C2068" s="4">
        <v>5458</v>
      </c>
      <c r="D2068" s="95" t="s">
        <v>1384</v>
      </c>
      <c r="E2068" s="145">
        <v>382.1</v>
      </c>
      <c r="F2068" s="145">
        <v>8.9499999999999993</v>
      </c>
      <c r="G2068" s="145">
        <v>0</v>
      </c>
      <c r="H2068" s="145">
        <v>0</v>
      </c>
      <c r="I2068" s="77">
        <f t="shared" si="35"/>
        <v>391.05</v>
      </c>
      <c r="J2068" s="123" t="str">
        <f>IFERROR(VLOOKUP($C2068,'CEDARS School FRPL'!C:H,4,FALSE),"No")</f>
        <v>No</v>
      </c>
      <c r="K2068" s="109"/>
      <c r="L2068" s="109"/>
      <c r="M2068" s="110">
        <f>IFERROR(VLOOKUP($C2068,'CEDARS School FRPL'!C:H,3,FALSE),0)</f>
        <v>0.4012</v>
      </c>
      <c r="N2068" s="123" t="str">
        <f>IFERROR(VLOOKUP(C2068,'CEDARS School FRPL'!C:H,6,FALSE),"No")</f>
        <v>No</v>
      </c>
      <c r="O2068" s="147"/>
      <c r="P2068" s="148"/>
    </row>
    <row r="2069" spans="1:16">
      <c r="A2069" s="95" t="s">
        <v>2440</v>
      </c>
      <c r="B2069" s="95" t="s">
        <v>1330</v>
      </c>
      <c r="C2069" s="4">
        <v>5627</v>
      </c>
      <c r="D2069" s="95" t="s">
        <v>2937</v>
      </c>
      <c r="E2069" s="145">
        <v>118.89</v>
      </c>
      <c r="F2069" s="145">
        <v>0</v>
      </c>
      <c r="G2069" s="145">
        <v>0</v>
      </c>
      <c r="H2069" s="145">
        <v>0</v>
      </c>
      <c r="I2069" s="77">
        <f t="shared" si="35"/>
        <v>118.89</v>
      </c>
      <c r="J2069" s="123" t="str">
        <f>IFERROR(VLOOKUP($C2069,'CEDARS School FRPL'!C:H,4,FALSE),"No")</f>
        <v>No</v>
      </c>
      <c r="K2069" s="109"/>
      <c r="L2069" s="109"/>
      <c r="M2069" s="110">
        <f>IFERROR(VLOOKUP($C2069,'CEDARS School FRPL'!C:H,3,FALSE),0)</f>
        <v>0.42025000000000001</v>
      </c>
      <c r="N2069" s="123" t="str">
        <f>IFERROR(VLOOKUP(C2069,'CEDARS School FRPL'!C:H,6,FALSE),"No")</f>
        <v>No</v>
      </c>
      <c r="O2069" s="147"/>
      <c r="P2069" s="148"/>
    </row>
    <row r="2070" spans="1:16">
      <c r="A2070" s="95" t="s">
        <v>2440</v>
      </c>
      <c r="B2070" s="95" t="s">
        <v>1330</v>
      </c>
      <c r="C2070" s="4">
        <v>5628</v>
      </c>
      <c r="D2070" s="95" t="s">
        <v>3051</v>
      </c>
      <c r="E2070" s="145">
        <v>1579.71</v>
      </c>
      <c r="F2070" s="145">
        <v>15.77</v>
      </c>
      <c r="G2070" s="145">
        <v>0</v>
      </c>
      <c r="H2070" s="145">
        <v>0</v>
      </c>
      <c r="I2070" s="77">
        <f t="shared" si="35"/>
        <v>1595.48</v>
      </c>
      <c r="J2070" s="123" t="str">
        <f>IFERROR(VLOOKUP($C2070,'CEDARS School FRPL'!C:H,4,FALSE),"No")</f>
        <v>Yes</v>
      </c>
      <c r="K2070" s="109"/>
      <c r="L2070" s="109"/>
      <c r="M2070" s="110">
        <f>IFERROR(VLOOKUP($C2070,'CEDARS School FRPL'!C:H,3,FALSE),0)</f>
        <v>0.67789999999999995</v>
      </c>
      <c r="N2070" s="123" t="str">
        <f>IFERROR(VLOOKUP(C2070,'CEDARS School FRPL'!C:H,6,FALSE),"No")</f>
        <v>No</v>
      </c>
      <c r="O2070" s="147"/>
      <c r="P2070" s="148"/>
    </row>
    <row r="2071" spans="1:16">
      <c r="A2071" s="95" t="s">
        <v>2440</v>
      </c>
      <c r="B2071" s="95" t="s">
        <v>1330</v>
      </c>
      <c r="C2071" s="4">
        <v>5697</v>
      </c>
      <c r="D2071" s="95" t="s">
        <v>3050</v>
      </c>
      <c r="E2071" s="145">
        <v>215.07</v>
      </c>
      <c r="F2071" s="145">
        <v>0</v>
      </c>
      <c r="G2071" s="145">
        <v>0</v>
      </c>
      <c r="H2071" s="145">
        <v>0</v>
      </c>
      <c r="I2071" s="77">
        <f t="shared" si="35"/>
        <v>215.07</v>
      </c>
      <c r="J2071" s="123" t="str">
        <f>IFERROR(VLOOKUP($C2071,'CEDARS School FRPL'!C:H,4,FALSE),"No")</f>
        <v>Yes</v>
      </c>
      <c r="K2071" s="109"/>
      <c r="L2071" s="109"/>
      <c r="M2071" s="110">
        <f>IFERROR(VLOOKUP($C2071,'CEDARS School FRPL'!C:H,3,FALSE),0)</f>
        <v>0.64190000000000003</v>
      </c>
      <c r="N2071" s="123" t="str">
        <f>IFERROR(VLOOKUP(C2071,'CEDARS School FRPL'!C:H,6,FALSE),"No")</f>
        <v>No</v>
      </c>
      <c r="O2071" s="147"/>
      <c r="P2071" s="148"/>
    </row>
    <row r="2072" spans="1:16">
      <c r="A2072" s="95" t="s">
        <v>2333</v>
      </c>
      <c r="B2072" s="95" t="s">
        <v>497</v>
      </c>
      <c r="C2072" s="4">
        <v>3580</v>
      </c>
      <c r="D2072" s="95" t="s">
        <v>498</v>
      </c>
      <c r="E2072" s="145">
        <v>115.73</v>
      </c>
      <c r="F2072" s="145">
        <v>0</v>
      </c>
      <c r="G2072" s="145">
        <v>0</v>
      </c>
      <c r="H2072" s="145">
        <v>0</v>
      </c>
      <c r="I2072" s="77">
        <f t="shared" si="35"/>
        <v>115.73</v>
      </c>
      <c r="J2072" s="123" t="str">
        <f>IFERROR(VLOOKUP($C2072,'CEDARS School FRPL'!C:H,4,FALSE),"No")</f>
        <v>Yes</v>
      </c>
      <c r="K2072" s="109"/>
      <c r="L2072" s="109"/>
      <c r="M2072" s="110">
        <f>IFERROR(VLOOKUP($C2072,'CEDARS School FRPL'!C:H,3,FALSE),0)</f>
        <v>0.71323333333333327</v>
      </c>
      <c r="N2072" s="123" t="str">
        <f>IFERROR(VLOOKUP(C2072,'CEDARS School FRPL'!C:H,6,FALSE),"No")</f>
        <v>No</v>
      </c>
      <c r="O2072" s="147"/>
      <c r="P2072" s="148"/>
    </row>
    <row r="2073" spans="1:16">
      <c r="A2073" s="95" t="s">
        <v>2333</v>
      </c>
      <c r="B2073" s="95" t="s">
        <v>497</v>
      </c>
      <c r="C2073" s="4">
        <v>5032</v>
      </c>
      <c r="D2073" s="95" t="s">
        <v>499</v>
      </c>
      <c r="E2073" s="145">
        <v>41.86</v>
      </c>
      <c r="F2073" s="145">
        <v>0</v>
      </c>
      <c r="G2073" s="145">
        <v>0</v>
      </c>
      <c r="H2073" s="145">
        <v>0</v>
      </c>
      <c r="I2073" s="77">
        <f t="shared" si="35"/>
        <v>41.86</v>
      </c>
      <c r="J2073" s="123" t="str">
        <f>IFERROR(VLOOKUP($C2073,'CEDARS School FRPL'!C:H,4,FALSE),"No")</f>
        <v>Yes</v>
      </c>
      <c r="K2073" s="109"/>
      <c r="L2073" s="109"/>
      <c r="M2073" s="110">
        <f>IFERROR(VLOOKUP($C2073,'CEDARS School FRPL'!C:H,3,FALSE),0)</f>
        <v>0.65700000000000003</v>
      </c>
      <c r="N2073" s="123" t="str">
        <f>IFERROR(VLOOKUP(C2073,'CEDARS School FRPL'!C:H,6,FALSE),"No")</f>
        <v>No</v>
      </c>
      <c r="O2073" s="147"/>
      <c r="P2073" s="148"/>
    </row>
    <row r="2074" spans="1:16">
      <c r="A2074" s="95" t="s">
        <v>2360</v>
      </c>
      <c r="B2074" s="95" t="s">
        <v>826</v>
      </c>
      <c r="C2074" s="4">
        <v>2849</v>
      </c>
      <c r="D2074" s="95" t="s">
        <v>827</v>
      </c>
      <c r="E2074" s="145">
        <v>2445.3000000000002</v>
      </c>
      <c r="F2074" s="145">
        <v>206.03</v>
      </c>
      <c r="G2074" s="145">
        <v>0</v>
      </c>
      <c r="H2074" s="145">
        <v>0</v>
      </c>
      <c r="I2074" s="77">
        <f t="shared" si="35"/>
        <v>2651.3300000000004</v>
      </c>
      <c r="J2074" s="123" t="str">
        <f>IFERROR(VLOOKUP($C2074,'CEDARS School FRPL'!C:H,4,FALSE),"No")</f>
        <v>No</v>
      </c>
      <c r="K2074" s="109"/>
      <c r="L2074" s="109"/>
      <c r="M2074" s="110">
        <f>IFERROR(VLOOKUP($C2074,'CEDARS School FRPL'!C:H,3,FALSE),0)</f>
        <v>0.13133333333333333</v>
      </c>
      <c r="N2074" s="123" t="str">
        <f>IFERROR(VLOOKUP(C2074,'CEDARS School FRPL'!C:H,6,FALSE),"No")</f>
        <v>No</v>
      </c>
      <c r="O2074" s="147"/>
      <c r="P2074" s="148"/>
    </row>
    <row r="2075" spans="1:16">
      <c r="A2075" s="95" t="s">
        <v>2360</v>
      </c>
      <c r="B2075" s="95" t="s">
        <v>826</v>
      </c>
      <c r="C2075" s="4">
        <v>3286</v>
      </c>
      <c r="D2075" s="95" t="s">
        <v>828</v>
      </c>
      <c r="E2075" s="145">
        <v>722.31</v>
      </c>
      <c r="F2075" s="145">
        <v>0</v>
      </c>
      <c r="G2075" s="145">
        <v>0</v>
      </c>
      <c r="H2075" s="145">
        <v>0</v>
      </c>
      <c r="I2075" s="77">
        <f t="shared" si="35"/>
        <v>722.31</v>
      </c>
      <c r="J2075" s="123" t="str">
        <f>IFERROR(VLOOKUP($C2075,'CEDARS School FRPL'!C:H,4,FALSE),"No")</f>
        <v>No</v>
      </c>
      <c r="K2075" s="109"/>
      <c r="L2075" s="109"/>
      <c r="M2075" s="110">
        <f>IFERROR(VLOOKUP($C2075,'CEDARS School FRPL'!C:H,3,FALSE),0)</f>
        <v>0.1255</v>
      </c>
      <c r="N2075" s="123" t="str">
        <f>IFERROR(VLOOKUP(C2075,'CEDARS School FRPL'!C:H,6,FALSE),"No")</f>
        <v>No</v>
      </c>
      <c r="O2075" s="147"/>
      <c r="P2075" s="148"/>
    </row>
    <row r="2076" spans="1:16">
      <c r="A2076" s="95" t="s">
        <v>2360</v>
      </c>
      <c r="B2076" s="95" t="s">
        <v>826</v>
      </c>
      <c r="C2076" s="4">
        <v>3341</v>
      </c>
      <c r="D2076" s="95" t="s">
        <v>2742</v>
      </c>
      <c r="E2076" s="145">
        <v>1109.98</v>
      </c>
      <c r="F2076" s="145">
        <v>0</v>
      </c>
      <c r="G2076" s="145">
        <v>0</v>
      </c>
      <c r="H2076" s="145">
        <v>0</v>
      </c>
      <c r="I2076" s="77">
        <f t="shared" si="35"/>
        <v>1109.98</v>
      </c>
      <c r="J2076" s="123" t="str">
        <f>IFERROR(VLOOKUP($C2076,'CEDARS School FRPL'!C:H,4,FALSE),"No")</f>
        <v>No</v>
      </c>
      <c r="K2076" s="109"/>
      <c r="L2076" s="109"/>
      <c r="M2076" s="110">
        <f>IFERROR(VLOOKUP($C2076,'CEDARS School FRPL'!C:H,3,FALSE),0)</f>
        <v>0.1087</v>
      </c>
      <c r="N2076" s="123" t="str">
        <f>IFERROR(VLOOKUP(C2076,'CEDARS School FRPL'!C:H,6,FALSE),"No")</f>
        <v>No</v>
      </c>
      <c r="O2076" s="147"/>
      <c r="P2076" s="148"/>
    </row>
    <row r="2077" spans="1:16">
      <c r="A2077" s="95" t="s">
        <v>2360</v>
      </c>
      <c r="B2077" s="95" t="s">
        <v>826</v>
      </c>
      <c r="C2077" s="4">
        <v>3589</v>
      </c>
      <c r="D2077" s="95" t="s">
        <v>829</v>
      </c>
      <c r="E2077" s="145">
        <v>463.19</v>
      </c>
      <c r="F2077" s="145">
        <v>0</v>
      </c>
      <c r="G2077" s="145">
        <v>0</v>
      </c>
      <c r="H2077" s="145">
        <v>0</v>
      </c>
      <c r="I2077" s="77">
        <f t="shared" si="35"/>
        <v>463.19</v>
      </c>
      <c r="J2077" s="123" t="str">
        <f>IFERROR(VLOOKUP($C2077,'CEDARS School FRPL'!C:H,4,FALSE),"No")</f>
        <v>No</v>
      </c>
      <c r="K2077" s="109"/>
      <c r="L2077" s="109"/>
      <c r="M2077" s="110">
        <f>IFERROR(VLOOKUP($C2077,'CEDARS School FRPL'!C:H,3,FALSE),0)</f>
        <v>0.2698666666666667</v>
      </c>
      <c r="N2077" s="123" t="str">
        <f>IFERROR(VLOOKUP(C2077,'CEDARS School FRPL'!C:H,6,FALSE),"No")</f>
        <v>No</v>
      </c>
      <c r="O2077" s="147"/>
      <c r="P2077" s="148"/>
    </row>
    <row r="2078" spans="1:16">
      <c r="A2078" s="95" t="s">
        <v>2360</v>
      </c>
      <c r="B2078" s="95" t="s">
        <v>826</v>
      </c>
      <c r="C2078" s="4">
        <v>3937</v>
      </c>
      <c r="D2078" s="95" t="s">
        <v>2741</v>
      </c>
      <c r="E2078" s="145">
        <v>963.46</v>
      </c>
      <c r="F2078" s="145">
        <v>0</v>
      </c>
      <c r="G2078" s="145">
        <v>0</v>
      </c>
      <c r="H2078" s="145">
        <v>0</v>
      </c>
      <c r="I2078" s="77">
        <f t="shared" si="35"/>
        <v>963.46</v>
      </c>
      <c r="J2078" s="123" t="str">
        <f>IFERROR(VLOOKUP($C2078,'CEDARS School FRPL'!C:H,4,FALSE),"No")</f>
        <v>No</v>
      </c>
      <c r="K2078" s="109"/>
      <c r="L2078" s="109"/>
      <c r="M2078" s="110">
        <f>IFERROR(VLOOKUP($C2078,'CEDARS School FRPL'!C:H,3,FALSE),0)</f>
        <v>0.17166666666666666</v>
      </c>
      <c r="N2078" s="123" t="str">
        <f>IFERROR(VLOOKUP(C2078,'CEDARS School FRPL'!C:H,6,FALSE),"No")</f>
        <v>No</v>
      </c>
      <c r="O2078" s="147"/>
      <c r="P2078" s="148"/>
    </row>
    <row r="2079" spans="1:16">
      <c r="A2079" s="95" t="s">
        <v>2360</v>
      </c>
      <c r="B2079" s="95" t="s">
        <v>826</v>
      </c>
      <c r="C2079" s="4">
        <v>4415</v>
      </c>
      <c r="D2079" s="95" t="s">
        <v>830</v>
      </c>
      <c r="E2079" s="145">
        <v>721.35</v>
      </c>
      <c r="F2079" s="145">
        <v>0</v>
      </c>
      <c r="G2079" s="145">
        <v>0</v>
      </c>
      <c r="H2079" s="145">
        <v>0</v>
      </c>
      <c r="I2079" s="77">
        <f t="shared" si="35"/>
        <v>721.35</v>
      </c>
      <c r="J2079" s="123" t="str">
        <f>IFERROR(VLOOKUP($C2079,'CEDARS School FRPL'!C:H,4,FALSE),"No")</f>
        <v>No</v>
      </c>
      <c r="K2079" s="109"/>
      <c r="L2079" s="109"/>
      <c r="M2079" s="110">
        <f>IFERROR(VLOOKUP($C2079,'CEDARS School FRPL'!C:H,3,FALSE),0)</f>
        <v>9.6633333333333335E-2</v>
      </c>
      <c r="N2079" s="123" t="str">
        <f>IFERROR(VLOOKUP(C2079,'CEDARS School FRPL'!C:H,6,FALSE),"No")</f>
        <v>No</v>
      </c>
      <c r="O2079" s="147"/>
      <c r="P2079" s="148"/>
    </row>
    <row r="2080" spans="1:16">
      <c r="A2080" s="95" t="s">
        <v>2360</v>
      </c>
      <c r="B2080" s="95" t="s">
        <v>826</v>
      </c>
      <c r="C2080" s="4">
        <v>4453</v>
      </c>
      <c r="D2080" s="95" t="s">
        <v>831</v>
      </c>
      <c r="E2080" s="145">
        <v>758.21</v>
      </c>
      <c r="F2080" s="145">
        <v>0</v>
      </c>
      <c r="G2080" s="145">
        <v>0</v>
      </c>
      <c r="H2080" s="145">
        <v>0</v>
      </c>
      <c r="I2080" s="77">
        <f t="shared" si="35"/>
        <v>758.21</v>
      </c>
      <c r="J2080" s="123" t="str">
        <f>IFERROR(VLOOKUP($C2080,'CEDARS School FRPL'!C:H,4,FALSE),"No")</f>
        <v>No</v>
      </c>
      <c r="K2080" s="109"/>
      <c r="L2080" s="109"/>
      <c r="M2080" s="110">
        <f>IFERROR(VLOOKUP($C2080,'CEDARS School FRPL'!C:H,3,FALSE),0)</f>
        <v>0.12786666666666668</v>
      </c>
      <c r="N2080" s="123" t="str">
        <f>IFERROR(VLOOKUP(C2080,'CEDARS School FRPL'!C:H,6,FALSE),"No")</f>
        <v>No</v>
      </c>
      <c r="O2080" s="147"/>
      <c r="P2080" s="148"/>
    </row>
    <row r="2081" spans="1:16">
      <c r="A2081" s="95" t="s">
        <v>2360</v>
      </c>
      <c r="B2081" s="95" t="s">
        <v>826</v>
      </c>
      <c r="C2081" s="4">
        <v>5489</v>
      </c>
      <c r="D2081" s="95" t="s">
        <v>2740</v>
      </c>
      <c r="E2081" s="145">
        <v>590.99</v>
      </c>
      <c r="F2081" s="145">
        <v>0</v>
      </c>
      <c r="G2081" s="145">
        <v>0</v>
      </c>
      <c r="H2081" s="145">
        <v>0</v>
      </c>
      <c r="I2081" s="77">
        <f t="shared" si="35"/>
        <v>590.99</v>
      </c>
      <c r="J2081" s="123" t="str">
        <f>IFERROR(VLOOKUP($C2081,'CEDARS School FRPL'!C:H,4,FALSE),"No")</f>
        <v>No</v>
      </c>
      <c r="K2081" s="109"/>
      <c r="L2081" s="109"/>
      <c r="M2081" s="110">
        <f>IFERROR(VLOOKUP($C2081,'CEDARS School FRPL'!C:H,3,FALSE),0)</f>
        <v>9.6499999999999989E-2</v>
      </c>
      <c r="N2081" s="123" t="str">
        <f>IFERROR(VLOOKUP(C2081,'CEDARS School FRPL'!C:H,6,FALSE),"No")</f>
        <v>No</v>
      </c>
      <c r="O2081" s="147"/>
      <c r="P2081" s="148"/>
    </row>
    <row r="2082" spans="1:16">
      <c r="A2082" s="95" t="s">
        <v>2360</v>
      </c>
      <c r="B2082" s="95" t="s">
        <v>826</v>
      </c>
      <c r="C2082" s="4">
        <v>5490</v>
      </c>
      <c r="D2082" s="95" t="s">
        <v>2743</v>
      </c>
      <c r="E2082" s="145">
        <v>674.12</v>
      </c>
      <c r="F2082" s="145">
        <v>0</v>
      </c>
      <c r="G2082" s="145">
        <v>0</v>
      </c>
      <c r="H2082" s="145">
        <v>0</v>
      </c>
      <c r="I2082" s="77">
        <f t="shared" si="35"/>
        <v>674.12</v>
      </c>
      <c r="J2082" s="123" t="str">
        <f>IFERROR(VLOOKUP($C2082,'CEDARS School FRPL'!C:H,4,FALSE),"No")</f>
        <v>No</v>
      </c>
      <c r="K2082" s="109"/>
      <c r="L2082" s="109"/>
      <c r="M2082" s="110">
        <f>IFERROR(VLOOKUP($C2082,'CEDARS School FRPL'!C:H,3,FALSE),0)</f>
        <v>9.9100000000000008E-2</v>
      </c>
      <c r="N2082" s="123" t="str">
        <f>IFERROR(VLOOKUP(C2082,'CEDARS School FRPL'!C:H,6,FALSE),"No")</f>
        <v>No</v>
      </c>
      <c r="O2082" s="147"/>
      <c r="P2082" s="148"/>
    </row>
    <row r="2083" spans="1:16">
      <c r="A2083" s="95" t="s">
        <v>2360</v>
      </c>
      <c r="B2083" s="95" t="s">
        <v>826</v>
      </c>
      <c r="C2083" s="4">
        <v>5563</v>
      </c>
      <c r="D2083" s="95" t="s">
        <v>2841</v>
      </c>
      <c r="E2083" s="145">
        <v>0</v>
      </c>
      <c r="F2083" s="145">
        <v>0</v>
      </c>
      <c r="G2083" s="145">
        <v>16.45</v>
      </c>
      <c r="H2083" s="145">
        <v>0</v>
      </c>
      <c r="I2083" s="77">
        <f t="shared" si="35"/>
        <v>16.45</v>
      </c>
      <c r="J2083" s="123" t="str">
        <f>IFERROR(VLOOKUP($C2083,'CEDARS School FRPL'!C:H,4,FALSE),"No")</f>
        <v>No</v>
      </c>
      <c r="K2083" s="109"/>
      <c r="L2083" s="109"/>
      <c r="M2083" s="110">
        <f>IFERROR(VLOOKUP($C2083,'CEDARS School FRPL'!C:H,3,FALSE),0)</f>
        <v>0.34620000000000001</v>
      </c>
      <c r="N2083" s="123" t="str">
        <f>IFERROR(VLOOKUP(C2083,'CEDARS School FRPL'!C:H,6,FALSE),"No")</f>
        <v>No</v>
      </c>
      <c r="O2083" s="147"/>
      <c r="P2083" s="148"/>
    </row>
    <row r="2084" spans="1:16">
      <c r="A2084" s="95" t="s">
        <v>2542</v>
      </c>
      <c r="B2084" s="95" t="s">
        <v>2135</v>
      </c>
      <c r="C2084" s="4">
        <v>2052</v>
      </c>
      <c r="D2084" s="95" t="s">
        <v>2136</v>
      </c>
      <c r="E2084" s="145">
        <v>114.89</v>
      </c>
      <c r="F2084" s="145">
        <v>0.61</v>
      </c>
      <c r="G2084" s="145">
        <v>0</v>
      </c>
      <c r="H2084" s="145">
        <v>0</v>
      </c>
      <c r="I2084" s="77">
        <f t="shared" si="35"/>
        <v>115.5</v>
      </c>
      <c r="J2084" s="123" t="str">
        <f>IFERROR(VLOOKUP($C2084,'CEDARS School FRPL'!C:H,4,FALSE),"No")</f>
        <v>Yes</v>
      </c>
      <c r="K2084" s="109"/>
      <c r="L2084" s="109"/>
      <c r="M2084" s="110">
        <f>IFERROR(VLOOKUP($C2084,'CEDARS School FRPL'!C:H,3,FALSE),0)</f>
        <v>0.62273333333333325</v>
      </c>
      <c r="N2084" s="123" t="str">
        <f>IFERROR(VLOOKUP(C2084,'CEDARS School FRPL'!C:H,6,FALSE),"No")</f>
        <v>No</v>
      </c>
      <c r="O2084" s="147"/>
      <c r="P2084" s="148"/>
    </row>
    <row r="2085" spans="1:16">
      <c r="A2085" s="95" t="s">
        <v>2542</v>
      </c>
      <c r="B2085" s="95" t="s">
        <v>2135</v>
      </c>
      <c r="C2085" s="4">
        <v>3418</v>
      </c>
      <c r="D2085" s="95" t="s">
        <v>2137</v>
      </c>
      <c r="E2085" s="145">
        <v>71.45</v>
      </c>
      <c r="F2085" s="145">
        <v>4.13</v>
      </c>
      <c r="G2085" s="145">
        <v>0</v>
      </c>
      <c r="H2085" s="145">
        <v>0</v>
      </c>
      <c r="I2085" s="77">
        <f t="shared" si="35"/>
        <v>75.58</v>
      </c>
      <c r="J2085" s="123" t="str">
        <f>IFERROR(VLOOKUP($C2085,'CEDARS School FRPL'!C:H,4,FALSE),"No")</f>
        <v>Yes</v>
      </c>
      <c r="K2085" s="109"/>
      <c r="L2085" s="109"/>
      <c r="M2085" s="110">
        <f>IFERROR(VLOOKUP($C2085,'CEDARS School FRPL'!C:H,3,FALSE),0)</f>
        <v>0.67580000000000007</v>
      </c>
      <c r="N2085" s="123" t="str">
        <f>IFERROR(VLOOKUP(C2085,'CEDARS School FRPL'!C:H,6,FALSE),"No")</f>
        <v>No</v>
      </c>
      <c r="O2085" s="147"/>
      <c r="P2085" s="148"/>
    </row>
    <row r="2086" spans="1:16">
      <c r="A2086" s="95" t="s">
        <v>2522</v>
      </c>
      <c r="B2086" s="95" t="s">
        <v>2031</v>
      </c>
      <c r="C2086" s="4">
        <v>2457</v>
      </c>
      <c r="D2086" s="95" t="s">
        <v>723</v>
      </c>
      <c r="E2086" s="145">
        <v>268.36</v>
      </c>
      <c r="F2086" s="145">
        <v>0</v>
      </c>
      <c r="G2086" s="145">
        <v>0</v>
      </c>
      <c r="H2086" s="145">
        <v>0</v>
      </c>
      <c r="I2086" s="77">
        <f t="shared" si="35"/>
        <v>268.36</v>
      </c>
      <c r="J2086" s="123" t="str">
        <f>IFERROR(VLOOKUP($C2086,'CEDARS School FRPL'!C:H,4,FALSE),"No")</f>
        <v>No</v>
      </c>
      <c r="K2086" s="109"/>
      <c r="L2086" s="109"/>
      <c r="M2086" s="110">
        <f>IFERROR(VLOOKUP($C2086,'CEDARS School FRPL'!C:H,3,FALSE),0)</f>
        <v>0.49843333333333334</v>
      </c>
      <c r="N2086" s="123" t="str">
        <f>IFERROR(VLOOKUP(C2086,'CEDARS School FRPL'!C:H,6,FALSE),"No")</f>
        <v>Yes</v>
      </c>
      <c r="O2086" s="147"/>
      <c r="P2086" s="148"/>
    </row>
    <row r="2087" spans="1:16">
      <c r="A2087" s="95" t="s">
        <v>2522</v>
      </c>
      <c r="B2087" s="95" t="s">
        <v>2031</v>
      </c>
      <c r="C2087" s="4">
        <v>3509</v>
      </c>
      <c r="D2087" s="95" t="s">
        <v>2032</v>
      </c>
      <c r="E2087" s="145">
        <v>357.42</v>
      </c>
      <c r="F2087" s="145">
        <v>16.440000000000001</v>
      </c>
      <c r="G2087" s="145">
        <v>9.86</v>
      </c>
      <c r="H2087" s="145">
        <v>0</v>
      </c>
      <c r="I2087" s="77">
        <f t="shared" si="35"/>
        <v>383.72</v>
      </c>
      <c r="J2087" s="123" t="str">
        <f>IFERROR(VLOOKUP($C2087,'CEDARS School FRPL'!C:H,4,FALSE),"No")</f>
        <v>No</v>
      </c>
      <c r="K2087" s="109"/>
      <c r="L2087" s="109"/>
      <c r="M2087" s="110">
        <f>IFERROR(VLOOKUP($C2087,'CEDARS School FRPL'!C:H,3,FALSE),0)</f>
        <v>0.42516666666666669</v>
      </c>
      <c r="N2087" s="123" t="str">
        <f>IFERROR(VLOOKUP(C2087,'CEDARS School FRPL'!C:H,6,FALSE),"No")</f>
        <v>No</v>
      </c>
      <c r="O2087" s="147"/>
      <c r="P2087" s="148"/>
    </row>
    <row r="2088" spans="1:16">
      <c r="A2088" s="95" t="s">
        <v>2522</v>
      </c>
      <c r="B2088" s="95" t="s">
        <v>2031</v>
      </c>
      <c r="C2088" s="4">
        <v>3795</v>
      </c>
      <c r="D2088" s="95" t="s">
        <v>2033</v>
      </c>
      <c r="E2088" s="145">
        <v>298.94</v>
      </c>
      <c r="F2088" s="145">
        <v>0</v>
      </c>
      <c r="G2088" s="145">
        <v>0</v>
      </c>
      <c r="H2088" s="145">
        <v>0</v>
      </c>
      <c r="I2088" s="77">
        <f t="shared" si="35"/>
        <v>298.94</v>
      </c>
      <c r="J2088" s="123" t="str">
        <f>IFERROR(VLOOKUP($C2088,'CEDARS School FRPL'!C:H,4,FALSE),"No")</f>
        <v>Yes</v>
      </c>
      <c r="K2088" s="109"/>
      <c r="L2088" s="109"/>
      <c r="M2088" s="110">
        <f>IFERROR(VLOOKUP($C2088,'CEDARS School FRPL'!C:H,3,FALSE),0)</f>
        <v>0.50163333333333338</v>
      </c>
      <c r="N2088" s="123" t="str">
        <f>IFERROR(VLOOKUP(C2088,'CEDARS School FRPL'!C:H,6,FALSE),"No")</f>
        <v>No</v>
      </c>
      <c r="O2088" s="147"/>
      <c r="P2088" s="148"/>
    </row>
    <row r="2089" spans="1:16">
      <c r="A2089" s="95" t="s">
        <v>2522</v>
      </c>
      <c r="B2089" s="95" t="s">
        <v>2031</v>
      </c>
      <c r="C2089" s="4">
        <v>4238</v>
      </c>
      <c r="D2089" s="95" t="s">
        <v>2034</v>
      </c>
      <c r="E2089" s="145">
        <v>275.22000000000003</v>
      </c>
      <c r="F2089" s="145">
        <v>0</v>
      </c>
      <c r="G2089" s="145">
        <v>0</v>
      </c>
      <c r="H2089" s="145">
        <v>0</v>
      </c>
      <c r="I2089" s="77">
        <f t="shared" si="35"/>
        <v>275.22000000000003</v>
      </c>
      <c r="J2089" s="123" t="str">
        <f>IFERROR(VLOOKUP($C2089,'CEDARS School FRPL'!C:H,4,FALSE),"No")</f>
        <v>Yes</v>
      </c>
      <c r="K2089" s="109"/>
      <c r="L2089" s="109"/>
      <c r="M2089" s="110">
        <f>IFERROR(VLOOKUP($C2089,'CEDARS School FRPL'!C:H,3,FALSE),0)</f>
        <v>0.50326666666666664</v>
      </c>
      <c r="N2089" s="123" t="str">
        <f>IFERROR(VLOOKUP(C2089,'CEDARS School FRPL'!C:H,6,FALSE),"No")</f>
        <v>No</v>
      </c>
      <c r="O2089" s="147"/>
      <c r="P2089" s="148"/>
    </row>
    <row r="2090" spans="1:16">
      <c r="A2090" s="95" t="s">
        <v>2379</v>
      </c>
      <c r="B2090" s="95" t="s">
        <v>1087</v>
      </c>
      <c r="C2090" s="4">
        <v>2514</v>
      </c>
      <c r="D2090" s="95" t="s">
        <v>1088</v>
      </c>
      <c r="E2090" s="145">
        <v>214.28</v>
      </c>
      <c r="F2090" s="145">
        <v>6.76</v>
      </c>
      <c r="G2090" s="145">
        <v>0</v>
      </c>
      <c r="H2090" s="145">
        <v>0</v>
      </c>
      <c r="I2090" s="77">
        <f t="shared" si="35"/>
        <v>221.04</v>
      </c>
      <c r="J2090" s="123" t="str">
        <f>IFERROR(VLOOKUP($C2090,'CEDARS School FRPL'!C:H,4,FALSE),"No")</f>
        <v>No</v>
      </c>
      <c r="K2090" s="109"/>
      <c r="L2090" s="109"/>
      <c r="M2090" s="110">
        <f>IFERROR(VLOOKUP($C2090,'CEDARS School FRPL'!C:H,3,FALSE),0)</f>
        <v>0.41343333333333332</v>
      </c>
      <c r="N2090" s="123" t="str">
        <f>IFERROR(VLOOKUP(C2090,'CEDARS School FRPL'!C:H,6,FALSE),"No")</f>
        <v>No</v>
      </c>
      <c r="O2090" s="147"/>
      <c r="P2090" s="148"/>
    </row>
    <row r="2091" spans="1:16">
      <c r="A2091" s="95" t="s">
        <v>2400</v>
      </c>
      <c r="B2091" s="95" t="s">
        <v>1155</v>
      </c>
      <c r="C2091" s="4">
        <v>2616</v>
      </c>
      <c r="D2091" s="95" t="s">
        <v>1156</v>
      </c>
      <c r="E2091" s="145">
        <v>185.85</v>
      </c>
      <c r="F2091" s="145">
        <v>16.98</v>
      </c>
      <c r="G2091" s="145">
        <v>0.43</v>
      </c>
      <c r="H2091" s="145">
        <v>0</v>
      </c>
      <c r="I2091" s="77">
        <f t="shared" si="35"/>
        <v>203.26</v>
      </c>
      <c r="J2091" s="123" t="str">
        <f>IFERROR(VLOOKUP($C2091,'CEDARS School FRPL'!C:H,4,FALSE),"No")</f>
        <v>No</v>
      </c>
      <c r="K2091" s="109"/>
      <c r="L2091" s="109"/>
      <c r="M2091" s="110">
        <f>IFERROR(VLOOKUP($C2091,'CEDARS School FRPL'!C:H,3,FALSE),0)</f>
        <v>0.47539999999999999</v>
      </c>
      <c r="N2091" s="123" t="str">
        <f>IFERROR(VLOOKUP(C2091,'CEDARS School FRPL'!C:H,6,FALSE),"No")</f>
        <v>No</v>
      </c>
      <c r="O2091" s="147"/>
      <c r="P2091" s="148"/>
    </row>
    <row r="2092" spans="1:16">
      <c r="A2092" s="95" t="s">
        <v>2400</v>
      </c>
      <c r="B2092" s="95" t="s">
        <v>1155</v>
      </c>
      <c r="C2092" s="4">
        <v>2998</v>
      </c>
      <c r="D2092" s="95" t="s">
        <v>1157</v>
      </c>
      <c r="E2092" s="145">
        <v>372.91</v>
      </c>
      <c r="F2092" s="145">
        <v>0</v>
      </c>
      <c r="G2092" s="145">
        <v>0</v>
      </c>
      <c r="H2092" s="145">
        <v>0</v>
      </c>
      <c r="I2092" s="77">
        <f t="shared" si="35"/>
        <v>372.91</v>
      </c>
      <c r="J2092" s="123" t="str">
        <f>IFERROR(VLOOKUP($C2092,'CEDARS School FRPL'!C:H,4,FALSE),"No")</f>
        <v>No</v>
      </c>
      <c r="K2092" s="109"/>
      <c r="L2092" s="109"/>
      <c r="M2092" s="110">
        <f>IFERROR(VLOOKUP($C2092,'CEDARS School FRPL'!C:H,3,FALSE),0)</f>
        <v>0.46209999999999996</v>
      </c>
      <c r="N2092" s="123" t="str">
        <f>IFERROR(VLOOKUP(C2092,'CEDARS School FRPL'!C:H,6,FALSE),"No")</f>
        <v>Yes</v>
      </c>
      <c r="O2092" s="147"/>
      <c r="P2092" s="148"/>
    </row>
    <row r="2093" spans="1:16">
      <c r="A2093" s="95" t="s">
        <v>2400</v>
      </c>
      <c r="B2093" s="95" t="s">
        <v>1155</v>
      </c>
      <c r="C2093" s="4">
        <v>3977</v>
      </c>
      <c r="D2093" s="95" t="s">
        <v>1158</v>
      </c>
      <c r="E2093" s="145">
        <v>173.35</v>
      </c>
      <c r="F2093" s="145">
        <v>0</v>
      </c>
      <c r="G2093" s="145">
        <v>0</v>
      </c>
      <c r="H2093" s="145">
        <v>0</v>
      </c>
      <c r="I2093" s="77">
        <f t="shared" si="35"/>
        <v>173.35</v>
      </c>
      <c r="J2093" s="123" t="str">
        <f>IFERROR(VLOOKUP($C2093,'CEDARS School FRPL'!C:H,4,FALSE),"No")</f>
        <v>Yes</v>
      </c>
      <c r="K2093" s="109"/>
      <c r="L2093" s="109"/>
      <c r="M2093" s="110">
        <f>IFERROR(VLOOKUP($C2093,'CEDARS School FRPL'!C:H,3,FALSE),0)</f>
        <v>0.54206666666666659</v>
      </c>
      <c r="N2093" s="123" t="str">
        <f>IFERROR(VLOOKUP(C2093,'CEDARS School FRPL'!C:H,6,FALSE),"No")</f>
        <v>No</v>
      </c>
      <c r="O2093" s="147"/>
      <c r="P2093" s="148"/>
    </row>
    <row r="2094" spans="1:16">
      <c r="A2094" s="95" t="s">
        <v>2400</v>
      </c>
      <c r="B2094" s="95" t="s">
        <v>1155</v>
      </c>
      <c r="C2094" s="4">
        <v>5190</v>
      </c>
      <c r="D2094" s="95" t="s">
        <v>1159</v>
      </c>
      <c r="E2094" s="145">
        <v>50.14</v>
      </c>
      <c r="F2094" s="145">
        <v>0</v>
      </c>
      <c r="G2094" s="145">
        <v>0</v>
      </c>
      <c r="H2094" s="145">
        <v>0</v>
      </c>
      <c r="I2094" s="77">
        <f t="shared" si="35"/>
        <v>50.14</v>
      </c>
      <c r="J2094" s="123" t="str">
        <f>IFERROR(VLOOKUP($C2094,'CEDARS School FRPL'!C:H,4,FALSE),"No")</f>
        <v>Yes</v>
      </c>
      <c r="K2094" s="109"/>
      <c r="L2094" s="109"/>
      <c r="M2094" s="110">
        <f>IFERROR(VLOOKUP($C2094,'CEDARS School FRPL'!C:H,3,FALSE),0)</f>
        <v>0.60196666666666665</v>
      </c>
      <c r="N2094" s="123" t="str">
        <f>IFERROR(VLOOKUP(C2094,'CEDARS School FRPL'!C:H,6,FALSE),"No")</f>
        <v>No</v>
      </c>
      <c r="O2094" s="147"/>
      <c r="P2094" s="148"/>
    </row>
    <row r="2095" spans="1:16">
      <c r="A2095" s="95" t="s">
        <v>2427</v>
      </c>
      <c r="B2095" s="95" t="s">
        <v>1254</v>
      </c>
      <c r="C2095" s="4">
        <v>2679</v>
      </c>
      <c r="D2095" s="95" t="s">
        <v>1255</v>
      </c>
      <c r="E2095" s="145">
        <v>284.39</v>
      </c>
      <c r="F2095" s="145">
        <v>52.01</v>
      </c>
      <c r="G2095" s="145">
        <v>0</v>
      </c>
      <c r="H2095" s="145">
        <v>0</v>
      </c>
      <c r="I2095" s="77">
        <f t="shared" si="35"/>
        <v>336.4</v>
      </c>
      <c r="J2095" s="123" t="str">
        <f>IFERROR(VLOOKUP($C2095,'CEDARS School FRPL'!C:H,4,FALSE),"No")</f>
        <v>Yes</v>
      </c>
      <c r="K2095" s="109"/>
      <c r="L2095" s="109"/>
      <c r="M2095" s="110">
        <f>IFERROR(VLOOKUP($C2095,'CEDARS School FRPL'!C:H,3,FALSE),0)</f>
        <v>0.73709999999999987</v>
      </c>
      <c r="N2095" s="123" t="str">
        <f>IFERROR(VLOOKUP(C2095,'CEDARS School FRPL'!C:H,6,FALSE),"No")</f>
        <v>No</v>
      </c>
      <c r="O2095" s="147"/>
      <c r="P2095" s="148"/>
    </row>
    <row r="2096" spans="1:16">
      <c r="A2096" s="95" t="s">
        <v>2427</v>
      </c>
      <c r="B2096" s="95" t="s">
        <v>1254</v>
      </c>
      <c r="C2096" s="4">
        <v>3176</v>
      </c>
      <c r="D2096" s="95" t="s">
        <v>1256</v>
      </c>
      <c r="E2096" s="145">
        <v>411.29</v>
      </c>
      <c r="F2096" s="145">
        <v>0</v>
      </c>
      <c r="G2096" s="145">
        <v>0</v>
      </c>
      <c r="H2096" s="145">
        <v>0</v>
      </c>
      <c r="I2096" s="77">
        <f t="shared" si="35"/>
        <v>411.29</v>
      </c>
      <c r="J2096" s="123" t="str">
        <f>IFERROR(VLOOKUP($C2096,'CEDARS School FRPL'!C:H,4,FALSE),"No")</f>
        <v>Yes</v>
      </c>
      <c r="K2096" s="107"/>
      <c r="L2096" s="107"/>
      <c r="M2096" s="110">
        <f>IFERROR(VLOOKUP($C2096,'CEDARS School FRPL'!C:H,3,FALSE),0)</f>
        <v>0.73513333333333331</v>
      </c>
      <c r="N2096" s="123" t="str">
        <f>IFERROR(VLOOKUP(C2096,'CEDARS School FRPL'!C:H,6,FALSE),"No")</f>
        <v>No</v>
      </c>
      <c r="O2096" s="147"/>
      <c r="P2096" s="148"/>
    </row>
    <row r="2097" spans="1:16">
      <c r="A2097" s="95" t="s">
        <v>2427</v>
      </c>
      <c r="B2097" s="95" t="s">
        <v>1254</v>
      </c>
      <c r="C2097" s="4">
        <v>4196</v>
      </c>
      <c r="D2097" s="95" t="s">
        <v>1257</v>
      </c>
      <c r="E2097" s="145">
        <v>252.62</v>
      </c>
      <c r="F2097" s="145">
        <v>0</v>
      </c>
      <c r="G2097" s="145">
        <v>0</v>
      </c>
      <c r="H2097" s="145">
        <v>0</v>
      </c>
      <c r="I2097" s="77">
        <f t="shared" si="35"/>
        <v>252.62</v>
      </c>
      <c r="J2097" s="123" t="str">
        <f>IFERROR(VLOOKUP($C2097,'CEDARS School FRPL'!C:H,4,FALSE),"No")</f>
        <v>Yes</v>
      </c>
      <c r="K2097" s="109"/>
      <c r="L2097" s="109"/>
      <c r="M2097" s="110">
        <f>IFERROR(VLOOKUP($C2097,'CEDARS School FRPL'!C:H,3,FALSE),0)</f>
        <v>0.75783333333333325</v>
      </c>
      <c r="N2097" s="123" t="str">
        <f>IFERROR(VLOOKUP(C2097,'CEDARS School FRPL'!C:H,6,FALSE),"No")</f>
        <v>No</v>
      </c>
      <c r="O2097" s="147"/>
      <c r="P2097" s="148"/>
    </row>
    <row r="2098" spans="1:16">
      <c r="A2098" s="95" t="s">
        <v>2427</v>
      </c>
      <c r="B2098" s="95" t="s">
        <v>1254</v>
      </c>
      <c r="C2098" s="4">
        <v>5586</v>
      </c>
      <c r="D2098" s="95" t="s">
        <v>2831</v>
      </c>
      <c r="E2098" s="145">
        <v>23.52</v>
      </c>
      <c r="F2098" s="145">
        <v>0</v>
      </c>
      <c r="G2098" s="145">
        <v>0</v>
      </c>
      <c r="H2098" s="145">
        <v>0</v>
      </c>
      <c r="I2098" s="77">
        <f t="shared" si="35"/>
        <v>23.52</v>
      </c>
      <c r="J2098" s="123" t="str">
        <f>IFERROR(VLOOKUP($C2098,'CEDARS School FRPL'!C:H,4,FALSE),"No")</f>
        <v>Yes</v>
      </c>
      <c r="K2098" s="109"/>
      <c r="L2098" s="109"/>
      <c r="M2098" s="110">
        <f>IFERROR(VLOOKUP($C2098,'CEDARS School FRPL'!C:H,3,FALSE),0)</f>
        <v>0.70020000000000004</v>
      </c>
      <c r="N2098" s="123" t="str">
        <f>IFERROR(VLOOKUP(C2098,'CEDARS School FRPL'!C:H,6,FALSE),"No")</f>
        <v>No</v>
      </c>
      <c r="O2098" s="147"/>
      <c r="P2098" s="148"/>
    </row>
    <row r="2099" spans="1:16">
      <c r="A2099" s="95" t="s">
        <v>2427</v>
      </c>
      <c r="B2099" s="95" t="s">
        <v>1254</v>
      </c>
      <c r="C2099" s="4">
        <v>5587</v>
      </c>
      <c r="D2099" s="95" t="s">
        <v>2832</v>
      </c>
      <c r="E2099" s="145">
        <v>111.96</v>
      </c>
      <c r="F2099" s="145">
        <v>0</v>
      </c>
      <c r="G2099" s="145">
        <v>0</v>
      </c>
      <c r="H2099" s="145">
        <v>0</v>
      </c>
      <c r="I2099" s="77">
        <f t="shared" si="35"/>
        <v>111.96</v>
      </c>
      <c r="J2099" s="123" t="str">
        <f>IFERROR(VLOOKUP($C2099,'CEDARS School FRPL'!C:H,4,FALSE),"No")</f>
        <v>Yes</v>
      </c>
      <c r="M2099" s="110">
        <f>IFERROR(VLOOKUP($C2099,'CEDARS School FRPL'!C:H,3,FALSE),0)</f>
        <v>0.6545333333333333</v>
      </c>
      <c r="N2099" s="123" t="str">
        <f>IFERROR(VLOOKUP(C2099,'CEDARS School FRPL'!C:H,6,FALSE),"No")</f>
        <v>No</v>
      </c>
      <c r="O2099" s="147"/>
      <c r="P2099" s="148"/>
    </row>
    <row r="2100" spans="1:16">
      <c r="A2100" s="95" t="s">
        <v>2561</v>
      </c>
      <c r="B2100" s="95" t="s">
        <v>2220</v>
      </c>
      <c r="C2100" s="4">
        <v>1508</v>
      </c>
      <c r="D2100" s="95" t="s">
        <v>2221</v>
      </c>
      <c r="E2100" s="145">
        <v>279.32</v>
      </c>
      <c r="F2100" s="145">
        <v>0</v>
      </c>
      <c r="G2100" s="145">
        <v>0</v>
      </c>
      <c r="H2100" s="145">
        <v>0</v>
      </c>
      <c r="I2100" s="77">
        <f t="shared" si="35"/>
        <v>279.32</v>
      </c>
      <c r="J2100" s="123" t="str">
        <f>IFERROR(VLOOKUP($C2100,'CEDARS School FRPL'!C:H,4,FALSE),"No")</f>
        <v>Yes</v>
      </c>
      <c r="K2100" s="109"/>
      <c r="L2100" s="109"/>
      <c r="M2100" s="110">
        <f>IFERROR(VLOOKUP($C2100,'CEDARS School FRPL'!C:H,3,FALSE),0)</f>
        <v>0.90693333333333337</v>
      </c>
      <c r="N2100" s="123" t="str">
        <f>IFERROR(VLOOKUP(C2100,'CEDARS School FRPL'!C:H,6,FALSE),"No")</f>
        <v>No</v>
      </c>
      <c r="O2100" s="147"/>
      <c r="P2100" s="148"/>
    </row>
    <row r="2101" spans="1:16">
      <c r="A2101" s="95" t="s">
        <v>2561</v>
      </c>
      <c r="B2101" s="95" t="s">
        <v>2220</v>
      </c>
      <c r="C2101" s="4">
        <v>2264</v>
      </c>
      <c r="D2101" s="95" t="s">
        <v>2222</v>
      </c>
      <c r="E2101" s="145">
        <v>884.43</v>
      </c>
      <c r="F2101" s="145">
        <v>0</v>
      </c>
      <c r="G2101" s="145">
        <v>0</v>
      </c>
      <c r="H2101" s="145">
        <v>0</v>
      </c>
      <c r="I2101" s="77">
        <f t="shared" si="35"/>
        <v>884.43</v>
      </c>
      <c r="J2101" s="123" t="str">
        <f>IFERROR(VLOOKUP($C2101,'CEDARS School FRPL'!C:H,4,FALSE),"No")</f>
        <v>Yes</v>
      </c>
      <c r="K2101" s="109"/>
      <c r="L2101" s="109"/>
      <c r="M2101" s="110">
        <f>IFERROR(VLOOKUP($C2101,'CEDARS School FRPL'!C:H,3,FALSE),0)</f>
        <v>0.90180000000000005</v>
      </c>
      <c r="N2101" s="123" t="str">
        <f>IFERROR(VLOOKUP(C2101,'CEDARS School FRPL'!C:H,6,FALSE),"No")</f>
        <v>No</v>
      </c>
      <c r="O2101" s="147"/>
      <c r="P2101" s="148"/>
    </row>
    <row r="2102" spans="1:16">
      <c r="A2102" s="95" t="s">
        <v>2561</v>
      </c>
      <c r="B2102" s="95" t="s">
        <v>2220</v>
      </c>
      <c r="C2102" s="4">
        <v>2608</v>
      </c>
      <c r="D2102" s="95" t="s">
        <v>1597</v>
      </c>
      <c r="E2102" s="145">
        <v>339.29</v>
      </c>
      <c r="F2102" s="145">
        <v>0</v>
      </c>
      <c r="G2102" s="145">
        <v>0</v>
      </c>
      <c r="H2102" s="145">
        <v>0</v>
      </c>
      <c r="I2102" s="77">
        <f t="shared" si="35"/>
        <v>339.29</v>
      </c>
      <c r="J2102" s="123" t="str">
        <f>IFERROR(VLOOKUP($C2102,'CEDARS School FRPL'!C:H,4,FALSE),"No")</f>
        <v>Yes</v>
      </c>
      <c r="K2102" s="109"/>
      <c r="L2102" s="109"/>
      <c r="M2102" s="110">
        <f>IFERROR(VLOOKUP($C2102,'CEDARS School FRPL'!C:H,3,FALSE),0)</f>
        <v>0.89496666666666658</v>
      </c>
      <c r="N2102" s="123" t="str">
        <f>IFERROR(VLOOKUP(C2102,'CEDARS School FRPL'!C:H,6,FALSE),"No")</f>
        <v>No</v>
      </c>
      <c r="O2102" s="147"/>
      <c r="P2102" s="148"/>
    </row>
    <row r="2103" spans="1:16">
      <c r="A2103" s="95" t="s">
        <v>2561</v>
      </c>
      <c r="B2103" s="95" t="s">
        <v>2220</v>
      </c>
      <c r="C2103" s="4">
        <v>2635</v>
      </c>
      <c r="D2103" s="95" t="s">
        <v>50</v>
      </c>
      <c r="E2103" s="145">
        <v>297.14</v>
      </c>
      <c r="F2103" s="145">
        <v>0</v>
      </c>
      <c r="G2103" s="145">
        <v>0</v>
      </c>
      <c r="H2103" s="145">
        <v>0</v>
      </c>
      <c r="I2103" s="77">
        <f t="shared" si="35"/>
        <v>297.14</v>
      </c>
      <c r="J2103" s="123" t="str">
        <f>IFERROR(VLOOKUP($C2103,'CEDARS School FRPL'!C:H,4,FALSE),"No")</f>
        <v>Yes</v>
      </c>
      <c r="K2103" s="109"/>
      <c r="L2103" s="109"/>
      <c r="M2103" s="110">
        <f>IFERROR(VLOOKUP($C2103,'CEDARS School FRPL'!C:H,3,FALSE),0)</f>
        <v>0.89740000000000009</v>
      </c>
      <c r="N2103" s="123" t="str">
        <f>IFERROR(VLOOKUP(C2103,'CEDARS School FRPL'!C:H,6,FALSE),"No")</f>
        <v>No</v>
      </c>
      <c r="O2103" s="147"/>
      <c r="P2103" s="148"/>
    </row>
    <row r="2104" spans="1:16">
      <c r="A2104" s="95" t="s">
        <v>2561</v>
      </c>
      <c r="B2104" s="95" t="s">
        <v>2220</v>
      </c>
      <c r="C2104" s="4">
        <v>2900</v>
      </c>
      <c r="D2104" s="95" t="s">
        <v>2223</v>
      </c>
      <c r="E2104" s="145">
        <v>884.5</v>
      </c>
      <c r="F2104" s="145">
        <v>32.99</v>
      </c>
      <c r="G2104" s="145">
        <v>0</v>
      </c>
      <c r="H2104" s="145">
        <v>0</v>
      </c>
      <c r="I2104" s="77">
        <f t="shared" si="35"/>
        <v>917.49</v>
      </c>
      <c r="J2104" s="123" t="str">
        <f>IFERROR(VLOOKUP($C2104,'CEDARS School FRPL'!C:H,4,FALSE),"No")</f>
        <v>Yes</v>
      </c>
      <c r="K2104" s="109"/>
      <c r="L2104" s="109"/>
      <c r="M2104" s="110">
        <f>IFERROR(VLOOKUP($C2104,'CEDARS School FRPL'!C:H,3,FALSE),0)</f>
        <v>0.84249999999999992</v>
      </c>
      <c r="N2104" s="123" t="str">
        <f>IFERROR(VLOOKUP(C2104,'CEDARS School FRPL'!C:H,6,FALSE),"No")</f>
        <v>No</v>
      </c>
      <c r="O2104" s="147"/>
      <c r="P2104" s="148"/>
    </row>
    <row r="2105" spans="1:16">
      <c r="A2105" s="95" t="s">
        <v>2561</v>
      </c>
      <c r="B2105" s="95" t="s">
        <v>2220</v>
      </c>
      <c r="C2105" s="4">
        <v>4106</v>
      </c>
      <c r="D2105" s="95" t="s">
        <v>2224</v>
      </c>
      <c r="E2105" s="145">
        <v>413.29</v>
      </c>
      <c r="F2105" s="145">
        <v>0</v>
      </c>
      <c r="G2105" s="145">
        <v>0</v>
      </c>
      <c r="H2105" s="145">
        <v>0</v>
      </c>
      <c r="I2105" s="77">
        <f t="shared" si="35"/>
        <v>413.29</v>
      </c>
      <c r="J2105" s="123" t="str">
        <f>IFERROR(VLOOKUP($C2105,'CEDARS School FRPL'!C:H,4,FALSE),"No")</f>
        <v>Yes</v>
      </c>
      <c r="K2105" s="109"/>
      <c r="L2105" s="109"/>
      <c r="M2105" s="110">
        <f>IFERROR(VLOOKUP($C2105,'CEDARS School FRPL'!C:H,3,FALSE),0)</f>
        <v>0.88616666666666666</v>
      </c>
      <c r="N2105" s="123" t="str">
        <f>IFERROR(VLOOKUP(C2105,'CEDARS School FRPL'!C:H,6,FALSE),"No")</f>
        <v>No</v>
      </c>
      <c r="O2105" s="147"/>
      <c r="P2105" s="148"/>
    </row>
    <row r="2106" spans="1:16">
      <c r="A2106" s="95" t="s">
        <v>2561</v>
      </c>
      <c r="B2106" s="95" t="s">
        <v>2220</v>
      </c>
      <c r="C2106" s="4">
        <v>4588</v>
      </c>
      <c r="D2106" s="95" t="s">
        <v>2225</v>
      </c>
      <c r="E2106" s="145">
        <v>473.71</v>
      </c>
      <c r="F2106" s="145">
        <v>0</v>
      </c>
      <c r="G2106" s="145">
        <v>0</v>
      </c>
      <c r="H2106" s="145">
        <v>0</v>
      </c>
      <c r="I2106" s="77">
        <f t="shared" si="35"/>
        <v>473.71</v>
      </c>
      <c r="J2106" s="123" t="str">
        <f>IFERROR(VLOOKUP($C2106,'CEDARS School FRPL'!C:H,4,FALSE),"No")</f>
        <v>Yes</v>
      </c>
      <c r="K2106" s="109"/>
      <c r="L2106" s="109"/>
      <c r="M2106" s="110">
        <f>IFERROR(VLOOKUP($C2106,'CEDARS School FRPL'!C:H,3,FALSE),0)</f>
        <v>0.88553333333333339</v>
      </c>
      <c r="N2106" s="123" t="str">
        <f>IFERROR(VLOOKUP(C2106,'CEDARS School FRPL'!C:H,6,FALSE),"No")</f>
        <v>No</v>
      </c>
      <c r="O2106" s="147"/>
      <c r="P2106" s="148"/>
    </row>
    <row r="2107" spans="1:16">
      <c r="A2107" s="95" t="s">
        <v>2561</v>
      </c>
      <c r="B2107" s="95" t="s">
        <v>2220</v>
      </c>
      <c r="C2107" s="4">
        <v>5262</v>
      </c>
      <c r="D2107" s="95" t="s">
        <v>2226</v>
      </c>
      <c r="E2107" s="145">
        <v>646.21</v>
      </c>
      <c r="F2107" s="145">
        <v>33.25</v>
      </c>
      <c r="G2107" s="145">
        <v>0</v>
      </c>
      <c r="H2107" s="145">
        <v>0</v>
      </c>
      <c r="I2107" s="77">
        <f t="shared" si="35"/>
        <v>679.46</v>
      </c>
      <c r="J2107" s="123" t="str">
        <f>IFERROR(VLOOKUP($C2107,'CEDARS School FRPL'!C:H,4,FALSE),"No")</f>
        <v>No</v>
      </c>
      <c r="K2107" s="109"/>
      <c r="L2107" s="109"/>
      <c r="M2107" s="110">
        <f>IFERROR(VLOOKUP($C2107,'CEDARS School FRPL'!C:H,3,FALSE),0)</f>
        <v>0.41323333333333334</v>
      </c>
      <c r="N2107" s="123" t="str">
        <f>IFERROR(VLOOKUP(C2107,'CEDARS School FRPL'!C:H,6,FALSE),"No")</f>
        <v>No</v>
      </c>
      <c r="O2107" s="147"/>
      <c r="P2107" s="148"/>
    </row>
    <row r="2108" spans="1:16">
      <c r="A2108" s="95" t="s">
        <v>2528</v>
      </c>
      <c r="B2108" s="95" t="s">
        <v>2053</v>
      </c>
      <c r="C2108" s="4">
        <v>2160</v>
      </c>
      <c r="D2108" s="95" t="s">
        <v>2054</v>
      </c>
      <c r="E2108" s="145">
        <v>196.21</v>
      </c>
      <c r="F2108" s="145">
        <v>6</v>
      </c>
      <c r="G2108" s="145">
        <v>0</v>
      </c>
      <c r="H2108" s="145">
        <v>0</v>
      </c>
      <c r="I2108" s="77">
        <f t="shared" si="35"/>
        <v>202.21</v>
      </c>
      <c r="J2108" s="123" t="str">
        <f>IFERROR(VLOOKUP($C2108,'CEDARS School FRPL'!C:H,4,FALSE),"No")</f>
        <v>Yes</v>
      </c>
      <c r="K2108" s="109"/>
      <c r="L2108" s="109"/>
      <c r="M2108" s="110">
        <f>IFERROR(VLOOKUP($C2108,'CEDARS School FRPL'!C:H,3,FALSE),0)</f>
        <v>0.51969999999999994</v>
      </c>
      <c r="N2108" s="123" t="str">
        <f>IFERROR(VLOOKUP(C2108,'CEDARS School FRPL'!C:H,6,FALSE),"No")</f>
        <v>No</v>
      </c>
      <c r="O2108" s="147"/>
      <c r="P2108" s="148"/>
    </row>
    <row r="2109" spans="1:16">
      <c r="A2109" s="95" t="s">
        <v>2296</v>
      </c>
      <c r="B2109" s="95" t="s">
        <v>311</v>
      </c>
      <c r="C2109" s="4">
        <v>2560</v>
      </c>
      <c r="D2109" s="95" t="s">
        <v>312</v>
      </c>
      <c r="E2109" s="145">
        <v>277.52999999999997</v>
      </c>
      <c r="F2109" s="145">
        <v>25.279999999999998</v>
      </c>
      <c r="G2109" s="145">
        <v>0</v>
      </c>
      <c r="H2109" s="145">
        <v>0</v>
      </c>
      <c r="I2109" s="77">
        <f t="shared" si="35"/>
        <v>302.80999999999995</v>
      </c>
      <c r="J2109" s="123" t="str">
        <f>IFERROR(VLOOKUP($C2109,'CEDARS School FRPL'!C:H,4,FALSE),"No")</f>
        <v>No</v>
      </c>
      <c r="K2109" s="109"/>
      <c r="L2109" s="109"/>
      <c r="M2109" s="110">
        <f>IFERROR(VLOOKUP($C2109,'CEDARS School FRPL'!C:H,3,FALSE),0)</f>
        <v>0.3479666666666667</v>
      </c>
      <c r="N2109" s="123" t="str">
        <f>IFERROR(VLOOKUP(C2109,'CEDARS School FRPL'!C:H,6,FALSE),"No")</f>
        <v>No</v>
      </c>
      <c r="O2109" s="147"/>
      <c r="P2109" s="148"/>
    </row>
    <row r="2110" spans="1:16">
      <c r="A2110" s="95" t="s">
        <v>2296</v>
      </c>
      <c r="B2110" s="95" t="s">
        <v>311</v>
      </c>
      <c r="C2110" s="4">
        <v>4264</v>
      </c>
      <c r="D2110" s="95" t="s">
        <v>313</v>
      </c>
      <c r="E2110" s="145">
        <v>391.14</v>
      </c>
      <c r="F2110" s="145">
        <v>0</v>
      </c>
      <c r="G2110" s="145">
        <v>0</v>
      </c>
      <c r="H2110" s="145">
        <v>0</v>
      </c>
      <c r="I2110" s="77">
        <f t="shared" si="35"/>
        <v>391.14</v>
      </c>
      <c r="J2110" s="123" t="str">
        <f>IFERROR(VLOOKUP($C2110,'CEDARS School FRPL'!C:H,4,FALSE),"No")</f>
        <v>No</v>
      </c>
      <c r="K2110" s="109"/>
      <c r="L2110" s="109"/>
      <c r="M2110" s="110">
        <f>IFERROR(VLOOKUP($C2110,'CEDARS School FRPL'!C:H,3,FALSE),0)</f>
        <v>0.4294</v>
      </c>
      <c r="N2110" s="123" t="str">
        <f>IFERROR(VLOOKUP(C2110,'CEDARS School FRPL'!C:H,6,FALSE),"No")</f>
        <v>No</v>
      </c>
      <c r="O2110" s="147"/>
      <c r="P2110" s="148"/>
    </row>
    <row r="2111" spans="1:16">
      <c r="A2111" s="95" t="s">
        <v>2386</v>
      </c>
      <c r="B2111" s="95" t="s">
        <v>1110</v>
      </c>
      <c r="C2111" s="4">
        <v>2676</v>
      </c>
      <c r="D2111" s="95" t="s">
        <v>1111</v>
      </c>
      <c r="E2111" s="145">
        <v>124.03</v>
      </c>
      <c r="F2111" s="145">
        <v>2.98</v>
      </c>
      <c r="G2111" s="145">
        <v>0</v>
      </c>
      <c r="H2111" s="145">
        <v>0</v>
      </c>
      <c r="I2111" s="77">
        <f t="shared" si="35"/>
        <v>127.01</v>
      </c>
      <c r="J2111" s="123" t="str">
        <f>IFERROR(VLOOKUP($C2111,'CEDARS School FRPL'!C:H,4,FALSE),"No")</f>
        <v>No</v>
      </c>
      <c r="K2111" s="109"/>
      <c r="L2111" s="109"/>
      <c r="M2111" s="110">
        <f>IFERROR(VLOOKUP($C2111,'CEDARS School FRPL'!C:H,3,FALSE),0)</f>
        <v>0</v>
      </c>
      <c r="N2111" s="123" t="str">
        <f>IFERROR(VLOOKUP(C2111,'CEDARS School FRPL'!C:H,6,FALSE),"No")</f>
        <v>No</v>
      </c>
      <c r="O2111" s="147"/>
      <c r="P2111" s="148"/>
    </row>
    <row r="2112" spans="1:16">
      <c r="A2112" s="95" t="s">
        <v>2386</v>
      </c>
      <c r="B2112" s="95" t="s">
        <v>1110</v>
      </c>
      <c r="C2112" s="4">
        <v>3062</v>
      </c>
      <c r="D2112" s="95" t="s">
        <v>1112</v>
      </c>
      <c r="E2112" s="145">
        <v>62.14</v>
      </c>
      <c r="F2112" s="145">
        <v>0</v>
      </c>
      <c r="G2112" s="145">
        <v>0</v>
      </c>
      <c r="H2112" s="145">
        <v>0</v>
      </c>
      <c r="I2112" s="77">
        <f t="shared" si="35"/>
        <v>62.14</v>
      </c>
      <c r="J2112" s="123" t="str">
        <f>IFERROR(VLOOKUP($C2112,'CEDARS School FRPL'!C:H,4,FALSE),"No")</f>
        <v>No</v>
      </c>
      <c r="K2112" s="109"/>
      <c r="L2112" s="109"/>
      <c r="M2112" s="110">
        <f>IFERROR(VLOOKUP($C2112,'CEDARS School FRPL'!C:H,3,FALSE),0)</f>
        <v>0</v>
      </c>
      <c r="N2112" s="123" t="str">
        <f>IFERROR(VLOOKUP(C2112,'CEDARS School FRPL'!C:H,6,FALSE),"No")</f>
        <v>No</v>
      </c>
      <c r="O2112" s="147"/>
      <c r="P2112" s="148"/>
    </row>
    <row r="2113" spans="1:16">
      <c r="A2113" s="95" t="s">
        <v>2357</v>
      </c>
      <c r="B2113" s="95" t="s">
        <v>792</v>
      </c>
      <c r="C2113" s="4">
        <v>2564</v>
      </c>
      <c r="D2113" s="95" t="s">
        <v>793</v>
      </c>
      <c r="E2113" s="145">
        <v>588.89</v>
      </c>
      <c r="F2113" s="145">
        <v>0</v>
      </c>
      <c r="G2113" s="145">
        <v>0</v>
      </c>
      <c r="H2113" s="145">
        <v>0</v>
      </c>
      <c r="I2113" s="77">
        <f t="shared" si="35"/>
        <v>588.89</v>
      </c>
      <c r="J2113" s="123" t="str">
        <f>IFERROR(VLOOKUP($C2113,'CEDARS School FRPL'!C:H,4,FALSE),"No")</f>
        <v>Yes</v>
      </c>
      <c r="K2113" s="109"/>
      <c r="L2113" s="109"/>
      <c r="M2113" s="110">
        <f>IFERROR(VLOOKUP($C2113,'CEDARS School FRPL'!C:H,3,FALSE),0)</f>
        <v>0.75446666666666662</v>
      </c>
      <c r="N2113" s="123" t="str">
        <f>IFERROR(VLOOKUP(C2113,'CEDARS School FRPL'!C:H,6,FALSE),"No")</f>
        <v>No</v>
      </c>
      <c r="O2113" s="147"/>
      <c r="P2113" s="148"/>
    </row>
    <row r="2114" spans="1:16">
      <c r="A2114" s="95" t="s">
        <v>2357</v>
      </c>
      <c r="B2114" s="95" t="s">
        <v>792</v>
      </c>
      <c r="C2114" s="4">
        <v>2848</v>
      </c>
      <c r="D2114" s="95" t="s">
        <v>794</v>
      </c>
      <c r="E2114" s="145">
        <v>735.77</v>
      </c>
      <c r="F2114" s="145">
        <v>58.410000000000004</v>
      </c>
      <c r="G2114" s="145">
        <v>0.14000000000000001</v>
      </c>
      <c r="H2114" s="145">
        <v>0</v>
      </c>
      <c r="I2114" s="77">
        <f t="shared" si="35"/>
        <v>794.31999999999994</v>
      </c>
      <c r="J2114" s="123" t="str">
        <f>IFERROR(VLOOKUP($C2114,'CEDARS School FRPL'!C:H,4,FALSE),"No")</f>
        <v>Yes</v>
      </c>
      <c r="K2114" s="109"/>
      <c r="L2114" s="109"/>
      <c r="M2114" s="110">
        <f>IFERROR(VLOOKUP($C2114,'CEDARS School FRPL'!C:H,3,FALSE),0)</f>
        <v>0.67896666666666672</v>
      </c>
      <c r="N2114" s="123" t="str">
        <f>IFERROR(VLOOKUP(C2114,'CEDARS School FRPL'!C:H,6,FALSE),"No")</f>
        <v>No</v>
      </c>
      <c r="O2114" s="147"/>
      <c r="P2114" s="148"/>
    </row>
    <row r="2115" spans="1:16">
      <c r="A2115" s="95" t="s">
        <v>2357</v>
      </c>
      <c r="B2115" s="95" t="s">
        <v>792</v>
      </c>
      <c r="C2115" s="4">
        <v>3226</v>
      </c>
      <c r="D2115" s="95" t="s">
        <v>795</v>
      </c>
      <c r="E2115" s="145">
        <v>393.29</v>
      </c>
      <c r="F2115" s="145">
        <v>0</v>
      </c>
      <c r="G2115" s="145">
        <v>0</v>
      </c>
      <c r="H2115" s="145">
        <v>0</v>
      </c>
      <c r="I2115" s="77">
        <f t="shared" si="35"/>
        <v>393.29</v>
      </c>
      <c r="J2115" s="123" t="str">
        <f>IFERROR(VLOOKUP($C2115,'CEDARS School FRPL'!C:H,4,FALSE),"No")</f>
        <v>Yes</v>
      </c>
      <c r="K2115" s="109"/>
      <c r="L2115" s="109"/>
      <c r="M2115" s="110">
        <f>IFERROR(VLOOKUP($C2115,'CEDARS School FRPL'!C:H,3,FALSE),0)</f>
        <v>0.80799999999999994</v>
      </c>
      <c r="N2115" s="123" t="str">
        <f>IFERROR(VLOOKUP(C2115,'CEDARS School FRPL'!C:H,6,FALSE),"No")</f>
        <v>No</v>
      </c>
      <c r="O2115" s="147"/>
      <c r="P2115" s="148"/>
    </row>
    <row r="2116" spans="1:16">
      <c r="A2116" s="95" t="s">
        <v>2357</v>
      </c>
      <c r="B2116" s="95" t="s">
        <v>792</v>
      </c>
      <c r="C2116" s="4">
        <v>3488</v>
      </c>
      <c r="D2116" s="95" t="s">
        <v>796</v>
      </c>
      <c r="E2116" s="145">
        <v>406.43</v>
      </c>
      <c r="F2116" s="145">
        <v>0</v>
      </c>
      <c r="G2116" s="145">
        <v>0</v>
      </c>
      <c r="H2116" s="145">
        <v>0</v>
      </c>
      <c r="I2116" s="77">
        <f t="shared" ref="I2116:I2179" si="36">+E2116+F2116+G2116+H2116</f>
        <v>406.43</v>
      </c>
      <c r="J2116" s="123" t="str">
        <f>IFERROR(VLOOKUP($C2116,'CEDARS School FRPL'!C:H,4,FALSE),"No")</f>
        <v>Yes</v>
      </c>
      <c r="K2116" s="109"/>
      <c r="L2116" s="109"/>
      <c r="M2116" s="110">
        <f>IFERROR(VLOOKUP($C2116,'CEDARS School FRPL'!C:H,3,FALSE),0)</f>
        <v>0.64143333333333341</v>
      </c>
      <c r="N2116" s="123" t="str">
        <f>IFERROR(VLOOKUP(C2116,'CEDARS School FRPL'!C:H,6,FALSE),"No")</f>
        <v>No</v>
      </c>
      <c r="O2116" s="147"/>
      <c r="P2116" s="148"/>
    </row>
    <row r="2117" spans="1:16">
      <c r="A2117" s="95" t="s">
        <v>2357</v>
      </c>
      <c r="B2117" s="95" t="s">
        <v>792</v>
      </c>
      <c r="C2117" s="4">
        <v>3635</v>
      </c>
      <c r="D2117" s="95" t="s">
        <v>797</v>
      </c>
      <c r="E2117" s="145">
        <v>338.14</v>
      </c>
      <c r="F2117" s="145">
        <v>0</v>
      </c>
      <c r="G2117" s="145">
        <v>0</v>
      </c>
      <c r="H2117" s="145">
        <v>0</v>
      </c>
      <c r="I2117" s="77">
        <f t="shared" si="36"/>
        <v>338.14</v>
      </c>
      <c r="J2117" s="123" t="str">
        <f>IFERROR(VLOOKUP($C2117,'CEDARS School FRPL'!C:H,4,FALSE),"No")</f>
        <v>Yes</v>
      </c>
      <c r="K2117" s="109"/>
      <c r="L2117" s="109"/>
      <c r="M2117" s="110">
        <f>IFERROR(VLOOKUP($C2117,'CEDARS School FRPL'!C:H,3,FALSE),0)</f>
        <v>0.81953333333333334</v>
      </c>
      <c r="N2117" s="123" t="str">
        <f>IFERROR(VLOOKUP(C2117,'CEDARS School FRPL'!C:H,6,FALSE),"No")</f>
        <v>No</v>
      </c>
      <c r="O2117" s="147"/>
      <c r="P2117" s="148"/>
    </row>
    <row r="2118" spans="1:16">
      <c r="A2118" s="95" t="s">
        <v>2357</v>
      </c>
      <c r="B2118" s="95" t="s">
        <v>792</v>
      </c>
      <c r="C2118" s="4">
        <v>5284</v>
      </c>
      <c r="D2118" s="95" t="s">
        <v>3075</v>
      </c>
      <c r="E2118" s="145">
        <v>0</v>
      </c>
      <c r="F2118" s="145">
        <v>0</v>
      </c>
      <c r="G2118" s="145">
        <v>0.14000000000000001</v>
      </c>
      <c r="H2118" s="145">
        <v>0</v>
      </c>
      <c r="I2118" s="77">
        <f t="shared" si="36"/>
        <v>0.14000000000000001</v>
      </c>
      <c r="J2118" s="123" t="str">
        <f>IFERROR(VLOOKUP($C2118,'CEDARS School FRPL'!C:H,4,FALSE),"No")</f>
        <v>No</v>
      </c>
      <c r="K2118" s="109"/>
      <c r="L2118" s="109"/>
      <c r="M2118" s="110">
        <f>IFERROR(VLOOKUP($C2118,'CEDARS School FRPL'!C:H,3,FALSE),0)</f>
        <v>0</v>
      </c>
      <c r="N2118" s="123" t="str">
        <f>IFERROR(VLOOKUP(C2118,'CEDARS School FRPL'!C:H,6,FALSE),"No")</f>
        <v>No</v>
      </c>
      <c r="O2118" s="147"/>
      <c r="P2118" s="148"/>
    </row>
    <row r="2119" spans="1:16">
      <c r="A2119" s="95" t="s">
        <v>2357</v>
      </c>
      <c r="B2119" s="95" t="s">
        <v>792</v>
      </c>
      <c r="C2119" s="4">
        <v>5315</v>
      </c>
      <c r="D2119" s="95" t="s">
        <v>2813</v>
      </c>
      <c r="E2119" s="145">
        <v>0.14000000000000001</v>
      </c>
      <c r="F2119" s="145">
        <v>0</v>
      </c>
      <c r="G2119" s="145">
        <v>0.28999999999999998</v>
      </c>
      <c r="H2119" s="145">
        <v>0</v>
      </c>
      <c r="I2119" s="77">
        <f t="shared" si="36"/>
        <v>0.43</v>
      </c>
      <c r="J2119" s="123" t="str">
        <f>IFERROR(VLOOKUP($C2119,'CEDARS School FRPL'!C:H,4,FALSE),"No")</f>
        <v>Yes</v>
      </c>
      <c r="K2119" s="109"/>
      <c r="L2119" s="109"/>
      <c r="M2119" s="110">
        <f>IFERROR(VLOOKUP($C2119,'CEDARS School FRPL'!C:H,3,FALSE),0)</f>
        <v>1</v>
      </c>
      <c r="N2119" s="123" t="str">
        <f>IFERROR(VLOOKUP(C2119,'CEDARS School FRPL'!C:H,6,FALSE),"No")</f>
        <v>No</v>
      </c>
      <c r="O2119" s="147"/>
      <c r="P2119" s="148"/>
    </row>
    <row r="2120" spans="1:16">
      <c r="A2120" s="95" t="s">
        <v>2517</v>
      </c>
      <c r="B2120" s="95" t="s">
        <v>1995</v>
      </c>
      <c r="C2120" s="4">
        <v>1713</v>
      </c>
      <c r="D2120" s="95" t="s">
        <v>2939</v>
      </c>
      <c r="E2120" s="145">
        <v>77.56</v>
      </c>
      <c r="F2120" s="145">
        <v>8.99</v>
      </c>
      <c r="G2120" s="145">
        <v>16.43</v>
      </c>
      <c r="H2120" s="145">
        <v>0</v>
      </c>
      <c r="I2120" s="77">
        <f t="shared" si="36"/>
        <v>102.97999999999999</v>
      </c>
      <c r="J2120" s="123" t="str">
        <f>IFERROR(VLOOKUP($C2120,'CEDARS School FRPL'!C:H,4,FALSE),"No")</f>
        <v>No</v>
      </c>
      <c r="K2120" s="109"/>
      <c r="L2120" s="109"/>
      <c r="M2120" s="110">
        <f>IFERROR(VLOOKUP($C2120,'CEDARS School FRPL'!C:H,3,FALSE),0)</f>
        <v>0.48336666666666667</v>
      </c>
      <c r="N2120" s="123" t="str">
        <f>IFERROR(VLOOKUP(C2120,'CEDARS School FRPL'!C:H,6,FALSE),"No")</f>
        <v>No</v>
      </c>
      <c r="O2120" s="147"/>
      <c r="P2120" s="148"/>
    </row>
    <row r="2121" spans="1:16">
      <c r="A2121" s="95" t="s">
        <v>2517</v>
      </c>
      <c r="B2121" s="95" t="s">
        <v>1995</v>
      </c>
      <c r="C2121" s="4">
        <v>2552</v>
      </c>
      <c r="D2121" s="95" t="s">
        <v>1996</v>
      </c>
      <c r="E2121" s="145">
        <v>458.76</v>
      </c>
      <c r="F2121" s="145">
        <v>0</v>
      </c>
      <c r="G2121" s="145">
        <v>0</v>
      </c>
      <c r="H2121" s="145">
        <v>0</v>
      </c>
      <c r="I2121" s="77">
        <f t="shared" si="36"/>
        <v>458.76</v>
      </c>
      <c r="J2121" s="123" t="str">
        <f>IFERROR(VLOOKUP($C2121,'CEDARS School FRPL'!C:H,4,FALSE),"No")</f>
        <v>No</v>
      </c>
      <c r="K2121" s="109"/>
      <c r="L2121" s="109"/>
      <c r="M2121" s="110">
        <f>IFERROR(VLOOKUP($C2121,'CEDARS School FRPL'!C:H,3,FALSE),0)</f>
        <v>0.35503333333333331</v>
      </c>
      <c r="N2121" s="123" t="str">
        <f>IFERROR(VLOOKUP(C2121,'CEDARS School FRPL'!C:H,6,FALSE),"No")</f>
        <v>No</v>
      </c>
      <c r="O2121" s="147"/>
      <c r="P2121" s="148"/>
    </row>
    <row r="2122" spans="1:16">
      <c r="A2122" s="95" t="s">
        <v>2517</v>
      </c>
      <c r="B2122" s="95" t="s">
        <v>1995</v>
      </c>
      <c r="C2122" s="4">
        <v>2816</v>
      </c>
      <c r="D2122" s="95" t="s">
        <v>1997</v>
      </c>
      <c r="E2122" s="145">
        <v>326.29000000000002</v>
      </c>
      <c r="F2122" s="145">
        <v>0</v>
      </c>
      <c r="G2122" s="145">
        <v>0</v>
      </c>
      <c r="H2122" s="145">
        <v>0</v>
      </c>
      <c r="I2122" s="77">
        <f t="shared" si="36"/>
        <v>326.29000000000002</v>
      </c>
      <c r="J2122" s="123" t="str">
        <f>IFERROR(VLOOKUP($C2122,'CEDARS School FRPL'!C:H,4,FALSE),"No")</f>
        <v>No</v>
      </c>
      <c r="K2122" s="109"/>
      <c r="L2122" s="109"/>
      <c r="M2122" s="110">
        <f>IFERROR(VLOOKUP($C2122,'CEDARS School FRPL'!C:H,3,FALSE),0)</f>
        <v>0.32969999999999999</v>
      </c>
      <c r="N2122" s="123" t="str">
        <f>IFERROR(VLOOKUP(C2122,'CEDARS School FRPL'!C:H,6,FALSE),"No")</f>
        <v>No</v>
      </c>
      <c r="O2122" s="147"/>
      <c r="P2122" s="148"/>
    </row>
    <row r="2123" spans="1:16">
      <c r="A2123" s="95" t="s">
        <v>2517</v>
      </c>
      <c r="B2123" s="95" t="s">
        <v>1995</v>
      </c>
      <c r="C2123" s="4">
        <v>3199</v>
      </c>
      <c r="D2123" s="95" t="s">
        <v>1998</v>
      </c>
      <c r="E2123" s="145">
        <v>603.04</v>
      </c>
      <c r="F2123" s="145">
        <v>0</v>
      </c>
      <c r="G2123" s="145">
        <v>0</v>
      </c>
      <c r="H2123" s="145">
        <v>0</v>
      </c>
      <c r="I2123" s="77">
        <f t="shared" si="36"/>
        <v>603.04</v>
      </c>
      <c r="J2123" s="123" t="str">
        <f>IFERROR(VLOOKUP($C2123,'CEDARS School FRPL'!C:H,4,FALSE),"No")</f>
        <v>No</v>
      </c>
      <c r="K2123" s="109"/>
      <c r="L2123" s="109"/>
      <c r="M2123" s="110">
        <f>IFERROR(VLOOKUP($C2123,'CEDARS School FRPL'!C:H,3,FALSE),0)</f>
        <v>0.38373333333333332</v>
      </c>
      <c r="N2123" s="123" t="str">
        <f>IFERROR(VLOOKUP(C2123,'CEDARS School FRPL'!C:H,6,FALSE),"No")</f>
        <v>No</v>
      </c>
      <c r="O2123" s="147"/>
      <c r="P2123" s="148"/>
    </row>
    <row r="2124" spans="1:16">
      <c r="A2124" s="95" t="s">
        <v>2517</v>
      </c>
      <c r="B2124" s="95" t="s">
        <v>1995</v>
      </c>
      <c r="C2124" s="4">
        <v>3362</v>
      </c>
      <c r="D2124" s="95" t="s">
        <v>1999</v>
      </c>
      <c r="E2124" s="145">
        <v>977.35</v>
      </c>
      <c r="F2124" s="145">
        <v>124.66</v>
      </c>
      <c r="G2124" s="145">
        <v>0</v>
      </c>
      <c r="H2124" s="145">
        <v>0</v>
      </c>
      <c r="I2124" s="77">
        <f t="shared" si="36"/>
        <v>1102.01</v>
      </c>
      <c r="J2124" s="123" t="str">
        <f>IFERROR(VLOOKUP($C2124,'CEDARS School FRPL'!C:H,4,FALSE),"No")</f>
        <v>No</v>
      </c>
      <c r="K2124" s="109"/>
      <c r="L2124" s="109"/>
      <c r="M2124" s="110">
        <f>IFERROR(VLOOKUP($C2124,'CEDARS School FRPL'!C:H,3,FALSE),0)</f>
        <v>0.26283333333333331</v>
      </c>
      <c r="N2124" s="123" t="str">
        <f>IFERROR(VLOOKUP(C2124,'CEDARS School FRPL'!C:H,6,FALSE),"No")</f>
        <v>No</v>
      </c>
      <c r="O2124" s="147"/>
      <c r="P2124" s="148"/>
    </row>
    <row r="2125" spans="1:16">
      <c r="A2125" s="95" t="s">
        <v>2517</v>
      </c>
      <c r="B2125" s="95" t="s">
        <v>1995</v>
      </c>
      <c r="C2125" s="4">
        <v>3612</v>
      </c>
      <c r="D2125" s="95" t="s">
        <v>2000</v>
      </c>
      <c r="E2125" s="145">
        <v>587.95000000000005</v>
      </c>
      <c r="F2125" s="145">
        <v>0</v>
      </c>
      <c r="G2125" s="145">
        <v>0</v>
      </c>
      <c r="H2125" s="145">
        <v>0</v>
      </c>
      <c r="I2125" s="77">
        <f t="shared" si="36"/>
        <v>587.95000000000005</v>
      </c>
      <c r="J2125" s="123" t="str">
        <f>IFERROR(VLOOKUP($C2125,'CEDARS School FRPL'!C:H,4,FALSE),"No")</f>
        <v>No</v>
      </c>
      <c r="K2125" s="109"/>
      <c r="L2125" s="109"/>
      <c r="M2125" s="110">
        <f>IFERROR(VLOOKUP($C2125,'CEDARS School FRPL'!C:H,3,FALSE),0)</f>
        <v>0.32593333333333335</v>
      </c>
      <c r="N2125" s="123" t="str">
        <f>IFERROR(VLOOKUP(C2125,'CEDARS School FRPL'!C:H,6,FALSE),"No")</f>
        <v>No</v>
      </c>
      <c r="O2125" s="147"/>
      <c r="P2125" s="148"/>
    </row>
    <row r="2126" spans="1:16">
      <c r="A2126" s="95" t="s">
        <v>2517</v>
      </c>
      <c r="B2126" s="95" t="s">
        <v>1995</v>
      </c>
      <c r="C2126" s="4">
        <v>4205</v>
      </c>
      <c r="D2126" s="95" t="s">
        <v>2001</v>
      </c>
      <c r="E2126" s="145">
        <v>400.18</v>
      </c>
      <c r="F2126" s="145">
        <v>0</v>
      </c>
      <c r="G2126" s="145">
        <v>0</v>
      </c>
      <c r="H2126" s="145">
        <v>0</v>
      </c>
      <c r="I2126" s="77">
        <f t="shared" si="36"/>
        <v>400.18</v>
      </c>
      <c r="J2126" s="123" t="str">
        <f>IFERROR(VLOOKUP($C2126,'CEDARS School FRPL'!C:H,4,FALSE),"No")</f>
        <v>No</v>
      </c>
      <c r="K2126" s="109"/>
      <c r="L2126" s="109"/>
      <c r="M2126" s="110">
        <f>IFERROR(VLOOKUP($C2126,'CEDARS School FRPL'!C:H,3,FALSE),0)</f>
        <v>0.26909999999999995</v>
      </c>
      <c r="N2126" s="123" t="str">
        <f>IFERROR(VLOOKUP(C2126,'CEDARS School FRPL'!C:H,6,FALSE),"No")</f>
        <v>No</v>
      </c>
      <c r="O2126" s="147"/>
      <c r="P2126" s="148"/>
    </row>
    <row r="2127" spans="1:16">
      <c r="A2127" s="95" t="s">
        <v>2517</v>
      </c>
      <c r="B2127" s="95" t="s">
        <v>1995</v>
      </c>
      <c r="C2127" s="4">
        <v>4225</v>
      </c>
      <c r="D2127" s="95" t="s">
        <v>2744</v>
      </c>
      <c r="E2127" s="145">
        <v>297.57</v>
      </c>
      <c r="F2127" s="145">
        <v>0</v>
      </c>
      <c r="G2127" s="145">
        <v>0</v>
      </c>
      <c r="H2127" s="145">
        <v>0</v>
      </c>
      <c r="I2127" s="77">
        <f t="shared" si="36"/>
        <v>297.57</v>
      </c>
      <c r="J2127" s="123" t="str">
        <f>IFERROR(VLOOKUP($C2127,'CEDARS School FRPL'!C:H,4,FALSE),"No")</f>
        <v>No</v>
      </c>
      <c r="K2127" s="109"/>
      <c r="L2127" s="109"/>
      <c r="M2127" s="110">
        <f>IFERROR(VLOOKUP($C2127,'CEDARS School FRPL'!C:H,3,FALSE),0)</f>
        <v>0.19643333333333332</v>
      </c>
      <c r="N2127" s="123" t="str">
        <f>IFERROR(VLOOKUP(C2127,'CEDARS School FRPL'!C:H,6,FALSE),"No")</f>
        <v>No</v>
      </c>
      <c r="O2127" s="147"/>
      <c r="P2127" s="148"/>
    </row>
    <row r="2128" spans="1:16">
      <c r="A2128" s="95" t="s">
        <v>2517</v>
      </c>
      <c r="B2128" s="95" t="s">
        <v>1995</v>
      </c>
      <c r="C2128" s="4">
        <v>4365</v>
      </c>
      <c r="D2128" s="95" t="s">
        <v>2002</v>
      </c>
      <c r="E2128" s="145">
        <v>527.05999999999995</v>
      </c>
      <c r="F2128" s="145">
        <v>0</v>
      </c>
      <c r="G2128" s="145">
        <v>0</v>
      </c>
      <c r="H2128" s="145">
        <v>0</v>
      </c>
      <c r="I2128" s="77">
        <f t="shared" si="36"/>
        <v>527.05999999999995</v>
      </c>
      <c r="J2128" s="123" t="str">
        <f>IFERROR(VLOOKUP($C2128,'CEDARS School FRPL'!C:H,4,FALSE),"No")</f>
        <v>No</v>
      </c>
      <c r="K2128" s="109"/>
      <c r="L2128" s="109"/>
      <c r="M2128" s="110">
        <f>IFERROR(VLOOKUP($C2128,'CEDARS School FRPL'!C:H,3,FALSE),0)</f>
        <v>0.28183333333333332</v>
      </c>
      <c r="N2128" s="123" t="str">
        <f>IFERROR(VLOOKUP(C2128,'CEDARS School FRPL'!C:H,6,FALSE),"No")</f>
        <v>No</v>
      </c>
      <c r="O2128" s="147"/>
      <c r="P2128" s="148"/>
    </row>
    <row r="2129" spans="1:16">
      <c r="A2129" s="95" t="s">
        <v>2517</v>
      </c>
      <c r="B2129" s="95" t="s">
        <v>1995</v>
      </c>
      <c r="C2129" s="4">
        <v>4373</v>
      </c>
      <c r="D2129" s="95" t="s">
        <v>2003</v>
      </c>
      <c r="E2129" s="145">
        <v>366.3</v>
      </c>
      <c r="F2129" s="145">
        <v>0</v>
      </c>
      <c r="G2129" s="145">
        <v>0</v>
      </c>
      <c r="H2129" s="145">
        <v>0</v>
      </c>
      <c r="I2129" s="77">
        <f t="shared" si="36"/>
        <v>366.3</v>
      </c>
      <c r="J2129" s="123" t="str">
        <f>IFERROR(VLOOKUP($C2129,'CEDARS School FRPL'!C:H,4,FALSE),"No")</f>
        <v>No</v>
      </c>
      <c r="K2129" s="109"/>
      <c r="L2129" s="109"/>
      <c r="M2129" s="110">
        <f>IFERROR(VLOOKUP($C2129,'CEDARS School FRPL'!C:H,3,FALSE),0)</f>
        <v>0.2891333333333333</v>
      </c>
      <c r="N2129" s="123" t="str">
        <f>IFERROR(VLOOKUP(C2129,'CEDARS School FRPL'!C:H,6,FALSE),"No")</f>
        <v>No</v>
      </c>
      <c r="O2129" s="147"/>
      <c r="P2129" s="148"/>
    </row>
    <row r="2130" spans="1:16">
      <c r="A2130" s="95" t="s">
        <v>2517</v>
      </c>
      <c r="B2130" s="95" t="s">
        <v>1995</v>
      </c>
      <c r="C2130" s="4">
        <v>4452</v>
      </c>
      <c r="D2130" s="95" t="s">
        <v>2004</v>
      </c>
      <c r="E2130" s="145">
        <v>750.7</v>
      </c>
      <c r="F2130" s="145">
        <v>0</v>
      </c>
      <c r="G2130" s="145">
        <v>0</v>
      </c>
      <c r="H2130" s="145">
        <v>0</v>
      </c>
      <c r="I2130" s="77">
        <f t="shared" si="36"/>
        <v>750.7</v>
      </c>
      <c r="J2130" s="123" t="str">
        <f>IFERROR(VLOOKUP($C2130,'CEDARS School FRPL'!C:H,4,FALSE),"No")</f>
        <v>No</v>
      </c>
      <c r="K2130" s="109"/>
      <c r="L2130" s="109"/>
      <c r="M2130" s="110">
        <f>IFERROR(VLOOKUP($C2130,'CEDARS School FRPL'!C:H,3,FALSE),0)</f>
        <v>0.36020000000000002</v>
      </c>
      <c r="N2130" s="123" t="str">
        <f>IFERROR(VLOOKUP(C2130,'CEDARS School FRPL'!C:H,6,FALSE),"No")</f>
        <v>No</v>
      </c>
      <c r="O2130" s="147"/>
      <c r="P2130" s="148"/>
    </row>
    <row r="2131" spans="1:16">
      <c r="A2131" s="95" t="s">
        <v>2517</v>
      </c>
      <c r="B2131" s="95" t="s">
        <v>1995</v>
      </c>
      <c r="C2131" s="4">
        <v>4500</v>
      </c>
      <c r="D2131" s="95" t="s">
        <v>2005</v>
      </c>
      <c r="E2131" s="145">
        <v>736.53</v>
      </c>
      <c r="F2131" s="145">
        <v>84.43</v>
      </c>
      <c r="G2131" s="145">
        <v>0</v>
      </c>
      <c r="H2131" s="145">
        <v>0</v>
      </c>
      <c r="I2131" s="77">
        <f t="shared" si="36"/>
        <v>820.96</v>
      </c>
      <c r="J2131" s="123" t="str">
        <f>IFERROR(VLOOKUP($C2131,'CEDARS School FRPL'!C:H,4,FALSE),"No")</f>
        <v>No</v>
      </c>
      <c r="K2131" s="109"/>
      <c r="L2131" s="109"/>
      <c r="M2131" s="110">
        <f>IFERROR(VLOOKUP($C2131,'CEDARS School FRPL'!C:H,3,FALSE),0)</f>
        <v>0.27639999999999998</v>
      </c>
      <c r="N2131" s="123" t="str">
        <f>IFERROR(VLOOKUP(C2131,'CEDARS School FRPL'!C:H,6,FALSE),"No")</f>
        <v>No</v>
      </c>
      <c r="O2131" s="147"/>
      <c r="P2131" s="148"/>
    </row>
    <row r="2132" spans="1:16">
      <c r="A2132" s="95" t="s">
        <v>2517</v>
      </c>
      <c r="B2132" s="95" t="s">
        <v>1995</v>
      </c>
      <c r="C2132" s="4">
        <v>5014</v>
      </c>
      <c r="D2132" s="95" t="s">
        <v>2006</v>
      </c>
      <c r="E2132" s="145">
        <v>41.69</v>
      </c>
      <c r="F2132" s="145">
        <v>0.59</v>
      </c>
      <c r="G2132" s="145">
        <v>0</v>
      </c>
      <c r="H2132" s="145">
        <v>0</v>
      </c>
      <c r="I2132" s="77">
        <f t="shared" si="36"/>
        <v>42.28</v>
      </c>
      <c r="J2132" s="123" t="str">
        <f>IFERROR(VLOOKUP($C2132,'CEDARS School FRPL'!C:H,4,FALSE),"No")</f>
        <v>No</v>
      </c>
      <c r="K2132" s="109"/>
      <c r="L2132" s="109"/>
      <c r="M2132" s="110">
        <f>IFERROR(VLOOKUP($C2132,'CEDARS School FRPL'!C:H,3,FALSE),0)</f>
        <v>0.40156666666666668</v>
      </c>
      <c r="N2132" s="123" t="str">
        <f>IFERROR(VLOOKUP(C2132,'CEDARS School FRPL'!C:H,6,FALSE),"No")</f>
        <v>No</v>
      </c>
      <c r="O2132" s="147"/>
      <c r="P2132" s="148"/>
    </row>
    <row r="2133" spans="1:16">
      <c r="A2133" s="95" t="s">
        <v>2517</v>
      </c>
      <c r="B2133" s="95" t="s">
        <v>1995</v>
      </c>
      <c r="C2133" s="4">
        <v>5629</v>
      </c>
      <c r="D2133" s="95" t="s">
        <v>2940</v>
      </c>
      <c r="E2133" s="145">
        <v>254.09</v>
      </c>
      <c r="F2133" s="145">
        <v>1.19</v>
      </c>
      <c r="G2133" s="145">
        <v>0</v>
      </c>
      <c r="H2133" s="145">
        <v>0</v>
      </c>
      <c r="I2133" s="77">
        <f t="shared" si="36"/>
        <v>255.28</v>
      </c>
      <c r="J2133" s="123" t="str">
        <f>IFERROR(VLOOKUP($C2133,'CEDARS School FRPL'!C:H,4,FALSE),"No")</f>
        <v>No</v>
      </c>
      <c r="K2133" s="109"/>
      <c r="L2133" s="109"/>
      <c r="M2133" s="110">
        <f>IFERROR(VLOOKUP($C2133,'CEDARS School FRPL'!C:H,3,FALSE),0)</f>
        <v>0.31789999999999996</v>
      </c>
      <c r="N2133" s="123" t="str">
        <f>IFERROR(VLOOKUP(C2133,'CEDARS School FRPL'!C:H,6,FALSE),"No")</f>
        <v>No</v>
      </c>
      <c r="O2133" s="147"/>
      <c r="P2133" s="148"/>
    </row>
    <row r="2134" spans="1:16">
      <c r="A2134" s="95" t="s">
        <v>2553</v>
      </c>
      <c r="B2134" s="95" t="s">
        <v>2164</v>
      </c>
      <c r="C2134" s="4">
        <v>2714</v>
      </c>
      <c r="D2134" s="95" t="s">
        <v>2165</v>
      </c>
      <c r="E2134" s="145">
        <v>571.29999999999995</v>
      </c>
      <c r="F2134" s="145">
        <v>0</v>
      </c>
      <c r="G2134" s="145">
        <v>0</v>
      </c>
      <c r="H2134" s="145">
        <v>0</v>
      </c>
      <c r="I2134" s="77">
        <f t="shared" si="36"/>
        <v>571.29999999999995</v>
      </c>
      <c r="J2134" s="123" t="str">
        <f>IFERROR(VLOOKUP($C2134,'CEDARS School FRPL'!C:H,4,FALSE),"No")</f>
        <v>Yes</v>
      </c>
      <c r="K2134" s="109"/>
      <c r="L2134" s="109"/>
      <c r="M2134" s="110">
        <f>IFERROR(VLOOKUP($C2134,'CEDARS School FRPL'!C:H,3,FALSE),0)</f>
        <v>0.92356666666666654</v>
      </c>
      <c r="N2134" s="123" t="str">
        <f>IFERROR(VLOOKUP(C2134,'CEDARS School FRPL'!C:H,6,FALSE),"No")</f>
        <v>No</v>
      </c>
      <c r="O2134" s="147"/>
      <c r="P2134" s="148"/>
    </row>
    <row r="2135" spans="1:16">
      <c r="A2135" s="95" t="s">
        <v>2442</v>
      </c>
      <c r="B2135" s="95" t="s">
        <v>1387</v>
      </c>
      <c r="C2135" s="4">
        <v>2223</v>
      </c>
      <c r="D2135" s="95" t="s">
        <v>1388</v>
      </c>
      <c r="E2135" s="145">
        <v>466.2</v>
      </c>
      <c r="F2135" s="145">
        <v>0</v>
      </c>
      <c r="G2135" s="145">
        <v>0</v>
      </c>
      <c r="H2135" s="145">
        <v>0</v>
      </c>
      <c r="I2135" s="77">
        <f t="shared" si="36"/>
        <v>466.2</v>
      </c>
      <c r="J2135" s="123" t="str">
        <f>IFERROR(VLOOKUP($C2135,'CEDARS School FRPL'!C:H,4,FALSE),"No")</f>
        <v>No</v>
      </c>
      <c r="K2135" s="109"/>
      <c r="L2135" s="109"/>
      <c r="M2135" s="110">
        <f>IFERROR(VLOOKUP($C2135,'CEDARS School FRPL'!C:H,3,FALSE),0)</f>
        <v>0.39233333333333337</v>
      </c>
      <c r="N2135" s="123" t="str">
        <f>IFERROR(VLOOKUP(C2135,'CEDARS School FRPL'!C:H,6,FALSE),"No")</f>
        <v>No</v>
      </c>
      <c r="O2135" s="147"/>
      <c r="P2135" s="148"/>
    </row>
    <row r="2136" spans="1:16">
      <c r="A2136" s="95" t="s">
        <v>2442</v>
      </c>
      <c r="B2136" s="95" t="s">
        <v>1387</v>
      </c>
      <c r="C2136" s="4">
        <v>3179</v>
      </c>
      <c r="D2136" s="95" t="s">
        <v>1389</v>
      </c>
      <c r="E2136" s="145">
        <v>843.07</v>
      </c>
      <c r="F2136" s="145">
        <v>0</v>
      </c>
      <c r="G2136" s="145">
        <v>0</v>
      </c>
      <c r="H2136" s="145">
        <v>0</v>
      </c>
      <c r="I2136" s="77">
        <f t="shared" si="36"/>
        <v>843.07</v>
      </c>
      <c r="J2136" s="123" t="str">
        <f>IFERROR(VLOOKUP($C2136,'CEDARS School FRPL'!C:H,4,FALSE),"No")</f>
        <v>No</v>
      </c>
      <c r="K2136" s="109"/>
      <c r="L2136" s="109"/>
      <c r="M2136" s="110">
        <f>IFERROR(VLOOKUP($C2136,'CEDARS School FRPL'!C:H,3,FALSE),0)</f>
        <v>0.35143333333333332</v>
      </c>
      <c r="N2136" s="123" t="str">
        <f>IFERROR(VLOOKUP(C2136,'CEDARS School FRPL'!C:H,6,FALSE),"No")</f>
        <v>No</v>
      </c>
      <c r="O2136" s="147"/>
      <c r="P2136" s="148"/>
    </row>
    <row r="2137" spans="1:16">
      <c r="A2137" s="95" t="s">
        <v>2442</v>
      </c>
      <c r="B2137" s="95" t="s">
        <v>1387</v>
      </c>
      <c r="C2137" s="4">
        <v>3296</v>
      </c>
      <c r="D2137" s="95" t="s">
        <v>1390</v>
      </c>
      <c r="E2137" s="145">
        <v>673.84</v>
      </c>
      <c r="F2137" s="145">
        <v>0</v>
      </c>
      <c r="G2137" s="145">
        <v>0</v>
      </c>
      <c r="H2137" s="145">
        <v>0</v>
      </c>
      <c r="I2137" s="77">
        <f t="shared" si="36"/>
        <v>673.84</v>
      </c>
      <c r="J2137" s="123" t="str">
        <f>IFERROR(VLOOKUP($C2137,'CEDARS School FRPL'!C:H,4,FALSE),"No")</f>
        <v>No</v>
      </c>
      <c r="K2137" s="109"/>
      <c r="L2137" s="109"/>
      <c r="M2137" s="110">
        <f>IFERROR(VLOOKUP($C2137,'CEDARS School FRPL'!C:H,3,FALSE),0)</f>
        <v>0.36600000000000005</v>
      </c>
      <c r="N2137" s="123" t="str">
        <f>IFERROR(VLOOKUP(C2137,'CEDARS School FRPL'!C:H,6,FALSE),"No")</f>
        <v>No</v>
      </c>
      <c r="O2137" s="147"/>
      <c r="P2137" s="148"/>
    </row>
    <row r="2138" spans="1:16">
      <c r="A2138" s="95" t="s">
        <v>2442</v>
      </c>
      <c r="B2138" s="95" t="s">
        <v>1387</v>
      </c>
      <c r="C2138" s="4">
        <v>3600</v>
      </c>
      <c r="D2138" s="95" t="s">
        <v>1391</v>
      </c>
      <c r="E2138" s="145">
        <v>1180.82</v>
      </c>
      <c r="F2138" s="145">
        <v>215.31</v>
      </c>
      <c r="G2138" s="145">
        <v>0</v>
      </c>
      <c r="H2138" s="145">
        <v>0</v>
      </c>
      <c r="I2138" s="77">
        <f t="shared" si="36"/>
        <v>1396.1299999999999</v>
      </c>
      <c r="J2138" s="123" t="str">
        <f>IFERROR(VLOOKUP($C2138,'CEDARS School FRPL'!C:H,4,FALSE),"No")</f>
        <v>No</v>
      </c>
      <c r="K2138" s="109"/>
      <c r="L2138" s="109"/>
      <c r="M2138" s="110">
        <f>IFERROR(VLOOKUP($C2138,'CEDARS School FRPL'!C:H,3,FALSE),0)</f>
        <v>0.31263333333333332</v>
      </c>
      <c r="N2138" s="123" t="str">
        <f>IFERROR(VLOOKUP(C2138,'CEDARS School FRPL'!C:H,6,FALSE),"No")</f>
        <v>No</v>
      </c>
      <c r="O2138" s="147"/>
      <c r="P2138" s="148"/>
    </row>
    <row r="2139" spans="1:16">
      <c r="A2139" s="95" t="s">
        <v>2442</v>
      </c>
      <c r="B2139" s="95" t="s">
        <v>1387</v>
      </c>
      <c r="C2139" s="4">
        <v>3601</v>
      </c>
      <c r="D2139" s="95" t="s">
        <v>1392</v>
      </c>
      <c r="E2139" s="145">
        <v>517.03</v>
      </c>
      <c r="F2139" s="145">
        <v>0</v>
      </c>
      <c r="G2139" s="145">
        <v>0</v>
      </c>
      <c r="H2139" s="145">
        <v>0</v>
      </c>
      <c r="I2139" s="77">
        <f t="shared" si="36"/>
        <v>517.03</v>
      </c>
      <c r="J2139" s="123" t="str">
        <f>IFERROR(VLOOKUP($C2139,'CEDARS School FRPL'!C:H,4,FALSE),"No")</f>
        <v>No</v>
      </c>
      <c r="K2139" s="107"/>
      <c r="L2139" s="107"/>
      <c r="M2139" s="110">
        <f>IFERROR(VLOOKUP($C2139,'CEDARS School FRPL'!C:H,3,FALSE),0)</f>
        <v>0.34329999999999999</v>
      </c>
      <c r="N2139" s="123" t="str">
        <f>IFERROR(VLOOKUP(C2139,'CEDARS School FRPL'!C:H,6,FALSE),"No")</f>
        <v>No</v>
      </c>
      <c r="O2139" s="147"/>
      <c r="P2139" s="148"/>
    </row>
    <row r="2140" spans="1:16">
      <c r="A2140" s="95" t="s">
        <v>2442</v>
      </c>
      <c r="B2140" s="95" t="s">
        <v>1387</v>
      </c>
      <c r="C2140" s="4">
        <v>3792</v>
      </c>
      <c r="D2140" s="95" t="s">
        <v>1393</v>
      </c>
      <c r="E2140" s="145">
        <v>479.71</v>
      </c>
      <c r="F2140" s="145">
        <v>0</v>
      </c>
      <c r="G2140" s="145">
        <v>0</v>
      </c>
      <c r="H2140" s="145">
        <v>0</v>
      </c>
      <c r="I2140" s="77">
        <f t="shared" si="36"/>
        <v>479.71</v>
      </c>
      <c r="J2140" s="123" t="str">
        <f>IFERROR(VLOOKUP($C2140,'CEDARS School FRPL'!C:H,4,FALSE),"No")</f>
        <v>No</v>
      </c>
      <c r="K2140" s="109"/>
      <c r="L2140" s="109"/>
      <c r="M2140" s="110">
        <f>IFERROR(VLOOKUP($C2140,'CEDARS School FRPL'!C:H,3,FALSE),0)</f>
        <v>0.37396666666666672</v>
      </c>
      <c r="N2140" s="123" t="str">
        <f>IFERROR(VLOOKUP(C2140,'CEDARS School FRPL'!C:H,6,FALSE),"No")</f>
        <v>No</v>
      </c>
      <c r="O2140" s="147"/>
      <c r="P2140" s="148"/>
    </row>
    <row r="2141" spans="1:16">
      <c r="A2141" s="95" t="s">
        <v>2442</v>
      </c>
      <c r="B2141" s="95" t="s">
        <v>1387</v>
      </c>
      <c r="C2141" s="4">
        <v>4325</v>
      </c>
      <c r="D2141" s="95" t="s">
        <v>1394</v>
      </c>
      <c r="E2141" s="145">
        <v>628.09</v>
      </c>
      <c r="F2141" s="145">
        <v>0</v>
      </c>
      <c r="G2141" s="145">
        <v>0</v>
      </c>
      <c r="H2141" s="145">
        <v>0</v>
      </c>
      <c r="I2141" s="77">
        <f t="shared" si="36"/>
        <v>628.09</v>
      </c>
      <c r="J2141" s="123" t="str">
        <f>IFERROR(VLOOKUP($C2141,'CEDARS School FRPL'!C:H,4,FALSE),"No")</f>
        <v>No</v>
      </c>
      <c r="K2141" s="109"/>
      <c r="L2141" s="109"/>
      <c r="M2141" s="110">
        <f>IFERROR(VLOOKUP($C2141,'CEDARS School FRPL'!C:H,3,FALSE),0)</f>
        <v>0.39860000000000001</v>
      </c>
      <c r="N2141" s="123" t="str">
        <f>IFERROR(VLOOKUP(C2141,'CEDARS School FRPL'!C:H,6,FALSE),"No")</f>
        <v>No</v>
      </c>
      <c r="O2141" s="147"/>
      <c r="P2141" s="148"/>
    </row>
    <row r="2142" spans="1:16">
      <c r="A2142" s="95" t="s">
        <v>2442</v>
      </c>
      <c r="B2142" s="95" t="s">
        <v>1387</v>
      </c>
      <c r="C2142" s="4">
        <v>4447</v>
      </c>
      <c r="D2142" s="95" t="s">
        <v>1395</v>
      </c>
      <c r="E2142" s="145">
        <v>543.5</v>
      </c>
      <c r="F2142" s="145">
        <v>0</v>
      </c>
      <c r="G2142" s="145">
        <v>0</v>
      </c>
      <c r="H2142" s="145">
        <v>0</v>
      </c>
      <c r="I2142" s="77">
        <f t="shared" si="36"/>
        <v>543.5</v>
      </c>
      <c r="J2142" s="123" t="str">
        <f>IFERROR(VLOOKUP($C2142,'CEDARS School FRPL'!C:H,4,FALSE),"No")</f>
        <v>No</v>
      </c>
      <c r="K2142" s="109"/>
      <c r="L2142" s="109"/>
      <c r="M2142" s="110">
        <f>IFERROR(VLOOKUP($C2142,'CEDARS School FRPL'!C:H,3,FALSE),0)</f>
        <v>0.36680000000000001</v>
      </c>
      <c r="N2142" s="123" t="str">
        <f>IFERROR(VLOOKUP(C2142,'CEDARS School FRPL'!C:H,6,FALSE),"No")</f>
        <v>No</v>
      </c>
      <c r="O2142" s="147"/>
      <c r="P2142" s="148"/>
    </row>
    <row r="2143" spans="1:16">
      <c r="A2143" s="95" t="s">
        <v>2506</v>
      </c>
      <c r="B2143" s="95" t="s">
        <v>1932</v>
      </c>
      <c r="C2143" s="4">
        <v>1932</v>
      </c>
      <c r="D2143" s="95" t="s">
        <v>1933</v>
      </c>
      <c r="E2143" s="145">
        <v>871.94</v>
      </c>
      <c r="F2143" s="145">
        <v>0</v>
      </c>
      <c r="G2143" s="145">
        <v>0</v>
      </c>
      <c r="H2143" s="145">
        <v>0</v>
      </c>
      <c r="I2143" s="77">
        <f t="shared" si="36"/>
        <v>871.94</v>
      </c>
      <c r="J2143" s="123" t="str">
        <f>IFERROR(VLOOKUP($C2143,'CEDARS School FRPL'!C:H,4,FALSE),"No")</f>
        <v>No</v>
      </c>
      <c r="K2143" s="109"/>
      <c r="L2143" s="109"/>
      <c r="M2143" s="110">
        <f>IFERROR(VLOOKUP($C2143,'CEDARS School FRPL'!C:H,3,FALSE),0)</f>
        <v>7.3999999999999996E-2</v>
      </c>
      <c r="N2143" s="123" t="str">
        <f>IFERROR(VLOOKUP(C2143,'CEDARS School FRPL'!C:H,6,FALSE),"No")</f>
        <v>No</v>
      </c>
      <c r="O2143" s="147"/>
      <c r="P2143" s="148"/>
    </row>
    <row r="2144" spans="1:16">
      <c r="A2144" s="95" t="s">
        <v>2506</v>
      </c>
      <c r="B2144" s="95" t="s">
        <v>1932</v>
      </c>
      <c r="C2144" s="4">
        <v>2405</v>
      </c>
      <c r="D2144" s="95" t="s">
        <v>1934</v>
      </c>
      <c r="E2144" s="145">
        <v>183.37</v>
      </c>
      <c r="F2144" s="145">
        <v>0</v>
      </c>
      <c r="G2144" s="145">
        <v>0</v>
      </c>
      <c r="H2144" s="145">
        <v>0</v>
      </c>
      <c r="I2144" s="77">
        <f t="shared" si="36"/>
        <v>183.37</v>
      </c>
      <c r="J2144" s="123" t="str">
        <f>IFERROR(VLOOKUP($C2144,'CEDARS School FRPL'!C:H,4,FALSE),"No")</f>
        <v>Yes</v>
      </c>
      <c r="K2144" s="109"/>
      <c r="L2144" s="109"/>
      <c r="M2144" s="110">
        <f>IFERROR(VLOOKUP($C2144,'CEDARS School FRPL'!C:H,3,FALSE),0)</f>
        <v>0.74960000000000004</v>
      </c>
      <c r="N2144" s="123" t="str">
        <f>IFERROR(VLOOKUP(C2144,'CEDARS School FRPL'!C:H,6,FALSE),"No")</f>
        <v>No</v>
      </c>
      <c r="O2144" s="147"/>
      <c r="P2144" s="148"/>
    </row>
    <row r="2145" spans="1:16">
      <c r="A2145" s="95" t="s">
        <v>2506</v>
      </c>
      <c r="B2145" s="95" t="s">
        <v>1932</v>
      </c>
      <c r="C2145" s="4">
        <v>5223</v>
      </c>
      <c r="D2145" s="95" t="s">
        <v>1935</v>
      </c>
      <c r="E2145" s="145">
        <v>70.569999999999993</v>
      </c>
      <c r="F2145" s="145">
        <v>1.67</v>
      </c>
      <c r="G2145" s="145">
        <v>0</v>
      </c>
      <c r="H2145" s="145">
        <v>0</v>
      </c>
      <c r="I2145" s="77">
        <f t="shared" si="36"/>
        <v>72.239999999999995</v>
      </c>
      <c r="J2145" s="123" t="str">
        <f>IFERROR(VLOOKUP($C2145,'CEDARS School FRPL'!C:H,4,FALSE),"No")</f>
        <v>Yes</v>
      </c>
      <c r="K2145" s="109"/>
      <c r="L2145" s="109"/>
      <c r="M2145" s="110">
        <f>IFERROR(VLOOKUP($C2145,'CEDARS School FRPL'!C:H,3,FALSE),0)</f>
        <v>0.63870000000000005</v>
      </c>
      <c r="N2145" s="123" t="str">
        <f>IFERROR(VLOOKUP(C2145,'CEDARS School FRPL'!C:H,6,FALSE),"No")</f>
        <v>No</v>
      </c>
      <c r="O2145" s="147"/>
      <c r="P2145" s="148"/>
    </row>
    <row r="2146" spans="1:16">
      <c r="A2146" s="95" t="s">
        <v>2283</v>
      </c>
      <c r="B2146" s="95" t="s">
        <v>164</v>
      </c>
      <c r="C2146" s="4">
        <v>1574</v>
      </c>
      <c r="D2146" s="95" t="s">
        <v>165</v>
      </c>
      <c r="E2146" s="145">
        <v>52.26</v>
      </c>
      <c r="F2146" s="145">
        <v>0</v>
      </c>
      <c r="G2146" s="145">
        <v>0</v>
      </c>
      <c r="H2146" s="145">
        <v>0</v>
      </c>
      <c r="I2146" s="77">
        <f t="shared" si="36"/>
        <v>52.26</v>
      </c>
      <c r="J2146" s="123" t="str">
        <f>IFERROR(VLOOKUP($C2146,'CEDARS School FRPL'!C:H,4,FALSE),"No")</f>
        <v>Yes</v>
      </c>
      <c r="K2146" s="109"/>
      <c r="L2146" s="109"/>
      <c r="M2146" s="110">
        <f>IFERROR(VLOOKUP($C2146,'CEDARS School FRPL'!C:H,3,FALSE),0)</f>
        <v>0.80776666666666663</v>
      </c>
      <c r="N2146" s="123" t="str">
        <f>IFERROR(VLOOKUP(C2146,'CEDARS School FRPL'!C:H,6,FALSE),"No")</f>
        <v>No</v>
      </c>
      <c r="O2146" s="147"/>
      <c r="P2146" s="148"/>
    </row>
    <row r="2147" spans="1:16">
      <c r="A2147" s="95" t="s">
        <v>2283</v>
      </c>
      <c r="B2147" s="95" t="s">
        <v>164</v>
      </c>
      <c r="C2147" s="4">
        <v>1689</v>
      </c>
      <c r="D2147" s="95" t="s">
        <v>166</v>
      </c>
      <c r="E2147" s="145">
        <v>681.11</v>
      </c>
      <c r="F2147" s="145">
        <v>0</v>
      </c>
      <c r="G2147" s="145">
        <v>0</v>
      </c>
      <c r="H2147" s="145">
        <v>0</v>
      </c>
      <c r="I2147" s="77">
        <f t="shared" si="36"/>
        <v>681.11</v>
      </c>
      <c r="J2147" s="123" t="str">
        <f>IFERROR(VLOOKUP($C2147,'CEDARS School FRPL'!C:H,4,FALSE),"No")</f>
        <v>No</v>
      </c>
      <c r="K2147" s="109"/>
      <c r="L2147" s="109"/>
      <c r="M2147" s="110">
        <f>IFERROR(VLOOKUP($C2147,'CEDARS School FRPL'!C:H,3,FALSE),0)</f>
        <v>0.22923333333333332</v>
      </c>
      <c r="N2147" s="123" t="str">
        <f>IFERROR(VLOOKUP(C2147,'CEDARS School FRPL'!C:H,6,FALSE),"No")</f>
        <v>No</v>
      </c>
      <c r="O2147" s="147"/>
      <c r="P2147" s="148"/>
    </row>
    <row r="2148" spans="1:16">
      <c r="A2148" s="95" t="s">
        <v>2283</v>
      </c>
      <c r="B2148" s="95" t="s">
        <v>164</v>
      </c>
      <c r="C2148" s="4">
        <v>1738</v>
      </c>
      <c r="D2148" s="95" t="s">
        <v>167</v>
      </c>
      <c r="E2148" s="145">
        <v>42.14</v>
      </c>
      <c r="F2148" s="145">
        <v>0</v>
      </c>
      <c r="G2148" s="145">
        <v>0</v>
      </c>
      <c r="H2148" s="145">
        <v>0</v>
      </c>
      <c r="I2148" s="77">
        <f t="shared" si="36"/>
        <v>42.14</v>
      </c>
      <c r="J2148" s="123" t="str">
        <f>IFERROR(VLOOKUP($C2148,'CEDARS School FRPL'!C:H,4,FALSE),"No")</f>
        <v>Yes</v>
      </c>
      <c r="K2148" s="109"/>
      <c r="L2148" s="109"/>
      <c r="M2148" s="110">
        <f>IFERROR(VLOOKUP($C2148,'CEDARS School FRPL'!C:H,3,FALSE),0)</f>
        <v>0.55356666666666665</v>
      </c>
      <c r="N2148" s="123" t="str">
        <f>IFERROR(VLOOKUP(C2148,'CEDARS School FRPL'!C:H,6,FALSE),"No")</f>
        <v>No</v>
      </c>
      <c r="O2148" s="147"/>
      <c r="P2148" s="148"/>
    </row>
    <row r="2149" spans="1:16">
      <c r="A2149" s="95" t="s">
        <v>2283</v>
      </c>
      <c r="B2149" s="95" t="s">
        <v>164</v>
      </c>
      <c r="C2149" s="4">
        <v>2179</v>
      </c>
      <c r="D2149" s="95" t="s">
        <v>168</v>
      </c>
      <c r="E2149" s="145">
        <v>1429.83</v>
      </c>
      <c r="F2149" s="145">
        <v>49.019999999999996</v>
      </c>
      <c r="G2149" s="145">
        <v>0</v>
      </c>
      <c r="H2149" s="145">
        <v>0</v>
      </c>
      <c r="I2149" s="77">
        <f t="shared" si="36"/>
        <v>1478.85</v>
      </c>
      <c r="J2149" s="123" t="str">
        <f>IFERROR(VLOOKUP($C2149,'CEDARS School FRPL'!C:H,4,FALSE),"No")</f>
        <v>Yes</v>
      </c>
      <c r="K2149" s="109"/>
      <c r="L2149" s="109"/>
      <c r="M2149" s="110">
        <f>IFERROR(VLOOKUP($C2149,'CEDARS School FRPL'!C:H,3,FALSE),0)</f>
        <v>0.69209999999999994</v>
      </c>
      <c r="N2149" s="123" t="str">
        <f>IFERROR(VLOOKUP(C2149,'CEDARS School FRPL'!C:H,6,FALSE),"No")</f>
        <v>No</v>
      </c>
      <c r="O2149" s="147"/>
      <c r="P2149" s="148"/>
    </row>
    <row r="2150" spans="1:16">
      <c r="A2150" s="95" t="s">
        <v>2283</v>
      </c>
      <c r="B2150" s="95" t="s">
        <v>164</v>
      </c>
      <c r="C2150" s="4">
        <v>2318</v>
      </c>
      <c r="D2150" s="95" t="s">
        <v>50</v>
      </c>
      <c r="E2150" s="145">
        <v>332.31</v>
      </c>
      <c r="F2150" s="145">
        <v>0</v>
      </c>
      <c r="G2150" s="145">
        <v>0</v>
      </c>
      <c r="H2150" s="145">
        <v>0</v>
      </c>
      <c r="I2150" s="77">
        <f t="shared" si="36"/>
        <v>332.31</v>
      </c>
      <c r="J2150" s="123" t="str">
        <f>IFERROR(VLOOKUP($C2150,'CEDARS School FRPL'!C:H,4,FALSE),"No")</f>
        <v>Yes</v>
      </c>
      <c r="K2150" s="109"/>
      <c r="L2150" s="109"/>
      <c r="M2150" s="110">
        <f>IFERROR(VLOOKUP($C2150,'CEDARS School FRPL'!C:H,3,FALSE),0)</f>
        <v>0.52633333333333332</v>
      </c>
      <c r="N2150" s="123" t="str">
        <f>IFERROR(VLOOKUP(C2150,'CEDARS School FRPL'!C:H,6,FALSE),"No")</f>
        <v>No</v>
      </c>
      <c r="O2150" s="147"/>
      <c r="P2150" s="148"/>
    </row>
    <row r="2151" spans="1:16">
      <c r="A2151" s="95" t="s">
        <v>2283</v>
      </c>
      <c r="B2151" s="95" t="s">
        <v>164</v>
      </c>
      <c r="C2151" s="4">
        <v>2610</v>
      </c>
      <c r="D2151" s="95" t="s">
        <v>169</v>
      </c>
      <c r="E2151" s="145">
        <v>271.70999999999998</v>
      </c>
      <c r="F2151" s="145">
        <v>0</v>
      </c>
      <c r="G2151" s="145">
        <v>0</v>
      </c>
      <c r="H2151" s="145">
        <v>0</v>
      </c>
      <c r="I2151" s="77">
        <f t="shared" si="36"/>
        <v>271.70999999999998</v>
      </c>
      <c r="J2151" s="123" t="str">
        <f>IFERROR(VLOOKUP($C2151,'CEDARS School FRPL'!C:H,4,FALSE),"No")</f>
        <v>No</v>
      </c>
      <c r="K2151" s="109"/>
      <c r="L2151" s="109"/>
      <c r="M2151" s="110">
        <f>IFERROR(VLOOKUP($C2151,'CEDARS School FRPL'!C:H,3,FALSE),0)</f>
        <v>0.49856666666666666</v>
      </c>
      <c r="N2151" s="123" t="str">
        <f>IFERROR(VLOOKUP(C2151,'CEDARS School FRPL'!C:H,6,FALSE),"No")</f>
        <v>No</v>
      </c>
      <c r="O2151" s="147"/>
      <c r="P2151" s="148"/>
    </row>
    <row r="2152" spans="1:16">
      <c r="A2152" s="95" t="s">
        <v>2283</v>
      </c>
      <c r="B2152" s="95" t="s">
        <v>164</v>
      </c>
      <c r="C2152" s="4">
        <v>2637</v>
      </c>
      <c r="D2152" s="95" t="s">
        <v>170</v>
      </c>
      <c r="E2152" s="145">
        <v>168</v>
      </c>
      <c r="F2152" s="145">
        <v>0</v>
      </c>
      <c r="G2152" s="145">
        <v>0</v>
      </c>
      <c r="H2152" s="145">
        <v>0</v>
      </c>
      <c r="I2152" s="77">
        <f t="shared" si="36"/>
        <v>168</v>
      </c>
      <c r="J2152" s="123" t="str">
        <f>IFERROR(VLOOKUP($C2152,'CEDARS School FRPL'!C:H,4,FALSE),"No")</f>
        <v>Yes</v>
      </c>
      <c r="K2152" s="109"/>
      <c r="L2152" s="109"/>
      <c r="M2152" s="110">
        <f>IFERROR(VLOOKUP($C2152,'CEDARS School FRPL'!C:H,3,FALSE),0)</f>
        <v>0.79570000000000007</v>
      </c>
      <c r="N2152" s="123" t="str">
        <f>IFERROR(VLOOKUP(C2152,'CEDARS School FRPL'!C:H,6,FALSE),"No")</f>
        <v>No</v>
      </c>
      <c r="O2152" s="147"/>
      <c r="P2152" s="148"/>
    </row>
    <row r="2153" spans="1:16">
      <c r="A2153" s="95" t="s">
        <v>2283</v>
      </c>
      <c r="B2153" s="95" t="s">
        <v>164</v>
      </c>
      <c r="C2153" s="4">
        <v>2643</v>
      </c>
      <c r="D2153" s="95" t="s">
        <v>171</v>
      </c>
      <c r="E2153" s="145">
        <v>519.03</v>
      </c>
      <c r="F2153" s="145">
        <v>0</v>
      </c>
      <c r="G2153" s="145">
        <v>0</v>
      </c>
      <c r="H2153" s="145">
        <v>0</v>
      </c>
      <c r="I2153" s="77">
        <f t="shared" si="36"/>
        <v>519.03</v>
      </c>
      <c r="J2153" s="123" t="str">
        <f>IFERROR(VLOOKUP($C2153,'CEDARS School FRPL'!C:H,4,FALSE),"No")</f>
        <v>Yes</v>
      </c>
      <c r="K2153" s="109"/>
      <c r="L2153" s="109"/>
      <c r="M2153" s="110">
        <f>IFERROR(VLOOKUP($C2153,'CEDARS School FRPL'!C:H,3,FALSE),0)</f>
        <v>0.55549999999999999</v>
      </c>
      <c r="N2153" s="123" t="str">
        <f>IFERROR(VLOOKUP(C2153,'CEDARS School FRPL'!C:H,6,FALSE),"No")</f>
        <v>No</v>
      </c>
      <c r="O2153" s="147"/>
      <c r="P2153" s="148"/>
    </row>
    <row r="2154" spans="1:16">
      <c r="A2154" s="95" t="s">
        <v>2283</v>
      </c>
      <c r="B2154" s="95" t="s">
        <v>164</v>
      </c>
      <c r="C2154" s="4">
        <v>2644</v>
      </c>
      <c r="D2154" s="95" t="s">
        <v>172</v>
      </c>
      <c r="E2154" s="145">
        <v>569.97</v>
      </c>
      <c r="F2154" s="145">
        <v>0</v>
      </c>
      <c r="G2154" s="145">
        <v>0</v>
      </c>
      <c r="H2154" s="145">
        <v>0</v>
      </c>
      <c r="I2154" s="77">
        <f t="shared" si="36"/>
        <v>569.97</v>
      </c>
      <c r="J2154" s="123" t="str">
        <f>IFERROR(VLOOKUP($C2154,'CEDARS School FRPL'!C:H,4,FALSE),"No")</f>
        <v>Yes</v>
      </c>
      <c r="K2154" s="109"/>
      <c r="L2154" s="109"/>
      <c r="M2154" s="110">
        <f>IFERROR(VLOOKUP($C2154,'CEDARS School FRPL'!C:H,3,FALSE),0)</f>
        <v>0.68900000000000006</v>
      </c>
      <c r="N2154" s="123" t="str">
        <f>IFERROR(VLOOKUP(C2154,'CEDARS School FRPL'!C:H,6,FALSE),"No")</f>
        <v>No</v>
      </c>
      <c r="O2154" s="147"/>
      <c r="P2154" s="148"/>
    </row>
    <row r="2155" spans="1:16">
      <c r="A2155" s="95" t="s">
        <v>2283</v>
      </c>
      <c r="B2155" s="95" t="s">
        <v>164</v>
      </c>
      <c r="C2155" s="4">
        <v>2690</v>
      </c>
      <c r="D2155" s="95" t="s">
        <v>173</v>
      </c>
      <c r="E2155" s="145">
        <v>356.4</v>
      </c>
      <c r="F2155" s="145">
        <v>0</v>
      </c>
      <c r="G2155" s="145">
        <v>0</v>
      </c>
      <c r="H2155" s="145">
        <v>0</v>
      </c>
      <c r="I2155" s="77">
        <f t="shared" si="36"/>
        <v>356.4</v>
      </c>
      <c r="J2155" s="123" t="str">
        <f>IFERROR(VLOOKUP($C2155,'CEDARS School FRPL'!C:H,4,FALSE),"No")</f>
        <v>Yes</v>
      </c>
      <c r="K2155" s="109"/>
      <c r="L2155" s="109"/>
      <c r="M2155" s="110">
        <f>IFERROR(VLOOKUP($C2155,'CEDARS School FRPL'!C:H,3,FALSE),0)</f>
        <v>0.58353333333333335</v>
      </c>
      <c r="N2155" s="123" t="str">
        <f>IFERROR(VLOOKUP(C2155,'CEDARS School FRPL'!C:H,6,FALSE),"No")</f>
        <v>No</v>
      </c>
      <c r="O2155" s="147"/>
      <c r="P2155" s="148"/>
    </row>
    <row r="2156" spans="1:16">
      <c r="A2156" s="95" t="s">
        <v>2283</v>
      </c>
      <c r="B2156" s="95" t="s">
        <v>164</v>
      </c>
      <c r="C2156" s="4">
        <v>2723</v>
      </c>
      <c r="D2156" s="95" t="s">
        <v>174</v>
      </c>
      <c r="E2156" s="145">
        <v>459.3</v>
      </c>
      <c r="F2156" s="145">
        <v>0</v>
      </c>
      <c r="G2156" s="145">
        <v>0</v>
      </c>
      <c r="H2156" s="145">
        <v>0</v>
      </c>
      <c r="I2156" s="77">
        <f t="shared" si="36"/>
        <v>459.3</v>
      </c>
      <c r="J2156" s="123" t="str">
        <f>IFERROR(VLOOKUP($C2156,'CEDARS School FRPL'!C:H,4,FALSE),"No")</f>
        <v>Yes</v>
      </c>
      <c r="K2156" s="109"/>
      <c r="L2156" s="109"/>
      <c r="M2156" s="110">
        <f>IFERROR(VLOOKUP($C2156,'CEDARS School FRPL'!C:H,3,FALSE),0)</f>
        <v>0.51553333333333329</v>
      </c>
      <c r="N2156" s="123" t="str">
        <f>IFERROR(VLOOKUP(C2156,'CEDARS School FRPL'!C:H,6,FALSE),"No")</f>
        <v>No</v>
      </c>
      <c r="O2156" s="147"/>
      <c r="P2156" s="148"/>
    </row>
    <row r="2157" spans="1:16">
      <c r="A2157" s="95" t="s">
        <v>2283</v>
      </c>
      <c r="B2157" s="95" t="s">
        <v>164</v>
      </c>
      <c r="C2157" s="4">
        <v>2828</v>
      </c>
      <c r="D2157" s="95" t="s">
        <v>175</v>
      </c>
      <c r="E2157" s="145">
        <v>614.19000000000005</v>
      </c>
      <c r="F2157" s="145">
        <v>0</v>
      </c>
      <c r="G2157" s="145">
        <v>0</v>
      </c>
      <c r="H2157" s="145">
        <v>0</v>
      </c>
      <c r="I2157" s="77">
        <f t="shared" si="36"/>
        <v>614.19000000000005</v>
      </c>
      <c r="J2157" s="123" t="str">
        <f>IFERROR(VLOOKUP($C2157,'CEDARS School FRPL'!C:H,4,FALSE),"No")</f>
        <v>Yes</v>
      </c>
      <c r="K2157" s="109"/>
      <c r="L2157" s="109"/>
      <c r="M2157" s="110">
        <f>IFERROR(VLOOKUP($C2157,'CEDARS School FRPL'!C:H,3,FALSE),0)</f>
        <v>0.56386666666666674</v>
      </c>
      <c r="N2157" s="123" t="str">
        <f>IFERROR(VLOOKUP(C2157,'CEDARS School FRPL'!C:H,6,FALSE),"No")</f>
        <v>No</v>
      </c>
      <c r="O2157" s="147"/>
      <c r="P2157" s="148"/>
    </row>
    <row r="2158" spans="1:16">
      <c r="A2158" s="95" t="s">
        <v>2283</v>
      </c>
      <c r="B2158" s="95" t="s">
        <v>164</v>
      </c>
      <c r="C2158" s="4">
        <v>2964</v>
      </c>
      <c r="D2158" s="95" t="s">
        <v>176</v>
      </c>
      <c r="E2158" s="145">
        <v>400.57</v>
      </c>
      <c r="F2158" s="145">
        <v>0</v>
      </c>
      <c r="G2158" s="145">
        <v>0</v>
      </c>
      <c r="H2158" s="145">
        <v>0</v>
      </c>
      <c r="I2158" s="77">
        <f t="shared" si="36"/>
        <v>400.57</v>
      </c>
      <c r="J2158" s="123" t="str">
        <f>IFERROR(VLOOKUP($C2158,'CEDARS School FRPL'!C:H,4,FALSE),"No")</f>
        <v>No</v>
      </c>
      <c r="K2158" s="109"/>
      <c r="L2158" s="109"/>
      <c r="M2158" s="110">
        <f>IFERROR(VLOOKUP($C2158,'CEDARS School FRPL'!C:H,3,FALSE),0)</f>
        <v>0.30196666666666666</v>
      </c>
      <c r="N2158" s="123" t="str">
        <f>IFERROR(VLOOKUP(C2158,'CEDARS School FRPL'!C:H,6,FALSE),"No")</f>
        <v>No</v>
      </c>
      <c r="O2158" s="147"/>
      <c r="P2158" s="148"/>
    </row>
    <row r="2159" spans="1:16">
      <c r="A2159" s="95" t="s">
        <v>2283</v>
      </c>
      <c r="B2159" s="95" t="s">
        <v>164</v>
      </c>
      <c r="C2159" s="4">
        <v>3016</v>
      </c>
      <c r="D2159" s="95" t="s">
        <v>177</v>
      </c>
      <c r="E2159" s="145">
        <v>637.16</v>
      </c>
      <c r="F2159" s="145">
        <v>0</v>
      </c>
      <c r="G2159" s="145">
        <v>0</v>
      </c>
      <c r="H2159" s="145">
        <v>0</v>
      </c>
      <c r="I2159" s="77">
        <f t="shared" si="36"/>
        <v>637.16</v>
      </c>
      <c r="J2159" s="123" t="str">
        <f>IFERROR(VLOOKUP($C2159,'CEDARS School FRPL'!C:H,4,FALSE),"No")</f>
        <v>Yes</v>
      </c>
      <c r="K2159" s="109"/>
      <c r="L2159" s="109"/>
      <c r="M2159" s="110">
        <f>IFERROR(VLOOKUP($C2159,'CEDARS School FRPL'!C:H,3,FALSE),0)</f>
        <v>0.51313333333333333</v>
      </c>
      <c r="N2159" s="123" t="str">
        <f>IFERROR(VLOOKUP(C2159,'CEDARS School FRPL'!C:H,6,FALSE),"No")</f>
        <v>No</v>
      </c>
      <c r="O2159" s="147"/>
      <c r="P2159" s="148"/>
    </row>
    <row r="2160" spans="1:16">
      <c r="A2160" s="95" t="s">
        <v>2283</v>
      </c>
      <c r="B2160" s="95" t="s">
        <v>164</v>
      </c>
      <c r="C2160" s="4">
        <v>3017</v>
      </c>
      <c r="D2160" s="95" t="s">
        <v>178</v>
      </c>
      <c r="E2160" s="145">
        <v>382.73</v>
      </c>
      <c r="F2160" s="145">
        <v>0</v>
      </c>
      <c r="G2160" s="145">
        <v>0</v>
      </c>
      <c r="H2160" s="145">
        <v>0</v>
      </c>
      <c r="I2160" s="77">
        <f t="shared" si="36"/>
        <v>382.73</v>
      </c>
      <c r="J2160" s="123" t="str">
        <f>IFERROR(VLOOKUP($C2160,'CEDARS School FRPL'!C:H,4,FALSE),"No")</f>
        <v>No</v>
      </c>
      <c r="K2160" s="109"/>
      <c r="L2160" s="109"/>
      <c r="M2160" s="110">
        <f>IFERROR(VLOOKUP($C2160,'CEDARS School FRPL'!C:H,3,FALSE),0)</f>
        <v>0.27286666666666665</v>
      </c>
      <c r="N2160" s="123" t="str">
        <f>IFERROR(VLOOKUP(C2160,'CEDARS School FRPL'!C:H,6,FALSE),"No")</f>
        <v>No</v>
      </c>
      <c r="O2160" s="147"/>
      <c r="P2160" s="148"/>
    </row>
    <row r="2161" spans="1:16">
      <c r="A2161" s="95" t="s">
        <v>2283</v>
      </c>
      <c r="B2161" s="95" t="s">
        <v>164</v>
      </c>
      <c r="C2161" s="4">
        <v>3080</v>
      </c>
      <c r="D2161" s="95" t="s">
        <v>179</v>
      </c>
      <c r="E2161" s="145">
        <v>339.31</v>
      </c>
      <c r="F2161" s="145">
        <v>0</v>
      </c>
      <c r="G2161" s="145">
        <v>0</v>
      </c>
      <c r="H2161" s="145">
        <v>0</v>
      </c>
      <c r="I2161" s="77">
        <f t="shared" si="36"/>
        <v>339.31</v>
      </c>
      <c r="J2161" s="123" t="str">
        <f>IFERROR(VLOOKUP($C2161,'CEDARS School FRPL'!C:H,4,FALSE),"No")</f>
        <v>No</v>
      </c>
      <c r="K2161" s="109"/>
      <c r="L2161" s="109"/>
      <c r="M2161" s="110">
        <f>IFERROR(VLOOKUP($C2161,'CEDARS School FRPL'!C:H,3,FALSE),0)</f>
        <v>0.17250000000000001</v>
      </c>
      <c r="N2161" s="123" t="str">
        <f>IFERROR(VLOOKUP(C2161,'CEDARS School FRPL'!C:H,6,FALSE),"No")</f>
        <v>No</v>
      </c>
      <c r="O2161" s="147"/>
      <c r="P2161" s="148"/>
    </row>
    <row r="2162" spans="1:16">
      <c r="A2162" s="95" t="s">
        <v>2283</v>
      </c>
      <c r="B2162" s="95" t="s">
        <v>164</v>
      </c>
      <c r="C2162" s="4">
        <v>3081</v>
      </c>
      <c r="D2162" s="95" t="s">
        <v>180</v>
      </c>
      <c r="E2162" s="145">
        <v>1060</v>
      </c>
      <c r="F2162" s="145">
        <v>44.760000000000005</v>
      </c>
      <c r="G2162" s="145">
        <v>0</v>
      </c>
      <c r="H2162" s="145">
        <v>0</v>
      </c>
      <c r="I2162" s="77">
        <f t="shared" si="36"/>
        <v>1104.76</v>
      </c>
      <c r="J2162" s="123" t="str">
        <f>IFERROR(VLOOKUP($C2162,'CEDARS School FRPL'!C:H,4,FALSE),"No")</f>
        <v>Yes</v>
      </c>
      <c r="K2162" s="109"/>
      <c r="L2162" s="109"/>
      <c r="M2162" s="110">
        <f>IFERROR(VLOOKUP($C2162,'CEDARS School FRPL'!C:H,3,FALSE),0)</f>
        <v>0.61996666666666667</v>
      </c>
      <c r="N2162" s="123" t="str">
        <f>IFERROR(VLOOKUP(C2162,'CEDARS School FRPL'!C:H,6,FALSE),"No")</f>
        <v>No</v>
      </c>
      <c r="O2162" s="147"/>
      <c r="P2162" s="148"/>
    </row>
    <row r="2163" spans="1:16">
      <c r="A2163" s="95" t="s">
        <v>2283</v>
      </c>
      <c r="B2163" s="95" t="s">
        <v>164</v>
      </c>
      <c r="C2163" s="4">
        <v>3146</v>
      </c>
      <c r="D2163" s="95" t="s">
        <v>181</v>
      </c>
      <c r="E2163" s="145">
        <v>934.42</v>
      </c>
      <c r="F2163" s="145">
        <v>0</v>
      </c>
      <c r="G2163" s="145">
        <v>0</v>
      </c>
      <c r="H2163" s="145">
        <v>0</v>
      </c>
      <c r="I2163" s="77">
        <f t="shared" si="36"/>
        <v>934.42</v>
      </c>
      <c r="J2163" s="123" t="str">
        <f>IFERROR(VLOOKUP($C2163,'CEDARS School FRPL'!C:H,4,FALSE),"No")</f>
        <v>Yes</v>
      </c>
      <c r="K2163" s="109"/>
      <c r="L2163" s="109"/>
      <c r="M2163" s="110">
        <f>IFERROR(VLOOKUP($C2163,'CEDARS School FRPL'!C:H,3,FALSE),0)</f>
        <v>0.77190000000000003</v>
      </c>
      <c r="N2163" s="123" t="str">
        <f>IFERROR(VLOOKUP(C2163,'CEDARS School FRPL'!C:H,6,FALSE),"No")</f>
        <v>No</v>
      </c>
      <c r="O2163" s="147"/>
      <c r="P2163" s="148"/>
    </row>
    <row r="2164" spans="1:16">
      <c r="A2164" s="95" t="s">
        <v>2283</v>
      </c>
      <c r="B2164" s="95" t="s">
        <v>164</v>
      </c>
      <c r="C2164" s="4">
        <v>3423</v>
      </c>
      <c r="D2164" s="95" t="s">
        <v>182</v>
      </c>
      <c r="E2164" s="145">
        <v>1055.44</v>
      </c>
      <c r="F2164" s="145">
        <v>84.87</v>
      </c>
      <c r="G2164" s="145">
        <v>0</v>
      </c>
      <c r="H2164" s="145">
        <v>0</v>
      </c>
      <c r="I2164" s="77">
        <f t="shared" si="36"/>
        <v>1140.31</v>
      </c>
      <c r="J2164" s="123" t="str">
        <f>IFERROR(VLOOKUP($C2164,'CEDARS School FRPL'!C:H,4,FALSE),"No")</f>
        <v>No</v>
      </c>
      <c r="K2164" s="109"/>
      <c r="L2164" s="109"/>
      <c r="M2164" s="110">
        <f>IFERROR(VLOOKUP($C2164,'CEDARS School FRPL'!C:H,3,FALSE),0)</f>
        <v>0.23563333333333333</v>
      </c>
      <c r="N2164" s="123" t="str">
        <f>IFERROR(VLOOKUP(C2164,'CEDARS School FRPL'!C:H,6,FALSE),"No")</f>
        <v>No</v>
      </c>
      <c r="O2164" s="147"/>
      <c r="P2164" s="148"/>
    </row>
    <row r="2165" spans="1:16">
      <c r="A2165" s="95" t="s">
        <v>2283</v>
      </c>
      <c r="B2165" s="95" t="s">
        <v>164</v>
      </c>
      <c r="C2165" s="4">
        <v>3424</v>
      </c>
      <c r="D2165" s="95" t="s">
        <v>183</v>
      </c>
      <c r="E2165" s="145">
        <v>328.57</v>
      </c>
      <c r="F2165" s="145">
        <v>0</v>
      </c>
      <c r="G2165" s="145">
        <v>0</v>
      </c>
      <c r="H2165" s="145">
        <v>0</v>
      </c>
      <c r="I2165" s="77">
        <f t="shared" si="36"/>
        <v>328.57</v>
      </c>
      <c r="J2165" s="123" t="str">
        <f>IFERROR(VLOOKUP($C2165,'CEDARS School FRPL'!C:H,4,FALSE),"No")</f>
        <v>Yes</v>
      </c>
      <c r="K2165" s="109"/>
      <c r="L2165" s="109"/>
      <c r="M2165" s="110">
        <f>IFERROR(VLOOKUP($C2165,'CEDARS School FRPL'!C:H,3,FALSE),0)</f>
        <v>0.66320000000000001</v>
      </c>
      <c r="N2165" s="123" t="str">
        <f>IFERROR(VLOOKUP(C2165,'CEDARS School FRPL'!C:H,6,FALSE),"No")</f>
        <v>No</v>
      </c>
      <c r="O2165" s="147"/>
      <c r="P2165" s="148"/>
    </row>
    <row r="2166" spans="1:16">
      <c r="A2166" s="95" t="s">
        <v>2283</v>
      </c>
      <c r="B2166" s="95" t="s">
        <v>164</v>
      </c>
      <c r="C2166" s="4">
        <v>3543</v>
      </c>
      <c r="D2166" s="95" t="s">
        <v>184</v>
      </c>
      <c r="E2166" s="145">
        <v>580.07000000000005</v>
      </c>
      <c r="F2166" s="145">
        <v>0</v>
      </c>
      <c r="G2166" s="145">
        <v>0</v>
      </c>
      <c r="H2166" s="145">
        <v>0</v>
      </c>
      <c r="I2166" s="77">
        <f t="shared" si="36"/>
        <v>580.07000000000005</v>
      </c>
      <c r="J2166" s="123" t="str">
        <f>IFERROR(VLOOKUP($C2166,'CEDARS School FRPL'!C:H,4,FALSE),"No")</f>
        <v>Yes</v>
      </c>
      <c r="K2166" s="109"/>
      <c r="L2166" s="109"/>
      <c r="M2166" s="110">
        <f>IFERROR(VLOOKUP($C2166,'CEDARS School FRPL'!C:H,3,FALSE),0)</f>
        <v>0.50183333333333335</v>
      </c>
      <c r="N2166" s="123" t="str">
        <f>IFERROR(VLOOKUP(C2166,'CEDARS School FRPL'!C:H,6,FALSE),"No")</f>
        <v>No</v>
      </c>
      <c r="O2166" s="147"/>
      <c r="P2166" s="148"/>
    </row>
    <row r="2167" spans="1:16">
      <c r="A2167" s="95" t="s">
        <v>2283</v>
      </c>
      <c r="B2167" s="95" t="s">
        <v>164</v>
      </c>
      <c r="C2167" s="4">
        <v>3556</v>
      </c>
      <c r="D2167" s="95" t="s">
        <v>185</v>
      </c>
      <c r="E2167" s="145">
        <v>142.51</v>
      </c>
      <c r="F2167" s="145">
        <v>0</v>
      </c>
      <c r="G2167" s="145">
        <v>0</v>
      </c>
      <c r="H2167" s="145">
        <v>0</v>
      </c>
      <c r="I2167" s="77">
        <f t="shared" si="36"/>
        <v>142.51</v>
      </c>
      <c r="J2167" s="123" t="str">
        <f>IFERROR(VLOOKUP($C2167,'CEDARS School FRPL'!C:H,4,FALSE),"No")</f>
        <v>No</v>
      </c>
      <c r="K2167" s="109"/>
      <c r="L2167" s="109"/>
      <c r="M2167" s="110">
        <f>IFERROR(VLOOKUP($C2167,'CEDARS School FRPL'!C:H,3,FALSE),0)</f>
        <v>0.44883333333333336</v>
      </c>
      <c r="N2167" s="123" t="str">
        <f>IFERROR(VLOOKUP(C2167,'CEDARS School FRPL'!C:H,6,FALSE),"No")</f>
        <v>No</v>
      </c>
      <c r="O2167" s="147"/>
      <c r="P2167" s="148"/>
    </row>
    <row r="2168" spans="1:16">
      <c r="A2168" s="95" t="s">
        <v>2283</v>
      </c>
      <c r="B2168" s="95" t="s">
        <v>164</v>
      </c>
      <c r="C2168" s="4">
        <v>3565</v>
      </c>
      <c r="D2168" s="95" t="s">
        <v>186</v>
      </c>
      <c r="E2168" s="145">
        <v>252.45</v>
      </c>
      <c r="F2168" s="145">
        <v>0</v>
      </c>
      <c r="G2168" s="145">
        <v>0</v>
      </c>
      <c r="H2168" s="145">
        <v>0</v>
      </c>
      <c r="I2168" s="77">
        <f t="shared" si="36"/>
        <v>252.45</v>
      </c>
      <c r="J2168" s="123" t="str">
        <f>IFERROR(VLOOKUP($C2168,'CEDARS School FRPL'!C:H,4,FALSE),"No")</f>
        <v>Yes</v>
      </c>
      <c r="K2168" s="109"/>
      <c r="L2168" s="109"/>
      <c r="M2168" s="110">
        <f>IFERROR(VLOOKUP($C2168,'CEDARS School FRPL'!C:H,3,FALSE),0)</f>
        <v>0.76016666666666666</v>
      </c>
      <c r="N2168" s="123" t="str">
        <f>IFERROR(VLOOKUP(C2168,'CEDARS School FRPL'!C:H,6,FALSE),"No")</f>
        <v>No</v>
      </c>
      <c r="O2168" s="147"/>
      <c r="P2168" s="148"/>
    </row>
    <row r="2169" spans="1:16">
      <c r="A2169" s="95" t="s">
        <v>2283</v>
      </c>
      <c r="B2169" s="95" t="s">
        <v>164</v>
      </c>
      <c r="C2169" s="4">
        <v>3733</v>
      </c>
      <c r="D2169" s="95" t="s">
        <v>187</v>
      </c>
      <c r="E2169" s="145">
        <v>465.64</v>
      </c>
      <c r="F2169" s="145">
        <v>0</v>
      </c>
      <c r="G2169" s="145">
        <v>0</v>
      </c>
      <c r="H2169" s="145">
        <v>0</v>
      </c>
      <c r="I2169" s="77">
        <f t="shared" si="36"/>
        <v>465.64</v>
      </c>
      <c r="J2169" s="123" t="str">
        <f>IFERROR(VLOOKUP($C2169,'CEDARS School FRPL'!C:H,4,FALSE),"No")</f>
        <v>No</v>
      </c>
      <c r="K2169" s="109"/>
      <c r="L2169" s="109"/>
      <c r="M2169" s="110">
        <f>IFERROR(VLOOKUP($C2169,'CEDARS School FRPL'!C:H,3,FALSE),0)</f>
        <v>0.41399999999999998</v>
      </c>
      <c r="N2169" s="123" t="str">
        <f>IFERROR(VLOOKUP(C2169,'CEDARS School FRPL'!C:H,6,FALSE),"No")</f>
        <v>No</v>
      </c>
      <c r="O2169" s="147"/>
      <c r="P2169" s="148"/>
    </row>
    <row r="2170" spans="1:16">
      <c r="A2170" s="95" t="s">
        <v>2283</v>
      </c>
      <c r="B2170" s="95" t="s">
        <v>164</v>
      </c>
      <c r="C2170" s="4">
        <v>3734</v>
      </c>
      <c r="D2170" s="95" t="s">
        <v>188</v>
      </c>
      <c r="E2170" s="145">
        <v>406.59</v>
      </c>
      <c r="F2170" s="145">
        <v>0</v>
      </c>
      <c r="G2170" s="145">
        <v>0</v>
      </c>
      <c r="H2170" s="145">
        <v>0</v>
      </c>
      <c r="I2170" s="77">
        <f t="shared" si="36"/>
        <v>406.59</v>
      </c>
      <c r="J2170" s="123" t="str">
        <f>IFERROR(VLOOKUP($C2170,'CEDARS School FRPL'!C:H,4,FALSE),"No")</f>
        <v>Yes</v>
      </c>
      <c r="K2170" s="109"/>
      <c r="L2170" s="109"/>
      <c r="M2170" s="110">
        <f>IFERROR(VLOOKUP($C2170,'CEDARS School FRPL'!C:H,3,FALSE),0)</f>
        <v>0.74793333333333345</v>
      </c>
      <c r="N2170" s="123" t="str">
        <f>IFERROR(VLOOKUP(C2170,'CEDARS School FRPL'!C:H,6,FALSE),"No")</f>
        <v>No</v>
      </c>
      <c r="O2170" s="147"/>
      <c r="P2170" s="148"/>
    </row>
    <row r="2171" spans="1:16">
      <c r="A2171" s="95" t="s">
        <v>2283</v>
      </c>
      <c r="B2171" s="95" t="s">
        <v>164</v>
      </c>
      <c r="C2171" s="4">
        <v>3735</v>
      </c>
      <c r="D2171" s="95" t="s">
        <v>189</v>
      </c>
      <c r="E2171" s="145">
        <v>453.03</v>
      </c>
      <c r="F2171" s="145">
        <v>0</v>
      </c>
      <c r="G2171" s="145">
        <v>0</v>
      </c>
      <c r="H2171" s="145">
        <v>0</v>
      </c>
      <c r="I2171" s="77">
        <f t="shared" si="36"/>
        <v>453.03</v>
      </c>
      <c r="J2171" s="123" t="str">
        <f>IFERROR(VLOOKUP($C2171,'CEDARS School FRPL'!C:H,4,FALSE),"No")</f>
        <v>Yes</v>
      </c>
      <c r="K2171" s="109"/>
      <c r="L2171" s="109"/>
      <c r="M2171" s="110">
        <f>IFERROR(VLOOKUP($C2171,'CEDARS School FRPL'!C:H,3,FALSE),0)</f>
        <v>0.58820000000000006</v>
      </c>
      <c r="N2171" s="123" t="str">
        <f>IFERROR(VLOOKUP(C2171,'CEDARS School FRPL'!C:H,6,FALSE),"No")</f>
        <v>No</v>
      </c>
      <c r="O2171" s="147"/>
      <c r="P2171" s="148"/>
    </row>
    <row r="2172" spans="1:16">
      <c r="A2172" s="95" t="s">
        <v>2283</v>
      </c>
      <c r="B2172" s="95" t="s">
        <v>164</v>
      </c>
      <c r="C2172" s="4">
        <v>3902</v>
      </c>
      <c r="D2172" s="95" t="s">
        <v>190</v>
      </c>
      <c r="E2172" s="145">
        <v>781.53</v>
      </c>
      <c r="F2172" s="145">
        <v>0</v>
      </c>
      <c r="G2172" s="145">
        <v>0</v>
      </c>
      <c r="H2172" s="145">
        <v>0</v>
      </c>
      <c r="I2172" s="77">
        <f t="shared" si="36"/>
        <v>781.53</v>
      </c>
      <c r="J2172" s="123" t="str">
        <f>IFERROR(VLOOKUP($C2172,'CEDARS School FRPL'!C:H,4,FALSE),"No")</f>
        <v>Yes</v>
      </c>
      <c r="K2172" s="109"/>
      <c r="L2172" s="109"/>
      <c r="M2172" s="110">
        <f>IFERROR(VLOOKUP($C2172,'CEDARS School FRPL'!C:H,3,FALSE),0)</f>
        <v>0.6122333333333333</v>
      </c>
      <c r="N2172" s="123" t="str">
        <f>IFERROR(VLOOKUP(C2172,'CEDARS School FRPL'!C:H,6,FALSE),"No")</f>
        <v>No</v>
      </c>
      <c r="O2172" s="147"/>
      <c r="P2172" s="148"/>
    </row>
    <row r="2173" spans="1:16">
      <c r="A2173" s="95" t="s">
        <v>2283</v>
      </c>
      <c r="B2173" s="95" t="s">
        <v>164</v>
      </c>
      <c r="C2173" s="4">
        <v>3932</v>
      </c>
      <c r="D2173" s="95" t="s">
        <v>191</v>
      </c>
      <c r="E2173" s="145">
        <v>80.22</v>
      </c>
      <c r="F2173" s="145">
        <v>2.37</v>
      </c>
      <c r="G2173" s="145">
        <v>0</v>
      </c>
      <c r="H2173" s="145">
        <v>0</v>
      </c>
      <c r="I2173" s="77">
        <f t="shared" si="36"/>
        <v>82.59</v>
      </c>
      <c r="J2173" s="123" t="str">
        <f>IFERROR(VLOOKUP($C2173,'CEDARS School FRPL'!C:H,4,FALSE),"No")</f>
        <v>No</v>
      </c>
      <c r="K2173" s="109"/>
      <c r="L2173" s="109"/>
      <c r="M2173" s="110">
        <f>IFERROR(VLOOKUP($C2173,'CEDARS School FRPL'!C:H,3,FALSE),0)</f>
        <v>0.46163333333333334</v>
      </c>
      <c r="N2173" s="123" t="str">
        <f>IFERROR(VLOOKUP(C2173,'CEDARS School FRPL'!C:H,6,FALSE),"No")</f>
        <v>No</v>
      </c>
      <c r="O2173" s="147"/>
      <c r="P2173" s="148"/>
    </row>
    <row r="2174" spans="1:16">
      <c r="A2174" s="95" t="s">
        <v>2283</v>
      </c>
      <c r="B2174" s="95" t="s">
        <v>164</v>
      </c>
      <c r="C2174" s="4">
        <v>4034</v>
      </c>
      <c r="D2174" s="95" t="s">
        <v>192</v>
      </c>
      <c r="E2174" s="145">
        <v>381.96</v>
      </c>
      <c r="F2174" s="145">
        <v>0</v>
      </c>
      <c r="G2174" s="145">
        <v>0</v>
      </c>
      <c r="H2174" s="145">
        <v>0</v>
      </c>
      <c r="I2174" s="77">
        <f t="shared" si="36"/>
        <v>381.96</v>
      </c>
      <c r="J2174" s="123" t="str">
        <f>IFERROR(VLOOKUP($C2174,'CEDARS School FRPL'!C:H,4,FALSE),"No")</f>
        <v>No</v>
      </c>
      <c r="K2174" s="109"/>
      <c r="L2174" s="109"/>
      <c r="M2174" s="110">
        <f>IFERROR(VLOOKUP($C2174,'CEDARS School FRPL'!C:H,3,FALSE),0)</f>
        <v>0.40116666666666667</v>
      </c>
      <c r="N2174" s="123" t="str">
        <f>IFERROR(VLOOKUP(C2174,'CEDARS School FRPL'!C:H,6,FALSE),"No")</f>
        <v>No</v>
      </c>
      <c r="O2174" s="147"/>
      <c r="P2174" s="148"/>
    </row>
    <row r="2175" spans="1:16">
      <c r="A2175" s="95" t="s">
        <v>2283</v>
      </c>
      <c r="B2175" s="95" t="s">
        <v>164</v>
      </c>
      <c r="C2175" s="4">
        <v>4075</v>
      </c>
      <c r="D2175" s="95" t="s">
        <v>193</v>
      </c>
      <c r="E2175" s="145">
        <v>612.52</v>
      </c>
      <c r="F2175" s="145">
        <v>0</v>
      </c>
      <c r="G2175" s="145">
        <v>0</v>
      </c>
      <c r="H2175" s="145">
        <v>0</v>
      </c>
      <c r="I2175" s="77">
        <f t="shared" si="36"/>
        <v>612.52</v>
      </c>
      <c r="J2175" s="123" t="str">
        <f>IFERROR(VLOOKUP($C2175,'CEDARS School FRPL'!C:H,4,FALSE),"No")</f>
        <v>No</v>
      </c>
      <c r="K2175" s="109"/>
      <c r="L2175" s="109"/>
      <c r="M2175" s="110">
        <f>IFERROR(VLOOKUP($C2175,'CEDARS School FRPL'!C:H,3,FALSE),0)</f>
        <v>0.10953333333333333</v>
      </c>
      <c r="N2175" s="123" t="str">
        <f>IFERROR(VLOOKUP(C2175,'CEDARS School FRPL'!C:H,6,FALSE),"No")</f>
        <v>No</v>
      </c>
      <c r="O2175" s="147"/>
      <c r="P2175" s="148"/>
    </row>
    <row r="2176" spans="1:16">
      <c r="A2176" s="95" t="s">
        <v>2283</v>
      </c>
      <c r="B2176" s="95" t="s">
        <v>164</v>
      </c>
      <c r="C2176" s="4">
        <v>4405</v>
      </c>
      <c r="D2176" s="95" t="s">
        <v>194</v>
      </c>
      <c r="E2176" s="145">
        <v>558.02</v>
      </c>
      <c r="F2176" s="145">
        <v>0</v>
      </c>
      <c r="G2176" s="145">
        <v>0</v>
      </c>
      <c r="H2176" s="145">
        <v>0</v>
      </c>
      <c r="I2176" s="77">
        <f t="shared" si="36"/>
        <v>558.02</v>
      </c>
      <c r="J2176" s="123" t="str">
        <f>IFERROR(VLOOKUP($C2176,'CEDARS School FRPL'!C:H,4,FALSE),"No")</f>
        <v>No</v>
      </c>
      <c r="K2176" s="109"/>
      <c r="L2176" s="109"/>
      <c r="M2176" s="110">
        <f>IFERROR(VLOOKUP($C2176,'CEDARS School FRPL'!C:H,3,FALSE),0)</f>
        <v>0.24103333333333335</v>
      </c>
      <c r="N2176" s="123" t="str">
        <f>IFERROR(VLOOKUP(C2176,'CEDARS School FRPL'!C:H,6,FALSE),"No")</f>
        <v>No</v>
      </c>
      <c r="O2176" s="147"/>
      <c r="P2176" s="148"/>
    </row>
    <row r="2177" spans="1:16">
      <c r="A2177" s="95" t="s">
        <v>2283</v>
      </c>
      <c r="B2177" s="95" t="s">
        <v>164</v>
      </c>
      <c r="C2177" s="4">
        <v>4406</v>
      </c>
      <c r="D2177" s="95" t="s">
        <v>195</v>
      </c>
      <c r="E2177" s="145">
        <v>637.67999999999995</v>
      </c>
      <c r="F2177" s="145">
        <v>0</v>
      </c>
      <c r="G2177" s="145">
        <v>0</v>
      </c>
      <c r="H2177" s="145">
        <v>0</v>
      </c>
      <c r="I2177" s="77">
        <f t="shared" si="36"/>
        <v>637.67999999999995</v>
      </c>
      <c r="J2177" s="123" t="str">
        <f>IFERROR(VLOOKUP($C2177,'CEDARS School FRPL'!C:H,4,FALSE),"No")</f>
        <v>No</v>
      </c>
      <c r="K2177" s="109"/>
      <c r="L2177" s="109"/>
      <c r="M2177" s="110">
        <f>IFERROR(VLOOKUP($C2177,'CEDARS School FRPL'!C:H,3,FALSE),0)</f>
        <v>0.25316666666666671</v>
      </c>
      <c r="N2177" s="123" t="str">
        <f>IFERROR(VLOOKUP(C2177,'CEDARS School FRPL'!C:H,6,FALSE),"No")</f>
        <v>No</v>
      </c>
      <c r="O2177" s="147"/>
      <c r="P2177" s="148"/>
    </row>
    <row r="2178" spans="1:16">
      <c r="A2178" s="95" t="s">
        <v>2283</v>
      </c>
      <c r="B2178" s="95" t="s">
        <v>164</v>
      </c>
      <c r="C2178" s="4">
        <v>4410</v>
      </c>
      <c r="D2178" s="95" t="s">
        <v>144</v>
      </c>
      <c r="E2178" s="145">
        <v>543.42999999999995</v>
      </c>
      <c r="F2178" s="145">
        <v>0</v>
      </c>
      <c r="G2178" s="145">
        <v>0</v>
      </c>
      <c r="H2178" s="145">
        <v>0</v>
      </c>
      <c r="I2178" s="77">
        <f t="shared" si="36"/>
        <v>543.42999999999995</v>
      </c>
      <c r="J2178" s="123" t="str">
        <f>IFERROR(VLOOKUP($C2178,'CEDARS School FRPL'!C:H,4,FALSE),"No")</f>
        <v>Yes</v>
      </c>
      <c r="K2178" s="109"/>
      <c r="L2178" s="109"/>
      <c r="M2178" s="110">
        <f>IFERROR(VLOOKUP($C2178,'CEDARS School FRPL'!C:H,3,FALSE),0)</f>
        <v>0.78116666666666668</v>
      </c>
      <c r="N2178" s="123" t="str">
        <f>IFERROR(VLOOKUP(C2178,'CEDARS School FRPL'!C:H,6,FALSE),"No")</f>
        <v>No</v>
      </c>
      <c r="O2178" s="147"/>
      <c r="P2178" s="148"/>
    </row>
    <row r="2179" spans="1:16">
      <c r="A2179" s="95" t="s">
        <v>2283</v>
      </c>
      <c r="B2179" s="95" t="s">
        <v>164</v>
      </c>
      <c r="C2179" s="4">
        <v>4503</v>
      </c>
      <c r="D2179" s="95" t="s">
        <v>196</v>
      </c>
      <c r="E2179" s="145">
        <v>543.71</v>
      </c>
      <c r="F2179" s="145">
        <v>0</v>
      </c>
      <c r="G2179" s="145">
        <v>0</v>
      </c>
      <c r="H2179" s="145">
        <v>0</v>
      </c>
      <c r="I2179" s="77">
        <f t="shared" si="36"/>
        <v>543.71</v>
      </c>
      <c r="J2179" s="123" t="str">
        <f>IFERROR(VLOOKUP($C2179,'CEDARS School FRPL'!C:H,4,FALSE),"No")</f>
        <v>Yes</v>
      </c>
      <c r="K2179" s="109"/>
      <c r="L2179" s="109"/>
      <c r="M2179" s="110">
        <f>IFERROR(VLOOKUP($C2179,'CEDARS School FRPL'!C:H,3,FALSE),0)</f>
        <v>0.70650000000000002</v>
      </c>
      <c r="N2179" s="123" t="str">
        <f>IFERROR(VLOOKUP(C2179,'CEDARS School FRPL'!C:H,6,FALSE),"No")</f>
        <v>No</v>
      </c>
      <c r="O2179" s="147"/>
      <c r="P2179" s="148"/>
    </row>
    <row r="2180" spans="1:16">
      <c r="A2180" s="95" t="s">
        <v>2283</v>
      </c>
      <c r="B2180" s="95" t="s">
        <v>164</v>
      </c>
      <c r="C2180" s="4">
        <v>4504</v>
      </c>
      <c r="D2180" s="95" t="s">
        <v>197</v>
      </c>
      <c r="E2180" s="145">
        <v>1546.01</v>
      </c>
      <c r="F2180" s="145">
        <v>137.95999999999998</v>
      </c>
      <c r="G2180" s="145">
        <v>0</v>
      </c>
      <c r="H2180" s="145">
        <v>0</v>
      </c>
      <c r="I2180" s="77">
        <f t="shared" ref="I2180:I2243" si="37">+E2180+F2180+G2180+H2180</f>
        <v>1683.97</v>
      </c>
      <c r="J2180" s="123" t="str">
        <f>IFERROR(VLOOKUP($C2180,'CEDARS School FRPL'!C:H,4,FALSE),"No")</f>
        <v>No</v>
      </c>
      <c r="K2180" s="109"/>
      <c r="L2180" s="109"/>
      <c r="M2180" s="110">
        <f>IFERROR(VLOOKUP($C2180,'CEDARS School FRPL'!C:H,3,FALSE),0)</f>
        <v>0.25336666666666668</v>
      </c>
      <c r="N2180" s="123" t="str">
        <f>IFERROR(VLOOKUP(C2180,'CEDARS School FRPL'!C:H,6,FALSE),"No")</f>
        <v>No</v>
      </c>
      <c r="O2180" s="147"/>
      <c r="P2180" s="148"/>
    </row>
    <row r="2181" spans="1:16">
      <c r="A2181" s="95" t="s">
        <v>2283</v>
      </c>
      <c r="B2181" s="95" t="s">
        <v>164</v>
      </c>
      <c r="C2181" s="4">
        <v>4591</v>
      </c>
      <c r="D2181" s="95" t="s">
        <v>198</v>
      </c>
      <c r="E2181" s="145">
        <v>754.4</v>
      </c>
      <c r="F2181" s="145">
        <v>0</v>
      </c>
      <c r="G2181" s="145">
        <v>0</v>
      </c>
      <c r="H2181" s="145">
        <v>0</v>
      </c>
      <c r="I2181" s="77">
        <f t="shared" si="37"/>
        <v>754.4</v>
      </c>
      <c r="J2181" s="123" t="str">
        <f>IFERROR(VLOOKUP($C2181,'CEDARS School FRPL'!C:H,4,FALSE),"No")</f>
        <v>No</v>
      </c>
      <c r="K2181" s="109"/>
      <c r="L2181" s="109"/>
      <c r="M2181" s="110">
        <f>IFERROR(VLOOKUP($C2181,'CEDARS School FRPL'!C:H,3,FALSE),0)</f>
        <v>0.28256666666666669</v>
      </c>
      <c r="N2181" s="123" t="str">
        <f>IFERROR(VLOOKUP(C2181,'CEDARS School FRPL'!C:H,6,FALSE),"No")</f>
        <v>No</v>
      </c>
      <c r="O2181" s="147"/>
      <c r="P2181" s="148"/>
    </row>
    <row r="2182" spans="1:16">
      <c r="A2182" s="95" t="s">
        <v>2283</v>
      </c>
      <c r="B2182" s="95" t="s">
        <v>164</v>
      </c>
      <c r="C2182" s="4">
        <v>5149</v>
      </c>
      <c r="D2182" s="95" t="s">
        <v>199</v>
      </c>
      <c r="E2182" s="145">
        <v>953.1</v>
      </c>
      <c r="F2182" s="145">
        <v>0.66999999999999993</v>
      </c>
      <c r="G2182" s="145">
        <v>0</v>
      </c>
      <c r="H2182" s="145">
        <v>0</v>
      </c>
      <c r="I2182" s="77">
        <f t="shared" si="37"/>
        <v>953.77</v>
      </c>
      <c r="J2182" s="123" t="str">
        <f>IFERROR(VLOOKUP($C2182,'CEDARS School FRPL'!C:H,4,FALSE),"No")</f>
        <v>Yes</v>
      </c>
      <c r="K2182" s="109"/>
      <c r="L2182" s="109"/>
      <c r="M2182" s="110">
        <f>IFERROR(VLOOKUP($C2182,'CEDARS School FRPL'!C:H,3,FALSE),0)</f>
        <v>0.58689999999999998</v>
      </c>
      <c r="N2182" s="123" t="str">
        <f>IFERROR(VLOOKUP(C2182,'CEDARS School FRPL'!C:H,6,FALSE),"No")</f>
        <v>No</v>
      </c>
      <c r="O2182" s="147"/>
      <c r="P2182" s="148"/>
    </row>
    <row r="2183" spans="1:16">
      <c r="A2183" s="95" t="s">
        <v>2283</v>
      </c>
      <c r="B2183" s="95" t="s">
        <v>164</v>
      </c>
      <c r="C2183" s="4">
        <v>5271</v>
      </c>
      <c r="D2183" s="95" t="s">
        <v>200</v>
      </c>
      <c r="E2183" s="145">
        <v>528.75</v>
      </c>
      <c r="F2183" s="145">
        <v>44.769999999999996</v>
      </c>
      <c r="G2183" s="145">
        <v>0</v>
      </c>
      <c r="H2183" s="145">
        <v>0</v>
      </c>
      <c r="I2183" s="77">
        <f t="shared" si="37"/>
        <v>573.52</v>
      </c>
      <c r="J2183" s="123" t="str">
        <f>IFERROR(VLOOKUP($C2183,'CEDARS School FRPL'!C:H,4,FALSE),"No")</f>
        <v>No</v>
      </c>
      <c r="K2183" s="109"/>
      <c r="L2183" s="109"/>
      <c r="M2183" s="110">
        <f>IFERROR(VLOOKUP($C2183,'CEDARS School FRPL'!C:H,3,FALSE),0)</f>
        <v>0.28106666666666669</v>
      </c>
      <c r="N2183" s="123" t="str">
        <f>IFERROR(VLOOKUP(C2183,'CEDARS School FRPL'!C:H,6,FALSE),"No")</f>
        <v>No</v>
      </c>
      <c r="O2183" s="147"/>
      <c r="P2183" s="148"/>
    </row>
    <row r="2184" spans="1:16">
      <c r="A2184" s="95" t="s">
        <v>2283</v>
      </c>
      <c r="B2184" s="95" t="s">
        <v>164</v>
      </c>
      <c r="C2184" s="4">
        <v>5342</v>
      </c>
      <c r="D2184" s="95" t="s">
        <v>201</v>
      </c>
      <c r="E2184" s="145">
        <v>0</v>
      </c>
      <c r="F2184" s="145">
        <v>0</v>
      </c>
      <c r="G2184" s="145">
        <v>213.49</v>
      </c>
      <c r="H2184" s="145">
        <v>0</v>
      </c>
      <c r="I2184" s="77">
        <f t="shared" si="37"/>
        <v>213.49</v>
      </c>
      <c r="J2184" s="123" t="str">
        <f>IFERROR(VLOOKUP($C2184,'CEDARS School FRPL'!C:H,4,FALSE),"No")</f>
        <v>Yes</v>
      </c>
      <c r="K2184" s="109"/>
      <c r="L2184" s="109"/>
      <c r="M2184" s="110">
        <f>IFERROR(VLOOKUP($C2184,'CEDARS School FRPL'!C:H,3,FALSE),0)</f>
        <v>0.64126666666666665</v>
      </c>
      <c r="N2184" s="123" t="str">
        <f>IFERROR(VLOOKUP(C2184,'CEDARS School FRPL'!C:H,6,FALSE),"No")</f>
        <v>No</v>
      </c>
      <c r="O2184" s="147"/>
      <c r="P2184" s="148"/>
    </row>
    <row r="2185" spans="1:16">
      <c r="A2185" s="95" t="s">
        <v>2353</v>
      </c>
      <c r="B2185" s="95" t="s">
        <v>730</v>
      </c>
      <c r="C2185" s="4">
        <v>1822</v>
      </c>
      <c r="D2185" s="95" t="s">
        <v>731</v>
      </c>
      <c r="E2185" s="145">
        <v>87.33</v>
      </c>
      <c r="F2185" s="145">
        <v>0.9</v>
      </c>
      <c r="G2185" s="145">
        <v>0</v>
      </c>
      <c r="H2185" s="145">
        <v>0</v>
      </c>
      <c r="I2185" s="77">
        <f t="shared" si="37"/>
        <v>88.23</v>
      </c>
      <c r="J2185" s="123" t="str">
        <f>IFERROR(VLOOKUP($C2185,'CEDARS School FRPL'!C:H,4,FALSE),"No")</f>
        <v>No</v>
      </c>
      <c r="K2185" s="109"/>
      <c r="L2185" s="109"/>
      <c r="M2185" s="110">
        <f>IFERROR(VLOOKUP($C2185,'CEDARS School FRPL'!C:H,3,FALSE),0)</f>
        <v>0.2079</v>
      </c>
      <c r="N2185" s="123" t="str">
        <f>IFERROR(VLOOKUP(C2185,'CEDARS School FRPL'!C:H,6,FALSE),"No")</f>
        <v>No</v>
      </c>
      <c r="O2185" s="147"/>
      <c r="P2185" s="148"/>
    </row>
    <row r="2186" spans="1:16">
      <c r="A2186" s="95" t="s">
        <v>2353</v>
      </c>
      <c r="B2186" s="95" t="s">
        <v>730</v>
      </c>
      <c r="C2186" s="4">
        <v>1938</v>
      </c>
      <c r="D2186" s="95" t="s">
        <v>732</v>
      </c>
      <c r="E2186" s="145">
        <v>44.6</v>
      </c>
      <c r="F2186" s="145">
        <v>0.8</v>
      </c>
      <c r="G2186" s="145">
        <v>0</v>
      </c>
      <c r="H2186" s="145">
        <v>0</v>
      </c>
      <c r="I2186" s="77">
        <f t="shared" si="37"/>
        <v>45.4</v>
      </c>
      <c r="J2186" s="123" t="str">
        <f>IFERROR(VLOOKUP($C2186,'CEDARS School FRPL'!C:H,4,FALSE),"No")</f>
        <v>Yes</v>
      </c>
      <c r="K2186" s="109"/>
      <c r="L2186" s="109"/>
      <c r="M2186" s="110">
        <f>IFERROR(VLOOKUP($C2186,'CEDARS School FRPL'!C:H,3,FALSE),0)</f>
        <v>0.55189999999999995</v>
      </c>
      <c r="N2186" s="123" t="str">
        <f>IFERROR(VLOOKUP(C2186,'CEDARS School FRPL'!C:H,6,FALSE),"No")</f>
        <v>No</v>
      </c>
      <c r="O2186" s="147"/>
      <c r="P2186" s="148"/>
    </row>
    <row r="2187" spans="1:16">
      <c r="A2187" s="95" t="s">
        <v>2353</v>
      </c>
      <c r="B2187" s="95" t="s">
        <v>730</v>
      </c>
      <c r="C2187" s="4">
        <v>2419</v>
      </c>
      <c r="D2187" s="95" t="s">
        <v>733</v>
      </c>
      <c r="E2187" s="145">
        <v>504.15</v>
      </c>
      <c r="F2187" s="145">
        <v>30.16</v>
      </c>
      <c r="G2187" s="145">
        <v>0</v>
      </c>
      <c r="H2187" s="145">
        <v>0</v>
      </c>
      <c r="I2187" s="77">
        <f t="shared" si="37"/>
        <v>534.30999999999995</v>
      </c>
      <c r="J2187" s="123" t="str">
        <f>IFERROR(VLOOKUP($C2187,'CEDARS School FRPL'!C:H,4,FALSE),"No")</f>
        <v>No</v>
      </c>
      <c r="K2187" s="109"/>
      <c r="L2187" s="109"/>
      <c r="M2187" s="110">
        <f>IFERROR(VLOOKUP($C2187,'CEDARS School FRPL'!C:H,3,FALSE),0)</f>
        <v>0.19569999999999999</v>
      </c>
      <c r="N2187" s="123" t="str">
        <f>IFERROR(VLOOKUP(C2187,'CEDARS School FRPL'!C:H,6,FALSE),"No")</f>
        <v>No</v>
      </c>
      <c r="O2187" s="147"/>
      <c r="P2187" s="148"/>
    </row>
    <row r="2188" spans="1:16">
      <c r="A2188" s="95" t="s">
        <v>2353</v>
      </c>
      <c r="B2188" s="95" t="s">
        <v>730</v>
      </c>
      <c r="C2188" s="4">
        <v>3667</v>
      </c>
      <c r="D2188" s="95" t="s">
        <v>734</v>
      </c>
      <c r="E2188" s="145">
        <v>355.44</v>
      </c>
      <c r="F2188" s="145">
        <v>0</v>
      </c>
      <c r="G2188" s="145">
        <v>0</v>
      </c>
      <c r="H2188" s="145">
        <v>0</v>
      </c>
      <c r="I2188" s="77">
        <f t="shared" si="37"/>
        <v>355.44</v>
      </c>
      <c r="J2188" s="123" t="str">
        <f>IFERROR(VLOOKUP($C2188,'CEDARS School FRPL'!C:H,4,FALSE),"No")</f>
        <v>No</v>
      </c>
      <c r="K2188" s="109"/>
      <c r="L2188" s="109"/>
      <c r="M2188" s="110">
        <f>IFERROR(VLOOKUP($C2188,'CEDARS School FRPL'!C:H,3,FALSE),0)</f>
        <v>0.22413333333333332</v>
      </c>
      <c r="N2188" s="123" t="str">
        <f>IFERROR(VLOOKUP(C2188,'CEDARS School FRPL'!C:H,6,FALSE),"No")</f>
        <v>No</v>
      </c>
      <c r="O2188" s="147"/>
      <c r="P2188" s="148"/>
    </row>
    <row r="2189" spans="1:16">
      <c r="A2189" s="95" t="s">
        <v>2353</v>
      </c>
      <c r="B2189" s="95" t="s">
        <v>730</v>
      </c>
      <c r="C2189" s="4">
        <v>4468</v>
      </c>
      <c r="D2189" s="95" t="s">
        <v>735</v>
      </c>
      <c r="E2189" s="145">
        <v>455.95</v>
      </c>
      <c r="F2189" s="145">
        <v>0</v>
      </c>
      <c r="G2189" s="145">
        <v>0</v>
      </c>
      <c r="H2189" s="145">
        <v>0</v>
      </c>
      <c r="I2189" s="77">
        <f t="shared" si="37"/>
        <v>455.95</v>
      </c>
      <c r="J2189" s="123" t="str">
        <f>IFERROR(VLOOKUP($C2189,'CEDARS School FRPL'!C:H,4,FALSE),"No")</f>
        <v>No</v>
      </c>
      <c r="K2189" s="109"/>
      <c r="L2189" s="109"/>
      <c r="M2189" s="110">
        <f>IFERROR(VLOOKUP($C2189,'CEDARS School FRPL'!C:H,3,FALSE),0)</f>
        <v>0.22906666666666667</v>
      </c>
      <c r="N2189" s="123" t="str">
        <f>IFERROR(VLOOKUP(C2189,'CEDARS School FRPL'!C:H,6,FALSE),"No")</f>
        <v>No</v>
      </c>
      <c r="O2189" s="147"/>
      <c r="P2189" s="148"/>
    </row>
    <row r="2190" spans="1:16">
      <c r="A2190" s="95" t="s">
        <v>2710</v>
      </c>
      <c r="B2190" s="95" t="s">
        <v>2711</v>
      </c>
      <c r="C2190" s="4">
        <v>5496</v>
      </c>
      <c r="D2190" s="95" t="s">
        <v>1994</v>
      </c>
      <c r="E2190" s="145">
        <v>124.71</v>
      </c>
      <c r="F2190" s="145">
        <v>0</v>
      </c>
      <c r="G2190" s="145">
        <v>0</v>
      </c>
      <c r="H2190" s="145">
        <v>0</v>
      </c>
      <c r="I2190" s="77">
        <f t="shared" si="37"/>
        <v>124.71</v>
      </c>
      <c r="J2190" s="123" t="str">
        <f>IFERROR(VLOOKUP($C2190,'CEDARS School FRPL'!C:H,4,FALSE),"No")</f>
        <v>Yes</v>
      </c>
      <c r="K2190" s="109"/>
      <c r="L2190" s="109"/>
      <c r="M2190" s="110">
        <f>IFERROR(VLOOKUP($C2190,'CEDARS School FRPL'!C:H,3,FALSE),0)</f>
        <v>0.89060000000000006</v>
      </c>
      <c r="N2190" s="123" t="str">
        <f>IFERROR(VLOOKUP(C2190,'CEDARS School FRPL'!C:H,6,FALSE),"No")</f>
        <v>No</v>
      </c>
      <c r="O2190" s="147"/>
      <c r="P2190" s="148"/>
    </row>
    <row r="2191" spans="1:16">
      <c r="A2191" s="95" t="s">
        <v>2524</v>
      </c>
      <c r="B2191" s="95" t="s">
        <v>2036</v>
      </c>
      <c r="C2191" s="4">
        <v>2893</v>
      </c>
      <c r="D2191" s="95" t="s">
        <v>2037</v>
      </c>
      <c r="E2191" s="145">
        <v>283.32</v>
      </c>
      <c r="F2191" s="145">
        <v>0</v>
      </c>
      <c r="G2191" s="145">
        <v>0</v>
      </c>
      <c r="H2191" s="145">
        <v>0</v>
      </c>
      <c r="I2191" s="77">
        <f t="shared" si="37"/>
        <v>283.32</v>
      </c>
      <c r="J2191" s="123" t="str">
        <f>IFERROR(VLOOKUP($C2191,'CEDARS School FRPL'!C:H,4,FALSE),"No")</f>
        <v>Yes</v>
      </c>
      <c r="K2191" s="109"/>
      <c r="L2191" s="109"/>
      <c r="M2191" s="110">
        <f>IFERROR(VLOOKUP($C2191,'CEDARS School FRPL'!C:H,3,FALSE),0)</f>
        <v>0.58469999999999989</v>
      </c>
      <c r="N2191" s="123" t="str">
        <f>IFERROR(VLOOKUP(C2191,'CEDARS School FRPL'!C:H,6,FALSE),"No")</f>
        <v>No</v>
      </c>
      <c r="O2191" s="147"/>
      <c r="P2191" s="148"/>
    </row>
    <row r="2192" spans="1:16">
      <c r="A2192" s="95" t="s">
        <v>2524</v>
      </c>
      <c r="B2192" s="95" t="s">
        <v>2036</v>
      </c>
      <c r="C2192" s="4">
        <v>3467</v>
      </c>
      <c r="D2192" s="95" t="s">
        <v>2038</v>
      </c>
      <c r="E2192" s="145">
        <v>158.19</v>
      </c>
      <c r="F2192" s="145">
        <v>8.379999999999999</v>
      </c>
      <c r="G2192" s="145">
        <v>0</v>
      </c>
      <c r="H2192" s="145">
        <v>0</v>
      </c>
      <c r="I2192" s="77">
        <f t="shared" si="37"/>
        <v>166.57</v>
      </c>
      <c r="J2192" s="123" t="str">
        <f>IFERROR(VLOOKUP($C2192,'CEDARS School FRPL'!C:H,4,FALSE),"No")</f>
        <v>Yes</v>
      </c>
      <c r="K2192" s="109"/>
      <c r="L2192" s="109"/>
      <c r="M2192" s="110">
        <f>IFERROR(VLOOKUP($C2192,'CEDARS School FRPL'!C:H,3,FALSE),0)</f>
        <v>0.57503333333333329</v>
      </c>
      <c r="N2192" s="123" t="str">
        <f>IFERROR(VLOOKUP(C2192,'CEDARS School FRPL'!C:H,6,FALSE),"No")</f>
        <v>No</v>
      </c>
      <c r="O2192" s="147"/>
      <c r="P2192" s="148"/>
    </row>
    <row r="2193" spans="1:16">
      <c r="A2193" s="95" t="s">
        <v>2317</v>
      </c>
      <c r="B2193" s="95" t="s">
        <v>408</v>
      </c>
      <c r="C2193" s="4">
        <v>1835</v>
      </c>
      <c r="D2193" s="95" t="s">
        <v>409</v>
      </c>
      <c r="E2193" s="145">
        <v>15.71</v>
      </c>
      <c r="F2193" s="145">
        <v>0</v>
      </c>
      <c r="G2193" s="145">
        <v>0</v>
      </c>
      <c r="H2193" s="145">
        <v>0</v>
      </c>
      <c r="I2193" s="77">
        <f t="shared" si="37"/>
        <v>15.71</v>
      </c>
      <c r="J2193" s="123" t="str">
        <f>IFERROR(VLOOKUP($C2193,'CEDARS School FRPL'!C:H,4,FALSE),"No")</f>
        <v>Yes</v>
      </c>
      <c r="K2193" s="109"/>
      <c r="L2193" s="109"/>
      <c r="M2193" s="110">
        <f>IFERROR(VLOOKUP($C2193,'CEDARS School FRPL'!C:H,3,FALSE),0)</f>
        <v>0.94600000000000006</v>
      </c>
      <c r="N2193" s="123" t="str">
        <f>IFERROR(VLOOKUP(C2193,'CEDARS School FRPL'!C:H,6,FALSE),"No")</f>
        <v>No</v>
      </c>
      <c r="O2193" s="147"/>
      <c r="P2193" s="148"/>
    </row>
    <row r="2194" spans="1:16">
      <c r="A2194" s="95" t="s">
        <v>2317</v>
      </c>
      <c r="B2194" s="95" t="s">
        <v>408</v>
      </c>
      <c r="C2194" s="4">
        <v>3152</v>
      </c>
      <c r="D2194" s="95" t="s">
        <v>410</v>
      </c>
      <c r="E2194" s="145">
        <v>370.71</v>
      </c>
      <c r="F2194" s="145">
        <v>0</v>
      </c>
      <c r="G2194" s="145">
        <v>0</v>
      </c>
      <c r="H2194" s="145">
        <v>0</v>
      </c>
      <c r="I2194" s="77">
        <f t="shared" si="37"/>
        <v>370.71</v>
      </c>
      <c r="J2194" s="123" t="str">
        <f>IFERROR(VLOOKUP($C2194,'CEDARS School FRPL'!C:H,4,FALSE),"No")</f>
        <v>Yes</v>
      </c>
      <c r="K2194" s="109"/>
      <c r="L2194" s="109"/>
      <c r="M2194" s="110">
        <f>IFERROR(VLOOKUP($C2194,'CEDARS School FRPL'!C:H,3,FALSE),0)</f>
        <v>0.93929999999999991</v>
      </c>
      <c r="N2194" s="123" t="str">
        <f>IFERROR(VLOOKUP(C2194,'CEDARS School FRPL'!C:H,6,FALSE),"No")</f>
        <v>No</v>
      </c>
      <c r="O2194" s="147"/>
      <c r="P2194" s="148"/>
    </row>
    <row r="2195" spans="1:16">
      <c r="A2195" s="95" t="s">
        <v>2317</v>
      </c>
      <c r="B2195" s="95" t="s">
        <v>408</v>
      </c>
      <c r="C2195" s="4">
        <v>4222</v>
      </c>
      <c r="D2195" s="95" t="s">
        <v>411</v>
      </c>
      <c r="E2195" s="145">
        <v>235.57</v>
      </c>
      <c r="F2195" s="145">
        <v>0</v>
      </c>
      <c r="G2195" s="145">
        <v>0</v>
      </c>
      <c r="H2195" s="145">
        <v>0</v>
      </c>
      <c r="I2195" s="77">
        <f t="shared" si="37"/>
        <v>235.57</v>
      </c>
      <c r="J2195" s="123" t="str">
        <f>IFERROR(VLOOKUP($C2195,'CEDARS School FRPL'!C:H,4,FALSE),"No")</f>
        <v>Yes</v>
      </c>
      <c r="K2195" s="109"/>
      <c r="L2195" s="109"/>
      <c r="M2195" s="110">
        <f>IFERROR(VLOOKUP($C2195,'CEDARS School FRPL'!C:H,3,FALSE),0)</f>
        <v>0.9706999999999999</v>
      </c>
      <c r="N2195" s="123" t="str">
        <f>IFERROR(VLOOKUP(C2195,'CEDARS School FRPL'!C:H,6,FALSE),"No")</f>
        <v>No</v>
      </c>
      <c r="O2195" s="147"/>
      <c r="P2195" s="148"/>
    </row>
    <row r="2196" spans="1:16">
      <c r="A2196" s="95" t="s">
        <v>2317</v>
      </c>
      <c r="B2196" s="95" t="s">
        <v>408</v>
      </c>
      <c r="C2196" s="4">
        <v>4254</v>
      </c>
      <c r="D2196" s="95" t="s">
        <v>412</v>
      </c>
      <c r="E2196" s="145">
        <v>706.98</v>
      </c>
      <c r="F2196" s="145">
        <v>34.33</v>
      </c>
      <c r="G2196" s="145">
        <v>0</v>
      </c>
      <c r="H2196" s="145">
        <v>0</v>
      </c>
      <c r="I2196" s="77">
        <f t="shared" si="37"/>
        <v>741.31000000000006</v>
      </c>
      <c r="J2196" s="123" t="str">
        <f>IFERROR(VLOOKUP($C2196,'CEDARS School FRPL'!C:H,4,FALSE),"No")</f>
        <v>Yes</v>
      </c>
      <c r="K2196" s="109"/>
      <c r="L2196" s="109"/>
      <c r="M2196" s="110">
        <f>IFERROR(VLOOKUP($C2196,'CEDARS School FRPL'!C:H,3,FALSE),0)</f>
        <v>0.94956666666666667</v>
      </c>
      <c r="N2196" s="123" t="str">
        <f>IFERROR(VLOOKUP(C2196,'CEDARS School FRPL'!C:H,6,FALSE),"No")</f>
        <v>No</v>
      </c>
      <c r="O2196" s="147"/>
      <c r="P2196" s="148"/>
    </row>
    <row r="2197" spans="1:16">
      <c r="A2197" s="95" t="s">
        <v>2317</v>
      </c>
      <c r="B2197" s="95" t="s">
        <v>408</v>
      </c>
      <c r="C2197" s="4">
        <v>4490</v>
      </c>
      <c r="D2197" s="95" t="s">
        <v>413</v>
      </c>
      <c r="E2197" s="145">
        <v>439.86</v>
      </c>
      <c r="F2197" s="145">
        <v>0</v>
      </c>
      <c r="G2197" s="145">
        <v>0</v>
      </c>
      <c r="H2197" s="145">
        <v>0</v>
      </c>
      <c r="I2197" s="77">
        <f t="shared" si="37"/>
        <v>439.86</v>
      </c>
      <c r="J2197" s="123" t="str">
        <f>IFERROR(VLOOKUP($C2197,'CEDARS School FRPL'!C:H,4,FALSE),"No")</f>
        <v>Yes</v>
      </c>
      <c r="K2197" s="109"/>
      <c r="L2197" s="109"/>
      <c r="M2197" s="110">
        <f>IFERROR(VLOOKUP($C2197,'CEDARS School FRPL'!C:H,3,FALSE),0)</f>
        <v>0.96566666666666656</v>
      </c>
      <c r="N2197" s="123" t="str">
        <f>IFERROR(VLOOKUP(C2197,'CEDARS School FRPL'!C:H,6,FALSE),"No")</f>
        <v>No</v>
      </c>
      <c r="O2197" s="147"/>
      <c r="P2197" s="148"/>
    </row>
    <row r="2198" spans="1:16">
      <c r="A2198" s="95" t="s">
        <v>2317</v>
      </c>
      <c r="B2198" s="95" t="s">
        <v>408</v>
      </c>
      <c r="C2198" s="4">
        <v>5144</v>
      </c>
      <c r="D2198" s="95" t="s">
        <v>414</v>
      </c>
      <c r="E2198" s="145">
        <v>591</v>
      </c>
      <c r="F2198" s="145">
        <v>0</v>
      </c>
      <c r="G2198" s="145">
        <v>0</v>
      </c>
      <c r="H2198" s="145">
        <v>0</v>
      </c>
      <c r="I2198" s="77">
        <f t="shared" si="37"/>
        <v>591</v>
      </c>
      <c r="J2198" s="123" t="str">
        <f>IFERROR(VLOOKUP($C2198,'CEDARS School FRPL'!C:H,4,FALSE),"No")</f>
        <v>Yes</v>
      </c>
      <c r="K2198" s="109"/>
      <c r="L2198" s="109"/>
      <c r="M2198" s="110">
        <f>IFERROR(VLOOKUP($C2198,'CEDARS School FRPL'!C:H,3,FALSE),0)</f>
        <v>0.95389999999999997</v>
      </c>
      <c r="N2198" s="123" t="str">
        <f>IFERROR(VLOOKUP(C2198,'CEDARS School FRPL'!C:H,6,FALSE),"No")</f>
        <v>No</v>
      </c>
      <c r="O2198" s="147"/>
      <c r="P2198" s="148"/>
    </row>
    <row r="2199" spans="1:16">
      <c r="A2199" s="95" t="s">
        <v>2530</v>
      </c>
      <c r="B2199" s="95" t="s">
        <v>2057</v>
      </c>
      <c r="C2199" s="4">
        <v>2174</v>
      </c>
      <c r="D2199" s="95" t="s">
        <v>2058</v>
      </c>
      <c r="E2199" s="145">
        <v>70.239999999999995</v>
      </c>
      <c r="F2199" s="145">
        <v>0</v>
      </c>
      <c r="G2199" s="145">
        <v>0</v>
      </c>
      <c r="H2199" s="145">
        <v>0</v>
      </c>
      <c r="I2199" s="77">
        <f t="shared" si="37"/>
        <v>70.239999999999995</v>
      </c>
      <c r="J2199" s="123" t="str">
        <f>IFERROR(VLOOKUP($C2199,'CEDARS School FRPL'!C:H,4,FALSE),"No")</f>
        <v>Yes</v>
      </c>
      <c r="K2199" s="109"/>
      <c r="L2199" s="109"/>
      <c r="M2199" s="110">
        <f>IFERROR(VLOOKUP($C2199,'CEDARS School FRPL'!C:H,3,FALSE),0)</f>
        <v>0.51636666666666664</v>
      </c>
      <c r="N2199" s="123" t="str">
        <f>IFERROR(VLOOKUP(C2199,'CEDARS School FRPL'!C:H,6,FALSE),"No")</f>
        <v>No</v>
      </c>
      <c r="O2199" s="147"/>
      <c r="P2199" s="148"/>
    </row>
    <row r="2200" spans="1:16">
      <c r="A2200" s="95" t="s">
        <v>2530</v>
      </c>
      <c r="B2200" s="95" t="s">
        <v>2057</v>
      </c>
      <c r="C2200" s="4">
        <v>2386</v>
      </c>
      <c r="D2200" s="95" t="s">
        <v>2059</v>
      </c>
      <c r="E2200" s="145">
        <v>73.73</v>
      </c>
      <c r="F2200" s="145">
        <v>3.42</v>
      </c>
      <c r="G2200" s="145">
        <v>0</v>
      </c>
      <c r="H2200" s="145">
        <v>0</v>
      </c>
      <c r="I2200" s="77">
        <f t="shared" si="37"/>
        <v>77.150000000000006</v>
      </c>
      <c r="J2200" s="123" t="str">
        <f>IFERROR(VLOOKUP($C2200,'CEDARS School FRPL'!C:H,4,FALSE),"No")</f>
        <v>Yes</v>
      </c>
      <c r="M2200" s="110">
        <f>IFERROR(VLOOKUP($C2200,'CEDARS School FRPL'!C:H,3,FALSE),0)</f>
        <v>0.5056666666666666</v>
      </c>
      <c r="N2200" s="123" t="str">
        <f>IFERROR(VLOOKUP(C2200,'CEDARS School FRPL'!C:H,6,FALSE),"No")</f>
        <v>No</v>
      </c>
      <c r="O2200" s="147"/>
      <c r="P2200" s="148"/>
    </row>
    <row r="2201" spans="1:16">
      <c r="A2201" s="95" t="s">
        <v>2530</v>
      </c>
      <c r="B2201" s="95" t="s">
        <v>2057</v>
      </c>
      <c r="C2201" s="4">
        <v>2712</v>
      </c>
      <c r="D2201" s="95" t="s">
        <v>2060</v>
      </c>
      <c r="E2201" s="145">
        <v>113.36</v>
      </c>
      <c r="F2201" s="145">
        <v>0</v>
      </c>
      <c r="G2201" s="145">
        <v>0</v>
      </c>
      <c r="H2201" s="145">
        <v>0</v>
      </c>
      <c r="I2201" s="77">
        <f t="shared" si="37"/>
        <v>113.36</v>
      </c>
      <c r="J2201" s="123" t="str">
        <f>IFERROR(VLOOKUP($C2201,'CEDARS School FRPL'!C:H,4,FALSE),"No")</f>
        <v>Yes</v>
      </c>
      <c r="K2201" s="109"/>
      <c r="L2201" s="109"/>
      <c r="M2201" s="110">
        <f>IFERROR(VLOOKUP($C2201,'CEDARS School FRPL'!C:H,3,FALSE),0)</f>
        <v>0.45793333333333336</v>
      </c>
      <c r="N2201" s="123" t="str">
        <f>IFERROR(VLOOKUP(C2201,'CEDARS School FRPL'!C:H,6,FALSE),"No")</f>
        <v>No</v>
      </c>
      <c r="O2201" s="147"/>
      <c r="P2201" s="148"/>
    </row>
    <row r="2202" spans="1:16">
      <c r="A2202" s="95" t="s">
        <v>2526</v>
      </c>
      <c r="B2202" s="95" t="s">
        <v>2041</v>
      </c>
      <c r="C2202" s="4">
        <v>2074</v>
      </c>
      <c r="D2202" s="95" t="s">
        <v>2042</v>
      </c>
      <c r="E2202" s="145">
        <v>400.86</v>
      </c>
      <c r="F2202" s="145">
        <v>0</v>
      </c>
      <c r="G2202" s="145">
        <v>0</v>
      </c>
      <c r="H2202" s="145">
        <v>0</v>
      </c>
      <c r="I2202" s="77">
        <f t="shared" si="37"/>
        <v>400.86</v>
      </c>
      <c r="J2202" s="123" t="str">
        <f>IFERROR(VLOOKUP($C2202,'CEDARS School FRPL'!C:H,4,FALSE),"No")</f>
        <v>No</v>
      </c>
      <c r="K2202" s="109"/>
      <c r="L2202" s="109"/>
      <c r="M2202" s="110">
        <f>IFERROR(VLOOKUP($C2202,'CEDARS School FRPL'!C:H,3,FALSE),0)</f>
        <v>0.44409999999999999</v>
      </c>
      <c r="N2202" s="123" t="str">
        <f>IFERROR(VLOOKUP(C2202,'CEDARS School FRPL'!C:H,6,FALSE),"No")</f>
        <v>No</v>
      </c>
      <c r="O2202" s="147"/>
      <c r="P2202" s="148"/>
    </row>
    <row r="2203" spans="1:16">
      <c r="A2203" s="95" t="s">
        <v>2526</v>
      </c>
      <c r="B2203" s="95" t="s">
        <v>2041</v>
      </c>
      <c r="C2203" s="4">
        <v>2078</v>
      </c>
      <c r="D2203" s="95" t="s">
        <v>2043</v>
      </c>
      <c r="E2203" s="145">
        <v>490.77</v>
      </c>
      <c r="F2203" s="145">
        <v>0</v>
      </c>
      <c r="G2203" s="145">
        <v>0</v>
      </c>
      <c r="H2203" s="145">
        <v>0</v>
      </c>
      <c r="I2203" s="77">
        <f t="shared" si="37"/>
        <v>490.77</v>
      </c>
      <c r="J2203" s="123" t="str">
        <f>IFERROR(VLOOKUP($C2203,'CEDARS School FRPL'!C:H,4,FALSE),"No")</f>
        <v>Yes</v>
      </c>
      <c r="K2203" s="109"/>
      <c r="L2203" s="109"/>
      <c r="M2203" s="110">
        <f>IFERROR(VLOOKUP($C2203,'CEDARS School FRPL'!C:H,3,FALSE),0)</f>
        <v>0.71230000000000004</v>
      </c>
      <c r="N2203" s="123" t="str">
        <f>IFERROR(VLOOKUP(C2203,'CEDARS School FRPL'!C:H,6,FALSE),"No")</f>
        <v>No</v>
      </c>
      <c r="O2203" s="147"/>
      <c r="P2203" s="148"/>
    </row>
    <row r="2204" spans="1:16">
      <c r="A2204" s="95" t="s">
        <v>2526</v>
      </c>
      <c r="B2204" s="95" t="s">
        <v>2041</v>
      </c>
      <c r="C2204" s="4">
        <v>2159</v>
      </c>
      <c r="D2204" s="95" t="s">
        <v>2044</v>
      </c>
      <c r="E2204" s="145">
        <v>517.74</v>
      </c>
      <c r="F2204" s="145">
        <v>0</v>
      </c>
      <c r="G2204" s="145">
        <v>0</v>
      </c>
      <c r="H2204" s="145">
        <v>0</v>
      </c>
      <c r="I2204" s="77">
        <f t="shared" si="37"/>
        <v>517.74</v>
      </c>
      <c r="J2204" s="123" t="str">
        <f>IFERROR(VLOOKUP($C2204,'CEDARS School FRPL'!C:H,4,FALSE),"No")</f>
        <v>No</v>
      </c>
      <c r="K2204" s="109"/>
      <c r="L2204" s="109"/>
      <c r="M2204" s="110">
        <f>IFERROR(VLOOKUP($C2204,'CEDARS School FRPL'!C:H,3,FALSE),0)</f>
        <v>0.37776666666666664</v>
      </c>
      <c r="N2204" s="123" t="str">
        <f>IFERROR(VLOOKUP(C2204,'CEDARS School FRPL'!C:H,6,FALSE),"No")</f>
        <v>No</v>
      </c>
      <c r="O2204" s="147"/>
      <c r="P2204" s="148"/>
    </row>
    <row r="2205" spans="1:16">
      <c r="A2205" s="95" t="s">
        <v>2526</v>
      </c>
      <c r="B2205" s="95" t="s">
        <v>2041</v>
      </c>
      <c r="C2205" s="4">
        <v>2528</v>
      </c>
      <c r="D2205" s="95" t="s">
        <v>2045</v>
      </c>
      <c r="E2205" s="145">
        <v>424.32</v>
      </c>
      <c r="F2205" s="145">
        <v>0</v>
      </c>
      <c r="G2205" s="145">
        <v>0</v>
      </c>
      <c r="H2205" s="145">
        <v>0</v>
      </c>
      <c r="I2205" s="77">
        <f t="shared" si="37"/>
        <v>424.32</v>
      </c>
      <c r="J2205" s="123" t="str">
        <f>IFERROR(VLOOKUP($C2205,'CEDARS School FRPL'!C:H,4,FALSE),"No")</f>
        <v>Yes</v>
      </c>
      <c r="K2205" s="109"/>
      <c r="L2205" s="109"/>
      <c r="M2205" s="110">
        <f>IFERROR(VLOOKUP($C2205,'CEDARS School FRPL'!C:H,3,FALSE),0)</f>
        <v>0.67423333333333335</v>
      </c>
      <c r="N2205" s="123" t="str">
        <f>IFERROR(VLOOKUP(C2205,'CEDARS School FRPL'!C:H,6,FALSE),"No")</f>
        <v>No</v>
      </c>
      <c r="O2205" s="147"/>
      <c r="P2205" s="148"/>
    </row>
    <row r="2206" spans="1:16">
      <c r="A2206" s="95" t="s">
        <v>2526</v>
      </c>
      <c r="B2206" s="95" t="s">
        <v>2041</v>
      </c>
      <c r="C2206" s="4">
        <v>2780</v>
      </c>
      <c r="D2206" s="95" t="s">
        <v>130</v>
      </c>
      <c r="E2206" s="145">
        <v>568.03</v>
      </c>
      <c r="F2206" s="145">
        <v>0</v>
      </c>
      <c r="G2206" s="145">
        <v>0</v>
      </c>
      <c r="H2206" s="145">
        <v>0</v>
      </c>
      <c r="I2206" s="77">
        <f t="shared" si="37"/>
        <v>568.03</v>
      </c>
      <c r="J2206" s="123" t="str">
        <f>IFERROR(VLOOKUP($C2206,'CEDARS School FRPL'!C:H,4,FALSE),"No")</f>
        <v>Yes</v>
      </c>
      <c r="K2206" s="109"/>
      <c r="L2206" s="109"/>
      <c r="M2206" s="110">
        <f>IFERROR(VLOOKUP($C2206,'CEDARS School FRPL'!C:H,3,FALSE),0)</f>
        <v>0.60706666666666653</v>
      </c>
      <c r="N2206" s="123" t="str">
        <f>IFERROR(VLOOKUP(C2206,'CEDARS School FRPL'!C:H,6,FALSE),"No")</f>
        <v>No</v>
      </c>
      <c r="O2206" s="147"/>
      <c r="P2206" s="148"/>
    </row>
    <row r="2207" spans="1:16">
      <c r="A2207" s="95" t="s">
        <v>2526</v>
      </c>
      <c r="B2207" s="95" t="s">
        <v>2041</v>
      </c>
      <c r="C2207" s="4">
        <v>3468</v>
      </c>
      <c r="D2207" s="95" t="s">
        <v>2046</v>
      </c>
      <c r="E2207" s="145">
        <v>1496.5</v>
      </c>
      <c r="F2207" s="145">
        <v>93.76</v>
      </c>
      <c r="G2207" s="145">
        <v>0</v>
      </c>
      <c r="H2207" s="145">
        <v>0</v>
      </c>
      <c r="I2207" s="77">
        <f t="shared" si="37"/>
        <v>1590.26</v>
      </c>
      <c r="J2207" s="123" t="str">
        <f>IFERROR(VLOOKUP($C2207,'CEDARS School FRPL'!C:H,4,FALSE),"No")</f>
        <v>No</v>
      </c>
      <c r="K2207" s="109"/>
      <c r="L2207" s="109"/>
      <c r="M2207" s="110">
        <f>IFERROR(VLOOKUP($C2207,'CEDARS School FRPL'!C:H,3,FALSE),0)</f>
        <v>0.47870000000000007</v>
      </c>
      <c r="N2207" s="123" t="str">
        <f>IFERROR(VLOOKUP(C2207,'CEDARS School FRPL'!C:H,6,FALSE),"No")</f>
        <v>No</v>
      </c>
      <c r="O2207" s="147"/>
      <c r="P2207" s="148"/>
    </row>
    <row r="2208" spans="1:16">
      <c r="A2208" s="95" t="s">
        <v>2526</v>
      </c>
      <c r="B2208" s="95" t="s">
        <v>2041</v>
      </c>
      <c r="C2208" s="4">
        <v>3510</v>
      </c>
      <c r="D2208" s="95" t="s">
        <v>2047</v>
      </c>
      <c r="E2208" s="145">
        <v>609.79</v>
      </c>
      <c r="F2208" s="145">
        <v>0</v>
      </c>
      <c r="G2208" s="145">
        <v>0</v>
      </c>
      <c r="H2208" s="145">
        <v>0</v>
      </c>
      <c r="I2208" s="77">
        <f t="shared" si="37"/>
        <v>609.79</v>
      </c>
      <c r="J2208" s="123" t="str">
        <f>IFERROR(VLOOKUP($C2208,'CEDARS School FRPL'!C:H,4,FALSE),"No")</f>
        <v>Yes</v>
      </c>
      <c r="K2208" s="109"/>
      <c r="L2208" s="109"/>
      <c r="M2208" s="110">
        <f>IFERROR(VLOOKUP($C2208,'CEDARS School FRPL'!C:H,3,FALSE),0)</f>
        <v>0.52779999999999994</v>
      </c>
      <c r="N2208" s="123" t="str">
        <f>IFERROR(VLOOKUP(C2208,'CEDARS School FRPL'!C:H,6,FALSE),"No")</f>
        <v>No</v>
      </c>
      <c r="O2208" s="147"/>
      <c r="P2208" s="148"/>
    </row>
    <row r="2209" spans="1:16">
      <c r="A2209" s="95" t="s">
        <v>2526</v>
      </c>
      <c r="B2209" s="95" t="s">
        <v>2041</v>
      </c>
      <c r="C2209" s="4">
        <v>3728</v>
      </c>
      <c r="D2209" s="95" t="s">
        <v>2048</v>
      </c>
      <c r="E2209" s="145">
        <v>342.41</v>
      </c>
      <c r="F2209" s="145">
        <v>0</v>
      </c>
      <c r="G2209" s="145">
        <v>0</v>
      </c>
      <c r="H2209" s="145">
        <v>0</v>
      </c>
      <c r="I2209" s="77">
        <f t="shared" si="37"/>
        <v>342.41</v>
      </c>
      <c r="J2209" s="123" t="str">
        <f>IFERROR(VLOOKUP($C2209,'CEDARS School FRPL'!C:H,4,FALSE),"No")</f>
        <v>Yes</v>
      </c>
      <c r="K2209" s="109"/>
      <c r="L2209" s="109"/>
      <c r="M2209" s="110">
        <f>IFERROR(VLOOKUP($C2209,'CEDARS School FRPL'!C:H,3,FALSE),0)</f>
        <v>0.71733333333333338</v>
      </c>
      <c r="N2209" s="123" t="str">
        <f>IFERROR(VLOOKUP(C2209,'CEDARS School FRPL'!C:H,6,FALSE),"No")</f>
        <v>No</v>
      </c>
      <c r="O2209" s="147"/>
      <c r="P2209" s="148"/>
    </row>
    <row r="2210" spans="1:16">
      <c r="A2210" s="95" t="s">
        <v>2526</v>
      </c>
      <c r="B2210" s="95" t="s">
        <v>2041</v>
      </c>
      <c r="C2210" s="4">
        <v>4071</v>
      </c>
      <c r="D2210" s="95" t="s">
        <v>142</v>
      </c>
      <c r="E2210" s="145">
        <v>138.02000000000001</v>
      </c>
      <c r="F2210" s="145">
        <v>0</v>
      </c>
      <c r="G2210" s="145">
        <v>0</v>
      </c>
      <c r="H2210" s="145">
        <v>0</v>
      </c>
      <c r="I2210" s="77">
        <f t="shared" si="37"/>
        <v>138.02000000000001</v>
      </c>
      <c r="J2210" s="123" t="str">
        <f>IFERROR(VLOOKUP($C2210,'CEDARS School FRPL'!C:H,4,FALSE),"No")</f>
        <v>Yes</v>
      </c>
      <c r="K2210" s="109"/>
      <c r="L2210" s="109"/>
      <c r="M2210" s="110">
        <f>IFERROR(VLOOKUP($C2210,'CEDARS School FRPL'!C:H,3,FALSE),0)</f>
        <v>0.80439999999999989</v>
      </c>
      <c r="N2210" s="123" t="str">
        <f>IFERROR(VLOOKUP(C2210,'CEDARS School FRPL'!C:H,6,FALSE),"No")</f>
        <v>No</v>
      </c>
      <c r="O2210" s="147"/>
      <c r="P2210" s="148"/>
    </row>
    <row r="2211" spans="1:16">
      <c r="A2211" s="95" t="s">
        <v>2526</v>
      </c>
      <c r="B2211" s="95" t="s">
        <v>2041</v>
      </c>
      <c r="C2211" s="4">
        <v>5337</v>
      </c>
      <c r="D2211" s="95" t="s">
        <v>2745</v>
      </c>
      <c r="E2211" s="145">
        <v>90.09</v>
      </c>
      <c r="F2211" s="145">
        <v>0</v>
      </c>
      <c r="G2211" s="145">
        <v>0</v>
      </c>
      <c r="H2211" s="145">
        <v>0</v>
      </c>
      <c r="I2211" s="77">
        <f t="shared" si="37"/>
        <v>90.09</v>
      </c>
      <c r="J2211" s="123" t="str">
        <f>IFERROR(VLOOKUP($C2211,'CEDARS School FRPL'!C:H,4,FALSE),"No")</f>
        <v>No</v>
      </c>
      <c r="K2211" s="109"/>
      <c r="L2211" s="109"/>
      <c r="M2211" s="110">
        <f>IFERROR(VLOOKUP($C2211,'CEDARS School FRPL'!C:H,3,FALSE),0)</f>
        <v>4.7633333333333333E-2</v>
      </c>
      <c r="N2211" s="123" t="str">
        <f>IFERROR(VLOOKUP(C2211,'CEDARS School FRPL'!C:H,6,FALSE),"No")</f>
        <v>No</v>
      </c>
      <c r="O2211" s="147"/>
      <c r="P2211" s="148"/>
    </row>
    <row r="2212" spans="1:16">
      <c r="A2212" s="95" t="s">
        <v>2526</v>
      </c>
      <c r="B2212" s="95" t="s">
        <v>2041</v>
      </c>
      <c r="C2212" s="4">
        <v>5460</v>
      </c>
      <c r="D2212" s="95" t="s">
        <v>2943</v>
      </c>
      <c r="E2212" s="145">
        <v>0</v>
      </c>
      <c r="F2212" s="145">
        <v>0</v>
      </c>
      <c r="G2212" s="145">
        <v>90.429999999999993</v>
      </c>
      <c r="H2212" s="145">
        <v>0</v>
      </c>
      <c r="I2212" s="77">
        <f t="shared" si="37"/>
        <v>90.429999999999993</v>
      </c>
      <c r="J2212" s="123" t="str">
        <f>IFERROR(VLOOKUP($C2212,'CEDARS School FRPL'!C:H,4,FALSE),"No")</f>
        <v>Yes</v>
      </c>
      <c r="K2212" s="109"/>
      <c r="L2212" s="109"/>
      <c r="M2212" s="110">
        <f>IFERROR(VLOOKUP($C2212,'CEDARS School FRPL'!C:H,3,FALSE),0)</f>
        <v>0.75309999999999988</v>
      </c>
      <c r="N2212" s="123" t="str">
        <f>IFERROR(VLOOKUP(C2212,'CEDARS School FRPL'!C:H,6,FALSE),"No")</f>
        <v>No</v>
      </c>
      <c r="O2212" s="147"/>
      <c r="P2212" s="148"/>
    </row>
    <row r="2213" spans="1:16">
      <c r="A2213" s="95" t="s">
        <v>2526</v>
      </c>
      <c r="B2213" s="95" t="s">
        <v>2041</v>
      </c>
      <c r="C2213" s="4">
        <v>5616</v>
      </c>
      <c r="D2213" s="95" t="s">
        <v>2941</v>
      </c>
      <c r="E2213" s="145">
        <v>77.78</v>
      </c>
      <c r="F2213" s="145">
        <v>0</v>
      </c>
      <c r="G2213" s="145">
        <v>0</v>
      </c>
      <c r="H2213" s="145">
        <v>0</v>
      </c>
      <c r="I2213" s="77">
        <f t="shared" si="37"/>
        <v>77.78</v>
      </c>
      <c r="J2213" s="123" t="str">
        <f>IFERROR(VLOOKUP($C2213,'CEDARS School FRPL'!C:H,4,FALSE),"No")</f>
        <v>No</v>
      </c>
      <c r="K2213" s="109"/>
      <c r="L2213" s="109"/>
      <c r="M2213" s="110">
        <f>IFERROR(VLOOKUP($C2213,'CEDARS School FRPL'!C:H,3,FALSE),0)</f>
        <v>0.27844999999999998</v>
      </c>
      <c r="N2213" s="123" t="str">
        <f>IFERROR(VLOOKUP(C2213,'CEDARS School FRPL'!C:H,6,FALSE),"No")</f>
        <v>No</v>
      </c>
      <c r="O2213" s="147"/>
      <c r="P2213" s="148"/>
    </row>
    <row r="2214" spans="1:16">
      <c r="A2214" s="95" t="s">
        <v>2526</v>
      </c>
      <c r="B2214" s="95" t="s">
        <v>2041</v>
      </c>
      <c r="C2214" s="4">
        <v>5636</v>
      </c>
      <c r="D2214" s="95" t="s">
        <v>2942</v>
      </c>
      <c r="E2214" s="145">
        <v>136.34</v>
      </c>
      <c r="F2214" s="145">
        <v>4.99</v>
      </c>
      <c r="G2214" s="145">
        <v>0</v>
      </c>
      <c r="H2214" s="145">
        <v>0</v>
      </c>
      <c r="I2214" s="77">
        <f t="shared" si="37"/>
        <v>141.33000000000001</v>
      </c>
      <c r="J2214" s="123" t="str">
        <f>IFERROR(VLOOKUP($C2214,'CEDARS School FRPL'!C:H,4,FALSE),"No")</f>
        <v>No</v>
      </c>
      <c r="K2214" s="109"/>
      <c r="L2214" s="109"/>
      <c r="M2214" s="110">
        <f>IFERROR(VLOOKUP($C2214,'CEDARS School FRPL'!C:H,3,FALSE),0)</f>
        <v>0.43635000000000002</v>
      </c>
      <c r="N2214" s="123" t="str">
        <f>IFERROR(VLOOKUP(C2214,'CEDARS School FRPL'!C:H,6,FALSE),"No")</f>
        <v>No</v>
      </c>
      <c r="O2214" s="147"/>
      <c r="P2214" s="148"/>
    </row>
    <row r="2215" spans="1:16">
      <c r="A2215" s="95" t="s">
        <v>2565</v>
      </c>
      <c r="B2215" s="95" t="s">
        <v>2240</v>
      </c>
      <c r="C2215" s="4">
        <v>2131</v>
      </c>
      <c r="D2215" s="95" t="s">
        <v>2241</v>
      </c>
      <c r="E2215" s="145">
        <v>782.56</v>
      </c>
      <c r="F2215" s="145">
        <v>0</v>
      </c>
      <c r="G2215" s="145">
        <v>0</v>
      </c>
      <c r="H2215" s="145">
        <v>0</v>
      </c>
      <c r="I2215" s="77">
        <f t="shared" si="37"/>
        <v>782.56</v>
      </c>
      <c r="J2215" s="123" t="str">
        <f>IFERROR(VLOOKUP($C2215,'CEDARS School FRPL'!C:H,4,FALSE),"No")</f>
        <v>Yes</v>
      </c>
      <c r="K2215" s="109"/>
      <c r="L2215" s="109"/>
      <c r="M2215" s="110">
        <f>IFERROR(VLOOKUP($C2215,'CEDARS School FRPL'!C:H,3,FALSE),0)</f>
        <v>0.90936666666666666</v>
      </c>
      <c r="N2215" s="123" t="str">
        <f>IFERROR(VLOOKUP(C2215,'CEDARS School FRPL'!C:H,6,FALSE),"No")</f>
        <v>No</v>
      </c>
      <c r="O2215" s="147"/>
      <c r="P2215" s="148"/>
    </row>
    <row r="2216" spans="1:16">
      <c r="A2216" s="95" t="s">
        <v>2565</v>
      </c>
      <c r="B2216" s="95" t="s">
        <v>2240</v>
      </c>
      <c r="C2216" s="4">
        <v>2757</v>
      </c>
      <c r="D2216" s="95" t="s">
        <v>2242</v>
      </c>
      <c r="E2216" s="145">
        <v>346.43</v>
      </c>
      <c r="F2216" s="145">
        <v>0</v>
      </c>
      <c r="G2216" s="145">
        <v>0</v>
      </c>
      <c r="H2216" s="145">
        <v>0</v>
      </c>
      <c r="I2216" s="77">
        <f t="shared" si="37"/>
        <v>346.43</v>
      </c>
      <c r="J2216" s="123" t="str">
        <f>IFERROR(VLOOKUP($C2216,'CEDARS School FRPL'!C:H,4,FALSE),"No")</f>
        <v>Yes</v>
      </c>
      <c r="K2216" s="109"/>
      <c r="L2216" s="109"/>
      <c r="M2216" s="110">
        <f>IFERROR(VLOOKUP($C2216,'CEDARS School FRPL'!C:H,3,FALSE),0)</f>
        <v>0.91416666666666668</v>
      </c>
      <c r="N2216" s="123" t="str">
        <f>IFERROR(VLOOKUP(C2216,'CEDARS School FRPL'!C:H,6,FALSE),"No")</f>
        <v>No</v>
      </c>
      <c r="O2216" s="147"/>
      <c r="P2216" s="148"/>
    </row>
    <row r="2217" spans="1:16">
      <c r="A2217" s="95" t="s">
        <v>2565</v>
      </c>
      <c r="B2217" s="95" t="s">
        <v>2240</v>
      </c>
      <c r="C2217" s="4">
        <v>3141</v>
      </c>
      <c r="D2217" s="95" t="s">
        <v>2244</v>
      </c>
      <c r="E2217" s="145">
        <v>837.99</v>
      </c>
      <c r="F2217" s="145">
        <v>16.420000000000002</v>
      </c>
      <c r="G2217" s="145">
        <v>0</v>
      </c>
      <c r="H2217" s="145">
        <v>0</v>
      </c>
      <c r="I2217" s="77">
        <f t="shared" si="37"/>
        <v>854.41</v>
      </c>
      <c r="J2217" s="123" t="str">
        <f>IFERROR(VLOOKUP($C2217,'CEDARS School FRPL'!C:H,4,FALSE),"No")</f>
        <v>Yes</v>
      </c>
      <c r="K2217" s="109"/>
      <c r="L2217" s="109"/>
      <c r="M2217" s="110">
        <f>IFERROR(VLOOKUP($C2217,'CEDARS School FRPL'!C:H,3,FALSE),0)</f>
        <v>0.86453333333333326</v>
      </c>
      <c r="N2217" s="123" t="str">
        <f>IFERROR(VLOOKUP(C2217,'CEDARS School FRPL'!C:H,6,FALSE),"No")</f>
        <v>No</v>
      </c>
      <c r="O2217" s="147"/>
      <c r="P2217" s="148"/>
    </row>
    <row r="2218" spans="1:16">
      <c r="A2218" s="95" t="s">
        <v>2565</v>
      </c>
      <c r="B2218" s="95" t="s">
        <v>2240</v>
      </c>
      <c r="C2218" s="4">
        <v>4022</v>
      </c>
      <c r="D2218" s="95" t="s">
        <v>2245</v>
      </c>
      <c r="E2218" s="145">
        <v>62.09</v>
      </c>
      <c r="F2218" s="145">
        <v>0</v>
      </c>
      <c r="G2218" s="145">
        <v>0</v>
      </c>
      <c r="H2218" s="145">
        <v>0</v>
      </c>
      <c r="I2218" s="77">
        <f t="shared" si="37"/>
        <v>62.09</v>
      </c>
      <c r="J2218" s="123" t="str">
        <f>IFERROR(VLOOKUP($C2218,'CEDARS School FRPL'!C:H,4,FALSE),"No")</f>
        <v>Yes</v>
      </c>
      <c r="K2218" s="109"/>
      <c r="L2218" s="109"/>
      <c r="M2218" s="110">
        <f>IFERROR(VLOOKUP($C2218,'CEDARS School FRPL'!C:H,3,FALSE),0)</f>
        <v>0.93579999999999997</v>
      </c>
      <c r="N2218" s="123" t="str">
        <f>IFERROR(VLOOKUP(C2218,'CEDARS School FRPL'!C:H,6,FALSE),"No")</f>
        <v>No</v>
      </c>
      <c r="O2218" s="147"/>
      <c r="P2218" s="148"/>
    </row>
    <row r="2219" spans="1:16">
      <c r="A2219" s="95" t="s">
        <v>2565</v>
      </c>
      <c r="B2219" s="95" t="s">
        <v>2240</v>
      </c>
      <c r="C2219" s="4">
        <v>4518</v>
      </c>
      <c r="D2219" s="95" t="s">
        <v>1788</v>
      </c>
      <c r="E2219" s="145">
        <v>378.42</v>
      </c>
      <c r="F2219" s="145">
        <v>0</v>
      </c>
      <c r="G2219" s="145">
        <v>0</v>
      </c>
      <c r="H2219" s="145">
        <v>0</v>
      </c>
      <c r="I2219" s="77">
        <f t="shared" si="37"/>
        <v>378.42</v>
      </c>
      <c r="J2219" s="123" t="str">
        <f>IFERROR(VLOOKUP($C2219,'CEDARS School FRPL'!C:H,4,FALSE),"No")</f>
        <v>Yes</v>
      </c>
      <c r="K2219" s="109"/>
      <c r="L2219" s="109"/>
      <c r="M2219" s="110">
        <f>IFERROR(VLOOKUP($C2219,'CEDARS School FRPL'!C:H,3,FALSE),0)</f>
        <v>0.93920000000000003</v>
      </c>
      <c r="N2219" s="123" t="str">
        <f>IFERROR(VLOOKUP(C2219,'CEDARS School FRPL'!C:H,6,FALSE),"No")</f>
        <v>No</v>
      </c>
      <c r="O2219" s="147"/>
      <c r="P2219" s="148"/>
    </row>
    <row r="2220" spans="1:16">
      <c r="A2220" s="95" t="s">
        <v>2565</v>
      </c>
      <c r="B2220" s="95" t="s">
        <v>2240</v>
      </c>
      <c r="C2220" s="4">
        <v>5543</v>
      </c>
      <c r="D2220" s="95" t="s">
        <v>2944</v>
      </c>
      <c r="E2220" s="145">
        <v>370.72</v>
      </c>
      <c r="F2220" s="145">
        <v>0</v>
      </c>
      <c r="G2220" s="145">
        <v>0</v>
      </c>
      <c r="H2220" s="145">
        <v>0</v>
      </c>
      <c r="I2220" s="77">
        <f t="shared" si="37"/>
        <v>370.72</v>
      </c>
      <c r="J2220" s="123" t="str">
        <f>IFERROR(VLOOKUP($C2220,'CEDARS School FRPL'!C:H,4,FALSE),"No")</f>
        <v>Yes</v>
      </c>
      <c r="K2220" s="109"/>
      <c r="L2220" s="109"/>
      <c r="M2220" s="110">
        <f>IFERROR(VLOOKUP($C2220,'CEDARS School FRPL'!C:H,3,FALSE),0)</f>
        <v>0.87953333333333328</v>
      </c>
      <c r="N2220" s="123" t="str">
        <f>IFERROR(VLOOKUP(C2220,'CEDARS School FRPL'!C:H,6,FALSE),"No")</f>
        <v>No</v>
      </c>
      <c r="O2220" s="147"/>
      <c r="P2220" s="148"/>
    </row>
    <row r="2221" spans="1:16">
      <c r="A2221" s="95" t="s">
        <v>2565</v>
      </c>
      <c r="B2221" s="95" t="s">
        <v>2240</v>
      </c>
      <c r="C2221" s="4">
        <v>5544</v>
      </c>
      <c r="D2221" s="95" t="s">
        <v>2243</v>
      </c>
      <c r="E2221" s="145">
        <v>268.57</v>
      </c>
      <c r="F2221" s="145">
        <v>0</v>
      </c>
      <c r="G2221" s="145">
        <v>0</v>
      </c>
      <c r="H2221" s="145">
        <v>0</v>
      </c>
      <c r="I2221" s="77">
        <f t="shared" si="37"/>
        <v>268.57</v>
      </c>
      <c r="J2221" s="123" t="str">
        <f>IFERROR(VLOOKUP($C2221,'CEDARS School FRPL'!C:H,4,FALSE),"No")</f>
        <v>Yes</v>
      </c>
      <c r="K2221" s="109"/>
      <c r="L2221" s="109"/>
      <c r="M2221" s="110">
        <f>IFERROR(VLOOKUP($C2221,'CEDARS School FRPL'!C:H,3,FALSE),0)</f>
        <v>0.86629999999999996</v>
      </c>
      <c r="N2221" s="123" t="str">
        <f>IFERROR(VLOOKUP(C2221,'CEDARS School FRPL'!C:H,6,FALSE),"No")</f>
        <v>No</v>
      </c>
      <c r="O2221" s="147"/>
      <c r="P2221" s="148"/>
    </row>
    <row r="2222" spans="1:16">
      <c r="A2222" s="95" t="s">
        <v>2565</v>
      </c>
      <c r="B2222" s="95" t="s">
        <v>2240</v>
      </c>
      <c r="C2222" s="4">
        <v>5595</v>
      </c>
      <c r="D2222" s="95" t="s">
        <v>2846</v>
      </c>
      <c r="E2222" s="145">
        <v>0</v>
      </c>
      <c r="F2222" s="145">
        <v>0</v>
      </c>
      <c r="G2222" s="145">
        <v>4.8600000000000003</v>
      </c>
      <c r="H2222" s="145">
        <v>0</v>
      </c>
      <c r="I2222" s="77">
        <f t="shared" si="37"/>
        <v>4.8600000000000003</v>
      </c>
      <c r="J2222" s="123" t="str">
        <f>IFERROR(VLOOKUP($C2222,'CEDARS School FRPL'!C:H,4,FALSE),"No")</f>
        <v>No</v>
      </c>
      <c r="K2222" s="109"/>
      <c r="L2222" s="109"/>
      <c r="M2222" s="110">
        <f>IFERROR(VLOOKUP($C2222,'CEDARS School FRPL'!C:H,3,FALSE),0)</f>
        <v>0</v>
      </c>
      <c r="N2222" s="123" t="str">
        <f>IFERROR(VLOOKUP(C2222,'CEDARS School FRPL'!C:H,6,FALSE),"No")</f>
        <v>No</v>
      </c>
      <c r="O2222" s="147"/>
      <c r="P2222" s="148"/>
    </row>
    <row r="2223" spans="1:16">
      <c r="A2223" s="95" t="s">
        <v>2319</v>
      </c>
      <c r="B2223" s="95" t="s">
        <v>421</v>
      </c>
      <c r="C2223" s="4">
        <v>2792</v>
      </c>
      <c r="D2223" s="95" t="s">
        <v>422</v>
      </c>
      <c r="E2223" s="145">
        <v>371.29</v>
      </c>
      <c r="F2223" s="145">
        <v>0</v>
      </c>
      <c r="G2223" s="145">
        <v>0</v>
      </c>
      <c r="H2223" s="145">
        <v>0</v>
      </c>
      <c r="I2223" s="77">
        <f t="shared" si="37"/>
        <v>371.29</v>
      </c>
      <c r="J2223" s="123" t="str">
        <f>IFERROR(VLOOKUP($C2223,'CEDARS School FRPL'!C:H,4,FALSE),"No")</f>
        <v>Yes</v>
      </c>
      <c r="K2223" s="109"/>
      <c r="L2223" s="109"/>
      <c r="M2223" s="110">
        <f>IFERROR(VLOOKUP($C2223,'CEDARS School FRPL'!C:H,3,FALSE),0)</f>
        <v>0.84019999999999995</v>
      </c>
      <c r="N2223" s="123" t="str">
        <f>IFERROR(VLOOKUP(C2223,'CEDARS School FRPL'!C:H,6,FALSE),"No")</f>
        <v>No</v>
      </c>
      <c r="O2223" s="147"/>
      <c r="P2223" s="148"/>
    </row>
    <row r="2224" spans="1:16">
      <c r="A2224" s="95" t="s">
        <v>2319</v>
      </c>
      <c r="B2224" s="95" t="s">
        <v>421</v>
      </c>
      <c r="C2224" s="4">
        <v>3273</v>
      </c>
      <c r="D2224" s="95" t="s">
        <v>423</v>
      </c>
      <c r="E2224" s="145">
        <v>270.99</v>
      </c>
      <c r="F2224" s="145">
        <v>22.85</v>
      </c>
      <c r="G2224" s="145">
        <v>0</v>
      </c>
      <c r="H2224" s="145">
        <v>0</v>
      </c>
      <c r="I2224" s="77">
        <f t="shared" si="37"/>
        <v>293.84000000000003</v>
      </c>
      <c r="J2224" s="123" t="str">
        <f>IFERROR(VLOOKUP($C2224,'CEDARS School FRPL'!C:H,4,FALSE),"No")</f>
        <v>Yes</v>
      </c>
      <c r="K2224" s="109"/>
      <c r="L2224" s="109"/>
      <c r="M2224" s="110">
        <f>IFERROR(VLOOKUP($C2224,'CEDARS School FRPL'!C:H,3,FALSE),0)</f>
        <v>0.7883</v>
      </c>
      <c r="N2224" s="123" t="str">
        <f>IFERROR(VLOOKUP(C2224,'CEDARS School FRPL'!C:H,6,FALSE),"No")</f>
        <v>No</v>
      </c>
      <c r="O2224" s="147"/>
      <c r="P2224" s="148"/>
    </row>
    <row r="2225" spans="1:16">
      <c r="A2225" s="95" t="s">
        <v>2319</v>
      </c>
      <c r="B2225" s="95" t="s">
        <v>421</v>
      </c>
      <c r="C2225" s="4">
        <v>3909</v>
      </c>
      <c r="D2225" s="95" t="s">
        <v>424</v>
      </c>
      <c r="E2225" s="145">
        <v>218.72</v>
      </c>
      <c r="F2225" s="145">
        <v>0</v>
      </c>
      <c r="G2225" s="145">
        <v>0</v>
      </c>
      <c r="H2225" s="145">
        <v>0</v>
      </c>
      <c r="I2225" s="77">
        <f t="shared" si="37"/>
        <v>218.72</v>
      </c>
      <c r="J2225" s="123" t="str">
        <f>IFERROR(VLOOKUP($C2225,'CEDARS School FRPL'!C:H,4,FALSE),"No")</f>
        <v>Yes</v>
      </c>
      <c r="K2225" s="109"/>
      <c r="L2225" s="109"/>
      <c r="M2225" s="110">
        <f>IFERROR(VLOOKUP($C2225,'CEDARS School FRPL'!C:H,3,FALSE),0)</f>
        <v>0.86973333333333336</v>
      </c>
      <c r="N2225" s="123" t="str">
        <f>IFERROR(VLOOKUP(C2225,'CEDARS School FRPL'!C:H,6,FALSE),"No")</f>
        <v>No</v>
      </c>
      <c r="O2225" s="147"/>
      <c r="P2225" s="148"/>
    </row>
    <row r="2226" spans="1:16">
      <c r="A2226" s="95" t="s">
        <v>2287</v>
      </c>
      <c r="B2226" s="95" t="s">
        <v>213</v>
      </c>
      <c r="C2226" s="4">
        <v>2509</v>
      </c>
      <c r="D2226" s="95" t="s">
        <v>214</v>
      </c>
      <c r="E2226" s="145">
        <v>261.02</v>
      </c>
      <c r="F2226" s="145">
        <v>0</v>
      </c>
      <c r="G2226" s="145">
        <v>0</v>
      </c>
      <c r="H2226" s="145">
        <v>0</v>
      </c>
      <c r="I2226" s="77">
        <f t="shared" si="37"/>
        <v>261.02</v>
      </c>
      <c r="J2226" s="123" t="str">
        <f>IFERROR(VLOOKUP($C2226,'CEDARS School FRPL'!C:H,4,FALSE),"No")</f>
        <v>No</v>
      </c>
      <c r="K2226" s="109"/>
      <c r="L2226" s="109"/>
      <c r="M2226" s="110">
        <f>IFERROR(VLOOKUP($C2226,'CEDARS School FRPL'!C:H,3,FALSE),0)</f>
        <v>0.42986666666666667</v>
      </c>
      <c r="N2226" s="123" t="str">
        <f>IFERROR(VLOOKUP(C2226,'CEDARS School FRPL'!C:H,6,FALSE),"No")</f>
        <v>No</v>
      </c>
      <c r="O2226" s="147"/>
      <c r="P2226" s="148"/>
    </row>
    <row r="2227" spans="1:16">
      <c r="A2227" s="95" t="s">
        <v>2287</v>
      </c>
      <c r="B2227" s="95" t="s">
        <v>213</v>
      </c>
      <c r="C2227" s="4">
        <v>2911</v>
      </c>
      <c r="D2227" s="95" t="s">
        <v>215</v>
      </c>
      <c r="E2227" s="145">
        <v>274.38</v>
      </c>
      <c r="F2227" s="145">
        <v>0</v>
      </c>
      <c r="G2227" s="145">
        <v>0</v>
      </c>
      <c r="H2227" s="145">
        <v>0</v>
      </c>
      <c r="I2227" s="77">
        <f t="shared" si="37"/>
        <v>274.38</v>
      </c>
      <c r="J2227" s="123" t="str">
        <f>IFERROR(VLOOKUP($C2227,'CEDARS School FRPL'!C:H,4,FALSE),"No")</f>
        <v>No</v>
      </c>
      <c r="K2227" s="109"/>
      <c r="L2227" s="109"/>
      <c r="M2227" s="110">
        <f>IFERROR(VLOOKUP($C2227,'CEDARS School FRPL'!C:H,3,FALSE),0)</f>
        <v>0.36663333333333331</v>
      </c>
      <c r="N2227" s="123" t="str">
        <f>IFERROR(VLOOKUP(C2227,'CEDARS School FRPL'!C:H,6,FALSE),"No")</f>
        <v>No</v>
      </c>
      <c r="O2227" s="147"/>
      <c r="P2227" s="148"/>
    </row>
    <row r="2228" spans="1:16">
      <c r="A2228" s="95" t="s">
        <v>2287</v>
      </c>
      <c r="B2228" s="95" t="s">
        <v>213</v>
      </c>
      <c r="C2228" s="4">
        <v>3147</v>
      </c>
      <c r="D2228" s="95" t="s">
        <v>216</v>
      </c>
      <c r="E2228" s="145">
        <v>911.31</v>
      </c>
      <c r="F2228" s="145">
        <v>64.7</v>
      </c>
      <c r="G2228" s="145">
        <v>7.57</v>
      </c>
      <c r="H2228" s="145">
        <v>0</v>
      </c>
      <c r="I2228" s="77">
        <f t="shared" si="37"/>
        <v>983.58</v>
      </c>
      <c r="J2228" s="123" t="str">
        <f>IFERROR(VLOOKUP($C2228,'CEDARS School FRPL'!C:H,4,FALSE),"No")</f>
        <v>No</v>
      </c>
      <c r="K2228" s="109"/>
      <c r="L2228" s="109"/>
      <c r="M2228" s="110">
        <f>IFERROR(VLOOKUP($C2228,'CEDARS School FRPL'!C:H,3,FALSE),0)</f>
        <v>0.32396666666666668</v>
      </c>
      <c r="N2228" s="123" t="str">
        <f>IFERROR(VLOOKUP(C2228,'CEDARS School FRPL'!C:H,6,FALSE),"No")</f>
        <v>No</v>
      </c>
      <c r="O2228" s="147"/>
      <c r="P2228" s="148"/>
    </row>
    <row r="2229" spans="1:16">
      <c r="A2229" s="95" t="s">
        <v>2287</v>
      </c>
      <c r="B2229" s="95" t="s">
        <v>213</v>
      </c>
      <c r="C2229" s="4">
        <v>3270</v>
      </c>
      <c r="D2229" s="95" t="s">
        <v>217</v>
      </c>
      <c r="E2229" s="145">
        <v>280.51</v>
      </c>
      <c r="F2229" s="145">
        <v>0</v>
      </c>
      <c r="G2229" s="145">
        <v>0</v>
      </c>
      <c r="H2229" s="145">
        <v>0</v>
      </c>
      <c r="I2229" s="77">
        <f t="shared" si="37"/>
        <v>280.51</v>
      </c>
      <c r="J2229" s="123" t="str">
        <f>IFERROR(VLOOKUP($C2229,'CEDARS School FRPL'!C:H,4,FALSE),"No")</f>
        <v>No</v>
      </c>
      <c r="K2229" s="109"/>
      <c r="L2229" s="109"/>
      <c r="M2229" s="110">
        <f>IFERROR(VLOOKUP($C2229,'CEDARS School FRPL'!C:H,3,FALSE),0)</f>
        <v>0.30460000000000004</v>
      </c>
      <c r="N2229" s="123" t="str">
        <f>IFERROR(VLOOKUP(C2229,'CEDARS School FRPL'!C:H,6,FALSE),"No")</f>
        <v>No</v>
      </c>
      <c r="O2229" s="147"/>
      <c r="P2229" s="148"/>
    </row>
    <row r="2230" spans="1:16">
      <c r="A2230" s="95" t="s">
        <v>2287</v>
      </c>
      <c r="B2230" s="95" t="s">
        <v>213</v>
      </c>
      <c r="C2230" s="4">
        <v>4207</v>
      </c>
      <c r="D2230" s="95" t="s">
        <v>218</v>
      </c>
      <c r="E2230" s="145">
        <v>463.06</v>
      </c>
      <c r="F2230" s="145">
        <v>0</v>
      </c>
      <c r="G2230" s="145">
        <v>0</v>
      </c>
      <c r="H2230" s="145">
        <v>0</v>
      </c>
      <c r="I2230" s="77">
        <f t="shared" si="37"/>
        <v>463.06</v>
      </c>
      <c r="J2230" s="123" t="str">
        <f>IFERROR(VLOOKUP($C2230,'CEDARS School FRPL'!C:H,4,FALSE),"No")</f>
        <v>No</v>
      </c>
      <c r="K2230" s="109"/>
      <c r="L2230" s="109"/>
      <c r="M2230" s="110">
        <f>IFERROR(VLOOKUP($C2230,'CEDARS School FRPL'!C:H,3,FALSE),0)</f>
        <v>0.44309999999999999</v>
      </c>
      <c r="N2230" s="123" t="str">
        <f>IFERROR(VLOOKUP(C2230,'CEDARS School FRPL'!C:H,6,FALSE),"No")</f>
        <v>No</v>
      </c>
      <c r="O2230" s="147"/>
      <c r="P2230" s="148"/>
    </row>
    <row r="2231" spans="1:16">
      <c r="A2231" s="95" t="s">
        <v>2287</v>
      </c>
      <c r="B2231" s="95" t="s">
        <v>213</v>
      </c>
      <c r="C2231" s="4">
        <v>4549</v>
      </c>
      <c r="D2231" s="95" t="s">
        <v>219</v>
      </c>
      <c r="E2231" s="145">
        <v>228.93</v>
      </c>
      <c r="F2231" s="145">
        <v>0</v>
      </c>
      <c r="G2231" s="145">
        <v>0</v>
      </c>
      <c r="H2231" s="145">
        <v>0</v>
      </c>
      <c r="I2231" s="77">
        <f t="shared" si="37"/>
        <v>228.93</v>
      </c>
      <c r="J2231" s="123" t="str">
        <f>IFERROR(VLOOKUP($C2231,'CEDARS School FRPL'!C:H,4,FALSE),"No")</f>
        <v>No</v>
      </c>
      <c r="M2231" s="110">
        <f>IFERROR(VLOOKUP($C2231,'CEDARS School FRPL'!C:H,3,FALSE),0)</f>
        <v>0.22209999999999999</v>
      </c>
      <c r="N2231" s="123" t="str">
        <f>IFERROR(VLOOKUP(C2231,'CEDARS School FRPL'!C:H,6,FALSE),"No")</f>
        <v>No</v>
      </c>
      <c r="O2231" s="147"/>
      <c r="P2231" s="148"/>
    </row>
    <row r="2232" spans="1:16">
      <c r="A2232" s="95" t="s">
        <v>2287</v>
      </c>
      <c r="B2232" s="95" t="s">
        <v>213</v>
      </c>
      <c r="C2232" s="4">
        <v>5494</v>
      </c>
      <c r="D2232" s="95" t="s">
        <v>2746</v>
      </c>
      <c r="E2232" s="145">
        <v>330.14</v>
      </c>
      <c r="F2232" s="145">
        <v>0</v>
      </c>
      <c r="G2232" s="145">
        <v>0</v>
      </c>
      <c r="H2232" s="145">
        <v>0</v>
      </c>
      <c r="I2232" s="77">
        <f t="shared" si="37"/>
        <v>330.14</v>
      </c>
      <c r="J2232" s="123" t="str">
        <f>IFERROR(VLOOKUP($C2232,'CEDARS School FRPL'!C:H,4,FALSE),"No")</f>
        <v>No</v>
      </c>
      <c r="K2232" s="109"/>
      <c r="L2232" s="109"/>
      <c r="M2232" s="110">
        <f>IFERROR(VLOOKUP($C2232,'CEDARS School FRPL'!C:H,3,FALSE),0)</f>
        <v>0.36809999999999993</v>
      </c>
      <c r="N2232" s="123" t="str">
        <f>IFERROR(VLOOKUP(C2232,'CEDARS School FRPL'!C:H,6,FALSE),"No")</f>
        <v>No</v>
      </c>
      <c r="O2232" s="147"/>
      <c r="P2232" s="148"/>
    </row>
    <row r="2233" spans="1:16">
      <c r="A2233" s="95" t="s">
        <v>2287</v>
      </c>
      <c r="B2233" s="95" t="s">
        <v>213</v>
      </c>
      <c r="C2233" s="4">
        <v>5615</v>
      </c>
      <c r="D2233" s="95" t="s">
        <v>2945</v>
      </c>
      <c r="E2233" s="145">
        <v>78.86</v>
      </c>
      <c r="F2233" s="145">
        <v>0</v>
      </c>
      <c r="G2233" s="145">
        <v>0</v>
      </c>
      <c r="H2233" s="145">
        <v>0</v>
      </c>
      <c r="I2233" s="77">
        <f t="shared" si="37"/>
        <v>78.86</v>
      </c>
      <c r="J2233" s="123" t="str">
        <f>IFERROR(VLOOKUP($C2233,'CEDARS School FRPL'!C:H,4,FALSE),"No")</f>
        <v>No</v>
      </c>
      <c r="K2233" s="109"/>
      <c r="L2233" s="109"/>
      <c r="M2233" s="110">
        <f>IFERROR(VLOOKUP($C2233,'CEDARS School FRPL'!C:H,3,FALSE),0)</f>
        <v>0.31909999999999999</v>
      </c>
      <c r="N2233" s="123" t="str">
        <f>IFERROR(VLOOKUP(C2233,'CEDARS School FRPL'!C:H,6,FALSE),"No")</f>
        <v>No</v>
      </c>
      <c r="O2233" s="147"/>
      <c r="P2233" s="148"/>
    </row>
    <row r="2234" spans="1:16">
      <c r="A2234" s="95" t="s">
        <v>2257</v>
      </c>
      <c r="B2234" s="95" t="s">
        <v>0</v>
      </c>
      <c r="C2234" s="4">
        <v>3075</v>
      </c>
      <c r="D2234" s="95" t="s">
        <v>1</v>
      </c>
      <c r="E2234" s="145">
        <v>79.61</v>
      </c>
      <c r="F2234" s="145">
        <v>0</v>
      </c>
      <c r="G2234" s="145">
        <v>0</v>
      </c>
      <c r="H2234" s="145">
        <v>0</v>
      </c>
      <c r="I2234" s="77">
        <f t="shared" si="37"/>
        <v>79.61</v>
      </c>
      <c r="J2234" s="123" t="str">
        <f>IFERROR(VLOOKUP($C2234,'CEDARS School FRPL'!C:H,4,FALSE),"No")</f>
        <v>Yes</v>
      </c>
      <c r="K2234" s="109"/>
      <c r="L2234" s="109"/>
      <c r="M2234" s="110">
        <f>IFERROR(VLOOKUP($C2234,'CEDARS School FRPL'!C:H,3,FALSE),0)</f>
        <v>0.71816666666666651</v>
      </c>
      <c r="N2234" s="123" t="str">
        <f>IFERROR(VLOOKUP(C2234,'CEDARS School FRPL'!C:H,6,FALSE),"No")</f>
        <v>No</v>
      </c>
      <c r="O2234" s="147"/>
      <c r="P2234" s="148"/>
    </row>
    <row r="2235" spans="1:16">
      <c r="A2235" s="95" t="s">
        <v>2306</v>
      </c>
      <c r="B2235" s="95" t="s">
        <v>355</v>
      </c>
      <c r="C2235" s="4">
        <v>2161</v>
      </c>
      <c r="D2235" s="95" t="s">
        <v>356</v>
      </c>
      <c r="E2235" s="145">
        <v>136.86000000000001</v>
      </c>
      <c r="F2235" s="145">
        <v>0</v>
      </c>
      <c r="G2235" s="145">
        <v>0</v>
      </c>
      <c r="H2235" s="145">
        <v>0</v>
      </c>
      <c r="I2235" s="77">
        <f t="shared" si="37"/>
        <v>136.86000000000001</v>
      </c>
      <c r="J2235" s="123" t="str">
        <f>IFERROR(VLOOKUP($C2235,'CEDARS School FRPL'!C:H,4,FALSE),"No")</f>
        <v>No</v>
      </c>
      <c r="K2235" s="109"/>
      <c r="L2235" s="109"/>
      <c r="M2235" s="110">
        <f>IFERROR(VLOOKUP($C2235,'CEDARS School FRPL'!C:H,3,FALSE),0)</f>
        <v>0.44806666666666667</v>
      </c>
      <c r="N2235" s="123" t="str">
        <f>IFERROR(VLOOKUP(C2235,'CEDARS School FRPL'!C:H,6,FALSE),"No")</f>
        <v>Yes</v>
      </c>
      <c r="O2235" s="147"/>
      <c r="P2235" s="148"/>
    </row>
    <row r="2236" spans="1:16">
      <c r="A2236" s="95" t="s">
        <v>2306</v>
      </c>
      <c r="B2236" s="95" t="s">
        <v>355</v>
      </c>
      <c r="C2236" s="4">
        <v>2162</v>
      </c>
      <c r="D2236" s="95" t="s">
        <v>357</v>
      </c>
      <c r="E2236" s="145">
        <v>116.3</v>
      </c>
      <c r="F2236" s="145">
        <v>5.17</v>
      </c>
      <c r="G2236" s="145">
        <v>0</v>
      </c>
      <c r="H2236" s="145">
        <v>0</v>
      </c>
      <c r="I2236" s="77">
        <f t="shared" si="37"/>
        <v>121.47</v>
      </c>
      <c r="J2236" s="123" t="str">
        <f>IFERROR(VLOOKUP($C2236,'CEDARS School FRPL'!C:H,4,FALSE),"No")</f>
        <v>Yes</v>
      </c>
      <c r="K2236" s="109"/>
      <c r="L2236" s="109"/>
      <c r="M2236" s="110">
        <f>IFERROR(VLOOKUP($C2236,'CEDARS School FRPL'!C:H,3,FALSE),0)</f>
        <v>0.53776666666666662</v>
      </c>
      <c r="N2236" s="123" t="str">
        <f>IFERROR(VLOOKUP(C2236,'CEDARS School FRPL'!C:H,6,FALSE),"No")</f>
        <v>No</v>
      </c>
      <c r="O2236" s="147"/>
      <c r="P2236" s="148"/>
    </row>
    <row r="2237" spans="1:16">
      <c r="A2237" s="95" t="s">
        <v>2505</v>
      </c>
      <c r="B2237" s="95" t="s">
        <v>1928</v>
      </c>
      <c r="C2237" s="4">
        <v>2549</v>
      </c>
      <c r="D2237" s="95" t="s">
        <v>1929</v>
      </c>
      <c r="E2237" s="145">
        <v>166</v>
      </c>
      <c r="F2237" s="145">
        <v>0</v>
      </c>
      <c r="G2237" s="145">
        <v>0</v>
      </c>
      <c r="H2237" s="145">
        <v>0</v>
      </c>
      <c r="I2237" s="77">
        <f t="shared" si="37"/>
        <v>166</v>
      </c>
      <c r="J2237" s="123" t="str">
        <f>IFERROR(VLOOKUP($C2237,'CEDARS School FRPL'!C:H,4,FALSE),"No")</f>
        <v>Yes</v>
      </c>
      <c r="K2237" s="109"/>
      <c r="L2237" s="109"/>
      <c r="M2237" s="110">
        <f>IFERROR(VLOOKUP($C2237,'CEDARS School FRPL'!C:H,3,FALSE),0)</f>
        <v>0.89206666666666667</v>
      </c>
      <c r="N2237" s="123" t="str">
        <f>IFERROR(VLOOKUP(C2237,'CEDARS School FRPL'!C:H,6,FALSE),"No")</f>
        <v>No</v>
      </c>
      <c r="O2237" s="147"/>
      <c r="P2237" s="148"/>
    </row>
    <row r="2238" spans="1:16">
      <c r="A2238" s="95" t="s">
        <v>2505</v>
      </c>
      <c r="B2238" s="95" t="s">
        <v>1928</v>
      </c>
      <c r="C2238" s="4">
        <v>2550</v>
      </c>
      <c r="D2238" s="95" t="s">
        <v>1930</v>
      </c>
      <c r="E2238" s="145">
        <v>96.25</v>
      </c>
      <c r="F2238" s="145">
        <v>3.56</v>
      </c>
      <c r="G2238" s="145">
        <v>2.71</v>
      </c>
      <c r="H2238" s="145">
        <v>0</v>
      </c>
      <c r="I2238" s="77">
        <f t="shared" si="37"/>
        <v>102.52</v>
      </c>
      <c r="J2238" s="123" t="str">
        <f>IFERROR(VLOOKUP($C2238,'CEDARS School FRPL'!C:H,4,FALSE),"No")</f>
        <v>Yes</v>
      </c>
      <c r="K2238" s="109"/>
      <c r="L2238" s="109"/>
      <c r="M2238" s="110">
        <f>IFERROR(VLOOKUP($C2238,'CEDARS School FRPL'!C:H,3,FALSE),0)</f>
        <v>0.8337</v>
      </c>
      <c r="N2238" s="123" t="str">
        <f>IFERROR(VLOOKUP(C2238,'CEDARS School FRPL'!C:H,6,FALSE),"No")</f>
        <v>No</v>
      </c>
      <c r="O2238" s="147"/>
      <c r="P2238" s="148"/>
    </row>
    <row r="2239" spans="1:16">
      <c r="A2239" s="95" t="s">
        <v>2505</v>
      </c>
      <c r="B2239" s="95" t="s">
        <v>1928</v>
      </c>
      <c r="C2239" s="4">
        <v>4232</v>
      </c>
      <c r="D2239" s="95" t="s">
        <v>1931</v>
      </c>
      <c r="E2239" s="145">
        <v>95.86</v>
      </c>
      <c r="F2239" s="145">
        <v>0</v>
      </c>
      <c r="G2239" s="145">
        <v>0</v>
      </c>
      <c r="H2239" s="145">
        <v>0</v>
      </c>
      <c r="I2239" s="77">
        <f t="shared" si="37"/>
        <v>95.86</v>
      </c>
      <c r="J2239" s="123" t="str">
        <f>IFERROR(VLOOKUP($C2239,'CEDARS School FRPL'!C:H,4,FALSE),"No")</f>
        <v>Yes</v>
      </c>
      <c r="K2239" s="109"/>
      <c r="L2239" s="109"/>
      <c r="M2239" s="110">
        <f>IFERROR(VLOOKUP($C2239,'CEDARS School FRPL'!C:H,3,FALSE),0)</f>
        <v>0.9247333333333333</v>
      </c>
      <c r="N2239" s="123" t="str">
        <f>IFERROR(VLOOKUP(C2239,'CEDARS School FRPL'!C:H,6,FALSE),"No")</f>
        <v>No</v>
      </c>
      <c r="O2239" s="147"/>
      <c r="P2239" s="148"/>
    </row>
    <row r="2240" spans="1:16">
      <c r="A2240" s="95" t="s">
        <v>2505</v>
      </c>
      <c r="B2240" s="95" t="s">
        <v>1928</v>
      </c>
      <c r="C2240" s="4">
        <v>5461</v>
      </c>
      <c r="D2240" s="95" t="s">
        <v>2747</v>
      </c>
      <c r="E2240" s="145">
        <v>0</v>
      </c>
      <c r="F2240" s="145">
        <v>0</v>
      </c>
      <c r="G2240" s="145">
        <v>23</v>
      </c>
      <c r="H2240" s="145">
        <v>0</v>
      </c>
      <c r="I2240" s="77">
        <f t="shared" si="37"/>
        <v>23</v>
      </c>
      <c r="J2240" s="123" t="str">
        <f>IFERROR(VLOOKUP($C2240,'CEDARS School FRPL'!C:H,4,FALSE),"No")</f>
        <v>Yes</v>
      </c>
      <c r="K2240" s="109"/>
      <c r="L2240" s="109"/>
      <c r="M2240" s="110">
        <f>IFERROR(VLOOKUP($C2240,'CEDARS School FRPL'!C:H,3,FALSE),0)</f>
        <v>0.55759999999999998</v>
      </c>
      <c r="N2240" s="123" t="str">
        <f>IFERROR(VLOOKUP(C2240,'CEDARS School FRPL'!C:H,6,FALSE),"No")</f>
        <v>No</v>
      </c>
      <c r="O2240" s="147"/>
      <c r="P2240" s="148"/>
    </row>
    <row r="2241" spans="1:16">
      <c r="A2241" s="95" t="s">
        <v>2276</v>
      </c>
      <c r="B2241" s="95" t="s">
        <v>121</v>
      </c>
      <c r="C2241" s="4">
        <v>1612</v>
      </c>
      <c r="D2241" s="95" t="s">
        <v>122</v>
      </c>
      <c r="E2241" s="145">
        <v>4.8</v>
      </c>
      <c r="F2241" s="145">
        <v>0</v>
      </c>
      <c r="G2241" s="145">
        <v>0</v>
      </c>
      <c r="H2241" s="145">
        <v>0</v>
      </c>
      <c r="I2241" s="77">
        <f t="shared" si="37"/>
        <v>4.8</v>
      </c>
      <c r="J2241" s="123" t="str">
        <f>IFERROR(VLOOKUP($C2241,'CEDARS School FRPL'!C:H,4,FALSE),"No")</f>
        <v>No</v>
      </c>
      <c r="K2241" s="109"/>
      <c r="L2241" s="109"/>
      <c r="M2241" s="110">
        <f>IFERROR(VLOOKUP($C2241,'CEDARS School FRPL'!C:H,3,FALSE),0)</f>
        <v>0</v>
      </c>
      <c r="N2241" s="123" t="str">
        <f>IFERROR(VLOOKUP(C2241,'CEDARS School FRPL'!C:H,6,FALSE),"No")</f>
        <v>No</v>
      </c>
      <c r="O2241" s="147"/>
      <c r="P2241" s="148"/>
    </row>
    <row r="2242" spans="1:16">
      <c r="A2242" s="95" t="s">
        <v>2276</v>
      </c>
      <c r="B2242" s="95" t="s">
        <v>121</v>
      </c>
      <c r="C2242" s="4">
        <v>1613</v>
      </c>
      <c r="D2242" s="95" t="s">
        <v>123</v>
      </c>
      <c r="E2242" s="145">
        <v>239.83</v>
      </c>
      <c r="F2242" s="145">
        <v>7.46</v>
      </c>
      <c r="G2242" s="145">
        <v>0</v>
      </c>
      <c r="H2242" s="145">
        <v>0</v>
      </c>
      <c r="I2242" s="77">
        <f t="shared" si="37"/>
        <v>247.29000000000002</v>
      </c>
      <c r="J2242" s="123" t="str">
        <f>IFERROR(VLOOKUP($C2242,'CEDARS School FRPL'!C:H,4,FALSE),"No")</f>
        <v>Yes</v>
      </c>
      <c r="K2242" s="109"/>
      <c r="L2242" s="109"/>
      <c r="M2242" s="110">
        <f>IFERROR(VLOOKUP($C2242,'CEDARS School FRPL'!C:H,3,FALSE),0)</f>
        <v>0.59343333333333337</v>
      </c>
      <c r="N2242" s="123" t="str">
        <f>IFERROR(VLOOKUP(C2242,'CEDARS School FRPL'!C:H,6,FALSE),"No")</f>
        <v>No</v>
      </c>
      <c r="O2242" s="147"/>
      <c r="P2242" s="148"/>
    </row>
    <row r="2243" spans="1:16">
      <c r="A2243" s="95" t="s">
        <v>2276</v>
      </c>
      <c r="B2243" s="95" t="s">
        <v>121</v>
      </c>
      <c r="C2243" s="4">
        <v>2134</v>
      </c>
      <c r="D2243" s="95" t="s">
        <v>124</v>
      </c>
      <c r="E2243" s="145">
        <v>1717.69</v>
      </c>
      <c r="F2243" s="145">
        <v>244.91</v>
      </c>
      <c r="G2243" s="145">
        <v>0</v>
      </c>
      <c r="H2243" s="145">
        <v>0</v>
      </c>
      <c r="I2243" s="77">
        <f t="shared" si="37"/>
        <v>1962.6000000000001</v>
      </c>
      <c r="J2243" s="123" t="str">
        <f>IFERROR(VLOOKUP($C2243,'CEDARS School FRPL'!C:H,4,FALSE),"No")</f>
        <v>Yes</v>
      </c>
      <c r="K2243" s="109"/>
      <c r="L2243" s="109"/>
      <c r="M2243" s="110">
        <f>IFERROR(VLOOKUP($C2243,'CEDARS School FRPL'!C:H,3,FALSE),0)</f>
        <v>0.5404000000000001</v>
      </c>
      <c r="N2243" s="123" t="str">
        <f>IFERROR(VLOOKUP(C2243,'CEDARS School FRPL'!C:H,6,FALSE),"No")</f>
        <v>No</v>
      </c>
      <c r="O2243" s="147"/>
      <c r="P2243" s="148"/>
    </row>
    <row r="2244" spans="1:16">
      <c r="A2244" s="95" t="s">
        <v>2276</v>
      </c>
      <c r="B2244" s="95" t="s">
        <v>121</v>
      </c>
      <c r="C2244" s="4">
        <v>2279</v>
      </c>
      <c r="D2244" s="95" t="s">
        <v>125</v>
      </c>
      <c r="E2244" s="145">
        <v>399.9</v>
      </c>
      <c r="F2244" s="145">
        <v>0</v>
      </c>
      <c r="G2244" s="145">
        <v>0</v>
      </c>
      <c r="H2244" s="145">
        <v>0</v>
      </c>
      <c r="I2244" s="77">
        <f t="shared" ref="I2244:I2307" si="38">+E2244+F2244+G2244+H2244</f>
        <v>399.9</v>
      </c>
      <c r="J2244" s="123" t="str">
        <f>IFERROR(VLOOKUP($C2244,'CEDARS School FRPL'!C:H,4,FALSE),"No")</f>
        <v>Yes</v>
      </c>
      <c r="K2244" s="109"/>
      <c r="L2244" s="109"/>
      <c r="M2244" s="110">
        <f>IFERROR(VLOOKUP($C2244,'CEDARS School FRPL'!C:H,3,FALSE),0)</f>
        <v>0.60886666666666667</v>
      </c>
      <c r="N2244" s="123" t="str">
        <f>IFERROR(VLOOKUP(C2244,'CEDARS School FRPL'!C:H,6,FALSE),"No")</f>
        <v>No</v>
      </c>
      <c r="O2244" s="147"/>
      <c r="P2244" s="148"/>
    </row>
    <row r="2245" spans="1:16">
      <c r="A2245" s="95" t="s">
        <v>2276</v>
      </c>
      <c r="B2245" s="95" t="s">
        <v>121</v>
      </c>
      <c r="C2245" s="4">
        <v>2301</v>
      </c>
      <c r="D2245" s="95" t="s">
        <v>126</v>
      </c>
      <c r="E2245" s="145">
        <v>339.89</v>
      </c>
      <c r="F2245" s="145">
        <v>0</v>
      </c>
      <c r="G2245" s="145">
        <v>0</v>
      </c>
      <c r="H2245" s="145">
        <v>0</v>
      </c>
      <c r="I2245" s="77">
        <f t="shared" si="38"/>
        <v>339.89</v>
      </c>
      <c r="J2245" s="123" t="str">
        <f>IFERROR(VLOOKUP($C2245,'CEDARS School FRPL'!C:H,4,FALSE),"No")</f>
        <v>Yes</v>
      </c>
      <c r="M2245" s="110">
        <f>IFERROR(VLOOKUP($C2245,'CEDARS School FRPL'!C:H,3,FALSE),0)</f>
        <v>0.66213333333333335</v>
      </c>
      <c r="N2245" s="123" t="str">
        <f>IFERROR(VLOOKUP(C2245,'CEDARS School FRPL'!C:H,6,FALSE),"No")</f>
        <v>No</v>
      </c>
      <c r="O2245" s="147"/>
      <c r="P2245" s="148"/>
    </row>
    <row r="2246" spans="1:16">
      <c r="A2246" s="95" t="s">
        <v>2276</v>
      </c>
      <c r="B2246" s="95" t="s">
        <v>121</v>
      </c>
      <c r="C2246" s="4">
        <v>2347</v>
      </c>
      <c r="D2246" s="95" t="s">
        <v>127</v>
      </c>
      <c r="E2246" s="145">
        <v>448.86</v>
      </c>
      <c r="F2246" s="145">
        <v>0</v>
      </c>
      <c r="G2246" s="145">
        <v>0</v>
      </c>
      <c r="H2246" s="145">
        <v>0</v>
      </c>
      <c r="I2246" s="77">
        <f t="shared" si="38"/>
        <v>448.86</v>
      </c>
      <c r="J2246" s="123" t="str">
        <f>IFERROR(VLOOKUP($C2246,'CEDARS School FRPL'!C:H,4,FALSE),"No")</f>
        <v>Yes</v>
      </c>
      <c r="K2246" s="109"/>
      <c r="L2246" s="109"/>
      <c r="M2246" s="110">
        <f>IFERROR(VLOOKUP($C2246,'CEDARS School FRPL'!C:H,3,FALSE),0)</f>
        <v>0.62796666666666667</v>
      </c>
      <c r="N2246" s="123" t="str">
        <f>IFERROR(VLOOKUP(C2246,'CEDARS School FRPL'!C:H,6,FALSE),"No")</f>
        <v>No</v>
      </c>
      <c r="O2246" s="147"/>
      <c r="P2246" s="148"/>
    </row>
    <row r="2247" spans="1:16">
      <c r="A2247" s="95" t="s">
        <v>2276</v>
      </c>
      <c r="B2247" s="95" t="s">
        <v>121</v>
      </c>
      <c r="C2247" s="4">
        <v>2907</v>
      </c>
      <c r="D2247" s="95" t="s">
        <v>40</v>
      </c>
      <c r="E2247" s="145">
        <v>503.24</v>
      </c>
      <c r="F2247" s="145">
        <v>0</v>
      </c>
      <c r="G2247" s="145">
        <v>0</v>
      </c>
      <c r="H2247" s="145">
        <v>0</v>
      </c>
      <c r="I2247" s="77">
        <f t="shared" si="38"/>
        <v>503.24</v>
      </c>
      <c r="J2247" s="123" t="str">
        <f>IFERROR(VLOOKUP($C2247,'CEDARS School FRPL'!C:H,4,FALSE),"No")</f>
        <v>No</v>
      </c>
      <c r="K2247" s="109"/>
      <c r="L2247" s="109"/>
      <c r="M2247" s="110">
        <f>IFERROR(VLOOKUP($C2247,'CEDARS School FRPL'!C:H,3,FALSE),0)</f>
        <v>0.39803333333333329</v>
      </c>
      <c r="N2247" s="123" t="str">
        <f>IFERROR(VLOOKUP(C2247,'CEDARS School FRPL'!C:H,6,FALSE),"No")</f>
        <v>No</v>
      </c>
      <c r="O2247" s="147"/>
      <c r="P2247" s="148"/>
    </row>
    <row r="2248" spans="1:16">
      <c r="A2248" s="95" t="s">
        <v>2276</v>
      </c>
      <c r="B2248" s="95" t="s">
        <v>121</v>
      </c>
      <c r="C2248" s="4">
        <v>3208</v>
      </c>
      <c r="D2248" s="95" t="s">
        <v>128</v>
      </c>
      <c r="E2248" s="145">
        <v>290.51</v>
      </c>
      <c r="F2248" s="145">
        <v>0</v>
      </c>
      <c r="G2248" s="145">
        <v>0</v>
      </c>
      <c r="H2248" s="145">
        <v>0</v>
      </c>
      <c r="I2248" s="77">
        <f t="shared" si="38"/>
        <v>290.51</v>
      </c>
      <c r="J2248" s="123" t="str">
        <f>IFERROR(VLOOKUP($C2248,'CEDARS School FRPL'!C:H,4,FALSE),"No")</f>
        <v>No</v>
      </c>
      <c r="K2248" s="109"/>
      <c r="L2248" s="109"/>
      <c r="M2248" s="110">
        <f>IFERROR(VLOOKUP($C2248,'CEDARS School FRPL'!C:H,3,FALSE),0)</f>
        <v>0.20663333333333334</v>
      </c>
      <c r="N2248" s="123" t="str">
        <f>IFERROR(VLOOKUP(C2248,'CEDARS School FRPL'!C:H,6,FALSE),"No")</f>
        <v>No</v>
      </c>
      <c r="O2248" s="147"/>
      <c r="P2248" s="148"/>
    </row>
    <row r="2249" spans="1:16">
      <c r="A2249" s="95" t="s">
        <v>2276</v>
      </c>
      <c r="B2249" s="95" t="s">
        <v>121</v>
      </c>
      <c r="C2249" s="4">
        <v>3209</v>
      </c>
      <c r="D2249" s="95" t="s">
        <v>129</v>
      </c>
      <c r="E2249" s="145">
        <v>503.62</v>
      </c>
      <c r="F2249" s="145">
        <v>0</v>
      </c>
      <c r="G2249" s="145">
        <v>0</v>
      </c>
      <c r="H2249" s="145">
        <v>0</v>
      </c>
      <c r="I2249" s="77">
        <f t="shared" si="38"/>
        <v>503.62</v>
      </c>
      <c r="J2249" s="123" t="str">
        <f>IFERROR(VLOOKUP($C2249,'CEDARS School FRPL'!C:H,4,FALSE),"No")</f>
        <v>Yes</v>
      </c>
      <c r="K2249" s="109"/>
      <c r="L2249" s="109"/>
      <c r="M2249" s="110">
        <f>IFERROR(VLOOKUP($C2249,'CEDARS School FRPL'!C:H,3,FALSE),0)</f>
        <v>0.65096666666666669</v>
      </c>
      <c r="N2249" s="123" t="str">
        <f>IFERROR(VLOOKUP(C2249,'CEDARS School FRPL'!C:H,6,FALSE),"No")</f>
        <v>No</v>
      </c>
      <c r="O2249" s="147"/>
      <c r="P2249" s="148"/>
    </row>
    <row r="2250" spans="1:16">
      <c r="A2250" s="95" t="s">
        <v>2276</v>
      </c>
      <c r="B2250" s="95" t="s">
        <v>121</v>
      </c>
      <c r="C2250" s="4">
        <v>3210</v>
      </c>
      <c r="D2250" s="95" t="s">
        <v>130</v>
      </c>
      <c r="E2250" s="145">
        <v>627.97</v>
      </c>
      <c r="F2250" s="145">
        <v>0</v>
      </c>
      <c r="G2250" s="145">
        <v>0</v>
      </c>
      <c r="H2250" s="145">
        <v>0</v>
      </c>
      <c r="I2250" s="77">
        <f t="shared" si="38"/>
        <v>627.97</v>
      </c>
      <c r="J2250" s="123" t="str">
        <f>IFERROR(VLOOKUP($C2250,'CEDARS School FRPL'!C:H,4,FALSE),"No")</f>
        <v>Yes</v>
      </c>
      <c r="K2250" s="109"/>
      <c r="L2250" s="109"/>
      <c r="M2250" s="110">
        <f>IFERROR(VLOOKUP($C2250,'CEDARS School FRPL'!C:H,3,FALSE),0)</f>
        <v>0.58566666666666667</v>
      </c>
      <c r="N2250" s="123" t="str">
        <f>IFERROR(VLOOKUP(C2250,'CEDARS School FRPL'!C:H,6,FALSE),"No")</f>
        <v>No</v>
      </c>
      <c r="O2250" s="147"/>
      <c r="P2250" s="148"/>
    </row>
    <row r="2251" spans="1:16">
      <c r="A2251" s="95" t="s">
        <v>2276</v>
      </c>
      <c r="B2251" s="95" t="s">
        <v>121</v>
      </c>
      <c r="C2251" s="4">
        <v>3269</v>
      </c>
      <c r="D2251" s="95" t="s">
        <v>2946</v>
      </c>
      <c r="E2251" s="145">
        <v>0.8</v>
      </c>
      <c r="F2251" s="145">
        <v>0</v>
      </c>
      <c r="G2251" s="145">
        <v>0</v>
      </c>
      <c r="H2251" s="145">
        <v>0</v>
      </c>
      <c r="I2251" s="77">
        <f t="shared" si="38"/>
        <v>0.8</v>
      </c>
      <c r="J2251" s="123" t="str">
        <f>IFERROR(VLOOKUP($C2251,'CEDARS School FRPL'!C:H,4,FALSE),"No")</f>
        <v>No</v>
      </c>
      <c r="K2251" s="109"/>
      <c r="L2251" s="109"/>
      <c r="M2251" s="110">
        <f>IFERROR(VLOOKUP($C2251,'CEDARS School FRPL'!C:H,3,FALSE),0)</f>
        <v>0.18206666666666668</v>
      </c>
      <c r="N2251" s="123" t="str">
        <f>IFERROR(VLOOKUP(C2251,'CEDARS School FRPL'!C:H,6,FALSE),"No")</f>
        <v>No</v>
      </c>
      <c r="O2251" s="147"/>
      <c r="P2251" s="148"/>
    </row>
    <row r="2252" spans="1:16">
      <c r="A2252" s="95" t="s">
        <v>2276</v>
      </c>
      <c r="B2252" s="95" t="s">
        <v>121</v>
      </c>
      <c r="C2252" s="4">
        <v>3370</v>
      </c>
      <c r="D2252" s="95" t="s">
        <v>131</v>
      </c>
      <c r="E2252" s="145">
        <v>416.06</v>
      </c>
      <c r="F2252" s="145">
        <v>0</v>
      </c>
      <c r="G2252" s="145">
        <v>0</v>
      </c>
      <c r="H2252" s="145">
        <v>0</v>
      </c>
      <c r="I2252" s="77">
        <f t="shared" si="38"/>
        <v>416.06</v>
      </c>
      <c r="J2252" s="123" t="str">
        <f>IFERROR(VLOOKUP($C2252,'CEDARS School FRPL'!C:H,4,FALSE),"No")</f>
        <v>Yes</v>
      </c>
      <c r="K2252" s="109"/>
      <c r="L2252" s="109"/>
      <c r="M2252" s="110">
        <f>IFERROR(VLOOKUP($C2252,'CEDARS School FRPL'!C:H,3,FALSE),0)</f>
        <v>0.6673</v>
      </c>
      <c r="N2252" s="123" t="str">
        <f>IFERROR(VLOOKUP(C2252,'CEDARS School FRPL'!C:H,6,FALSE),"No")</f>
        <v>No</v>
      </c>
      <c r="O2252" s="147"/>
      <c r="P2252" s="148"/>
    </row>
    <row r="2253" spans="1:16">
      <c r="A2253" s="95" t="s">
        <v>2276</v>
      </c>
      <c r="B2253" s="95" t="s">
        <v>121</v>
      </c>
      <c r="C2253" s="4">
        <v>4105</v>
      </c>
      <c r="D2253" s="95" t="s">
        <v>132</v>
      </c>
      <c r="E2253" s="145">
        <v>197.37</v>
      </c>
      <c r="F2253" s="145">
        <v>0</v>
      </c>
      <c r="G2253" s="145">
        <v>0</v>
      </c>
      <c r="H2253" s="145">
        <v>0</v>
      </c>
      <c r="I2253" s="77">
        <f t="shared" si="38"/>
        <v>197.37</v>
      </c>
      <c r="J2253" s="123" t="str">
        <f>IFERROR(VLOOKUP($C2253,'CEDARS School FRPL'!C:H,4,FALSE),"No")</f>
        <v>No</v>
      </c>
      <c r="K2253" s="109"/>
      <c r="L2253" s="109"/>
      <c r="M2253" s="110">
        <f>IFERROR(VLOOKUP($C2253,'CEDARS School FRPL'!C:H,3,FALSE),0)</f>
        <v>0.22136666666666663</v>
      </c>
      <c r="N2253" s="123" t="str">
        <f>IFERROR(VLOOKUP(C2253,'CEDARS School FRPL'!C:H,6,FALSE),"No")</f>
        <v>No</v>
      </c>
      <c r="O2253" s="147"/>
      <c r="P2253" s="148"/>
    </row>
    <row r="2254" spans="1:16">
      <c r="A2254" s="95" t="s">
        <v>2276</v>
      </c>
      <c r="B2254" s="95" t="s">
        <v>121</v>
      </c>
      <c r="C2254" s="4">
        <v>4423</v>
      </c>
      <c r="D2254" s="95" t="s">
        <v>133</v>
      </c>
      <c r="E2254" s="145">
        <v>401.42</v>
      </c>
      <c r="F2254" s="145">
        <v>0</v>
      </c>
      <c r="G2254" s="145">
        <v>0</v>
      </c>
      <c r="H2254" s="145">
        <v>0</v>
      </c>
      <c r="I2254" s="77">
        <f t="shared" si="38"/>
        <v>401.42</v>
      </c>
      <c r="J2254" s="123" t="str">
        <f>IFERROR(VLOOKUP($C2254,'CEDARS School FRPL'!C:H,4,FALSE),"No")</f>
        <v>Yes</v>
      </c>
      <c r="K2254" s="109"/>
      <c r="L2254" s="109"/>
      <c r="M2254" s="110">
        <f>IFERROR(VLOOKUP($C2254,'CEDARS School FRPL'!C:H,3,FALSE),0)</f>
        <v>0.53053333333333341</v>
      </c>
      <c r="N2254" s="123" t="str">
        <f>IFERROR(VLOOKUP(C2254,'CEDARS School FRPL'!C:H,6,FALSE),"No")</f>
        <v>No</v>
      </c>
      <c r="O2254" s="147"/>
      <c r="P2254" s="148"/>
    </row>
    <row r="2255" spans="1:16">
      <c r="A2255" s="95" t="s">
        <v>2276</v>
      </c>
      <c r="B2255" s="95" t="s">
        <v>121</v>
      </c>
      <c r="C2255" s="4">
        <v>4432</v>
      </c>
      <c r="D2255" s="95" t="s">
        <v>134</v>
      </c>
      <c r="E2255" s="145">
        <v>547.91999999999996</v>
      </c>
      <c r="F2255" s="145">
        <v>0</v>
      </c>
      <c r="G2255" s="145">
        <v>0</v>
      </c>
      <c r="H2255" s="145">
        <v>0</v>
      </c>
      <c r="I2255" s="77">
        <f t="shared" si="38"/>
        <v>547.91999999999996</v>
      </c>
      <c r="J2255" s="123" t="str">
        <f>IFERROR(VLOOKUP($C2255,'CEDARS School FRPL'!C:H,4,FALSE),"No")</f>
        <v>No</v>
      </c>
      <c r="K2255" s="109"/>
      <c r="L2255" s="109"/>
      <c r="M2255" s="110">
        <f>IFERROR(VLOOKUP($C2255,'CEDARS School FRPL'!C:H,3,FALSE),0)</f>
        <v>0.49730000000000002</v>
      </c>
      <c r="N2255" s="123" t="str">
        <f>IFERROR(VLOOKUP(C2255,'CEDARS School FRPL'!C:H,6,FALSE),"No")</f>
        <v>Yes</v>
      </c>
      <c r="O2255" s="147"/>
      <c r="P2255" s="148"/>
    </row>
    <row r="2256" spans="1:16">
      <c r="A2256" s="95" t="s">
        <v>2276</v>
      </c>
      <c r="B2256" s="95" t="s">
        <v>121</v>
      </c>
      <c r="C2256" s="4">
        <v>5316</v>
      </c>
      <c r="D2256" s="95" t="s">
        <v>135</v>
      </c>
      <c r="E2256" s="145">
        <v>0</v>
      </c>
      <c r="F2256" s="145">
        <v>0</v>
      </c>
      <c r="G2256" s="145">
        <v>51.86</v>
      </c>
      <c r="H2256" s="145">
        <v>0</v>
      </c>
      <c r="I2256" s="77">
        <f t="shared" si="38"/>
        <v>51.86</v>
      </c>
      <c r="J2256" s="123" t="str">
        <f>IFERROR(VLOOKUP($C2256,'CEDARS School FRPL'!C:H,4,FALSE),"No")</f>
        <v>Yes</v>
      </c>
      <c r="K2256" s="109"/>
      <c r="L2256" s="109"/>
      <c r="M2256" s="110">
        <f>IFERROR(VLOOKUP($C2256,'CEDARS School FRPL'!C:H,3,FALSE),0)</f>
        <v>0.70450000000000002</v>
      </c>
      <c r="N2256" s="123" t="str">
        <f>IFERROR(VLOOKUP(C2256,'CEDARS School FRPL'!C:H,6,FALSE),"No")</f>
        <v>No</v>
      </c>
      <c r="O2256" s="147"/>
      <c r="P2256" s="148"/>
    </row>
    <row r="2257" spans="1:16">
      <c r="A2257" s="95" t="s">
        <v>2276</v>
      </c>
      <c r="B2257" s="95" t="s">
        <v>121</v>
      </c>
      <c r="C2257" s="4">
        <v>5569</v>
      </c>
      <c r="D2257" s="95" t="s">
        <v>2821</v>
      </c>
      <c r="E2257" s="145">
        <v>155.9</v>
      </c>
      <c r="F2257" s="145">
        <v>0</v>
      </c>
      <c r="G2257" s="145">
        <v>0</v>
      </c>
      <c r="H2257" s="145">
        <v>0</v>
      </c>
      <c r="I2257" s="77">
        <f t="shared" si="38"/>
        <v>155.9</v>
      </c>
      <c r="J2257" s="123" t="str">
        <f>IFERROR(VLOOKUP($C2257,'CEDARS School FRPL'!C:H,4,FALSE),"No")</f>
        <v>No</v>
      </c>
      <c r="K2257" s="109"/>
      <c r="L2257" s="109"/>
      <c r="M2257" s="110">
        <f>IFERROR(VLOOKUP($C2257,'CEDARS School FRPL'!C:H,3,FALSE),0)</f>
        <v>0.10823333333333333</v>
      </c>
      <c r="N2257" s="123" t="str">
        <f>IFERROR(VLOOKUP(C2257,'CEDARS School FRPL'!C:H,6,FALSE),"No")</f>
        <v>No</v>
      </c>
      <c r="O2257" s="147"/>
      <c r="P2257" s="148"/>
    </row>
    <row r="2258" spans="1:16">
      <c r="A2258" s="95" t="s">
        <v>2276</v>
      </c>
      <c r="B2258" s="95" t="s">
        <v>121</v>
      </c>
      <c r="C2258" s="4">
        <v>5637</v>
      </c>
      <c r="D2258" s="95" t="s">
        <v>2947</v>
      </c>
      <c r="E2258" s="145">
        <v>187.29</v>
      </c>
      <c r="F2258" s="145">
        <v>0</v>
      </c>
      <c r="G2258" s="145">
        <v>0</v>
      </c>
      <c r="H2258" s="145">
        <v>0</v>
      </c>
      <c r="I2258" s="77">
        <f t="shared" si="38"/>
        <v>187.29</v>
      </c>
      <c r="J2258" s="123" t="str">
        <f>IFERROR(VLOOKUP($C2258,'CEDARS School FRPL'!C:H,4,FALSE),"No")</f>
        <v>Yes</v>
      </c>
      <c r="K2258" s="109"/>
      <c r="L2258" s="109"/>
      <c r="M2258" s="110">
        <f>IFERROR(VLOOKUP($C2258,'CEDARS School FRPL'!C:H,3,FALSE),0)</f>
        <v>0.53769999999999996</v>
      </c>
      <c r="N2258" s="123" t="str">
        <f>IFERROR(VLOOKUP(C2258,'CEDARS School FRPL'!C:H,6,FALSE),"No")</f>
        <v>No</v>
      </c>
      <c r="O2258" s="147"/>
      <c r="P2258" s="148"/>
    </row>
    <row r="2259" spans="1:16">
      <c r="A2259" s="95" t="s">
        <v>2497</v>
      </c>
      <c r="B2259" s="95" t="s">
        <v>1898</v>
      </c>
      <c r="C2259" s="4">
        <v>1628</v>
      </c>
      <c r="D2259" s="95" t="s">
        <v>1899</v>
      </c>
      <c r="E2259" s="145">
        <v>282.22000000000003</v>
      </c>
      <c r="F2259" s="145">
        <v>0</v>
      </c>
      <c r="G2259" s="145">
        <v>0</v>
      </c>
      <c r="H2259" s="145">
        <v>0</v>
      </c>
      <c r="I2259" s="77">
        <f t="shared" si="38"/>
        <v>282.22000000000003</v>
      </c>
      <c r="J2259" s="123" t="str">
        <f>IFERROR(VLOOKUP($C2259,'CEDARS School FRPL'!C:H,4,FALSE),"No")</f>
        <v>Yes</v>
      </c>
      <c r="K2259" s="109"/>
      <c r="L2259" s="109"/>
      <c r="M2259" s="110">
        <f>IFERROR(VLOOKUP($C2259,'CEDARS School FRPL'!C:H,3,FALSE),0)</f>
        <v>0.94300000000000006</v>
      </c>
      <c r="N2259" s="123" t="str">
        <f>IFERROR(VLOOKUP(C2259,'CEDARS School FRPL'!C:H,6,FALSE),"No")</f>
        <v>No</v>
      </c>
      <c r="O2259" s="147"/>
      <c r="P2259" s="148"/>
    </row>
    <row r="2260" spans="1:16">
      <c r="A2260" s="95" t="s">
        <v>2497</v>
      </c>
      <c r="B2260" s="95" t="s">
        <v>1898</v>
      </c>
      <c r="C2260" s="4">
        <v>1755</v>
      </c>
      <c r="D2260" s="95" t="s">
        <v>1900</v>
      </c>
      <c r="E2260" s="145">
        <v>153.54</v>
      </c>
      <c r="F2260" s="145">
        <v>0</v>
      </c>
      <c r="G2260" s="145">
        <v>0</v>
      </c>
      <c r="H2260" s="145">
        <v>0</v>
      </c>
      <c r="I2260" s="77">
        <f t="shared" si="38"/>
        <v>153.54</v>
      </c>
      <c r="J2260" s="123" t="str">
        <f>IFERROR(VLOOKUP($C2260,'CEDARS School FRPL'!C:H,4,FALSE),"No")</f>
        <v>No</v>
      </c>
      <c r="K2260" s="109"/>
      <c r="L2260" s="109"/>
      <c r="M2260" s="110">
        <f>IFERROR(VLOOKUP($C2260,'CEDARS School FRPL'!C:H,3,FALSE),0)</f>
        <v>0.44113333333333338</v>
      </c>
      <c r="N2260" s="123" t="str">
        <f>IFERROR(VLOOKUP(C2260,'CEDARS School FRPL'!C:H,6,FALSE),"No")</f>
        <v>No</v>
      </c>
      <c r="O2260" s="147"/>
      <c r="P2260" s="148"/>
    </row>
    <row r="2261" spans="1:16">
      <c r="A2261" s="95" t="s">
        <v>2497</v>
      </c>
      <c r="B2261" s="95" t="s">
        <v>1898</v>
      </c>
      <c r="C2261" s="4">
        <v>2711</v>
      </c>
      <c r="D2261" s="95" t="s">
        <v>1902</v>
      </c>
      <c r="E2261" s="145">
        <v>169.09</v>
      </c>
      <c r="F2261" s="145">
        <v>0</v>
      </c>
      <c r="G2261" s="145">
        <v>0</v>
      </c>
      <c r="H2261" s="145">
        <v>0</v>
      </c>
      <c r="I2261" s="77">
        <f t="shared" si="38"/>
        <v>169.09</v>
      </c>
      <c r="J2261" s="123" t="str">
        <f>IFERROR(VLOOKUP($C2261,'CEDARS School FRPL'!C:H,4,FALSE),"No")</f>
        <v>No</v>
      </c>
      <c r="K2261" s="109"/>
      <c r="L2261" s="109"/>
      <c r="M2261" s="110">
        <f>IFERROR(VLOOKUP($C2261,'CEDARS School FRPL'!C:H,3,FALSE),0)</f>
        <v>0.43293333333333334</v>
      </c>
      <c r="N2261" s="123" t="str">
        <f>IFERROR(VLOOKUP(C2261,'CEDARS School FRPL'!C:H,6,FALSE),"No")</f>
        <v>No</v>
      </c>
      <c r="O2261" s="147"/>
      <c r="P2261" s="148"/>
    </row>
    <row r="2262" spans="1:16">
      <c r="A2262" s="95" t="s">
        <v>2497</v>
      </c>
      <c r="B2262" s="95" t="s">
        <v>1898</v>
      </c>
      <c r="C2262" s="4">
        <v>2956</v>
      </c>
      <c r="D2262" s="95" t="s">
        <v>1903</v>
      </c>
      <c r="E2262" s="145">
        <v>235.86</v>
      </c>
      <c r="F2262" s="145">
        <v>0</v>
      </c>
      <c r="G2262" s="145">
        <v>0</v>
      </c>
      <c r="H2262" s="145">
        <v>0</v>
      </c>
      <c r="I2262" s="77">
        <f t="shared" si="38"/>
        <v>235.86</v>
      </c>
      <c r="J2262" s="123" t="str">
        <f>IFERROR(VLOOKUP($C2262,'CEDARS School FRPL'!C:H,4,FALSE),"No")</f>
        <v>Yes</v>
      </c>
      <c r="K2262" s="109"/>
      <c r="L2262" s="109"/>
      <c r="M2262" s="110">
        <f>IFERROR(VLOOKUP($C2262,'CEDARS School FRPL'!C:H,3,FALSE),0)</f>
        <v>0.56330000000000002</v>
      </c>
      <c r="N2262" s="123" t="str">
        <f>IFERROR(VLOOKUP(C2262,'CEDARS School FRPL'!C:H,6,FALSE),"No")</f>
        <v>No</v>
      </c>
      <c r="O2262" s="147"/>
      <c r="P2262" s="148"/>
    </row>
    <row r="2263" spans="1:16">
      <c r="A2263" s="95" t="s">
        <v>2497</v>
      </c>
      <c r="B2263" s="95" t="s">
        <v>1898</v>
      </c>
      <c r="C2263" s="4">
        <v>3129</v>
      </c>
      <c r="D2263" s="95" t="s">
        <v>1904</v>
      </c>
      <c r="E2263" s="145">
        <v>226.04</v>
      </c>
      <c r="F2263" s="145">
        <v>0</v>
      </c>
      <c r="G2263" s="145">
        <v>0</v>
      </c>
      <c r="H2263" s="145">
        <v>0</v>
      </c>
      <c r="I2263" s="77">
        <f t="shared" si="38"/>
        <v>226.04</v>
      </c>
      <c r="J2263" s="123" t="str">
        <f>IFERROR(VLOOKUP($C2263,'CEDARS School FRPL'!C:H,4,FALSE),"No")</f>
        <v>Yes</v>
      </c>
      <c r="M2263" s="110">
        <f>IFERROR(VLOOKUP($C2263,'CEDARS School FRPL'!C:H,3,FALSE),0)</f>
        <v>0.58616666666666661</v>
      </c>
      <c r="N2263" s="123" t="str">
        <f>IFERROR(VLOOKUP(C2263,'CEDARS School FRPL'!C:H,6,FALSE),"No")</f>
        <v>No</v>
      </c>
      <c r="O2263" s="147"/>
      <c r="P2263" s="148"/>
    </row>
    <row r="2264" spans="1:16">
      <c r="A2264" s="95" t="s">
        <v>2497</v>
      </c>
      <c r="B2264" s="95" t="s">
        <v>1898</v>
      </c>
      <c r="C2264" s="4">
        <v>3194</v>
      </c>
      <c r="D2264" s="95" t="s">
        <v>1905</v>
      </c>
      <c r="E2264" s="145">
        <v>320.70999999999998</v>
      </c>
      <c r="F2264" s="145">
        <v>0</v>
      </c>
      <c r="G2264" s="145">
        <v>0</v>
      </c>
      <c r="H2264" s="145">
        <v>0</v>
      </c>
      <c r="I2264" s="77">
        <f t="shared" si="38"/>
        <v>320.70999999999998</v>
      </c>
      <c r="J2264" s="123" t="str">
        <f>IFERROR(VLOOKUP($C2264,'CEDARS School FRPL'!C:H,4,FALSE),"No")</f>
        <v>No</v>
      </c>
      <c r="K2264" s="109"/>
      <c r="L2264" s="109"/>
      <c r="M2264" s="110">
        <f>IFERROR(VLOOKUP($C2264,'CEDARS School FRPL'!C:H,3,FALSE),0)</f>
        <v>0.31559999999999999</v>
      </c>
      <c r="N2264" s="123" t="str">
        <f>IFERROR(VLOOKUP(C2264,'CEDARS School FRPL'!C:H,6,FALSE),"No")</f>
        <v>No</v>
      </c>
      <c r="O2264" s="147"/>
      <c r="P2264" s="148"/>
    </row>
    <row r="2265" spans="1:16">
      <c r="A2265" s="95" t="s">
        <v>2497</v>
      </c>
      <c r="B2265" s="95" t="s">
        <v>1898</v>
      </c>
      <c r="C2265" s="4">
        <v>3195</v>
      </c>
      <c r="D2265" s="95" t="s">
        <v>1906</v>
      </c>
      <c r="E2265" s="145">
        <v>827.93</v>
      </c>
      <c r="F2265" s="145">
        <v>61.61</v>
      </c>
      <c r="G2265" s="145">
        <v>0</v>
      </c>
      <c r="H2265" s="145">
        <v>0</v>
      </c>
      <c r="I2265" s="77">
        <f t="shared" si="38"/>
        <v>889.54</v>
      </c>
      <c r="J2265" s="123" t="str">
        <f>IFERROR(VLOOKUP($C2265,'CEDARS School FRPL'!C:H,4,FALSE),"No")</f>
        <v>No</v>
      </c>
      <c r="K2265" s="109"/>
      <c r="L2265" s="109"/>
      <c r="M2265" s="110">
        <f>IFERROR(VLOOKUP($C2265,'CEDARS School FRPL'!C:H,3,FALSE),0)</f>
        <v>0.4190666666666667</v>
      </c>
      <c r="N2265" s="123" t="str">
        <f>IFERROR(VLOOKUP(C2265,'CEDARS School FRPL'!C:H,6,FALSE),"No")</f>
        <v>No</v>
      </c>
      <c r="O2265" s="147"/>
      <c r="P2265" s="148"/>
    </row>
    <row r="2266" spans="1:16">
      <c r="A2266" s="95" t="s">
        <v>2497</v>
      </c>
      <c r="B2266" s="95" t="s">
        <v>1898</v>
      </c>
      <c r="C2266" s="4">
        <v>3196</v>
      </c>
      <c r="D2266" s="95" t="s">
        <v>1907</v>
      </c>
      <c r="E2266" s="145">
        <v>248.46</v>
      </c>
      <c r="F2266" s="145">
        <v>0</v>
      </c>
      <c r="G2266" s="145">
        <v>0</v>
      </c>
      <c r="H2266" s="145">
        <v>0</v>
      </c>
      <c r="I2266" s="77">
        <f t="shared" si="38"/>
        <v>248.46</v>
      </c>
      <c r="J2266" s="123" t="str">
        <f>IFERROR(VLOOKUP($C2266,'CEDARS School FRPL'!C:H,4,FALSE),"No")</f>
        <v>Yes</v>
      </c>
      <c r="K2266" s="109"/>
      <c r="L2266" s="109"/>
      <c r="M2266" s="110">
        <f>IFERROR(VLOOKUP($C2266,'CEDARS School FRPL'!C:H,3,FALSE),0)</f>
        <v>0.66183333333333338</v>
      </c>
      <c r="N2266" s="123" t="str">
        <f>IFERROR(VLOOKUP(C2266,'CEDARS School FRPL'!C:H,6,FALSE),"No")</f>
        <v>No</v>
      </c>
      <c r="O2266" s="147"/>
      <c r="P2266" s="148"/>
    </row>
    <row r="2267" spans="1:16">
      <c r="A2267" s="95" t="s">
        <v>2497</v>
      </c>
      <c r="B2267" s="95" t="s">
        <v>1898</v>
      </c>
      <c r="C2267" s="4">
        <v>3538</v>
      </c>
      <c r="D2267" s="95" t="s">
        <v>1737</v>
      </c>
      <c r="E2267" s="145">
        <v>571.03</v>
      </c>
      <c r="F2267" s="145">
        <v>0</v>
      </c>
      <c r="G2267" s="145">
        <v>0</v>
      </c>
      <c r="H2267" s="145">
        <v>0</v>
      </c>
      <c r="I2267" s="77">
        <f t="shared" si="38"/>
        <v>571.03</v>
      </c>
      <c r="J2267" s="123" t="str">
        <f>IFERROR(VLOOKUP($C2267,'CEDARS School FRPL'!C:H,4,FALSE),"No")</f>
        <v>Yes</v>
      </c>
      <c r="K2267" s="109"/>
      <c r="L2267" s="109"/>
      <c r="M2267" s="110">
        <f>IFERROR(VLOOKUP($C2267,'CEDARS School FRPL'!C:H,3,FALSE),0)</f>
        <v>0.52559999999999996</v>
      </c>
      <c r="N2267" s="123" t="str">
        <f>IFERROR(VLOOKUP(C2267,'CEDARS School FRPL'!C:H,6,FALSE),"No")</f>
        <v>No</v>
      </c>
      <c r="O2267" s="147"/>
      <c r="P2267" s="148"/>
    </row>
    <row r="2268" spans="1:16">
      <c r="A2268" s="95" t="s">
        <v>2497</v>
      </c>
      <c r="B2268" s="95" t="s">
        <v>1898</v>
      </c>
      <c r="C2268" s="4">
        <v>5356</v>
      </c>
      <c r="D2268" s="95" t="s">
        <v>2748</v>
      </c>
      <c r="E2268" s="145">
        <v>0</v>
      </c>
      <c r="F2268" s="145">
        <v>0</v>
      </c>
      <c r="G2268" s="145">
        <v>2.57</v>
      </c>
      <c r="H2268" s="145">
        <v>0</v>
      </c>
      <c r="I2268" s="77">
        <f t="shared" si="38"/>
        <v>2.57</v>
      </c>
      <c r="J2268" s="123" t="str">
        <f>IFERROR(VLOOKUP($C2268,'CEDARS School FRPL'!C:H,4,FALSE),"No")</f>
        <v>Yes</v>
      </c>
      <c r="K2268" s="109"/>
      <c r="L2268" s="109"/>
      <c r="M2268" s="110">
        <f>IFERROR(VLOOKUP($C2268,'CEDARS School FRPL'!C:H,3,FALSE),0)</f>
        <v>0.66669999999999996</v>
      </c>
      <c r="N2268" s="123" t="str">
        <f>IFERROR(VLOOKUP(C2268,'CEDARS School FRPL'!C:H,6,FALSE),"No")</f>
        <v>No</v>
      </c>
      <c r="O2268" s="147"/>
      <c r="P2268" s="148"/>
    </row>
    <row r="2269" spans="1:16">
      <c r="A2269" s="95" t="s">
        <v>2497</v>
      </c>
      <c r="B2269" s="95" t="s">
        <v>1898</v>
      </c>
      <c r="C2269" s="4">
        <v>5645</v>
      </c>
      <c r="D2269" s="95" t="s">
        <v>1901</v>
      </c>
      <c r="E2269" s="145">
        <v>247.72</v>
      </c>
      <c r="F2269" s="145">
        <v>4.63</v>
      </c>
      <c r="G2269" s="145">
        <v>0</v>
      </c>
      <c r="H2269" s="145">
        <v>0</v>
      </c>
      <c r="I2269" s="77">
        <f t="shared" si="38"/>
        <v>252.35</v>
      </c>
      <c r="J2269" s="123" t="str">
        <f>IFERROR(VLOOKUP($C2269,'CEDARS School FRPL'!C:H,4,FALSE),"No")</f>
        <v>Yes</v>
      </c>
      <c r="K2269" s="109"/>
      <c r="L2269" s="109"/>
      <c r="M2269" s="110">
        <f>IFERROR(VLOOKUP($C2269,'CEDARS School FRPL'!C:H,3,FALSE),0)</f>
        <v>0.56925000000000003</v>
      </c>
      <c r="N2269" s="123" t="str">
        <f>IFERROR(VLOOKUP(C2269,'CEDARS School FRPL'!C:H,6,FALSE),"No")</f>
        <v>No</v>
      </c>
      <c r="O2269" s="147"/>
      <c r="P2269" s="148"/>
    </row>
    <row r="2270" spans="1:16">
      <c r="A2270" s="95" t="s">
        <v>2497</v>
      </c>
      <c r="B2270" s="95" t="s">
        <v>1898</v>
      </c>
      <c r="C2270" s="4">
        <v>5698</v>
      </c>
      <c r="D2270" s="95" t="s">
        <v>3052</v>
      </c>
      <c r="E2270" s="145">
        <v>54.97</v>
      </c>
      <c r="F2270" s="145">
        <v>0</v>
      </c>
      <c r="G2270" s="145">
        <v>0</v>
      </c>
      <c r="H2270" s="145">
        <v>0</v>
      </c>
      <c r="I2270" s="77">
        <f t="shared" si="38"/>
        <v>54.97</v>
      </c>
      <c r="J2270" s="123" t="str">
        <f>IFERROR(VLOOKUP($C2270,'CEDARS School FRPL'!C:H,4,FALSE),"No")</f>
        <v>Yes</v>
      </c>
      <c r="K2270" s="109"/>
      <c r="L2270" s="109"/>
      <c r="M2270" s="110">
        <f>IFERROR(VLOOKUP($C2270,'CEDARS School FRPL'!C:H,3,FALSE),0)</f>
        <v>0.71150000000000002</v>
      </c>
      <c r="N2270" s="123" t="str">
        <f>IFERROR(VLOOKUP(C2270,'CEDARS School FRPL'!C:H,6,FALSE),"No")</f>
        <v>No</v>
      </c>
      <c r="O2270" s="147"/>
      <c r="P2270" s="148"/>
    </row>
    <row r="2271" spans="1:16">
      <c r="A2271" s="95" t="s">
        <v>2566</v>
      </c>
      <c r="B2271" s="95" t="s">
        <v>2246</v>
      </c>
      <c r="C2271" s="4">
        <v>2505</v>
      </c>
      <c r="D2271" s="95" t="s">
        <v>2247</v>
      </c>
      <c r="E2271" s="145">
        <v>420.47</v>
      </c>
      <c r="F2271" s="145">
        <v>0</v>
      </c>
      <c r="G2271" s="145">
        <v>0</v>
      </c>
      <c r="H2271" s="145">
        <v>0</v>
      </c>
      <c r="I2271" s="77">
        <f t="shared" si="38"/>
        <v>420.47</v>
      </c>
      <c r="J2271" s="123" t="str">
        <f>IFERROR(VLOOKUP($C2271,'CEDARS School FRPL'!C:H,4,FALSE),"No")</f>
        <v>Yes</v>
      </c>
      <c r="K2271" s="109"/>
      <c r="L2271" s="109"/>
      <c r="M2271" s="110">
        <f>IFERROR(VLOOKUP($C2271,'CEDARS School FRPL'!C:H,3,FALSE),0)</f>
        <v>0.56740000000000002</v>
      </c>
      <c r="N2271" s="123" t="str">
        <f>IFERROR(VLOOKUP(C2271,'CEDARS School FRPL'!C:H,6,FALSE),"No")</f>
        <v>No</v>
      </c>
      <c r="O2271" s="147"/>
      <c r="P2271" s="148"/>
    </row>
    <row r="2272" spans="1:16">
      <c r="A2272" s="95" t="s">
        <v>2566</v>
      </c>
      <c r="B2272" s="95" t="s">
        <v>2246</v>
      </c>
      <c r="C2272" s="4">
        <v>2758</v>
      </c>
      <c r="D2272" s="95" t="s">
        <v>2248</v>
      </c>
      <c r="E2272" s="145">
        <v>236.43</v>
      </c>
      <c r="F2272" s="145">
        <v>0</v>
      </c>
      <c r="G2272" s="145">
        <v>0</v>
      </c>
      <c r="H2272" s="145">
        <v>0</v>
      </c>
      <c r="I2272" s="77">
        <f t="shared" si="38"/>
        <v>236.43</v>
      </c>
      <c r="J2272" s="123" t="str">
        <f>IFERROR(VLOOKUP($C2272,'CEDARS School FRPL'!C:H,4,FALSE),"No")</f>
        <v>Yes</v>
      </c>
      <c r="M2272" s="110">
        <f>IFERROR(VLOOKUP($C2272,'CEDARS School FRPL'!C:H,3,FALSE),0)</f>
        <v>0.50896666666666668</v>
      </c>
      <c r="N2272" s="123" t="str">
        <f>IFERROR(VLOOKUP(C2272,'CEDARS School FRPL'!C:H,6,FALSE),"No")</f>
        <v>No</v>
      </c>
      <c r="O2272" s="147"/>
      <c r="P2272" s="148"/>
    </row>
    <row r="2273" spans="1:16">
      <c r="A2273" s="95" t="s">
        <v>2566</v>
      </c>
      <c r="B2273" s="95" t="s">
        <v>2246</v>
      </c>
      <c r="C2273" s="4">
        <v>2822</v>
      </c>
      <c r="D2273" s="95" t="s">
        <v>2249</v>
      </c>
      <c r="E2273" s="145">
        <v>362.84</v>
      </c>
      <c r="F2273" s="145">
        <v>0</v>
      </c>
      <c r="G2273" s="145">
        <v>0</v>
      </c>
      <c r="H2273" s="145">
        <v>0</v>
      </c>
      <c r="I2273" s="77">
        <f t="shared" si="38"/>
        <v>362.84</v>
      </c>
      <c r="J2273" s="123" t="str">
        <f>IFERROR(VLOOKUP($C2273,'CEDARS School FRPL'!C:H,4,FALSE),"No")</f>
        <v>Yes</v>
      </c>
      <c r="K2273" s="109"/>
      <c r="L2273" s="109"/>
      <c r="M2273" s="110">
        <f>IFERROR(VLOOKUP($C2273,'CEDARS School FRPL'!C:H,3,FALSE),0)</f>
        <v>0.59773333333333334</v>
      </c>
      <c r="N2273" s="123" t="str">
        <f>IFERROR(VLOOKUP(C2273,'CEDARS School FRPL'!C:H,6,FALSE),"No")</f>
        <v>No</v>
      </c>
      <c r="O2273" s="147"/>
      <c r="P2273" s="148"/>
    </row>
    <row r="2274" spans="1:16">
      <c r="A2274" s="95" t="s">
        <v>2566</v>
      </c>
      <c r="B2274" s="95" t="s">
        <v>2246</v>
      </c>
      <c r="C2274" s="4">
        <v>3074</v>
      </c>
      <c r="D2274" s="95" t="s">
        <v>1906</v>
      </c>
      <c r="E2274" s="145">
        <v>1375.16</v>
      </c>
      <c r="F2274" s="145">
        <v>86.539999999999992</v>
      </c>
      <c r="G2274" s="145">
        <v>0</v>
      </c>
      <c r="H2274" s="145">
        <v>0</v>
      </c>
      <c r="I2274" s="77">
        <f t="shared" si="38"/>
        <v>1461.7</v>
      </c>
      <c r="J2274" s="123" t="str">
        <f>IFERROR(VLOOKUP($C2274,'CEDARS School FRPL'!C:H,4,FALSE),"No")</f>
        <v>No</v>
      </c>
      <c r="K2274" s="109"/>
      <c r="L2274" s="109"/>
      <c r="M2274" s="110">
        <f>IFERROR(VLOOKUP($C2274,'CEDARS School FRPL'!C:H,3,FALSE),0)</f>
        <v>0.41756666666666664</v>
      </c>
      <c r="N2274" s="123" t="str">
        <f>IFERROR(VLOOKUP(C2274,'CEDARS School FRPL'!C:H,6,FALSE),"No")</f>
        <v>No</v>
      </c>
      <c r="O2274" s="147"/>
      <c r="P2274" s="148"/>
    </row>
    <row r="2275" spans="1:16">
      <c r="A2275" s="95" t="s">
        <v>2566</v>
      </c>
      <c r="B2275" s="95" t="s">
        <v>2246</v>
      </c>
      <c r="C2275" s="4">
        <v>3207</v>
      </c>
      <c r="D2275" s="95" t="s">
        <v>2250</v>
      </c>
      <c r="E2275" s="145">
        <v>497.02</v>
      </c>
      <c r="F2275" s="145">
        <v>0</v>
      </c>
      <c r="G2275" s="145">
        <v>0</v>
      </c>
      <c r="H2275" s="145">
        <v>0</v>
      </c>
      <c r="I2275" s="77">
        <f t="shared" si="38"/>
        <v>497.02</v>
      </c>
      <c r="J2275" s="123" t="str">
        <f>IFERROR(VLOOKUP($C2275,'CEDARS School FRPL'!C:H,4,FALSE),"No")</f>
        <v>Yes</v>
      </c>
      <c r="K2275" s="109"/>
      <c r="L2275" s="109"/>
      <c r="M2275" s="110">
        <f>IFERROR(VLOOKUP($C2275,'CEDARS School FRPL'!C:H,3,FALSE),0)</f>
        <v>0.53003333333333325</v>
      </c>
      <c r="N2275" s="123" t="str">
        <f>IFERROR(VLOOKUP(C2275,'CEDARS School FRPL'!C:H,6,FALSE),"No")</f>
        <v>No</v>
      </c>
      <c r="O2275" s="147"/>
      <c r="P2275" s="148"/>
    </row>
    <row r="2276" spans="1:16">
      <c r="A2276" s="95" t="s">
        <v>2566</v>
      </c>
      <c r="B2276" s="95" t="s">
        <v>2246</v>
      </c>
      <c r="C2276" s="4">
        <v>3699</v>
      </c>
      <c r="D2276" s="95" t="s">
        <v>2251</v>
      </c>
      <c r="E2276" s="145">
        <v>415.73</v>
      </c>
      <c r="F2276" s="145">
        <v>0</v>
      </c>
      <c r="G2276" s="145">
        <v>0</v>
      </c>
      <c r="H2276" s="145">
        <v>0</v>
      </c>
      <c r="I2276" s="77">
        <f t="shared" si="38"/>
        <v>415.73</v>
      </c>
      <c r="J2276" s="123" t="str">
        <f>IFERROR(VLOOKUP($C2276,'CEDARS School FRPL'!C:H,4,FALSE),"No")</f>
        <v>No</v>
      </c>
      <c r="K2276" s="109"/>
      <c r="L2276" s="109"/>
      <c r="M2276" s="110">
        <f>IFERROR(VLOOKUP($C2276,'CEDARS School FRPL'!C:H,3,FALSE),0)</f>
        <v>0.36749999999999999</v>
      </c>
      <c r="N2276" s="123" t="str">
        <f>IFERROR(VLOOKUP(C2276,'CEDARS School FRPL'!C:H,6,FALSE),"No")</f>
        <v>No</v>
      </c>
      <c r="O2276" s="147"/>
      <c r="P2276" s="148"/>
    </row>
    <row r="2277" spans="1:16">
      <c r="A2277" s="95" t="s">
        <v>2566</v>
      </c>
      <c r="B2277" s="95" t="s">
        <v>2246</v>
      </c>
      <c r="C2277" s="4">
        <v>4040</v>
      </c>
      <c r="D2277" s="95" t="s">
        <v>2252</v>
      </c>
      <c r="E2277" s="145">
        <v>1178.76</v>
      </c>
      <c r="F2277" s="145">
        <v>0</v>
      </c>
      <c r="G2277" s="145">
        <v>0</v>
      </c>
      <c r="H2277" s="145">
        <v>0</v>
      </c>
      <c r="I2277" s="77">
        <f t="shared" si="38"/>
        <v>1178.76</v>
      </c>
      <c r="J2277" s="123" t="str">
        <f>IFERROR(VLOOKUP($C2277,'CEDARS School FRPL'!C:H,4,FALSE),"No")</f>
        <v>No</v>
      </c>
      <c r="K2277" s="109"/>
      <c r="L2277" s="109"/>
      <c r="M2277" s="110">
        <f>IFERROR(VLOOKUP($C2277,'CEDARS School FRPL'!C:H,3,FALSE),0)</f>
        <v>0.48730000000000001</v>
      </c>
      <c r="N2277" s="123" t="str">
        <f>IFERROR(VLOOKUP(C2277,'CEDARS School FRPL'!C:H,6,FALSE),"No")</f>
        <v>No</v>
      </c>
      <c r="O2277" s="147"/>
      <c r="P2277" s="148"/>
    </row>
    <row r="2278" spans="1:16">
      <c r="A2278" s="95" t="s">
        <v>2566</v>
      </c>
      <c r="B2278" s="95" t="s">
        <v>2246</v>
      </c>
      <c r="C2278" s="4">
        <v>4448</v>
      </c>
      <c r="D2278" s="95" t="s">
        <v>1055</v>
      </c>
      <c r="E2278" s="145">
        <v>373.42</v>
      </c>
      <c r="F2278" s="145">
        <v>0</v>
      </c>
      <c r="G2278" s="145">
        <v>0</v>
      </c>
      <c r="H2278" s="145">
        <v>0</v>
      </c>
      <c r="I2278" s="77">
        <f t="shared" si="38"/>
        <v>373.42</v>
      </c>
      <c r="J2278" s="123" t="str">
        <f>IFERROR(VLOOKUP($C2278,'CEDARS School FRPL'!C:H,4,FALSE),"No")</f>
        <v>No</v>
      </c>
      <c r="K2278" s="109"/>
      <c r="L2278" s="109"/>
      <c r="M2278" s="110">
        <f>IFERROR(VLOOKUP($C2278,'CEDARS School FRPL'!C:H,3,FALSE),0)</f>
        <v>0.31396666666666667</v>
      </c>
      <c r="N2278" s="123" t="str">
        <f>IFERROR(VLOOKUP(C2278,'CEDARS School FRPL'!C:H,6,FALSE),"No")</f>
        <v>No</v>
      </c>
      <c r="O2278" s="147"/>
      <c r="P2278" s="148"/>
    </row>
    <row r="2279" spans="1:16">
      <c r="A2279" s="95" t="s">
        <v>2566</v>
      </c>
      <c r="B2279" s="95" t="s">
        <v>2246</v>
      </c>
      <c r="C2279" s="4">
        <v>5504</v>
      </c>
      <c r="D2279" s="95" t="s">
        <v>2751</v>
      </c>
      <c r="E2279" s="145">
        <v>45.09</v>
      </c>
      <c r="F2279" s="145">
        <v>0</v>
      </c>
      <c r="G2279" s="145">
        <v>0</v>
      </c>
      <c r="H2279" s="145">
        <v>0</v>
      </c>
      <c r="I2279" s="77">
        <f t="shared" si="38"/>
        <v>45.09</v>
      </c>
      <c r="J2279" s="123" t="str">
        <f>IFERROR(VLOOKUP($C2279,'CEDARS School FRPL'!C:H,4,FALSE),"No")</f>
        <v>No</v>
      </c>
      <c r="K2279" s="109"/>
      <c r="L2279" s="109"/>
      <c r="M2279" s="110">
        <f>IFERROR(VLOOKUP($C2279,'CEDARS School FRPL'!C:H,3,FALSE),0)</f>
        <v>0.39103333333333334</v>
      </c>
      <c r="N2279" s="123" t="str">
        <f>IFERROR(VLOOKUP(C2279,'CEDARS School FRPL'!C:H,6,FALSE),"No")</f>
        <v>No</v>
      </c>
      <c r="O2279" s="147"/>
      <c r="P2279" s="148"/>
    </row>
    <row r="2280" spans="1:16">
      <c r="A2280" s="95" t="s">
        <v>2566</v>
      </c>
      <c r="B2280" s="95" t="s">
        <v>2246</v>
      </c>
      <c r="C2280" s="4">
        <v>5505</v>
      </c>
      <c r="D2280" s="95" t="s">
        <v>2749</v>
      </c>
      <c r="E2280" s="145">
        <v>27.03</v>
      </c>
      <c r="F2280" s="145">
        <v>0</v>
      </c>
      <c r="G2280" s="145">
        <v>0</v>
      </c>
      <c r="H2280" s="145">
        <v>0</v>
      </c>
      <c r="I2280" s="77">
        <f t="shared" si="38"/>
        <v>27.03</v>
      </c>
      <c r="J2280" s="123" t="str">
        <f>IFERROR(VLOOKUP($C2280,'CEDARS School FRPL'!C:H,4,FALSE),"No")</f>
        <v>No</v>
      </c>
      <c r="K2280" s="109"/>
      <c r="L2280" s="109"/>
      <c r="M2280" s="110">
        <f>IFERROR(VLOOKUP($C2280,'CEDARS School FRPL'!C:H,3,FALSE),0)</f>
        <v>0.33863333333333334</v>
      </c>
      <c r="N2280" s="123" t="str">
        <f>IFERROR(VLOOKUP(C2280,'CEDARS School FRPL'!C:H,6,FALSE),"No")</f>
        <v>No</v>
      </c>
      <c r="O2280" s="147"/>
      <c r="P2280" s="148"/>
    </row>
    <row r="2281" spans="1:16">
      <c r="A2281" s="95" t="s">
        <v>2566</v>
      </c>
      <c r="B2281" s="95" t="s">
        <v>2246</v>
      </c>
      <c r="C2281" s="4">
        <v>5506</v>
      </c>
      <c r="D2281" s="95" t="s">
        <v>2750</v>
      </c>
      <c r="E2281" s="145">
        <v>109.17</v>
      </c>
      <c r="F2281" s="145">
        <v>0</v>
      </c>
      <c r="G2281" s="145">
        <v>0</v>
      </c>
      <c r="H2281" s="145">
        <v>0</v>
      </c>
      <c r="I2281" s="77">
        <f t="shared" si="38"/>
        <v>109.17</v>
      </c>
      <c r="J2281" s="123" t="str">
        <f>IFERROR(VLOOKUP($C2281,'CEDARS School FRPL'!C:H,4,FALSE),"No")</f>
        <v>No</v>
      </c>
      <c r="K2281" s="109"/>
      <c r="L2281" s="109"/>
      <c r="M2281" s="110">
        <f>IFERROR(VLOOKUP($C2281,'CEDARS School FRPL'!C:H,3,FALSE),0)</f>
        <v>0.24283333333333332</v>
      </c>
      <c r="N2281" s="123" t="str">
        <f>IFERROR(VLOOKUP(C2281,'CEDARS School FRPL'!C:H,6,FALSE),"No")</f>
        <v>No</v>
      </c>
      <c r="O2281" s="147"/>
      <c r="P2281" s="148"/>
    </row>
    <row r="2282" spans="1:16">
      <c r="A2282" s="95" t="s">
        <v>2566</v>
      </c>
      <c r="B2282" s="95" t="s">
        <v>2246</v>
      </c>
      <c r="C2282" s="4">
        <v>5540</v>
      </c>
      <c r="D2282" s="95" t="s">
        <v>2847</v>
      </c>
      <c r="E2282" s="145">
        <v>0</v>
      </c>
      <c r="F2282" s="145">
        <v>0</v>
      </c>
      <c r="G2282" s="145">
        <v>6.71</v>
      </c>
      <c r="H2282" s="145">
        <v>0</v>
      </c>
      <c r="I2282" s="77">
        <f t="shared" si="38"/>
        <v>6.71</v>
      </c>
      <c r="J2282" s="123" t="str">
        <f>IFERROR(VLOOKUP($C2282,'CEDARS School FRPL'!C:H,4,FALSE),"No")</f>
        <v>Yes</v>
      </c>
      <c r="K2282" s="107"/>
      <c r="L2282" s="107"/>
      <c r="M2282" s="110">
        <f>IFERROR(VLOOKUP($C2282,'CEDARS School FRPL'!C:H,3,FALSE),0)</f>
        <v>0.58973333333333333</v>
      </c>
      <c r="N2282" s="123" t="str">
        <f>IFERROR(VLOOKUP(C2282,'CEDARS School FRPL'!C:H,6,FALSE),"No")</f>
        <v>No</v>
      </c>
      <c r="O2282" s="147"/>
      <c r="P2282" s="148"/>
    </row>
    <row r="2283" spans="1:16">
      <c r="A2283" s="95" t="s">
        <v>2566</v>
      </c>
      <c r="B2283" s="95" t="s">
        <v>2246</v>
      </c>
      <c r="C2283" s="4">
        <v>5620</v>
      </c>
      <c r="D2283" s="95" t="s">
        <v>2973</v>
      </c>
      <c r="E2283" s="145">
        <v>7.77</v>
      </c>
      <c r="F2283" s="145">
        <v>0</v>
      </c>
      <c r="G2283" s="145">
        <v>0</v>
      </c>
      <c r="H2283" s="145">
        <v>0</v>
      </c>
      <c r="I2283" s="77">
        <f t="shared" si="38"/>
        <v>7.77</v>
      </c>
      <c r="J2283" s="123" t="str">
        <f>IFERROR(VLOOKUP($C2283,'CEDARS School FRPL'!C:H,4,FALSE),"No")</f>
        <v>No</v>
      </c>
      <c r="K2283" s="109"/>
      <c r="L2283" s="109"/>
      <c r="M2283" s="110">
        <f>IFERROR(VLOOKUP($C2283,'CEDARS School FRPL'!C:H,3,FALSE),0)</f>
        <v>0</v>
      </c>
      <c r="N2283" s="123" t="str">
        <f>IFERROR(VLOOKUP(C2283,'CEDARS School FRPL'!C:H,6,FALSE),"No")</f>
        <v>No</v>
      </c>
      <c r="O2283" s="147"/>
      <c r="P2283" s="148"/>
    </row>
    <row r="2284" spans="1:16">
      <c r="A2284" s="95" t="s">
        <v>2566</v>
      </c>
      <c r="B2284" s="95" t="s">
        <v>2246</v>
      </c>
      <c r="C2284" s="4">
        <v>5699</v>
      </c>
      <c r="D2284" s="95" t="s">
        <v>3053</v>
      </c>
      <c r="E2284" s="145">
        <v>83.86</v>
      </c>
      <c r="F2284" s="145">
        <v>0</v>
      </c>
      <c r="G2284" s="145">
        <v>0</v>
      </c>
      <c r="H2284" s="145">
        <v>0</v>
      </c>
      <c r="I2284" s="77">
        <f t="shared" si="38"/>
        <v>83.86</v>
      </c>
      <c r="J2284" s="123" t="str">
        <f>IFERROR(VLOOKUP($C2284,'CEDARS School FRPL'!C:H,4,FALSE),"No")</f>
        <v>No</v>
      </c>
      <c r="K2284" s="109"/>
      <c r="L2284" s="109"/>
      <c r="M2284" s="110">
        <f>IFERROR(VLOOKUP($C2284,'CEDARS School FRPL'!C:H,3,FALSE),0)</f>
        <v>0.48809999999999998</v>
      </c>
      <c r="N2284" s="123" t="str">
        <f>IFERROR(VLOOKUP(C2284,'CEDARS School FRPL'!C:H,6,FALSE),"No")</f>
        <v>No</v>
      </c>
      <c r="O2284" s="147"/>
      <c r="P2284" s="148"/>
    </row>
    <row r="2285" spans="1:16">
      <c r="A2285" s="95" t="s">
        <v>2858</v>
      </c>
      <c r="B2285" s="95" t="s">
        <v>2968</v>
      </c>
      <c r="C2285" s="4">
        <v>5710</v>
      </c>
      <c r="D2285" s="95" t="s">
        <v>2968</v>
      </c>
      <c r="E2285" s="145">
        <v>49.03</v>
      </c>
      <c r="F2285" s="145">
        <v>0</v>
      </c>
      <c r="G2285" s="145">
        <v>0</v>
      </c>
      <c r="H2285" s="145">
        <v>0</v>
      </c>
      <c r="I2285" s="77">
        <f t="shared" si="38"/>
        <v>49.03</v>
      </c>
      <c r="J2285" s="123" t="str">
        <f>IFERROR(VLOOKUP($C2285,'CEDARS School FRPL'!C:H,4,FALSE),"No")</f>
        <v>Yes</v>
      </c>
      <c r="K2285" s="109"/>
      <c r="L2285" s="109"/>
      <c r="M2285" s="110">
        <f>IFERROR(VLOOKUP($C2285,'CEDARS School FRPL'!C:H,3,FALSE),0)</f>
        <v>0.60419999999999996</v>
      </c>
      <c r="N2285" s="123" t="str">
        <f>IFERROR(VLOOKUP(C2285,'CEDARS School FRPL'!C:H,6,FALSE),"No")</f>
        <v>No</v>
      </c>
      <c r="O2285" s="147"/>
      <c r="P2285" s="148"/>
    </row>
    <row r="2286" spans="1:16">
      <c r="A2286" s="95" t="s">
        <v>2404</v>
      </c>
      <c r="B2286" s="95" t="s">
        <v>1170</v>
      </c>
      <c r="C2286" s="4">
        <v>2859</v>
      </c>
      <c r="D2286" s="95" t="s">
        <v>1171</v>
      </c>
      <c r="E2286" s="145">
        <v>151.38</v>
      </c>
      <c r="F2286" s="145">
        <v>9.0500000000000007</v>
      </c>
      <c r="G2286" s="145">
        <v>0</v>
      </c>
      <c r="H2286" s="145">
        <v>0</v>
      </c>
      <c r="I2286" s="77">
        <f t="shared" si="38"/>
        <v>160.43</v>
      </c>
      <c r="J2286" s="123" t="str">
        <f>IFERROR(VLOOKUP($C2286,'CEDARS School FRPL'!C:H,4,FALSE),"No")</f>
        <v>Yes</v>
      </c>
      <c r="K2286" s="109"/>
      <c r="L2286" s="109"/>
      <c r="M2286" s="110">
        <f>IFERROR(VLOOKUP($C2286,'CEDARS School FRPL'!C:H,3,FALSE),0)</f>
        <v>0.63009999999999999</v>
      </c>
      <c r="N2286" s="123" t="str">
        <f>IFERROR(VLOOKUP(C2286,'CEDARS School FRPL'!C:H,6,FALSE),"No")</f>
        <v>No</v>
      </c>
      <c r="O2286" s="147"/>
      <c r="P2286" s="148"/>
    </row>
    <row r="2287" spans="1:16">
      <c r="A2287" s="95" t="s">
        <v>2404</v>
      </c>
      <c r="B2287" s="95" t="s">
        <v>1170</v>
      </c>
      <c r="C2287" s="4">
        <v>3555</v>
      </c>
      <c r="D2287" s="95" t="s">
        <v>1172</v>
      </c>
      <c r="E2287" s="145">
        <v>162.4</v>
      </c>
      <c r="F2287" s="145">
        <v>0</v>
      </c>
      <c r="G2287" s="145">
        <v>0</v>
      </c>
      <c r="H2287" s="145">
        <v>0</v>
      </c>
      <c r="I2287" s="77">
        <f t="shared" si="38"/>
        <v>162.4</v>
      </c>
      <c r="J2287" s="123" t="str">
        <f>IFERROR(VLOOKUP($C2287,'CEDARS School FRPL'!C:H,4,FALSE),"No")</f>
        <v>Yes</v>
      </c>
      <c r="K2287" s="109"/>
      <c r="L2287" s="109"/>
      <c r="M2287" s="110">
        <f>IFERROR(VLOOKUP($C2287,'CEDARS School FRPL'!C:H,3,FALSE),0)</f>
        <v>0.80133333333333334</v>
      </c>
      <c r="N2287" s="123" t="str">
        <f>IFERROR(VLOOKUP(C2287,'CEDARS School FRPL'!C:H,6,FALSE),"No")</f>
        <v>No</v>
      </c>
      <c r="O2287" s="147"/>
      <c r="P2287" s="148"/>
    </row>
    <row r="2288" spans="1:16">
      <c r="A2288" s="95" t="s">
        <v>2451</v>
      </c>
      <c r="B2288" s="95" t="s">
        <v>1508</v>
      </c>
      <c r="C2288" s="4">
        <v>2190</v>
      </c>
      <c r="D2288" s="95" t="s">
        <v>1509</v>
      </c>
      <c r="E2288" s="145">
        <v>516.1</v>
      </c>
      <c r="F2288" s="145">
        <v>0</v>
      </c>
      <c r="G2288" s="145">
        <v>0</v>
      </c>
      <c r="H2288" s="145">
        <v>0</v>
      </c>
      <c r="I2288" s="77">
        <f t="shared" si="38"/>
        <v>516.1</v>
      </c>
      <c r="J2288" s="123" t="str">
        <f>IFERROR(VLOOKUP($C2288,'CEDARS School FRPL'!C:H,4,FALSE),"No")</f>
        <v>No</v>
      </c>
      <c r="M2288" s="110">
        <f>IFERROR(VLOOKUP($C2288,'CEDARS School FRPL'!C:H,3,FALSE),0)</f>
        <v>0.25946666666666668</v>
      </c>
      <c r="N2288" s="123" t="str">
        <f>IFERROR(VLOOKUP(C2288,'CEDARS School FRPL'!C:H,6,FALSE),"No")</f>
        <v>No</v>
      </c>
      <c r="O2288" s="147"/>
      <c r="P2288" s="148"/>
    </row>
    <row r="2289" spans="1:16">
      <c r="A2289" s="95" t="s">
        <v>2451</v>
      </c>
      <c r="B2289" s="95" t="s">
        <v>1508</v>
      </c>
      <c r="C2289" s="4">
        <v>3458</v>
      </c>
      <c r="D2289" s="95" t="s">
        <v>1510</v>
      </c>
      <c r="E2289" s="145">
        <v>959.65</v>
      </c>
      <c r="F2289" s="145">
        <v>0</v>
      </c>
      <c r="G2289" s="145">
        <v>0</v>
      </c>
      <c r="H2289" s="145">
        <v>0</v>
      </c>
      <c r="I2289" s="77">
        <f t="shared" si="38"/>
        <v>959.65</v>
      </c>
      <c r="J2289" s="123" t="str">
        <f>IFERROR(VLOOKUP($C2289,'CEDARS School FRPL'!C:H,4,FALSE),"No")</f>
        <v>No</v>
      </c>
      <c r="K2289" s="109"/>
      <c r="L2289" s="109"/>
      <c r="M2289" s="110">
        <f>IFERROR(VLOOKUP($C2289,'CEDARS School FRPL'!C:H,3,FALSE),0)</f>
        <v>0.32796666666666668</v>
      </c>
      <c r="N2289" s="123" t="str">
        <f>IFERROR(VLOOKUP(C2289,'CEDARS School FRPL'!C:H,6,FALSE),"No")</f>
        <v>No</v>
      </c>
      <c r="O2289" s="147"/>
      <c r="P2289" s="148"/>
    </row>
    <row r="2290" spans="1:16">
      <c r="A2290" s="95" t="s">
        <v>2451</v>
      </c>
      <c r="B2290" s="95" t="s">
        <v>1508</v>
      </c>
      <c r="C2290" s="4">
        <v>4170</v>
      </c>
      <c r="D2290" s="95" t="s">
        <v>1511</v>
      </c>
      <c r="E2290" s="145">
        <v>314</v>
      </c>
      <c r="F2290" s="145">
        <v>0</v>
      </c>
      <c r="G2290" s="145">
        <v>0</v>
      </c>
      <c r="H2290" s="145">
        <v>0</v>
      </c>
      <c r="I2290" s="77">
        <f t="shared" si="38"/>
        <v>314</v>
      </c>
      <c r="J2290" s="123" t="str">
        <f>IFERROR(VLOOKUP($C2290,'CEDARS School FRPL'!C:H,4,FALSE),"No")</f>
        <v>No</v>
      </c>
      <c r="K2290" s="109"/>
      <c r="L2290" s="109"/>
      <c r="M2290" s="110">
        <f>IFERROR(VLOOKUP($C2290,'CEDARS School FRPL'!C:H,3,FALSE),0)</f>
        <v>0.25613333333333332</v>
      </c>
      <c r="N2290" s="123" t="str">
        <f>IFERROR(VLOOKUP(C2290,'CEDARS School FRPL'!C:H,6,FALSE),"No")</f>
        <v>No</v>
      </c>
      <c r="O2290" s="147"/>
      <c r="P2290" s="148"/>
    </row>
    <row r="2291" spans="1:16">
      <c r="A2291" s="95" t="s">
        <v>2451</v>
      </c>
      <c r="B2291" s="95" t="s">
        <v>1508</v>
      </c>
      <c r="C2291" s="4">
        <v>4309</v>
      </c>
      <c r="D2291" s="95" t="s">
        <v>1512</v>
      </c>
      <c r="E2291" s="145">
        <v>495.53</v>
      </c>
      <c r="F2291" s="145">
        <v>0</v>
      </c>
      <c r="G2291" s="145">
        <v>0</v>
      </c>
      <c r="H2291" s="145">
        <v>0</v>
      </c>
      <c r="I2291" s="77">
        <f t="shared" si="38"/>
        <v>495.53</v>
      </c>
      <c r="J2291" s="123" t="str">
        <f>IFERROR(VLOOKUP($C2291,'CEDARS School FRPL'!C:H,4,FALSE),"No")</f>
        <v>No</v>
      </c>
      <c r="K2291" s="109"/>
      <c r="L2291" s="109"/>
      <c r="M2291" s="110">
        <f>IFERROR(VLOOKUP($C2291,'CEDARS School FRPL'!C:H,3,FALSE),0)</f>
        <v>0.38553333333333334</v>
      </c>
      <c r="N2291" s="123" t="str">
        <f>IFERROR(VLOOKUP(C2291,'CEDARS School FRPL'!C:H,6,FALSE),"No")</f>
        <v>No</v>
      </c>
      <c r="O2291" s="147"/>
      <c r="P2291" s="148"/>
    </row>
    <row r="2292" spans="1:16">
      <c r="A2292" s="95" t="s">
        <v>2451</v>
      </c>
      <c r="B2292" s="95" t="s">
        <v>1508</v>
      </c>
      <c r="C2292" s="4">
        <v>4471</v>
      </c>
      <c r="D2292" s="95" t="s">
        <v>1513</v>
      </c>
      <c r="E2292" s="145">
        <v>396.14</v>
      </c>
      <c r="F2292" s="145">
        <v>0</v>
      </c>
      <c r="G2292" s="145">
        <v>0</v>
      </c>
      <c r="H2292" s="145">
        <v>0</v>
      </c>
      <c r="I2292" s="77">
        <f t="shared" si="38"/>
        <v>396.14</v>
      </c>
      <c r="J2292" s="123" t="str">
        <f>IFERROR(VLOOKUP($C2292,'CEDARS School FRPL'!C:H,4,FALSE),"No")</f>
        <v>No</v>
      </c>
      <c r="K2292" s="109"/>
      <c r="L2292" s="109"/>
      <c r="M2292" s="110">
        <f>IFERROR(VLOOKUP($C2292,'CEDARS School FRPL'!C:H,3,FALSE),0)</f>
        <v>0.20176666666666665</v>
      </c>
      <c r="N2292" s="123" t="str">
        <f>IFERROR(VLOOKUP(C2292,'CEDARS School FRPL'!C:H,6,FALSE),"No")</f>
        <v>No</v>
      </c>
      <c r="O2292" s="147"/>
      <c r="P2292" s="148"/>
    </row>
    <row r="2293" spans="1:16">
      <c r="A2293" s="95" t="s">
        <v>2451</v>
      </c>
      <c r="B2293" s="95" t="s">
        <v>1508</v>
      </c>
      <c r="C2293" s="4">
        <v>4569</v>
      </c>
      <c r="D2293" s="95" t="s">
        <v>1514</v>
      </c>
      <c r="E2293" s="145">
        <v>1127.8800000000001</v>
      </c>
      <c r="F2293" s="145">
        <v>100.39999999999999</v>
      </c>
      <c r="G2293" s="145">
        <v>33</v>
      </c>
      <c r="H2293" s="145">
        <v>0</v>
      </c>
      <c r="I2293" s="77">
        <f t="shared" si="38"/>
        <v>1261.2800000000002</v>
      </c>
      <c r="J2293" s="123" t="str">
        <f>IFERROR(VLOOKUP($C2293,'CEDARS School FRPL'!C:H,4,FALSE),"No")</f>
        <v>No</v>
      </c>
      <c r="K2293" s="109"/>
      <c r="L2293" s="109"/>
      <c r="M2293" s="110">
        <f>IFERROR(VLOOKUP($C2293,'CEDARS School FRPL'!C:H,3,FALSE),0)</f>
        <v>0.24876666666666666</v>
      </c>
      <c r="N2293" s="123" t="str">
        <f>IFERROR(VLOOKUP(C2293,'CEDARS School FRPL'!C:H,6,FALSE),"No")</f>
        <v>No</v>
      </c>
      <c r="O2293" s="147"/>
      <c r="P2293" s="148"/>
    </row>
    <row r="2294" spans="1:16">
      <c r="A2294" s="95" t="s">
        <v>2451</v>
      </c>
      <c r="B2294" s="95" t="s">
        <v>1508</v>
      </c>
      <c r="C2294" s="4">
        <v>5045</v>
      </c>
      <c r="D2294" s="95" t="s">
        <v>3076</v>
      </c>
      <c r="E2294" s="145">
        <v>0.14000000000000001</v>
      </c>
      <c r="F2294" s="145">
        <v>0</v>
      </c>
      <c r="G2294" s="145">
        <v>0</v>
      </c>
      <c r="H2294" s="145">
        <v>0</v>
      </c>
      <c r="I2294" s="77">
        <f t="shared" si="38"/>
        <v>0.14000000000000001</v>
      </c>
      <c r="J2294" s="123" t="str">
        <f>IFERROR(VLOOKUP($C2294,'CEDARS School FRPL'!C:H,4,FALSE),"No")</f>
        <v>No</v>
      </c>
      <c r="K2294" s="109"/>
      <c r="L2294" s="109"/>
      <c r="M2294" s="110">
        <f>IFERROR(VLOOKUP($C2294,'CEDARS School FRPL'!C:H,3,FALSE),0)</f>
        <v>0</v>
      </c>
      <c r="N2294" s="123" t="str">
        <f>IFERROR(VLOOKUP(C2294,'CEDARS School FRPL'!C:H,6,FALSE),"No")</f>
        <v>No</v>
      </c>
      <c r="O2294" s="147"/>
      <c r="P2294" s="148"/>
    </row>
    <row r="2295" spans="1:16">
      <c r="A2295" s="95" t="s">
        <v>2451</v>
      </c>
      <c r="B2295" s="95" t="s">
        <v>1508</v>
      </c>
      <c r="C2295" s="4">
        <v>5564</v>
      </c>
      <c r="D2295" s="95" t="s">
        <v>2833</v>
      </c>
      <c r="E2295" s="145">
        <v>188.72</v>
      </c>
      <c r="F2295" s="145">
        <v>0</v>
      </c>
      <c r="G2295" s="145">
        <v>0</v>
      </c>
      <c r="H2295" s="145">
        <v>0</v>
      </c>
      <c r="I2295" s="77">
        <f t="shared" si="38"/>
        <v>188.72</v>
      </c>
      <c r="J2295" s="123" t="str">
        <f>IFERROR(VLOOKUP($C2295,'CEDARS School FRPL'!C:H,4,FALSE),"No")</f>
        <v>No</v>
      </c>
      <c r="K2295" s="109"/>
      <c r="L2295" s="109"/>
      <c r="M2295" s="110">
        <f>IFERROR(VLOOKUP($C2295,'CEDARS School FRPL'!C:H,3,FALSE),0)</f>
        <v>0.1822</v>
      </c>
      <c r="N2295" s="123" t="str">
        <f>IFERROR(VLOOKUP(C2295,'CEDARS School FRPL'!C:H,6,FALSE),"No")</f>
        <v>No</v>
      </c>
      <c r="O2295" s="147"/>
      <c r="P2295" s="148"/>
    </row>
    <row r="2296" spans="1:16">
      <c r="A2296" s="95" t="s">
        <v>2391</v>
      </c>
      <c r="B2296" s="95" t="s">
        <v>1123</v>
      </c>
      <c r="C2296" s="4">
        <v>2330</v>
      </c>
      <c r="D2296" s="95" t="s">
        <v>1124</v>
      </c>
      <c r="E2296" s="145">
        <v>321.17</v>
      </c>
      <c r="F2296" s="145">
        <v>20.400000000000002</v>
      </c>
      <c r="G2296" s="145">
        <v>0</v>
      </c>
      <c r="H2296" s="145">
        <v>0</v>
      </c>
      <c r="I2296" s="77">
        <f t="shared" si="38"/>
        <v>341.57</v>
      </c>
      <c r="J2296" s="123" t="str">
        <f>IFERROR(VLOOKUP($C2296,'CEDARS School FRPL'!C:H,4,FALSE),"No")</f>
        <v>No</v>
      </c>
      <c r="K2296" s="109"/>
      <c r="L2296" s="109"/>
      <c r="M2296" s="110">
        <f>IFERROR(VLOOKUP($C2296,'CEDARS School FRPL'!C:H,3,FALSE),0)</f>
        <v>0.39183333333333331</v>
      </c>
      <c r="N2296" s="123" t="str">
        <f>IFERROR(VLOOKUP(C2296,'CEDARS School FRPL'!C:H,6,FALSE),"No")</f>
        <v>No</v>
      </c>
      <c r="O2296" s="147"/>
      <c r="P2296" s="148"/>
    </row>
    <row r="2297" spans="1:16">
      <c r="A2297" s="95" t="s">
        <v>2391</v>
      </c>
      <c r="B2297" s="95" t="s">
        <v>1123</v>
      </c>
      <c r="C2297" s="4">
        <v>2997</v>
      </c>
      <c r="D2297" s="95" t="s">
        <v>1125</v>
      </c>
      <c r="E2297" s="145">
        <v>300.68</v>
      </c>
      <c r="F2297" s="145">
        <v>0</v>
      </c>
      <c r="G2297" s="145">
        <v>0</v>
      </c>
      <c r="H2297" s="145">
        <v>0</v>
      </c>
      <c r="I2297" s="77">
        <f t="shared" si="38"/>
        <v>300.68</v>
      </c>
      <c r="J2297" s="123" t="str">
        <f>IFERROR(VLOOKUP($C2297,'CEDARS School FRPL'!C:H,4,FALSE),"No")</f>
        <v>No</v>
      </c>
      <c r="K2297" s="109"/>
      <c r="L2297" s="109"/>
      <c r="M2297" s="110">
        <f>IFERROR(VLOOKUP($C2297,'CEDARS School FRPL'!C:H,3,FALSE),0)</f>
        <v>0.43273333333333336</v>
      </c>
      <c r="N2297" s="123" t="str">
        <f>IFERROR(VLOOKUP(C2297,'CEDARS School FRPL'!C:H,6,FALSE),"No")</f>
        <v>No</v>
      </c>
      <c r="O2297" s="147"/>
      <c r="P2297" s="148"/>
    </row>
    <row r="2298" spans="1:16">
      <c r="A2298" s="95" t="s">
        <v>2391</v>
      </c>
      <c r="B2298" s="95" t="s">
        <v>1123</v>
      </c>
      <c r="C2298" s="4">
        <v>3394</v>
      </c>
      <c r="D2298" s="95" t="s">
        <v>1126</v>
      </c>
      <c r="E2298" s="145">
        <v>187.74</v>
      </c>
      <c r="F2298" s="145">
        <v>0</v>
      </c>
      <c r="G2298" s="145">
        <v>0</v>
      </c>
      <c r="H2298" s="145">
        <v>0</v>
      </c>
      <c r="I2298" s="77">
        <f t="shared" si="38"/>
        <v>187.74</v>
      </c>
      <c r="J2298" s="123" t="str">
        <f>IFERROR(VLOOKUP($C2298,'CEDARS School FRPL'!C:H,4,FALSE),"No")</f>
        <v>No</v>
      </c>
      <c r="K2298" s="109"/>
      <c r="L2298" s="109"/>
      <c r="M2298" s="110">
        <f>IFERROR(VLOOKUP($C2298,'CEDARS School FRPL'!C:H,3,FALSE),0)</f>
        <v>0.45153333333333334</v>
      </c>
      <c r="N2298" s="123" t="str">
        <f>IFERROR(VLOOKUP(C2298,'CEDARS School FRPL'!C:H,6,FALSE),"No")</f>
        <v>No</v>
      </c>
      <c r="O2298" s="147"/>
      <c r="P2298" s="148"/>
    </row>
    <row r="2299" spans="1:16">
      <c r="A2299" s="95" t="s">
        <v>2391</v>
      </c>
      <c r="B2299" s="95" t="s">
        <v>1123</v>
      </c>
      <c r="C2299" s="4">
        <v>5077</v>
      </c>
      <c r="D2299" s="95" t="s">
        <v>1127</v>
      </c>
      <c r="E2299" s="145">
        <v>18.649999999999999</v>
      </c>
      <c r="F2299" s="145">
        <v>0</v>
      </c>
      <c r="G2299" s="145">
        <v>0</v>
      </c>
      <c r="H2299" s="145">
        <v>0</v>
      </c>
      <c r="I2299" s="77">
        <f t="shared" si="38"/>
        <v>18.649999999999999</v>
      </c>
      <c r="J2299" s="123" t="str">
        <f>IFERROR(VLOOKUP($C2299,'CEDARS School FRPL'!C:H,4,FALSE),"No")</f>
        <v>Yes</v>
      </c>
      <c r="K2299" s="109"/>
      <c r="L2299" s="109"/>
      <c r="M2299" s="110">
        <f>IFERROR(VLOOKUP($C2299,'CEDARS School FRPL'!C:H,3,FALSE),0)</f>
        <v>0.58090000000000008</v>
      </c>
      <c r="N2299" s="123" t="str">
        <f>IFERROR(VLOOKUP(C2299,'CEDARS School FRPL'!C:H,6,FALSE),"No")</f>
        <v>No</v>
      </c>
      <c r="O2299" s="147"/>
      <c r="P2299" s="148"/>
    </row>
    <row r="2300" spans="1:16">
      <c r="A2300" s="95" t="s">
        <v>2391</v>
      </c>
      <c r="B2300" s="95" t="s">
        <v>1123</v>
      </c>
      <c r="C2300" s="4">
        <v>5368</v>
      </c>
      <c r="D2300" s="95" t="s">
        <v>1128</v>
      </c>
      <c r="E2300" s="145">
        <v>256.29000000000002</v>
      </c>
      <c r="F2300" s="145">
        <v>0</v>
      </c>
      <c r="G2300" s="145">
        <v>0</v>
      </c>
      <c r="H2300" s="145">
        <v>0</v>
      </c>
      <c r="I2300" s="77">
        <f t="shared" si="38"/>
        <v>256.29000000000002</v>
      </c>
      <c r="J2300" s="123" t="str">
        <f>IFERROR(VLOOKUP($C2300,'CEDARS School FRPL'!C:H,4,FALSE),"No")</f>
        <v>No</v>
      </c>
      <c r="K2300" s="109"/>
      <c r="L2300" s="109"/>
      <c r="M2300" s="110">
        <f>IFERROR(VLOOKUP($C2300,'CEDARS School FRPL'!C:H,3,FALSE),0)</f>
        <v>0.41843333333333338</v>
      </c>
      <c r="N2300" s="123" t="str">
        <f>IFERROR(VLOOKUP(C2300,'CEDARS School FRPL'!C:H,6,FALSE),"No")</f>
        <v>No</v>
      </c>
      <c r="O2300" s="147"/>
      <c r="P2300" s="148"/>
    </row>
    <row r="2301" spans="1:16">
      <c r="A2301" s="95" t="s">
        <v>2855</v>
      </c>
      <c r="B2301" s="95" t="s">
        <v>2960</v>
      </c>
      <c r="C2301" s="4">
        <v>5662</v>
      </c>
      <c r="D2301" s="95" t="s">
        <v>3054</v>
      </c>
      <c r="E2301" s="145">
        <v>101.43</v>
      </c>
      <c r="F2301" s="145">
        <v>0</v>
      </c>
      <c r="G2301" s="145">
        <v>0</v>
      </c>
      <c r="H2301" s="145">
        <v>0</v>
      </c>
      <c r="I2301" s="77">
        <f t="shared" si="38"/>
        <v>101.43</v>
      </c>
      <c r="J2301" s="123" t="str">
        <f>IFERROR(VLOOKUP($C2301,'CEDARS School FRPL'!C:H,4,FALSE),"No")</f>
        <v>Yes</v>
      </c>
      <c r="K2301" s="109"/>
      <c r="L2301" s="109"/>
      <c r="M2301" s="110">
        <f>IFERROR(VLOOKUP($C2301,'CEDARS School FRPL'!C:H,3,FALSE),0)</f>
        <v>0.68630000000000002</v>
      </c>
      <c r="N2301" s="123" t="str">
        <f>IFERROR(VLOOKUP(C2301,'CEDARS School FRPL'!C:H,6,FALSE),"No")</f>
        <v>No</v>
      </c>
      <c r="O2301" s="147"/>
      <c r="P2301" s="148"/>
    </row>
    <row r="2302" spans="1:16">
      <c r="A2302" s="95" t="s">
        <v>2411</v>
      </c>
      <c r="B2302" s="95" t="s">
        <v>1195</v>
      </c>
      <c r="C2302" s="4">
        <v>3289</v>
      </c>
      <c r="D2302" s="95" t="s">
        <v>1196</v>
      </c>
      <c r="E2302" s="145">
        <v>134.38</v>
      </c>
      <c r="F2302" s="145">
        <v>4.2</v>
      </c>
      <c r="G2302" s="145">
        <v>0</v>
      </c>
      <c r="H2302" s="145">
        <v>0</v>
      </c>
      <c r="I2302" s="77">
        <f t="shared" si="38"/>
        <v>138.57999999999998</v>
      </c>
      <c r="J2302" s="123" t="str">
        <f>IFERROR(VLOOKUP($C2302,'CEDARS School FRPL'!C:H,4,FALSE),"No")</f>
        <v>No</v>
      </c>
      <c r="K2302" s="109"/>
      <c r="L2302" s="109"/>
      <c r="M2302" s="110">
        <f>IFERROR(VLOOKUP($C2302,'CEDARS School FRPL'!C:H,3,FALSE),0)</f>
        <v>0.41100000000000003</v>
      </c>
      <c r="N2302" s="123" t="str">
        <f>IFERROR(VLOOKUP(C2302,'CEDARS School FRPL'!C:H,6,FALSE),"No")</f>
        <v>No</v>
      </c>
      <c r="O2302" s="147"/>
      <c r="P2302" s="148"/>
    </row>
    <row r="2303" spans="1:16">
      <c r="A2303" s="95" t="s">
        <v>2411</v>
      </c>
      <c r="B2303" s="95" t="s">
        <v>1195</v>
      </c>
      <c r="C2303" s="4">
        <v>3290</v>
      </c>
      <c r="D2303" s="95" t="s">
        <v>1197</v>
      </c>
      <c r="E2303" s="145">
        <v>81.790000000000006</v>
      </c>
      <c r="F2303" s="145">
        <v>0</v>
      </c>
      <c r="G2303" s="145">
        <v>0</v>
      </c>
      <c r="H2303" s="145">
        <v>0</v>
      </c>
      <c r="I2303" s="77">
        <f t="shared" si="38"/>
        <v>81.790000000000006</v>
      </c>
      <c r="J2303" s="123" t="str">
        <f>IFERROR(VLOOKUP($C2303,'CEDARS School FRPL'!C:H,4,FALSE),"No")</f>
        <v>No</v>
      </c>
      <c r="K2303" s="109"/>
      <c r="L2303" s="109"/>
      <c r="M2303" s="110">
        <f>IFERROR(VLOOKUP($C2303,'CEDARS School FRPL'!C:H,3,FALSE),0)</f>
        <v>0.40770000000000001</v>
      </c>
      <c r="N2303" s="123" t="str">
        <f>IFERROR(VLOOKUP(C2303,'CEDARS School FRPL'!C:H,6,FALSE),"No")</f>
        <v>No</v>
      </c>
      <c r="O2303" s="147"/>
      <c r="P2303" s="148"/>
    </row>
    <row r="2304" spans="1:16">
      <c r="A2304" s="95" t="s">
        <v>2433</v>
      </c>
      <c r="B2304" s="95" t="s">
        <v>1275</v>
      </c>
      <c r="C2304" s="4">
        <v>2542</v>
      </c>
      <c r="D2304" s="95" t="s">
        <v>1276</v>
      </c>
      <c r="E2304" s="145">
        <v>190.08</v>
      </c>
      <c r="F2304" s="145">
        <v>19.529999999999998</v>
      </c>
      <c r="G2304" s="145">
        <v>0</v>
      </c>
      <c r="H2304" s="145">
        <v>0</v>
      </c>
      <c r="I2304" s="77">
        <f t="shared" si="38"/>
        <v>209.61</v>
      </c>
      <c r="J2304" s="123" t="str">
        <f>IFERROR(VLOOKUP($C2304,'CEDARS School FRPL'!C:H,4,FALSE),"No")</f>
        <v>No</v>
      </c>
      <c r="K2304" s="109"/>
      <c r="L2304" s="109"/>
      <c r="M2304" s="110">
        <f>IFERROR(VLOOKUP($C2304,'CEDARS School FRPL'!C:H,3,FALSE),0)</f>
        <v>0.3934333333333333</v>
      </c>
      <c r="N2304" s="123" t="str">
        <f>IFERROR(VLOOKUP(C2304,'CEDARS School FRPL'!C:H,6,FALSE),"No")</f>
        <v>No</v>
      </c>
      <c r="O2304" s="147"/>
      <c r="P2304" s="148"/>
    </row>
    <row r="2305" spans="1:16">
      <c r="A2305" s="95" t="s">
        <v>2433</v>
      </c>
      <c r="B2305" s="95" t="s">
        <v>1275</v>
      </c>
      <c r="C2305" s="4">
        <v>3444</v>
      </c>
      <c r="D2305" s="95" t="s">
        <v>1277</v>
      </c>
      <c r="E2305" s="145">
        <v>149.71</v>
      </c>
      <c r="F2305" s="145">
        <v>0</v>
      </c>
      <c r="G2305" s="145">
        <v>0</v>
      </c>
      <c r="H2305" s="145">
        <v>0</v>
      </c>
      <c r="I2305" s="77">
        <f t="shared" si="38"/>
        <v>149.71</v>
      </c>
      <c r="J2305" s="123" t="str">
        <f>IFERROR(VLOOKUP($C2305,'CEDARS School FRPL'!C:H,4,FALSE),"No")</f>
        <v>No</v>
      </c>
      <c r="K2305" s="109"/>
      <c r="L2305" s="109"/>
      <c r="M2305" s="110">
        <f>IFERROR(VLOOKUP($C2305,'CEDARS School FRPL'!C:H,3,FALSE),0)</f>
        <v>0.41493333333333332</v>
      </c>
      <c r="N2305" s="123" t="str">
        <f>IFERROR(VLOOKUP(C2305,'CEDARS School FRPL'!C:H,6,FALSE),"No")</f>
        <v>No</v>
      </c>
      <c r="O2305" s="147"/>
      <c r="P2305" s="148"/>
    </row>
    <row r="2306" spans="1:16">
      <c r="A2306" s="95" t="s">
        <v>2325</v>
      </c>
      <c r="B2306" s="95" t="s">
        <v>459</v>
      </c>
      <c r="C2306" s="4">
        <v>2472</v>
      </c>
      <c r="D2306" s="95" t="s">
        <v>460</v>
      </c>
      <c r="E2306" s="145">
        <v>55.27</v>
      </c>
      <c r="F2306" s="145">
        <v>0</v>
      </c>
      <c r="G2306" s="145">
        <v>0</v>
      </c>
      <c r="H2306" s="145">
        <v>0</v>
      </c>
      <c r="I2306" s="77">
        <f t="shared" si="38"/>
        <v>55.27</v>
      </c>
      <c r="J2306" s="123" t="str">
        <f>IFERROR(VLOOKUP($C2306,'CEDARS School FRPL'!C:H,4,FALSE),"No")</f>
        <v>Yes</v>
      </c>
      <c r="K2306" s="109"/>
      <c r="L2306" s="109"/>
      <c r="M2306" s="110">
        <f>IFERROR(VLOOKUP($C2306,'CEDARS School FRPL'!C:H,3,FALSE),0)</f>
        <v>0.5960333333333333</v>
      </c>
      <c r="N2306" s="123" t="str">
        <f>IFERROR(VLOOKUP(C2306,'CEDARS School FRPL'!C:H,6,FALSE),"No")</f>
        <v>No</v>
      </c>
      <c r="O2306" s="147"/>
      <c r="P2306" s="148"/>
    </row>
    <row r="2307" spans="1:16">
      <c r="A2307" s="95" t="s">
        <v>2325</v>
      </c>
      <c r="B2307" s="95" t="s">
        <v>459</v>
      </c>
      <c r="C2307" s="4">
        <v>2473</v>
      </c>
      <c r="D2307" s="95" t="s">
        <v>461</v>
      </c>
      <c r="E2307" s="145">
        <v>53.74</v>
      </c>
      <c r="F2307" s="145">
        <v>3.94</v>
      </c>
      <c r="G2307" s="145">
        <v>0</v>
      </c>
      <c r="H2307" s="145">
        <v>0</v>
      </c>
      <c r="I2307" s="77">
        <f t="shared" si="38"/>
        <v>57.68</v>
      </c>
      <c r="J2307" s="123" t="str">
        <f>IFERROR(VLOOKUP($C2307,'CEDARS School FRPL'!C:H,4,FALSE),"No")</f>
        <v>Yes</v>
      </c>
      <c r="K2307" s="109"/>
      <c r="L2307" s="109"/>
      <c r="M2307" s="110">
        <f>IFERROR(VLOOKUP($C2307,'CEDARS School FRPL'!C:H,3,FALSE),0)</f>
        <v>0.54743333333333333</v>
      </c>
      <c r="N2307" s="123" t="str">
        <f>IFERROR(VLOOKUP(C2307,'CEDARS School FRPL'!C:H,6,FALSE),"No")</f>
        <v>No</v>
      </c>
      <c r="O2307" s="147"/>
      <c r="P2307" s="148"/>
    </row>
    <row r="2308" spans="1:16">
      <c r="A2308" s="95" t="s">
        <v>2398</v>
      </c>
      <c r="B2308" s="95" t="s">
        <v>1148</v>
      </c>
      <c r="C2308" s="4">
        <v>2290</v>
      </c>
      <c r="D2308" s="95" t="s">
        <v>1150</v>
      </c>
      <c r="E2308" s="145">
        <v>344.57</v>
      </c>
      <c r="F2308" s="145">
        <v>0</v>
      </c>
      <c r="G2308" s="145">
        <v>0</v>
      </c>
      <c r="H2308" s="145">
        <v>0</v>
      </c>
      <c r="I2308" s="77">
        <f t="shared" ref="I2308:I2360" si="39">+E2308+F2308+G2308+H2308</f>
        <v>344.57</v>
      </c>
      <c r="J2308" s="123" t="str">
        <f>IFERROR(VLOOKUP($C2308,'CEDARS School FRPL'!C:H,4,FALSE),"No")</f>
        <v>Yes</v>
      </c>
      <c r="K2308" s="109"/>
      <c r="L2308" s="109"/>
      <c r="M2308" s="110">
        <f>IFERROR(VLOOKUP($C2308,'CEDARS School FRPL'!C:H,3,FALSE),0)</f>
        <v>0.81876666666666675</v>
      </c>
      <c r="N2308" s="123" t="str">
        <f>IFERROR(VLOOKUP(C2308,'CEDARS School FRPL'!C:H,6,FALSE),"No")</f>
        <v>No</v>
      </c>
      <c r="O2308" s="147"/>
      <c r="P2308" s="148"/>
    </row>
    <row r="2309" spans="1:16">
      <c r="A2309" s="95" t="s">
        <v>2398</v>
      </c>
      <c r="B2309" s="95" t="s">
        <v>1148</v>
      </c>
      <c r="C2309" s="4">
        <v>3597</v>
      </c>
      <c r="D2309" s="95" t="s">
        <v>1151</v>
      </c>
      <c r="E2309" s="145">
        <v>191.04</v>
      </c>
      <c r="F2309" s="145">
        <v>9.33</v>
      </c>
      <c r="G2309" s="145">
        <v>2</v>
      </c>
      <c r="H2309" s="145">
        <v>0</v>
      </c>
      <c r="I2309" s="77">
        <f t="shared" si="39"/>
        <v>202.37</v>
      </c>
      <c r="J2309" s="123" t="str">
        <f>IFERROR(VLOOKUP($C2309,'CEDARS School FRPL'!C:H,4,FALSE),"No")</f>
        <v>Yes</v>
      </c>
      <c r="M2309" s="110">
        <f>IFERROR(VLOOKUP($C2309,'CEDARS School FRPL'!C:H,3,FALSE),0)</f>
        <v>0.80016666666666669</v>
      </c>
      <c r="N2309" s="123" t="str">
        <f>IFERROR(VLOOKUP(C2309,'CEDARS School FRPL'!C:H,6,FALSE),"No")</f>
        <v>No</v>
      </c>
      <c r="O2309" s="147"/>
      <c r="P2309" s="148"/>
    </row>
    <row r="2310" spans="1:16">
      <c r="A2310" s="95" t="s">
        <v>2398</v>
      </c>
      <c r="B2310" s="95" t="s">
        <v>1148</v>
      </c>
      <c r="C2310" s="4">
        <v>4369</v>
      </c>
      <c r="D2310" s="95" t="s">
        <v>1152</v>
      </c>
      <c r="E2310" s="145">
        <v>185.61</v>
      </c>
      <c r="F2310" s="145">
        <v>0</v>
      </c>
      <c r="G2310" s="145">
        <v>0</v>
      </c>
      <c r="H2310" s="145">
        <v>0</v>
      </c>
      <c r="I2310" s="77">
        <f t="shared" si="39"/>
        <v>185.61</v>
      </c>
      <c r="J2310" s="123" t="str">
        <f>IFERROR(VLOOKUP($C2310,'CEDARS School FRPL'!C:H,4,FALSE),"No")</f>
        <v>Yes</v>
      </c>
      <c r="K2310" s="109"/>
      <c r="L2310" s="109"/>
      <c r="M2310" s="110">
        <f>IFERROR(VLOOKUP($C2310,'CEDARS School FRPL'!C:H,3,FALSE),0)</f>
        <v>0.86196666666666655</v>
      </c>
      <c r="N2310" s="123" t="str">
        <f>IFERROR(VLOOKUP(C2310,'CEDARS School FRPL'!C:H,6,FALSE),"No")</f>
        <v>No</v>
      </c>
      <c r="O2310" s="147"/>
      <c r="P2310" s="148"/>
    </row>
    <row r="2311" spans="1:16">
      <c r="A2311" s="95" t="s">
        <v>2337</v>
      </c>
      <c r="B2311" s="95" t="s">
        <v>505</v>
      </c>
      <c r="C2311" s="4">
        <v>3375</v>
      </c>
      <c r="D2311" s="95" t="s">
        <v>506</v>
      </c>
      <c r="E2311" s="145">
        <v>156.04</v>
      </c>
      <c r="F2311" s="145">
        <v>0.9</v>
      </c>
      <c r="G2311" s="145">
        <v>0</v>
      </c>
      <c r="H2311" s="145">
        <v>0</v>
      </c>
      <c r="I2311" s="77">
        <f t="shared" si="39"/>
        <v>156.94</v>
      </c>
      <c r="J2311" s="123" t="str">
        <f>IFERROR(VLOOKUP($C2311,'CEDARS School FRPL'!C:H,4,FALSE),"No")</f>
        <v>Yes</v>
      </c>
      <c r="K2311" s="109"/>
      <c r="L2311" s="109"/>
      <c r="M2311" s="110">
        <f>IFERROR(VLOOKUP($C2311,'CEDARS School FRPL'!C:H,3,FALSE),0)</f>
        <v>0.62919999999999998</v>
      </c>
      <c r="N2311" s="123" t="str">
        <f>IFERROR(VLOOKUP(C2311,'CEDARS School FRPL'!C:H,6,FALSE),"No")</f>
        <v>No</v>
      </c>
      <c r="O2311" s="147"/>
      <c r="P2311" s="148"/>
    </row>
    <row r="2312" spans="1:16">
      <c r="A2312" s="95" t="s">
        <v>2383</v>
      </c>
      <c r="B2312" s="95" t="s">
        <v>1104</v>
      </c>
      <c r="C2312" s="4">
        <v>2605</v>
      </c>
      <c r="D2312" s="95" t="s">
        <v>1105</v>
      </c>
      <c r="E2312" s="145">
        <v>55.75</v>
      </c>
      <c r="F2312" s="145">
        <v>4.3500000000000005</v>
      </c>
      <c r="G2312" s="145">
        <v>0</v>
      </c>
      <c r="H2312" s="145">
        <v>0</v>
      </c>
      <c r="I2312" s="77">
        <f t="shared" si="39"/>
        <v>60.1</v>
      </c>
      <c r="J2312" s="123" t="str">
        <f>IFERROR(VLOOKUP($C2312,'CEDARS School FRPL'!C:H,4,FALSE),"No")</f>
        <v>Yes</v>
      </c>
      <c r="K2312" s="109"/>
      <c r="L2312" s="109"/>
      <c r="M2312" s="110">
        <f>IFERROR(VLOOKUP($C2312,'CEDARS School FRPL'!C:H,3,FALSE),0)</f>
        <v>0.85683333333333334</v>
      </c>
      <c r="N2312" s="123" t="str">
        <f>IFERROR(VLOOKUP(C2312,'CEDARS School FRPL'!C:H,6,FALSE),"No")</f>
        <v>No</v>
      </c>
      <c r="O2312" s="147"/>
      <c r="P2312" s="148"/>
    </row>
    <row r="2313" spans="1:16">
      <c r="A2313" s="95" t="s">
        <v>2299</v>
      </c>
      <c r="B2313" s="95" t="s">
        <v>320</v>
      </c>
      <c r="C2313" s="4">
        <v>1795</v>
      </c>
      <c r="D2313" s="95" t="s">
        <v>321</v>
      </c>
      <c r="E2313" s="145">
        <v>114.95</v>
      </c>
      <c r="F2313" s="145">
        <v>1</v>
      </c>
      <c r="G2313" s="145">
        <v>0</v>
      </c>
      <c r="H2313" s="145">
        <v>0</v>
      </c>
      <c r="I2313" s="77">
        <f t="shared" si="39"/>
        <v>115.95</v>
      </c>
      <c r="J2313" s="123" t="str">
        <f>IFERROR(VLOOKUP($C2313,'CEDARS School FRPL'!C:H,4,FALSE),"No")</f>
        <v>Yes</v>
      </c>
      <c r="K2313" s="109"/>
      <c r="L2313" s="109"/>
      <c r="M2313" s="110">
        <f>IFERROR(VLOOKUP($C2313,'CEDARS School FRPL'!C:H,3,FALSE),0)</f>
        <v>0.53903333333333336</v>
      </c>
      <c r="N2313" s="123" t="str">
        <f>IFERROR(VLOOKUP(C2313,'CEDARS School FRPL'!C:H,6,FALSE),"No")</f>
        <v>No</v>
      </c>
      <c r="O2313" s="147"/>
      <c r="P2313" s="148"/>
    </row>
    <row r="2314" spans="1:16">
      <c r="A2314" s="95" t="s">
        <v>2299</v>
      </c>
      <c r="B2314" s="95" t="s">
        <v>320</v>
      </c>
      <c r="C2314" s="4">
        <v>3513</v>
      </c>
      <c r="D2314" s="95" t="s">
        <v>322</v>
      </c>
      <c r="E2314" s="145">
        <v>50.71</v>
      </c>
      <c r="F2314" s="145">
        <v>0</v>
      </c>
      <c r="G2314" s="145">
        <v>0</v>
      </c>
      <c r="H2314" s="145">
        <v>0</v>
      </c>
      <c r="I2314" s="77">
        <f t="shared" si="39"/>
        <v>50.71</v>
      </c>
      <c r="J2314" s="123" t="str">
        <f>IFERROR(VLOOKUP($C2314,'CEDARS School FRPL'!C:H,4,FALSE),"No")</f>
        <v>No</v>
      </c>
      <c r="M2314" s="110">
        <f>IFERROR(VLOOKUP($C2314,'CEDARS School FRPL'!C:H,3,FALSE),0)</f>
        <v>0.33529999999999999</v>
      </c>
      <c r="N2314" s="123" t="str">
        <f>IFERROR(VLOOKUP(C2314,'CEDARS School FRPL'!C:H,6,FALSE),"No")</f>
        <v>No</v>
      </c>
      <c r="O2314" s="147"/>
      <c r="P2314" s="148"/>
    </row>
    <row r="2315" spans="1:16">
      <c r="A2315" s="95" t="s">
        <v>2299</v>
      </c>
      <c r="B2315" s="95" t="s">
        <v>320</v>
      </c>
      <c r="C2315" s="4">
        <v>3546</v>
      </c>
      <c r="D2315" s="95" t="s">
        <v>323</v>
      </c>
      <c r="E2315" s="145">
        <v>603.80999999999995</v>
      </c>
      <c r="F2315" s="145">
        <v>46.379999999999995</v>
      </c>
      <c r="G2315" s="145">
        <v>2.4300000000000002</v>
      </c>
      <c r="H2315" s="145">
        <v>0</v>
      </c>
      <c r="I2315" s="77">
        <f t="shared" si="39"/>
        <v>652.61999999999989</v>
      </c>
      <c r="J2315" s="123" t="str">
        <f>IFERROR(VLOOKUP($C2315,'CEDARS School FRPL'!C:H,4,FALSE),"No")</f>
        <v>No</v>
      </c>
      <c r="M2315" s="110">
        <f>IFERROR(VLOOKUP($C2315,'CEDARS School FRPL'!C:H,3,FALSE),0)</f>
        <v>0.42709999999999998</v>
      </c>
      <c r="N2315" s="123" t="str">
        <f>IFERROR(VLOOKUP(C2315,'CEDARS School FRPL'!C:H,6,FALSE),"No")</f>
        <v>No</v>
      </c>
      <c r="O2315" s="147"/>
      <c r="P2315" s="148"/>
    </row>
    <row r="2316" spans="1:16">
      <c r="A2316" s="95" t="s">
        <v>2299</v>
      </c>
      <c r="B2316" s="95" t="s">
        <v>320</v>
      </c>
      <c r="C2316" s="4">
        <v>5246</v>
      </c>
      <c r="D2316" s="95" t="s">
        <v>324</v>
      </c>
      <c r="E2316" s="145">
        <v>72.06</v>
      </c>
      <c r="F2316" s="145">
        <v>0</v>
      </c>
      <c r="G2316" s="145">
        <v>0</v>
      </c>
      <c r="H2316" s="145">
        <v>0</v>
      </c>
      <c r="I2316" s="77">
        <f t="shared" si="39"/>
        <v>72.06</v>
      </c>
      <c r="J2316" s="123" t="str">
        <f>IFERROR(VLOOKUP($C2316,'CEDARS School FRPL'!C:H,4,FALSE),"No")</f>
        <v>No</v>
      </c>
      <c r="M2316" s="110">
        <f>IFERROR(VLOOKUP($C2316,'CEDARS School FRPL'!C:H,3,FALSE),0)</f>
        <v>0.29580000000000001</v>
      </c>
      <c r="N2316" s="123" t="str">
        <f>IFERROR(VLOOKUP(C2316,'CEDARS School FRPL'!C:H,6,FALSE),"No")</f>
        <v>No</v>
      </c>
      <c r="O2316" s="147"/>
      <c r="P2316" s="148"/>
    </row>
    <row r="2317" spans="1:16">
      <c r="A2317" s="95" t="s">
        <v>2299</v>
      </c>
      <c r="B2317" s="95" t="s">
        <v>320</v>
      </c>
      <c r="C2317" s="4">
        <v>5409</v>
      </c>
      <c r="D2317" s="95" t="s">
        <v>325</v>
      </c>
      <c r="E2317" s="145">
        <v>659.97</v>
      </c>
      <c r="F2317" s="145">
        <v>0</v>
      </c>
      <c r="G2317" s="145">
        <v>0</v>
      </c>
      <c r="H2317" s="145">
        <v>0</v>
      </c>
      <c r="I2317" s="77">
        <f t="shared" si="39"/>
        <v>659.97</v>
      </c>
      <c r="J2317" s="123" t="str">
        <f>IFERROR(VLOOKUP($C2317,'CEDARS School FRPL'!C:H,4,FALSE),"No")</f>
        <v>No</v>
      </c>
      <c r="M2317" s="110">
        <f>IFERROR(VLOOKUP($C2317,'CEDARS School FRPL'!C:H,3,FALSE),0)</f>
        <v>0.44453333333333328</v>
      </c>
      <c r="N2317" s="123" t="str">
        <f>IFERROR(VLOOKUP(C2317,'CEDARS School FRPL'!C:H,6,FALSE),"No")</f>
        <v>No</v>
      </c>
      <c r="O2317" s="147"/>
      <c r="P2317" s="148"/>
    </row>
    <row r="2318" spans="1:16">
      <c r="A2318" s="95" t="s">
        <v>2299</v>
      </c>
      <c r="B2318" s="95" t="s">
        <v>320</v>
      </c>
      <c r="C2318" s="4">
        <v>5599</v>
      </c>
      <c r="D2318" s="95" t="s">
        <v>1637</v>
      </c>
      <c r="E2318" s="145">
        <v>376.8</v>
      </c>
      <c r="F2318" s="145">
        <v>0</v>
      </c>
      <c r="G2318" s="145">
        <v>0</v>
      </c>
      <c r="H2318" s="145">
        <v>0</v>
      </c>
      <c r="I2318" s="77">
        <f t="shared" si="39"/>
        <v>376.8</v>
      </c>
      <c r="J2318" s="123" t="str">
        <f>IFERROR(VLOOKUP($C2318,'CEDARS School FRPL'!C:H,4,FALSE),"No")</f>
        <v>Yes</v>
      </c>
      <c r="M2318" s="110">
        <f>IFERROR(VLOOKUP($C2318,'CEDARS School FRPL'!C:H,3,FALSE),0)</f>
        <v>0.52806666666666668</v>
      </c>
      <c r="N2318" s="123" t="str">
        <f>IFERROR(VLOOKUP(C2318,'CEDARS School FRPL'!C:H,6,FALSE),"No")</f>
        <v>No</v>
      </c>
      <c r="O2318" s="147"/>
      <c r="P2318" s="148"/>
    </row>
    <row r="2319" spans="1:16">
      <c r="A2319" s="95" t="s">
        <v>2299</v>
      </c>
      <c r="B2319" s="95" t="s">
        <v>320</v>
      </c>
      <c r="C2319" s="4">
        <v>5600</v>
      </c>
      <c r="D2319" s="95" t="s">
        <v>2948</v>
      </c>
      <c r="E2319" s="145">
        <v>415.98</v>
      </c>
      <c r="F2319" s="145">
        <v>0</v>
      </c>
      <c r="G2319" s="145">
        <v>0</v>
      </c>
      <c r="H2319" s="145">
        <v>0</v>
      </c>
      <c r="I2319" s="77">
        <f t="shared" si="39"/>
        <v>415.98</v>
      </c>
      <c r="J2319" s="123" t="str">
        <f>IFERROR(VLOOKUP($C2319,'CEDARS School FRPL'!C:H,4,FALSE),"No")</f>
        <v>No</v>
      </c>
      <c r="M2319" s="110">
        <f>IFERROR(VLOOKUP($C2319,'CEDARS School FRPL'!C:H,3,FALSE),0)</f>
        <v>0.34979999999999994</v>
      </c>
      <c r="N2319" s="123" t="str">
        <f>IFERROR(VLOOKUP(C2319,'CEDARS School FRPL'!C:H,6,FALSE),"No")</f>
        <v>No</v>
      </c>
      <c r="O2319" s="147"/>
      <c r="P2319" s="148"/>
    </row>
    <row r="2320" spans="1:16">
      <c r="A2320" s="95" t="s">
        <v>2763</v>
      </c>
      <c r="B2320" s="95" t="s">
        <v>2766</v>
      </c>
      <c r="C2320" s="4">
        <v>5550</v>
      </c>
      <c r="D2320" s="95" t="s">
        <v>2764</v>
      </c>
      <c r="E2320" s="145">
        <v>129.86000000000001</v>
      </c>
      <c r="F2320" s="145">
        <v>0</v>
      </c>
      <c r="G2320" s="145">
        <v>0</v>
      </c>
      <c r="H2320" s="145">
        <v>0</v>
      </c>
      <c r="I2320" s="77">
        <f t="shared" si="39"/>
        <v>129.86000000000001</v>
      </c>
      <c r="J2320" s="123" t="str">
        <f>IFERROR(VLOOKUP($C2320,'CEDARS School FRPL'!C:H,4,FALSE),"No")</f>
        <v>No</v>
      </c>
      <c r="M2320" s="110">
        <f>IFERROR(VLOOKUP($C2320,'CEDARS School FRPL'!C:H,3,FALSE),0)</f>
        <v>0</v>
      </c>
      <c r="N2320" s="123" t="str">
        <f>IFERROR(VLOOKUP(C2320,'CEDARS School FRPL'!C:H,6,FALSE),"No")</f>
        <v>No</v>
      </c>
      <c r="O2320" s="147"/>
      <c r="P2320" s="148"/>
    </row>
    <row r="2321" spans="1:16">
      <c r="A2321" s="95" t="s">
        <v>2555</v>
      </c>
      <c r="B2321" s="95" t="s">
        <v>2170</v>
      </c>
      <c r="C2321" s="4">
        <v>2116</v>
      </c>
      <c r="D2321" s="95" t="s">
        <v>2171</v>
      </c>
      <c r="E2321" s="145">
        <v>2430.84</v>
      </c>
      <c r="F2321" s="145">
        <v>82.17</v>
      </c>
      <c r="G2321" s="145">
        <v>0</v>
      </c>
      <c r="H2321" s="145">
        <v>0</v>
      </c>
      <c r="I2321" s="77">
        <f t="shared" si="39"/>
        <v>2513.0100000000002</v>
      </c>
      <c r="J2321" s="123" t="str">
        <f>IFERROR(VLOOKUP($C2321,'CEDARS School FRPL'!C:H,4,FALSE),"No")</f>
        <v>Yes</v>
      </c>
      <c r="M2321" s="110">
        <f>IFERROR(VLOOKUP($C2321,'CEDARS School FRPL'!C:H,3,FALSE),0)</f>
        <v>0.77413333333333334</v>
      </c>
      <c r="N2321" s="123" t="str">
        <f>IFERROR(VLOOKUP(C2321,'CEDARS School FRPL'!C:H,6,FALSE),"No")</f>
        <v>No</v>
      </c>
      <c r="O2321" s="147"/>
      <c r="P2321" s="148"/>
    </row>
    <row r="2322" spans="1:16">
      <c r="A2322" s="95" t="s">
        <v>2555</v>
      </c>
      <c r="B2322" s="95" t="s">
        <v>2170</v>
      </c>
      <c r="C2322" s="4">
        <v>2176</v>
      </c>
      <c r="D2322" s="95" t="s">
        <v>1597</v>
      </c>
      <c r="E2322" s="145">
        <v>490</v>
      </c>
      <c r="F2322" s="145">
        <v>0</v>
      </c>
      <c r="G2322" s="145">
        <v>0</v>
      </c>
      <c r="H2322" s="145">
        <v>0</v>
      </c>
      <c r="I2322" s="77">
        <f t="shared" si="39"/>
        <v>490</v>
      </c>
      <c r="J2322" s="123" t="str">
        <f>IFERROR(VLOOKUP($C2322,'CEDARS School FRPL'!C:H,4,FALSE),"No")</f>
        <v>Yes</v>
      </c>
      <c r="M2322" s="110">
        <f>IFERROR(VLOOKUP($C2322,'CEDARS School FRPL'!C:H,3,FALSE),0)</f>
        <v>0.8973000000000001</v>
      </c>
      <c r="N2322" s="123" t="str">
        <f>IFERROR(VLOOKUP(C2322,'CEDARS School FRPL'!C:H,6,FALSE),"No")</f>
        <v>No</v>
      </c>
      <c r="O2322" s="147"/>
      <c r="P2322" s="148"/>
    </row>
    <row r="2323" spans="1:16">
      <c r="A2323" s="95" t="s">
        <v>2555</v>
      </c>
      <c r="B2323" s="95" t="s">
        <v>2170</v>
      </c>
      <c r="C2323" s="4">
        <v>2177</v>
      </c>
      <c r="D2323" s="95" t="s">
        <v>2172</v>
      </c>
      <c r="E2323" s="145">
        <v>405.86</v>
      </c>
      <c r="F2323" s="145">
        <v>0</v>
      </c>
      <c r="G2323" s="145">
        <v>0</v>
      </c>
      <c r="H2323" s="145">
        <v>0</v>
      </c>
      <c r="I2323" s="77">
        <f t="shared" si="39"/>
        <v>405.86</v>
      </c>
      <c r="J2323" s="123" t="str">
        <f>IFERROR(VLOOKUP($C2323,'CEDARS School FRPL'!C:H,4,FALSE),"No")</f>
        <v>Yes</v>
      </c>
      <c r="M2323" s="110">
        <f>IFERROR(VLOOKUP($C2323,'CEDARS School FRPL'!C:H,3,FALSE),0)</f>
        <v>0.84329999999999983</v>
      </c>
      <c r="N2323" s="123" t="str">
        <f>IFERROR(VLOOKUP(C2323,'CEDARS School FRPL'!C:H,6,FALSE),"No")</f>
        <v>No</v>
      </c>
      <c r="O2323" s="147"/>
      <c r="P2323" s="148"/>
    </row>
    <row r="2324" spans="1:16">
      <c r="A2324" s="95" t="s">
        <v>2555</v>
      </c>
      <c r="B2324" s="95" t="s">
        <v>2170</v>
      </c>
      <c r="C2324" s="4">
        <v>2314</v>
      </c>
      <c r="D2324" s="95" t="s">
        <v>631</v>
      </c>
      <c r="E2324" s="145">
        <v>794.61</v>
      </c>
      <c r="F2324" s="145">
        <v>0</v>
      </c>
      <c r="G2324" s="145">
        <v>0</v>
      </c>
      <c r="H2324" s="145">
        <v>0</v>
      </c>
      <c r="I2324" s="77">
        <f t="shared" si="39"/>
        <v>794.61</v>
      </c>
      <c r="J2324" s="123" t="str">
        <f>IFERROR(VLOOKUP($C2324,'CEDARS School FRPL'!C:H,4,FALSE),"No")</f>
        <v>Yes</v>
      </c>
      <c r="M2324" s="110">
        <f>IFERROR(VLOOKUP($C2324,'CEDARS School FRPL'!C:H,3,FALSE),0)</f>
        <v>0.92230000000000001</v>
      </c>
      <c r="N2324" s="123" t="str">
        <f>IFERROR(VLOOKUP(C2324,'CEDARS School FRPL'!C:H,6,FALSE),"No")</f>
        <v>No</v>
      </c>
      <c r="O2324" s="147"/>
      <c r="P2324" s="148"/>
    </row>
    <row r="2325" spans="1:16">
      <c r="A2325" s="95" t="s">
        <v>2555</v>
      </c>
      <c r="B2325" s="95" t="s">
        <v>2170</v>
      </c>
      <c r="C2325" s="4">
        <v>2410</v>
      </c>
      <c r="D2325" s="95" t="s">
        <v>2173</v>
      </c>
      <c r="E2325" s="145">
        <v>874.36</v>
      </c>
      <c r="F2325" s="145">
        <v>0</v>
      </c>
      <c r="G2325" s="145">
        <v>0</v>
      </c>
      <c r="H2325" s="145">
        <v>0</v>
      </c>
      <c r="I2325" s="77">
        <f t="shared" si="39"/>
        <v>874.36</v>
      </c>
      <c r="J2325" s="123" t="str">
        <f>IFERROR(VLOOKUP($C2325,'CEDARS School FRPL'!C:H,4,FALSE),"No")</f>
        <v>Yes</v>
      </c>
      <c r="M2325" s="110">
        <f>IFERROR(VLOOKUP($C2325,'CEDARS School FRPL'!C:H,3,FALSE),0)</f>
        <v>0.81126666666666669</v>
      </c>
      <c r="N2325" s="123" t="str">
        <f>IFERROR(VLOOKUP(C2325,'CEDARS School FRPL'!C:H,6,FALSE),"No")</f>
        <v>No</v>
      </c>
      <c r="O2325" s="147"/>
      <c r="P2325" s="148"/>
    </row>
    <row r="2326" spans="1:16">
      <c r="A2326" s="95" t="s">
        <v>2555</v>
      </c>
      <c r="B2326" s="95" t="s">
        <v>2170</v>
      </c>
      <c r="C2326" s="4">
        <v>2433</v>
      </c>
      <c r="D2326" s="95" t="s">
        <v>1797</v>
      </c>
      <c r="E2326" s="145">
        <v>544.71</v>
      </c>
      <c r="F2326" s="145">
        <v>0</v>
      </c>
      <c r="G2326" s="145">
        <v>0</v>
      </c>
      <c r="H2326" s="145">
        <v>0</v>
      </c>
      <c r="I2326" s="77">
        <f t="shared" si="39"/>
        <v>544.71</v>
      </c>
      <c r="J2326" s="123" t="str">
        <f>IFERROR(VLOOKUP($C2326,'CEDARS School FRPL'!C:H,4,FALSE),"No")</f>
        <v>Yes</v>
      </c>
      <c r="M2326" s="110">
        <f>IFERROR(VLOOKUP($C2326,'CEDARS School FRPL'!C:H,3,FALSE),0)</f>
        <v>0.85246666666666659</v>
      </c>
      <c r="N2326" s="123" t="str">
        <f>IFERROR(VLOOKUP(C2326,'CEDARS School FRPL'!C:H,6,FALSE),"No")</f>
        <v>No</v>
      </c>
      <c r="O2326" s="147"/>
      <c r="P2326" s="148"/>
    </row>
    <row r="2327" spans="1:16">
      <c r="A2327" s="95" t="s">
        <v>2555</v>
      </c>
      <c r="B2327" s="95" t="s">
        <v>2170</v>
      </c>
      <c r="C2327" s="4">
        <v>2529</v>
      </c>
      <c r="D2327" s="95" t="s">
        <v>144</v>
      </c>
      <c r="E2327" s="145">
        <v>469.71</v>
      </c>
      <c r="F2327" s="145">
        <v>0</v>
      </c>
      <c r="G2327" s="145">
        <v>0</v>
      </c>
      <c r="H2327" s="145">
        <v>0</v>
      </c>
      <c r="I2327" s="77">
        <f t="shared" si="39"/>
        <v>469.71</v>
      </c>
      <c r="J2327" s="123" t="str">
        <f>IFERROR(VLOOKUP($C2327,'CEDARS School FRPL'!C:H,4,FALSE),"No")</f>
        <v>Yes</v>
      </c>
      <c r="M2327" s="110">
        <f>IFERROR(VLOOKUP($C2327,'CEDARS School FRPL'!C:H,3,FALSE),0)</f>
        <v>0.80483333333333329</v>
      </c>
      <c r="N2327" s="123" t="str">
        <f>IFERROR(VLOOKUP(C2327,'CEDARS School FRPL'!C:H,6,FALSE),"No")</f>
        <v>No</v>
      </c>
      <c r="O2327" s="147"/>
      <c r="P2327" s="148"/>
    </row>
    <row r="2328" spans="1:16">
      <c r="A2328" s="95" t="s">
        <v>2555</v>
      </c>
      <c r="B2328" s="95" t="s">
        <v>2170</v>
      </c>
      <c r="C2328" s="4">
        <v>2592</v>
      </c>
      <c r="D2328" s="95" t="s">
        <v>567</v>
      </c>
      <c r="E2328" s="145">
        <v>632.42999999999995</v>
      </c>
      <c r="F2328" s="145">
        <v>0</v>
      </c>
      <c r="G2328" s="145">
        <v>0</v>
      </c>
      <c r="H2328" s="145">
        <v>0</v>
      </c>
      <c r="I2328" s="77">
        <f t="shared" si="39"/>
        <v>632.42999999999995</v>
      </c>
      <c r="J2328" s="123" t="str">
        <f>IFERROR(VLOOKUP($C2328,'CEDARS School FRPL'!C:H,4,FALSE),"No")</f>
        <v>Yes</v>
      </c>
      <c r="M2328" s="110">
        <f>IFERROR(VLOOKUP($C2328,'CEDARS School FRPL'!C:H,3,FALSE),0)</f>
        <v>0.90700000000000003</v>
      </c>
      <c r="N2328" s="123" t="str">
        <f>IFERROR(VLOOKUP(C2328,'CEDARS School FRPL'!C:H,6,FALSE),"No")</f>
        <v>No</v>
      </c>
      <c r="O2328" s="147"/>
      <c r="P2328" s="148"/>
    </row>
    <row r="2329" spans="1:16">
      <c r="A2329" s="95" t="s">
        <v>2555</v>
      </c>
      <c r="B2329" s="95" t="s">
        <v>2170</v>
      </c>
      <c r="C2329" s="4">
        <v>2715</v>
      </c>
      <c r="D2329" s="95" t="s">
        <v>2174</v>
      </c>
      <c r="E2329" s="145">
        <v>581.71</v>
      </c>
      <c r="F2329" s="145">
        <v>0</v>
      </c>
      <c r="G2329" s="145">
        <v>0</v>
      </c>
      <c r="H2329" s="145">
        <v>0</v>
      </c>
      <c r="I2329" s="77">
        <f t="shared" si="39"/>
        <v>581.71</v>
      </c>
      <c r="J2329" s="123" t="str">
        <f>IFERROR(VLOOKUP($C2329,'CEDARS School FRPL'!C:H,4,FALSE),"No")</f>
        <v>Yes</v>
      </c>
      <c r="M2329" s="110">
        <f>IFERROR(VLOOKUP($C2329,'CEDARS School FRPL'!C:H,3,FALSE),0)</f>
        <v>0.85350000000000004</v>
      </c>
      <c r="N2329" s="123" t="str">
        <f>IFERROR(VLOOKUP(C2329,'CEDARS School FRPL'!C:H,6,FALSE),"No")</f>
        <v>No</v>
      </c>
      <c r="O2329" s="147"/>
      <c r="P2329" s="148"/>
    </row>
    <row r="2330" spans="1:16">
      <c r="A2330" s="95" t="s">
        <v>2555</v>
      </c>
      <c r="B2330" s="95" t="s">
        <v>2170</v>
      </c>
      <c r="C2330" s="4">
        <v>2818</v>
      </c>
      <c r="D2330" s="95" t="s">
        <v>2175</v>
      </c>
      <c r="E2330" s="145">
        <v>393.14</v>
      </c>
      <c r="F2330" s="145">
        <v>0</v>
      </c>
      <c r="G2330" s="145">
        <v>0</v>
      </c>
      <c r="H2330" s="145">
        <v>0</v>
      </c>
      <c r="I2330" s="77">
        <f t="shared" si="39"/>
        <v>393.14</v>
      </c>
      <c r="J2330" s="123" t="str">
        <f>IFERROR(VLOOKUP($C2330,'CEDARS School FRPL'!C:H,4,FALSE),"No")</f>
        <v>Yes</v>
      </c>
      <c r="M2330" s="110">
        <f>IFERROR(VLOOKUP($C2330,'CEDARS School FRPL'!C:H,3,FALSE),0)</f>
        <v>0.70046666666666668</v>
      </c>
      <c r="N2330" s="123" t="str">
        <f>IFERROR(VLOOKUP(C2330,'CEDARS School FRPL'!C:H,6,FALSE),"No")</f>
        <v>No</v>
      </c>
      <c r="O2330" s="147"/>
      <c r="P2330" s="148"/>
    </row>
    <row r="2331" spans="1:16">
      <c r="A2331" s="95" t="s">
        <v>2555</v>
      </c>
      <c r="B2331" s="95" t="s">
        <v>2170</v>
      </c>
      <c r="C2331" s="4">
        <v>2819</v>
      </c>
      <c r="D2331" s="95" t="s">
        <v>2176</v>
      </c>
      <c r="E2331" s="145">
        <v>429.63</v>
      </c>
      <c r="F2331" s="145">
        <v>0</v>
      </c>
      <c r="G2331" s="145">
        <v>0</v>
      </c>
      <c r="H2331" s="145">
        <v>0</v>
      </c>
      <c r="I2331" s="77">
        <f t="shared" si="39"/>
        <v>429.63</v>
      </c>
      <c r="J2331" s="123" t="str">
        <f>IFERROR(VLOOKUP($C2331,'CEDARS School FRPL'!C:H,4,FALSE),"No")</f>
        <v>Yes</v>
      </c>
      <c r="M2331" s="110">
        <f>IFERROR(VLOOKUP($C2331,'CEDARS School FRPL'!C:H,3,FALSE),0)</f>
        <v>0.60733333333333328</v>
      </c>
      <c r="N2331" s="123" t="str">
        <f>IFERROR(VLOOKUP(C2331,'CEDARS School FRPL'!C:H,6,FALSE),"No")</f>
        <v>No</v>
      </c>
      <c r="P2331" s="148"/>
    </row>
    <row r="2332" spans="1:16">
      <c r="A2332" s="95" t="s">
        <v>2555</v>
      </c>
      <c r="B2332" s="95" t="s">
        <v>2170</v>
      </c>
      <c r="C2332" s="4">
        <v>2899</v>
      </c>
      <c r="D2332" s="95" t="s">
        <v>2177</v>
      </c>
      <c r="E2332" s="145">
        <v>542.57000000000005</v>
      </c>
      <c r="F2332" s="145">
        <v>0</v>
      </c>
      <c r="G2332" s="145">
        <v>0</v>
      </c>
      <c r="H2332" s="145">
        <v>0</v>
      </c>
      <c r="I2332" s="77">
        <f t="shared" si="39"/>
        <v>542.57000000000005</v>
      </c>
      <c r="J2332" s="123" t="str">
        <f>IFERROR(VLOOKUP($C2332,'CEDARS School FRPL'!C:H,4,FALSE),"No")</f>
        <v>Yes</v>
      </c>
      <c r="M2332" s="110">
        <f>IFERROR(VLOOKUP($C2332,'CEDARS School FRPL'!C:H,3,FALSE),0)</f>
        <v>0.74153333333333338</v>
      </c>
      <c r="N2332" s="123" t="str">
        <f>IFERROR(VLOOKUP(C2332,'CEDARS School FRPL'!C:H,6,FALSE),"No")</f>
        <v>No</v>
      </c>
      <c r="P2332" s="148"/>
    </row>
    <row r="2333" spans="1:16">
      <c r="A2333" s="95" t="s">
        <v>2555</v>
      </c>
      <c r="B2333" s="95" t="s">
        <v>2170</v>
      </c>
      <c r="C2333" s="4">
        <v>3023</v>
      </c>
      <c r="D2333" s="95" t="s">
        <v>2178</v>
      </c>
      <c r="E2333" s="145">
        <v>308.29000000000002</v>
      </c>
      <c r="F2333" s="145">
        <v>0</v>
      </c>
      <c r="G2333" s="145">
        <v>0</v>
      </c>
      <c r="H2333" s="145">
        <v>0</v>
      </c>
      <c r="I2333" s="77">
        <f t="shared" si="39"/>
        <v>308.29000000000002</v>
      </c>
      <c r="J2333" s="123" t="str">
        <f>IFERROR(VLOOKUP($C2333,'CEDARS School FRPL'!C:H,4,FALSE),"No")</f>
        <v>Yes</v>
      </c>
      <c r="M2333" s="110">
        <f>IFERROR(VLOOKUP($C2333,'CEDARS School FRPL'!C:H,3,FALSE),0)</f>
        <v>0.59710000000000008</v>
      </c>
      <c r="N2333" s="123" t="str">
        <f>IFERROR(VLOOKUP(C2333,'CEDARS School FRPL'!C:H,6,FALSE),"No")</f>
        <v>No</v>
      </c>
      <c r="P2333" s="148"/>
    </row>
    <row r="2334" spans="1:16">
      <c r="A2334" s="95" t="s">
        <v>2555</v>
      </c>
      <c r="B2334" s="95" t="s">
        <v>2170</v>
      </c>
      <c r="C2334" s="4">
        <v>3138</v>
      </c>
      <c r="D2334" s="95" t="s">
        <v>2179</v>
      </c>
      <c r="E2334" s="145">
        <v>521.86</v>
      </c>
      <c r="F2334" s="145">
        <v>0</v>
      </c>
      <c r="G2334" s="145">
        <v>0</v>
      </c>
      <c r="H2334" s="145">
        <v>0</v>
      </c>
      <c r="I2334" s="77">
        <f t="shared" si="39"/>
        <v>521.86</v>
      </c>
      <c r="J2334" s="123" t="str">
        <f>IFERROR(VLOOKUP($C2334,'CEDARS School FRPL'!C:H,4,FALSE),"No")</f>
        <v>Yes</v>
      </c>
      <c r="M2334" s="110">
        <f>IFERROR(VLOOKUP($C2334,'CEDARS School FRPL'!C:H,3,FALSE),0)</f>
        <v>0.91299999999999992</v>
      </c>
      <c r="N2334" s="123" t="str">
        <f>IFERROR(VLOOKUP(C2334,'CEDARS School FRPL'!C:H,6,FALSE),"No")</f>
        <v>No</v>
      </c>
      <c r="P2334" s="148"/>
    </row>
    <row r="2335" spans="1:16">
      <c r="A2335" s="95" t="s">
        <v>2555</v>
      </c>
      <c r="B2335" s="95" t="s">
        <v>2170</v>
      </c>
      <c r="C2335" s="4">
        <v>3206</v>
      </c>
      <c r="D2335" s="95" t="s">
        <v>2180</v>
      </c>
      <c r="E2335" s="145">
        <v>1878.46</v>
      </c>
      <c r="F2335" s="145">
        <v>64.509999999999991</v>
      </c>
      <c r="G2335" s="145">
        <v>0</v>
      </c>
      <c r="H2335" s="145">
        <v>0</v>
      </c>
      <c r="I2335" s="77">
        <f t="shared" si="39"/>
        <v>1942.97</v>
      </c>
      <c r="J2335" s="123" t="str">
        <f>IFERROR(VLOOKUP($C2335,'CEDARS School FRPL'!C:H,4,FALSE),"No")</f>
        <v>Yes</v>
      </c>
      <c r="M2335" s="110">
        <f>IFERROR(VLOOKUP($C2335,'CEDARS School FRPL'!C:H,3,FALSE),0)</f>
        <v>0.72286666666666666</v>
      </c>
      <c r="N2335" s="123" t="str">
        <f>IFERROR(VLOOKUP(C2335,'CEDARS School FRPL'!C:H,6,FALSE),"No")</f>
        <v>No</v>
      </c>
      <c r="O2335" s="147"/>
      <c r="P2335" s="148"/>
    </row>
    <row r="2336" spans="1:16">
      <c r="A2336" s="95" t="s">
        <v>2555</v>
      </c>
      <c r="B2336" s="95" t="s">
        <v>2170</v>
      </c>
      <c r="C2336" s="4">
        <v>3264</v>
      </c>
      <c r="D2336" s="95" t="s">
        <v>2181</v>
      </c>
      <c r="E2336" s="145">
        <v>452.17</v>
      </c>
      <c r="F2336" s="145">
        <v>0</v>
      </c>
      <c r="G2336" s="145">
        <v>0</v>
      </c>
      <c r="H2336" s="145">
        <v>0</v>
      </c>
      <c r="I2336" s="77">
        <f t="shared" si="39"/>
        <v>452.17</v>
      </c>
      <c r="J2336" s="123" t="str">
        <f>IFERROR(VLOOKUP($C2336,'CEDARS School FRPL'!C:H,4,FALSE),"No")</f>
        <v>Yes</v>
      </c>
      <c r="M2336" s="110">
        <f>IFERROR(VLOOKUP($C2336,'CEDARS School FRPL'!C:H,3,FALSE),0)</f>
        <v>0.76249999999999984</v>
      </c>
      <c r="N2336" s="123" t="str">
        <f>IFERROR(VLOOKUP(C2336,'CEDARS School FRPL'!C:H,6,FALSE),"No")</f>
        <v>No</v>
      </c>
      <c r="O2336" s="147"/>
      <c r="P2336" s="148"/>
    </row>
    <row r="2337" spans="1:16">
      <c r="A2337" s="95" t="s">
        <v>2555</v>
      </c>
      <c r="B2337" s="95" t="s">
        <v>2170</v>
      </c>
      <c r="C2337" s="4">
        <v>3312</v>
      </c>
      <c r="D2337" s="95" t="s">
        <v>2182</v>
      </c>
      <c r="E2337" s="145">
        <v>404</v>
      </c>
      <c r="F2337" s="145">
        <v>0</v>
      </c>
      <c r="G2337" s="145">
        <v>0</v>
      </c>
      <c r="H2337" s="145">
        <v>0</v>
      </c>
      <c r="I2337" s="77">
        <f t="shared" si="39"/>
        <v>404</v>
      </c>
      <c r="J2337" s="123" t="str">
        <f>IFERROR(VLOOKUP($C2337,'CEDARS School FRPL'!C:H,4,FALSE),"No")</f>
        <v>Yes</v>
      </c>
      <c r="M2337" s="110">
        <f>IFERROR(VLOOKUP($C2337,'CEDARS School FRPL'!C:H,3,FALSE),0)</f>
        <v>0.64826666666666666</v>
      </c>
      <c r="N2337" s="123" t="str">
        <f>IFERROR(VLOOKUP(C2337,'CEDARS School FRPL'!C:H,6,FALSE),"No")</f>
        <v>No</v>
      </c>
      <c r="O2337" s="147"/>
      <c r="P2337" s="148"/>
    </row>
    <row r="2338" spans="1:16">
      <c r="A2338" s="95" t="s">
        <v>2555</v>
      </c>
      <c r="B2338" s="95" t="s">
        <v>2170</v>
      </c>
      <c r="C2338" s="4">
        <v>3368</v>
      </c>
      <c r="D2338" s="95" t="s">
        <v>2183</v>
      </c>
      <c r="E2338" s="145">
        <v>875.86</v>
      </c>
      <c r="F2338" s="145">
        <v>0</v>
      </c>
      <c r="G2338" s="145">
        <v>0</v>
      </c>
      <c r="H2338" s="145">
        <v>0</v>
      </c>
      <c r="I2338" s="77">
        <f t="shared" si="39"/>
        <v>875.86</v>
      </c>
      <c r="J2338" s="123" t="str">
        <f>IFERROR(VLOOKUP($C2338,'CEDARS School FRPL'!C:H,4,FALSE),"No")</f>
        <v>Yes</v>
      </c>
      <c r="M2338" s="110">
        <f>IFERROR(VLOOKUP($C2338,'CEDARS School FRPL'!C:H,3,FALSE),0)</f>
        <v>0.69906666666666661</v>
      </c>
      <c r="N2338" s="123" t="str">
        <f>IFERROR(VLOOKUP(C2338,'CEDARS School FRPL'!C:H,6,FALSE),"No")</f>
        <v>No</v>
      </c>
      <c r="O2338" s="147"/>
      <c r="P2338" s="148"/>
    </row>
    <row r="2339" spans="1:16">
      <c r="A2339" s="95" t="s">
        <v>2555</v>
      </c>
      <c r="B2339" s="95" t="s">
        <v>2170</v>
      </c>
      <c r="C2339" s="4">
        <v>3615</v>
      </c>
      <c r="D2339" s="95" t="s">
        <v>2184</v>
      </c>
      <c r="E2339" s="145">
        <v>837.24</v>
      </c>
      <c r="F2339" s="145">
        <v>0</v>
      </c>
      <c r="G2339" s="145">
        <v>0</v>
      </c>
      <c r="H2339" s="145">
        <v>0</v>
      </c>
      <c r="I2339" s="77">
        <f t="shared" si="39"/>
        <v>837.24</v>
      </c>
      <c r="J2339" s="123" t="str">
        <f>IFERROR(VLOOKUP($C2339,'CEDARS School FRPL'!C:H,4,FALSE),"No")</f>
        <v>Yes</v>
      </c>
      <c r="M2339" s="110">
        <f>IFERROR(VLOOKUP($C2339,'CEDARS School FRPL'!C:H,3,FALSE),0)</f>
        <v>0.87036666666666662</v>
      </c>
      <c r="N2339" s="123" t="str">
        <f>IFERROR(VLOOKUP(C2339,'CEDARS School FRPL'!C:H,6,FALSE),"No")</f>
        <v>No</v>
      </c>
      <c r="O2339" s="147"/>
      <c r="P2339" s="148"/>
    </row>
    <row r="2340" spans="1:16">
      <c r="A2340" s="95" t="s">
        <v>2555</v>
      </c>
      <c r="B2340" s="95" t="s">
        <v>2170</v>
      </c>
      <c r="C2340" s="4">
        <v>3817</v>
      </c>
      <c r="D2340" s="95" t="s">
        <v>2185</v>
      </c>
      <c r="E2340" s="145">
        <v>531.29</v>
      </c>
      <c r="F2340" s="145">
        <v>0</v>
      </c>
      <c r="G2340" s="145">
        <v>0</v>
      </c>
      <c r="H2340" s="145">
        <v>0</v>
      </c>
      <c r="I2340" s="77">
        <f t="shared" si="39"/>
        <v>531.29</v>
      </c>
      <c r="J2340" s="123" t="str">
        <f>IFERROR(VLOOKUP($C2340,'CEDARS School FRPL'!C:H,4,FALSE),"No")</f>
        <v>Yes</v>
      </c>
      <c r="M2340" s="110">
        <f>IFERROR(VLOOKUP($C2340,'CEDARS School FRPL'!C:H,3,FALSE),0)</f>
        <v>0.90513333333333323</v>
      </c>
      <c r="N2340" s="123" t="str">
        <f>IFERROR(VLOOKUP(C2340,'CEDARS School FRPL'!C:H,6,FALSE),"No")</f>
        <v>No</v>
      </c>
      <c r="O2340" s="147"/>
      <c r="P2340" s="148"/>
    </row>
    <row r="2341" spans="1:16">
      <c r="A2341" s="95" t="s">
        <v>2555</v>
      </c>
      <c r="B2341" s="95" t="s">
        <v>2170</v>
      </c>
      <c r="C2341" s="4">
        <v>4020</v>
      </c>
      <c r="D2341" s="95" t="s">
        <v>2983</v>
      </c>
      <c r="E2341" s="145">
        <v>439.24</v>
      </c>
      <c r="F2341" s="145">
        <v>0</v>
      </c>
      <c r="G2341" s="145">
        <v>0</v>
      </c>
      <c r="H2341" s="145">
        <v>0</v>
      </c>
      <c r="I2341" s="77">
        <f t="shared" si="39"/>
        <v>439.24</v>
      </c>
      <c r="J2341" s="123" t="str">
        <f>IFERROR(VLOOKUP($C2341,'CEDARS School FRPL'!C:H,4,FALSE),"No")</f>
        <v>No</v>
      </c>
      <c r="M2341" s="110">
        <f>IFERROR(VLOOKUP($C2341,'CEDARS School FRPL'!C:H,3,FALSE),0)</f>
        <v>0</v>
      </c>
      <c r="N2341" s="123" t="str">
        <f>IFERROR(VLOOKUP(C2341,'CEDARS School FRPL'!C:H,6,FALSE),"No")</f>
        <v>No</v>
      </c>
      <c r="O2341" s="147"/>
      <c r="P2341" s="148"/>
    </row>
    <row r="2342" spans="1:16">
      <c r="A2342" s="95" t="s">
        <v>2555</v>
      </c>
      <c r="B2342" s="95" t="s">
        <v>2170</v>
      </c>
      <c r="C2342" s="4">
        <v>4093</v>
      </c>
      <c r="D2342" s="95" t="s">
        <v>2186</v>
      </c>
      <c r="E2342" s="145">
        <v>195.3</v>
      </c>
      <c r="F2342" s="145">
        <v>0</v>
      </c>
      <c r="G2342" s="145">
        <v>0</v>
      </c>
      <c r="H2342" s="145">
        <v>0</v>
      </c>
      <c r="I2342" s="77">
        <f t="shared" si="39"/>
        <v>195.3</v>
      </c>
      <c r="J2342" s="123" t="str">
        <f>IFERROR(VLOOKUP($C2342,'CEDARS School FRPL'!C:H,4,FALSE),"No")</f>
        <v>Yes</v>
      </c>
      <c r="M2342" s="110">
        <f>IFERROR(VLOOKUP($C2342,'CEDARS School FRPL'!C:H,3,FALSE),0)</f>
        <v>0.91930000000000012</v>
      </c>
      <c r="N2342" s="123" t="str">
        <f>IFERROR(VLOOKUP(C2342,'CEDARS School FRPL'!C:H,6,FALSE),"No")</f>
        <v>No</v>
      </c>
      <c r="O2342" s="147"/>
      <c r="P2342" s="148"/>
    </row>
    <row r="2343" spans="1:16">
      <c r="A2343" s="95" t="s">
        <v>2555</v>
      </c>
      <c r="B2343" s="95" t="s">
        <v>2170</v>
      </c>
      <c r="C2343" s="4">
        <v>5153</v>
      </c>
      <c r="D2343" s="95" t="s">
        <v>2187</v>
      </c>
      <c r="E2343" s="145">
        <v>301.06</v>
      </c>
      <c r="F2343" s="145">
        <v>5.9899999999999993</v>
      </c>
      <c r="G2343" s="145">
        <v>0</v>
      </c>
      <c r="H2343" s="145">
        <v>0</v>
      </c>
      <c r="I2343" s="77">
        <f t="shared" si="39"/>
        <v>307.05</v>
      </c>
      <c r="J2343" s="123" t="str">
        <f>IFERROR(VLOOKUP($C2343,'CEDARS School FRPL'!C:H,4,FALSE),"No")</f>
        <v>Yes</v>
      </c>
      <c r="M2343" s="110">
        <f>IFERROR(VLOOKUP($C2343,'CEDARS School FRPL'!C:H,3,FALSE),0)</f>
        <v>0.68973333333333331</v>
      </c>
      <c r="N2343" s="123" t="str">
        <f>IFERROR(VLOOKUP(C2343,'CEDARS School FRPL'!C:H,6,FALSE),"No")</f>
        <v>No</v>
      </c>
      <c r="O2343" s="147"/>
      <c r="P2343" s="148"/>
    </row>
    <row r="2344" spans="1:16">
      <c r="A2344" s="95" t="s">
        <v>2555</v>
      </c>
      <c r="B2344" s="95" t="s">
        <v>2170</v>
      </c>
      <c r="C2344" s="4">
        <v>5224</v>
      </c>
      <c r="D2344" s="95" t="s">
        <v>2188</v>
      </c>
      <c r="E2344" s="145">
        <v>48.43</v>
      </c>
      <c r="F2344" s="145">
        <v>0</v>
      </c>
      <c r="G2344" s="145">
        <v>0</v>
      </c>
      <c r="H2344" s="145">
        <v>0</v>
      </c>
      <c r="I2344" s="77">
        <f t="shared" si="39"/>
        <v>48.43</v>
      </c>
      <c r="J2344" s="123" t="str">
        <f>IFERROR(VLOOKUP($C2344,'CEDARS School FRPL'!C:H,4,FALSE),"No")</f>
        <v>Yes</v>
      </c>
      <c r="M2344" s="110">
        <f>IFERROR(VLOOKUP($C2344,'CEDARS School FRPL'!C:H,3,FALSE),0)</f>
        <v>0.60239999999999994</v>
      </c>
      <c r="N2344" s="123" t="str">
        <f>IFERROR(VLOOKUP(C2344,'CEDARS School FRPL'!C:H,6,FALSE),"No")</f>
        <v>No</v>
      </c>
      <c r="O2344" s="147"/>
      <c r="P2344" s="148"/>
    </row>
    <row r="2345" spans="1:16">
      <c r="A2345" s="95" t="s">
        <v>2555</v>
      </c>
      <c r="B2345" s="95" t="s">
        <v>2170</v>
      </c>
      <c r="C2345" s="4">
        <v>5264</v>
      </c>
      <c r="D2345" s="95" t="s">
        <v>2986</v>
      </c>
      <c r="E2345" s="145">
        <v>0</v>
      </c>
      <c r="F2345" s="145">
        <v>7.0000000000000007E-2</v>
      </c>
      <c r="G2345" s="145">
        <v>0</v>
      </c>
      <c r="H2345" s="145">
        <v>0</v>
      </c>
      <c r="I2345" s="77">
        <f t="shared" si="39"/>
        <v>7.0000000000000007E-2</v>
      </c>
      <c r="J2345" s="123" t="str">
        <f>IFERROR(VLOOKUP($C2345,'CEDARS School FRPL'!C:H,4,FALSE),"No")</f>
        <v>No</v>
      </c>
      <c r="M2345" s="110">
        <f>IFERROR(VLOOKUP($C2345,'CEDARS School FRPL'!C:H,3,FALSE),0)</f>
        <v>0</v>
      </c>
      <c r="N2345" s="123" t="str">
        <f>IFERROR(VLOOKUP(C2345,'CEDARS School FRPL'!C:H,6,FALSE),"No")</f>
        <v>No</v>
      </c>
      <c r="O2345" s="147"/>
      <c r="P2345" s="148"/>
    </row>
    <row r="2346" spans="1:16">
      <c r="A2346" s="95" t="s">
        <v>2555</v>
      </c>
      <c r="B2346" s="95" t="s">
        <v>2170</v>
      </c>
      <c r="C2346" s="4">
        <v>5355</v>
      </c>
      <c r="D2346" s="95" t="s">
        <v>2189</v>
      </c>
      <c r="E2346" s="145">
        <v>0</v>
      </c>
      <c r="F2346" s="145">
        <v>0</v>
      </c>
      <c r="G2346" s="145">
        <v>46.71</v>
      </c>
      <c r="H2346" s="145">
        <v>0</v>
      </c>
      <c r="I2346" s="77">
        <f t="shared" si="39"/>
        <v>46.71</v>
      </c>
      <c r="J2346" s="123" t="str">
        <f>IFERROR(VLOOKUP($C2346,'CEDARS School FRPL'!C:H,4,FALSE),"No")</f>
        <v>Yes</v>
      </c>
      <c r="M2346" s="110">
        <f>IFERROR(VLOOKUP($C2346,'CEDARS School FRPL'!C:H,3,FALSE),0)</f>
        <v>0.81786666666666663</v>
      </c>
      <c r="N2346" s="123" t="str">
        <f>IFERROR(VLOOKUP(C2346,'CEDARS School FRPL'!C:H,6,FALSE),"No")</f>
        <v>No</v>
      </c>
      <c r="O2346" s="147"/>
    </row>
    <row r="2347" spans="1:16">
      <c r="A2347" s="95" t="s">
        <v>2515</v>
      </c>
      <c r="B2347" s="95" t="s">
        <v>1964</v>
      </c>
      <c r="C2347" s="4">
        <v>1627</v>
      </c>
      <c r="D2347" s="95" t="s">
        <v>1965</v>
      </c>
      <c r="E2347" s="145">
        <v>87.53</v>
      </c>
      <c r="F2347" s="145">
        <v>3.1799999999999997</v>
      </c>
      <c r="G2347" s="145">
        <v>18.14</v>
      </c>
      <c r="H2347" s="145">
        <v>0</v>
      </c>
      <c r="I2347" s="77">
        <f t="shared" si="39"/>
        <v>108.85000000000001</v>
      </c>
      <c r="J2347" s="123" t="str">
        <f>IFERROR(VLOOKUP($C2347,'CEDARS School FRPL'!C:H,4,FALSE),"No")</f>
        <v>Yes</v>
      </c>
      <c r="M2347" s="110">
        <f>IFERROR(VLOOKUP($C2347,'CEDARS School FRPL'!C:H,3,FALSE),0)</f>
        <v>0.57240000000000002</v>
      </c>
      <c r="N2347" s="123" t="str">
        <f>IFERROR(VLOOKUP(C2347,'CEDARS School FRPL'!C:H,6,FALSE),"No")</f>
        <v>No</v>
      </c>
      <c r="O2347" s="147"/>
    </row>
    <row r="2348" spans="1:16">
      <c r="A2348" s="95" t="s">
        <v>2515</v>
      </c>
      <c r="B2348" s="95" t="s">
        <v>1964</v>
      </c>
      <c r="C2348" s="4">
        <v>2260</v>
      </c>
      <c r="D2348" s="95" t="s">
        <v>1966</v>
      </c>
      <c r="E2348" s="145">
        <v>363.57</v>
      </c>
      <c r="F2348" s="145">
        <v>0</v>
      </c>
      <c r="G2348" s="145">
        <v>0</v>
      </c>
      <c r="H2348" s="145">
        <v>0</v>
      </c>
      <c r="I2348" s="77">
        <f t="shared" si="39"/>
        <v>363.57</v>
      </c>
      <c r="J2348" s="123" t="str">
        <f>IFERROR(VLOOKUP($C2348,'CEDARS School FRPL'!C:H,4,FALSE),"No")</f>
        <v>No</v>
      </c>
      <c r="M2348" s="110">
        <f>IFERROR(VLOOKUP($C2348,'CEDARS School FRPL'!C:H,3,FALSE),0)</f>
        <v>0.49886666666666662</v>
      </c>
      <c r="N2348" s="123" t="str">
        <f>IFERROR(VLOOKUP(C2348,'CEDARS School FRPL'!C:H,6,FALSE),"No")</f>
        <v>No</v>
      </c>
      <c r="O2348" s="147"/>
    </row>
    <row r="2349" spans="1:16">
      <c r="A2349" s="95" t="s">
        <v>2515</v>
      </c>
      <c r="B2349" s="95" t="s">
        <v>1964</v>
      </c>
      <c r="C2349" s="4">
        <v>2481</v>
      </c>
      <c r="D2349" s="95" t="s">
        <v>1967</v>
      </c>
      <c r="E2349" s="145">
        <v>672.69</v>
      </c>
      <c r="F2349" s="145">
        <v>0</v>
      </c>
      <c r="G2349" s="145">
        <v>0</v>
      </c>
      <c r="H2349" s="145">
        <v>0</v>
      </c>
      <c r="I2349" s="77">
        <f t="shared" si="39"/>
        <v>672.69</v>
      </c>
      <c r="J2349" s="123" t="str">
        <f>IFERROR(VLOOKUP($C2349,'CEDARS School FRPL'!C:H,4,FALSE),"No")</f>
        <v>No</v>
      </c>
      <c r="M2349" s="110">
        <f>IFERROR(VLOOKUP($C2349,'CEDARS School FRPL'!C:H,3,FALSE),0)</f>
        <v>0.49103333333333338</v>
      </c>
      <c r="N2349" s="123" t="str">
        <f>IFERROR(VLOOKUP(C2349,'CEDARS School FRPL'!C:H,6,FALSE),"No")</f>
        <v>No</v>
      </c>
      <c r="O2349" s="147"/>
    </row>
    <row r="2350" spans="1:16">
      <c r="A2350" s="95" t="s">
        <v>2515</v>
      </c>
      <c r="B2350" s="95" t="s">
        <v>1964</v>
      </c>
      <c r="C2350" s="4">
        <v>2633</v>
      </c>
      <c r="D2350" s="95" t="s">
        <v>1968</v>
      </c>
      <c r="E2350" s="145">
        <v>1458.98</v>
      </c>
      <c r="F2350" s="145">
        <v>106.47</v>
      </c>
      <c r="G2350" s="145">
        <v>0</v>
      </c>
      <c r="H2350" s="145">
        <v>0</v>
      </c>
      <c r="I2350" s="77">
        <f t="shared" si="39"/>
        <v>1565.45</v>
      </c>
      <c r="J2350" s="123" t="str">
        <f>IFERROR(VLOOKUP($C2350,'CEDARS School FRPL'!C:H,4,FALSE),"No")</f>
        <v>No</v>
      </c>
      <c r="M2350" s="110">
        <f>IFERROR(VLOOKUP($C2350,'CEDARS School FRPL'!C:H,3,FALSE),0)</f>
        <v>0.40549999999999997</v>
      </c>
      <c r="N2350" s="123" t="str">
        <f>IFERROR(VLOOKUP(C2350,'CEDARS School FRPL'!C:H,6,FALSE),"No")</f>
        <v>No</v>
      </c>
      <c r="O2350" s="147"/>
    </row>
    <row r="2351" spans="1:16">
      <c r="A2351" s="95" t="s">
        <v>2515</v>
      </c>
      <c r="B2351" s="95" t="s">
        <v>1964</v>
      </c>
      <c r="C2351" s="4">
        <v>3848</v>
      </c>
      <c r="D2351" s="95" t="s">
        <v>1969</v>
      </c>
      <c r="E2351" s="145">
        <v>578.73</v>
      </c>
      <c r="F2351" s="145">
        <v>0</v>
      </c>
      <c r="G2351" s="145">
        <v>0</v>
      </c>
      <c r="H2351" s="145">
        <v>0</v>
      </c>
      <c r="I2351" s="77">
        <f t="shared" si="39"/>
        <v>578.73</v>
      </c>
      <c r="J2351" s="123" t="str">
        <f>IFERROR(VLOOKUP($C2351,'CEDARS School FRPL'!C:H,4,FALSE),"No")</f>
        <v>No</v>
      </c>
      <c r="M2351" s="110">
        <f>IFERROR(VLOOKUP($C2351,'CEDARS School FRPL'!C:H,3,FALSE),0)</f>
        <v>0.40126666666666666</v>
      </c>
      <c r="N2351" s="123" t="str">
        <f>IFERROR(VLOOKUP(C2351,'CEDARS School FRPL'!C:H,6,FALSE),"No")</f>
        <v>No</v>
      </c>
      <c r="O2351" s="147"/>
    </row>
    <row r="2352" spans="1:16">
      <c r="A2352" s="95" t="s">
        <v>2515</v>
      </c>
      <c r="B2352" s="95" t="s">
        <v>1964</v>
      </c>
      <c r="C2352" s="4">
        <v>4224</v>
      </c>
      <c r="D2352" s="95" t="s">
        <v>1970</v>
      </c>
      <c r="E2352" s="145">
        <v>414.7</v>
      </c>
      <c r="F2352" s="145">
        <v>0</v>
      </c>
      <c r="G2352" s="145">
        <v>0</v>
      </c>
      <c r="H2352" s="145">
        <v>0</v>
      </c>
      <c r="I2352" s="77">
        <f t="shared" si="39"/>
        <v>414.7</v>
      </c>
      <c r="J2352" s="123" t="str">
        <f>IFERROR(VLOOKUP($C2352,'CEDARS School FRPL'!C:H,4,FALSE),"No")</f>
        <v>No</v>
      </c>
      <c r="M2352" s="110">
        <f>IFERROR(VLOOKUP($C2352,'CEDARS School FRPL'!C:H,3,FALSE),0)</f>
        <v>0.44989999999999997</v>
      </c>
      <c r="N2352" s="123" t="str">
        <f>IFERROR(VLOOKUP(C2352,'CEDARS School FRPL'!C:H,6,FALSE),"No")</f>
        <v>No</v>
      </c>
      <c r="O2352" s="147"/>
    </row>
    <row r="2353" spans="1:15">
      <c r="A2353" s="95" t="s">
        <v>2515</v>
      </c>
      <c r="B2353" s="95" t="s">
        <v>1964</v>
      </c>
      <c r="C2353" s="4">
        <v>4346</v>
      </c>
      <c r="D2353" s="95" t="s">
        <v>1971</v>
      </c>
      <c r="E2353" s="145">
        <v>451.81</v>
      </c>
      <c r="F2353" s="145">
        <v>0</v>
      </c>
      <c r="G2353" s="145">
        <v>0</v>
      </c>
      <c r="H2353" s="145">
        <v>0</v>
      </c>
      <c r="I2353" s="77">
        <f t="shared" si="39"/>
        <v>451.81</v>
      </c>
      <c r="J2353" s="123" t="str">
        <f>IFERROR(VLOOKUP($C2353,'CEDARS School FRPL'!C:H,4,FALSE),"No")</f>
        <v>Yes</v>
      </c>
      <c r="M2353" s="110">
        <f>IFERROR(VLOOKUP($C2353,'CEDARS School FRPL'!C:H,3,FALSE),0)</f>
        <v>0.60653333333333337</v>
      </c>
      <c r="N2353" s="123" t="str">
        <f>IFERROR(VLOOKUP(C2353,'CEDARS School FRPL'!C:H,6,FALSE),"No")</f>
        <v>No</v>
      </c>
    </row>
    <row r="2354" spans="1:15">
      <c r="A2354" s="95" t="s">
        <v>2515</v>
      </c>
      <c r="B2354" s="95" t="s">
        <v>1964</v>
      </c>
      <c r="C2354" s="4">
        <v>4451</v>
      </c>
      <c r="D2354" s="95" t="s">
        <v>1972</v>
      </c>
      <c r="E2354" s="145">
        <v>309.24</v>
      </c>
      <c r="F2354" s="145">
        <v>0</v>
      </c>
      <c r="G2354" s="145">
        <v>0</v>
      </c>
      <c r="H2354" s="145">
        <v>0</v>
      </c>
      <c r="I2354" s="77">
        <f t="shared" si="39"/>
        <v>309.24</v>
      </c>
      <c r="J2354" s="123" t="str">
        <f>IFERROR(VLOOKUP($C2354,'CEDARS School FRPL'!C:H,4,FALSE),"No")</f>
        <v>No</v>
      </c>
      <c r="M2354" s="110">
        <f>IFERROR(VLOOKUP($C2354,'CEDARS School FRPL'!C:H,3,FALSE),0)</f>
        <v>0.4336666666666667</v>
      </c>
      <c r="N2354" s="123" t="str">
        <f>IFERROR(VLOOKUP(C2354,'CEDARS School FRPL'!C:H,6,FALSE),"No")</f>
        <v>No</v>
      </c>
      <c r="O2354" s="147"/>
    </row>
    <row r="2355" spans="1:15">
      <c r="A2355" s="95" t="s">
        <v>2515</v>
      </c>
      <c r="B2355" s="95" t="s">
        <v>1964</v>
      </c>
      <c r="C2355" s="4">
        <v>5018</v>
      </c>
      <c r="D2355" s="95" t="s">
        <v>1973</v>
      </c>
      <c r="E2355" s="145">
        <v>309.33999999999997</v>
      </c>
      <c r="F2355" s="145">
        <v>0</v>
      </c>
      <c r="G2355" s="145">
        <v>0</v>
      </c>
      <c r="H2355" s="145">
        <v>0</v>
      </c>
      <c r="I2355" s="77">
        <f t="shared" si="39"/>
        <v>309.33999999999997</v>
      </c>
      <c r="J2355" s="123" t="str">
        <f>IFERROR(VLOOKUP($C2355,'CEDARS School FRPL'!C:H,4,FALSE),"No")</f>
        <v>No</v>
      </c>
      <c r="M2355" s="110">
        <f>IFERROR(VLOOKUP($C2355,'CEDARS School FRPL'!C:H,3,FALSE),0)</f>
        <v>0.46483333333333327</v>
      </c>
      <c r="N2355" s="123" t="str">
        <f>IFERROR(VLOOKUP(C2355,'CEDARS School FRPL'!C:H,6,FALSE),"No")</f>
        <v>No</v>
      </c>
      <c r="O2355" s="147"/>
    </row>
    <row r="2356" spans="1:15">
      <c r="A2356" s="95" t="s">
        <v>2515</v>
      </c>
      <c r="B2356" s="95" t="s">
        <v>1964</v>
      </c>
      <c r="C2356" s="4">
        <v>5052</v>
      </c>
      <c r="D2356" s="95" t="s">
        <v>1974</v>
      </c>
      <c r="E2356" s="145">
        <v>586.11</v>
      </c>
      <c r="F2356" s="145">
        <v>0</v>
      </c>
      <c r="G2356" s="145">
        <v>0</v>
      </c>
      <c r="H2356" s="145">
        <v>0</v>
      </c>
      <c r="I2356" s="77">
        <f t="shared" si="39"/>
        <v>586.11</v>
      </c>
      <c r="J2356" s="123" t="str">
        <f>IFERROR(VLOOKUP($C2356,'CEDARS School FRPL'!C:H,4,FALSE),"No")</f>
        <v>No</v>
      </c>
      <c r="M2356" s="110">
        <f>IFERROR(VLOOKUP($C2356,'CEDARS School FRPL'!C:H,3,FALSE),0)</f>
        <v>0.45540000000000003</v>
      </c>
      <c r="N2356" s="123" t="str">
        <f>IFERROR(VLOOKUP(C2356,'CEDARS School FRPL'!C:H,6,FALSE),"No")</f>
        <v>No</v>
      </c>
      <c r="O2356" s="147"/>
    </row>
    <row r="2357" spans="1:15">
      <c r="A2357" s="95" t="s">
        <v>2564</v>
      </c>
      <c r="B2357" s="95" t="s">
        <v>2235</v>
      </c>
      <c r="C2357" s="4">
        <v>2240</v>
      </c>
      <c r="D2357" s="95" t="s">
        <v>2236</v>
      </c>
      <c r="E2357" s="145">
        <v>415.42</v>
      </c>
      <c r="F2357" s="145">
        <v>15.15</v>
      </c>
      <c r="G2357" s="145">
        <v>0</v>
      </c>
      <c r="H2357" s="145">
        <v>0</v>
      </c>
      <c r="I2357" s="77">
        <f t="shared" si="39"/>
        <v>430.57</v>
      </c>
      <c r="J2357" s="123" t="str">
        <f>IFERROR(VLOOKUP($C2357,'CEDARS School FRPL'!C:H,4,FALSE),"No")</f>
        <v>Yes</v>
      </c>
      <c r="M2357" s="110">
        <f>IFERROR(VLOOKUP($C2357,'CEDARS School FRPL'!C:H,3,FALSE),0)</f>
        <v>0.53539999999999999</v>
      </c>
      <c r="N2357" s="123" t="str">
        <f>IFERROR(VLOOKUP(C2357,'CEDARS School FRPL'!C:H,6,FALSE),"No")</f>
        <v>No</v>
      </c>
      <c r="O2357" s="147"/>
    </row>
    <row r="2358" spans="1:15">
      <c r="A2358" s="95" t="s">
        <v>2564</v>
      </c>
      <c r="B2358" s="95" t="s">
        <v>2235</v>
      </c>
      <c r="C2358" s="4">
        <v>2783</v>
      </c>
      <c r="D2358" s="95" t="s">
        <v>2237</v>
      </c>
      <c r="E2358" s="145">
        <v>276.7</v>
      </c>
      <c r="F2358" s="145">
        <v>0</v>
      </c>
      <c r="G2358" s="145">
        <v>0</v>
      </c>
      <c r="H2358" s="145">
        <v>0</v>
      </c>
      <c r="I2358" s="77">
        <f t="shared" si="39"/>
        <v>276.7</v>
      </c>
      <c r="J2358" s="123" t="str">
        <f>IFERROR(VLOOKUP($C2358,'CEDARS School FRPL'!C:H,4,FALSE),"No")</f>
        <v>Yes</v>
      </c>
      <c r="M2358" s="110">
        <f>IFERROR(VLOOKUP($C2358,'CEDARS School FRPL'!C:H,3,FALSE),0)</f>
        <v>0.56753333333333333</v>
      </c>
      <c r="N2358" s="123" t="str">
        <f>IFERROR(VLOOKUP(C2358,'CEDARS School FRPL'!C:H,6,FALSE),"No")</f>
        <v>No</v>
      </c>
      <c r="O2358" s="147"/>
    </row>
    <row r="2359" spans="1:15">
      <c r="A2359" s="95" t="s">
        <v>2564</v>
      </c>
      <c r="B2359" s="95" t="s">
        <v>2235</v>
      </c>
      <c r="C2359" s="4">
        <v>4221</v>
      </c>
      <c r="D2359" s="95" t="s">
        <v>2238</v>
      </c>
      <c r="E2359" s="145">
        <v>251.36</v>
      </c>
      <c r="F2359" s="145">
        <v>0</v>
      </c>
      <c r="G2359" s="145">
        <v>0</v>
      </c>
      <c r="H2359" s="145">
        <v>0</v>
      </c>
      <c r="I2359" s="77">
        <f t="shared" si="39"/>
        <v>251.36</v>
      </c>
      <c r="J2359" s="123" t="str">
        <f>IFERROR(VLOOKUP($C2359,'CEDARS School FRPL'!C:H,4,FALSE),"No")</f>
        <v>Yes</v>
      </c>
      <c r="M2359" s="110">
        <f>IFERROR(VLOOKUP($C2359,'CEDARS School FRPL'!C:H,3,FALSE),0)</f>
        <v>0.62539999999999996</v>
      </c>
      <c r="N2359" s="123" t="str">
        <f>IFERROR(VLOOKUP(C2359,'CEDARS School FRPL'!C:H,6,FALSE),"No")</f>
        <v>No</v>
      </c>
      <c r="O2359" s="147"/>
    </row>
    <row r="2360" spans="1:15">
      <c r="A2360" s="95" t="s">
        <v>2564</v>
      </c>
      <c r="B2360" s="95" t="s">
        <v>2235</v>
      </c>
      <c r="C2360" s="4">
        <v>4481</v>
      </c>
      <c r="D2360" s="95" t="s">
        <v>2239</v>
      </c>
      <c r="E2360" s="145">
        <v>301.99</v>
      </c>
      <c r="F2360" s="145">
        <v>0</v>
      </c>
      <c r="G2360" s="145">
        <v>0</v>
      </c>
      <c r="H2360" s="145">
        <v>0</v>
      </c>
      <c r="I2360" s="77">
        <f t="shared" si="39"/>
        <v>301.99</v>
      </c>
      <c r="J2360" s="123" t="str">
        <f>IFERROR(VLOOKUP($C2360,'CEDARS School FRPL'!C:H,4,FALSE),"No")</f>
        <v>Yes</v>
      </c>
      <c r="M2360" s="110">
        <f>IFERROR(VLOOKUP($C2360,'CEDARS School FRPL'!C:H,3,FALSE),0)</f>
        <v>0.60106666666666664</v>
      </c>
      <c r="N2360" s="123" t="str">
        <f>IFERROR(VLOOKUP(C2360,'CEDARS School FRPL'!C:H,6,FALSE),"No")</f>
        <v>No</v>
      </c>
      <c r="O2360" s="147"/>
    </row>
    <row r="2361" spans="1:15">
      <c r="M2361" s="110"/>
      <c r="N2361" s="123"/>
    </row>
  </sheetData>
  <autoFilter ref="A3:O2360" xr:uid="{00000000-0009-0000-0000-000005000000}">
    <sortState xmlns:xlrd2="http://schemas.microsoft.com/office/spreadsheetml/2017/richdata2" ref="A4:O2360">
      <sortCondition ref="A3:A2360"/>
    </sortState>
  </autoFilter>
  <sortState xmlns:xlrd2="http://schemas.microsoft.com/office/spreadsheetml/2017/richdata2" ref="A4:N2360">
    <sortCondition ref="B4:B2360"/>
    <sortCondition ref="C4:C2360"/>
  </sortState>
  <conditionalFormatting sqref="J1:J1048576 N1:N1048576">
    <cfRule type="cellIs" dxfId="3" priority="1" operator="equal">
      <formula>"Yes"</formula>
    </cfRule>
    <cfRule type="cellIs" dxfId="2" priority="2" operator="equal">
      <formula>"No"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I2368"/>
  <sheetViews>
    <sheetView zoomScale="90" zoomScaleNormal="90" workbookViewId="0">
      <pane ySplit="3" topLeftCell="A4" activePane="bottomLeft" state="frozen"/>
      <selection pane="bottomLeft" activeCell="B3" sqref="B3"/>
    </sheetView>
  </sheetViews>
  <sheetFormatPr defaultRowHeight="14.4"/>
  <cols>
    <col min="2" max="2" width="24.109375" bestFit="1" customWidth="1"/>
    <col min="3" max="3" width="9.109375" style="163"/>
    <col min="4" max="4" width="45.109375" customWidth="1"/>
    <col min="5" max="5" width="12" customWidth="1"/>
    <col min="6" max="6" width="14.109375" customWidth="1"/>
    <col min="7" max="7" width="13.109375" customWidth="1"/>
    <col min="8" max="8" width="11.6640625" customWidth="1"/>
  </cols>
  <sheetData>
    <row r="1" spans="1:9" s="56" customFormat="1">
      <c r="A1" s="117"/>
      <c r="C1" s="162">
        <v>1</v>
      </c>
      <c r="D1" s="159">
        <f>1+C1</f>
        <v>2</v>
      </c>
      <c r="E1" s="159">
        <f t="shared" ref="E1:F1" si="0">1+D1</f>
        <v>3</v>
      </c>
      <c r="F1" s="159">
        <f t="shared" si="0"/>
        <v>4</v>
      </c>
      <c r="G1" s="159">
        <f t="shared" ref="G1" si="1">1+F1</f>
        <v>5</v>
      </c>
      <c r="H1" s="159">
        <f t="shared" ref="H1" si="2">1+G1</f>
        <v>6</v>
      </c>
    </row>
    <row r="2" spans="1:9" ht="15" thickBot="1"/>
    <row r="3" spans="1:9" ht="69" customHeight="1" thickBot="1">
      <c r="A3" s="169" t="s">
        <v>2707</v>
      </c>
      <c r="B3" s="170" t="s">
        <v>2592</v>
      </c>
      <c r="C3" s="171" t="s">
        <v>2767</v>
      </c>
      <c r="D3" s="170" t="s">
        <v>2593</v>
      </c>
      <c r="E3" s="172" t="s">
        <v>3055</v>
      </c>
      <c r="F3" s="172" t="s">
        <v>3056</v>
      </c>
      <c r="G3" s="173" t="s">
        <v>2949</v>
      </c>
      <c r="H3" s="174" t="s">
        <v>3078</v>
      </c>
    </row>
    <row r="4" spans="1:9">
      <c r="A4" s="97" t="s">
        <v>2327</v>
      </c>
      <c r="B4" s="97" t="s">
        <v>465</v>
      </c>
      <c r="C4" s="163">
        <v>2834</v>
      </c>
      <c r="D4" s="95" t="s">
        <v>468</v>
      </c>
      <c r="E4" s="142">
        <v>0.80509999999999993</v>
      </c>
      <c r="F4" s="4" t="s">
        <v>2752</v>
      </c>
      <c r="G4" s="4" t="s">
        <v>2752</v>
      </c>
      <c r="H4" s="4" t="str">
        <f t="shared" ref="H4:H67" si="3">IFERROR(IF(AND(G4="Yes",F4="No"),"Yes","No"),"No")</f>
        <v>No</v>
      </c>
    </row>
    <row r="5" spans="1:9">
      <c r="A5" s="97" t="s">
        <v>2327</v>
      </c>
      <c r="B5" s="97" t="s">
        <v>465</v>
      </c>
      <c r="C5" s="163">
        <v>3216</v>
      </c>
      <c r="D5" s="95" t="s">
        <v>470</v>
      </c>
      <c r="E5" s="142">
        <v>0.56226666666666658</v>
      </c>
      <c r="F5" s="4" t="s">
        <v>2752</v>
      </c>
      <c r="G5" s="4" t="s">
        <v>2752</v>
      </c>
      <c r="H5" s="4" t="str">
        <f t="shared" si="3"/>
        <v>No</v>
      </c>
      <c r="I5" s="56"/>
    </row>
    <row r="6" spans="1:9">
      <c r="A6" s="97" t="s">
        <v>2327</v>
      </c>
      <c r="B6" s="97" t="s">
        <v>465</v>
      </c>
      <c r="C6" s="163">
        <v>5514</v>
      </c>
      <c r="D6" s="95" t="s">
        <v>2795</v>
      </c>
      <c r="E6" s="142">
        <v>0.67603333333333337</v>
      </c>
      <c r="F6" s="4" t="s">
        <v>2752</v>
      </c>
      <c r="G6" s="4" t="s">
        <v>2752</v>
      </c>
      <c r="H6" s="4" t="str">
        <f t="shared" si="3"/>
        <v>No</v>
      </c>
      <c r="I6" s="56"/>
    </row>
    <row r="7" spans="1:9">
      <c r="A7" s="97" t="s">
        <v>2327</v>
      </c>
      <c r="B7" s="97" t="s">
        <v>465</v>
      </c>
      <c r="C7" s="163">
        <v>3857</v>
      </c>
      <c r="D7" s="95" t="s">
        <v>472</v>
      </c>
      <c r="E7" s="142">
        <v>0.74696666666666667</v>
      </c>
      <c r="F7" s="4" t="s">
        <v>2752</v>
      </c>
      <c r="G7" s="4" t="s">
        <v>2752</v>
      </c>
      <c r="H7" s="4" t="str">
        <f t="shared" si="3"/>
        <v>No</v>
      </c>
      <c r="I7" s="56"/>
    </row>
    <row r="8" spans="1:9">
      <c r="A8" s="97" t="s">
        <v>2327</v>
      </c>
      <c r="B8" s="97" t="s">
        <v>465</v>
      </c>
      <c r="C8" s="163">
        <v>5663</v>
      </c>
      <c r="D8" s="95" t="s">
        <v>2998</v>
      </c>
      <c r="E8" s="142">
        <v>0.85709999999999997</v>
      </c>
      <c r="F8" s="4" t="s">
        <v>2752</v>
      </c>
      <c r="G8" s="4" t="s">
        <v>3065</v>
      </c>
      <c r="H8" s="4" t="str">
        <f t="shared" si="3"/>
        <v>No</v>
      </c>
      <c r="I8" s="56"/>
    </row>
    <row r="9" spans="1:9">
      <c r="A9" s="97" t="s">
        <v>2327</v>
      </c>
      <c r="B9" s="97" t="s">
        <v>465</v>
      </c>
      <c r="C9" s="163">
        <v>3476</v>
      </c>
      <c r="D9" s="95" t="s">
        <v>471</v>
      </c>
      <c r="E9" s="142">
        <v>0.62853333333333339</v>
      </c>
      <c r="F9" s="4" t="s">
        <v>2752</v>
      </c>
      <c r="G9" s="4" t="s">
        <v>2752</v>
      </c>
      <c r="H9" s="4" t="str">
        <f t="shared" si="3"/>
        <v>No</v>
      </c>
      <c r="I9" s="56"/>
    </row>
    <row r="10" spans="1:9">
      <c r="A10" s="97" t="s">
        <v>2327</v>
      </c>
      <c r="B10" s="97" t="s">
        <v>465</v>
      </c>
      <c r="C10" s="163">
        <v>2449</v>
      </c>
      <c r="D10" s="95" t="s">
        <v>467</v>
      </c>
      <c r="E10" s="142">
        <v>0.67303333333333326</v>
      </c>
      <c r="F10" s="4" t="s">
        <v>2752</v>
      </c>
      <c r="G10" s="4" t="s">
        <v>2752</v>
      </c>
      <c r="H10" s="4" t="str">
        <f t="shared" si="3"/>
        <v>No</v>
      </c>
      <c r="I10" s="56"/>
    </row>
    <row r="11" spans="1:9">
      <c r="A11" s="97" t="s">
        <v>2327</v>
      </c>
      <c r="B11" s="97" t="s">
        <v>465</v>
      </c>
      <c r="C11" s="163">
        <v>2305</v>
      </c>
      <c r="D11" s="95" t="s">
        <v>466</v>
      </c>
      <c r="E11" s="142">
        <v>0.75636666666666663</v>
      </c>
      <c r="F11" s="4" t="s">
        <v>2752</v>
      </c>
      <c r="G11" s="4" t="s">
        <v>2752</v>
      </c>
      <c r="H11" s="4" t="str">
        <f t="shared" si="3"/>
        <v>No</v>
      </c>
      <c r="I11" s="56"/>
    </row>
    <row r="12" spans="1:9">
      <c r="A12" s="97" t="s">
        <v>2327</v>
      </c>
      <c r="B12" s="97" t="s">
        <v>465</v>
      </c>
      <c r="C12" s="163">
        <v>2763</v>
      </c>
      <c r="D12" s="95" t="s">
        <v>304</v>
      </c>
      <c r="E12" s="142">
        <v>0.82520000000000004</v>
      </c>
      <c r="F12" s="4" t="s">
        <v>2752</v>
      </c>
      <c r="G12" s="4" t="s">
        <v>2752</v>
      </c>
      <c r="H12" s="4" t="str">
        <f t="shared" si="3"/>
        <v>No</v>
      </c>
      <c r="I12" s="56"/>
    </row>
    <row r="13" spans="1:9">
      <c r="A13" s="97" t="s">
        <v>2327</v>
      </c>
      <c r="B13" s="97" t="s">
        <v>465</v>
      </c>
      <c r="C13" s="163">
        <v>2971</v>
      </c>
      <c r="D13" s="95" t="s">
        <v>469</v>
      </c>
      <c r="E13" s="142">
        <v>0.8622333333333333</v>
      </c>
      <c r="F13" s="4" t="s">
        <v>2752</v>
      </c>
      <c r="G13" s="4" t="s">
        <v>2752</v>
      </c>
      <c r="H13" s="4" t="str">
        <f t="shared" si="3"/>
        <v>No</v>
      </c>
      <c r="I13" s="56"/>
    </row>
    <row r="14" spans="1:9">
      <c r="A14" s="97" t="s">
        <v>2327</v>
      </c>
      <c r="B14" s="97" t="s">
        <v>465</v>
      </c>
      <c r="C14" s="163">
        <v>5208</v>
      </c>
      <c r="D14" s="95" t="s">
        <v>473</v>
      </c>
      <c r="E14" s="142">
        <v>9.5233333333333337E-2</v>
      </c>
      <c r="F14" s="4" t="s">
        <v>3065</v>
      </c>
      <c r="G14" s="4" t="s">
        <v>3065</v>
      </c>
      <c r="H14" s="4" t="str">
        <f t="shared" si="3"/>
        <v>No</v>
      </c>
      <c r="I14" s="56"/>
    </row>
    <row r="15" spans="1:9">
      <c r="A15" s="97" t="s">
        <v>2397</v>
      </c>
      <c r="B15" s="97" t="s">
        <v>1145</v>
      </c>
      <c r="C15" s="163">
        <v>2227</v>
      </c>
      <c r="D15" s="95" t="s">
        <v>1146</v>
      </c>
      <c r="E15" s="142">
        <v>0.24303333333333332</v>
      </c>
      <c r="F15" s="4" t="s">
        <v>3065</v>
      </c>
      <c r="G15" s="4" t="s">
        <v>3065</v>
      </c>
      <c r="H15" s="4" t="str">
        <f t="shared" si="3"/>
        <v>No</v>
      </c>
      <c r="I15" s="56"/>
    </row>
    <row r="16" spans="1:9">
      <c r="A16" s="97" t="s">
        <v>2397</v>
      </c>
      <c r="B16" s="97" t="s">
        <v>1145</v>
      </c>
      <c r="C16" s="163">
        <v>2441</v>
      </c>
      <c r="D16" s="95" t="s">
        <v>1147</v>
      </c>
      <c r="E16" s="142">
        <v>0.29216666666666663</v>
      </c>
      <c r="F16" s="4" t="s">
        <v>3065</v>
      </c>
      <c r="G16" s="4" t="s">
        <v>3065</v>
      </c>
      <c r="H16" s="4" t="str">
        <f t="shared" si="3"/>
        <v>No</v>
      </c>
      <c r="I16" s="56"/>
    </row>
    <row r="17" spans="1:9">
      <c r="A17" s="97" t="s">
        <v>2408</v>
      </c>
      <c r="B17" s="97" t="s">
        <v>1187</v>
      </c>
      <c r="C17" s="163">
        <v>2860</v>
      </c>
      <c r="D17" s="95" t="s">
        <v>1188</v>
      </c>
      <c r="E17" s="142">
        <v>0.33346666666666663</v>
      </c>
      <c r="F17" s="4" t="s">
        <v>3065</v>
      </c>
      <c r="G17" s="4" t="s">
        <v>3065</v>
      </c>
      <c r="H17" s="4" t="str">
        <f t="shared" si="3"/>
        <v>No</v>
      </c>
      <c r="I17" s="56"/>
    </row>
    <row r="18" spans="1:9">
      <c r="A18" s="97" t="s">
        <v>2463</v>
      </c>
      <c r="B18" s="97" t="s">
        <v>1562</v>
      </c>
      <c r="C18" s="163">
        <v>2467</v>
      </c>
      <c r="D18" s="95" t="s">
        <v>1563</v>
      </c>
      <c r="E18" s="142">
        <v>0.21333333333333335</v>
      </c>
      <c r="F18" s="4" t="s">
        <v>3065</v>
      </c>
      <c r="G18" s="4" t="s">
        <v>3065</v>
      </c>
      <c r="H18" s="4" t="str">
        <f t="shared" si="3"/>
        <v>No</v>
      </c>
      <c r="I18" s="56"/>
    </row>
    <row r="19" spans="1:9">
      <c r="A19" s="97" t="s">
        <v>2463</v>
      </c>
      <c r="B19" s="97" t="s">
        <v>1562</v>
      </c>
      <c r="C19" s="163">
        <v>2707</v>
      </c>
      <c r="D19" s="95" t="s">
        <v>1564</v>
      </c>
      <c r="E19" s="142">
        <v>0.28839999999999999</v>
      </c>
      <c r="F19" s="4" t="s">
        <v>3065</v>
      </c>
      <c r="G19" s="4" t="s">
        <v>3065</v>
      </c>
      <c r="H19" s="4" t="str">
        <f t="shared" si="3"/>
        <v>No</v>
      </c>
      <c r="I19" s="56"/>
    </row>
    <row r="20" spans="1:9">
      <c r="A20" s="97" t="s">
        <v>2463</v>
      </c>
      <c r="B20" s="97" t="s">
        <v>1562</v>
      </c>
      <c r="C20" s="163">
        <v>5176</v>
      </c>
      <c r="D20" s="95" t="s">
        <v>1568</v>
      </c>
      <c r="E20" s="142">
        <v>0.54286666666666672</v>
      </c>
      <c r="F20" s="4" t="s">
        <v>2752</v>
      </c>
      <c r="G20" s="4" t="s">
        <v>2752</v>
      </c>
      <c r="H20" s="4" t="str">
        <f t="shared" si="3"/>
        <v>No</v>
      </c>
      <c r="I20" s="56"/>
    </row>
    <row r="21" spans="1:9">
      <c r="A21" s="97" t="s">
        <v>2463</v>
      </c>
      <c r="B21" s="97" t="s">
        <v>1562</v>
      </c>
      <c r="C21" s="163">
        <v>3182</v>
      </c>
      <c r="D21" s="95" t="s">
        <v>1566</v>
      </c>
      <c r="E21" s="142">
        <v>0.3115666666666666</v>
      </c>
      <c r="F21" s="4" t="s">
        <v>3065</v>
      </c>
      <c r="G21" s="4" t="s">
        <v>3065</v>
      </c>
      <c r="H21" s="4" t="str">
        <f t="shared" si="3"/>
        <v>No</v>
      </c>
      <c r="I21" s="56"/>
    </row>
    <row r="22" spans="1:9">
      <c r="A22" s="97" t="s">
        <v>2463</v>
      </c>
      <c r="B22" s="97" t="s">
        <v>1562</v>
      </c>
      <c r="C22" s="163">
        <v>3252</v>
      </c>
      <c r="D22" s="95" t="s">
        <v>1567</v>
      </c>
      <c r="E22" s="142">
        <v>0.2435333333333333</v>
      </c>
      <c r="F22" s="4" t="s">
        <v>3065</v>
      </c>
      <c r="G22" s="4" t="s">
        <v>3065</v>
      </c>
      <c r="H22" s="4" t="str">
        <f t="shared" si="3"/>
        <v>No</v>
      </c>
      <c r="I22" s="56"/>
    </row>
    <row r="23" spans="1:9">
      <c r="A23" s="97" t="s">
        <v>2463</v>
      </c>
      <c r="B23" s="97" t="s">
        <v>1562</v>
      </c>
      <c r="C23" s="163">
        <v>3057</v>
      </c>
      <c r="D23" s="95" t="s">
        <v>1565</v>
      </c>
      <c r="E23" s="142">
        <v>0.29623333333333335</v>
      </c>
      <c r="F23" s="4" t="s">
        <v>3065</v>
      </c>
      <c r="G23" s="4" t="s">
        <v>3065</v>
      </c>
      <c r="H23" s="4" t="str">
        <f t="shared" si="3"/>
        <v>No</v>
      </c>
      <c r="I23" s="56"/>
    </row>
    <row r="24" spans="1:9">
      <c r="A24" s="97" t="s">
        <v>2463</v>
      </c>
      <c r="B24" s="97" t="s">
        <v>1562</v>
      </c>
      <c r="C24" s="163">
        <v>5588</v>
      </c>
      <c r="D24" s="95" t="s">
        <v>2818</v>
      </c>
      <c r="E24" s="142">
        <v>0.20833333333333334</v>
      </c>
      <c r="F24" s="4" t="s">
        <v>3065</v>
      </c>
      <c r="G24" s="4" t="s">
        <v>3065</v>
      </c>
      <c r="H24" s="4" t="str">
        <f t="shared" si="3"/>
        <v>No</v>
      </c>
      <c r="I24" s="56"/>
    </row>
    <row r="25" spans="1:9">
      <c r="A25" s="97" t="s">
        <v>2463</v>
      </c>
      <c r="B25" s="97" t="s">
        <v>1562</v>
      </c>
      <c r="C25" s="163">
        <v>3404</v>
      </c>
      <c r="D25" s="95" t="s">
        <v>2860</v>
      </c>
      <c r="E25" s="142">
        <v>0.22876666666666667</v>
      </c>
      <c r="F25" s="4" t="s">
        <v>3065</v>
      </c>
      <c r="G25" s="4" t="s">
        <v>3065</v>
      </c>
      <c r="H25" s="4" t="str">
        <f t="shared" si="3"/>
        <v>No</v>
      </c>
      <c r="I25" s="56"/>
    </row>
    <row r="26" spans="1:9">
      <c r="A26" s="97" t="s">
        <v>2476</v>
      </c>
      <c r="B26" s="97" t="s">
        <v>1681</v>
      </c>
      <c r="C26" s="163">
        <v>2523</v>
      </c>
      <c r="D26" s="95" t="s">
        <v>1682</v>
      </c>
      <c r="E26" s="142">
        <v>0.29776666666666668</v>
      </c>
      <c r="F26" s="4" t="s">
        <v>3065</v>
      </c>
      <c r="G26" s="4" t="s">
        <v>3065</v>
      </c>
      <c r="H26" s="4" t="str">
        <f t="shared" si="3"/>
        <v>No</v>
      </c>
      <c r="I26" s="56"/>
    </row>
    <row r="27" spans="1:9">
      <c r="A27" s="97" t="s">
        <v>2476</v>
      </c>
      <c r="B27" s="97" t="s">
        <v>1681</v>
      </c>
      <c r="C27" s="163">
        <v>5495</v>
      </c>
      <c r="D27" s="95" t="s">
        <v>2712</v>
      </c>
      <c r="E27" s="142">
        <v>0.48896666666666661</v>
      </c>
      <c r="F27" s="4" t="s">
        <v>3065</v>
      </c>
      <c r="G27" s="4" t="s">
        <v>3065</v>
      </c>
      <c r="H27" s="4" t="str">
        <f t="shared" si="3"/>
        <v>No</v>
      </c>
      <c r="I27" s="56"/>
    </row>
    <row r="28" spans="1:9">
      <c r="A28" s="97" t="s">
        <v>2476</v>
      </c>
      <c r="B28" s="97" t="s">
        <v>1681</v>
      </c>
      <c r="C28" s="163">
        <v>4327</v>
      </c>
      <c r="D28" s="95" t="s">
        <v>1686</v>
      </c>
      <c r="E28" s="142">
        <v>0.37836666666666668</v>
      </c>
      <c r="F28" s="4" t="s">
        <v>3065</v>
      </c>
      <c r="G28" s="4" t="s">
        <v>3065</v>
      </c>
      <c r="H28" s="4" t="str">
        <f t="shared" si="3"/>
        <v>No</v>
      </c>
      <c r="I28" s="56"/>
    </row>
    <row r="29" spans="1:9">
      <c r="A29" s="97" t="s">
        <v>2476</v>
      </c>
      <c r="B29" s="97" t="s">
        <v>1681</v>
      </c>
      <c r="C29" s="163">
        <v>5010</v>
      </c>
      <c r="D29" s="95" t="s">
        <v>1688</v>
      </c>
      <c r="E29" s="142">
        <v>0.33116666666666666</v>
      </c>
      <c r="F29" s="4" t="s">
        <v>3065</v>
      </c>
      <c r="G29" s="4" t="s">
        <v>3065</v>
      </c>
      <c r="H29" s="4" t="str">
        <f t="shared" si="3"/>
        <v>No</v>
      </c>
      <c r="I29" s="56"/>
    </row>
    <row r="30" spans="1:9">
      <c r="A30" s="97" t="s">
        <v>2476</v>
      </c>
      <c r="B30" s="97" t="s">
        <v>1681</v>
      </c>
      <c r="C30" s="163">
        <v>4436</v>
      </c>
      <c r="D30" s="95" t="s">
        <v>1687</v>
      </c>
      <c r="E30" s="142">
        <v>0.37333333333333329</v>
      </c>
      <c r="F30" s="4" t="s">
        <v>3065</v>
      </c>
      <c r="G30" s="4" t="s">
        <v>3065</v>
      </c>
      <c r="H30" s="4" t="str">
        <f t="shared" si="3"/>
        <v>No</v>
      </c>
      <c r="I30" s="56"/>
    </row>
    <row r="31" spans="1:9">
      <c r="A31" s="97" t="s">
        <v>2476</v>
      </c>
      <c r="B31" s="97" t="s">
        <v>1681</v>
      </c>
      <c r="C31" s="163">
        <v>4573</v>
      </c>
      <c r="D31" s="95" t="s">
        <v>416</v>
      </c>
      <c r="E31" s="142">
        <v>0.28983333333333333</v>
      </c>
      <c r="F31" s="4" t="s">
        <v>3065</v>
      </c>
      <c r="G31" s="4" t="s">
        <v>3065</v>
      </c>
      <c r="H31" s="4" t="str">
        <f t="shared" si="3"/>
        <v>No</v>
      </c>
      <c r="I31" s="56"/>
    </row>
    <row r="32" spans="1:9">
      <c r="A32" s="97" t="s">
        <v>2476</v>
      </c>
      <c r="B32" s="97" t="s">
        <v>1681</v>
      </c>
      <c r="C32" s="163">
        <v>3124</v>
      </c>
      <c r="D32" s="95" t="s">
        <v>1683</v>
      </c>
      <c r="E32" s="142">
        <v>0.38586666666666664</v>
      </c>
      <c r="F32" s="4" t="s">
        <v>3065</v>
      </c>
      <c r="G32" s="4" t="s">
        <v>3065</v>
      </c>
      <c r="H32" s="4" t="str">
        <f t="shared" si="3"/>
        <v>No</v>
      </c>
      <c r="I32" s="56"/>
    </row>
    <row r="33" spans="1:9">
      <c r="A33" s="97" t="s">
        <v>2476</v>
      </c>
      <c r="B33" s="97" t="s">
        <v>1681</v>
      </c>
      <c r="C33" s="163">
        <v>4154</v>
      </c>
      <c r="D33" s="95" t="s">
        <v>1684</v>
      </c>
      <c r="E33" s="142">
        <v>0.34066666666666667</v>
      </c>
      <c r="F33" s="4" t="s">
        <v>3065</v>
      </c>
      <c r="G33" s="4" t="s">
        <v>3065</v>
      </c>
      <c r="H33" s="4" t="str">
        <f t="shared" si="3"/>
        <v>No</v>
      </c>
      <c r="I33" s="56"/>
    </row>
    <row r="34" spans="1:9">
      <c r="A34" s="97" t="s">
        <v>2476</v>
      </c>
      <c r="B34" s="97" t="s">
        <v>1681</v>
      </c>
      <c r="C34" s="163">
        <v>1714</v>
      </c>
      <c r="D34" s="95" t="s">
        <v>2861</v>
      </c>
      <c r="E34" s="142">
        <v>0.2888</v>
      </c>
      <c r="F34" s="4" t="s">
        <v>3065</v>
      </c>
      <c r="G34" s="4" t="s">
        <v>3065</v>
      </c>
      <c r="H34" s="4" t="str">
        <f t="shared" si="3"/>
        <v>No</v>
      </c>
      <c r="I34" s="56"/>
    </row>
    <row r="35" spans="1:9">
      <c r="A35" s="97" t="s">
        <v>2476</v>
      </c>
      <c r="B35" s="97" t="s">
        <v>1681</v>
      </c>
      <c r="C35" s="163">
        <v>4287</v>
      </c>
      <c r="D35" s="95" t="s">
        <v>1685</v>
      </c>
      <c r="E35" s="142">
        <v>0.43906666666666666</v>
      </c>
      <c r="F35" s="4" t="s">
        <v>3065</v>
      </c>
      <c r="G35" s="4" t="s">
        <v>3065</v>
      </c>
      <c r="H35" s="4" t="str">
        <f t="shared" si="3"/>
        <v>No</v>
      </c>
      <c r="I35" s="56"/>
    </row>
    <row r="36" spans="1:9">
      <c r="A36" s="97" t="s">
        <v>2263</v>
      </c>
      <c r="B36" s="97" t="s">
        <v>30</v>
      </c>
      <c r="C36" s="163">
        <v>2507</v>
      </c>
      <c r="D36" s="95" t="s">
        <v>32</v>
      </c>
      <c r="E36" s="142">
        <v>0.3459666666666667</v>
      </c>
      <c r="F36" s="4" t="s">
        <v>3065</v>
      </c>
      <c r="G36" s="4" t="s">
        <v>3065</v>
      </c>
      <c r="H36" s="4" t="str">
        <f t="shared" si="3"/>
        <v>No</v>
      </c>
      <c r="I36" s="56"/>
    </row>
    <row r="37" spans="1:9">
      <c r="A37" s="97" t="s">
        <v>2263</v>
      </c>
      <c r="B37" s="97" t="s">
        <v>30</v>
      </c>
      <c r="C37" s="163">
        <v>2434</v>
      </c>
      <c r="D37" s="95" t="s">
        <v>31</v>
      </c>
      <c r="E37" s="142">
        <v>0.2923</v>
      </c>
      <c r="F37" s="4" t="s">
        <v>3065</v>
      </c>
      <c r="G37" s="4" t="s">
        <v>3065</v>
      </c>
      <c r="H37" s="4" t="str">
        <f t="shared" si="3"/>
        <v>No</v>
      </c>
      <c r="I37" s="56"/>
    </row>
    <row r="38" spans="1:9">
      <c r="A38" s="97" t="s">
        <v>2359</v>
      </c>
      <c r="B38" s="97" t="s">
        <v>808</v>
      </c>
      <c r="C38" s="163">
        <v>3825</v>
      </c>
      <c r="D38" s="95" t="s">
        <v>817</v>
      </c>
      <c r="E38" s="142">
        <v>0.58740000000000003</v>
      </c>
      <c r="F38" s="4" t="s">
        <v>2752</v>
      </c>
      <c r="G38" s="4" t="s">
        <v>2752</v>
      </c>
      <c r="H38" s="4" t="str">
        <f t="shared" si="3"/>
        <v>No</v>
      </c>
      <c r="I38" s="56"/>
    </row>
    <row r="39" spans="1:9">
      <c r="A39" s="97" t="s">
        <v>2359</v>
      </c>
      <c r="B39" s="97" t="s">
        <v>808</v>
      </c>
      <c r="C39" s="163">
        <v>5082</v>
      </c>
      <c r="D39" s="95" t="s">
        <v>825</v>
      </c>
      <c r="E39" s="142">
        <v>0.53336666666666677</v>
      </c>
      <c r="F39" s="4" t="s">
        <v>2752</v>
      </c>
      <c r="G39" s="4" t="s">
        <v>2752</v>
      </c>
      <c r="H39" s="4" t="str">
        <f t="shared" si="3"/>
        <v>No</v>
      </c>
      <c r="I39" s="56"/>
    </row>
    <row r="40" spans="1:9">
      <c r="A40" s="97" t="s">
        <v>2359</v>
      </c>
      <c r="B40" s="97" t="s">
        <v>808</v>
      </c>
      <c r="C40" s="163">
        <v>5037</v>
      </c>
      <c r="D40" s="95" t="s">
        <v>823</v>
      </c>
      <c r="E40" s="142">
        <v>0.49496666666666672</v>
      </c>
      <c r="F40" s="4" t="s">
        <v>3065</v>
      </c>
      <c r="G40" s="4" t="s">
        <v>3065</v>
      </c>
      <c r="H40" s="4" t="str">
        <f t="shared" si="3"/>
        <v>No</v>
      </c>
      <c r="I40" s="56"/>
    </row>
    <row r="41" spans="1:9">
      <c r="A41" s="97" t="s">
        <v>2359</v>
      </c>
      <c r="B41" s="97" t="s">
        <v>808</v>
      </c>
      <c r="C41" s="163">
        <v>5664</v>
      </c>
      <c r="D41" s="95" t="s">
        <v>2999</v>
      </c>
      <c r="E41" s="142">
        <v>0.60429999999999995</v>
      </c>
      <c r="F41" s="4" t="s">
        <v>2752</v>
      </c>
      <c r="G41" s="4" t="s">
        <v>3065</v>
      </c>
      <c r="H41" s="4" t="str">
        <f t="shared" si="3"/>
        <v>No</v>
      </c>
      <c r="I41" s="56"/>
    </row>
    <row r="42" spans="1:9">
      <c r="A42" s="97" t="s">
        <v>2359</v>
      </c>
      <c r="B42" s="97" t="s">
        <v>808</v>
      </c>
      <c r="C42" s="163">
        <v>5522</v>
      </c>
      <c r="D42" s="95" t="s">
        <v>2848</v>
      </c>
      <c r="E42" s="142">
        <v>0.4209</v>
      </c>
      <c r="F42" s="4" t="s">
        <v>3065</v>
      </c>
      <c r="G42" s="4" t="s">
        <v>3065</v>
      </c>
      <c r="H42" s="4" t="str">
        <f t="shared" si="3"/>
        <v>No</v>
      </c>
      <c r="I42" s="56"/>
    </row>
    <row r="43" spans="1:9">
      <c r="A43" s="97" t="s">
        <v>2359</v>
      </c>
      <c r="B43" s="97" t="s">
        <v>808</v>
      </c>
      <c r="C43" s="163">
        <v>4474</v>
      </c>
      <c r="D43" s="95" t="s">
        <v>822</v>
      </c>
      <c r="E43" s="142">
        <v>0.39726666666666666</v>
      </c>
      <c r="F43" s="4" t="s">
        <v>3065</v>
      </c>
      <c r="G43" s="4" t="s">
        <v>3065</v>
      </c>
      <c r="H43" s="4" t="str">
        <f t="shared" si="3"/>
        <v>No</v>
      </c>
      <c r="I43" s="56"/>
    </row>
    <row r="44" spans="1:9">
      <c r="A44" s="97" t="s">
        <v>2359</v>
      </c>
      <c r="B44" s="97" t="s">
        <v>808</v>
      </c>
      <c r="C44" s="163">
        <v>2795</v>
      </c>
      <c r="D44" s="95" t="s">
        <v>811</v>
      </c>
      <c r="E44" s="142">
        <v>0.60333333333333339</v>
      </c>
      <c r="F44" s="4" t="s">
        <v>2752</v>
      </c>
      <c r="G44" s="4" t="s">
        <v>2752</v>
      </c>
      <c r="H44" s="4" t="str">
        <f t="shared" si="3"/>
        <v>No</v>
      </c>
      <c r="I44" s="56"/>
    </row>
    <row r="45" spans="1:9">
      <c r="A45" s="97" t="s">
        <v>2359</v>
      </c>
      <c r="B45" s="97" t="s">
        <v>808</v>
      </c>
      <c r="C45" s="163">
        <v>5610</v>
      </c>
      <c r="D45" s="95" t="s">
        <v>2862</v>
      </c>
      <c r="E45" s="142">
        <v>0.34160000000000001</v>
      </c>
      <c r="F45" s="4" t="s">
        <v>3065</v>
      </c>
      <c r="G45" s="4" t="s">
        <v>3065</v>
      </c>
      <c r="H45" s="4" t="str">
        <f t="shared" si="3"/>
        <v>No</v>
      </c>
      <c r="I45" s="56"/>
    </row>
    <row r="46" spans="1:9">
      <c r="A46" s="97" t="s">
        <v>2359</v>
      </c>
      <c r="B46" s="97" t="s">
        <v>808</v>
      </c>
      <c r="C46" s="163">
        <v>2394</v>
      </c>
      <c r="D46" s="95" t="s">
        <v>231</v>
      </c>
      <c r="E46" s="142">
        <v>0.61659999999999993</v>
      </c>
      <c r="F46" s="4" t="s">
        <v>2752</v>
      </c>
      <c r="G46" s="4" t="s">
        <v>2752</v>
      </c>
      <c r="H46" s="4" t="str">
        <f t="shared" si="3"/>
        <v>No</v>
      </c>
      <c r="I46" s="56"/>
    </row>
    <row r="47" spans="1:9">
      <c r="A47" s="97" t="s">
        <v>2359</v>
      </c>
      <c r="B47" s="97" t="s">
        <v>808</v>
      </c>
      <c r="C47" s="163">
        <v>3439</v>
      </c>
      <c r="D47" s="95" t="s">
        <v>194</v>
      </c>
      <c r="E47" s="142">
        <v>0.69333333333333336</v>
      </c>
      <c r="F47" s="4" t="s">
        <v>2752</v>
      </c>
      <c r="G47" s="4" t="s">
        <v>2752</v>
      </c>
      <c r="H47" s="4" t="str">
        <f t="shared" si="3"/>
        <v>No</v>
      </c>
      <c r="I47" s="56"/>
    </row>
    <row r="48" spans="1:9">
      <c r="A48" s="97" t="s">
        <v>2359</v>
      </c>
      <c r="B48" s="97" t="s">
        <v>808</v>
      </c>
      <c r="C48" s="163">
        <v>2932</v>
      </c>
      <c r="D48" s="95" t="s">
        <v>812</v>
      </c>
      <c r="E48" s="142">
        <v>0.77599999999999991</v>
      </c>
      <c r="F48" s="4" t="s">
        <v>2752</v>
      </c>
      <c r="G48" s="4" t="s">
        <v>2752</v>
      </c>
      <c r="H48" s="4" t="str">
        <f t="shared" si="3"/>
        <v>No</v>
      </c>
      <c r="I48" s="56"/>
    </row>
    <row r="49" spans="1:9">
      <c r="A49" s="97" t="s">
        <v>2359</v>
      </c>
      <c r="B49" s="97" t="s">
        <v>808</v>
      </c>
      <c r="C49" s="163">
        <v>3745</v>
      </c>
      <c r="D49" s="95" t="s">
        <v>816</v>
      </c>
      <c r="E49" s="142">
        <v>0.45229999999999998</v>
      </c>
      <c r="F49" s="4" t="s">
        <v>3065</v>
      </c>
      <c r="G49" s="4" t="s">
        <v>3065</v>
      </c>
      <c r="H49" s="4" t="str">
        <f t="shared" si="3"/>
        <v>No</v>
      </c>
      <c r="I49" s="56"/>
    </row>
    <row r="50" spans="1:9">
      <c r="A50" s="97" t="s">
        <v>2359</v>
      </c>
      <c r="B50" s="97" t="s">
        <v>808</v>
      </c>
      <c r="C50" s="163">
        <v>3669</v>
      </c>
      <c r="D50" s="95" t="s">
        <v>815</v>
      </c>
      <c r="E50" s="142">
        <v>0.75013333333333332</v>
      </c>
      <c r="F50" s="4" t="s">
        <v>2752</v>
      </c>
      <c r="G50" s="4" t="s">
        <v>2752</v>
      </c>
      <c r="H50" s="4" t="str">
        <f t="shared" si="3"/>
        <v>No</v>
      </c>
      <c r="I50" s="56"/>
    </row>
    <row r="51" spans="1:9">
      <c r="A51" s="97" t="s">
        <v>2359</v>
      </c>
      <c r="B51" s="97" t="s">
        <v>808</v>
      </c>
      <c r="C51" s="163">
        <v>4347</v>
      </c>
      <c r="D51" s="95" t="s">
        <v>747</v>
      </c>
      <c r="E51" s="142">
        <v>0.43359999999999999</v>
      </c>
      <c r="F51" s="4" t="s">
        <v>3065</v>
      </c>
      <c r="G51" s="4" t="s">
        <v>3065</v>
      </c>
      <c r="H51" s="4" t="str">
        <f t="shared" si="3"/>
        <v>No</v>
      </c>
      <c r="I51" s="56"/>
    </row>
    <row r="52" spans="1:9">
      <c r="A52" s="97" t="s">
        <v>2359</v>
      </c>
      <c r="B52" s="97" t="s">
        <v>808</v>
      </c>
      <c r="C52" s="163">
        <v>4417</v>
      </c>
      <c r="D52" s="95" t="s">
        <v>820</v>
      </c>
      <c r="E52" s="142">
        <v>0.53846666666666676</v>
      </c>
      <c r="F52" s="4" t="s">
        <v>2752</v>
      </c>
      <c r="G52" s="4" t="s">
        <v>2752</v>
      </c>
      <c r="H52" s="4" t="str">
        <f t="shared" si="3"/>
        <v>No</v>
      </c>
      <c r="I52" s="56"/>
    </row>
    <row r="53" spans="1:9">
      <c r="A53" s="97" t="s">
        <v>2359</v>
      </c>
      <c r="B53" s="97" t="s">
        <v>808</v>
      </c>
      <c r="C53" s="163">
        <v>4120</v>
      </c>
      <c r="D53" s="95" t="s">
        <v>818</v>
      </c>
      <c r="E53" s="142">
        <v>0.39083333333333331</v>
      </c>
      <c r="F53" s="4" t="s">
        <v>3065</v>
      </c>
      <c r="G53" s="4" t="s">
        <v>3065</v>
      </c>
      <c r="H53" s="4" t="str">
        <f t="shared" si="3"/>
        <v>No</v>
      </c>
      <c r="I53" s="56"/>
    </row>
    <row r="54" spans="1:9">
      <c r="A54" s="97" t="s">
        <v>2359</v>
      </c>
      <c r="B54" s="97" t="s">
        <v>808</v>
      </c>
      <c r="C54" s="163">
        <v>5051</v>
      </c>
      <c r="D54" s="95" t="s">
        <v>824</v>
      </c>
      <c r="E54" s="142">
        <v>0.28883333333333333</v>
      </c>
      <c r="F54" s="4" t="s">
        <v>3065</v>
      </c>
      <c r="G54" s="4" t="s">
        <v>3065</v>
      </c>
      <c r="H54" s="4" t="str">
        <f t="shared" si="3"/>
        <v>No</v>
      </c>
      <c r="I54" s="56"/>
    </row>
    <row r="55" spans="1:9">
      <c r="A55" s="97" t="s">
        <v>2359</v>
      </c>
      <c r="B55" s="97" t="s">
        <v>808</v>
      </c>
      <c r="C55" s="163">
        <v>3525</v>
      </c>
      <c r="D55" s="95" t="s">
        <v>814</v>
      </c>
      <c r="E55" s="142">
        <v>0.7219000000000001</v>
      </c>
      <c r="F55" s="4" t="s">
        <v>2752</v>
      </c>
      <c r="G55" s="4" t="s">
        <v>2752</v>
      </c>
      <c r="H55" s="4" t="str">
        <f t="shared" si="3"/>
        <v>No</v>
      </c>
      <c r="I55" s="56"/>
    </row>
    <row r="56" spans="1:9">
      <c r="A56" s="97" t="s">
        <v>2359</v>
      </c>
      <c r="B56" s="97" t="s">
        <v>808</v>
      </c>
      <c r="C56" s="163">
        <v>4462</v>
      </c>
      <c r="D56" s="95" t="s">
        <v>821</v>
      </c>
      <c r="E56" s="142">
        <v>0.50949999999999995</v>
      </c>
      <c r="F56" s="4" t="s">
        <v>2752</v>
      </c>
      <c r="G56" s="4" t="s">
        <v>2752</v>
      </c>
      <c r="H56" s="4" t="str">
        <f t="shared" si="3"/>
        <v>No</v>
      </c>
      <c r="I56" s="56"/>
    </row>
    <row r="57" spans="1:9">
      <c r="A57" s="97" t="s">
        <v>2359</v>
      </c>
      <c r="B57" s="97" t="s">
        <v>808</v>
      </c>
      <c r="C57" s="163">
        <v>3169</v>
      </c>
      <c r="D57" s="95" t="s">
        <v>813</v>
      </c>
      <c r="E57" s="142">
        <v>0.71623333333333328</v>
      </c>
      <c r="F57" s="4" t="s">
        <v>2752</v>
      </c>
      <c r="G57" s="4" t="s">
        <v>2752</v>
      </c>
      <c r="H57" s="4" t="str">
        <f t="shared" si="3"/>
        <v>No</v>
      </c>
      <c r="I57" s="56"/>
    </row>
    <row r="58" spans="1:9">
      <c r="A58" s="97" t="s">
        <v>2359</v>
      </c>
      <c r="B58" s="97" t="s">
        <v>808</v>
      </c>
      <c r="C58" s="163">
        <v>3227</v>
      </c>
      <c r="D58" s="95" t="s">
        <v>244</v>
      </c>
      <c r="E58" s="142">
        <v>0.77250000000000008</v>
      </c>
      <c r="F58" s="4" t="s">
        <v>2752</v>
      </c>
      <c r="G58" s="4" t="s">
        <v>2752</v>
      </c>
      <c r="H58" s="4" t="str">
        <f t="shared" si="3"/>
        <v>No</v>
      </c>
      <c r="I58" s="56"/>
    </row>
    <row r="59" spans="1:9">
      <c r="A59" s="97" t="s">
        <v>2359</v>
      </c>
      <c r="B59" s="97" t="s">
        <v>808</v>
      </c>
      <c r="C59" s="163">
        <v>4385</v>
      </c>
      <c r="D59" s="95" t="s">
        <v>819</v>
      </c>
      <c r="E59" s="142">
        <v>0.5567333333333333</v>
      </c>
      <c r="F59" s="4" t="s">
        <v>2752</v>
      </c>
      <c r="G59" s="4" t="s">
        <v>2752</v>
      </c>
      <c r="H59" s="4" t="str">
        <f t="shared" si="3"/>
        <v>No</v>
      </c>
      <c r="I59" s="56"/>
    </row>
    <row r="60" spans="1:9">
      <c r="A60" s="97" t="s">
        <v>2359</v>
      </c>
      <c r="B60" s="97" t="s">
        <v>808</v>
      </c>
      <c r="C60" s="163">
        <v>1915</v>
      </c>
      <c r="D60" s="95" t="s">
        <v>686</v>
      </c>
      <c r="E60" s="142">
        <v>0.41503333333333331</v>
      </c>
      <c r="F60" s="4" t="s">
        <v>3065</v>
      </c>
      <c r="G60" s="4" t="s">
        <v>3065</v>
      </c>
      <c r="H60" s="4" t="str">
        <f t="shared" si="3"/>
        <v>No</v>
      </c>
      <c r="I60" s="56"/>
    </row>
    <row r="61" spans="1:9">
      <c r="A61" s="97" t="s">
        <v>2359</v>
      </c>
      <c r="B61" s="97" t="s">
        <v>808</v>
      </c>
      <c r="C61" s="163">
        <v>2659</v>
      </c>
      <c r="D61" s="95" t="s">
        <v>809</v>
      </c>
      <c r="E61" s="142">
        <v>0.6427666666666666</v>
      </c>
      <c r="F61" s="4" t="s">
        <v>2752</v>
      </c>
      <c r="G61" s="4" t="s">
        <v>2752</v>
      </c>
      <c r="H61" s="4" t="str">
        <f t="shared" si="3"/>
        <v>No</v>
      </c>
      <c r="I61" s="56"/>
    </row>
    <row r="62" spans="1:9">
      <c r="A62" s="97" t="s">
        <v>2359</v>
      </c>
      <c r="B62" s="97" t="s">
        <v>808</v>
      </c>
      <c r="C62" s="163">
        <v>2326</v>
      </c>
      <c r="D62" s="95" t="s">
        <v>40</v>
      </c>
      <c r="E62" s="142">
        <v>0.72906666666666664</v>
      </c>
      <c r="F62" s="4" t="s">
        <v>2752</v>
      </c>
      <c r="G62" s="4" t="s">
        <v>2752</v>
      </c>
      <c r="H62" s="4" t="str">
        <f t="shared" si="3"/>
        <v>No</v>
      </c>
      <c r="I62" s="56"/>
    </row>
    <row r="63" spans="1:9">
      <c r="A63" s="97" t="s">
        <v>2359</v>
      </c>
      <c r="B63" s="97" t="s">
        <v>808</v>
      </c>
      <c r="C63" s="163">
        <v>2702</v>
      </c>
      <c r="D63" s="95" t="s">
        <v>810</v>
      </c>
      <c r="E63" s="142">
        <v>0.73366666666666669</v>
      </c>
      <c r="F63" s="4" t="s">
        <v>2752</v>
      </c>
      <c r="G63" s="4" t="s">
        <v>2752</v>
      </c>
      <c r="H63" s="4" t="str">
        <f t="shared" si="3"/>
        <v>No</v>
      </c>
      <c r="I63" s="56"/>
    </row>
    <row r="64" spans="1:9">
      <c r="A64" s="97" t="s">
        <v>2372</v>
      </c>
      <c r="B64" s="97" t="s">
        <v>1028</v>
      </c>
      <c r="C64" s="163">
        <v>2395</v>
      </c>
      <c r="D64" s="95" t="s">
        <v>1033</v>
      </c>
      <c r="E64" s="142">
        <v>7.7766666666666664E-2</v>
      </c>
      <c r="F64" s="4" t="s">
        <v>3065</v>
      </c>
      <c r="G64" s="4" t="s">
        <v>3065</v>
      </c>
      <c r="H64" s="4" t="str">
        <f t="shared" si="3"/>
        <v>No</v>
      </c>
      <c r="I64" s="56"/>
    </row>
    <row r="65" spans="1:9">
      <c r="A65" s="97" t="s">
        <v>2372</v>
      </c>
      <c r="B65" s="97" t="s">
        <v>1028</v>
      </c>
      <c r="C65" s="163">
        <v>1939</v>
      </c>
      <c r="D65" s="95" t="s">
        <v>1032</v>
      </c>
      <c r="E65" s="142">
        <v>1.9599999999999999E-2</v>
      </c>
      <c r="F65" s="4" t="s">
        <v>3065</v>
      </c>
      <c r="G65" s="4" t="s">
        <v>3065</v>
      </c>
      <c r="H65" s="4" t="str">
        <f t="shared" si="3"/>
        <v>No</v>
      </c>
      <c r="I65" s="56"/>
    </row>
    <row r="66" spans="1:9">
      <c r="A66" s="97" t="s">
        <v>2372</v>
      </c>
      <c r="B66" s="97" t="s">
        <v>1028</v>
      </c>
      <c r="C66" s="163">
        <v>3552</v>
      </c>
      <c r="D66" s="95" t="s">
        <v>1035</v>
      </c>
      <c r="E66" s="142">
        <v>4.1299999999999996E-2</v>
      </c>
      <c r="F66" s="4" t="s">
        <v>3065</v>
      </c>
      <c r="G66" s="4" t="s">
        <v>3065</v>
      </c>
      <c r="H66" s="4" t="str">
        <f t="shared" si="3"/>
        <v>No</v>
      </c>
      <c r="I66" s="56"/>
    </row>
    <row r="67" spans="1:9">
      <c r="A67" s="97" t="s">
        <v>2372</v>
      </c>
      <c r="B67" s="97" t="s">
        <v>1028</v>
      </c>
      <c r="C67" s="163">
        <v>3043</v>
      </c>
      <c r="D67" s="95" t="s">
        <v>1034</v>
      </c>
      <c r="E67" s="142">
        <v>3.3466666666666665E-2</v>
      </c>
      <c r="F67" s="4" t="s">
        <v>3065</v>
      </c>
      <c r="G67" s="4" t="s">
        <v>3065</v>
      </c>
      <c r="H67" s="4" t="str">
        <f t="shared" si="3"/>
        <v>No</v>
      </c>
      <c r="I67" s="56"/>
    </row>
    <row r="68" spans="1:9">
      <c r="A68" s="97" t="s">
        <v>2372</v>
      </c>
      <c r="B68" s="97" t="s">
        <v>1028</v>
      </c>
      <c r="C68" s="163">
        <v>1935</v>
      </c>
      <c r="D68" s="95" t="s">
        <v>1031</v>
      </c>
      <c r="E68" s="142">
        <v>0.16173333333333331</v>
      </c>
      <c r="F68" s="4" t="s">
        <v>3065</v>
      </c>
      <c r="G68" s="4" t="s">
        <v>3065</v>
      </c>
      <c r="H68" s="4" t="str">
        <f t="shared" ref="H68:H131" si="4">IFERROR(IF(AND(G68="Yes",F68="No"),"Yes","No"),"No")</f>
        <v>No</v>
      </c>
      <c r="I68" s="56"/>
    </row>
    <row r="69" spans="1:9">
      <c r="A69" s="97" t="s">
        <v>2372</v>
      </c>
      <c r="B69" s="97" t="s">
        <v>1028</v>
      </c>
      <c r="C69" s="163">
        <v>1841</v>
      </c>
      <c r="D69" s="95" t="s">
        <v>1030</v>
      </c>
      <c r="E69" s="142">
        <v>0.12309999999999999</v>
      </c>
      <c r="F69" s="4" t="s">
        <v>3065</v>
      </c>
      <c r="G69" s="4" t="s">
        <v>3065</v>
      </c>
      <c r="H69" s="4" t="str">
        <f t="shared" si="4"/>
        <v>No</v>
      </c>
      <c r="I69" s="56"/>
    </row>
    <row r="70" spans="1:9">
      <c r="A70" s="97" t="s">
        <v>2372</v>
      </c>
      <c r="B70" s="97" t="s">
        <v>1028</v>
      </c>
      <c r="C70" s="163">
        <v>1699</v>
      </c>
      <c r="D70" s="95" t="s">
        <v>1029</v>
      </c>
      <c r="E70" s="142">
        <v>6.2233333333333335E-2</v>
      </c>
      <c r="F70" s="4" t="s">
        <v>3065</v>
      </c>
      <c r="G70" s="4" t="s">
        <v>3065</v>
      </c>
      <c r="H70" s="4" t="str">
        <f t="shared" si="4"/>
        <v>No</v>
      </c>
      <c r="I70" s="56"/>
    </row>
    <row r="71" spans="1:9">
      <c r="A71" s="97" t="s">
        <v>2372</v>
      </c>
      <c r="B71" s="97" t="s">
        <v>1028</v>
      </c>
      <c r="C71" s="163">
        <v>4062</v>
      </c>
      <c r="D71" s="95" t="s">
        <v>1036</v>
      </c>
      <c r="E71" s="142">
        <v>8.193333333333333E-2</v>
      </c>
      <c r="F71" s="4" t="s">
        <v>3065</v>
      </c>
      <c r="G71" s="4" t="s">
        <v>3065</v>
      </c>
      <c r="H71" s="4" t="str">
        <f t="shared" si="4"/>
        <v>No</v>
      </c>
      <c r="I71" s="56"/>
    </row>
    <row r="72" spans="1:9">
      <c r="A72" s="97" t="s">
        <v>2372</v>
      </c>
      <c r="B72" s="97" t="s">
        <v>1028</v>
      </c>
      <c r="C72" s="163">
        <v>4542</v>
      </c>
      <c r="D72" s="95" t="s">
        <v>1038</v>
      </c>
      <c r="E72" s="142">
        <v>6.2633333333333333E-2</v>
      </c>
      <c r="F72" s="4" t="s">
        <v>3065</v>
      </c>
      <c r="G72" s="4" t="s">
        <v>3065</v>
      </c>
      <c r="H72" s="4" t="str">
        <f t="shared" si="4"/>
        <v>No</v>
      </c>
      <c r="I72" s="56"/>
    </row>
    <row r="73" spans="1:9">
      <c r="A73" s="97" t="s">
        <v>2372</v>
      </c>
      <c r="B73" s="97" t="s">
        <v>1028</v>
      </c>
      <c r="C73" s="163">
        <v>4505</v>
      </c>
      <c r="D73" s="95" t="s">
        <v>1037</v>
      </c>
      <c r="E73" s="142">
        <v>8.0633333333333335E-2</v>
      </c>
      <c r="F73" s="4" t="s">
        <v>3065</v>
      </c>
      <c r="G73" s="4" t="s">
        <v>3065</v>
      </c>
      <c r="H73" s="4" t="str">
        <f t="shared" si="4"/>
        <v>No</v>
      </c>
      <c r="I73" s="56"/>
    </row>
    <row r="74" spans="1:9">
      <c r="A74" s="97" t="s">
        <v>2290</v>
      </c>
      <c r="B74" s="97" t="s">
        <v>265</v>
      </c>
      <c r="C74" s="163">
        <v>2671</v>
      </c>
      <c r="D74" s="95" t="s">
        <v>269</v>
      </c>
      <c r="E74" s="142">
        <v>0.3347</v>
      </c>
      <c r="F74" s="4" t="s">
        <v>3065</v>
      </c>
      <c r="G74" s="4" t="s">
        <v>3065</v>
      </c>
      <c r="H74" s="4" t="str">
        <f t="shared" si="4"/>
        <v>No</v>
      </c>
      <c r="I74" s="56"/>
    </row>
    <row r="75" spans="1:9">
      <c r="A75" s="97" t="s">
        <v>2290</v>
      </c>
      <c r="B75" s="97" t="s">
        <v>265</v>
      </c>
      <c r="C75" s="163">
        <v>2415</v>
      </c>
      <c r="D75" s="95" t="s">
        <v>268</v>
      </c>
      <c r="E75" s="142">
        <v>0.28686666666666666</v>
      </c>
      <c r="F75" s="4" t="s">
        <v>3065</v>
      </c>
      <c r="G75" s="4" t="s">
        <v>3065</v>
      </c>
      <c r="H75" s="4" t="str">
        <f t="shared" si="4"/>
        <v>No</v>
      </c>
      <c r="I75" s="56"/>
    </row>
    <row r="76" spans="1:9">
      <c r="A76" s="97" t="s">
        <v>2290</v>
      </c>
      <c r="B76" s="97" t="s">
        <v>265</v>
      </c>
      <c r="C76" s="163">
        <v>1836</v>
      </c>
      <c r="D76" s="95" t="s">
        <v>266</v>
      </c>
      <c r="E76" s="142">
        <v>0.21809999999999999</v>
      </c>
      <c r="F76" s="4" t="s">
        <v>3065</v>
      </c>
      <c r="G76" s="4" t="s">
        <v>3065</v>
      </c>
      <c r="H76" s="4" t="str">
        <f t="shared" si="4"/>
        <v>No</v>
      </c>
      <c r="I76" s="56"/>
    </row>
    <row r="77" spans="1:9">
      <c r="A77" s="97" t="s">
        <v>2290</v>
      </c>
      <c r="B77" s="97" t="s">
        <v>265</v>
      </c>
      <c r="C77" s="163">
        <v>4352</v>
      </c>
      <c r="D77" s="95" t="s">
        <v>276</v>
      </c>
      <c r="E77" s="142">
        <v>0.34493333333333331</v>
      </c>
      <c r="F77" s="4" t="s">
        <v>3065</v>
      </c>
      <c r="G77" s="4" t="s">
        <v>3065</v>
      </c>
      <c r="H77" s="4" t="str">
        <f t="shared" si="4"/>
        <v>No</v>
      </c>
      <c r="I77" s="56"/>
    </row>
    <row r="78" spans="1:9">
      <c r="A78" s="97" t="s">
        <v>2290</v>
      </c>
      <c r="B78" s="97" t="s">
        <v>265</v>
      </c>
      <c r="C78" s="163">
        <v>5133</v>
      </c>
      <c r="D78" s="95" t="s">
        <v>282</v>
      </c>
      <c r="E78" s="142">
        <v>0.31609999999999999</v>
      </c>
      <c r="F78" s="4" t="s">
        <v>3065</v>
      </c>
      <c r="G78" s="4" t="s">
        <v>3065</v>
      </c>
      <c r="H78" s="4" t="str">
        <f t="shared" si="4"/>
        <v>No</v>
      </c>
      <c r="I78" s="56"/>
    </row>
    <row r="79" spans="1:9">
      <c r="A79" s="97" t="s">
        <v>2290</v>
      </c>
      <c r="B79" s="97" t="s">
        <v>265</v>
      </c>
      <c r="C79" s="163">
        <v>5089</v>
      </c>
      <c r="D79" s="95" t="s">
        <v>278</v>
      </c>
      <c r="E79" s="142">
        <v>0.41226666666666673</v>
      </c>
      <c r="F79" s="4" t="s">
        <v>3065</v>
      </c>
      <c r="G79" s="4" t="s">
        <v>3065</v>
      </c>
      <c r="H79" s="4" t="str">
        <f t="shared" si="4"/>
        <v>No</v>
      </c>
      <c r="I79" s="56"/>
    </row>
    <row r="80" spans="1:9">
      <c r="A80" s="97" t="s">
        <v>2290</v>
      </c>
      <c r="B80" s="97" t="s">
        <v>265</v>
      </c>
      <c r="C80" s="163">
        <v>5090</v>
      </c>
      <c r="D80" s="95" t="s">
        <v>279</v>
      </c>
      <c r="E80" s="142">
        <v>0.3836</v>
      </c>
      <c r="F80" s="4" t="s">
        <v>3065</v>
      </c>
      <c r="G80" s="4" t="s">
        <v>3065</v>
      </c>
      <c r="H80" s="4" t="str">
        <f t="shared" si="4"/>
        <v>No</v>
      </c>
      <c r="I80" s="56"/>
    </row>
    <row r="81" spans="1:9">
      <c r="A81" s="97" t="s">
        <v>2290</v>
      </c>
      <c r="B81" s="97" t="s">
        <v>265</v>
      </c>
      <c r="C81" s="163">
        <v>5502</v>
      </c>
      <c r="D81" s="95" t="s">
        <v>2863</v>
      </c>
      <c r="E81" s="142">
        <v>0.44843333333333329</v>
      </c>
      <c r="F81" s="4" t="s">
        <v>3065</v>
      </c>
      <c r="G81" s="4" t="s">
        <v>3065</v>
      </c>
      <c r="H81" s="4" t="str">
        <f t="shared" si="4"/>
        <v>No</v>
      </c>
      <c r="I81" s="56"/>
    </row>
    <row r="82" spans="1:9">
      <c r="A82" s="97" t="s">
        <v>2290</v>
      </c>
      <c r="B82" s="97" t="s">
        <v>265</v>
      </c>
      <c r="C82" s="163">
        <v>3018</v>
      </c>
      <c r="D82" s="95" t="s">
        <v>271</v>
      </c>
      <c r="E82" s="142">
        <v>0.42446666666666671</v>
      </c>
      <c r="F82" s="4" t="s">
        <v>3065</v>
      </c>
      <c r="G82" s="4" t="s">
        <v>3065</v>
      </c>
      <c r="H82" s="4" t="str">
        <f t="shared" si="4"/>
        <v>No</v>
      </c>
      <c r="I82" s="56"/>
    </row>
    <row r="83" spans="1:9">
      <c r="A83" s="97" t="s">
        <v>2290</v>
      </c>
      <c r="B83" s="97" t="s">
        <v>265</v>
      </c>
      <c r="C83" s="163">
        <v>1875</v>
      </c>
      <c r="D83" s="95" t="s">
        <v>267</v>
      </c>
      <c r="E83" s="142">
        <v>0.27999999999999997</v>
      </c>
      <c r="F83" s="4" t="s">
        <v>3065</v>
      </c>
      <c r="G83" s="4" t="s">
        <v>3065</v>
      </c>
      <c r="H83" s="4" t="str">
        <f t="shared" si="4"/>
        <v>No</v>
      </c>
      <c r="I83" s="56"/>
    </row>
    <row r="84" spans="1:9">
      <c r="A84" s="97" t="s">
        <v>2290</v>
      </c>
      <c r="B84" s="97" t="s">
        <v>265</v>
      </c>
      <c r="C84" s="163">
        <v>3545</v>
      </c>
      <c r="D84" s="95" t="s">
        <v>272</v>
      </c>
      <c r="E84" s="142">
        <v>0.39100000000000001</v>
      </c>
      <c r="F84" s="4" t="s">
        <v>3065</v>
      </c>
      <c r="G84" s="4" t="s">
        <v>3065</v>
      </c>
      <c r="H84" s="4" t="str">
        <f t="shared" si="4"/>
        <v>No</v>
      </c>
      <c r="I84" s="56"/>
    </row>
    <row r="85" spans="1:9">
      <c r="A85" s="97" t="s">
        <v>2290</v>
      </c>
      <c r="B85" s="97" t="s">
        <v>265</v>
      </c>
      <c r="C85" s="163">
        <v>4144</v>
      </c>
      <c r="D85" s="95" t="s">
        <v>2822</v>
      </c>
      <c r="E85" s="142">
        <v>0.39273333333333332</v>
      </c>
      <c r="F85" s="4" t="s">
        <v>3065</v>
      </c>
      <c r="G85" s="4" t="s">
        <v>3065</v>
      </c>
      <c r="H85" s="4" t="str">
        <f t="shared" si="4"/>
        <v>No</v>
      </c>
      <c r="I85" s="56"/>
    </row>
    <row r="86" spans="1:9">
      <c r="A86" s="97" t="s">
        <v>2290</v>
      </c>
      <c r="B86" s="97" t="s">
        <v>265</v>
      </c>
      <c r="C86" s="163">
        <v>5360</v>
      </c>
      <c r="D86" s="95" t="s">
        <v>283</v>
      </c>
      <c r="E86" s="142">
        <v>0.37166666666666665</v>
      </c>
      <c r="F86" s="4" t="s">
        <v>3065</v>
      </c>
      <c r="G86" s="4" t="s">
        <v>3065</v>
      </c>
      <c r="H86" s="4" t="str">
        <f t="shared" si="4"/>
        <v>No</v>
      </c>
      <c r="I86" s="56"/>
    </row>
    <row r="87" spans="1:9">
      <c r="A87" s="97" t="s">
        <v>2290</v>
      </c>
      <c r="B87" s="97" t="s">
        <v>265</v>
      </c>
      <c r="C87" s="163">
        <v>3997</v>
      </c>
      <c r="D87" s="95" t="s">
        <v>274</v>
      </c>
      <c r="E87" s="142">
        <v>0.39299999999999996</v>
      </c>
      <c r="F87" s="4" t="s">
        <v>3065</v>
      </c>
      <c r="G87" s="4" t="s">
        <v>3065</v>
      </c>
      <c r="H87" s="4" t="str">
        <f t="shared" si="4"/>
        <v>No</v>
      </c>
      <c r="I87" s="56"/>
    </row>
    <row r="88" spans="1:9">
      <c r="A88" s="97" t="s">
        <v>2290</v>
      </c>
      <c r="B88" s="97" t="s">
        <v>265</v>
      </c>
      <c r="C88" s="163">
        <v>3996</v>
      </c>
      <c r="D88" s="95" t="s">
        <v>273</v>
      </c>
      <c r="E88" s="142">
        <v>0.34013333333333334</v>
      </c>
      <c r="F88" s="4" t="s">
        <v>3065</v>
      </c>
      <c r="G88" s="4" t="s">
        <v>3065</v>
      </c>
      <c r="H88" s="4" t="str">
        <f t="shared" si="4"/>
        <v>No</v>
      </c>
      <c r="I88" s="56"/>
    </row>
    <row r="89" spans="1:9">
      <c r="A89" s="97" t="s">
        <v>2290</v>
      </c>
      <c r="B89" s="97" t="s">
        <v>265</v>
      </c>
      <c r="C89" s="163">
        <v>4104</v>
      </c>
      <c r="D89" s="95" t="s">
        <v>275</v>
      </c>
      <c r="E89" s="142">
        <v>0.30990000000000001</v>
      </c>
      <c r="F89" s="4" t="s">
        <v>3065</v>
      </c>
      <c r="G89" s="4" t="s">
        <v>3065</v>
      </c>
      <c r="H89" s="4" t="str">
        <f t="shared" si="4"/>
        <v>No</v>
      </c>
      <c r="I89" s="56"/>
    </row>
    <row r="90" spans="1:9">
      <c r="A90" s="97" t="s">
        <v>2290</v>
      </c>
      <c r="B90" s="97" t="s">
        <v>265</v>
      </c>
      <c r="C90" s="163">
        <v>4450</v>
      </c>
      <c r="D90" s="95" t="s">
        <v>277</v>
      </c>
      <c r="E90" s="142">
        <v>0.38666666666666666</v>
      </c>
      <c r="F90" s="4" t="s">
        <v>3065</v>
      </c>
      <c r="G90" s="4" t="s">
        <v>3065</v>
      </c>
      <c r="H90" s="4" t="str">
        <f t="shared" si="4"/>
        <v>No</v>
      </c>
      <c r="I90" s="56"/>
    </row>
    <row r="91" spans="1:9">
      <c r="A91" s="97" t="s">
        <v>2290</v>
      </c>
      <c r="B91" s="97" t="s">
        <v>265</v>
      </c>
      <c r="C91" s="163">
        <v>5131</v>
      </c>
      <c r="D91" s="95" t="s">
        <v>280</v>
      </c>
      <c r="E91" s="142">
        <v>0.32606666666666667</v>
      </c>
      <c r="F91" s="4" t="s">
        <v>3065</v>
      </c>
      <c r="G91" s="4" t="s">
        <v>3065</v>
      </c>
      <c r="H91" s="4" t="str">
        <f t="shared" si="4"/>
        <v>No</v>
      </c>
      <c r="I91" s="56"/>
    </row>
    <row r="92" spans="1:9">
      <c r="A92" s="97" t="s">
        <v>2290</v>
      </c>
      <c r="B92" s="97" t="s">
        <v>265</v>
      </c>
      <c r="C92" s="163">
        <v>5132</v>
      </c>
      <c r="D92" s="95" t="s">
        <v>281</v>
      </c>
      <c r="E92" s="142">
        <v>0.27883333333333332</v>
      </c>
      <c r="F92" s="4" t="s">
        <v>3065</v>
      </c>
      <c r="G92" s="4" t="s">
        <v>3065</v>
      </c>
      <c r="H92" s="4" t="str">
        <f t="shared" si="4"/>
        <v>No</v>
      </c>
      <c r="I92" s="56"/>
    </row>
    <row r="93" spans="1:9">
      <c r="A93" s="97" t="s">
        <v>2290</v>
      </c>
      <c r="B93" s="97" t="s">
        <v>265</v>
      </c>
      <c r="C93" s="163">
        <v>2910</v>
      </c>
      <c r="D93" s="95" t="s">
        <v>270</v>
      </c>
      <c r="E93" s="142">
        <v>0.29766666666666669</v>
      </c>
      <c r="F93" s="4" t="s">
        <v>3065</v>
      </c>
      <c r="G93" s="4" t="s">
        <v>3065</v>
      </c>
      <c r="H93" s="4" t="str">
        <f t="shared" si="4"/>
        <v>No</v>
      </c>
      <c r="I93" s="56"/>
    </row>
    <row r="94" spans="1:9">
      <c r="A94" s="97" t="s">
        <v>2356</v>
      </c>
      <c r="B94" s="97" t="s">
        <v>763</v>
      </c>
      <c r="C94" s="163">
        <v>3633</v>
      </c>
      <c r="D94" s="95" t="s">
        <v>783</v>
      </c>
      <c r="E94" s="142">
        <v>0.35793333333333338</v>
      </c>
      <c r="F94" s="4" t="s">
        <v>3065</v>
      </c>
      <c r="G94" s="4" t="s">
        <v>3065</v>
      </c>
      <c r="H94" s="4" t="str">
        <f t="shared" si="4"/>
        <v>No</v>
      </c>
      <c r="I94" s="56"/>
    </row>
    <row r="95" spans="1:9">
      <c r="A95" s="97" t="s">
        <v>2356</v>
      </c>
      <c r="B95" s="97" t="s">
        <v>763</v>
      </c>
      <c r="C95" s="163">
        <v>5240</v>
      </c>
      <c r="D95" s="95" t="s">
        <v>788</v>
      </c>
      <c r="E95" s="142">
        <v>0.14596666666666666</v>
      </c>
      <c r="F95" s="4" t="s">
        <v>3065</v>
      </c>
      <c r="G95" s="4" t="s">
        <v>3065</v>
      </c>
      <c r="H95" s="4" t="str">
        <f t="shared" si="4"/>
        <v>No</v>
      </c>
      <c r="I95" s="56"/>
    </row>
    <row r="96" spans="1:9">
      <c r="A96" s="97" t="s">
        <v>2356</v>
      </c>
      <c r="B96" s="97" t="s">
        <v>763</v>
      </c>
      <c r="C96" s="163">
        <v>2701</v>
      </c>
      <c r="D96" s="95" t="s">
        <v>764</v>
      </c>
      <c r="E96" s="142">
        <v>9.0933333333333324E-2</v>
      </c>
      <c r="F96" s="4" t="s">
        <v>3065</v>
      </c>
      <c r="G96" s="4" t="s">
        <v>3065</v>
      </c>
      <c r="H96" s="4" t="str">
        <f t="shared" si="4"/>
        <v>No</v>
      </c>
      <c r="I96" s="56"/>
    </row>
    <row r="97" spans="1:9">
      <c r="A97" s="97" t="s">
        <v>2356</v>
      </c>
      <c r="B97" s="97" t="s">
        <v>763</v>
      </c>
      <c r="C97" s="163">
        <v>3705</v>
      </c>
      <c r="D97" s="95" t="s">
        <v>785</v>
      </c>
      <c r="E97" s="142">
        <v>7.1566666666666667E-2</v>
      </c>
      <c r="F97" s="4" t="s">
        <v>3065</v>
      </c>
      <c r="G97" s="4" t="s">
        <v>3065</v>
      </c>
      <c r="H97" s="4" t="str">
        <f t="shared" si="4"/>
        <v>No</v>
      </c>
      <c r="I97" s="56"/>
    </row>
    <row r="98" spans="1:9">
      <c r="A98" s="97" t="s">
        <v>2356</v>
      </c>
      <c r="B98" s="97" t="s">
        <v>763</v>
      </c>
      <c r="C98" s="163">
        <v>5281</v>
      </c>
      <c r="D98" s="95" t="s">
        <v>789</v>
      </c>
      <c r="E98" s="142">
        <v>0.25466666666666665</v>
      </c>
      <c r="F98" s="4" t="s">
        <v>3065</v>
      </c>
      <c r="G98" s="4" t="s">
        <v>3065</v>
      </c>
      <c r="H98" s="4" t="str">
        <f t="shared" si="4"/>
        <v>No</v>
      </c>
      <c r="I98" s="56"/>
    </row>
    <row r="99" spans="1:9">
      <c r="A99" s="97" t="s">
        <v>2356</v>
      </c>
      <c r="B99" s="97" t="s">
        <v>763</v>
      </c>
      <c r="C99" s="163">
        <v>3742</v>
      </c>
      <c r="D99" s="95" t="s">
        <v>786</v>
      </c>
      <c r="E99" s="142">
        <v>2.9899999999999999E-2</v>
      </c>
      <c r="F99" s="4" t="s">
        <v>3065</v>
      </c>
      <c r="G99" s="4" t="s">
        <v>3065</v>
      </c>
      <c r="H99" s="4" t="str">
        <f t="shared" si="4"/>
        <v>No</v>
      </c>
      <c r="I99" s="56"/>
    </row>
    <row r="100" spans="1:9">
      <c r="A100" s="97" t="s">
        <v>2356</v>
      </c>
      <c r="B100" s="97" t="s">
        <v>763</v>
      </c>
      <c r="C100" s="163">
        <v>3338</v>
      </c>
      <c r="D100" s="95" t="s">
        <v>59</v>
      </c>
      <c r="E100" s="142">
        <v>0.1229</v>
      </c>
      <c r="F100" s="4" t="s">
        <v>3065</v>
      </c>
      <c r="G100" s="4" t="s">
        <v>3065</v>
      </c>
      <c r="H100" s="4" t="str">
        <f t="shared" si="4"/>
        <v>No</v>
      </c>
      <c r="I100" s="56"/>
    </row>
    <row r="101" spans="1:9">
      <c r="A101" s="97" t="s">
        <v>2356</v>
      </c>
      <c r="B101" s="97" t="s">
        <v>763</v>
      </c>
      <c r="C101" s="163">
        <v>2847</v>
      </c>
      <c r="D101" s="95" t="s">
        <v>766</v>
      </c>
      <c r="E101" s="142">
        <v>7.7200000000000005E-2</v>
      </c>
      <c r="F101" s="4" t="s">
        <v>3065</v>
      </c>
      <c r="G101" s="4" t="s">
        <v>3065</v>
      </c>
      <c r="H101" s="4" t="str">
        <f t="shared" si="4"/>
        <v>No</v>
      </c>
      <c r="I101" s="56"/>
    </row>
    <row r="102" spans="1:9">
      <c r="A102" s="97" t="s">
        <v>2356</v>
      </c>
      <c r="B102" s="97" t="s">
        <v>763</v>
      </c>
      <c r="C102" s="163">
        <v>3036</v>
      </c>
      <c r="D102" s="95" t="s">
        <v>36</v>
      </c>
      <c r="E102" s="142">
        <v>0.13066666666666668</v>
      </c>
      <c r="F102" s="4" t="s">
        <v>3065</v>
      </c>
      <c r="G102" s="4" t="s">
        <v>3065</v>
      </c>
      <c r="H102" s="4" t="str">
        <f t="shared" si="4"/>
        <v>No</v>
      </c>
      <c r="I102" s="56"/>
    </row>
    <row r="103" spans="1:9">
      <c r="A103" s="97" t="s">
        <v>2356</v>
      </c>
      <c r="B103" s="97" t="s">
        <v>763</v>
      </c>
      <c r="C103" s="163">
        <v>2846</v>
      </c>
      <c r="D103" s="95" t="s">
        <v>765</v>
      </c>
      <c r="E103" s="142">
        <v>0.13703333333333331</v>
      </c>
      <c r="F103" s="4" t="s">
        <v>3065</v>
      </c>
      <c r="G103" s="4" t="s">
        <v>3065</v>
      </c>
      <c r="H103" s="4" t="str">
        <f t="shared" si="4"/>
        <v>No</v>
      </c>
      <c r="I103" s="56"/>
    </row>
    <row r="104" spans="1:9">
      <c r="A104" s="97" t="s">
        <v>2356</v>
      </c>
      <c r="B104" s="97" t="s">
        <v>763</v>
      </c>
      <c r="C104" s="163">
        <v>5325</v>
      </c>
      <c r="D104" s="95" t="s">
        <v>791</v>
      </c>
      <c r="E104" s="142">
        <v>4.0766666666666666E-2</v>
      </c>
      <c r="F104" s="4" t="s">
        <v>3065</v>
      </c>
      <c r="G104" s="4" t="s">
        <v>3065</v>
      </c>
      <c r="H104" s="4" t="str">
        <f t="shared" si="4"/>
        <v>No</v>
      </c>
      <c r="I104" s="56"/>
    </row>
    <row r="105" spans="1:9">
      <c r="A105" s="97" t="s">
        <v>2356</v>
      </c>
      <c r="B105" s="97" t="s">
        <v>763</v>
      </c>
      <c r="C105" s="163">
        <v>3166</v>
      </c>
      <c r="D105" s="95" t="s">
        <v>768</v>
      </c>
      <c r="E105" s="142">
        <v>0.48900000000000005</v>
      </c>
      <c r="F105" s="4" t="s">
        <v>3065</v>
      </c>
      <c r="G105" s="4" t="s">
        <v>3065</v>
      </c>
      <c r="H105" s="4" t="str">
        <f t="shared" si="4"/>
        <v>No</v>
      </c>
      <c r="I105" s="56"/>
    </row>
    <row r="106" spans="1:9">
      <c r="A106" s="97" t="s">
        <v>2356</v>
      </c>
      <c r="B106" s="97" t="s">
        <v>763</v>
      </c>
      <c r="C106" s="163">
        <v>3588</v>
      </c>
      <c r="D106" s="95" t="s">
        <v>781</v>
      </c>
      <c r="E106" s="142">
        <v>0.19750000000000001</v>
      </c>
      <c r="F106" s="4" t="s">
        <v>3065</v>
      </c>
      <c r="G106" s="4" t="s">
        <v>3065</v>
      </c>
      <c r="H106" s="4" t="str">
        <f t="shared" si="4"/>
        <v>No</v>
      </c>
      <c r="I106" s="56"/>
    </row>
    <row r="107" spans="1:9">
      <c r="A107" s="97" t="s">
        <v>2356</v>
      </c>
      <c r="B107" s="97" t="s">
        <v>763</v>
      </c>
      <c r="C107" s="163">
        <v>3522</v>
      </c>
      <c r="D107" s="95" t="s">
        <v>780</v>
      </c>
      <c r="E107" s="142">
        <v>7.1300000000000002E-2</v>
      </c>
      <c r="F107" s="4" t="s">
        <v>3065</v>
      </c>
      <c r="G107" s="4" t="s">
        <v>3065</v>
      </c>
      <c r="H107" s="4" t="str">
        <f t="shared" si="4"/>
        <v>No</v>
      </c>
      <c r="I107" s="56"/>
    </row>
    <row r="108" spans="1:9">
      <c r="A108" s="97" t="s">
        <v>2356</v>
      </c>
      <c r="B108" s="97" t="s">
        <v>763</v>
      </c>
      <c r="C108" s="163">
        <v>5308</v>
      </c>
      <c r="D108" s="95" t="s">
        <v>790</v>
      </c>
      <c r="E108" s="142">
        <v>4.5766666666666671E-2</v>
      </c>
      <c r="F108" s="4" t="s">
        <v>3065</v>
      </c>
      <c r="G108" s="4" t="s">
        <v>3065</v>
      </c>
      <c r="H108" s="4" t="str">
        <f t="shared" si="4"/>
        <v>No</v>
      </c>
      <c r="I108" s="56"/>
    </row>
    <row r="109" spans="1:9">
      <c r="A109" s="97" t="s">
        <v>2356</v>
      </c>
      <c r="B109" s="97" t="s">
        <v>763</v>
      </c>
      <c r="C109" s="163">
        <v>3225</v>
      </c>
      <c r="D109" s="95" t="s">
        <v>772</v>
      </c>
      <c r="E109" s="142">
        <v>0.52703333333333335</v>
      </c>
      <c r="F109" s="4" t="s">
        <v>2752</v>
      </c>
      <c r="G109" s="4" t="s">
        <v>2752</v>
      </c>
      <c r="H109" s="4" t="str">
        <f t="shared" si="4"/>
        <v>No</v>
      </c>
      <c r="I109" s="56"/>
    </row>
    <row r="110" spans="1:9">
      <c r="A110" s="97" t="s">
        <v>2356</v>
      </c>
      <c r="B110" s="97" t="s">
        <v>763</v>
      </c>
      <c r="C110" s="163">
        <v>3436</v>
      </c>
      <c r="D110" s="95" t="s">
        <v>777</v>
      </c>
      <c r="E110" s="142">
        <v>1.23E-2</v>
      </c>
      <c r="F110" s="4" t="s">
        <v>3065</v>
      </c>
      <c r="G110" s="4" t="s">
        <v>3065</v>
      </c>
      <c r="H110" s="4" t="str">
        <f t="shared" si="4"/>
        <v>No</v>
      </c>
      <c r="I110" s="56"/>
    </row>
    <row r="111" spans="1:9">
      <c r="A111" s="97" t="s">
        <v>2356</v>
      </c>
      <c r="B111" s="97" t="s">
        <v>763</v>
      </c>
      <c r="C111" s="163">
        <v>3437</v>
      </c>
      <c r="D111" s="95" t="s">
        <v>778</v>
      </c>
      <c r="E111" s="142">
        <v>0.18403333333333335</v>
      </c>
      <c r="F111" s="4" t="s">
        <v>3065</v>
      </c>
      <c r="G111" s="4" t="s">
        <v>3065</v>
      </c>
      <c r="H111" s="4" t="str">
        <f t="shared" si="4"/>
        <v>No</v>
      </c>
      <c r="I111" s="56"/>
    </row>
    <row r="112" spans="1:9">
      <c r="A112" s="97" t="s">
        <v>2356</v>
      </c>
      <c r="B112" s="97" t="s">
        <v>763</v>
      </c>
      <c r="C112" s="163">
        <v>3486</v>
      </c>
      <c r="D112" s="95" t="s">
        <v>779</v>
      </c>
      <c r="E112" s="142">
        <v>8.9599999999999999E-2</v>
      </c>
      <c r="F112" s="4" t="s">
        <v>3065</v>
      </c>
      <c r="G112" s="4" t="s">
        <v>3065</v>
      </c>
      <c r="H112" s="4" t="str">
        <f t="shared" si="4"/>
        <v>No</v>
      </c>
      <c r="I112" s="56"/>
    </row>
    <row r="113" spans="1:9">
      <c r="A113" s="97" t="s">
        <v>2356</v>
      </c>
      <c r="B113" s="97" t="s">
        <v>763</v>
      </c>
      <c r="C113" s="163">
        <v>3631</v>
      </c>
      <c r="D113" s="95" t="s">
        <v>782</v>
      </c>
      <c r="E113" s="142">
        <v>0.1694</v>
      </c>
      <c r="F113" s="4" t="s">
        <v>3065</v>
      </c>
      <c r="G113" s="4" t="s">
        <v>3065</v>
      </c>
      <c r="H113" s="4" t="str">
        <f t="shared" si="4"/>
        <v>No</v>
      </c>
      <c r="I113" s="56"/>
    </row>
    <row r="114" spans="1:9">
      <c r="A114" s="97" t="s">
        <v>2356</v>
      </c>
      <c r="B114" s="97" t="s">
        <v>763</v>
      </c>
      <c r="C114" s="163">
        <v>3168</v>
      </c>
      <c r="D114" s="95" t="s">
        <v>770</v>
      </c>
      <c r="E114" s="142">
        <v>0.21006666666666665</v>
      </c>
      <c r="F114" s="4" t="s">
        <v>3065</v>
      </c>
      <c r="G114" s="4" t="s">
        <v>3065</v>
      </c>
      <c r="H114" s="4" t="str">
        <f t="shared" si="4"/>
        <v>No</v>
      </c>
      <c r="I114" s="56"/>
    </row>
    <row r="115" spans="1:9">
      <c r="A115" s="97" t="s">
        <v>2356</v>
      </c>
      <c r="B115" s="97" t="s">
        <v>763</v>
      </c>
      <c r="C115" s="163">
        <v>3224</v>
      </c>
      <c r="D115" s="95" t="s">
        <v>771</v>
      </c>
      <c r="E115" s="142">
        <v>7.959999999999999E-2</v>
      </c>
      <c r="F115" s="4" t="s">
        <v>3065</v>
      </c>
      <c r="G115" s="4" t="s">
        <v>3065</v>
      </c>
      <c r="H115" s="4" t="str">
        <f t="shared" si="4"/>
        <v>No</v>
      </c>
      <c r="I115" s="56"/>
    </row>
    <row r="116" spans="1:9">
      <c r="A116" s="97" t="s">
        <v>2356</v>
      </c>
      <c r="B116" s="97" t="s">
        <v>763</v>
      </c>
      <c r="C116" s="163">
        <v>3282</v>
      </c>
      <c r="D116" s="95" t="s">
        <v>773</v>
      </c>
      <c r="E116" s="142">
        <v>0.31143333333333328</v>
      </c>
      <c r="F116" s="4" t="s">
        <v>3065</v>
      </c>
      <c r="G116" s="4" t="s">
        <v>3065</v>
      </c>
      <c r="H116" s="4" t="str">
        <f t="shared" si="4"/>
        <v>No</v>
      </c>
      <c r="I116" s="56"/>
    </row>
    <row r="117" spans="1:9">
      <c r="A117" s="97" t="s">
        <v>2356</v>
      </c>
      <c r="B117" s="97" t="s">
        <v>763</v>
      </c>
      <c r="C117" s="163">
        <v>3339</v>
      </c>
      <c r="D117" s="95" t="s">
        <v>775</v>
      </c>
      <c r="E117" s="142">
        <v>0.42103333333333337</v>
      </c>
      <c r="F117" s="4" t="s">
        <v>3065</v>
      </c>
      <c r="G117" s="4" t="s">
        <v>3065</v>
      </c>
      <c r="H117" s="4" t="str">
        <f t="shared" si="4"/>
        <v>No</v>
      </c>
      <c r="I117" s="56"/>
    </row>
    <row r="118" spans="1:9">
      <c r="A118" s="97" t="s">
        <v>2356</v>
      </c>
      <c r="B118" s="97" t="s">
        <v>763</v>
      </c>
      <c r="C118" s="163">
        <v>3789</v>
      </c>
      <c r="D118" s="95" t="s">
        <v>787</v>
      </c>
      <c r="E118" s="142">
        <v>4.0833333333333333E-2</v>
      </c>
      <c r="F118" s="4" t="s">
        <v>3065</v>
      </c>
      <c r="G118" s="4" t="s">
        <v>3065</v>
      </c>
      <c r="H118" s="4" t="str">
        <f t="shared" si="4"/>
        <v>No</v>
      </c>
      <c r="I118" s="56"/>
    </row>
    <row r="119" spans="1:9">
      <c r="A119" s="97" t="s">
        <v>2356</v>
      </c>
      <c r="B119" s="97" t="s">
        <v>763</v>
      </c>
      <c r="C119" s="163">
        <v>3634</v>
      </c>
      <c r="D119" s="95" t="s">
        <v>784</v>
      </c>
      <c r="E119" s="142">
        <v>9.2466666666666655E-2</v>
      </c>
      <c r="F119" s="4" t="s">
        <v>3065</v>
      </c>
      <c r="G119" s="4" t="s">
        <v>3065</v>
      </c>
      <c r="H119" s="4" t="str">
        <f t="shared" si="4"/>
        <v>No</v>
      </c>
      <c r="I119" s="56"/>
    </row>
    <row r="120" spans="1:9">
      <c r="A120" s="97" t="s">
        <v>2356</v>
      </c>
      <c r="B120" s="97" t="s">
        <v>763</v>
      </c>
      <c r="C120" s="163">
        <v>3100</v>
      </c>
      <c r="D120" s="95" t="s">
        <v>767</v>
      </c>
      <c r="E120" s="142">
        <v>0.41323333333333334</v>
      </c>
      <c r="F120" s="4" t="s">
        <v>3065</v>
      </c>
      <c r="G120" s="4" t="s">
        <v>3065</v>
      </c>
      <c r="H120" s="4" t="str">
        <f t="shared" si="4"/>
        <v>No</v>
      </c>
      <c r="I120" s="56"/>
    </row>
    <row r="121" spans="1:9">
      <c r="A121" s="97" t="s">
        <v>2356</v>
      </c>
      <c r="B121" s="97" t="s">
        <v>763</v>
      </c>
      <c r="C121" s="163">
        <v>3435</v>
      </c>
      <c r="D121" s="95" t="s">
        <v>776</v>
      </c>
      <c r="E121" s="142">
        <v>0.12920000000000001</v>
      </c>
      <c r="F121" s="4" t="s">
        <v>3065</v>
      </c>
      <c r="G121" s="4" t="s">
        <v>3065</v>
      </c>
      <c r="H121" s="4" t="str">
        <f t="shared" si="4"/>
        <v>No</v>
      </c>
      <c r="I121" s="56"/>
    </row>
    <row r="122" spans="1:9">
      <c r="A122" s="97" t="s">
        <v>2356</v>
      </c>
      <c r="B122" s="97" t="s">
        <v>763</v>
      </c>
      <c r="C122" s="163">
        <v>3283</v>
      </c>
      <c r="D122" s="95" t="s">
        <v>774</v>
      </c>
      <c r="E122" s="142">
        <v>0.11183333333333334</v>
      </c>
      <c r="F122" s="4" t="s">
        <v>3065</v>
      </c>
      <c r="G122" s="4" t="s">
        <v>3065</v>
      </c>
      <c r="H122" s="4" t="str">
        <f t="shared" si="4"/>
        <v>No</v>
      </c>
      <c r="I122" s="56"/>
    </row>
    <row r="123" spans="1:9">
      <c r="A123" s="97" t="s">
        <v>2356</v>
      </c>
      <c r="B123" s="97" t="s">
        <v>763</v>
      </c>
      <c r="C123" s="163">
        <v>5508</v>
      </c>
      <c r="D123" s="95" t="s">
        <v>2864</v>
      </c>
      <c r="E123" s="142">
        <v>0.11940000000000001</v>
      </c>
      <c r="F123" s="4" t="s">
        <v>3065</v>
      </c>
      <c r="G123" s="4" t="s">
        <v>3065</v>
      </c>
      <c r="H123" s="4" t="str">
        <f t="shared" si="4"/>
        <v>No</v>
      </c>
      <c r="I123" s="56"/>
    </row>
    <row r="124" spans="1:9">
      <c r="A124" s="97" t="s">
        <v>2356</v>
      </c>
      <c r="B124" s="97" t="s">
        <v>763</v>
      </c>
      <c r="C124" s="163">
        <v>3167</v>
      </c>
      <c r="D124" s="95" t="s">
        <v>769</v>
      </c>
      <c r="E124" s="142">
        <v>0.16006666666666666</v>
      </c>
      <c r="F124" s="4" t="s">
        <v>3065</v>
      </c>
      <c r="G124" s="4" t="s">
        <v>3065</v>
      </c>
      <c r="H124" s="4" t="str">
        <f t="shared" si="4"/>
        <v>No</v>
      </c>
      <c r="I124" s="56"/>
    </row>
    <row r="125" spans="1:9">
      <c r="A125" s="97" t="s">
        <v>2532</v>
      </c>
      <c r="B125" s="97" t="s">
        <v>2064</v>
      </c>
      <c r="C125" s="163">
        <v>3200</v>
      </c>
      <c r="D125" s="95" t="s">
        <v>2077</v>
      </c>
      <c r="E125" s="142">
        <v>0.59353333333333336</v>
      </c>
      <c r="F125" s="4" t="s">
        <v>2752</v>
      </c>
      <c r="G125" s="4" t="s">
        <v>2752</v>
      </c>
      <c r="H125" s="4" t="str">
        <f t="shared" si="4"/>
        <v>No</v>
      </c>
      <c r="I125" s="56"/>
    </row>
    <row r="126" spans="1:9">
      <c r="A126" s="97" t="s">
        <v>2532</v>
      </c>
      <c r="B126" s="97" t="s">
        <v>2064</v>
      </c>
      <c r="C126" s="163">
        <v>5366</v>
      </c>
      <c r="D126" s="95" t="s">
        <v>2087</v>
      </c>
      <c r="E126" s="142">
        <v>0.11706666666666667</v>
      </c>
      <c r="F126" s="4" t="s">
        <v>3065</v>
      </c>
      <c r="G126" s="4" t="s">
        <v>3065</v>
      </c>
      <c r="H126" s="4" t="str">
        <f t="shared" si="4"/>
        <v>No</v>
      </c>
      <c r="I126" s="56"/>
    </row>
    <row r="127" spans="1:9">
      <c r="A127" s="97" t="s">
        <v>2532</v>
      </c>
      <c r="B127" s="97" t="s">
        <v>2064</v>
      </c>
      <c r="C127" s="163">
        <v>2553</v>
      </c>
      <c r="D127" s="95" t="s">
        <v>2074</v>
      </c>
      <c r="E127" s="142">
        <v>0.29763333333333336</v>
      </c>
      <c r="F127" s="4" t="s">
        <v>3065</v>
      </c>
      <c r="G127" s="4" t="s">
        <v>3065</v>
      </c>
      <c r="H127" s="4" t="str">
        <f t="shared" si="4"/>
        <v>No</v>
      </c>
      <c r="I127" s="56"/>
    </row>
    <row r="128" spans="1:9">
      <c r="A128" s="97" t="s">
        <v>2532</v>
      </c>
      <c r="B128" s="97" t="s">
        <v>2064</v>
      </c>
      <c r="C128" s="163">
        <v>5340</v>
      </c>
      <c r="D128" s="95" t="s">
        <v>2086</v>
      </c>
      <c r="E128" s="142">
        <v>0.29673333333333335</v>
      </c>
      <c r="F128" s="4" t="s">
        <v>3065</v>
      </c>
      <c r="G128" s="4" t="s">
        <v>3065</v>
      </c>
      <c r="H128" s="4" t="str">
        <f t="shared" si="4"/>
        <v>No</v>
      </c>
      <c r="I128" s="56"/>
    </row>
    <row r="129" spans="1:9">
      <c r="A129" s="97" t="s">
        <v>2532</v>
      </c>
      <c r="B129" s="97" t="s">
        <v>2064</v>
      </c>
      <c r="C129" s="163">
        <v>2431</v>
      </c>
      <c r="D129" s="95" t="s">
        <v>2073</v>
      </c>
      <c r="E129" s="142">
        <v>0.54059999999999997</v>
      </c>
      <c r="F129" s="4" t="s">
        <v>2752</v>
      </c>
      <c r="G129" s="4" t="s">
        <v>2752</v>
      </c>
      <c r="H129" s="4" t="str">
        <f t="shared" si="4"/>
        <v>No</v>
      </c>
      <c r="I129" s="56"/>
    </row>
    <row r="130" spans="1:9">
      <c r="A130" s="97" t="s">
        <v>2532</v>
      </c>
      <c r="B130" s="97" t="s">
        <v>2064</v>
      </c>
      <c r="C130" s="163">
        <v>2817</v>
      </c>
      <c r="D130" s="95" t="s">
        <v>2075</v>
      </c>
      <c r="E130" s="142">
        <v>0.44860000000000005</v>
      </c>
      <c r="F130" s="4" t="s">
        <v>3065</v>
      </c>
      <c r="G130" s="4" t="s">
        <v>3065</v>
      </c>
      <c r="H130" s="4" t="str">
        <f t="shared" si="4"/>
        <v>No</v>
      </c>
      <c r="I130" s="56"/>
    </row>
    <row r="131" spans="1:9">
      <c r="A131" s="97" t="s">
        <v>2532</v>
      </c>
      <c r="B131" s="97" t="s">
        <v>2064</v>
      </c>
      <c r="C131" s="163">
        <v>2365</v>
      </c>
      <c r="D131" s="95" t="s">
        <v>126</v>
      </c>
      <c r="E131" s="142">
        <v>0.19876666666666667</v>
      </c>
      <c r="F131" s="4" t="s">
        <v>3065</v>
      </c>
      <c r="G131" s="4" t="s">
        <v>3065</v>
      </c>
      <c r="H131" s="4" t="str">
        <f t="shared" si="4"/>
        <v>No</v>
      </c>
      <c r="I131" s="56"/>
    </row>
    <row r="132" spans="1:9">
      <c r="A132" s="97" t="s">
        <v>2532</v>
      </c>
      <c r="B132" s="97" t="s">
        <v>2064</v>
      </c>
      <c r="C132" s="163">
        <v>5239</v>
      </c>
      <c r="D132" s="95" t="s">
        <v>2085</v>
      </c>
      <c r="E132" s="142">
        <v>0.61306666666666665</v>
      </c>
      <c r="F132" s="4" t="s">
        <v>2752</v>
      </c>
      <c r="G132" s="4" t="s">
        <v>2752</v>
      </c>
      <c r="H132" s="4" t="str">
        <f t="shared" ref="H132:H195" si="5">IFERROR(IF(AND(G132="Yes",F132="No"),"Yes","No"),"No")</f>
        <v>No</v>
      </c>
      <c r="I132" s="56"/>
    </row>
    <row r="133" spans="1:9">
      <c r="A133" s="97" t="s">
        <v>2532</v>
      </c>
      <c r="B133" s="97" t="s">
        <v>2064</v>
      </c>
      <c r="C133" s="163">
        <v>2066</v>
      </c>
      <c r="D133" s="95" t="s">
        <v>2067</v>
      </c>
      <c r="E133" s="142">
        <v>0.22043333333333334</v>
      </c>
      <c r="F133" s="4" t="s">
        <v>3065</v>
      </c>
      <c r="G133" s="4" t="s">
        <v>3065</v>
      </c>
      <c r="H133" s="4" t="str">
        <f t="shared" si="5"/>
        <v>No</v>
      </c>
      <c r="I133" s="56"/>
    </row>
    <row r="134" spans="1:9">
      <c r="A134" s="97" t="s">
        <v>2532</v>
      </c>
      <c r="B134" s="97" t="s">
        <v>2064</v>
      </c>
      <c r="C134" s="163">
        <v>2262</v>
      </c>
      <c r="D134" s="95" t="s">
        <v>2071</v>
      </c>
      <c r="E134" s="142">
        <v>0.24426666666666663</v>
      </c>
      <c r="F134" s="4" t="s">
        <v>3065</v>
      </c>
      <c r="G134" s="4" t="s">
        <v>3065</v>
      </c>
      <c r="H134" s="4" t="str">
        <f t="shared" si="5"/>
        <v>No</v>
      </c>
      <c r="I134" s="56"/>
    </row>
    <row r="135" spans="1:9">
      <c r="A135" s="97" t="s">
        <v>2532</v>
      </c>
      <c r="B135" s="97" t="s">
        <v>2064</v>
      </c>
      <c r="C135" s="163">
        <v>3134</v>
      </c>
      <c r="D135" s="95" t="s">
        <v>2076</v>
      </c>
      <c r="E135" s="142">
        <v>0.2737</v>
      </c>
      <c r="F135" s="4" t="s">
        <v>3065</v>
      </c>
      <c r="G135" s="4" t="s">
        <v>3065</v>
      </c>
      <c r="H135" s="4" t="str">
        <f t="shared" si="5"/>
        <v>No</v>
      </c>
      <c r="I135" s="56"/>
    </row>
    <row r="136" spans="1:9">
      <c r="A136" s="97" t="s">
        <v>2532</v>
      </c>
      <c r="B136" s="97" t="s">
        <v>2064</v>
      </c>
      <c r="C136" s="163">
        <v>4442</v>
      </c>
      <c r="D136" s="95" t="s">
        <v>2081</v>
      </c>
      <c r="E136" s="142">
        <v>0.37010000000000004</v>
      </c>
      <c r="F136" s="4" t="s">
        <v>3065</v>
      </c>
      <c r="G136" s="4" t="s">
        <v>3065</v>
      </c>
      <c r="H136" s="4" t="str">
        <f t="shared" si="5"/>
        <v>No</v>
      </c>
      <c r="I136" s="56"/>
    </row>
    <row r="137" spans="1:9">
      <c r="A137" s="97" t="s">
        <v>2532</v>
      </c>
      <c r="B137" s="97" t="s">
        <v>2064</v>
      </c>
      <c r="C137" s="163">
        <v>2225</v>
      </c>
      <c r="D137" s="95" t="s">
        <v>2070</v>
      </c>
      <c r="E137" s="142">
        <v>0.25993333333333335</v>
      </c>
      <c r="F137" s="4" t="s">
        <v>3065</v>
      </c>
      <c r="G137" s="4" t="s">
        <v>3065</v>
      </c>
      <c r="H137" s="4" t="str">
        <f t="shared" si="5"/>
        <v>No</v>
      </c>
      <c r="I137" s="56"/>
    </row>
    <row r="138" spans="1:9">
      <c r="A138" s="97" t="s">
        <v>2532</v>
      </c>
      <c r="B138" s="97" t="s">
        <v>2064</v>
      </c>
      <c r="C138" s="163">
        <v>4571</v>
      </c>
      <c r="D138" s="95" t="s">
        <v>2083</v>
      </c>
      <c r="E138" s="142">
        <v>0.29546666666666666</v>
      </c>
      <c r="F138" s="4" t="s">
        <v>3065</v>
      </c>
      <c r="G138" s="4" t="s">
        <v>3065</v>
      </c>
      <c r="H138" s="4" t="str">
        <f t="shared" si="5"/>
        <v>No</v>
      </c>
      <c r="I138" s="56"/>
    </row>
    <row r="139" spans="1:9">
      <c r="A139" s="97" t="s">
        <v>2532</v>
      </c>
      <c r="B139" s="97" t="s">
        <v>2064</v>
      </c>
      <c r="C139" s="163">
        <v>1647</v>
      </c>
      <c r="D139" s="95" t="s">
        <v>2065</v>
      </c>
      <c r="E139" s="142">
        <v>0.57353333333333334</v>
      </c>
      <c r="F139" s="4" t="s">
        <v>2752</v>
      </c>
      <c r="G139" s="4" t="s">
        <v>2752</v>
      </c>
      <c r="H139" s="4" t="str">
        <f t="shared" si="5"/>
        <v>No</v>
      </c>
      <c r="I139" s="56"/>
    </row>
    <row r="140" spans="1:9">
      <c r="A140" s="97" t="s">
        <v>2532</v>
      </c>
      <c r="B140" s="97" t="s">
        <v>2064</v>
      </c>
      <c r="C140" s="163">
        <v>3202</v>
      </c>
      <c r="D140" s="95" t="s">
        <v>2079</v>
      </c>
      <c r="E140" s="142">
        <v>0.28316666666666668</v>
      </c>
      <c r="F140" s="4" t="s">
        <v>3065</v>
      </c>
      <c r="G140" s="4" t="s">
        <v>3065</v>
      </c>
      <c r="H140" s="4" t="str">
        <f t="shared" si="5"/>
        <v>No</v>
      </c>
      <c r="I140" s="56"/>
    </row>
    <row r="141" spans="1:9">
      <c r="A141" s="97" t="s">
        <v>2532</v>
      </c>
      <c r="B141" s="97" t="s">
        <v>2064</v>
      </c>
      <c r="C141" s="163">
        <v>2067</v>
      </c>
      <c r="D141" s="95" t="s">
        <v>144</v>
      </c>
      <c r="E141" s="142">
        <v>0.45693333333333336</v>
      </c>
      <c r="F141" s="4" t="s">
        <v>3065</v>
      </c>
      <c r="G141" s="4" t="s">
        <v>3065</v>
      </c>
      <c r="H141" s="4" t="str">
        <f t="shared" si="5"/>
        <v>No</v>
      </c>
      <c r="I141" s="56"/>
    </row>
    <row r="142" spans="1:9">
      <c r="A142" s="97" t="s">
        <v>2532</v>
      </c>
      <c r="B142" s="97" t="s">
        <v>2064</v>
      </c>
      <c r="C142" s="163">
        <v>3576</v>
      </c>
      <c r="D142" s="95" t="s">
        <v>2080</v>
      </c>
      <c r="E142" s="142">
        <v>0.20830000000000001</v>
      </c>
      <c r="F142" s="4" t="s">
        <v>3065</v>
      </c>
      <c r="G142" s="4" t="s">
        <v>3065</v>
      </c>
      <c r="H142" s="4" t="str">
        <f t="shared" si="5"/>
        <v>No</v>
      </c>
      <c r="I142" s="56"/>
    </row>
    <row r="143" spans="1:9">
      <c r="A143" s="97" t="s">
        <v>2532</v>
      </c>
      <c r="B143" s="97" t="s">
        <v>2064</v>
      </c>
      <c r="C143" s="163">
        <v>3201</v>
      </c>
      <c r="D143" s="95" t="s">
        <v>2078</v>
      </c>
      <c r="E143" s="142">
        <v>0.54613333333333336</v>
      </c>
      <c r="F143" s="4" t="s">
        <v>2752</v>
      </c>
      <c r="G143" s="4" t="s">
        <v>2752</v>
      </c>
      <c r="H143" s="4" t="str">
        <f t="shared" si="5"/>
        <v>No</v>
      </c>
      <c r="I143" s="56"/>
    </row>
    <row r="144" spans="1:9">
      <c r="A144" s="97" t="s">
        <v>2532</v>
      </c>
      <c r="B144" s="97" t="s">
        <v>2064</v>
      </c>
      <c r="C144" s="163">
        <v>2175</v>
      </c>
      <c r="D144" s="95" t="s">
        <v>2069</v>
      </c>
      <c r="E144" s="142">
        <v>0.15666666666666665</v>
      </c>
      <c r="F144" s="4" t="s">
        <v>3065</v>
      </c>
      <c r="G144" s="4" t="s">
        <v>3065</v>
      </c>
      <c r="H144" s="4" t="str">
        <f t="shared" si="5"/>
        <v>No</v>
      </c>
      <c r="I144" s="56"/>
    </row>
    <row r="145" spans="1:9">
      <c r="A145" s="97" t="s">
        <v>2532</v>
      </c>
      <c r="B145" s="97" t="s">
        <v>2064</v>
      </c>
      <c r="C145" s="163">
        <v>4515</v>
      </c>
      <c r="D145" s="95" t="s">
        <v>2082</v>
      </c>
      <c r="E145" s="142">
        <v>0.34686666666666666</v>
      </c>
      <c r="F145" s="4" t="s">
        <v>3065</v>
      </c>
      <c r="G145" s="4" t="s">
        <v>3065</v>
      </c>
      <c r="H145" s="4" t="str">
        <f t="shared" si="5"/>
        <v>No</v>
      </c>
      <c r="I145" s="56"/>
    </row>
    <row r="146" spans="1:9">
      <c r="A146" s="97" t="s">
        <v>2532</v>
      </c>
      <c r="B146" s="97" t="s">
        <v>2064</v>
      </c>
      <c r="C146" s="163">
        <v>2387</v>
      </c>
      <c r="D146" s="95" t="s">
        <v>2072</v>
      </c>
      <c r="E146" s="142">
        <v>0.36179999999999995</v>
      </c>
      <c r="F146" s="4" t="s">
        <v>3065</v>
      </c>
      <c r="G146" s="4" t="s">
        <v>3065</v>
      </c>
      <c r="H146" s="4" t="str">
        <f t="shared" si="5"/>
        <v>No</v>
      </c>
      <c r="I146" s="56"/>
    </row>
    <row r="147" spans="1:9">
      <c r="A147" s="97" t="s">
        <v>2532</v>
      </c>
      <c r="B147" s="97" t="s">
        <v>2064</v>
      </c>
      <c r="C147" s="163">
        <v>1799</v>
      </c>
      <c r="D147" s="95" t="s">
        <v>2066</v>
      </c>
      <c r="E147" s="142">
        <v>2.5633333333333331E-2</v>
      </c>
      <c r="F147" s="4" t="s">
        <v>3065</v>
      </c>
      <c r="G147" s="4" t="s">
        <v>3065</v>
      </c>
      <c r="H147" s="4" t="str">
        <f t="shared" si="5"/>
        <v>No</v>
      </c>
      <c r="I147" s="56"/>
    </row>
    <row r="148" spans="1:9">
      <c r="A148" s="97" t="s">
        <v>2532</v>
      </c>
      <c r="B148" s="97" t="s">
        <v>2064</v>
      </c>
      <c r="C148" s="163">
        <v>5125</v>
      </c>
      <c r="D148" s="95" t="s">
        <v>2084</v>
      </c>
      <c r="E148" s="142">
        <v>0.17666666666666667</v>
      </c>
      <c r="F148" s="4" t="s">
        <v>3065</v>
      </c>
      <c r="G148" s="4" t="s">
        <v>3065</v>
      </c>
      <c r="H148" s="4" t="str">
        <f t="shared" si="5"/>
        <v>No</v>
      </c>
      <c r="I148" s="56"/>
    </row>
    <row r="149" spans="1:9">
      <c r="A149" s="97" t="s">
        <v>2532</v>
      </c>
      <c r="B149" s="97" t="s">
        <v>2064</v>
      </c>
      <c r="C149" s="163">
        <v>2075</v>
      </c>
      <c r="D149" s="95" t="s">
        <v>2068</v>
      </c>
      <c r="E149" s="142">
        <v>0.24960000000000002</v>
      </c>
      <c r="F149" s="4" t="s">
        <v>3065</v>
      </c>
      <c r="G149" s="4" t="s">
        <v>3065</v>
      </c>
      <c r="H149" s="4" t="str">
        <f t="shared" si="5"/>
        <v>No</v>
      </c>
      <c r="I149" s="56"/>
    </row>
    <row r="150" spans="1:9">
      <c r="A150" s="97" t="s">
        <v>2258</v>
      </c>
      <c r="B150" s="97" t="s">
        <v>2</v>
      </c>
      <c r="C150" s="163">
        <v>3142</v>
      </c>
      <c r="D150" s="95" t="s">
        <v>3</v>
      </c>
      <c r="E150" s="142">
        <v>0.10920000000000001</v>
      </c>
      <c r="F150" s="4" t="s">
        <v>3065</v>
      </c>
      <c r="G150" s="4" t="s">
        <v>3065</v>
      </c>
      <c r="H150" s="4" t="str">
        <f t="shared" si="5"/>
        <v>No</v>
      </c>
      <c r="I150" s="56"/>
    </row>
    <row r="151" spans="1:9">
      <c r="A151" s="97" t="s">
        <v>2449</v>
      </c>
      <c r="B151" s="97" t="s">
        <v>1473</v>
      </c>
      <c r="C151" s="163">
        <v>5372</v>
      </c>
      <c r="D151" s="95" t="s">
        <v>1498</v>
      </c>
      <c r="E151" s="142">
        <v>0.4346666666666667</v>
      </c>
      <c r="F151" s="4" t="s">
        <v>3065</v>
      </c>
      <c r="G151" s="4" t="s">
        <v>3065</v>
      </c>
      <c r="H151" s="4" t="str">
        <f t="shared" si="5"/>
        <v>No</v>
      </c>
      <c r="I151" s="56"/>
    </row>
    <row r="152" spans="1:9">
      <c r="A152" s="97" t="s">
        <v>2449</v>
      </c>
      <c r="B152" s="97" t="s">
        <v>1473</v>
      </c>
      <c r="C152" s="163">
        <v>5471</v>
      </c>
      <c r="D152" s="95" t="s">
        <v>2713</v>
      </c>
      <c r="E152" s="142">
        <v>0.2925666666666667</v>
      </c>
      <c r="F152" s="4" t="s">
        <v>3065</v>
      </c>
      <c r="G152" s="4" t="s">
        <v>3065</v>
      </c>
      <c r="H152" s="4" t="str">
        <f t="shared" si="5"/>
        <v>No</v>
      </c>
      <c r="I152" s="56"/>
    </row>
    <row r="153" spans="1:9">
      <c r="A153" s="97" t="s">
        <v>2449</v>
      </c>
      <c r="B153" s="97" t="s">
        <v>1473</v>
      </c>
      <c r="C153" s="163">
        <v>2807</v>
      </c>
      <c r="D153" s="95" t="s">
        <v>1479</v>
      </c>
      <c r="E153" s="142">
        <v>0.46239999999999998</v>
      </c>
      <c r="F153" s="4" t="s">
        <v>3065</v>
      </c>
      <c r="G153" s="4" t="s">
        <v>3065</v>
      </c>
      <c r="H153" s="4" t="str">
        <f t="shared" si="5"/>
        <v>No</v>
      </c>
      <c r="I153" s="56"/>
    </row>
    <row r="154" spans="1:9">
      <c r="A154" s="97" t="s">
        <v>2449</v>
      </c>
      <c r="B154" s="97" t="s">
        <v>1473</v>
      </c>
      <c r="C154" s="163">
        <v>3250</v>
      </c>
      <c r="D154" s="95" t="s">
        <v>1481</v>
      </c>
      <c r="E154" s="142">
        <v>0.62753333333333339</v>
      </c>
      <c r="F154" s="4" t="s">
        <v>2752</v>
      </c>
      <c r="G154" s="4" t="s">
        <v>2752</v>
      </c>
      <c r="H154" s="4" t="str">
        <f t="shared" si="5"/>
        <v>No</v>
      </c>
      <c r="I154" s="56"/>
    </row>
    <row r="155" spans="1:9">
      <c r="A155" s="97" t="s">
        <v>2449</v>
      </c>
      <c r="B155" s="97" t="s">
        <v>1473</v>
      </c>
      <c r="C155" s="163">
        <v>5633</v>
      </c>
      <c r="D155" s="95" t="s">
        <v>2865</v>
      </c>
      <c r="E155" s="142">
        <v>0.51390000000000002</v>
      </c>
      <c r="F155" s="4" t="s">
        <v>2752</v>
      </c>
      <c r="G155" s="4" t="s">
        <v>2752</v>
      </c>
      <c r="H155" s="4" t="str">
        <f t="shared" si="5"/>
        <v>No</v>
      </c>
      <c r="I155" s="56"/>
    </row>
    <row r="156" spans="1:9">
      <c r="A156" s="97" t="s">
        <v>2449</v>
      </c>
      <c r="B156" s="97" t="s">
        <v>1473</v>
      </c>
      <c r="C156" s="163">
        <v>4296</v>
      </c>
      <c r="D156" s="95" t="s">
        <v>1489</v>
      </c>
      <c r="E156" s="142">
        <v>0.56266666666666665</v>
      </c>
      <c r="F156" s="4" t="s">
        <v>2752</v>
      </c>
      <c r="G156" s="4" t="s">
        <v>2752</v>
      </c>
      <c r="H156" s="4" t="str">
        <f t="shared" si="5"/>
        <v>No</v>
      </c>
      <c r="I156" s="56"/>
    </row>
    <row r="157" spans="1:9">
      <c r="A157" s="97" t="s">
        <v>2449</v>
      </c>
      <c r="B157" s="97" t="s">
        <v>1473</v>
      </c>
      <c r="C157" s="163">
        <v>4186</v>
      </c>
      <c r="D157" s="95" t="s">
        <v>1487</v>
      </c>
      <c r="E157" s="142">
        <v>0.57483333333333331</v>
      </c>
      <c r="F157" s="4" t="s">
        <v>2752</v>
      </c>
      <c r="G157" s="4" t="s">
        <v>2752</v>
      </c>
      <c r="H157" s="4" t="str">
        <f t="shared" si="5"/>
        <v>No</v>
      </c>
      <c r="I157" s="56"/>
    </row>
    <row r="158" spans="1:9">
      <c r="A158" s="97" t="s">
        <v>2449</v>
      </c>
      <c r="B158" s="97" t="s">
        <v>1473</v>
      </c>
      <c r="C158" s="163">
        <v>4331</v>
      </c>
      <c r="D158" s="95" t="s">
        <v>1491</v>
      </c>
      <c r="E158" s="142">
        <v>0.54200000000000004</v>
      </c>
      <c r="F158" s="4" t="s">
        <v>2752</v>
      </c>
      <c r="G158" s="4" t="s">
        <v>2752</v>
      </c>
      <c r="H158" s="4" t="str">
        <f t="shared" si="5"/>
        <v>No</v>
      </c>
      <c r="I158" s="56"/>
    </row>
    <row r="159" spans="1:9">
      <c r="A159" s="97" t="s">
        <v>2449</v>
      </c>
      <c r="B159" s="97" t="s">
        <v>1473</v>
      </c>
      <c r="C159" s="163">
        <v>1510</v>
      </c>
      <c r="D159" s="95" t="s">
        <v>1474</v>
      </c>
      <c r="E159" s="142">
        <v>0.60566666666666669</v>
      </c>
      <c r="F159" s="4" t="s">
        <v>2752</v>
      </c>
      <c r="G159" s="4" t="s">
        <v>2752</v>
      </c>
      <c r="H159" s="4" t="str">
        <f t="shared" si="5"/>
        <v>No</v>
      </c>
      <c r="I159" s="56"/>
    </row>
    <row r="160" spans="1:9">
      <c r="A160" s="97" t="s">
        <v>2449</v>
      </c>
      <c r="B160" s="97" t="s">
        <v>1473</v>
      </c>
      <c r="C160" s="163">
        <v>3649</v>
      </c>
      <c r="D160" s="95" t="s">
        <v>1482</v>
      </c>
      <c r="E160" s="142">
        <v>0.64773333333333338</v>
      </c>
      <c r="F160" s="4" t="s">
        <v>2752</v>
      </c>
      <c r="G160" s="4" t="s">
        <v>2752</v>
      </c>
      <c r="H160" s="4" t="str">
        <f t="shared" si="5"/>
        <v>No</v>
      </c>
      <c r="I160" s="56"/>
    </row>
    <row r="161" spans="1:9">
      <c r="A161" s="97" t="s">
        <v>2449</v>
      </c>
      <c r="B161" s="97" t="s">
        <v>1473</v>
      </c>
      <c r="C161" s="163">
        <v>2576</v>
      </c>
      <c r="D161" s="95" t="s">
        <v>1477</v>
      </c>
      <c r="E161" s="142">
        <v>0.44819999999999999</v>
      </c>
      <c r="F161" s="4" t="s">
        <v>3065</v>
      </c>
      <c r="G161" s="4" t="s">
        <v>3065</v>
      </c>
      <c r="H161" s="4" t="str">
        <f t="shared" si="5"/>
        <v>No</v>
      </c>
      <c r="I161" s="56"/>
    </row>
    <row r="162" spans="1:9">
      <c r="A162" s="97" t="s">
        <v>2449</v>
      </c>
      <c r="B162" s="97" t="s">
        <v>1473</v>
      </c>
      <c r="C162" s="163">
        <v>4578</v>
      </c>
      <c r="D162" s="95" t="s">
        <v>1494</v>
      </c>
      <c r="E162" s="142">
        <v>0.45270000000000005</v>
      </c>
      <c r="F162" s="4" t="s">
        <v>3065</v>
      </c>
      <c r="G162" s="4" t="s">
        <v>3065</v>
      </c>
      <c r="H162" s="4" t="str">
        <f t="shared" si="5"/>
        <v>No</v>
      </c>
      <c r="I162" s="56"/>
    </row>
    <row r="163" spans="1:9">
      <c r="A163" s="97" t="s">
        <v>2449</v>
      </c>
      <c r="B163" s="97" t="s">
        <v>1473</v>
      </c>
      <c r="C163" s="163">
        <v>2877</v>
      </c>
      <c r="D163" s="95" t="s">
        <v>1480</v>
      </c>
      <c r="E163" s="142">
        <v>0.30943333333333328</v>
      </c>
      <c r="F163" s="4" t="s">
        <v>3065</v>
      </c>
      <c r="G163" s="4" t="s">
        <v>3065</v>
      </c>
      <c r="H163" s="4" t="str">
        <f t="shared" si="5"/>
        <v>No</v>
      </c>
      <c r="I163" s="56"/>
    </row>
    <row r="164" spans="1:9">
      <c r="A164" s="97" t="s">
        <v>2449</v>
      </c>
      <c r="B164" s="97" t="s">
        <v>1473</v>
      </c>
      <c r="C164" s="163">
        <v>4099</v>
      </c>
      <c r="D164" s="95" t="s">
        <v>1448</v>
      </c>
      <c r="E164" s="142">
        <v>0.57330000000000003</v>
      </c>
      <c r="F164" s="4" t="s">
        <v>2752</v>
      </c>
      <c r="G164" s="4" t="s">
        <v>2752</v>
      </c>
      <c r="H164" s="4" t="str">
        <f t="shared" si="5"/>
        <v>No</v>
      </c>
      <c r="I164" s="56"/>
    </row>
    <row r="165" spans="1:9">
      <c r="A165" s="97" t="s">
        <v>2449</v>
      </c>
      <c r="B165" s="97" t="s">
        <v>1473</v>
      </c>
      <c r="C165" s="163">
        <v>5159</v>
      </c>
      <c r="D165" s="95" t="s">
        <v>1496</v>
      </c>
      <c r="E165" s="142">
        <v>0.46910000000000002</v>
      </c>
      <c r="F165" s="4" t="s">
        <v>3065</v>
      </c>
      <c r="G165" s="4" t="s">
        <v>3065</v>
      </c>
      <c r="H165" s="4" t="str">
        <f t="shared" si="5"/>
        <v>No</v>
      </c>
      <c r="I165" s="56"/>
    </row>
    <row r="166" spans="1:9">
      <c r="A166" s="97" t="s">
        <v>2449</v>
      </c>
      <c r="B166" s="97" t="s">
        <v>1473</v>
      </c>
      <c r="C166" s="163">
        <v>4407</v>
      </c>
      <c r="D166" s="95" t="s">
        <v>245</v>
      </c>
      <c r="E166" s="142">
        <v>0.40716666666666668</v>
      </c>
      <c r="F166" s="4" t="s">
        <v>3065</v>
      </c>
      <c r="G166" s="4" t="s">
        <v>3065</v>
      </c>
      <c r="H166" s="4" t="str">
        <f t="shared" si="5"/>
        <v>No</v>
      </c>
      <c r="I166" s="56"/>
    </row>
    <row r="167" spans="1:9">
      <c r="A167" s="97" t="s">
        <v>2449</v>
      </c>
      <c r="B167" s="97" t="s">
        <v>1473</v>
      </c>
      <c r="C167" s="163">
        <v>4297</v>
      </c>
      <c r="D167" s="95" t="s">
        <v>1490</v>
      </c>
      <c r="E167" s="142">
        <v>0.33359999999999995</v>
      </c>
      <c r="F167" s="4" t="s">
        <v>3065</v>
      </c>
      <c r="G167" s="4" t="s">
        <v>3065</v>
      </c>
      <c r="H167" s="4" t="str">
        <f t="shared" si="5"/>
        <v>No</v>
      </c>
      <c r="I167" s="56"/>
    </row>
    <row r="168" spans="1:9">
      <c r="A168" s="97" t="s">
        <v>2449</v>
      </c>
      <c r="B168" s="97" t="s">
        <v>1473</v>
      </c>
      <c r="C168" s="163">
        <v>5033</v>
      </c>
      <c r="D168" s="95" t="s">
        <v>1495</v>
      </c>
      <c r="E168" s="142">
        <v>0.38216666666666671</v>
      </c>
      <c r="F168" s="4" t="s">
        <v>3065</v>
      </c>
      <c r="G168" s="4" t="s">
        <v>3065</v>
      </c>
      <c r="H168" s="4" t="str">
        <f t="shared" si="5"/>
        <v>No</v>
      </c>
      <c r="I168" s="56"/>
    </row>
    <row r="169" spans="1:9">
      <c r="A169" s="97" t="s">
        <v>2449</v>
      </c>
      <c r="B169" s="97" t="s">
        <v>1473</v>
      </c>
      <c r="C169" s="163">
        <v>2748</v>
      </c>
      <c r="D169" s="95" t="s">
        <v>1478</v>
      </c>
      <c r="E169" s="142">
        <v>0.37989999999999996</v>
      </c>
      <c r="F169" s="4" t="s">
        <v>3065</v>
      </c>
      <c r="G169" s="4" t="s">
        <v>3065</v>
      </c>
      <c r="H169" s="4" t="str">
        <f t="shared" si="5"/>
        <v>No</v>
      </c>
      <c r="I169" s="56"/>
    </row>
    <row r="170" spans="1:9">
      <c r="A170" s="97" t="s">
        <v>2449</v>
      </c>
      <c r="B170" s="97" t="s">
        <v>1473</v>
      </c>
      <c r="C170" s="163">
        <v>5635</v>
      </c>
      <c r="D170" s="95" t="s">
        <v>3000</v>
      </c>
      <c r="E170" s="142">
        <v>1.0699999999999999E-2</v>
      </c>
      <c r="F170" s="4" t="s">
        <v>3065</v>
      </c>
      <c r="G170" s="4" t="s">
        <v>3065</v>
      </c>
      <c r="H170" s="4" t="str">
        <f t="shared" si="5"/>
        <v>No</v>
      </c>
      <c r="I170" s="56"/>
    </row>
    <row r="171" spans="1:9">
      <c r="A171" s="97" t="s">
        <v>2449</v>
      </c>
      <c r="B171" s="97" t="s">
        <v>1473</v>
      </c>
      <c r="C171" s="163">
        <v>5206</v>
      </c>
      <c r="D171" s="95" t="s">
        <v>261</v>
      </c>
      <c r="E171" s="142">
        <v>0.50256666666666661</v>
      </c>
      <c r="F171" s="4" t="s">
        <v>2752</v>
      </c>
      <c r="G171" s="4" t="s">
        <v>2752</v>
      </c>
      <c r="H171" s="4" t="str">
        <f t="shared" si="5"/>
        <v>No</v>
      </c>
      <c r="I171" s="56"/>
    </row>
    <row r="172" spans="1:9">
      <c r="A172" s="97" t="s">
        <v>2449</v>
      </c>
      <c r="B172" s="97" t="s">
        <v>1473</v>
      </c>
      <c r="C172" s="163">
        <v>4102</v>
      </c>
      <c r="D172" s="95" t="s">
        <v>1484</v>
      </c>
      <c r="E172" s="142">
        <v>0.49899999999999994</v>
      </c>
      <c r="F172" s="4" t="s">
        <v>3065</v>
      </c>
      <c r="G172" s="4" t="s">
        <v>2752</v>
      </c>
      <c r="H172" s="4" t="str">
        <f t="shared" si="5"/>
        <v>Yes</v>
      </c>
      <c r="I172" s="56"/>
    </row>
    <row r="173" spans="1:9">
      <c r="A173" s="97" t="s">
        <v>2449</v>
      </c>
      <c r="B173" s="97" t="s">
        <v>1473</v>
      </c>
      <c r="C173" s="163">
        <v>5160</v>
      </c>
      <c r="D173" s="95" t="s">
        <v>1497</v>
      </c>
      <c r="E173" s="142">
        <v>0.32583333333333336</v>
      </c>
      <c r="F173" s="4" t="s">
        <v>3065</v>
      </c>
      <c r="G173" s="4" t="s">
        <v>3065</v>
      </c>
      <c r="H173" s="4" t="str">
        <f t="shared" si="5"/>
        <v>No</v>
      </c>
      <c r="I173" s="56"/>
    </row>
    <row r="174" spans="1:9">
      <c r="A174" s="97" t="s">
        <v>2449</v>
      </c>
      <c r="B174" s="97" t="s">
        <v>1473</v>
      </c>
      <c r="C174" s="163">
        <v>4538</v>
      </c>
      <c r="D174" s="95" t="s">
        <v>1493</v>
      </c>
      <c r="E174" s="142">
        <v>0.45049999999999996</v>
      </c>
      <c r="F174" s="4" t="s">
        <v>3065</v>
      </c>
      <c r="G174" s="4" t="s">
        <v>3065</v>
      </c>
      <c r="H174" s="4" t="str">
        <f t="shared" si="5"/>
        <v>No</v>
      </c>
      <c r="I174" s="56"/>
    </row>
    <row r="175" spans="1:9">
      <c r="A175" s="97" t="s">
        <v>2449</v>
      </c>
      <c r="B175" s="97" t="s">
        <v>1473</v>
      </c>
      <c r="C175" s="163">
        <v>5961</v>
      </c>
      <c r="D175" s="95" t="s">
        <v>1499</v>
      </c>
      <c r="E175" s="142">
        <v>2.4566666666666667E-2</v>
      </c>
      <c r="F175" s="4" t="s">
        <v>3065</v>
      </c>
      <c r="G175" s="4" t="s">
        <v>3065</v>
      </c>
      <c r="H175" s="4" t="str">
        <f t="shared" si="5"/>
        <v>No</v>
      </c>
      <c r="I175" s="56"/>
    </row>
    <row r="176" spans="1:9">
      <c r="A176" s="97" t="s">
        <v>2449</v>
      </c>
      <c r="B176" s="97" t="s">
        <v>1473</v>
      </c>
      <c r="C176" s="163">
        <v>4381</v>
      </c>
      <c r="D176" s="95" t="s">
        <v>1492</v>
      </c>
      <c r="E176" s="142">
        <v>0.43186666666666668</v>
      </c>
      <c r="F176" s="4" t="s">
        <v>3065</v>
      </c>
      <c r="G176" s="4" t="s">
        <v>3065</v>
      </c>
      <c r="H176" s="4" t="str">
        <f t="shared" si="5"/>
        <v>No</v>
      </c>
      <c r="I176" s="56"/>
    </row>
    <row r="177" spans="1:9">
      <c r="A177" s="97" t="s">
        <v>2449</v>
      </c>
      <c r="B177" s="97" t="s">
        <v>1473</v>
      </c>
      <c r="C177" s="163">
        <v>5665</v>
      </c>
      <c r="D177" s="95" t="s">
        <v>3001</v>
      </c>
      <c r="E177" s="142">
        <v>0</v>
      </c>
      <c r="F177" s="4" t="s">
        <v>3065</v>
      </c>
      <c r="G177" s="4" t="s">
        <v>3065</v>
      </c>
      <c r="H177" s="4" t="str">
        <f t="shared" si="5"/>
        <v>No</v>
      </c>
      <c r="I177" s="56"/>
    </row>
    <row r="178" spans="1:9">
      <c r="A178" s="97" t="s">
        <v>2449</v>
      </c>
      <c r="B178" s="97" t="s">
        <v>1473</v>
      </c>
      <c r="C178" s="163">
        <v>4227</v>
      </c>
      <c r="D178" s="95" t="s">
        <v>1488</v>
      </c>
      <c r="E178" s="142">
        <v>0.49696666666666661</v>
      </c>
      <c r="F178" s="4" t="s">
        <v>3065</v>
      </c>
      <c r="G178" s="4" t="s">
        <v>2752</v>
      </c>
      <c r="H178" s="4" t="str">
        <f t="shared" si="5"/>
        <v>Yes</v>
      </c>
      <c r="I178" s="56"/>
    </row>
    <row r="179" spans="1:9">
      <c r="A179" s="97" t="s">
        <v>2449</v>
      </c>
      <c r="B179" s="97" t="s">
        <v>1473</v>
      </c>
      <c r="C179" s="163">
        <v>2543</v>
      </c>
      <c r="D179" s="95" t="s">
        <v>1476</v>
      </c>
      <c r="E179" s="142">
        <v>0.53349999999999997</v>
      </c>
      <c r="F179" s="4" t="s">
        <v>2752</v>
      </c>
      <c r="G179" s="4" t="s">
        <v>2752</v>
      </c>
      <c r="H179" s="4" t="str">
        <f t="shared" si="5"/>
        <v>No</v>
      </c>
      <c r="I179" s="56"/>
    </row>
    <row r="180" spans="1:9">
      <c r="A180" s="97" t="s">
        <v>2449</v>
      </c>
      <c r="B180" s="97" t="s">
        <v>1473</v>
      </c>
      <c r="C180" s="163">
        <v>4103</v>
      </c>
      <c r="D180" s="95" t="s">
        <v>1485</v>
      </c>
      <c r="E180" s="142">
        <v>0.54826666666666668</v>
      </c>
      <c r="F180" s="4" t="s">
        <v>2752</v>
      </c>
      <c r="G180" s="4" t="s">
        <v>2752</v>
      </c>
      <c r="H180" s="4" t="str">
        <f t="shared" si="5"/>
        <v>No</v>
      </c>
      <c r="I180" s="56"/>
    </row>
    <row r="181" spans="1:9">
      <c r="A181" s="97" t="s">
        <v>2449</v>
      </c>
      <c r="B181" s="97" t="s">
        <v>1473</v>
      </c>
      <c r="C181" s="163">
        <v>2399</v>
      </c>
      <c r="D181" s="95" t="s">
        <v>1475</v>
      </c>
      <c r="E181" s="142">
        <v>0.60780000000000001</v>
      </c>
      <c r="F181" s="4" t="s">
        <v>2752</v>
      </c>
      <c r="G181" s="4" t="s">
        <v>2752</v>
      </c>
      <c r="H181" s="4" t="str">
        <f t="shared" si="5"/>
        <v>No</v>
      </c>
      <c r="I181" s="56"/>
    </row>
    <row r="182" spans="1:9">
      <c r="A182" s="97" t="s">
        <v>2449</v>
      </c>
      <c r="B182" s="97" t="s">
        <v>1473</v>
      </c>
      <c r="C182" s="163">
        <v>4158</v>
      </c>
      <c r="D182" s="95" t="s">
        <v>1486</v>
      </c>
      <c r="E182" s="142">
        <v>0.56610000000000005</v>
      </c>
      <c r="F182" s="4" t="s">
        <v>2752</v>
      </c>
      <c r="G182" s="4" t="s">
        <v>2752</v>
      </c>
      <c r="H182" s="4" t="str">
        <f t="shared" si="5"/>
        <v>No</v>
      </c>
      <c r="I182" s="56"/>
    </row>
    <row r="183" spans="1:9">
      <c r="A183" s="97" t="s">
        <v>2449</v>
      </c>
      <c r="B183" s="97" t="s">
        <v>1473</v>
      </c>
      <c r="C183" s="163">
        <v>3751</v>
      </c>
      <c r="D183" s="95" t="s">
        <v>1483</v>
      </c>
      <c r="E183" s="142">
        <v>0.6593</v>
      </c>
      <c r="F183" s="4" t="s">
        <v>2752</v>
      </c>
      <c r="G183" s="4" t="s">
        <v>2752</v>
      </c>
      <c r="H183" s="4" t="str">
        <f t="shared" si="5"/>
        <v>No</v>
      </c>
      <c r="I183" s="56"/>
    </row>
    <row r="184" spans="1:9">
      <c r="A184" s="97" t="s">
        <v>2449</v>
      </c>
      <c r="B184" s="97" t="s">
        <v>1473</v>
      </c>
      <c r="C184" s="163">
        <v>1560</v>
      </c>
      <c r="D184" s="95" t="s">
        <v>3002</v>
      </c>
      <c r="E184" s="142">
        <v>0.43240000000000001</v>
      </c>
      <c r="F184" s="4" t="s">
        <v>3065</v>
      </c>
      <c r="G184" s="4" t="s">
        <v>3065</v>
      </c>
      <c r="H184" s="4" t="str">
        <f t="shared" si="5"/>
        <v>No</v>
      </c>
      <c r="I184" s="56"/>
    </row>
    <row r="185" spans="1:9">
      <c r="A185" s="97" t="s">
        <v>2384</v>
      </c>
      <c r="B185" s="97" t="s">
        <v>1106</v>
      </c>
      <c r="C185" s="163">
        <v>3392</v>
      </c>
      <c r="D185" s="95" t="s">
        <v>1107</v>
      </c>
      <c r="E185" s="142">
        <v>0.34946666666666665</v>
      </c>
      <c r="F185" s="4" t="s">
        <v>3065</v>
      </c>
      <c r="G185" s="4" t="s">
        <v>3065</v>
      </c>
      <c r="H185" s="4" t="str">
        <f t="shared" si="5"/>
        <v>No</v>
      </c>
      <c r="I185" s="56"/>
    </row>
    <row r="186" spans="1:9">
      <c r="A186" s="97" t="s">
        <v>2534</v>
      </c>
      <c r="B186" s="97" t="s">
        <v>2096</v>
      </c>
      <c r="C186" s="163">
        <v>2713</v>
      </c>
      <c r="D186" s="95" t="s">
        <v>2097</v>
      </c>
      <c r="E186" s="142">
        <v>0.49896666666666672</v>
      </c>
      <c r="F186" s="4" t="s">
        <v>3065</v>
      </c>
      <c r="G186" s="4" t="s">
        <v>2752</v>
      </c>
      <c r="H186" s="4" t="str">
        <f t="shared" si="5"/>
        <v>Yes</v>
      </c>
      <c r="I186" s="56"/>
    </row>
    <row r="187" spans="1:9">
      <c r="A187" s="97" t="s">
        <v>2534</v>
      </c>
      <c r="B187" s="97" t="s">
        <v>2096</v>
      </c>
      <c r="C187" s="163">
        <v>3136</v>
      </c>
      <c r="D187" s="95" t="s">
        <v>2098</v>
      </c>
      <c r="E187" s="142">
        <v>0.44093333333333334</v>
      </c>
      <c r="F187" s="4" t="s">
        <v>3065</v>
      </c>
      <c r="G187" s="4" t="s">
        <v>3065</v>
      </c>
      <c r="H187" s="4" t="str">
        <f t="shared" si="5"/>
        <v>No</v>
      </c>
      <c r="I187" s="56"/>
    </row>
    <row r="188" spans="1:9">
      <c r="A188" s="97" t="s">
        <v>2534</v>
      </c>
      <c r="B188" s="97" t="s">
        <v>2096</v>
      </c>
      <c r="C188" s="163">
        <v>5021</v>
      </c>
      <c r="D188" s="95" t="s">
        <v>2102</v>
      </c>
      <c r="E188" s="142">
        <v>0.19450000000000001</v>
      </c>
      <c r="F188" s="4" t="s">
        <v>3065</v>
      </c>
      <c r="G188" s="4" t="s">
        <v>3065</v>
      </c>
      <c r="H188" s="4" t="str">
        <f t="shared" si="5"/>
        <v>No</v>
      </c>
      <c r="I188" s="56"/>
    </row>
    <row r="189" spans="1:9">
      <c r="A189" s="97" t="s">
        <v>2534</v>
      </c>
      <c r="B189" s="97" t="s">
        <v>2096</v>
      </c>
      <c r="C189" s="163">
        <v>3796</v>
      </c>
      <c r="D189" s="95" t="s">
        <v>2099</v>
      </c>
      <c r="E189" s="142">
        <v>0.47770000000000001</v>
      </c>
      <c r="F189" s="4" t="s">
        <v>3065</v>
      </c>
      <c r="G189" s="4" t="s">
        <v>3065</v>
      </c>
      <c r="H189" s="4" t="str">
        <f t="shared" si="5"/>
        <v>No</v>
      </c>
      <c r="I189" s="56"/>
    </row>
    <row r="190" spans="1:9">
      <c r="A190" s="97" t="s">
        <v>2534</v>
      </c>
      <c r="B190" s="97" t="s">
        <v>2096</v>
      </c>
      <c r="C190" s="163">
        <v>4476</v>
      </c>
      <c r="D190" s="95" t="s">
        <v>2101</v>
      </c>
      <c r="E190" s="142">
        <v>0.46596666666666664</v>
      </c>
      <c r="F190" s="4" t="s">
        <v>3065</v>
      </c>
      <c r="G190" s="4" t="s">
        <v>3065</v>
      </c>
      <c r="H190" s="4" t="str">
        <f t="shared" si="5"/>
        <v>No</v>
      </c>
      <c r="I190" s="56"/>
    </row>
    <row r="191" spans="1:9">
      <c r="A191" s="97" t="s">
        <v>2534</v>
      </c>
      <c r="B191" s="97" t="s">
        <v>2096</v>
      </c>
      <c r="C191" s="163">
        <v>5465</v>
      </c>
      <c r="D191" s="95" t="s">
        <v>2714</v>
      </c>
      <c r="E191" s="142">
        <v>0.58006666666666673</v>
      </c>
      <c r="F191" s="4" t="s">
        <v>2752</v>
      </c>
      <c r="G191" s="4" t="s">
        <v>3065</v>
      </c>
      <c r="H191" s="4" t="str">
        <f t="shared" si="5"/>
        <v>No</v>
      </c>
      <c r="I191" s="56"/>
    </row>
    <row r="192" spans="1:9">
      <c r="A192" s="97" t="s">
        <v>2534</v>
      </c>
      <c r="B192" s="97" t="s">
        <v>2096</v>
      </c>
      <c r="C192" s="163">
        <v>4459</v>
      </c>
      <c r="D192" s="95" t="s">
        <v>2100</v>
      </c>
      <c r="E192" s="142">
        <v>4.99E-2</v>
      </c>
      <c r="F192" s="4" t="s">
        <v>3065</v>
      </c>
      <c r="G192" s="4" t="s">
        <v>3065</v>
      </c>
      <c r="H192" s="4" t="str">
        <f t="shared" si="5"/>
        <v>No</v>
      </c>
      <c r="I192" s="56"/>
    </row>
    <row r="193" spans="1:9">
      <c r="A193" s="97" t="s">
        <v>2399</v>
      </c>
      <c r="B193" s="97" t="s">
        <v>1153</v>
      </c>
      <c r="C193" s="163">
        <v>2516</v>
      </c>
      <c r="D193" s="95" t="s">
        <v>1154</v>
      </c>
      <c r="E193" s="142">
        <v>0.50309999999999999</v>
      </c>
      <c r="F193" s="4" t="s">
        <v>2752</v>
      </c>
      <c r="G193" s="4" t="s">
        <v>2752</v>
      </c>
      <c r="H193" s="4" t="str">
        <f t="shared" si="5"/>
        <v>No</v>
      </c>
      <c r="I193" s="56"/>
    </row>
    <row r="194" spans="1:9">
      <c r="A194" s="97" t="s">
        <v>2371</v>
      </c>
      <c r="B194" s="97" t="s">
        <v>1017</v>
      </c>
      <c r="C194" s="163">
        <v>3641</v>
      </c>
      <c r="D194" s="95" t="s">
        <v>1024</v>
      </c>
      <c r="E194" s="142">
        <v>0.7627666666666667</v>
      </c>
      <c r="F194" s="4" t="s">
        <v>2752</v>
      </c>
      <c r="G194" s="4" t="s">
        <v>2752</v>
      </c>
      <c r="H194" s="4" t="str">
        <f t="shared" si="5"/>
        <v>No</v>
      </c>
      <c r="I194" s="56"/>
    </row>
    <row r="195" spans="1:9">
      <c r="A195" s="97" t="s">
        <v>2371</v>
      </c>
      <c r="B195" s="97" t="s">
        <v>1017</v>
      </c>
      <c r="C195" s="163">
        <v>3109</v>
      </c>
      <c r="D195" s="95" t="s">
        <v>1022</v>
      </c>
      <c r="E195" s="142">
        <v>0.6124666666666666</v>
      </c>
      <c r="F195" s="4" t="s">
        <v>2752</v>
      </c>
      <c r="G195" s="4" t="s">
        <v>2752</v>
      </c>
      <c r="H195" s="4" t="str">
        <f t="shared" si="5"/>
        <v>No</v>
      </c>
      <c r="I195" s="56"/>
    </row>
    <row r="196" spans="1:9">
      <c r="A196" s="97" t="s">
        <v>2371</v>
      </c>
      <c r="B196" s="97" t="s">
        <v>1017</v>
      </c>
      <c r="C196" s="163">
        <v>1749</v>
      </c>
      <c r="D196" s="95" t="s">
        <v>1019</v>
      </c>
      <c r="E196" s="142">
        <v>0.42913333333333331</v>
      </c>
      <c r="F196" s="4" t="s">
        <v>3065</v>
      </c>
      <c r="G196" s="4" t="s">
        <v>3065</v>
      </c>
      <c r="H196" s="4" t="str">
        <f t="shared" ref="H196:H259" si="6">IFERROR(IF(AND(G196="Yes",F196="No"),"Yes","No"),"No")</f>
        <v>No</v>
      </c>
      <c r="I196" s="56"/>
    </row>
    <row r="197" spans="1:9">
      <c r="A197" s="97" t="s">
        <v>2371</v>
      </c>
      <c r="B197" s="97" t="s">
        <v>1017</v>
      </c>
      <c r="C197" s="163">
        <v>5395</v>
      </c>
      <c r="D197" s="95" t="s">
        <v>1027</v>
      </c>
      <c r="E197" s="142">
        <v>0.55783333333333329</v>
      </c>
      <c r="F197" s="4" t="s">
        <v>2752</v>
      </c>
      <c r="G197" s="4" t="s">
        <v>2752</v>
      </c>
      <c r="H197" s="4" t="str">
        <f t="shared" si="6"/>
        <v>No</v>
      </c>
      <c r="I197" s="56"/>
    </row>
    <row r="198" spans="1:9">
      <c r="A198" s="97" t="s">
        <v>2371</v>
      </c>
      <c r="B198" s="97" t="s">
        <v>1017</v>
      </c>
      <c r="C198" s="163">
        <v>3108</v>
      </c>
      <c r="D198" s="95" t="s">
        <v>1021</v>
      </c>
      <c r="E198" s="142">
        <v>0.59533333333333338</v>
      </c>
      <c r="F198" s="4" t="s">
        <v>2752</v>
      </c>
      <c r="G198" s="4" t="s">
        <v>2752</v>
      </c>
      <c r="H198" s="4" t="str">
        <f t="shared" si="6"/>
        <v>No</v>
      </c>
      <c r="I198" s="56"/>
    </row>
    <row r="199" spans="1:9">
      <c r="A199" s="97" t="s">
        <v>2371</v>
      </c>
      <c r="B199" s="97" t="s">
        <v>1017</v>
      </c>
      <c r="C199" s="163">
        <v>4421</v>
      </c>
      <c r="D199" s="95" t="s">
        <v>1025</v>
      </c>
      <c r="E199" s="142">
        <v>0.42083333333333334</v>
      </c>
      <c r="F199" s="4" t="s">
        <v>3065</v>
      </c>
      <c r="G199" s="4" t="s">
        <v>3065</v>
      </c>
      <c r="H199" s="4" t="str">
        <f t="shared" si="6"/>
        <v>No</v>
      </c>
      <c r="I199" s="56"/>
    </row>
    <row r="200" spans="1:9">
      <c r="A200" s="97" t="s">
        <v>2371</v>
      </c>
      <c r="B200" s="97" t="s">
        <v>1017</v>
      </c>
      <c r="C200" s="163">
        <v>4441</v>
      </c>
      <c r="D200" s="95" t="s">
        <v>1026</v>
      </c>
      <c r="E200" s="142">
        <v>0.66456666666666664</v>
      </c>
      <c r="F200" s="4" t="s">
        <v>2752</v>
      </c>
      <c r="G200" s="4" t="s">
        <v>2752</v>
      </c>
      <c r="H200" s="4" t="str">
        <f t="shared" si="6"/>
        <v>No</v>
      </c>
      <c r="I200" s="56"/>
    </row>
    <row r="201" spans="1:9">
      <c r="A201" s="97" t="s">
        <v>2371</v>
      </c>
      <c r="B201" s="97" t="s">
        <v>1017</v>
      </c>
      <c r="C201" s="163">
        <v>3171</v>
      </c>
      <c r="D201" s="95" t="s">
        <v>1023</v>
      </c>
      <c r="E201" s="142">
        <v>0.58413333333333339</v>
      </c>
      <c r="F201" s="4" t="s">
        <v>2752</v>
      </c>
      <c r="G201" s="4" t="s">
        <v>2752</v>
      </c>
      <c r="H201" s="4" t="str">
        <f t="shared" si="6"/>
        <v>No</v>
      </c>
      <c r="I201" s="56"/>
    </row>
    <row r="202" spans="1:9">
      <c r="A202" s="97" t="s">
        <v>2371</v>
      </c>
      <c r="B202" s="97" t="s">
        <v>1017</v>
      </c>
      <c r="C202" s="163">
        <v>1737</v>
      </c>
      <c r="D202" s="95" t="s">
        <v>1018</v>
      </c>
      <c r="E202" s="142">
        <v>0.7641</v>
      </c>
      <c r="F202" s="4" t="s">
        <v>2752</v>
      </c>
      <c r="G202" s="4" t="s">
        <v>2752</v>
      </c>
      <c r="H202" s="4" t="str">
        <f t="shared" si="6"/>
        <v>No</v>
      </c>
      <c r="I202" s="56"/>
    </row>
    <row r="203" spans="1:9">
      <c r="A203" s="97" t="s">
        <v>2371</v>
      </c>
      <c r="B203" s="97" t="s">
        <v>1017</v>
      </c>
      <c r="C203" s="163">
        <v>5161</v>
      </c>
      <c r="D203" s="95" t="s">
        <v>27</v>
      </c>
      <c r="E203" s="142">
        <v>0</v>
      </c>
      <c r="F203" s="4" t="s">
        <v>3065</v>
      </c>
      <c r="G203" s="4" t="s">
        <v>3065</v>
      </c>
      <c r="H203" s="4" t="str">
        <f t="shared" si="6"/>
        <v>No</v>
      </c>
      <c r="I203" s="56"/>
    </row>
    <row r="204" spans="1:9">
      <c r="A204" s="97" t="s">
        <v>2371</v>
      </c>
      <c r="B204" s="97" t="s">
        <v>1017</v>
      </c>
      <c r="C204" s="163">
        <v>2853</v>
      </c>
      <c r="D204" s="95" t="s">
        <v>2866</v>
      </c>
      <c r="E204" s="142">
        <v>0.5968</v>
      </c>
      <c r="F204" s="4" t="s">
        <v>2752</v>
      </c>
      <c r="G204" s="4" t="s">
        <v>2752</v>
      </c>
      <c r="H204" s="4" t="str">
        <f t="shared" si="6"/>
        <v>No</v>
      </c>
      <c r="I204" s="56"/>
    </row>
    <row r="205" spans="1:9">
      <c r="A205" s="97" t="s">
        <v>2371</v>
      </c>
      <c r="B205" s="97" t="s">
        <v>1017</v>
      </c>
      <c r="C205" s="163">
        <v>2613</v>
      </c>
      <c r="D205" s="95" t="s">
        <v>1020</v>
      </c>
      <c r="E205" s="142">
        <v>0.75636666666666663</v>
      </c>
      <c r="F205" s="4" t="s">
        <v>2752</v>
      </c>
      <c r="G205" s="4" t="s">
        <v>2752</v>
      </c>
      <c r="H205" s="4" t="str">
        <f t="shared" si="6"/>
        <v>No</v>
      </c>
      <c r="I205" s="56"/>
    </row>
    <row r="206" spans="1:9">
      <c r="A206" s="97" t="s">
        <v>2371</v>
      </c>
      <c r="B206" s="97" t="s">
        <v>1017</v>
      </c>
      <c r="C206" s="163">
        <v>4038</v>
      </c>
      <c r="D206" s="95" t="s">
        <v>2715</v>
      </c>
      <c r="E206" s="142">
        <v>0.15</v>
      </c>
      <c r="F206" s="4" t="s">
        <v>3065</v>
      </c>
      <c r="G206" s="4" t="s">
        <v>3065</v>
      </c>
      <c r="H206" s="4" t="str">
        <f t="shared" si="6"/>
        <v>No</v>
      </c>
      <c r="I206" s="56"/>
    </row>
    <row r="207" spans="1:9">
      <c r="A207" s="97" t="s">
        <v>2424</v>
      </c>
      <c r="B207" s="97" t="s">
        <v>1242</v>
      </c>
      <c r="C207" s="163">
        <v>5272</v>
      </c>
      <c r="D207" s="95" t="s">
        <v>1246</v>
      </c>
      <c r="E207" s="142">
        <v>0.89349999999999996</v>
      </c>
      <c r="F207" s="4" t="s">
        <v>2752</v>
      </c>
      <c r="G207" s="4" t="s">
        <v>2752</v>
      </c>
      <c r="H207" s="4" t="str">
        <f t="shared" si="6"/>
        <v>No</v>
      </c>
      <c r="I207" s="56"/>
    </row>
    <row r="208" spans="1:9">
      <c r="A208" s="97" t="s">
        <v>2424</v>
      </c>
      <c r="B208" s="97" t="s">
        <v>1242</v>
      </c>
      <c r="C208" s="163">
        <v>3293</v>
      </c>
      <c r="D208" s="95" t="s">
        <v>1244</v>
      </c>
      <c r="E208" s="142">
        <v>0.95316666666666672</v>
      </c>
      <c r="F208" s="4" t="s">
        <v>2752</v>
      </c>
      <c r="G208" s="4" t="s">
        <v>2752</v>
      </c>
      <c r="H208" s="4" t="str">
        <f t="shared" si="6"/>
        <v>No</v>
      </c>
      <c r="I208" s="56"/>
    </row>
    <row r="209" spans="1:9">
      <c r="A209" s="97" t="s">
        <v>2424</v>
      </c>
      <c r="B209" s="97" t="s">
        <v>1242</v>
      </c>
      <c r="C209" s="163">
        <v>2800</v>
      </c>
      <c r="D209" s="95" t="s">
        <v>1243</v>
      </c>
      <c r="E209" s="142">
        <v>0.85160000000000002</v>
      </c>
      <c r="F209" s="4" t="s">
        <v>2752</v>
      </c>
      <c r="G209" s="4" t="s">
        <v>2752</v>
      </c>
      <c r="H209" s="4" t="str">
        <f t="shared" si="6"/>
        <v>No</v>
      </c>
      <c r="I209" s="56"/>
    </row>
    <row r="210" spans="1:9">
      <c r="A210" s="97" t="s">
        <v>2424</v>
      </c>
      <c r="B210" s="97" t="s">
        <v>1242</v>
      </c>
      <c r="C210" s="163">
        <v>4223</v>
      </c>
      <c r="D210" s="95" t="s">
        <v>1245</v>
      </c>
      <c r="E210" s="142">
        <v>0.90133333333333321</v>
      </c>
      <c r="F210" s="4" t="s">
        <v>2752</v>
      </c>
      <c r="G210" s="4" t="s">
        <v>2752</v>
      </c>
      <c r="H210" s="4" t="str">
        <f t="shared" si="6"/>
        <v>No</v>
      </c>
      <c r="I210" s="56"/>
    </row>
    <row r="211" spans="1:9">
      <c r="A211" s="97" t="s">
        <v>2302</v>
      </c>
      <c r="B211" s="97" t="s">
        <v>339</v>
      </c>
      <c r="C211" s="163">
        <v>1900</v>
      </c>
      <c r="D211" s="95" t="s">
        <v>340</v>
      </c>
      <c r="E211" s="142">
        <v>1</v>
      </c>
      <c r="F211" s="4" t="s">
        <v>2752</v>
      </c>
      <c r="G211" s="4" t="s">
        <v>2752</v>
      </c>
      <c r="H211" s="4" t="str">
        <f t="shared" si="6"/>
        <v>No</v>
      </c>
      <c r="I211" s="56"/>
    </row>
    <row r="212" spans="1:9">
      <c r="A212" s="97" t="s">
        <v>2302</v>
      </c>
      <c r="B212" s="97" t="s">
        <v>339</v>
      </c>
      <c r="C212" s="163">
        <v>2562</v>
      </c>
      <c r="D212" s="95" t="s">
        <v>341</v>
      </c>
      <c r="E212" s="142">
        <v>0.95359999999999989</v>
      </c>
      <c r="F212" s="4" t="s">
        <v>2752</v>
      </c>
      <c r="G212" s="4" t="s">
        <v>2752</v>
      </c>
      <c r="H212" s="4" t="str">
        <f t="shared" si="6"/>
        <v>No</v>
      </c>
      <c r="I212" s="56"/>
    </row>
    <row r="213" spans="1:9">
      <c r="A213" s="97" t="s">
        <v>2302</v>
      </c>
      <c r="B213" s="97" t="s">
        <v>339</v>
      </c>
      <c r="C213" s="163">
        <v>2788</v>
      </c>
      <c r="D213" s="95" t="s">
        <v>342</v>
      </c>
      <c r="E213" s="142">
        <v>0.94810000000000005</v>
      </c>
      <c r="F213" s="4" t="s">
        <v>2752</v>
      </c>
      <c r="G213" s="4" t="s">
        <v>2752</v>
      </c>
      <c r="H213" s="4" t="str">
        <f t="shared" si="6"/>
        <v>No</v>
      </c>
      <c r="I213" s="56"/>
    </row>
    <row r="214" spans="1:9">
      <c r="A214" s="97" t="s">
        <v>2302</v>
      </c>
      <c r="B214" s="97" t="s">
        <v>339</v>
      </c>
      <c r="C214" s="163">
        <v>4213</v>
      </c>
      <c r="D214" s="95" t="s">
        <v>343</v>
      </c>
      <c r="E214" s="142">
        <v>0.95073333333333332</v>
      </c>
      <c r="F214" s="4" t="s">
        <v>2752</v>
      </c>
      <c r="G214" s="4" t="s">
        <v>2752</v>
      </c>
      <c r="H214" s="4" t="str">
        <f t="shared" si="6"/>
        <v>No</v>
      </c>
      <c r="I214" s="56"/>
    </row>
    <row r="215" spans="1:9">
      <c r="A215" s="97" t="s">
        <v>2344</v>
      </c>
      <c r="B215" s="97" t="s">
        <v>534</v>
      </c>
      <c r="C215" s="163">
        <v>2836</v>
      </c>
      <c r="D215" s="95" t="s">
        <v>535</v>
      </c>
      <c r="E215" s="142">
        <v>0.76049999999999995</v>
      </c>
      <c r="F215" s="4" t="s">
        <v>2752</v>
      </c>
      <c r="G215" s="4" t="s">
        <v>2752</v>
      </c>
      <c r="H215" s="4" t="str">
        <f t="shared" si="6"/>
        <v>No</v>
      </c>
      <c r="I215" s="56"/>
    </row>
    <row r="216" spans="1:9">
      <c r="A216" s="97" t="s">
        <v>2461</v>
      </c>
      <c r="B216" s="97" t="s">
        <v>1546</v>
      </c>
      <c r="C216" s="163">
        <v>3603</v>
      </c>
      <c r="D216" s="95" t="s">
        <v>1552</v>
      </c>
      <c r="E216" s="142">
        <v>0.75536666666666674</v>
      </c>
      <c r="F216" s="4" t="s">
        <v>2752</v>
      </c>
      <c r="G216" s="4" t="s">
        <v>2752</v>
      </c>
      <c r="H216" s="4" t="str">
        <f t="shared" si="6"/>
        <v>No</v>
      </c>
      <c r="I216" s="56"/>
    </row>
    <row r="217" spans="1:9">
      <c r="A217" s="97" t="s">
        <v>2461</v>
      </c>
      <c r="B217" s="97" t="s">
        <v>1546</v>
      </c>
      <c r="C217" s="163">
        <v>4412</v>
      </c>
      <c r="D217" s="95" t="s">
        <v>1553</v>
      </c>
      <c r="E217" s="142">
        <v>0.34943333333333332</v>
      </c>
      <c r="F217" s="4" t="s">
        <v>3065</v>
      </c>
      <c r="G217" s="4" t="s">
        <v>3065</v>
      </c>
      <c r="H217" s="4" t="str">
        <f t="shared" si="6"/>
        <v>No</v>
      </c>
      <c r="I217" s="56"/>
    </row>
    <row r="218" spans="1:9">
      <c r="A218" s="97" t="s">
        <v>2461</v>
      </c>
      <c r="B218" s="97" t="s">
        <v>1546</v>
      </c>
      <c r="C218" s="163">
        <v>2362</v>
      </c>
      <c r="D218" s="95" t="s">
        <v>1548</v>
      </c>
      <c r="E218" s="142">
        <v>0.47539999999999999</v>
      </c>
      <c r="F218" s="4" t="s">
        <v>3065</v>
      </c>
      <c r="G218" s="4" t="s">
        <v>3065</v>
      </c>
      <c r="H218" s="4" t="str">
        <f t="shared" si="6"/>
        <v>No</v>
      </c>
      <c r="I218" s="56"/>
    </row>
    <row r="219" spans="1:9">
      <c r="A219" s="97" t="s">
        <v>2461</v>
      </c>
      <c r="B219" s="97" t="s">
        <v>1546</v>
      </c>
      <c r="C219" s="163">
        <v>1928</v>
      </c>
      <c r="D219" s="95" t="s">
        <v>1547</v>
      </c>
      <c r="E219" s="142">
        <v>0.76163333333333327</v>
      </c>
      <c r="F219" s="4" t="s">
        <v>2752</v>
      </c>
      <c r="G219" s="4" t="s">
        <v>2752</v>
      </c>
      <c r="H219" s="4" t="str">
        <f t="shared" si="6"/>
        <v>No</v>
      </c>
      <c r="I219" s="56"/>
    </row>
    <row r="220" spans="1:9">
      <c r="A220" s="137" t="s">
        <v>2461</v>
      </c>
      <c r="B220" s="97" t="s">
        <v>1546</v>
      </c>
      <c r="C220" s="164">
        <v>2379</v>
      </c>
      <c r="D220" s="56" t="s">
        <v>1549</v>
      </c>
      <c r="E220" s="142">
        <v>0.25906666666666667</v>
      </c>
      <c r="F220" s="4" t="s">
        <v>3065</v>
      </c>
      <c r="G220" s="4" t="s">
        <v>3065</v>
      </c>
      <c r="H220" s="4" t="str">
        <f t="shared" si="6"/>
        <v>No</v>
      </c>
      <c r="I220" s="56"/>
    </row>
    <row r="221" spans="1:9">
      <c r="A221" s="97" t="s">
        <v>2461</v>
      </c>
      <c r="B221" s="97" t="s">
        <v>1546</v>
      </c>
      <c r="C221" s="163">
        <v>3251</v>
      </c>
      <c r="D221" s="95" t="s">
        <v>1551</v>
      </c>
      <c r="E221" s="142">
        <v>0.68346666666666656</v>
      </c>
      <c r="F221" s="4" t="s">
        <v>2752</v>
      </c>
      <c r="G221" s="4" t="s">
        <v>2752</v>
      </c>
      <c r="H221" s="4" t="str">
        <f t="shared" si="6"/>
        <v>No</v>
      </c>
      <c r="I221" s="56"/>
    </row>
    <row r="222" spans="1:9">
      <c r="A222" s="97" t="s">
        <v>2461</v>
      </c>
      <c r="B222" s="97" t="s">
        <v>1546</v>
      </c>
      <c r="C222" s="163">
        <v>5525</v>
      </c>
      <c r="D222" s="95" t="s">
        <v>2818</v>
      </c>
      <c r="E222" s="142">
        <v>0.5541666666666667</v>
      </c>
      <c r="F222" s="4" t="s">
        <v>2752</v>
      </c>
      <c r="G222" s="4" t="s">
        <v>3065</v>
      </c>
      <c r="H222" s="4" t="str">
        <f t="shared" si="6"/>
        <v>No</v>
      </c>
      <c r="I222" s="56"/>
    </row>
    <row r="223" spans="1:9">
      <c r="A223" s="97" t="s">
        <v>2461</v>
      </c>
      <c r="B223" s="97" t="s">
        <v>1546</v>
      </c>
      <c r="C223" s="163">
        <v>2946</v>
      </c>
      <c r="D223" s="95" t="s">
        <v>1550</v>
      </c>
      <c r="E223" s="142">
        <v>0.5752666666666667</v>
      </c>
      <c r="F223" s="4" t="s">
        <v>2752</v>
      </c>
      <c r="G223" s="4" t="s">
        <v>2752</v>
      </c>
      <c r="H223" s="4" t="str">
        <f t="shared" si="6"/>
        <v>No</v>
      </c>
      <c r="I223" s="56"/>
    </row>
    <row r="224" spans="1:9">
      <c r="A224" s="97" t="s">
        <v>2289</v>
      </c>
      <c r="B224" s="97" t="s">
        <v>255</v>
      </c>
      <c r="C224" s="163">
        <v>5702</v>
      </c>
      <c r="D224" s="95" t="s">
        <v>3003</v>
      </c>
      <c r="E224" s="142">
        <v>0.2039</v>
      </c>
      <c r="F224" s="4" t="s">
        <v>3065</v>
      </c>
      <c r="G224" s="4" t="s">
        <v>3065</v>
      </c>
      <c r="H224" s="4" t="str">
        <f t="shared" si="6"/>
        <v>No</v>
      </c>
      <c r="I224" s="56"/>
    </row>
    <row r="225" spans="1:9">
      <c r="A225" s="97" t="s">
        <v>2289</v>
      </c>
      <c r="B225" s="97" t="s">
        <v>255</v>
      </c>
      <c r="C225" s="163">
        <v>4567</v>
      </c>
      <c r="D225" s="95" t="s">
        <v>260</v>
      </c>
      <c r="E225" s="142">
        <v>0.12436666666666667</v>
      </c>
      <c r="F225" s="4" t="s">
        <v>3065</v>
      </c>
      <c r="G225" s="4" t="s">
        <v>3065</v>
      </c>
      <c r="H225" s="4" t="str">
        <f t="shared" si="6"/>
        <v>No</v>
      </c>
      <c r="I225" s="56"/>
    </row>
    <row r="226" spans="1:9">
      <c r="A226" s="97" t="s">
        <v>2289</v>
      </c>
      <c r="B226" s="97" t="s">
        <v>255</v>
      </c>
      <c r="C226" s="163">
        <v>5532</v>
      </c>
      <c r="D226" s="95" t="s">
        <v>2816</v>
      </c>
      <c r="E226" s="142">
        <v>0.26250000000000001</v>
      </c>
      <c r="F226" s="4" t="s">
        <v>3065</v>
      </c>
      <c r="G226" s="4" t="s">
        <v>3065</v>
      </c>
      <c r="H226" s="4" t="str">
        <f t="shared" si="6"/>
        <v>No</v>
      </c>
      <c r="I226" s="56"/>
    </row>
    <row r="227" spans="1:9">
      <c r="A227" s="97" t="s">
        <v>2289</v>
      </c>
      <c r="B227" s="97" t="s">
        <v>255</v>
      </c>
      <c r="C227" s="163">
        <v>5533</v>
      </c>
      <c r="D227" s="95" t="s">
        <v>309</v>
      </c>
      <c r="E227" s="142">
        <v>0.15676666666666667</v>
      </c>
      <c r="F227" s="4" t="s">
        <v>3065</v>
      </c>
      <c r="G227" s="4" t="s">
        <v>3065</v>
      </c>
      <c r="H227" s="4" t="str">
        <f t="shared" si="6"/>
        <v>No</v>
      </c>
      <c r="I227" s="56"/>
    </row>
    <row r="228" spans="1:9">
      <c r="A228" s="97" t="s">
        <v>2289</v>
      </c>
      <c r="B228" s="97" t="s">
        <v>255</v>
      </c>
      <c r="C228" s="163">
        <v>4182</v>
      </c>
      <c r="D228" s="95" t="s">
        <v>257</v>
      </c>
      <c r="E228" s="142">
        <v>0.12113333333333333</v>
      </c>
      <c r="F228" s="4" t="s">
        <v>3065</v>
      </c>
      <c r="G228" s="4" t="s">
        <v>3065</v>
      </c>
      <c r="H228" s="4" t="str">
        <f t="shared" si="6"/>
        <v>No</v>
      </c>
      <c r="I228" s="56"/>
    </row>
    <row r="229" spans="1:9">
      <c r="A229" s="97" t="s">
        <v>2289</v>
      </c>
      <c r="B229" s="97" t="s">
        <v>255</v>
      </c>
      <c r="C229" s="163">
        <v>5158</v>
      </c>
      <c r="D229" s="95" t="s">
        <v>263</v>
      </c>
      <c r="E229" s="142">
        <v>0.10113333333333334</v>
      </c>
      <c r="F229" s="4" t="s">
        <v>3065</v>
      </c>
      <c r="G229" s="4" t="s">
        <v>3065</v>
      </c>
      <c r="H229" s="4" t="str">
        <f t="shared" si="6"/>
        <v>No</v>
      </c>
      <c r="I229" s="56"/>
    </row>
    <row r="230" spans="1:9">
      <c r="A230" s="97" t="s">
        <v>2289</v>
      </c>
      <c r="B230" s="97" t="s">
        <v>255</v>
      </c>
      <c r="C230" s="163">
        <v>5104</v>
      </c>
      <c r="D230" s="95" t="s">
        <v>262</v>
      </c>
      <c r="E230" s="142">
        <v>0.29799999999999999</v>
      </c>
      <c r="F230" s="4" t="s">
        <v>3065</v>
      </c>
      <c r="G230" s="4" t="s">
        <v>3065</v>
      </c>
      <c r="H230" s="4" t="str">
        <f t="shared" si="6"/>
        <v>No</v>
      </c>
      <c r="I230" s="56"/>
    </row>
    <row r="231" spans="1:9">
      <c r="A231" s="97" t="s">
        <v>2289</v>
      </c>
      <c r="B231" s="97" t="s">
        <v>255</v>
      </c>
      <c r="C231" s="163">
        <v>2725</v>
      </c>
      <c r="D231" s="95" t="s">
        <v>256</v>
      </c>
      <c r="E231" s="142">
        <v>0.15759999999999999</v>
      </c>
      <c r="F231" s="4" t="s">
        <v>3065</v>
      </c>
      <c r="G231" s="4" t="s">
        <v>3065</v>
      </c>
      <c r="H231" s="4" t="str">
        <f t="shared" si="6"/>
        <v>No</v>
      </c>
      <c r="I231" s="56"/>
    </row>
    <row r="232" spans="1:9">
      <c r="A232" s="97" t="s">
        <v>2289</v>
      </c>
      <c r="B232" s="97" t="s">
        <v>255</v>
      </c>
      <c r="C232" s="163">
        <v>3474</v>
      </c>
      <c r="D232" s="95" t="s">
        <v>2774</v>
      </c>
      <c r="E232" s="142">
        <v>0.1643</v>
      </c>
      <c r="F232" s="4" t="s">
        <v>3065</v>
      </c>
      <c r="G232" s="4" t="s">
        <v>3065</v>
      </c>
      <c r="H232" s="4" t="str">
        <f t="shared" si="6"/>
        <v>No</v>
      </c>
      <c r="I232" s="56"/>
    </row>
    <row r="233" spans="1:9">
      <c r="A233" s="97" t="s">
        <v>2289</v>
      </c>
      <c r="B233" s="97" t="s">
        <v>255</v>
      </c>
      <c r="C233" s="163">
        <v>5054</v>
      </c>
      <c r="D233" s="95" t="s">
        <v>261</v>
      </c>
      <c r="E233" s="142">
        <v>0.1899666666666667</v>
      </c>
      <c r="F233" s="4" t="s">
        <v>3065</v>
      </c>
      <c r="G233" s="4" t="s">
        <v>3065</v>
      </c>
      <c r="H233" s="4" t="str">
        <f t="shared" si="6"/>
        <v>No</v>
      </c>
      <c r="I233" s="56"/>
    </row>
    <row r="234" spans="1:9">
      <c r="A234" s="97" t="s">
        <v>2289</v>
      </c>
      <c r="B234" s="97" t="s">
        <v>255</v>
      </c>
      <c r="C234" s="163">
        <v>5534</v>
      </c>
      <c r="D234" s="95" t="s">
        <v>2867</v>
      </c>
      <c r="E234" s="142">
        <v>0.11193333333333333</v>
      </c>
      <c r="F234" s="4" t="s">
        <v>3065</v>
      </c>
      <c r="G234" s="4" t="s">
        <v>3065</v>
      </c>
      <c r="H234" s="4" t="str">
        <f t="shared" si="6"/>
        <v>No</v>
      </c>
      <c r="I234" s="56"/>
    </row>
    <row r="235" spans="1:9">
      <c r="A235" s="97" t="s">
        <v>2289</v>
      </c>
      <c r="B235" s="97" t="s">
        <v>255</v>
      </c>
      <c r="C235" s="163">
        <v>4563</v>
      </c>
      <c r="D235" s="95" t="s">
        <v>259</v>
      </c>
      <c r="E235" s="142">
        <v>0.11206666666666665</v>
      </c>
      <c r="F235" s="4" t="s">
        <v>3065</v>
      </c>
      <c r="G235" s="4" t="s">
        <v>3065</v>
      </c>
      <c r="H235" s="4" t="str">
        <f t="shared" si="6"/>
        <v>No</v>
      </c>
      <c r="I235" s="56"/>
    </row>
    <row r="236" spans="1:9">
      <c r="A236" s="97" t="s">
        <v>2289</v>
      </c>
      <c r="B236" s="97" t="s">
        <v>255</v>
      </c>
      <c r="C236" s="163">
        <v>4508</v>
      </c>
      <c r="D236" s="95" t="s">
        <v>258</v>
      </c>
      <c r="E236" s="142">
        <v>0.10580000000000001</v>
      </c>
      <c r="F236" s="4" t="s">
        <v>3065</v>
      </c>
      <c r="G236" s="4" t="s">
        <v>3065</v>
      </c>
      <c r="H236" s="4" t="str">
        <f t="shared" si="6"/>
        <v>No</v>
      </c>
      <c r="I236" s="56"/>
    </row>
    <row r="237" spans="1:9">
      <c r="A237" s="97" t="s">
        <v>2289</v>
      </c>
      <c r="B237" s="97" t="s">
        <v>255</v>
      </c>
      <c r="C237" s="163">
        <v>5309</v>
      </c>
      <c r="D237" s="95" t="s">
        <v>264</v>
      </c>
      <c r="E237" s="142">
        <v>0.21156666666666668</v>
      </c>
      <c r="F237" s="4" t="s">
        <v>3065</v>
      </c>
      <c r="G237" s="4" t="s">
        <v>3065</v>
      </c>
      <c r="H237" s="4" t="str">
        <f t="shared" si="6"/>
        <v>No</v>
      </c>
      <c r="I237" s="56"/>
    </row>
    <row r="238" spans="1:9">
      <c r="A238" s="97" t="s">
        <v>2280</v>
      </c>
      <c r="B238" s="97" t="s">
        <v>153</v>
      </c>
      <c r="C238" s="163">
        <v>3422</v>
      </c>
      <c r="D238" s="95" t="s">
        <v>156</v>
      </c>
      <c r="E238" s="142">
        <v>0.64389999999999992</v>
      </c>
      <c r="F238" s="4" t="s">
        <v>2752</v>
      </c>
      <c r="G238" s="4" t="s">
        <v>2752</v>
      </c>
      <c r="H238" s="4" t="str">
        <f t="shared" si="6"/>
        <v>No</v>
      </c>
      <c r="I238" s="56"/>
    </row>
    <row r="239" spans="1:9">
      <c r="A239" s="97" t="s">
        <v>2280</v>
      </c>
      <c r="B239" s="97" t="s">
        <v>153</v>
      </c>
      <c r="C239" s="163">
        <v>2594</v>
      </c>
      <c r="D239" s="95" t="s">
        <v>154</v>
      </c>
      <c r="E239" s="142">
        <v>0.64246666666666663</v>
      </c>
      <c r="F239" s="4" t="s">
        <v>2752</v>
      </c>
      <c r="G239" s="4" t="s">
        <v>2752</v>
      </c>
      <c r="H239" s="4" t="str">
        <f t="shared" si="6"/>
        <v>No</v>
      </c>
      <c r="I239" s="56"/>
    </row>
    <row r="240" spans="1:9">
      <c r="A240" s="97" t="s">
        <v>2280</v>
      </c>
      <c r="B240" s="97" t="s">
        <v>153</v>
      </c>
      <c r="C240" s="163">
        <v>3145</v>
      </c>
      <c r="D240" s="95" t="s">
        <v>155</v>
      </c>
      <c r="E240" s="142">
        <v>0.72029999999999994</v>
      </c>
      <c r="F240" s="4" t="s">
        <v>2752</v>
      </c>
      <c r="G240" s="4" t="s">
        <v>2752</v>
      </c>
      <c r="H240" s="4" t="str">
        <f t="shared" si="6"/>
        <v>No</v>
      </c>
      <c r="I240" s="56"/>
    </row>
    <row r="241" spans="1:9">
      <c r="A241" s="97" t="s">
        <v>2441</v>
      </c>
      <c r="B241" s="97" t="s">
        <v>1385</v>
      </c>
      <c r="C241" s="163">
        <v>2466</v>
      </c>
      <c r="D241" s="95" t="s">
        <v>1386</v>
      </c>
      <c r="E241" s="142">
        <v>0.23503333333333332</v>
      </c>
      <c r="F241" s="4" t="s">
        <v>3065</v>
      </c>
      <c r="G241" s="4" t="s">
        <v>3065</v>
      </c>
      <c r="H241" s="4" t="str">
        <f t="shared" si="6"/>
        <v>No</v>
      </c>
      <c r="I241" s="56"/>
    </row>
    <row r="242" spans="1:9">
      <c r="A242" s="97" t="s">
        <v>2275</v>
      </c>
      <c r="B242" s="97" t="s">
        <v>115</v>
      </c>
      <c r="C242" s="163">
        <v>2827</v>
      </c>
      <c r="D242" s="95" t="s">
        <v>2775</v>
      </c>
      <c r="E242" s="142">
        <v>0.42743333333333333</v>
      </c>
      <c r="F242" s="4" t="s">
        <v>3065</v>
      </c>
      <c r="G242" s="4" t="s">
        <v>3065</v>
      </c>
      <c r="H242" s="4" t="str">
        <f t="shared" si="6"/>
        <v>No</v>
      </c>
      <c r="I242" s="56"/>
    </row>
    <row r="243" spans="1:9">
      <c r="A243" s="97" t="s">
        <v>2275</v>
      </c>
      <c r="B243" s="97" t="s">
        <v>115</v>
      </c>
      <c r="C243" s="163">
        <v>4566</v>
      </c>
      <c r="D243" s="95" t="s">
        <v>119</v>
      </c>
      <c r="E243" s="142">
        <v>0.224</v>
      </c>
      <c r="F243" s="4" t="s">
        <v>3065</v>
      </c>
      <c r="G243" s="4" t="s">
        <v>3065</v>
      </c>
      <c r="H243" s="4" t="str">
        <f t="shared" si="6"/>
        <v>No</v>
      </c>
      <c r="I243" s="56"/>
    </row>
    <row r="244" spans="1:9">
      <c r="A244" s="97" t="s">
        <v>2275</v>
      </c>
      <c r="B244" s="97" t="s">
        <v>115</v>
      </c>
      <c r="C244" s="163">
        <v>3564</v>
      </c>
      <c r="D244" s="95" t="s">
        <v>117</v>
      </c>
      <c r="E244" s="142">
        <v>0.3952</v>
      </c>
      <c r="F244" s="4" t="s">
        <v>3065</v>
      </c>
      <c r="G244" s="4" t="s">
        <v>3065</v>
      </c>
      <c r="H244" s="4" t="str">
        <f t="shared" si="6"/>
        <v>No</v>
      </c>
      <c r="I244" s="56"/>
    </row>
    <row r="245" spans="1:9">
      <c r="A245" s="97" t="s">
        <v>2275</v>
      </c>
      <c r="B245" s="97" t="s">
        <v>115</v>
      </c>
      <c r="C245" s="163">
        <v>5418</v>
      </c>
      <c r="D245" s="95" t="s">
        <v>120</v>
      </c>
      <c r="E245" s="142">
        <v>0.12989999999999999</v>
      </c>
      <c r="F245" s="4" t="s">
        <v>3065</v>
      </c>
      <c r="G245" s="4" t="s">
        <v>3065</v>
      </c>
      <c r="H245" s="4" t="str">
        <f t="shared" si="6"/>
        <v>No</v>
      </c>
      <c r="I245" s="56"/>
    </row>
    <row r="246" spans="1:9">
      <c r="A246" s="97" t="s">
        <v>2275</v>
      </c>
      <c r="B246" s="97" t="s">
        <v>115</v>
      </c>
      <c r="C246" s="163">
        <v>4403</v>
      </c>
      <c r="D246" s="95" t="s">
        <v>118</v>
      </c>
      <c r="E246" s="142">
        <v>0.48199999999999998</v>
      </c>
      <c r="F246" s="4" t="s">
        <v>3065</v>
      </c>
      <c r="G246" s="4" t="s">
        <v>3065</v>
      </c>
      <c r="H246" s="4" t="str">
        <f t="shared" si="6"/>
        <v>No</v>
      </c>
      <c r="I246" s="56"/>
    </row>
    <row r="247" spans="1:9">
      <c r="A247" s="97" t="s">
        <v>2275</v>
      </c>
      <c r="B247" s="97" t="s">
        <v>115</v>
      </c>
      <c r="C247" s="163">
        <v>5640</v>
      </c>
      <c r="D247" s="95" t="s">
        <v>2868</v>
      </c>
      <c r="E247" s="142">
        <v>0.55554999999999999</v>
      </c>
      <c r="F247" s="4" t="s">
        <v>2752</v>
      </c>
      <c r="G247" s="4" t="s">
        <v>2752</v>
      </c>
      <c r="H247" s="4" t="str">
        <f t="shared" si="6"/>
        <v>No</v>
      </c>
      <c r="I247" s="56"/>
    </row>
    <row r="248" spans="1:9">
      <c r="A248" s="97" t="s">
        <v>2275</v>
      </c>
      <c r="B248" s="97" t="s">
        <v>115</v>
      </c>
      <c r="C248" s="163">
        <v>2760</v>
      </c>
      <c r="D248" s="95" t="s">
        <v>116</v>
      </c>
      <c r="E248" s="142">
        <v>0.46006666666666662</v>
      </c>
      <c r="F248" s="4" t="s">
        <v>3065</v>
      </c>
      <c r="G248" s="4" t="s">
        <v>3065</v>
      </c>
      <c r="H248" s="4" t="str">
        <f t="shared" si="6"/>
        <v>No</v>
      </c>
      <c r="I248" s="56"/>
    </row>
    <row r="249" spans="1:9">
      <c r="A249" s="97" t="s">
        <v>2274</v>
      </c>
      <c r="B249" s="97" t="s">
        <v>111</v>
      </c>
      <c r="C249" s="163">
        <v>3268</v>
      </c>
      <c r="D249" s="95" t="s">
        <v>114</v>
      </c>
      <c r="E249" s="142">
        <v>0.39686666666666665</v>
      </c>
      <c r="F249" s="4" t="s">
        <v>3065</v>
      </c>
      <c r="G249" s="4" t="s">
        <v>3065</v>
      </c>
      <c r="H249" s="4" t="str">
        <f t="shared" si="6"/>
        <v>No</v>
      </c>
      <c r="I249" s="56"/>
    </row>
    <row r="250" spans="1:9">
      <c r="A250" s="97" t="s">
        <v>2274</v>
      </c>
      <c r="B250" s="97" t="s">
        <v>111</v>
      </c>
      <c r="C250" s="163">
        <v>2315</v>
      </c>
      <c r="D250" s="95" t="s">
        <v>112</v>
      </c>
      <c r="E250" s="142">
        <v>0.43093333333333333</v>
      </c>
      <c r="F250" s="4" t="s">
        <v>3065</v>
      </c>
      <c r="G250" s="4" t="s">
        <v>3065</v>
      </c>
      <c r="H250" s="4" t="str">
        <f t="shared" si="6"/>
        <v>No</v>
      </c>
      <c r="I250" s="56"/>
    </row>
    <row r="251" spans="1:9">
      <c r="A251" s="97" t="s">
        <v>2274</v>
      </c>
      <c r="B251" s="97" t="s">
        <v>111</v>
      </c>
      <c r="C251" s="163">
        <v>2787</v>
      </c>
      <c r="D251" s="95" t="s">
        <v>113</v>
      </c>
      <c r="E251" s="142">
        <v>0.4286666666666667</v>
      </c>
      <c r="F251" s="4" t="s">
        <v>3065</v>
      </c>
      <c r="G251" s="4" t="s">
        <v>3065</v>
      </c>
      <c r="H251" s="4" t="str">
        <f t="shared" si="6"/>
        <v>No</v>
      </c>
      <c r="I251" s="56"/>
    </row>
    <row r="252" spans="1:9">
      <c r="A252" s="97" t="s">
        <v>2297</v>
      </c>
      <c r="B252" s="97" t="s">
        <v>314</v>
      </c>
      <c r="C252" s="163">
        <v>2762</v>
      </c>
      <c r="D252" s="95" t="s">
        <v>316</v>
      </c>
      <c r="E252" s="142">
        <v>0.5295333333333333</v>
      </c>
      <c r="F252" s="4" t="s">
        <v>2752</v>
      </c>
      <c r="G252" s="4" t="s">
        <v>2752</v>
      </c>
      <c r="H252" s="4" t="str">
        <f t="shared" si="6"/>
        <v>No</v>
      </c>
      <c r="I252" s="56"/>
    </row>
    <row r="253" spans="1:9">
      <c r="A253" s="97" t="s">
        <v>2297</v>
      </c>
      <c r="B253" s="97" t="s">
        <v>314</v>
      </c>
      <c r="C253" s="163">
        <v>2281</v>
      </c>
      <c r="D253" s="95" t="s">
        <v>315</v>
      </c>
      <c r="E253" s="142">
        <v>0.48443333333333333</v>
      </c>
      <c r="F253" s="4" t="s">
        <v>3065</v>
      </c>
      <c r="G253" s="4" t="s">
        <v>3065</v>
      </c>
      <c r="H253" s="4" t="str">
        <f t="shared" si="6"/>
        <v>No</v>
      </c>
      <c r="I253" s="56"/>
    </row>
    <row r="254" spans="1:9">
      <c r="A254" s="97" t="s">
        <v>2297</v>
      </c>
      <c r="B254" s="97" t="s">
        <v>314</v>
      </c>
      <c r="C254" s="163">
        <v>3969</v>
      </c>
      <c r="D254" s="95" t="s">
        <v>317</v>
      </c>
      <c r="E254" s="142">
        <v>0.48093333333333338</v>
      </c>
      <c r="F254" s="4" t="s">
        <v>3065</v>
      </c>
      <c r="G254" s="4" t="s">
        <v>3065</v>
      </c>
      <c r="H254" s="4" t="str">
        <f t="shared" si="6"/>
        <v>No</v>
      </c>
      <c r="I254" s="56"/>
    </row>
    <row r="255" spans="1:9">
      <c r="A255" s="97" t="s">
        <v>2297</v>
      </c>
      <c r="B255" s="97" t="s">
        <v>314</v>
      </c>
      <c r="C255" s="163">
        <v>5666</v>
      </c>
      <c r="D255" s="95" t="s">
        <v>3004</v>
      </c>
      <c r="E255" s="142">
        <v>0.75860000000000005</v>
      </c>
      <c r="F255" s="4" t="s">
        <v>2752</v>
      </c>
      <c r="G255" s="4" t="s">
        <v>3065</v>
      </c>
      <c r="H255" s="4" t="str">
        <f t="shared" si="6"/>
        <v>No</v>
      </c>
      <c r="I255" s="56"/>
    </row>
    <row r="256" spans="1:9">
      <c r="A256" s="97" t="s">
        <v>2856</v>
      </c>
      <c r="B256" s="97" t="s">
        <v>2869</v>
      </c>
      <c r="C256" s="163">
        <v>5607</v>
      </c>
      <c r="D256" s="95" t="s">
        <v>2869</v>
      </c>
      <c r="E256" s="142">
        <v>0.43524999999999997</v>
      </c>
      <c r="F256" s="4" t="s">
        <v>3065</v>
      </c>
      <c r="G256" s="4" t="s">
        <v>3065</v>
      </c>
      <c r="H256" s="4" t="str">
        <f t="shared" si="6"/>
        <v>No</v>
      </c>
      <c r="I256" s="56"/>
    </row>
    <row r="257" spans="1:9">
      <c r="A257" s="97" t="s">
        <v>2385</v>
      </c>
      <c r="B257" s="97" t="s">
        <v>1108</v>
      </c>
      <c r="C257" s="163">
        <v>2251</v>
      </c>
      <c r="D257" s="95" t="s">
        <v>1109</v>
      </c>
      <c r="E257" s="142">
        <v>0.27786666666666665</v>
      </c>
      <c r="F257" s="4" t="s">
        <v>3065</v>
      </c>
      <c r="G257" s="4" t="s">
        <v>3065</v>
      </c>
      <c r="H257" s="4" t="str">
        <f t="shared" si="6"/>
        <v>No</v>
      </c>
      <c r="I257" s="56"/>
    </row>
    <row r="258" spans="1:9">
      <c r="A258" s="97" t="s">
        <v>2374</v>
      </c>
      <c r="B258" s="97" t="s">
        <v>1050</v>
      </c>
      <c r="C258" s="163">
        <v>5472</v>
      </c>
      <c r="D258" s="95" t="s">
        <v>2716</v>
      </c>
      <c r="E258" s="142">
        <v>0.41496666666666665</v>
      </c>
      <c r="F258" s="4" t="s">
        <v>3065</v>
      </c>
      <c r="G258" s="4" t="s">
        <v>3065</v>
      </c>
      <c r="H258" s="4" t="str">
        <f t="shared" si="6"/>
        <v>No</v>
      </c>
      <c r="I258" s="56"/>
    </row>
    <row r="259" spans="1:9">
      <c r="A259" s="97" t="s">
        <v>2374</v>
      </c>
      <c r="B259" s="97" t="s">
        <v>1050</v>
      </c>
      <c r="C259" s="163">
        <v>2994</v>
      </c>
      <c r="D259" s="95" t="s">
        <v>1052</v>
      </c>
      <c r="E259" s="142">
        <v>0.23856666666666668</v>
      </c>
      <c r="F259" s="4" t="s">
        <v>3065</v>
      </c>
      <c r="G259" s="4" t="s">
        <v>3065</v>
      </c>
      <c r="H259" s="4" t="str">
        <f t="shared" si="6"/>
        <v>No</v>
      </c>
      <c r="I259" s="56"/>
    </row>
    <row r="260" spans="1:9">
      <c r="A260" s="97" t="s">
        <v>2374</v>
      </c>
      <c r="B260" s="97" t="s">
        <v>1050</v>
      </c>
      <c r="C260" s="163">
        <v>2615</v>
      </c>
      <c r="D260" s="95" t="s">
        <v>1051</v>
      </c>
      <c r="E260" s="142">
        <v>0.25186666666666668</v>
      </c>
      <c r="F260" s="4" t="s">
        <v>3065</v>
      </c>
      <c r="G260" s="4" t="s">
        <v>3065</v>
      </c>
      <c r="H260" s="4" t="str">
        <f t="shared" ref="H260:H323" si="7">IFERROR(IF(AND(G260="Yes",F260="No"),"Yes","No"),"No")</f>
        <v>No</v>
      </c>
      <c r="I260" s="56"/>
    </row>
    <row r="261" spans="1:9">
      <c r="A261" s="97" t="s">
        <v>2374</v>
      </c>
      <c r="B261" s="97" t="s">
        <v>1050</v>
      </c>
      <c r="C261" s="163">
        <v>3237</v>
      </c>
      <c r="D261" s="95" t="s">
        <v>1053</v>
      </c>
      <c r="E261" s="142">
        <v>0.31240000000000001</v>
      </c>
      <c r="F261" s="4" t="s">
        <v>3065</v>
      </c>
      <c r="G261" s="4" t="s">
        <v>3065</v>
      </c>
      <c r="H261" s="4" t="str">
        <f t="shared" si="7"/>
        <v>No</v>
      </c>
      <c r="I261" s="56"/>
    </row>
    <row r="262" spans="1:9">
      <c r="A262" s="97" t="s">
        <v>2374</v>
      </c>
      <c r="B262" s="97" t="s">
        <v>1050</v>
      </c>
      <c r="C262" s="163">
        <v>4016</v>
      </c>
      <c r="D262" s="95" t="s">
        <v>1057</v>
      </c>
      <c r="E262" s="142">
        <v>0.49199999999999999</v>
      </c>
      <c r="F262" s="4" t="s">
        <v>3065</v>
      </c>
      <c r="G262" s="4" t="s">
        <v>3065</v>
      </c>
      <c r="H262" s="4" t="str">
        <f t="shared" si="7"/>
        <v>No</v>
      </c>
      <c r="I262" s="56"/>
    </row>
    <row r="263" spans="1:9">
      <c r="A263" s="97" t="s">
        <v>2374</v>
      </c>
      <c r="B263" s="97" t="s">
        <v>1050</v>
      </c>
      <c r="C263" s="163">
        <v>4014</v>
      </c>
      <c r="D263" s="95" t="s">
        <v>1055</v>
      </c>
      <c r="E263" s="142">
        <v>0.34889999999999999</v>
      </c>
      <c r="F263" s="4" t="s">
        <v>3065</v>
      </c>
      <c r="G263" s="4" t="s">
        <v>3065</v>
      </c>
      <c r="H263" s="4" t="str">
        <f t="shared" si="7"/>
        <v>No</v>
      </c>
      <c r="I263" s="56"/>
    </row>
    <row r="264" spans="1:9">
      <c r="A264" s="97" t="s">
        <v>2374</v>
      </c>
      <c r="B264" s="97" t="s">
        <v>1050</v>
      </c>
      <c r="C264" s="163">
        <v>4341</v>
      </c>
      <c r="D264" s="95" t="s">
        <v>1062</v>
      </c>
      <c r="E264" s="142">
        <v>0.26703333333333329</v>
      </c>
      <c r="F264" s="4" t="s">
        <v>3065</v>
      </c>
      <c r="G264" s="4" t="s">
        <v>3065</v>
      </c>
      <c r="H264" s="4" t="str">
        <f t="shared" si="7"/>
        <v>No</v>
      </c>
      <c r="I264" s="56"/>
    </row>
    <row r="265" spans="1:9">
      <c r="A265" s="97" t="s">
        <v>2374</v>
      </c>
      <c r="B265" s="97" t="s">
        <v>1050</v>
      </c>
      <c r="C265" s="163">
        <v>4444</v>
      </c>
      <c r="D265" s="95" t="s">
        <v>1065</v>
      </c>
      <c r="E265" s="142">
        <v>0.22429999999999997</v>
      </c>
      <c r="F265" s="4" t="s">
        <v>3065</v>
      </c>
      <c r="G265" s="4" t="s">
        <v>3065</v>
      </c>
      <c r="H265" s="4" t="str">
        <f t="shared" si="7"/>
        <v>No</v>
      </c>
      <c r="I265" s="56"/>
    </row>
    <row r="266" spans="1:9">
      <c r="A266" s="97" t="s">
        <v>2374</v>
      </c>
      <c r="B266" s="97" t="s">
        <v>1050</v>
      </c>
      <c r="C266" s="163">
        <v>4015</v>
      </c>
      <c r="D266" s="95" t="s">
        <v>1056</v>
      </c>
      <c r="E266" s="142">
        <v>0.48606666666666665</v>
      </c>
      <c r="F266" s="4" t="s">
        <v>3065</v>
      </c>
      <c r="G266" s="4" t="s">
        <v>3065</v>
      </c>
      <c r="H266" s="4" t="str">
        <f t="shared" si="7"/>
        <v>No</v>
      </c>
      <c r="I266" s="56"/>
    </row>
    <row r="267" spans="1:9">
      <c r="A267" s="97" t="s">
        <v>2374</v>
      </c>
      <c r="B267" s="97" t="s">
        <v>1050</v>
      </c>
      <c r="C267" s="163">
        <v>3791</v>
      </c>
      <c r="D267" s="95" t="s">
        <v>1054</v>
      </c>
      <c r="E267" s="142">
        <v>0.50629999999999997</v>
      </c>
      <c r="F267" s="4" t="s">
        <v>2752</v>
      </c>
      <c r="G267" s="4" t="s">
        <v>2752</v>
      </c>
      <c r="H267" s="4" t="str">
        <f t="shared" si="7"/>
        <v>No</v>
      </c>
      <c r="I267" s="56"/>
    </row>
    <row r="268" spans="1:9">
      <c r="A268" s="97" t="s">
        <v>2374</v>
      </c>
      <c r="B268" s="97" t="s">
        <v>1050</v>
      </c>
      <c r="C268" s="163">
        <v>4393</v>
      </c>
      <c r="D268" s="95" t="s">
        <v>1064</v>
      </c>
      <c r="E268" s="142">
        <v>0.35626666666666668</v>
      </c>
      <c r="F268" s="4" t="s">
        <v>3065</v>
      </c>
      <c r="G268" s="4" t="s">
        <v>3065</v>
      </c>
      <c r="H268" s="4" t="str">
        <f t="shared" si="7"/>
        <v>No</v>
      </c>
      <c r="I268" s="56"/>
    </row>
    <row r="269" spans="1:9">
      <c r="A269" s="97" t="s">
        <v>2374</v>
      </c>
      <c r="B269" s="97" t="s">
        <v>1050</v>
      </c>
      <c r="C269" s="163">
        <v>3594</v>
      </c>
      <c r="D269" s="95" t="s">
        <v>2870</v>
      </c>
      <c r="E269" s="142">
        <v>0.37026666666666669</v>
      </c>
      <c r="F269" s="4" t="s">
        <v>3065</v>
      </c>
      <c r="G269" s="4" t="s">
        <v>3065</v>
      </c>
      <c r="H269" s="4" t="str">
        <f t="shared" si="7"/>
        <v>No</v>
      </c>
      <c r="I269" s="56"/>
    </row>
    <row r="270" spans="1:9">
      <c r="A270" s="97" t="s">
        <v>2374</v>
      </c>
      <c r="B270" s="97" t="s">
        <v>1050</v>
      </c>
      <c r="C270" s="163">
        <v>4509</v>
      </c>
      <c r="D270" s="95" t="s">
        <v>1066</v>
      </c>
      <c r="E270" s="142">
        <v>0.27553333333333335</v>
      </c>
      <c r="F270" s="4" t="s">
        <v>3065</v>
      </c>
      <c r="G270" s="4" t="s">
        <v>3065</v>
      </c>
      <c r="H270" s="4" t="str">
        <f t="shared" si="7"/>
        <v>No</v>
      </c>
      <c r="I270" s="56"/>
    </row>
    <row r="271" spans="1:9">
      <c r="A271" s="97" t="s">
        <v>2374</v>
      </c>
      <c r="B271" s="97" t="s">
        <v>1050</v>
      </c>
      <c r="C271" s="163">
        <v>4100</v>
      </c>
      <c r="D271" s="95" t="s">
        <v>1058</v>
      </c>
      <c r="E271" s="142">
        <v>0.4083666666666666</v>
      </c>
      <c r="F271" s="4" t="s">
        <v>3065</v>
      </c>
      <c r="G271" s="4" t="s">
        <v>3065</v>
      </c>
      <c r="H271" s="4" t="str">
        <f t="shared" si="7"/>
        <v>No</v>
      </c>
      <c r="I271" s="56"/>
    </row>
    <row r="272" spans="1:9">
      <c r="A272" s="97" t="s">
        <v>2374</v>
      </c>
      <c r="B272" s="97" t="s">
        <v>1050</v>
      </c>
      <c r="C272" s="163">
        <v>4527</v>
      </c>
      <c r="D272" s="95" t="s">
        <v>1067</v>
      </c>
      <c r="E272" s="142">
        <v>0.4761333333333333</v>
      </c>
      <c r="F272" s="4" t="s">
        <v>3065</v>
      </c>
      <c r="G272" s="4" t="s">
        <v>3065</v>
      </c>
      <c r="H272" s="4" t="str">
        <f t="shared" si="7"/>
        <v>No</v>
      </c>
      <c r="I272" s="56"/>
    </row>
    <row r="273" spans="1:9">
      <c r="A273" s="97" t="s">
        <v>2374</v>
      </c>
      <c r="B273" s="97" t="s">
        <v>1050</v>
      </c>
      <c r="C273" s="163">
        <v>4249</v>
      </c>
      <c r="D273" s="95" t="s">
        <v>1061</v>
      </c>
      <c r="E273" s="142">
        <v>0.36316666666666664</v>
      </c>
      <c r="F273" s="4" t="s">
        <v>3065</v>
      </c>
      <c r="G273" s="4" t="s">
        <v>3065</v>
      </c>
      <c r="H273" s="4" t="str">
        <f t="shared" si="7"/>
        <v>No</v>
      </c>
      <c r="I273" s="56"/>
    </row>
    <row r="274" spans="1:9">
      <c r="A274" s="97" t="s">
        <v>2374</v>
      </c>
      <c r="B274" s="97" t="s">
        <v>1050</v>
      </c>
      <c r="C274" s="163">
        <v>4372</v>
      </c>
      <c r="D274" s="95" t="s">
        <v>1063</v>
      </c>
      <c r="E274" s="142">
        <v>0.3095</v>
      </c>
      <c r="F274" s="4" t="s">
        <v>3065</v>
      </c>
      <c r="G274" s="4" t="s">
        <v>3065</v>
      </c>
      <c r="H274" s="4" t="str">
        <f t="shared" si="7"/>
        <v>No</v>
      </c>
      <c r="I274" s="56"/>
    </row>
    <row r="275" spans="1:9">
      <c r="A275" s="97" t="s">
        <v>2374</v>
      </c>
      <c r="B275" s="97" t="s">
        <v>1050</v>
      </c>
      <c r="C275" s="163">
        <v>4101</v>
      </c>
      <c r="D275" s="95" t="s">
        <v>1059</v>
      </c>
      <c r="E275" s="142">
        <v>0.30623333333333336</v>
      </c>
      <c r="F275" s="4" t="s">
        <v>3065</v>
      </c>
      <c r="G275" s="4" t="s">
        <v>3065</v>
      </c>
      <c r="H275" s="4" t="str">
        <f t="shared" si="7"/>
        <v>No</v>
      </c>
      <c r="I275" s="56"/>
    </row>
    <row r="276" spans="1:9">
      <c r="A276" s="97" t="s">
        <v>2374</v>
      </c>
      <c r="B276" s="97" t="s">
        <v>1050</v>
      </c>
      <c r="C276" s="163">
        <v>4135</v>
      </c>
      <c r="D276" s="95" t="s">
        <v>1060</v>
      </c>
      <c r="E276" s="142">
        <v>0.51003333333333334</v>
      </c>
      <c r="F276" s="4" t="s">
        <v>2752</v>
      </c>
      <c r="G276" s="4" t="s">
        <v>2752</v>
      </c>
      <c r="H276" s="4" t="str">
        <f t="shared" si="7"/>
        <v>No</v>
      </c>
      <c r="I276" s="56"/>
    </row>
    <row r="277" spans="1:9">
      <c r="A277" s="97" t="s">
        <v>2492</v>
      </c>
      <c r="B277" s="97" t="s">
        <v>1849</v>
      </c>
      <c r="C277" s="163">
        <v>3259</v>
      </c>
      <c r="D277" s="95" t="s">
        <v>1788</v>
      </c>
      <c r="E277" s="142">
        <v>0.50223333333333331</v>
      </c>
      <c r="F277" s="4" t="s">
        <v>2752</v>
      </c>
      <c r="G277" s="4" t="s">
        <v>3065</v>
      </c>
      <c r="H277" s="4" t="str">
        <f t="shared" si="7"/>
        <v>No</v>
      </c>
      <c r="I277" s="56"/>
    </row>
    <row r="278" spans="1:9">
      <c r="A278" s="97" t="s">
        <v>2492</v>
      </c>
      <c r="B278" s="97" t="s">
        <v>1849</v>
      </c>
      <c r="C278" s="163">
        <v>3260</v>
      </c>
      <c r="D278" s="95" t="s">
        <v>1859</v>
      </c>
      <c r="E278" s="142">
        <v>0.53036666666666665</v>
      </c>
      <c r="F278" s="4" t="s">
        <v>2752</v>
      </c>
      <c r="G278" s="4" t="s">
        <v>2752</v>
      </c>
      <c r="H278" s="4" t="str">
        <f t="shared" si="7"/>
        <v>No</v>
      </c>
      <c r="I278" s="56"/>
    </row>
    <row r="279" spans="1:9">
      <c r="A279" s="97" t="s">
        <v>2492</v>
      </c>
      <c r="B279" s="97" t="s">
        <v>1849</v>
      </c>
      <c r="C279" s="163">
        <v>2892</v>
      </c>
      <c r="D279" s="95" t="s">
        <v>1854</v>
      </c>
      <c r="E279" s="142">
        <v>0.64516666666666667</v>
      </c>
      <c r="F279" s="4" t="s">
        <v>2752</v>
      </c>
      <c r="G279" s="4" t="s">
        <v>2752</v>
      </c>
      <c r="H279" s="4" t="str">
        <f t="shared" si="7"/>
        <v>No</v>
      </c>
      <c r="I279" s="56"/>
    </row>
    <row r="280" spans="1:9">
      <c r="A280" s="97" t="s">
        <v>2492</v>
      </c>
      <c r="B280" s="97" t="s">
        <v>1849</v>
      </c>
      <c r="C280" s="163">
        <v>3065</v>
      </c>
      <c r="D280" s="95" t="s">
        <v>1857</v>
      </c>
      <c r="E280" s="142">
        <v>0.26196666666666668</v>
      </c>
      <c r="F280" s="4" t="s">
        <v>3065</v>
      </c>
      <c r="G280" s="4" t="s">
        <v>3065</v>
      </c>
      <c r="H280" s="4" t="str">
        <f t="shared" si="7"/>
        <v>No</v>
      </c>
      <c r="I280" s="56"/>
    </row>
    <row r="281" spans="1:9">
      <c r="A281" s="97" t="s">
        <v>2492</v>
      </c>
      <c r="B281" s="97" t="s">
        <v>1849</v>
      </c>
      <c r="C281" s="163">
        <v>5667</v>
      </c>
      <c r="D281" s="95" t="s">
        <v>3005</v>
      </c>
      <c r="E281" s="142">
        <v>0.51249999999999996</v>
      </c>
      <c r="F281" s="4" t="s">
        <v>2752</v>
      </c>
      <c r="G281" s="4" t="s">
        <v>3065</v>
      </c>
      <c r="H281" s="4" t="str">
        <f t="shared" si="7"/>
        <v>No</v>
      </c>
      <c r="I281" s="56"/>
    </row>
    <row r="282" spans="1:9">
      <c r="A282" s="97" t="s">
        <v>2492</v>
      </c>
      <c r="B282" s="97" t="s">
        <v>1849</v>
      </c>
      <c r="C282" s="163">
        <v>3929</v>
      </c>
      <c r="D282" s="95" t="s">
        <v>1865</v>
      </c>
      <c r="E282" s="142">
        <v>0.22670000000000001</v>
      </c>
      <c r="F282" s="4" t="s">
        <v>3065</v>
      </c>
      <c r="G282" s="4" t="s">
        <v>3065</v>
      </c>
      <c r="H282" s="4" t="str">
        <f t="shared" si="7"/>
        <v>No</v>
      </c>
      <c r="I282" s="56"/>
    </row>
    <row r="283" spans="1:9">
      <c r="A283" s="97" t="s">
        <v>2492</v>
      </c>
      <c r="B283" s="97" t="s">
        <v>1849</v>
      </c>
      <c r="C283" s="163">
        <v>5328</v>
      </c>
      <c r="D283" s="95" t="s">
        <v>1870</v>
      </c>
      <c r="E283" s="142">
        <v>0.36909999999999998</v>
      </c>
      <c r="F283" s="4" t="s">
        <v>3065</v>
      </c>
      <c r="G283" s="4" t="s">
        <v>3065</v>
      </c>
      <c r="H283" s="4" t="str">
        <f t="shared" si="7"/>
        <v>No</v>
      </c>
      <c r="I283" s="56"/>
    </row>
    <row r="284" spans="1:9">
      <c r="A284" s="97" t="s">
        <v>2492</v>
      </c>
      <c r="B284" s="97" t="s">
        <v>1849</v>
      </c>
      <c r="C284" s="163">
        <v>3890</v>
      </c>
      <c r="D284" s="95" t="s">
        <v>925</v>
      </c>
      <c r="E284" s="142">
        <v>0.30236666666666667</v>
      </c>
      <c r="F284" s="4" t="s">
        <v>3065</v>
      </c>
      <c r="G284" s="4" t="s">
        <v>3065</v>
      </c>
      <c r="H284" s="4" t="str">
        <f t="shared" si="7"/>
        <v>No</v>
      </c>
      <c r="I284" s="56"/>
    </row>
    <row r="285" spans="1:9">
      <c r="A285" s="97" t="s">
        <v>2492</v>
      </c>
      <c r="B285" s="97" t="s">
        <v>1849</v>
      </c>
      <c r="C285" s="163">
        <v>2157</v>
      </c>
      <c r="D285" s="95" t="s">
        <v>1852</v>
      </c>
      <c r="E285" s="142">
        <v>0.44596666666666662</v>
      </c>
      <c r="F285" s="4" t="s">
        <v>3065</v>
      </c>
      <c r="G285" s="4" t="s">
        <v>3065</v>
      </c>
      <c r="H285" s="4" t="str">
        <f t="shared" si="7"/>
        <v>No</v>
      </c>
      <c r="I285" s="56"/>
    </row>
    <row r="286" spans="1:9">
      <c r="A286" s="97" t="s">
        <v>2492</v>
      </c>
      <c r="B286" s="97" t="s">
        <v>1849</v>
      </c>
      <c r="C286" s="163">
        <v>3573</v>
      </c>
      <c r="D286" s="95" t="s">
        <v>1863</v>
      </c>
      <c r="E286" s="142">
        <v>0.30306666666666665</v>
      </c>
      <c r="F286" s="4" t="s">
        <v>3065</v>
      </c>
      <c r="G286" s="4" t="s">
        <v>3065</v>
      </c>
      <c r="H286" s="4" t="str">
        <f t="shared" si="7"/>
        <v>No</v>
      </c>
      <c r="I286" s="56"/>
    </row>
    <row r="287" spans="1:9">
      <c r="A287" s="97" t="s">
        <v>2492</v>
      </c>
      <c r="B287" s="97" t="s">
        <v>1849</v>
      </c>
      <c r="C287" s="163">
        <v>4185</v>
      </c>
      <c r="D287" s="95" t="s">
        <v>1867</v>
      </c>
      <c r="E287" s="142">
        <v>0.21290000000000001</v>
      </c>
      <c r="F287" s="4" t="s">
        <v>3065</v>
      </c>
      <c r="G287" s="4" t="s">
        <v>3065</v>
      </c>
      <c r="H287" s="4" t="str">
        <f t="shared" si="7"/>
        <v>No</v>
      </c>
      <c r="I287" s="56"/>
    </row>
    <row r="288" spans="1:9">
      <c r="A288" s="97" t="s">
        <v>2492</v>
      </c>
      <c r="B288" s="97" t="s">
        <v>1849</v>
      </c>
      <c r="C288" s="163">
        <v>5507</v>
      </c>
      <c r="D288" s="95" t="s">
        <v>2717</v>
      </c>
      <c r="E288" s="142">
        <v>0.17373333333333332</v>
      </c>
      <c r="F288" s="4" t="s">
        <v>3065</v>
      </c>
      <c r="G288" s="4" t="s">
        <v>3065</v>
      </c>
      <c r="H288" s="4" t="str">
        <f t="shared" si="7"/>
        <v>No</v>
      </c>
      <c r="I288" s="56"/>
    </row>
    <row r="289" spans="1:9">
      <c r="A289" s="97" t="s">
        <v>2492</v>
      </c>
      <c r="B289" s="97" t="s">
        <v>1849</v>
      </c>
      <c r="C289" s="163">
        <v>4529</v>
      </c>
      <c r="D289" s="95" t="s">
        <v>1868</v>
      </c>
      <c r="E289" s="142">
        <v>0.19576666666666667</v>
      </c>
      <c r="F289" s="4" t="s">
        <v>3065</v>
      </c>
      <c r="G289" s="4" t="s">
        <v>3065</v>
      </c>
      <c r="H289" s="4" t="str">
        <f t="shared" si="7"/>
        <v>No</v>
      </c>
      <c r="I289" s="56"/>
    </row>
    <row r="290" spans="1:9">
      <c r="A290" s="97" t="s">
        <v>2492</v>
      </c>
      <c r="B290" s="97" t="s">
        <v>1849</v>
      </c>
      <c r="C290" s="163">
        <v>3127</v>
      </c>
      <c r="D290" s="95" t="s">
        <v>1858</v>
      </c>
      <c r="E290" s="142">
        <v>0.5036666666666666</v>
      </c>
      <c r="F290" s="4" t="s">
        <v>2752</v>
      </c>
      <c r="G290" s="4" t="s">
        <v>2752</v>
      </c>
      <c r="H290" s="4" t="str">
        <f t="shared" si="7"/>
        <v>No</v>
      </c>
      <c r="I290" s="56"/>
    </row>
    <row r="291" spans="1:9">
      <c r="A291" s="97" t="s">
        <v>2492</v>
      </c>
      <c r="B291" s="97" t="s">
        <v>1849</v>
      </c>
      <c r="C291" s="163">
        <v>3918</v>
      </c>
      <c r="D291" s="95" t="s">
        <v>1864</v>
      </c>
      <c r="E291" s="142">
        <v>0.51953333333333329</v>
      </c>
      <c r="F291" s="4" t="s">
        <v>2752</v>
      </c>
      <c r="G291" s="4" t="s">
        <v>2752</v>
      </c>
      <c r="H291" s="4" t="str">
        <f t="shared" si="7"/>
        <v>No</v>
      </c>
      <c r="I291" s="56"/>
    </row>
    <row r="292" spans="1:9">
      <c r="A292" s="97" t="s">
        <v>2492</v>
      </c>
      <c r="B292" s="97" t="s">
        <v>1849</v>
      </c>
      <c r="C292" s="163">
        <v>2776</v>
      </c>
      <c r="D292" s="95" t="s">
        <v>1853</v>
      </c>
      <c r="E292" s="142">
        <v>0.63496666666666668</v>
      </c>
      <c r="F292" s="4" t="s">
        <v>2752</v>
      </c>
      <c r="G292" s="4" t="s">
        <v>2752</v>
      </c>
      <c r="H292" s="4" t="str">
        <f t="shared" si="7"/>
        <v>No</v>
      </c>
      <c r="I292" s="56"/>
    </row>
    <row r="293" spans="1:9">
      <c r="A293" s="97" t="s">
        <v>2492</v>
      </c>
      <c r="B293" s="97" t="s">
        <v>1849</v>
      </c>
      <c r="C293" s="163">
        <v>2113</v>
      </c>
      <c r="D293" s="95" t="s">
        <v>1851</v>
      </c>
      <c r="E293" s="142">
        <v>0.61403333333333343</v>
      </c>
      <c r="F293" s="4" t="s">
        <v>2752</v>
      </c>
      <c r="G293" s="4" t="s">
        <v>2752</v>
      </c>
      <c r="H293" s="4" t="str">
        <f t="shared" si="7"/>
        <v>No</v>
      </c>
      <c r="I293" s="56"/>
    </row>
    <row r="294" spans="1:9">
      <c r="A294" s="97" t="s">
        <v>2492</v>
      </c>
      <c r="B294" s="97" t="s">
        <v>1849</v>
      </c>
      <c r="C294" s="163">
        <v>4098</v>
      </c>
      <c r="D294" s="95" t="s">
        <v>1866</v>
      </c>
      <c r="E294" s="142">
        <v>0.2898</v>
      </c>
      <c r="F294" s="4" t="s">
        <v>3065</v>
      </c>
      <c r="G294" s="4" t="s">
        <v>3065</v>
      </c>
      <c r="H294" s="4" t="str">
        <f t="shared" si="7"/>
        <v>No</v>
      </c>
      <c r="I294" s="56"/>
    </row>
    <row r="295" spans="1:9">
      <c r="A295" s="97" t="s">
        <v>2492</v>
      </c>
      <c r="B295" s="97" t="s">
        <v>1849</v>
      </c>
      <c r="C295" s="163">
        <v>2953</v>
      </c>
      <c r="D295" s="95" t="s">
        <v>1855</v>
      </c>
      <c r="E295" s="142">
        <v>0.57883333333333342</v>
      </c>
      <c r="F295" s="4" t="s">
        <v>2752</v>
      </c>
      <c r="G295" s="4" t="s">
        <v>2752</v>
      </c>
      <c r="H295" s="4" t="str">
        <f t="shared" si="7"/>
        <v>No</v>
      </c>
      <c r="I295" s="56"/>
    </row>
    <row r="296" spans="1:9">
      <c r="A296" s="97" t="s">
        <v>2492</v>
      </c>
      <c r="B296" s="97" t="s">
        <v>1849</v>
      </c>
      <c r="C296" s="163">
        <v>5660</v>
      </c>
      <c r="D296" s="95" t="s">
        <v>3006</v>
      </c>
      <c r="E296" s="142">
        <v>0.24529999999999999</v>
      </c>
      <c r="F296" s="4" t="s">
        <v>3065</v>
      </c>
      <c r="G296" s="4" t="s">
        <v>3065</v>
      </c>
      <c r="H296" s="4" t="str">
        <f t="shared" si="7"/>
        <v>No</v>
      </c>
      <c r="I296" s="56"/>
    </row>
    <row r="297" spans="1:9">
      <c r="A297" s="97" t="s">
        <v>2492</v>
      </c>
      <c r="B297" s="97" t="s">
        <v>1849</v>
      </c>
      <c r="C297" s="163">
        <v>5541</v>
      </c>
      <c r="D297" s="95" t="s">
        <v>2871</v>
      </c>
      <c r="E297" s="142">
        <v>0.2961333333333333</v>
      </c>
      <c r="F297" s="4" t="s">
        <v>3065</v>
      </c>
      <c r="G297" s="4" t="s">
        <v>3065</v>
      </c>
      <c r="H297" s="4" t="str">
        <f t="shared" si="7"/>
        <v>No</v>
      </c>
      <c r="I297" s="56"/>
    </row>
    <row r="298" spans="1:9">
      <c r="A298" s="97" t="s">
        <v>2492</v>
      </c>
      <c r="B298" s="97" t="s">
        <v>1849</v>
      </c>
      <c r="C298" s="163">
        <v>5003</v>
      </c>
      <c r="D298" s="95" t="s">
        <v>1869</v>
      </c>
      <c r="E298" s="142">
        <v>0.4568666666666667</v>
      </c>
      <c r="F298" s="4" t="s">
        <v>3065</v>
      </c>
      <c r="G298" s="4" t="s">
        <v>2752</v>
      </c>
      <c r="H298" s="4" t="str">
        <f t="shared" si="7"/>
        <v>Yes</v>
      </c>
      <c r="I298" s="56"/>
    </row>
    <row r="299" spans="1:9">
      <c r="A299" s="97" t="s">
        <v>2492</v>
      </c>
      <c r="B299" s="97" t="s">
        <v>1849</v>
      </c>
      <c r="C299" s="163">
        <v>5552</v>
      </c>
      <c r="D299" s="95" t="s">
        <v>1290</v>
      </c>
      <c r="E299" s="142">
        <v>0.23643333333333336</v>
      </c>
      <c r="F299" s="4" t="s">
        <v>3065</v>
      </c>
      <c r="G299" s="4" t="s">
        <v>3065</v>
      </c>
      <c r="H299" s="4" t="str">
        <f t="shared" si="7"/>
        <v>No</v>
      </c>
      <c r="I299" s="56"/>
    </row>
    <row r="300" spans="1:9">
      <c r="A300" s="97" t="s">
        <v>2492</v>
      </c>
      <c r="B300" s="97" t="s">
        <v>1849</v>
      </c>
      <c r="C300" s="163">
        <v>3307</v>
      </c>
      <c r="D300" s="95" t="s">
        <v>1860</v>
      </c>
      <c r="E300" s="142">
        <v>0.46293333333333336</v>
      </c>
      <c r="F300" s="4" t="s">
        <v>3065</v>
      </c>
      <c r="G300" s="4" t="s">
        <v>2752</v>
      </c>
      <c r="H300" s="4" t="str">
        <f t="shared" si="7"/>
        <v>Yes</v>
      </c>
      <c r="I300" s="56"/>
    </row>
    <row r="301" spans="1:9">
      <c r="A301" s="97" t="s">
        <v>2492</v>
      </c>
      <c r="B301" s="97" t="s">
        <v>1849</v>
      </c>
      <c r="C301" s="163">
        <v>1964</v>
      </c>
      <c r="D301" s="95" t="s">
        <v>1850</v>
      </c>
      <c r="E301" s="142">
        <v>0.20953333333333335</v>
      </c>
      <c r="F301" s="4" t="s">
        <v>3065</v>
      </c>
      <c r="G301" s="4" t="s">
        <v>3065</v>
      </c>
      <c r="H301" s="4" t="str">
        <f t="shared" si="7"/>
        <v>No</v>
      </c>
      <c r="I301" s="56"/>
    </row>
    <row r="302" spans="1:9">
      <c r="A302" s="97" t="s">
        <v>2492</v>
      </c>
      <c r="B302" s="97" t="s">
        <v>1849</v>
      </c>
      <c r="C302" s="163">
        <v>5278</v>
      </c>
      <c r="D302" s="95" t="s">
        <v>2718</v>
      </c>
      <c r="E302" s="142">
        <v>6.8000000000000005E-2</v>
      </c>
      <c r="F302" s="4" t="s">
        <v>3065</v>
      </c>
      <c r="G302" s="4" t="s">
        <v>3065</v>
      </c>
      <c r="H302" s="4" t="str">
        <f t="shared" si="7"/>
        <v>No</v>
      </c>
      <c r="I302" s="56"/>
    </row>
    <row r="303" spans="1:9">
      <c r="A303" s="97" t="s">
        <v>2492</v>
      </c>
      <c r="B303" s="97" t="s">
        <v>1849</v>
      </c>
      <c r="C303" s="163">
        <v>5542</v>
      </c>
      <c r="D303" s="95" t="s">
        <v>2819</v>
      </c>
      <c r="E303" s="142">
        <v>0.20280000000000001</v>
      </c>
      <c r="F303" s="4" t="s">
        <v>3065</v>
      </c>
      <c r="G303" s="4" t="s">
        <v>3065</v>
      </c>
      <c r="H303" s="4" t="str">
        <f t="shared" si="7"/>
        <v>No</v>
      </c>
      <c r="I303" s="56"/>
    </row>
    <row r="304" spans="1:9">
      <c r="A304" s="97" t="s">
        <v>2492</v>
      </c>
      <c r="B304" s="97" t="s">
        <v>1849</v>
      </c>
      <c r="C304" s="163">
        <v>3465</v>
      </c>
      <c r="D304" s="95" t="s">
        <v>1862</v>
      </c>
      <c r="E304" s="142">
        <v>0.23716666666666666</v>
      </c>
      <c r="F304" s="4" t="s">
        <v>3065</v>
      </c>
      <c r="G304" s="4" t="s">
        <v>3065</v>
      </c>
      <c r="H304" s="4" t="str">
        <f t="shared" si="7"/>
        <v>No</v>
      </c>
      <c r="I304" s="56"/>
    </row>
    <row r="305" spans="1:9">
      <c r="A305" s="97" t="s">
        <v>2492</v>
      </c>
      <c r="B305" s="97" t="s">
        <v>1849</v>
      </c>
      <c r="C305" s="163">
        <v>4160</v>
      </c>
      <c r="D305" s="95" t="s">
        <v>693</v>
      </c>
      <c r="E305" s="142">
        <v>0.14646666666666666</v>
      </c>
      <c r="F305" s="4" t="s">
        <v>3065</v>
      </c>
      <c r="G305" s="4" t="s">
        <v>3065</v>
      </c>
      <c r="H305" s="4" t="str">
        <f t="shared" si="7"/>
        <v>No</v>
      </c>
      <c r="I305" s="56"/>
    </row>
    <row r="306" spans="1:9">
      <c r="A306" s="97" t="s">
        <v>2492</v>
      </c>
      <c r="B306" s="97" t="s">
        <v>1849</v>
      </c>
      <c r="C306" s="163">
        <v>3064</v>
      </c>
      <c r="D306" s="95" t="s">
        <v>1856</v>
      </c>
      <c r="E306" s="142">
        <v>0.4753</v>
      </c>
      <c r="F306" s="4" t="s">
        <v>3065</v>
      </c>
      <c r="G306" s="4" t="s">
        <v>3065</v>
      </c>
      <c r="H306" s="4" t="str">
        <f t="shared" si="7"/>
        <v>No</v>
      </c>
      <c r="I306" s="56"/>
    </row>
    <row r="307" spans="1:9">
      <c r="A307" s="97" t="s">
        <v>2492</v>
      </c>
      <c r="B307" s="97" t="s">
        <v>1849</v>
      </c>
      <c r="C307" s="163">
        <v>3415</v>
      </c>
      <c r="D307" s="95" t="s">
        <v>1861</v>
      </c>
      <c r="E307" s="142">
        <v>0.35576666666666673</v>
      </c>
      <c r="F307" s="4" t="s">
        <v>3065</v>
      </c>
      <c r="G307" s="4" t="s">
        <v>3065</v>
      </c>
      <c r="H307" s="4" t="str">
        <f t="shared" si="7"/>
        <v>No</v>
      </c>
      <c r="I307" s="56"/>
    </row>
    <row r="308" spans="1:9">
      <c r="A308" s="97" t="s">
        <v>2405</v>
      </c>
      <c r="B308" s="97" t="s">
        <v>1173</v>
      </c>
      <c r="C308" s="163">
        <v>2166</v>
      </c>
      <c r="D308" s="95" t="s">
        <v>1174</v>
      </c>
      <c r="E308" s="142">
        <v>0.71523333333333339</v>
      </c>
      <c r="F308" s="4" t="s">
        <v>2752</v>
      </c>
      <c r="G308" s="4" t="s">
        <v>2752</v>
      </c>
      <c r="H308" s="4" t="str">
        <f t="shared" si="7"/>
        <v>No</v>
      </c>
      <c r="I308" s="56"/>
    </row>
    <row r="309" spans="1:9">
      <c r="A309" s="97" t="s">
        <v>2405</v>
      </c>
      <c r="B309" s="97" t="s">
        <v>1173</v>
      </c>
      <c r="C309" s="163">
        <v>3240</v>
      </c>
      <c r="D309" s="95" t="s">
        <v>1179</v>
      </c>
      <c r="E309" s="142">
        <v>0.78893333333333349</v>
      </c>
      <c r="F309" s="4" t="s">
        <v>2752</v>
      </c>
      <c r="G309" s="4" t="s">
        <v>2752</v>
      </c>
      <c r="H309" s="4" t="str">
        <f t="shared" si="7"/>
        <v>No</v>
      </c>
      <c r="I309" s="56"/>
    </row>
    <row r="310" spans="1:9">
      <c r="A310" s="97" t="s">
        <v>2405</v>
      </c>
      <c r="B310" s="97" t="s">
        <v>1173</v>
      </c>
      <c r="C310" s="163">
        <v>2244</v>
      </c>
      <c r="D310" s="95" t="s">
        <v>1175</v>
      </c>
      <c r="E310" s="142">
        <v>0.73333333333333339</v>
      </c>
      <c r="F310" s="4" t="s">
        <v>2752</v>
      </c>
      <c r="G310" s="4" t="s">
        <v>2752</v>
      </c>
      <c r="H310" s="4" t="str">
        <f t="shared" si="7"/>
        <v>No</v>
      </c>
      <c r="I310" s="56"/>
    </row>
    <row r="311" spans="1:9">
      <c r="A311" s="97" t="s">
        <v>2405</v>
      </c>
      <c r="B311" s="97" t="s">
        <v>1173</v>
      </c>
      <c r="C311" s="163">
        <v>2704</v>
      </c>
      <c r="D311" s="95" t="s">
        <v>1177</v>
      </c>
      <c r="E311" s="142">
        <v>0.74126666666666663</v>
      </c>
      <c r="F311" s="4" t="s">
        <v>2752</v>
      </c>
      <c r="G311" s="4" t="s">
        <v>2752</v>
      </c>
      <c r="H311" s="4" t="str">
        <f t="shared" si="7"/>
        <v>No</v>
      </c>
      <c r="I311" s="56"/>
    </row>
    <row r="312" spans="1:9">
      <c r="A312" s="97" t="s">
        <v>2405</v>
      </c>
      <c r="B312" s="97" t="s">
        <v>1173</v>
      </c>
      <c r="C312" s="163">
        <v>5359</v>
      </c>
      <c r="D312" s="95" t="s">
        <v>1180</v>
      </c>
      <c r="E312" s="142">
        <v>0.75326666666666664</v>
      </c>
      <c r="F312" s="4" t="s">
        <v>2752</v>
      </c>
      <c r="G312" s="4" t="s">
        <v>2752</v>
      </c>
      <c r="H312" s="4" t="str">
        <f t="shared" si="7"/>
        <v>No</v>
      </c>
      <c r="I312" s="56"/>
    </row>
    <row r="313" spans="1:9">
      <c r="A313" s="137" t="s">
        <v>2405</v>
      </c>
      <c r="B313" s="97" t="s">
        <v>1173</v>
      </c>
      <c r="C313" s="164">
        <v>3172</v>
      </c>
      <c r="D313" s="56" t="s">
        <v>1178</v>
      </c>
      <c r="E313" s="142">
        <v>0.8450333333333333</v>
      </c>
      <c r="F313" s="4" t="s">
        <v>2752</v>
      </c>
      <c r="G313" s="4" t="s">
        <v>2752</v>
      </c>
      <c r="H313" s="4" t="str">
        <f t="shared" si="7"/>
        <v>No</v>
      </c>
      <c r="I313" s="56"/>
    </row>
    <row r="314" spans="1:9">
      <c r="A314" s="97" t="s">
        <v>2405</v>
      </c>
      <c r="B314" s="97" t="s">
        <v>1173</v>
      </c>
      <c r="C314" s="163">
        <v>2291</v>
      </c>
      <c r="D314" s="95" t="s">
        <v>1176</v>
      </c>
      <c r="E314" s="142">
        <v>0.8363666666666667</v>
      </c>
      <c r="F314" s="4" t="s">
        <v>2752</v>
      </c>
      <c r="G314" s="4" t="s">
        <v>2752</v>
      </c>
      <c r="H314" s="4" t="str">
        <f t="shared" si="7"/>
        <v>No</v>
      </c>
      <c r="I314" s="56"/>
    </row>
    <row r="315" spans="1:9">
      <c r="A315" s="97" t="s">
        <v>2405</v>
      </c>
      <c r="B315" s="97" t="s">
        <v>1173</v>
      </c>
      <c r="C315" s="163">
        <v>2768</v>
      </c>
      <c r="D315" s="95" t="s">
        <v>40</v>
      </c>
      <c r="E315" s="142">
        <v>0.86193333333333333</v>
      </c>
      <c r="F315" s="4" t="s">
        <v>2752</v>
      </c>
      <c r="G315" s="4" t="s">
        <v>2752</v>
      </c>
      <c r="H315" s="4" t="str">
        <f t="shared" si="7"/>
        <v>No</v>
      </c>
      <c r="I315" s="56"/>
    </row>
    <row r="316" spans="1:9">
      <c r="A316" s="97" t="s">
        <v>2403</v>
      </c>
      <c r="B316" s="97" t="s">
        <v>1166</v>
      </c>
      <c r="C316" s="163">
        <v>4311</v>
      </c>
      <c r="D316" s="95" t="s">
        <v>1168</v>
      </c>
      <c r="E316" s="142">
        <v>0.4709666666666667</v>
      </c>
      <c r="F316" s="4" t="s">
        <v>3065</v>
      </c>
      <c r="G316" s="4" t="s">
        <v>3065</v>
      </c>
      <c r="H316" s="4" t="str">
        <f t="shared" si="7"/>
        <v>No</v>
      </c>
      <c r="I316" s="56"/>
    </row>
    <row r="317" spans="1:9">
      <c r="A317" s="97" t="s">
        <v>2403</v>
      </c>
      <c r="B317" s="97" t="s">
        <v>1166</v>
      </c>
      <c r="C317" s="163">
        <v>5509</v>
      </c>
      <c r="D317" s="95" t="s">
        <v>2796</v>
      </c>
      <c r="E317" s="142">
        <v>0.48943333333333333</v>
      </c>
      <c r="F317" s="4" t="s">
        <v>3065</v>
      </c>
      <c r="G317" s="4" t="s">
        <v>2752</v>
      </c>
      <c r="H317" s="4" t="str">
        <f t="shared" si="7"/>
        <v>Yes</v>
      </c>
      <c r="I317" s="56"/>
    </row>
    <row r="318" spans="1:9">
      <c r="A318" s="97" t="s">
        <v>2403</v>
      </c>
      <c r="B318" s="97" t="s">
        <v>1166</v>
      </c>
      <c r="C318" s="163">
        <v>5369</v>
      </c>
      <c r="D318" s="95" t="s">
        <v>1169</v>
      </c>
      <c r="E318" s="142">
        <v>0.78683333333333338</v>
      </c>
      <c r="F318" s="4" t="s">
        <v>2752</v>
      </c>
      <c r="G318" s="4" t="s">
        <v>2752</v>
      </c>
      <c r="H318" s="4" t="str">
        <f t="shared" si="7"/>
        <v>No</v>
      </c>
      <c r="I318" s="56"/>
    </row>
    <row r="319" spans="1:9">
      <c r="A319" s="97" t="s">
        <v>2403</v>
      </c>
      <c r="B319" s="97" t="s">
        <v>1166</v>
      </c>
      <c r="C319" s="163">
        <v>5510</v>
      </c>
      <c r="D319" s="95" t="s">
        <v>2797</v>
      </c>
      <c r="E319" s="142">
        <v>0.50416666666666654</v>
      </c>
      <c r="F319" s="4" t="s">
        <v>2752</v>
      </c>
      <c r="G319" s="4" t="s">
        <v>2752</v>
      </c>
      <c r="H319" s="4" t="str">
        <f t="shared" si="7"/>
        <v>No</v>
      </c>
      <c r="I319" s="56"/>
    </row>
    <row r="320" spans="1:9">
      <c r="A320" s="97" t="s">
        <v>2403</v>
      </c>
      <c r="B320" s="97" t="s">
        <v>1166</v>
      </c>
      <c r="C320" s="163">
        <v>2799</v>
      </c>
      <c r="D320" s="95" t="s">
        <v>1167</v>
      </c>
      <c r="E320" s="142">
        <v>0.37713333333333332</v>
      </c>
      <c r="F320" s="4" t="s">
        <v>3065</v>
      </c>
      <c r="G320" s="4" t="s">
        <v>3065</v>
      </c>
      <c r="H320" s="4" t="str">
        <f t="shared" si="7"/>
        <v>No</v>
      </c>
      <c r="I320" s="56"/>
    </row>
    <row r="321" spans="1:9">
      <c r="A321" s="97" t="s">
        <v>2494</v>
      </c>
      <c r="B321" s="97" t="s">
        <v>1875</v>
      </c>
      <c r="C321" s="163">
        <v>2954</v>
      </c>
      <c r="D321" s="95" t="s">
        <v>1878</v>
      </c>
      <c r="E321" s="142">
        <v>0.45290000000000002</v>
      </c>
      <c r="F321" s="4" t="s">
        <v>3065</v>
      </c>
      <c r="G321" s="4" t="s">
        <v>3065</v>
      </c>
      <c r="H321" s="4" t="str">
        <f t="shared" si="7"/>
        <v>No</v>
      </c>
      <c r="I321" s="56"/>
    </row>
    <row r="322" spans="1:9">
      <c r="A322" s="97" t="s">
        <v>2494</v>
      </c>
      <c r="B322" s="97" t="s">
        <v>1875</v>
      </c>
      <c r="C322" s="163">
        <v>3610</v>
      </c>
      <c r="D322" s="95" t="s">
        <v>1880</v>
      </c>
      <c r="E322" s="142">
        <v>0.41303333333333336</v>
      </c>
      <c r="F322" s="4" t="s">
        <v>3065</v>
      </c>
      <c r="G322" s="4" t="s">
        <v>3065</v>
      </c>
      <c r="H322" s="4" t="str">
        <f t="shared" si="7"/>
        <v>No</v>
      </c>
      <c r="I322" s="56"/>
    </row>
    <row r="323" spans="1:9">
      <c r="A323" s="97" t="s">
        <v>2494</v>
      </c>
      <c r="B323" s="97" t="s">
        <v>1875</v>
      </c>
      <c r="C323" s="163">
        <v>2447</v>
      </c>
      <c r="D323" s="95" t="s">
        <v>1877</v>
      </c>
      <c r="E323" s="142">
        <v>0.48083333333333339</v>
      </c>
      <c r="F323" s="4" t="s">
        <v>3065</v>
      </c>
      <c r="G323" s="4" t="s">
        <v>3065</v>
      </c>
      <c r="H323" s="4" t="str">
        <f t="shared" si="7"/>
        <v>No</v>
      </c>
      <c r="I323" s="56"/>
    </row>
    <row r="324" spans="1:9">
      <c r="A324" s="97" t="s">
        <v>2494</v>
      </c>
      <c r="B324" s="97" t="s">
        <v>1875</v>
      </c>
      <c r="C324" s="163">
        <v>5396</v>
      </c>
      <c r="D324" s="95" t="s">
        <v>1885</v>
      </c>
      <c r="E324" s="142">
        <v>0.46666666666666662</v>
      </c>
      <c r="F324" s="4" t="s">
        <v>3065</v>
      </c>
      <c r="G324" s="4" t="s">
        <v>2752</v>
      </c>
      <c r="H324" s="4" t="str">
        <f t="shared" ref="H324:H387" si="8">IFERROR(IF(AND(G324="Yes",F324="No"),"Yes","No"),"No")</f>
        <v>Yes</v>
      </c>
      <c r="I324" s="56"/>
    </row>
    <row r="325" spans="1:9">
      <c r="A325" s="97" t="s">
        <v>2494</v>
      </c>
      <c r="B325" s="97" t="s">
        <v>1875</v>
      </c>
      <c r="C325" s="163">
        <v>5035</v>
      </c>
      <c r="D325" s="95" t="s">
        <v>1882</v>
      </c>
      <c r="E325" s="142">
        <v>0.37486666666666668</v>
      </c>
      <c r="F325" s="4" t="s">
        <v>3065</v>
      </c>
      <c r="G325" s="4" t="s">
        <v>3065</v>
      </c>
      <c r="H325" s="4" t="str">
        <f t="shared" si="8"/>
        <v>No</v>
      </c>
      <c r="I325" s="56"/>
    </row>
    <row r="326" spans="1:9">
      <c r="A326" s="97" t="s">
        <v>2494</v>
      </c>
      <c r="B326" s="97" t="s">
        <v>1875</v>
      </c>
      <c r="C326" s="163">
        <v>5294</v>
      </c>
      <c r="D326" s="95" t="s">
        <v>1884</v>
      </c>
      <c r="E326" s="142">
        <v>0.43696666666666667</v>
      </c>
      <c r="F326" s="4" t="s">
        <v>3065</v>
      </c>
      <c r="G326" s="4" t="s">
        <v>3065</v>
      </c>
      <c r="H326" s="4" t="str">
        <f t="shared" si="8"/>
        <v>No</v>
      </c>
      <c r="I326" s="56"/>
    </row>
    <row r="327" spans="1:9">
      <c r="A327" s="97" t="s">
        <v>2494</v>
      </c>
      <c r="B327" s="97" t="s">
        <v>1875</v>
      </c>
      <c r="C327" s="163">
        <v>3761</v>
      </c>
      <c r="D327" s="95" t="s">
        <v>1881</v>
      </c>
      <c r="E327" s="142">
        <v>0.53726666666666667</v>
      </c>
      <c r="F327" s="4" t="s">
        <v>2752</v>
      </c>
      <c r="G327" s="4" t="s">
        <v>2752</v>
      </c>
      <c r="H327" s="4" t="str">
        <f t="shared" si="8"/>
        <v>No</v>
      </c>
      <c r="I327" s="56"/>
    </row>
    <row r="328" spans="1:9">
      <c r="A328" s="97" t="s">
        <v>2494</v>
      </c>
      <c r="B328" s="97" t="s">
        <v>1875</v>
      </c>
      <c r="C328" s="163">
        <v>2814</v>
      </c>
      <c r="D328" s="95" t="s">
        <v>850</v>
      </c>
      <c r="E328" s="142">
        <v>0.68396666666666661</v>
      </c>
      <c r="F328" s="4" t="s">
        <v>2752</v>
      </c>
      <c r="G328" s="4" t="s">
        <v>2752</v>
      </c>
      <c r="H328" s="4" t="str">
        <f t="shared" si="8"/>
        <v>No</v>
      </c>
      <c r="I328" s="56"/>
    </row>
    <row r="329" spans="1:9">
      <c r="A329" s="97" t="s">
        <v>2494</v>
      </c>
      <c r="B329" s="97" t="s">
        <v>1875</v>
      </c>
      <c r="C329" s="163">
        <v>1769</v>
      </c>
      <c r="D329" s="95" t="s">
        <v>1876</v>
      </c>
      <c r="E329" s="142">
        <v>0.73473333333333335</v>
      </c>
      <c r="F329" s="4" t="s">
        <v>2752</v>
      </c>
      <c r="G329" s="4" t="s">
        <v>2752</v>
      </c>
      <c r="H329" s="4" t="str">
        <f t="shared" si="8"/>
        <v>No</v>
      </c>
      <c r="I329" s="56"/>
    </row>
    <row r="330" spans="1:9">
      <c r="A330" s="97" t="s">
        <v>2494</v>
      </c>
      <c r="B330" s="97" t="s">
        <v>1875</v>
      </c>
      <c r="C330" s="163">
        <v>5269</v>
      </c>
      <c r="D330" s="95" t="s">
        <v>1883</v>
      </c>
      <c r="E330" s="142">
        <v>0.51123333333333332</v>
      </c>
      <c r="F330" s="4" t="s">
        <v>2752</v>
      </c>
      <c r="G330" s="4" t="s">
        <v>2752</v>
      </c>
      <c r="H330" s="4" t="str">
        <f t="shared" si="8"/>
        <v>No</v>
      </c>
      <c r="I330" s="56"/>
    </row>
    <row r="331" spans="1:9">
      <c r="A331" s="97" t="s">
        <v>2494</v>
      </c>
      <c r="B331" s="97" t="s">
        <v>1875</v>
      </c>
      <c r="C331" s="163">
        <v>3309</v>
      </c>
      <c r="D331" s="95" t="s">
        <v>1879</v>
      </c>
      <c r="E331" s="142">
        <v>0.36103333333333332</v>
      </c>
      <c r="F331" s="4" t="s">
        <v>3065</v>
      </c>
      <c r="G331" s="4" t="s">
        <v>3065</v>
      </c>
      <c r="H331" s="4" t="str">
        <f t="shared" si="8"/>
        <v>No</v>
      </c>
      <c r="I331" s="56"/>
    </row>
    <row r="332" spans="1:9">
      <c r="A332" s="97" t="s">
        <v>2504</v>
      </c>
      <c r="B332" s="97" t="s">
        <v>1925</v>
      </c>
      <c r="C332" s="163">
        <v>5523</v>
      </c>
      <c r="D332" s="95" t="s">
        <v>2798</v>
      </c>
      <c r="E332" s="142">
        <v>0.9035333333333333</v>
      </c>
      <c r="F332" s="4" t="s">
        <v>2752</v>
      </c>
      <c r="G332" s="4" t="s">
        <v>2752</v>
      </c>
      <c r="H332" s="4" t="str">
        <f t="shared" si="8"/>
        <v>No</v>
      </c>
      <c r="I332" s="56"/>
    </row>
    <row r="333" spans="1:9">
      <c r="A333" s="97" t="s">
        <v>2504</v>
      </c>
      <c r="B333" s="97" t="s">
        <v>1925</v>
      </c>
      <c r="C333" s="163">
        <v>2664</v>
      </c>
      <c r="D333" s="95" t="s">
        <v>1927</v>
      </c>
      <c r="E333" s="142">
        <v>0.60346666666666671</v>
      </c>
      <c r="F333" s="4" t="s">
        <v>2752</v>
      </c>
      <c r="G333" s="4" t="s">
        <v>2752</v>
      </c>
      <c r="H333" s="4" t="str">
        <f t="shared" si="8"/>
        <v>No</v>
      </c>
      <c r="I333" s="56"/>
    </row>
    <row r="334" spans="1:9">
      <c r="A334" s="97" t="s">
        <v>2504</v>
      </c>
      <c r="B334" s="97" t="s">
        <v>1925</v>
      </c>
      <c r="C334" s="163">
        <v>2404</v>
      </c>
      <c r="D334" s="95" t="s">
        <v>1926</v>
      </c>
      <c r="E334" s="142">
        <v>0.5014333333333334</v>
      </c>
      <c r="F334" s="4" t="s">
        <v>2752</v>
      </c>
      <c r="G334" s="4" t="s">
        <v>3065</v>
      </c>
      <c r="H334" s="4" t="str">
        <f t="shared" si="8"/>
        <v>No</v>
      </c>
      <c r="I334" s="56"/>
    </row>
    <row r="335" spans="1:9">
      <c r="A335" s="97" t="s">
        <v>2504</v>
      </c>
      <c r="B335" s="97" t="s">
        <v>1925</v>
      </c>
      <c r="C335" s="163">
        <v>1763</v>
      </c>
      <c r="D335" s="95" t="s">
        <v>2872</v>
      </c>
      <c r="E335" s="142">
        <v>0.54976666666666663</v>
      </c>
      <c r="F335" s="4" t="s">
        <v>2752</v>
      </c>
      <c r="G335" s="4" t="s">
        <v>3065</v>
      </c>
      <c r="H335" s="4" t="str">
        <f t="shared" si="8"/>
        <v>No</v>
      </c>
      <c r="I335" s="56"/>
    </row>
    <row r="336" spans="1:9">
      <c r="A336" s="97" t="s">
        <v>2762</v>
      </c>
      <c r="B336" s="97" t="s">
        <v>2964</v>
      </c>
      <c r="C336" s="163">
        <v>5549</v>
      </c>
      <c r="D336" s="95" t="s">
        <v>1319</v>
      </c>
      <c r="E336" s="142">
        <v>0.54223333333333334</v>
      </c>
      <c r="F336" s="4" t="s">
        <v>2752</v>
      </c>
      <c r="G336" s="4" t="s">
        <v>3065</v>
      </c>
      <c r="H336" s="4" t="str">
        <f t="shared" si="8"/>
        <v>No</v>
      </c>
      <c r="I336" s="56"/>
    </row>
    <row r="337" spans="1:9">
      <c r="A337" s="97" t="s">
        <v>2346</v>
      </c>
      <c r="B337" s="97" t="s">
        <v>539</v>
      </c>
      <c r="C337" s="163">
        <v>4552</v>
      </c>
      <c r="D337" s="95" t="s">
        <v>542</v>
      </c>
      <c r="E337" s="142">
        <v>0.52013333333333334</v>
      </c>
      <c r="F337" s="4" t="s">
        <v>2752</v>
      </c>
      <c r="G337" s="4" t="s">
        <v>2752</v>
      </c>
      <c r="H337" s="4" t="str">
        <f t="shared" si="8"/>
        <v>No</v>
      </c>
      <c r="I337" s="56"/>
    </row>
    <row r="338" spans="1:9">
      <c r="A338" s="97" t="s">
        <v>2346</v>
      </c>
      <c r="B338" s="97" t="s">
        <v>539</v>
      </c>
      <c r="C338" s="163">
        <v>2697</v>
      </c>
      <c r="D338" s="95" t="s">
        <v>541</v>
      </c>
      <c r="E338" s="142">
        <v>0.55533333333333335</v>
      </c>
      <c r="F338" s="4" t="s">
        <v>2752</v>
      </c>
      <c r="G338" s="4" t="s">
        <v>2752</v>
      </c>
      <c r="H338" s="4" t="str">
        <f t="shared" si="8"/>
        <v>No</v>
      </c>
      <c r="I338" s="56"/>
    </row>
    <row r="339" spans="1:9">
      <c r="A339" s="97" t="s">
        <v>2346</v>
      </c>
      <c r="B339" s="97" t="s">
        <v>539</v>
      </c>
      <c r="C339" s="163">
        <v>3275</v>
      </c>
      <c r="D339" s="95" t="s">
        <v>2873</v>
      </c>
      <c r="E339" s="142">
        <v>0.46393333333333331</v>
      </c>
      <c r="F339" s="4" t="s">
        <v>3065</v>
      </c>
      <c r="G339" s="4" t="s">
        <v>3065</v>
      </c>
      <c r="H339" s="4" t="str">
        <f t="shared" si="8"/>
        <v>No</v>
      </c>
      <c r="I339" s="56"/>
    </row>
    <row r="340" spans="1:9">
      <c r="A340" s="97" t="s">
        <v>2346</v>
      </c>
      <c r="B340" s="97" t="s">
        <v>539</v>
      </c>
      <c r="C340" s="163">
        <v>1724</v>
      </c>
      <c r="D340" s="95" t="s">
        <v>540</v>
      </c>
      <c r="E340" s="142">
        <v>0.4680333333333333</v>
      </c>
      <c r="F340" s="4" t="s">
        <v>3065</v>
      </c>
      <c r="G340" s="4" t="s">
        <v>3065</v>
      </c>
      <c r="H340" s="4" t="str">
        <f t="shared" si="8"/>
        <v>No</v>
      </c>
      <c r="I340" s="56"/>
    </row>
    <row r="341" spans="1:9">
      <c r="A341" s="97" t="s">
        <v>2262</v>
      </c>
      <c r="B341" s="97" t="s">
        <v>20</v>
      </c>
      <c r="C341" s="163">
        <v>2299</v>
      </c>
      <c r="D341" s="95" t="s">
        <v>22</v>
      </c>
      <c r="E341" s="142">
        <v>0.49426666666666663</v>
      </c>
      <c r="F341" s="4" t="s">
        <v>3065</v>
      </c>
      <c r="G341" s="4" t="s">
        <v>3065</v>
      </c>
      <c r="H341" s="4" t="str">
        <f t="shared" si="8"/>
        <v>No</v>
      </c>
      <c r="I341" s="56"/>
    </row>
    <row r="342" spans="1:9">
      <c r="A342" s="97" t="s">
        <v>2262</v>
      </c>
      <c r="B342" s="97" t="s">
        <v>20</v>
      </c>
      <c r="C342" s="163">
        <v>5644</v>
      </c>
      <c r="D342" s="95" t="s">
        <v>2874</v>
      </c>
      <c r="E342" s="142">
        <v>0.55295000000000005</v>
      </c>
      <c r="F342" s="4" t="s">
        <v>2752</v>
      </c>
      <c r="G342" s="4" t="s">
        <v>3065</v>
      </c>
      <c r="H342" s="4" t="str">
        <f t="shared" si="8"/>
        <v>No</v>
      </c>
      <c r="I342" s="56"/>
    </row>
    <row r="343" spans="1:9">
      <c r="A343" s="97" t="s">
        <v>2262</v>
      </c>
      <c r="B343" s="97" t="s">
        <v>20</v>
      </c>
      <c r="C343" s="163">
        <v>1617</v>
      </c>
      <c r="D343" s="95" t="s">
        <v>21</v>
      </c>
      <c r="E343" s="142">
        <v>0.76466666666666672</v>
      </c>
      <c r="F343" s="4" t="s">
        <v>2752</v>
      </c>
      <c r="G343" s="4" t="s">
        <v>2752</v>
      </c>
      <c r="H343" s="4" t="str">
        <f t="shared" si="8"/>
        <v>No</v>
      </c>
      <c r="I343" s="56"/>
    </row>
    <row r="344" spans="1:9">
      <c r="A344" s="97" t="s">
        <v>2262</v>
      </c>
      <c r="B344" s="97" t="s">
        <v>20</v>
      </c>
      <c r="C344" s="163">
        <v>5413</v>
      </c>
      <c r="D344" s="95" t="s">
        <v>29</v>
      </c>
      <c r="E344" s="142">
        <v>0.68076666666666663</v>
      </c>
      <c r="F344" s="4" t="s">
        <v>2752</v>
      </c>
      <c r="G344" s="4" t="s">
        <v>2752</v>
      </c>
      <c r="H344" s="4" t="str">
        <f t="shared" si="8"/>
        <v>No</v>
      </c>
      <c r="I344" s="56"/>
    </row>
    <row r="345" spans="1:9">
      <c r="A345" s="97" t="s">
        <v>2262</v>
      </c>
      <c r="B345" s="97" t="s">
        <v>20</v>
      </c>
      <c r="C345" s="163">
        <v>2962</v>
      </c>
      <c r="D345" s="95" t="s">
        <v>25</v>
      </c>
      <c r="E345" s="142">
        <v>0.82436666666666669</v>
      </c>
      <c r="F345" s="4" t="s">
        <v>2752</v>
      </c>
      <c r="G345" s="4" t="s">
        <v>2752</v>
      </c>
      <c r="H345" s="4" t="str">
        <f t="shared" si="8"/>
        <v>No</v>
      </c>
      <c r="I345" s="56"/>
    </row>
    <row r="346" spans="1:9">
      <c r="A346" s="97" t="s">
        <v>2262</v>
      </c>
      <c r="B346" s="97" t="s">
        <v>20</v>
      </c>
      <c r="C346" s="163">
        <v>4384</v>
      </c>
      <c r="D346" s="95" t="s">
        <v>28</v>
      </c>
      <c r="E346" s="142">
        <v>0.31063333333333332</v>
      </c>
      <c r="F346" s="4" t="s">
        <v>3065</v>
      </c>
      <c r="G346" s="4" t="s">
        <v>3065</v>
      </c>
      <c r="H346" s="4" t="str">
        <f t="shared" si="8"/>
        <v>No</v>
      </c>
      <c r="I346" s="56"/>
    </row>
    <row r="347" spans="1:9">
      <c r="A347" s="97" t="s">
        <v>2262</v>
      </c>
      <c r="B347" s="97" t="s">
        <v>20</v>
      </c>
      <c r="C347" s="163">
        <v>3266</v>
      </c>
      <c r="D347" s="95" t="s">
        <v>26</v>
      </c>
      <c r="E347" s="142">
        <v>0.70983333333333343</v>
      </c>
      <c r="F347" s="4" t="s">
        <v>2752</v>
      </c>
      <c r="G347" s="4" t="s">
        <v>2752</v>
      </c>
      <c r="H347" s="4" t="str">
        <f t="shared" si="8"/>
        <v>No</v>
      </c>
      <c r="I347" s="56"/>
    </row>
    <row r="348" spans="1:9">
      <c r="A348" s="97" t="s">
        <v>2262</v>
      </c>
      <c r="B348" s="97" t="s">
        <v>20</v>
      </c>
      <c r="C348" s="163">
        <v>2501</v>
      </c>
      <c r="D348" s="95" t="s">
        <v>23</v>
      </c>
      <c r="E348" s="142">
        <v>0.58433333333333337</v>
      </c>
      <c r="F348" s="4" t="s">
        <v>2752</v>
      </c>
      <c r="G348" s="4" t="s">
        <v>2752</v>
      </c>
      <c r="H348" s="4" t="str">
        <f t="shared" si="8"/>
        <v>No</v>
      </c>
      <c r="I348" s="56"/>
    </row>
    <row r="349" spans="1:9">
      <c r="A349" s="97" t="s">
        <v>2262</v>
      </c>
      <c r="B349" s="97" t="s">
        <v>20</v>
      </c>
      <c r="C349" s="163">
        <v>2823</v>
      </c>
      <c r="D349" s="95" t="s">
        <v>24</v>
      </c>
      <c r="E349" s="142">
        <v>0.61030000000000006</v>
      </c>
      <c r="F349" s="4" t="s">
        <v>2752</v>
      </c>
      <c r="G349" s="4" t="s">
        <v>2752</v>
      </c>
      <c r="H349" s="4" t="str">
        <f t="shared" si="8"/>
        <v>No</v>
      </c>
      <c r="I349" s="56"/>
    </row>
    <row r="350" spans="1:9">
      <c r="A350" s="97" t="s">
        <v>2262</v>
      </c>
      <c r="B350" s="97" t="s">
        <v>20</v>
      </c>
      <c r="C350" s="163">
        <v>3616</v>
      </c>
      <c r="D350" s="95" t="s">
        <v>27</v>
      </c>
      <c r="E350" s="142">
        <v>0.29009999999999997</v>
      </c>
      <c r="F350" s="4" t="s">
        <v>3065</v>
      </c>
      <c r="G350" s="4" t="s">
        <v>3065</v>
      </c>
      <c r="H350" s="4" t="str">
        <f t="shared" si="8"/>
        <v>No</v>
      </c>
      <c r="I350" s="56"/>
    </row>
    <row r="351" spans="1:9">
      <c r="A351" s="97" t="s">
        <v>2382</v>
      </c>
      <c r="B351" s="97" t="s">
        <v>1099</v>
      </c>
      <c r="C351" s="163">
        <v>2328</v>
      </c>
      <c r="D351" s="95" t="s">
        <v>1101</v>
      </c>
      <c r="E351" s="142">
        <v>0.37893333333333334</v>
      </c>
      <c r="F351" s="4" t="s">
        <v>3065</v>
      </c>
      <c r="G351" s="4" t="s">
        <v>3065</v>
      </c>
      <c r="H351" s="4" t="str">
        <f t="shared" si="8"/>
        <v>No</v>
      </c>
      <c r="I351" s="56"/>
    </row>
    <row r="352" spans="1:9">
      <c r="A352" s="97" t="s">
        <v>2382</v>
      </c>
      <c r="B352" s="97" t="s">
        <v>1099</v>
      </c>
      <c r="C352" s="163">
        <v>2329</v>
      </c>
      <c r="D352" s="95" t="s">
        <v>1102</v>
      </c>
      <c r="E352" s="142">
        <v>0.33706666666666668</v>
      </c>
      <c r="F352" s="4" t="s">
        <v>3065</v>
      </c>
      <c r="G352" s="4" t="s">
        <v>3065</v>
      </c>
      <c r="H352" s="4" t="str">
        <f t="shared" si="8"/>
        <v>No</v>
      </c>
      <c r="I352" s="56"/>
    </row>
    <row r="353" spans="1:9">
      <c r="A353" s="97" t="s">
        <v>2382</v>
      </c>
      <c r="B353" s="97" t="s">
        <v>1099</v>
      </c>
      <c r="C353" s="163">
        <v>1987</v>
      </c>
      <c r="D353" s="95" t="s">
        <v>1100</v>
      </c>
      <c r="E353" s="142">
        <v>0.61393333333333333</v>
      </c>
      <c r="F353" s="4" t="s">
        <v>2752</v>
      </c>
      <c r="G353" s="4" t="s">
        <v>2752</v>
      </c>
      <c r="H353" s="4" t="str">
        <f t="shared" si="8"/>
        <v>No</v>
      </c>
      <c r="I353" s="56"/>
    </row>
    <row r="354" spans="1:9">
      <c r="A354" s="97" t="s">
        <v>2382</v>
      </c>
      <c r="B354" s="97" t="s">
        <v>1099</v>
      </c>
      <c r="C354" s="163">
        <v>2570</v>
      </c>
      <c r="D354" s="95" t="s">
        <v>1103</v>
      </c>
      <c r="E354" s="142">
        <v>0.42643333333333339</v>
      </c>
      <c r="F354" s="4" t="s">
        <v>3065</v>
      </c>
      <c r="G354" s="4" t="s">
        <v>3065</v>
      </c>
      <c r="H354" s="4" t="str">
        <f t="shared" si="8"/>
        <v>No</v>
      </c>
      <c r="I354" s="56"/>
    </row>
    <row r="355" spans="1:9">
      <c r="A355" s="97" t="s">
        <v>2446</v>
      </c>
      <c r="B355" s="97" t="s">
        <v>1418</v>
      </c>
      <c r="C355" s="163">
        <v>1825</v>
      </c>
      <c r="D355" s="95" t="s">
        <v>1419</v>
      </c>
      <c r="E355" s="142">
        <v>0.66559999999999997</v>
      </c>
      <c r="F355" s="4" t="s">
        <v>2752</v>
      </c>
      <c r="G355" s="4" t="s">
        <v>2752</v>
      </c>
      <c r="H355" s="4" t="str">
        <f t="shared" si="8"/>
        <v>No</v>
      </c>
      <c r="I355" s="56"/>
    </row>
    <row r="356" spans="1:9">
      <c r="A356" s="97" t="s">
        <v>2446</v>
      </c>
      <c r="B356" s="97" t="s">
        <v>1418</v>
      </c>
      <c r="C356" s="163">
        <v>3454</v>
      </c>
      <c r="D356" s="95" t="s">
        <v>1431</v>
      </c>
      <c r="E356" s="142">
        <v>0.33440000000000003</v>
      </c>
      <c r="F356" s="4" t="s">
        <v>3065</v>
      </c>
      <c r="G356" s="4" t="s">
        <v>3065</v>
      </c>
      <c r="H356" s="4" t="str">
        <f t="shared" si="8"/>
        <v>No</v>
      </c>
      <c r="I356" s="56"/>
    </row>
    <row r="357" spans="1:9">
      <c r="A357" s="97" t="s">
        <v>2446</v>
      </c>
      <c r="B357" s="97" t="s">
        <v>1418</v>
      </c>
      <c r="C357" s="163">
        <v>3457</v>
      </c>
      <c r="D357" s="95" t="s">
        <v>1434</v>
      </c>
      <c r="E357" s="142">
        <v>0.40850000000000003</v>
      </c>
      <c r="F357" s="4" t="s">
        <v>3065</v>
      </c>
      <c r="G357" s="4" t="s">
        <v>3065</v>
      </c>
      <c r="H357" s="4" t="str">
        <f t="shared" si="8"/>
        <v>No</v>
      </c>
      <c r="I357" s="56"/>
    </row>
    <row r="358" spans="1:9">
      <c r="A358" s="97" t="s">
        <v>2446</v>
      </c>
      <c r="B358" s="97" t="s">
        <v>1418</v>
      </c>
      <c r="C358" s="163">
        <v>2425</v>
      </c>
      <c r="D358" s="95" t="s">
        <v>1422</v>
      </c>
      <c r="E358" s="142">
        <v>0.77619999999999989</v>
      </c>
      <c r="F358" s="4" t="s">
        <v>2752</v>
      </c>
      <c r="G358" s="4" t="s">
        <v>2752</v>
      </c>
      <c r="H358" s="4" t="str">
        <f t="shared" si="8"/>
        <v>No</v>
      </c>
      <c r="I358" s="56"/>
    </row>
    <row r="359" spans="1:9">
      <c r="A359" s="97" t="s">
        <v>2446</v>
      </c>
      <c r="B359" s="97" t="s">
        <v>1418</v>
      </c>
      <c r="C359" s="163">
        <v>5411</v>
      </c>
      <c r="D359" s="95" t="s">
        <v>1442</v>
      </c>
      <c r="E359" s="142">
        <v>0.76129999999999998</v>
      </c>
      <c r="F359" s="4" t="s">
        <v>2752</v>
      </c>
      <c r="G359" s="4" t="s">
        <v>2752</v>
      </c>
      <c r="H359" s="4" t="str">
        <f t="shared" si="8"/>
        <v>No</v>
      </c>
      <c r="I359" s="56"/>
    </row>
    <row r="360" spans="1:9">
      <c r="A360" s="97" t="s">
        <v>2446</v>
      </c>
      <c r="B360" s="97" t="s">
        <v>1418</v>
      </c>
      <c r="C360" s="163">
        <v>2943</v>
      </c>
      <c r="D360" s="95" t="s">
        <v>1425</v>
      </c>
      <c r="E360" s="142">
        <v>0.76910000000000001</v>
      </c>
      <c r="F360" s="4" t="s">
        <v>2752</v>
      </c>
      <c r="G360" s="4" t="s">
        <v>2752</v>
      </c>
      <c r="H360" s="4" t="str">
        <f t="shared" si="8"/>
        <v>No</v>
      </c>
      <c r="I360" s="56"/>
    </row>
    <row r="361" spans="1:9">
      <c r="A361" s="97" t="s">
        <v>2446</v>
      </c>
      <c r="B361" s="97" t="s">
        <v>1418</v>
      </c>
      <c r="C361" s="163">
        <v>3455</v>
      </c>
      <c r="D361" s="95" t="s">
        <v>1432</v>
      </c>
      <c r="E361" s="142">
        <v>0.73686666666666678</v>
      </c>
      <c r="F361" s="4" t="s">
        <v>2752</v>
      </c>
      <c r="G361" s="4" t="s">
        <v>2752</v>
      </c>
      <c r="H361" s="4" t="str">
        <f t="shared" si="8"/>
        <v>No</v>
      </c>
      <c r="I361" s="56"/>
    </row>
    <row r="362" spans="1:9">
      <c r="A362" s="97" t="s">
        <v>2446</v>
      </c>
      <c r="B362" s="97" t="s">
        <v>1418</v>
      </c>
      <c r="C362" s="163">
        <v>4396</v>
      </c>
      <c r="D362" s="95" t="s">
        <v>1209</v>
      </c>
      <c r="E362" s="142">
        <v>0.53156666666666663</v>
      </c>
      <c r="F362" s="4" t="s">
        <v>2752</v>
      </c>
      <c r="G362" s="4" t="s">
        <v>2752</v>
      </c>
      <c r="H362" s="4" t="str">
        <f t="shared" si="8"/>
        <v>No</v>
      </c>
      <c r="I362" s="56"/>
    </row>
    <row r="363" spans="1:9">
      <c r="A363" s="97" t="s">
        <v>2446</v>
      </c>
      <c r="B363" s="97" t="s">
        <v>1418</v>
      </c>
      <c r="C363" s="163">
        <v>5387</v>
      </c>
      <c r="D363" s="95" t="s">
        <v>1441</v>
      </c>
      <c r="E363" s="142">
        <v>0.84949999999999992</v>
      </c>
      <c r="F363" s="4" t="s">
        <v>2752</v>
      </c>
      <c r="G363" s="4" t="s">
        <v>2752</v>
      </c>
      <c r="H363" s="4" t="str">
        <f t="shared" si="8"/>
        <v>No</v>
      </c>
      <c r="I363" s="56"/>
    </row>
    <row r="364" spans="1:9">
      <c r="A364" s="97" t="s">
        <v>2446</v>
      </c>
      <c r="B364" s="97" t="s">
        <v>1418</v>
      </c>
      <c r="C364" s="163">
        <v>5027</v>
      </c>
      <c r="D364" s="95" t="s">
        <v>1437</v>
      </c>
      <c r="E364" s="142">
        <v>0.61030000000000006</v>
      </c>
      <c r="F364" s="4" t="s">
        <v>2752</v>
      </c>
      <c r="G364" s="4" t="s">
        <v>2752</v>
      </c>
      <c r="H364" s="4" t="str">
        <f t="shared" si="8"/>
        <v>No</v>
      </c>
      <c r="I364" s="56"/>
    </row>
    <row r="365" spans="1:9">
      <c r="A365" s="97" t="s">
        <v>2446</v>
      </c>
      <c r="B365" s="97" t="s">
        <v>1418</v>
      </c>
      <c r="C365" s="163">
        <v>3298</v>
      </c>
      <c r="D365" s="95" t="s">
        <v>1429</v>
      </c>
      <c r="E365" s="142">
        <v>0.62183333333333335</v>
      </c>
      <c r="F365" s="4" t="s">
        <v>2752</v>
      </c>
      <c r="G365" s="4" t="s">
        <v>2752</v>
      </c>
      <c r="H365" s="4" t="str">
        <f t="shared" si="8"/>
        <v>No</v>
      </c>
      <c r="I365" s="56"/>
    </row>
    <row r="366" spans="1:9">
      <c r="A366" s="97" t="s">
        <v>2446</v>
      </c>
      <c r="B366" s="97" t="s">
        <v>1418</v>
      </c>
      <c r="C366" s="163">
        <v>3248</v>
      </c>
      <c r="D366" s="95" t="s">
        <v>1427</v>
      </c>
      <c r="E366" s="142">
        <v>0.7319</v>
      </c>
      <c r="F366" s="4" t="s">
        <v>2752</v>
      </c>
      <c r="G366" s="4" t="s">
        <v>2752</v>
      </c>
      <c r="H366" s="4" t="str">
        <f t="shared" si="8"/>
        <v>No</v>
      </c>
      <c r="I366" s="56"/>
    </row>
    <row r="367" spans="1:9">
      <c r="A367" s="97" t="s">
        <v>2446</v>
      </c>
      <c r="B367" s="97" t="s">
        <v>1418</v>
      </c>
      <c r="C367" s="163">
        <v>3117</v>
      </c>
      <c r="D367" s="95" t="s">
        <v>1426</v>
      </c>
      <c r="E367" s="142">
        <v>0.37263333333333332</v>
      </c>
      <c r="F367" s="4" t="s">
        <v>3065</v>
      </c>
      <c r="G367" s="4" t="s">
        <v>3065</v>
      </c>
      <c r="H367" s="4" t="str">
        <f t="shared" si="8"/>
        <v>No</v>
      </c>
      <c r="I367" s="56"/>
    </row>
    <row r="368" spans="1:9">
      <c r="A368" s="97" t="s">
        <v>2446</v>
      </c>
      <c r="B368" s="97" t="s">
        <v>1418</v>
      </c>
      <c r="C368" s="163">
        <v>3351</v>
      </c>
      <c r="D368" s="95" t="s">
        <v>1430</v>
      </c>
      <c r="E368" s="142">
        <v>0.69396666666666673</v>
      </c>
      <c r="F368" s="4" t="s">
        <v>2752</v>
      </c>
      <c r="G368" s="4" t="s">
        <v>2752</v>
      </c>
      <c r="H368" s="4" t="str">
        <f t="shared" si="8"/>
        <v>No</v>
      </c>
      <c r="I368" s="56"/>
    </row>
    <row r="369" spans="1:9">
      <c r="A369" s="97" t="s">
        <v>2446</v>
      </c>
      <c r="B369" s="97" t="s">
        <v>1418</v>
      </c>
      <c r="C369" s="163">
        <v>3456</v>
      </c>
      <c r="D369" s="95" t="s">
        <v>1433</v>
      </c>
      <c r="E369" s="142">
        <v>0.47293333333333337</v>
      </c>
      <c r="F369" s="4" t="s">
        <v>3065</v>
      </c>
      <c r="G369" s="4" t="s">
        <v>3065</v>
      </c>
      <c r="H369" s="4" t="str">
        <f t="shared" si="8"/>
        <v>No</v>
      </c>
      <c r="I369" s="56"/>
    </row>
    <row r="370" spans="1:9">
      <c r="A370" s="97" t="s">
        <v>2446</v>
      </c>
      <c r="B370" s="97" t="s">
        <v>1418</v>
      </c>
      <c r="C370" s="163">
        <v>2652</v>
      </c>
      <c r="D370" s="95" t="s">
        <v>1424</v>
      </c>
      <c r="E370" s="142">
        <v>0.84600000000000009</v>
      </c>
      <c r="F370" s="4" t="s">
        <v>2752</v>
      </c>
      <c r="G370" s="4" t="s">
        <v>2752</v>
      </c>
      <c r="H370" s="4" t="str">
        <f t="shared" si="8"/>
        <v>No</v>
      </c>
      <c r="I370" s="56"/>
    </row>
    <row r="371" spans="1:9">
      <c r="A371" s="97" t="s">
        <v>2446</v>
      </c>
      <c r="B371" s="97" t="s">
        <v>1418</v>
      </c>
      <c r="C371" s="163">
        <v>3602</v>
      </c>
      <c r="D371" s="95" t="s">
        <v>1435</v>
      </c>
      <c r="E371" s="142">
        <v>0.87436666666666663</v>
      </c>
      <c r="F371" s="4" t="s">
        <v>2752</v>
      </c>
      <c r="G371" s="4" t="s">
        <v>2752</v>
      </c>
      <c r="H371" s="4" t="str">
        <f t="shared" si="8"/>
        <v>No</v>
      </c>
      <c r="I371" s="56"/>
    </row>
    <row r="372" spans="1:9">
      <c r="A372" s="97" t="s">
        <v>2446</v>
      </c>
      <c r="B372" s="97" t="s">
        <v>1418</v>
      </c>
      <c r="C372" s="163">
        <v>5364</v>
      </c>
      <c r="D372" s="95" t="s">
        <v>1439</v>
      </c>
      <c r="E372" s="142">
        <v>0.31009999999999999</v>
      </c>
      <c r="F372" s="4" t="s">
        <v>3065</v>
      </c>
      <c r="G372" s="4" t="s">
        <v>3065</v>
      </c>
      <c r="H372" s="4" t="str">
        <f t="shared" si="8"/>
        <v>No</v>
      </c>
      <c r="I372" s="56"/>
    </row>
    <row r="373" spans="1:9">
      <c r="A373" s="97" t="s">
        <v>2446</v>
      </c>
      <c r="B373" s="97" t="s">
        <v>1418</v>
      </c>
      <c r="C373" s="163">
        <v>3763</v>
      </c>
      <c r="D373" s="95" t="s">
        <v>1436</v>
      </c>
      <c r="E373" s="142">
        <v>0.496</v>
      </c>
      <c r="F373" s="4" t="s">
        <v>3065</v>
      </c>
      <c r="G373" s="4" t="s">
        <v>2752</v>
      </c>
      <c r="H373" s="4" t="str">
        <f t="shared" si="8"/>
        <v>Yes</v>
      </c>
      <c r="I373" s="56"/>
    </row>
    <row r="374" spans="1:9">
      <c r="A374" s="56" t="s">
        <v>2446</v>
      </c>
      <c r="B374" s="97" t="s">
        <v>1418</v>
      </c>
      <c r="C374" s="163">
        <v>2189</v>
      </c>
      <c r="D374" s="56" t="s">
        <v>1421</v>
      </c>
      <c r="E374" s="142">
        <v>0.85003333333333331</v>
      </c>
      <c r="F374" s="4" t="s">
        <v>2752</v>
      </c>
      <c r="G374" s="4" t="s">
        <v>2752</v>
      </c>
      <c r="H374" s="4" t="str">
        <f t="shared" si="8"/>
        <v>No</v>
      </c>
      <c r="I374" s="56"/>
    </row>
    <row r="375" spans="1:9">
      <c r="A375" s="97" t="s">
        <v>2446</v>
      </c>
      <c r="B375" s="97" t="s">
        <v>1418</v>
      </c>
      <c r="C375" s="163">
        <v>5365</v>
      </c>
      <c r="D375" s="95" t="s">
        <v>1440</v>
      </c>
      <c r="E375" s="142">
        <v>0.43780000000000002</v>
      </c>
      <c r="F375" s="4" t="s">
        <v>3065</v>
      </c>
      <c r="G375" s="4" t="s">
        <v>2752</v>
      </c>
      <c r="H375" s="4" t="str">
        <f t="shared" si="8"/>
        <v>Yes</v>
      </c>
      <c r="I375" s="56"/>
    </row>
    <row r="376" spans="1:9">
      <c r="A376" s="97" t="s">
        <v>2446</v>
      </c>
      <c r="B376" s="97" t="s">
        <v>1418</v>
      </c>
      <c r="C376" s="163">
        <v>1880</v>
      </c>
      <c r="D376" s="95" t="s">
        <v>2776</v>
      </c>
      <c r="E376" s="142">
        <v>0.66666666666666663</v>
      </c>
      <c r="F376" s="4" t="s">
        <v>2752</v>
      </c>
      <c r="G376" s="4" t="s">
        <v>2752</v>
      </c>
      <c r="H376" s="4" t="str">
        <f t="shared" si="8"/>
        <v>No</v>
      </c>
      <c r="I376" s="56"/>
    </row>
    <row r="377" spans="1:9">
      <c r="A377" s="97" t="s">
        <v>2446</v>
      </c>
      <c r="B377" s="97" t="s">
        <v>1418</v>
      </c>
      <c r="C377" s="163">
        <v>1882</v>
      </c>
      <c r="D377" s="95" t="s">
        <v>1420</v>
      </c>
      <c r="E377" s="142">
        <v>0.61640000000000006</v>
      </c>
      <c r="F377" s="4" t="s">
        <v>2752</v>
      </c>
      <c r="G377" s="4" t="s">
        <v>2752</v>
      </c>
      <c r="H377" s="4" t="str">
        <f t="shared" si="8"/>
        <v>No</v>
      </c>
      <c r="I377" s="56"/>
    </row>
    <row r="378" spans="1:9">
      <c r="A378" s="97" t="s">
        <v>2446</v>
      </c>
      <c r="B378" s="97" t="s">
        <v>1418</v>
      </c>
      <c r="C378" s="163">
        <v>3500</v>
      </c>
      <c r="D378" s="95" t="s">
        <v>2875</v>
      </c>
      <c r="E378" s="142">
        <v>0.62679999999999991</v>
      </c>
      <c r="F378" s="4" t="s">
        <v>2752</v>
      </c>
      <c r="G378" s="4" t="s">
        <v>2752</v>
      </c>
      <c r="H378" s="4" t="str">
        <f t="shared" si="8"/>
        <v>No</v>
      </c>
      <c r="I378" s="56"/>
    </row>
    <row r="379" spans="1:9">
      <c r="A379" s="97" t="s">
        <v>2446</v>
      </c>
      <c r="B379" s="97" t="s">
        <v>1418</v>
      </c>
      <c r="C379" s="163">
        <v>2651</v>
      </c>
      <c r="D379" s="95" t="s">
        <v>1423</v>
      </c>
      <c r="E379" s="142">
        <v>0.89503333333333324</v>
      </c>
      <c r="F379" s="4" t="s">
        <v>2752</v>
      </c>
      <c r="G379" s="4" t="s">
        <v>2752</v>
      </c>
      <c r="H379" s="4" t="str">
        <f t="shared" si="8"/>
        <v>No</v>
      </c>
      <c r="I379" s="56"/>
    </row>
    <row r="380" spans="1:9">
      <c r="A380" s="97" t="s">
        <v>2446</v>
      </c>
      <c r="B380" s="97" t="s">
        <v>1418</v>
      </c>
      <c r="C380" s="163">
        <v>5297</v>
      </c>
      <c r="D380" s="95" t="s">
        <v>1438</v>
      </c>
      <c r="E380" s="142">
        <v>0.60636666666666672</v>
      </c>
      <c r="F380" s="4" t="s">
        <v>2752</v>
      </c>
      <c r="G380" s="4" t="s">
        <v>2752</v>
      </c>
      <c r="H380" s="4" t="str">
        <f t="shared" si="8"/>
        <v>No</v>
      </c>
      <c r="I380" s="56"/>
    </row>
    <row r="381" spans="1:9">
      <c r="A381" s="97" t="s">
        <v>2446</v>
      </c>
      <c r="B381" s="97" t="s">
        <v>1418</v>
      </c>
      <c r="C381" s="163">
        <v>3249</v>
      </c>
      <c r="D381" s="95" t="s">
        <v>1428</v>
      </c>
      <c r="E381" s="142">
        <v>0.81499999999999995</v>
      </c>
      <c r="F381" s="4" t="s">
        <v>2752</v>
      </c>
      <c r="G381" s="4" t="s">
        <v>2752</v>
      </c>
      <c r="H381" s="4" t="str">
        <f t="shared" si="8"/>
        <v>No</v>
      </c>
      <c r="I381" s="56"/>
    </row>
    <row r="382" spans="1:9">
      <c r="A382" s="97" t="s">
        <v>2544</v>
      </c>
      <c r="B382" s="97" t="s">
        <v>2140</v>
      </c>
      <c r="C382" s="163">
        <v>3366</v>
      </c>
      <c r="D382" s="95" t="s">
        <v>2142</v>
      </c>
      <c r="E382" s="142">
        <v>0.29356666666666664</v>
      </c>
      <c r="F382" s="4" t="s">
        <v>3065</v>
      </c>
      <c r="G382" s="4" t="s">
        <v>3065</v>
      </c>
      <c r="H382" s="4" t="str">
        <f t="shared" si="8"/>
        <v>No</v>
      </c>
      <c r="I382" s="56"/>
    </row>
    <row r="383" spans="1:9">
      <c r="A383" s="97" t="s">
        <v>2544</v>
      </c>
      <c r="B383" s="97" t="s">
        <v>2140</v>
      </c>
      <c r="C383" s="163">
        <v>2894</v>
      </c>
      <c r="D383" s="95" t="s">
        <v>2141</v>
      </c>
      <c r="E383" s="142">
        <v>0.30826666666666663</v>
      </c>
      <c r="F383" s="4" t="s">
        <v>3065</v>
      </c>
      <c r="G383" s="4" t="s">
        <v>3065</v>
      </c>
      <c r="H383" s="4" t="str">
        <f t="shared" si="8"/>
        <v>No</v>
      </c>
      <c r="I383" s="56"/>
    </row>
    <row r="384" spans="1:9">
      <c r="A384" s="97" t="s">
        <v>2527</v>
      </c>
      <c r="B384" s="97" t="s">
        <v>2049</v>
      </c>
      <c r="C384" s="163">
        <v>5362</v>
      </c>
      <c r="D384" s="95" t="s">
        <v>2052</v>
      </c>
      <c r="E384" s="142">
        <v>0.51549999999999996</v>
      </c>
      <c r="F384" s="4" t="s">
        <v>2752</v>
      </c>
      <c r="G384" s="4" t="s">
        <v>2752</v>
      </c>
      <c r="H384" s="4" t="str">
        <f t="shared" si="8"/>
        <v>No</v>
      </c>
      <c r="I384" s="56"/>
    </row>
    <row r="385" spans="1:9">
      <c r="A385" s="97" t="s">
        <v>2527</v>
      </c>
      <c r="B385" s="97" t="s">
        <v>2049</v>
      </c>
      <c r="C385" s="163">
        <v>5575</v>
      </c>
      <c r="D385" s="95" t="s">
        <v>2843</v>
      </c>
      <c r="E385" s="142">
        <v>0.26686666666666664</v>
      </c>
      <c r="F385" s="4" t="s">
        <v>3065</v>
      </c>
      <c r="G385" s="4" t="s">
        <v>3065</v>
      </c>
      <c r="H385" s="4" t="str">
        <f t="shared" si="8"/>
        <v>No</v>
      </c>
      <c r="I385" s="56"/>
    </row>
    <row r="386" spans="1:9">
      <c r="A386" s="97" t="s">
        <v>2527</v>
      </c>
      <c r="B386" s="97" t="s">
        <v>2049</v>
      </c>
      <c r="C386" s="163">
        <v>2114</v>
      </c>
      <c r="D386" s="95" t="s">
        <v>2050</v>
      </c>
      <c r="E386" s="142">
        <v>0.5383</v>
      </c>
      <c r="F386" s="4" t="s">
        <v>2752</v>
      </c>
      <c r="G386" s="4" t="s">
        <v>2752</v>
      </c>
      <c r="H386" s="4" t="str">
        <f t="shared" si="8"/>
        <v>No</v>
      </c>
      <c r="I386" s="56"/>
    </row>
    <row r="387" spans="1:9">
      <c r="A387" s="97" t="s">
        <v>2527</v>
      </c>
      <c r="B387" s="97" t="s">
        <v>2049</v>
      </c>
      <c r="C387" s="163">
        <v>3541</v>
      </c>
      <c r="D387" s="95" t="s">
        <v>2051</v>
      </c>
      <c r="E387" s="142">
        <v>0.57859999999999989</v>
      </c>
      <c r="F387" s="4" t="s">
        <v>2752</v>
      </c>
      <c r="G387" s="4" t="s">
        <v>2752</v>
      </c>
      <c r="H387" s="4" t="str">
        <f t="shared" si="8"/>
        <v>No</v>
      </c>
      <c r="I387" s="56"/>
    </row>
    <row r="388" spans="1:9">
      <c r="A388" s="97" t="s">
        <v>2548</v>
      </c>
      <c r="B388" s="97" t="s">
        <v>2152</v>
      </c>
      <c r="C388" s="163">
        <v>2588</v>
      </c>
      <c r="D388" s="95" t="s">
        <v>2153</v>
      </c>
      <c r="E388" s="142">
        <v>0.30633333333333335</v>
      </c>
      <c r="F388" s="4" t="s">
        <v>3065</v>
      </c>
      <c r="G388" s="4" t="s">
        <v>3065</v>
      </c>
      <c r="H388" s="4" t="str">
        <f t="shared" ref="H388:H451" si="9">IFERROR(IF(AND(G388="Yes",F388="No"),"Yes","No"),"No")</f>
        <v>No</v>
      </c>
      <c r="I388" s="56"/>
    </row>
    <row r="389" spans="1:9">
      <c r="A389" s="97" t="s">
        <v>2511</v>
      </c>
      <c r="B389" s="97" t="s">
        <v>1949</v>
      </c>
      <c r="C389" s="163">
        <v>3508</v>
      </c>
      <c r="D389" s="95" t="s">
        <v>1950</v>
      </c>
      <c r="E389" s="142">
        <v>0.72070000000000001</v>
      </c>
      <c r="F389" s="4" t="s">
        <v>2752</v>
      </c>
      <c r="G389" s="4" t="s">
        <v>2752</v>
      </c>
      <c r="H389" s="4" t="str">
        <f t="shared" si="9"/>
        <v>No</v>
      </c>
      <c r="I389" s="56"/>
    </row>
    <row r="390" spans="1:9">
      <c r="A390" s="97" t="s">
        <v>2529</v>
      </c>
      <c r="B390" s="97" t="s">
        <v>2055</v>
      </c>
      <c r="C390" s="163">
        <v>3613</v>
      </c>
      <c r="D390" s="95" t="s">
        <v>1637</v>
      </c>
      <c r="E390" s="142">
        <v>0.54159999999999997</v>
      </c>
      <c r="F390" s="4" t="s">
        <v>2752</v>
      </c>
      <c r="G390" s="4" t="s">
        <v>2752</v>
      </c>
      <c r="H390" s="4" t="str">
        <f t="shared" si="9"/>
        <v>No</v>
      </c>
      <c r="I390" s="56"/>
    </row>
    <row r="391" spans="1:9">
      <c r="A391" s="56" t="s">
        <v>2529</v>
      </c>
      <c r="B391" s="97" t="s">
        <v>2055</v>
      </c>
      <c r="C391" s="163">
        <v>4049</v>
      </c>
      <c r="D391" s="56" t="s">
        <v>1124</v>
      </c>
      <c r="E391" s="142">
        <v>0.52746666666666664</v>
      </c>
      <c r="F391" s="4" t="s">
        <v>2752</v>
      </c>
      <c r="G391" s="4" t="s">
        <v>2752</v>
      </c>
      <c r="H391" s="4" t="str">
        <f t="shared" si="9"/>
        <v>No</v>
      </c>
      <c r="I391" s="56"/>
    </row>
    <row r="392" spans="1:9">
      <c r="A392" s="97" t="s">
        <v>2529</v>
      </c>
      <c r="B392" s="97" t="s">
        <v>2055</v>
      </c>
      <c r="C392" s="163">
        <v>3012</v>
      </c>
      <c r="D392" s="95" t="s">
        <v>2056</v>
      </c>
      <c r="E392" s="142">
        <v>0.59889999999999999</v>
      </c>
      <c r="F392" s="4" t="s">
        <v>2752</v>
      </c>
      <c r="G392" s="4" t="s">
        <v>2752</v>
      </c>
      <c r="H392" s="4" t="str">
        <f t="shared" si="9"/>
        <v>No</v>
      </c>
      <c r="I392" s="56"/>
    </row>
    <row r="393" spans="1:9">
      <c r="A393" s="97" t="s">
        <v>2507</v>
      </c>
      <c r="B393" s="97" t="s">
        <v>1936</v>
      </c>
      <c r="C393" s="163">
        <v>3831</v>
      </c>
      <c r="D393" s="95" t="s">
        <v>1940</v>
      </c>
      <c r="E393" s="142">
        <v>0.50866666666666671</v>
      </c>
      <c r="F393" s="4" t="s">
        <v>2752</v>
      </c>
      <c r="G393" s="4" t="s">
        <v>2752</v>
      </c>
      <c r="H393" s="4" t="str">
        <f t="shared" si="9"/>
        <v>No</v>
      </c>
      <c r="I393" s="56"/>
    </row>
    <row r="394" spans="1:9">
      <c r="A394" s="97" t="s">
        <v>2507</v>
      </c>
      <c r="B394" s="97" t="s">
        <v>1936</v>
      </c>
      <c r="C394" s="163">
        <v>3310</v>
      </c>
      <c r="D394" s="95" t="s">
        <v>1939</v>
      </c>
      <c r="E394" s="142">
        <v>0.45346666666666668</v>
      </c>
      <c r="F394" s="4" t="s">
        <v>3065</v>
      </c>
      <c r="G394" s="4" t="s">
        <v>3065</v>
      </c>
      <c r="H394" s="4" t="str">
        <f t="shared" si="9"/>
        <v>No</v>
      </c>
      <c r="I394" s="56"/>
    </row>
    <row r="395" spans="1:9">
      <c r="A395" s="97" t="s">
        <v>2507</v>
      </c>
      <c r="B395" s="97" t="s">
        <v>1936</v>
      </c>
      <c r="C395" s="163">
        <v>4180</v>
      </c>
      <c r="D395" s="95" t="s">
        <v>1941</v>
      </c>
      <c r="E395" s="142">
        <v>0.56956666666666667</v>
      </c>
      <c r="F395" s="4" t="s">
        <v>2752</v>
      </c>
      <c r="G395" s="4" t="s">
        <v>2752</v>
      </c>
      <c r="H395" s="4" t="str">
        <f t="shared" si="9"/>
        <v>No</v>
      </c>
      <c r="I395" s="56"/>
    </row>
    <row r="396" spans="1:9">
      <c r="A396" s="97" t="s">
        <v>2507</v>
      </c>
      <c r="B396" s="97" t="s">
        <v>1936</v>
      </c>
      <c r="C396" s="163">
        <v>2957</v>
      </c>
      <c r="D396" s="95" t="s">
        <v>1938</v>
      </c>
      <c r="E396" s="142">
        <v>0.50873333333333337</v>
      </c>
      <c r="F396" s="4" t="s">
        <v>2752</v>
      </c>
      <c r="G396" s="4" t="s">
        <v>2752</v>
      </c>
      <c r="H396" s="4" t="str">
        <f t="shared" si="9"/>
        <v>No</v>
      </c>
      <c r="I396" s="56"/>
    </row>
    <row r="397" spans="1:9">
      <c r="A397" s="97" t="s">
        <v>2507</v>
      </c>
      <c r="B397" s="97" t="s">
        <v>1936</v>
      </c>
      <c r="C397" s="163">
        <v>1594</v>
      </c>
      <c r="D397" s="95" t="s">
        <v>1937</v>
      </c>
      <c r="E397" s="142">
        <v>0.5440666666666667</v>
      </c>
      <c r="F397" s="4" t="s">
        <v>2752</v>
      </c>
      <c r="G397" s="4" t="s">
        <v>2752</v>
      </c>
      <c r="H397" s="4" t="str">
        <f t="shared" si="9"/>
        <v>No</v>
      </c>
      <c r="I397" s="56"/>
    </row>
    <row r="398" spans="1:9">
      <c r="A398" s="97" t="s">
        <v>2460</v>
      </c>
      <c r="B398" s="97" t="s">
        <v>1542</v>
      </c>
      <c r="C398" s="163">
        <v>2577</v>
      </c>
      <c r="D398" s="95" t="s">
        <v>1544</v>
      </c>
      <c r="E398" s="142">
        <v>0.7488999999999999</v>
      </c>
      <c r="F398" s="4" t="s">
        <v>2752</v>
      </c>
      <c r="G398" s="4" t="s">
        <v>2752</v>
      </c>
      <c r="H398" s="4" t="str">
        <f t="shared" si="9"/>
        <v>No</v>
      </c>
      <c r="I398" s="56"/>
    </row>
    <row r="399" spans="1:9">
      <c r="A399" s="97" t="s">
        <v>2460</v>
      </c>
      <c r="B399" s="97" t="s">
        <v>1542</v>
      </c>
      <c r="C399" s="163">
        <v>2810</v>
      </c>
      <c r="D399" s="95" t="s">
        <v>1545</v>
      </c>
      <c r="E399" s="142">
        <v>0.79033333333333333</v>
      </c>
      <c r="F399" s="4" t="s">
        <v>2752</v>
      </c>
      <c r="G399" s="4" t="s">
        <v>2752</v>
      </c>
      <c r="H399" s="4" t="str">
        <f t="shared" si="9"/>
        <v>No</v>
      </c>
      <c r="I399" s="56"/>
    </row>
    <row r="400" spans="1:9">
      <c r="A400" s="97" t="s">
        <v>2460</v>
      </c>
      <c r="B400" s="97" t="s">
        <v>1542</v>
      </c>
      <c r="C400" s="163">
        <v>1605</v>
      </c>
      <c r="D400" s="95" t="s">
        <v>1543</v>
      </c>
      <c r="E400" s="142">
        <v>0.67410000000000003</v>
      </c>
      <c r="F400" s="4" t="s">
        <v>2752</v>
      </c>
      <c r="G400" s="4" t="s">
        <v>2752</v>
      </c>
      <c r="H400" s="4" t="str">
        <f t="shared" si="9"/>
        <v>No</v>
      </c>
      <c r="I400" s="56"/>
    </row>
    <row r="401" spans="1:9">
      <c r="A401" s="97" t="s">
        <v>2465</v>
      </c>
      <c r="B401" s="97" t="s">
        <v>1573</v>
      </c>
      <c r="C401" s="163">
        <v>2578</v>
      </c>
      <c r="D401" s="95" t="s">
        <v>1574</v>
      </c>
      <c r="E401" s="142">
        <v>0.17860000000000001</v>
      </c>
      <c r="F401" s="4" t="s">
        <v>3065</v>
      </c>
      <c r="G401" s="4" t="s">
        <v>3065</v>
      </c>
      <c r="H401" s="4" t="str">
        <f t="shared" si="9"/>
        <v>No</v>
      </c>
      <c r="I401" s="56"/>
    </row>
    <row r="402" spans="1:9">
      <c r="A402" s="97" t="s">
        <v>2335</v>
      </c>
      <c r="B402" s="97" t="s">
        <v>501</v>
      </c>
      <c r="C402" s="163">
        <v>3326</v>
      </c>
      <c r="D402" s="95" t="s">
        <v>502</v>
      </c>
      <c r="E402" s="142">
        <v>0.42336666666666667</v>
      </c>
      <c r="F402" s="4" t="s">
        <v>3065</v>
      </c>
      <c r="G402" s="4" t="s">
        <v>3065</v>
      </c>
      <c r="H402" s="4" t="str">
        <f t="shared" si="9"/>
        <v>No</v>
      </c>
      <c r="I402" s="56"/>
    </row>
    <row r="403" spans="1:9">
      <c r="A403" s="97" t="s">
        <v>2320</v>
      </c>
      <c r="B403" s="97" t="s">
        <v>425</v>
      </c>
      <c r="C403" s="163">
        <v>2968</v>
      </c>
      <c r="D403" s="95" t="s">
        <v>427</v>
      </c>
      <c r="E403" s="142">
        <v>0.41539999999999999</v>
      </c>
      <c r="F403" s="4" t="s">
        <v>3065</v>
      </c>
      <c r="G403" s="4" t="s">
        <v>3065</v>
      </c>
      <c r="H403" s="4" t="str">
        <f t="shared" si="9"/>
        <v>No</v>
      </c>
      <c r="I403" s="56"/>
    </row>
    <row r="404" spans="1:9">
      <c r="A404" s="97" t="s">
        <v>2320</v>
      </c>
      <c r="B404" s="97" t="s">
        <v>425</v>
      </c>
      <c r="C404" s="163">
        <v>2693</v>
      </c>
      <c r="D404" s="95" t="s">
        <v>426</v>
      </c>
      <c r="E404" s="142">
        <v>0.45406666666666667</v>
      </c>
      <c r="F404" s="4" t="s">
        <v>3065</v>
      </c>
      <c r="G404" s="4" t="s">
        <v>3065</v>
      </c>
      <c r="H404" s="4" t="str">
        <f t="shared" si="9"/>
        <v>No</v>
      </c>
      <c r="I404" s="56"/>
    </row>
    <row r="405" spans="1:9">
      <c r="A405" s="97" t="s">
        <v>2341</v>
      </c>
      <c r="B405" s="97" t="s">
        <v>522</v>
      </c>
      <c r="C405" s="163">
        <v>3664</v>
      </c>
      <c r="D405" s="95" t="s">
        <v>524</v>
      </c>
      <c r="E405" s="142">
        <v>0.33183333333333337</v>
      </c>
      <c r="F405" s="4" t="s">
        <v>3065</v>
      </c>
      <c r="G405" s="4" t="s">
        <v>3065</v>
      </c>
      <c r="H405" s="4" t="str">
        <f t="shared" si="9"/>
        <v>No</v>
      </c>
      <c r="I405" s="56"/>
    </row>
    <row r="406" spans="1:9">
      <c r="A406" s="97" t="s">
        <v>2341</v>
      </c>
      <c r="B406" s="97" t="s">
        <v>522</v>
      </c>
      <c r="C406" s="163">
        <v>2625</v>
      </c>
      <c r="D406" s="95" t="s">
        <v>523</v>
      </c>
      <c r="E406" s="142">
        <v>0.27843333333333331</v>
      </c>
      <c r="F406" s="4" t="s">
        <v>3065</v>
      </c>
      <c r="G406" s="4" t="s">
        <v>3065</v>
      </c>
      <c r="H406" s="4" t="str">
        <f t="shared" si="9"/>
        <v>No</v>
      </c>
      <c r="I406" s="56"/>
    </row>
    <row r="407" spans="1:9">
      <c r="A407" s="97" t="s">
        <v>2341</v>
      </c>
      <c r="B407" s="97" t="s">
        <v>522</v>
      </c>
      <c r="C407" s="163">
        <v>4004</v>
      </c>
      <c r="D407" s="95" t="s">
        <v>525</v>
      </c>
      <c r="E407" s="142">
        <v>0.33089999999999997</v>
      </c>
      <c r="F407" s="4" t="s">
        <v>3065</v>
      </c>
      <c r="G407" s="4" t="s">
        <v>3065</v>
      </c>
      <c r="H407" s="4" t="str">
        <f t="shared" si="9"/>
        <v>No</v>
      </c>
      <c r="I407" s="56"/>
    </row>
    <row r="408" spans="1:9">
      <c r="A408" s="56" t="s">
        <v>2341</v>
      </c>
      <c r="B408" s="97" t="s">
        <v>522</v>
      </c>
      <c r="C408" s="163">
        <v>5412</v>
      </c>
      <c r="D408" s="56" t="s">
        <v>526</v>
      </c>
      <c r="E408" s="142">
        <v>0.56856666666666666</v>
      </c>
      <c r="F408" s="4" t="s">
        <v>2752</v>
      </c>
      <c r="G408" s="4" t="s">
        <v>2752</v>
      </c>
      <c r="H408" s="4" t="str">
        <f t="shared" si="9"/>
        <v>No</v>
      </c>
      <c r="I408" s="56"/>
    </row>
    <row r="409" spans="1:9">
      <c r="A409" s="97" t="s">
        <v>2278</v>
      </c>
      <c r="B409" s="97" t="s">
        <v>145</v>
      </c>
      <c r="C409" s="163">
        <v>3473</v>
      </c>
      <c r="D409" s="95" t="s">
        <v>146</v>
      </c>
      <c r="E409" s="142">
        <v>0.56343333333333334</v>
      </c>
      <c r="F409" s="4" t="s">
        <v>2752</v>
      </c>
      <c r="G409" s="4" t="s">
        <v>2752</v>
      </c>
      <c r="H409" s="4" t="str">
        <f t="shared" si="9"/>
        <v>No</v>
      </c>
      <c r="I409" s="56"/>
    </row>
    <row r="410" spans="1:9">
      <c r="A410" s="97" t="s">
        <v>2278</v>
      </c>
      <c r="B410" s="97" t="s">
        <v>145</v>
      </c>
      <c r="C410" s="163">
        <v>5030</v>
      </c>
      <c r="D410" s="95" t="s">
        <v>147</v>
      </c>
      <c r="E410" s="142">
        <v>0.4437666666666667</v>
      </c>
      <c r="F410" s="4" t="s">
        <v>3065</v>
      </c>
      <c r="G410" s="4" t="s">
        <v>3065</v>
      </c>
      <c r="H410" s="4" t="str">
        <f t="shared" si="9"/>
        <v>No</v>
      </c>
      <c r="I410" s="56"/>
    </row>
    <row r="411" spans="1:9">
      <c r="A411" s="97" t="s">
        <v>2409</v>
      </c>
      <c r="B411" s="97" t="s">
        <v>1189</v>
      </c>
      <c r="C411" s="163">
        <v>2862</v>
      </c>
      <c r="D411" s="95" t="s">
        <v>1190</v>
      </c>
      <c r="E411" s="142">
        <v>0.5</v>
      </c>
      <c r="F411" s="4" t="s">
        <v>2752</v>
      </c>
      <c r="G411" s="4" t="s">
        <v>3065</v>
      </c>
      <c r="H411" s="4" t="str">
        <f t="shared" si="9"/>
        <v>No</v>
      </c>
      <c r="I411" s="56"/>
    </row>
    <row r="412" spans="1:9">
      <c r="A412" s="56" t="s">
        <v>2409</v>
      </c>
      <c r="B412" s="97" t="s">
        <v>1189</v>
      </c>
      <c r="C412" s="163">
        <v>2863</v>
      </c>
      <c r="D412" s="56" t="s">
        <v>1191</v>
      </c>
      <c r="E412" s="142">
        <v>0.32046666666666662</v>
      </c>
      <c r="F412" s="4" t="s">
        <v>3065</v>
      </c>
      <c r="G412" s="4" t="s">
        <v>3065</v>
      </c>
      <c r="H412" s="4" t="str">
        <f t="shared" si="9"/>
        <v>No</v>
      </c>
      <c r="I412" s="56"/>
    </row>
    <row r="413" spans="1:9">
      <c r="A413" s="97" t="s">
        <v>2308</v>
      </c>
      <c r="B413" s="97" t="s">
        <v>360</v>
      </c>
      <c r="C413" s="163">
        <v>2006</v>
      </c>
      <c r="D413" s="95" t="s">
        <v>361</v>
      </c>
      <c r="E413" s="142">
        <v>0.62673333333333325</v>
      </c>
      <c r="F413" s="4" t="s">
        <v>2752</v>
      </c>
      <c r="G413" s="4" t="s">
        <v>2752</v>
      </c>
      <c r="H413" s="4" t="str">
        <f t="shared" si="9"/>
        <v>No</v>
      </c>
      <c r="I413" s="56"/>
    </row>
    <row r="414" spans="1:9">
      <c r="A414" s="97" t="s">
        <v>2436</v>
      </c>
      <c r="B414" s="97" t="s">
        <v>1285</v>
      </c>
      <c r="C414" s="163">
        <v>2770</v>
      </c>
      <c r="D414" s="95" t="s">
        <v>1287</v>
      </c>
      <c r="E414" s="142">
        <v>0.69840000000000002</v>
      </c>
      <c r="F414" s="4" t="s">
        <v>2752</v>
      </c>
      <c r="G414" s="4" t="s">
        <v>2752</v>
      </c>
      <c r="H414" s="4" t="str">
        <f t="shared" si="9"/>
        <v>No</v>
      </c>
      <c r="I414" s="56"/>
    </row>
    <row r="415" spans="1:9">
      <c r="A415" s="97" t="s">
        <v>2436</v>
      </c>
      <c r="B415" s="97" t="s">
        <v>1285</v>
      </c>
      <c r="C415" s="163">
        <v>2423</v>
      </c>
      <c r="D415" s="95" t="s">
        <v>1286</v>
      </c>
      <c r="E415" s="142">
        <v>0.74940000000000007</v>
      </c>
      <c r="F415" s="4" t="s">
        <v>2752</v>
      </c>
      <c r="G415" s="4" t="s">
        <v>2752</v>
      </c>
      <c r="H415" s="4" t="str">
        <f t="shared" si="9"/>
        <v>No</v>
      </c>
      <c r="I415" s="56"/>
    </row>
    <row r="416" spans="1:9">
      <c r="A416" s="97" t="s">
        <v>2436</v>
      </c>
      <c r="B416" s="97" t="s">
        <v>1285</v>
      </c>
      <c r="C416" s="163">
        <v>5538</v>
      </c>
      <c r="D416" s="95" t="s">
        <v>2799</v>
      </c>
      <c r="E416" s="142">
        <v>0.46066666666666672</v>
      </c>
      <c r="F416" s="4" t="s">
        <v>3065</v>
      </c>
      <c r="G416" s="4" t="s">
        <v>3065</v>
      </c>
      <c r="H416" s="4" t="str">
        <f t="shared" si="9"/>
        <v>No</v>
      </c>
      <c r="I416" s="56"/>
    </row>
    <row r="417" spans="1:9">
      <c r="A417" s="97" t="s">
        <v>2436</v>
      </c>
      <c r="B417" s="97" t="s">
        <v>1285</v>
      </c>
      <c r="C417" s="163">
        <v>5539</v>
      </c>
      <c r="D417" s="95" t="s">
        <v>2817</v>
      </c>
      <c r="E417" s="142">
        <v>0.73909999999999998</v>
      </c>
      <c r="F417" s="4" t="s">
        <v>2752</v>
      </c>
      <c r="G417" s="4" t="s">
        <v>3065</v>
      </c>
      <c r="H417" s="4" t="str">
        <f t="shared" si="9"/>
        <v>No</v>
      </c>
      <c r="I417" s="56"/>
    </row>
    <row r="418" spans="1:9">
      <c r="A418" s="56" t="s">
        <v>2377</v>
      </c>
      <c r="B418" s="97" t="s">
        <v>1083</v>
      </c>
      <c r="C418" s="163">
        <v>2077</v>
      </c>
      <c r="D418" s="56" t="s">
        <v>1084</v>
      </c>
      <c r="E418" s="142">
        <v>0</v>
      </c>
      <c r="F418" s="4" t="s">
        <v>3065</v>
      </c>
      <c r="G418" s="4" t="s">
        <v>3065</v>
      </c>
      <c r="H418" s="4" t="str">
        <f t="shared" si="9"/>
        <v>No</v>
      </c>
      <c r="I418" s="56"/>
    </row>
    <row r="419" spans="1:9">
      <c r="A419" s="97" t="s">
        <v>2483</v>
      </c>
      <c r="B419" s="97" t="s">
        <v>1752</v>
      </c>
      <c r="C419" s="163">
        <v>3609</v>
      </c>
      <c r="D419" s="95" t="s">
        <v>1753</v>
      </c>
      <c r="E419" s="142">
        <v>0.51753333333333329</v>
      </c>
      <c r="F419" s="4" t="s">
        <v>2752</v>
      </c>
      <c r="G419" s="4" t="s">
        <v>2752</v>
      </c>
      <c r="H419" s="4" t="str">
        <f t="shared" si="9"/>
        <v>No</v>
      </c>
      <c r="I419" s="56"/>
    </row>
    <row r="420" spans="1:9">
      <c r="A420" s="97" t="s">
        <v>2483</v>
      </c>
      <c r="B420" s="97" t="s">
        <v>1752</v>
      </c>
      <c r="C420" s="163">
        <v>3188</v>
      </c>
      <c r="D420" s="95" t="s">
        <v>2876</v>
      </c>
      <c r="E420" s="142">
        <v>0.41593333333333332</v>
      </c>
      <c r="F420" s="4" t="s">
        <v>3065</v>
      </c>
      <c r="G420" s="4" t="s">
        <v>3065</v>
      </c>
      <c r="H420" s="4" t="str">
        <f t="shared" si="9"/>
        <v>No</v>
      </c>
      <c r="I420" s="56"/>
    </row>
    <row r="421" spans="1:9">
      <c r="A421" s="97" t="s">
        <v>2413</v>
      </c>
      <c r="B421" s="97" t="s">
        <v>1201</v>
      </c>
      <c r="C421" s="163">
        <v>2668</v>
      </c>
      <c r="D421" s="95" t="s">
        <v>1202</v>
      </c>
      <c r="E421" s="142">
        <v>0.48049999999999998</v>
      </c>
      <c r="F421" s="4" t="s">
        <v>3065</v>
      </c>
      <c r="G421" s="4" t="s">
        <v>2752</v>
      </c>
      <c r="H421" s="4" t="str">
        <f t="shared" si="9"/>
        <v>Yes</v>
      </c>
      <c r="I421" s="56"/>
    </row>
    <row r="422" spans="1:9">
      <c r="A422" s="97" t="s">
        <v>2413</v>
      </c>
      <c r="B422" s="97" t="s">
        <v>1201</v>
      </c>
      <c r="C422" s="163">
        <v>3173</v>
      </c>
      <c r="D422" s="95" t="s">
        <v>1203</v>
      </c>
      <c r="E422" s="142">
        <v>0.45283333333333337</v>
      </c>
      <c r="F422" s="4" t="s">
        <v>3065</v>
      </c>
      <c r="G422" s="4" t="s">
        <v>3065</v>
      </c>
      <c r="H422" s="4" t="str">
        <f t="shared" si="9"/>
        <v>No</v>
      </c>
      <c r="I422" s="56"/>
    </row>
    <row r="423" spans="1:9">
      <c r="A423" s="97" t="s">
        <v>2293</v>
      </c>
      <c r="B423" s="97" t="s">
        <v>290</v>
      </c>
      <c r="C423" s="163">
        <v>2830</v>
      </c>
      <c r="D423" s="95" t="s">
        <v>292</v>
      </c>
      <c r="E423" s="142">
        <v>0.4985</v>
      </c>
      <c r="F423" s="4" t="s">
        <v>2752</v>
      </c>
      <c r="G423" s="4" t="s">
        <v>2752</v>
      </c>
      <c r="H423" s="4" t="str">
        <f t="shared" si="9"/>
        <v>No</v>
      </c>
      <c r="I423" s="56"/>
    </row>
    <row r="424" spans="1:9">
      <c r="A424" s="97" t="s">
        <v>2293</v>
      </c>
      <c r="B424" s="97" t="s">
        <v>290</v>
      </c>
      <c r="C424" s="163">
        <v>2302</v>
      </c>
      <c r="D424" s="95" t="s">
        <v>291</v>
      </c>
      <c r="E424" s="142">
        <v>0.53609999999999991</v>
      </c>
      <c r="F424" s="4" t="s">
        <v>2752</v>
      </c>
      <c r="G424" s="4" t="s">
        <v>2752</v>
      </c>
      <c r="H424" s="4" t="str">
        <f t="shared" si="9"/>
        <v>No</v>
      </c>
      <c r="I424" s="56"/>
    </row>
    <row r="425" spans="1:9">
      <c r="A425" s="97" t="s">
        <v>2293</v>
      </c>
      <c r="B425" s="97" t="s">
        <v>290</v>
      </c>
      <c r="C425" s="163">
        <v>4011</v>
      </c>
      <c r="D425" s="95" t="s">
        <v>293</v>
      </c>
      <c r="E425" s="142">
        <v>0.52910000000000001</v>
      </c>
      <c r="F425" s="4" t="s">
        <v>2752</v>
      </c>
      <c r="G425" s="4" t="s">
        <v>2752</v>
      </c>
      <c r="H425" s="4" t="str">
        <f t="shared" si="9"/>
        <v>No</v>
      </c>
      <c r="I425" s="56"/>
    </row>
    <row r="426" spans="1:9">
      <c r="A426" s="97" t="s">
        <v>2293</v>
      </c>
      <c r="B426" s="97" t="s">
        <v>290</v>
      </c>
      <c r="C426" s="163">
        <v>5617</v>
      </c>
      <c r="D426" s="95" t="s">
        <v>2877</v>
      </c>
      <c r="E426" s="142">
        <v>0.45</v>
      </c>
      <c r="F426" s="4" t="s">
        <v>3065</v>
      </c>
      <c r="G426" s="4" t="s">
        <v>3065</v>
      </c>
      <c r="H426" s="4" t="str">
        <f t="shared" si="9"/>
        <v>No</v>
      </c>
      <c r="I426" s="56"/>
    </row>
    <row r="427" spans="1:9">
      <c r="A427" s="97" t="s">
        <v>2498</v>
      </c>
      <c r="B427" s="97" t="s">
        <v>1908</v>
      </c>
      <c r="C427" s="163">
        <v>2173</v>
      </c>
      <c r="D427" s="95" t="s">
        <v>1910</v>
      </c>
      <c r="E427" s="142">
        <v>0.51893333333333336</v>
      </c>
      <c r="F427" s="4" t="s">
        <v>2752</v>
      </c>
      <c r="G427" s="4" t="s">
        <v>2752</v>
      </c>
      <c r="H427" s="4" t="str">
        <f t="shared" si="9"/>
        <v>No</v>
      </c>
      <c r="I427" s="56"/>
    </row>
    <row r="428" spans="1:9">
      <c r="A428" s="97" t="s">
        <v>2498</v>
      </c>
      <c r="B428" s="97" t="s">
        <v>1908</v>
      </c>
      <c r="C428" s="163">
        <v>2430</v>
      </c>
      <c r="D428" s="95" t="s">
        <v>1911</v>
      </c>
      <c r="E428" s="142">
        <v>0.52113333333333334</v>
      </c>
      <c r="F428" s="4" t="s">
        <v>2752</v>
      </c>
      <c r="G428" s="4" t="s">
        <v>2752</v>
      </c>
      <c r="H428" s="4" t="str">
        <f t="shared" si="9"/>
        <v>No</v>
      </c>
      <c r="I428" s="56"/>
    </row>
    <row r="429" spans="1:9">
      <c r="A429" s="97" t="s">
        <v>2498</v>
      </c>
      <c r="B429" s="97" t="s">
        <v>1908</v>
      </c>
      <c r="C429" s="163">
        <v>4123</v>
      </c>
      <c r="D429" s="95" t="s">
        <v>1913</v>
      </c>
      <c r="E429" s="142">
        <v>0.48560000000000003</v>
      </c>
      <c r="F429" s="4" t="s">
        <v>3065</v>
      </c>
      <c r="G429" s="4" t="s">
        <v>3065</v>
      </c>
      <c r="H429" s="4" t="str">
        <f t="shared" si="9"/>
        <v>No</v>
      </c>
      <c r="I429" s="56"/>
    </row>
    <row r="430" spans="1:9">
      <c r="A430" s="97" t="s">
        <v>2498</v>
      </c>
      <c r="B430" s="97" t="s">
        <v>1908</v>
      </c>
      <c r="C430" s="163">
        <v>1852</v>
      </c>
      <c r="D430" s="95" t="s">
        <v>1909</v>
      </c>
      <c r="E430" s="142">
        <v>0.315</v>
      </c>
      <c r="F430" s="4" t="s">
        <v>3065</v>
      </c>
      <c r="G430" s="4" t="s">
        <v>3065</v>
      </c>
      <c r="H430" s="4" t="str">
        <f t="shared" si="9"/>
        <v>No</v>
      </c>
      <c r="I430" s="56"/>
    </row>
    <row r="431" spans="1:9">
      <c r="A431" s="97" t="s">
        <v>2498</v>
      </c>
      <c r="B431" s="97" t="s">
        <v>1908</v>
      </c>
      <c r="C431" s="163">
        <v>3261</v>
      </c>
      <c r="D431" s="95" t="s">
        <v>1912</v>
      </c>
      <c r="E431" s="142">
        <v>0.53086666666666671</v>
      </c>
      <c r="F431" s="4" t="s">
        <v>2752</v>
      </c>
      <c r="G431" s="4" t="s">
        <v>2752</v>
      </c>
      <c r="H431" s="4" t="str">
        <f t="shared" si="9"/>
        <v>No</v>
      </c>
      <c r="I431" s="56"/>
    </row>
    <row r="432" spans="1:9">
      <c r="A432" s="97" t="s">
        <v>2444</v>
      </c>
      <c r="B432" s="97" t="s">
        <v>1409</v>
      </c>
      <c r="C432" s="163">
        <v>4548</v>
      </c>
      <c r="D432" s="95" t="s">
        <v>1412</v>
      </c>
      <c r="E432" s="142">
        <v>0.15833333333333333</v>
      </c>
      <c r="F432" s="4" t="s">
        <v>3065</v>
      </c>
      <c r="G432" s="4" t="s">
        <v>3065</v>
      </c>
      <c r="H432" s="4" t="str">
        <f t="shared" si="9"/>
        <v>No</v>
      </c>
      <c r="I432" s="56"/>
    </row>
    <row r="433" spans="1:9">
      <c r="A433" s="97" t="s">
        <v>2444</v>
      </c>
      <c r="B433" s="97" t="s">
        <v>1409</v>
      </c>
      <c r="C433" s="163">
        <v>3683</v>
      </c>
      <c r="D433" s="95" t="s">
        <v>1410</v>
      </c>
      <c r="E433" s="142">
        <v>0.14669999999999997</v>
      </c>
      <c r="F433" s="4" t="s">
        <v>3065</v>
      </c>
      <c r="G433" s="4" t="s">
        <v>3065</v>
      </c>
      <c r="H433" s="4" t="str">
        <f t="shared" si="9"/>
        <v>No</v>
      </c>
      <c r="I433" s="56"/>
    </row>
    <row r="434" spans="1:9">
      <c r="A434" s="97" t="s">
        <v>2444</v>
      </c>
      <c r="B434" s="97" t="s">
        <v>1409</v>
      </c>
      <c r="C434" s="163">
        <v>4416</v>
      </c>
      <c r="D434" s="95" t="s">
        <v>1411</v>
      </c>
      <c r="E434" s="142">
        <v>0.15883333333333335</v>
      </c>
      <c r="F434" s="4" t="s">
        <v>3065</v>
      </c>
      <c r="G434" s="4" t="s">
        <v>3065</v>
      </c>
      <c r="H434" s="4" t="str">
        <f t="shared" si="9"/>
        <v>No</v>
      </c>
      <c r="I434" s="56"/>
    </row>
    <row r="435" spans="1:9">
      <c r="A435" s="97" t="s">
        <v>2525</v>
      </c>
      <c r="B435" s="97" t="s">
        <v>2039</v>
      </c>
      <c r="C435" s="163">
        <v>2278</v>
      </c>
      <c r="D435" s="95" t="s">
        <v>2040</v>
      </c>
      <c r="E435" s="142">
        <v>1</v>
      </c>
      <c r="F435" s="4" t="s">
        <v>2752</v>
      </c>
      <c r="G435" s="4" t="s">
        <v>2752</v>
      </c>
      <c r="H435" s="4" t="str">
        <f t="shared" si="9"/>
        <v>No</v>
      </c>
      <c r="I435" s="56"/>
    </row>
    <row r="436" spans="1:9">
      <c r="A436" s="97" t="s">
        <v>2495</v>
      </c>
      <c r="B436" s="97" t="s">
        <v>1886</v>
      </c>
      <c r="C436" s="163">
        <v>1712</v>
      </c>
      <c r="D436" s="95" t="s">
        <v>1887</v>
      </c>
      <c r="E436" s="142">
        <v>0.27076666666666666</v>
      </c>
      <c r="F436" s="4" t="s">
        <v>3065</v>
      </c>
      <c r="G436" s="4" t="s">
        <v>3065</v>
      </c>
      <c r="H436" s="4" t="str">
        <f t="shared" si="9"/>
        <v>No</v>
      </c>
      <c r="I436" s="56"/>
    </row>
    <row r="437" spans="1:9">
      <c r="A437" s="97" t="s">
        <v>2495</v>
      </c>
      <c r="B437" s="97" t="s">
        <v>1886</v>
      </c>
      <c r="C437" s="163">
        <v>4097</v>
      </c>
      <c r="D437" s="95" t="s">
        <v>2878</v>
      </c>
      <c r="E437" s="142">
        <v>0.56533333333333335</v>
      </c>
      <c r="F437" s="4" t="s">
        <v>2752</v>
      </c>
      <c r="G437" s="4" t="s">
        <v>2752</v>
      </c>
      <c r="H437" s="4" t="str">
        <f t="shared" si="9"/>
        <v>No</v>
      </c>
      <c r="I437" s="56"/>
    </row>
    <row r="438" spans="1:9">
      <c r="A438" s="97" t="s">
        <v>2495</v>
      </c>
      <c r="B438" s="97" t="s">
        <v>1886</v>
      </c>
      <c r="C438" s="163">
        <v>3360</v>
      </c>
      <c r="D438" s="95" t="s">
        <v>1891</v>
      </c>
      <c r="E438" s="142">
        <v>0.47616666666666668</v>
      </c>
      <c r="F438" s="4" t="s">
        <v>3065</v>
      </c>
      <c r="G438" s="4" t="s">
        <v>3065</v>
      </c>
      <c r="H438" s="4" t="str">
        <f t="shared" si="9"/>
        <v>No</v>
      </c>
      <c r="I438" s="56"/>
    </row>
    <row r="439" spans="1:9">
      <c r="A439" s="97" t="s">
        <v>2495</v>
      </c>
      <c r="B439" s="97" t="s">
        <v>1886</v>
      </c>
      <c r="C439" s="163">
        <v>5346</v>
      </c>
      <c r="D439" s="95" t="s">
        <v>1892</v>
      </c>
      <c r="E439" s="142">
        <v>0.60993333333333333</v>
      </c>
      <c r="F439" s="4" t="s">
        <v>2752</v>
      </c>
      <c r="G439" s="4" t="s">
        <v>2752</v>
      </c>
      <c r="H439" s="4" t="str">
        <f t="shared" si="9"/>
        <v>No</v>
      </c>
      <c r="I439" s="56"/>
    </row>
    <row r="440" spans="1:9">
      <c r="A440" s="97" t="s">
        <v>2495</v>
      </c>
      <c r="B440" s="97" t="s">
        <v>1886</v>
      </c>
      <c r="C440" s="163">
        <v>5432</v>
      </c>
      <c r="D440" s="95" t="s">
        <v>1893</v>
      </c>
      <c r="E440" s="142">
        <v>0.47216666666666662</v>
      </c>
      <c r="F440" s="4" t="s">
        <v>3065</v>
      </c>
      <c r="G440" s="4" t="s">
        <v>3065</v>
      </c>
      <c r="H440" s="4" t="str">
        <f t="shared" si="9"/>
        <v>No</v>
      </c>
      <c r="I440" s="56"/>
    </row>
    <row r="441" spans="1:9">
      <c r="A441" s="97" t="s">
        <v>2495</v>
      </c>
      <c r="B441" s="97" t="s">
        <v>1886</v>
      </c>
      <c r="C441" s="163">
        <v>5433</v>
      </c>
      <c r="D441" s="95" t="s">
        <v>1894</v>
      </c>
      <c r="E441" s="142">
        <v>0.42230000000000006</v>
      </c>
      <c r="F441" s="4" t="s">
        <v>3065</v>
      </c>
      <c r="G441" s="4" t="s">
        <v>3065</v>
      </c>
      <c r="H441" s="4" t="str">
        <f t="shared" si="9"/>
        <v>No</v>
      </c>
      <c r="I441" s="56"/>
    </row>
    <row r="442" spans="1:9">
      <c r="A442" s="97" t="s">
        <v>2495</v>
      </c>
      <c r="B442" s="97" t="s">
        <v>1886</v>
      </c>
      <c r="C442" s="163">
        <v>2955</v>
      </c>
      <c r="D442" s="95" t="s">
        <v>1889</v>
      </c>
      <c r="E442" s="142">
        <v>0.64023333333333332</v>
      </c>
      <c r="F442" s="4" t="s">
        <v>2752</v>
      </c>
      <c r="G442" s="4" t="s">
        <v>2752</v>
      </c>
      <c r="H442" s="4" t="str">
        <f t="shared" si="9"/>
        <v>No</v>
      </c>
      <c r="I442" s="56"/>
    </row>
    <row r="443" spans="1:9">
      <c r="A443" s="97" t="s">
        <v>2495</v>
      </c>
      <c r="B443" s="97" t="s">
        <v>1886</v>
      </c>
      <c r="C443" s="163">
        <v>2653</v>
      </c>
      <c r="D443" s="95" t="s">
        <v>1888</v>
      </c>
      <c r="E443" s="142">
        <v>0.81703333333333328</v>
      </c>
      <c r="F443" s="4" t="s">
        <v>2752</v>
      </c>
      <c r="G443" s="4" t="s">
        <v>2752</v>
      </c>
      <c r="H443" s="4" t="str">
        <f t="shared" si="9"/>
        <v>No</v>
      </c>
      <c r="I443" s="56"/>
    </row>
    <row r="444" spans="1:9">
      <c r="A444" s="97" t="s">
        <v>2495</v>
      </c>
      <c r="B444" s="97" t="s">
        <v>1886</v>
      </c>
      <c r="C444" s="163">
        <v>3128</v>
      </c>
      <c r="D444" s="95" t="s">
        <v>1890</v>
      </c>
      <c r="E444" s="142">
        <v>0.60243333333333327</v>
      </c>
      <c r="F444" s="4" t="s">
        <v>2752</v>
      </c>
      <c r="G444" s="4" t="s">
        <v>2752</v>
      </c>
      <c r="H444" s="4" t="str">
        <f t="shared" si="9"/>
        <v>No</v>
      </c>
      <c r="I444" s="56"/>
    </row>
    <row r="445" spans="1:9">
      <c r="A445" s="97" t="s">
        <v>2556</v>
      </c>
      <c r="B445" s="97" t="s">
        <v>2190</v>
      </c>
      <c r="C445" s="163">
        <v>4055</v>
      </c>
      <c r="D445" s="95" t="s">
        <v>2193</v>
      </c>
      <c r="E445" s="142">
        <v>0.58406666666666662</v>
      </c>
      <c r="F445" s="4" t="s">
        <v>2752</v>
      </c>
      <c r="G445" s="4" t="s">
        <v>2752</v>
      </c>
      <c r="H445" s="4" t="str">
        <f t="shared" si="9"/>
        <v>No</v>
      </c>
      <c r="I445" s="56"/>
    </row>
    <row r="446" spans="1:9">
      <c r="A446" s="97" t="s">
        <v>2556</v>
      </c>
      <c r="B446" s="97" t="s">
        <v>2190</v>
      </c>
      <c r="C446" s="163">
        <v>4487</v>
      </c>
      <c r="D446" s="95" t="s">
        <v>2194</v>
      </c>
      <c r="E446" s="142">
        <v>0.59199999999999997</v>
      </c>
      <c r="F446" s="4" t="s">
        <v>2752</v>
      </c>
      <c r="G446" s="4" t="s">
        <v>2752</v>
      </c>
      <c r="H446" s="4" t="str">
        <f t="shared" si="9"/>
        <v>No</v>
      </c>
      <c r="I446" s="56"/>
    </row>
    <row r="447" spans="1:9">
      <c r="A447" s="97" t="s">
        <v>2556</v>
      </c>
      <c r="B447" s="97" t="s">
        <v>2190</v>
      </c>
      <c r="C447" s="163">
        <v>2344</v>
      </c>
      <c r="D447" s="95" t="s">
        <v>1891</v>
      </c>
      <c r="E447" s="142">
        <v>0.56920000000000004</v>
      </c>
      <c r="F447" s="4" t="s">
        <v>2752</v>
      </c>
      <c r="G447" s="4" t="s">
        <v>2752</v>
      </c>
      <c r="H447" s="4" t="str">
        <f t="shared" si="9"/>
        <v>No</v>
      </c>
      <c r="I447" s="56"/>
    </row>
    <row r="448" spans="1:9">
      <c r="A448" s="97" t="s">
        <v>2556</v>
      </c>
      <c r="B448" s="97" t="s">
        <v>2190</v>
      </c>
      <c r="C448" s="163">
        <v>2530</v>
      </c>
      <c r="D448" s="95" t="s">
        <v>2191</v>
      </c>
      <c r="E448" s="142">
        <v>0.52003333333333324</v>
      </c>
      <c r="F448" s="4" t="s">
        <v>2752</v>
      </c>
      <c r="G448" s="4" t="s">
        <v>2752</v>
      </c>
      <c r="H448" s="4" t="str">
        <f t="shared" si="9"/>
        <v>No</v>
      </c>
      <c r="I448" s="56"/>
    </row>
    <row r="449" spans="1:9">
      <c r="A449" s="137" t="s">
        <v>2556</v>
      </c>
      <c r="B449" s="97" t="s">
        <v>2190</v>
      </c>
      <c r="C449" s="164">
        <v>2821</v>
      </c>
      <c r="D449" s="56" t="s">
        <v>2192</v>
      </c>
      <c r="E449" s="142">
        <v>0.59336666666666671</v>
      </c>
      <c r="F449" s="4" t="s">
        <v>2752</v>
      </c>
      <c r="G449" s="4" t="s">
        <v>2752</v>
      </c>
      <c r="H449" s="4" t="str">
        <f t="shared" si="9"/>
        <v>No</v>
      </c>
      <c r="I449" s="56"/>
    </row>
    <row r="450" spans="1:9">
      <c r="A450" s="97" t="s">
        <v>2304</v>
      </c>
      <c r="B450" s="97" t="s">
        <v>346</v>
      </c>
      <c r="C450" s="163">
        <v>3659</v>
      </c>
      <c r="D450" s="95" t="s">
        <v>352</v>
      </c>
      <c r="E450" s="142">
        <v>0.41683333333333339</v>
      </c>
      <c r="F450" s="4" t="s">
        <v>3065</v>
      </c>
      <c r="G450" s="4" t="s">
        <v>3065</v>
      </c>
      <c r="H450" s="4" t="str">
        <f t="shared" si="9"/>
        <v>No</v>
      </c>
      <c r="I450" s="56"/>
    </row>
    <row r="451" spans="1:9">
      <c r="A451" s="97" t="s">
        <v>2304</v>
      </c>
      <c r="B451" s="97" t="s">
        <v>346</v>
      </c>
      <c r="C451" s="163">
        <v>5700</v>
      </c>
      <c r="D451" s="95" t="s">
        <v>3007</v>
      </c>
      <c r="E451" s="142">
        <v>0.5726</v>
      </c>
      <c r="F451" s="4" t="s">
        <v>2752</v>
      </c>
      <c r="G451" s="4" t="s">
        <v>3065</v>
      </c>
      <c r="H451" s="4" t="str">
        <f t="shared" si="9"/>
        <v>No</v>
      </c>
      <c r="I451" s="56"/>
    </row>
    <row r="452" spans="1:9">
      <c r="A452" s="97" t="s">
        <v>2304</v>
      </c>
      <c r="B452" s="97" t="s">
        <v>346</v>
      </c>
      <c r="C452" s="163">
        <v>5668</v>
      </c>
      <c r="D452" s="95" t="s">
        <v>3008</v>
      </c>
      <c r="E452" s="142">
        <v>0.60709999999999997</v>
      </c>
      <c r="F452" s="4" t="s">
        <v>2752</v>
      </c>
      <c r="G452" s="4" t="s">
        <v>3065</v>
      </c>
      <c r="H452" s="4" t="str">
        <f t="shared" ref="H452:H515" si="10">IFERROR(IF(AND(G452="Yes",F452="No"),"Yes","No"),"No")</f>
        <v>No</v>
      </c>
      <c r="I452" s="56"/>
    </row>
    <row r="453" spans="1:9">
      <c r="A453" s="97" t="s">
        <v>2304</v>
      </c>
      <c r="B453" s="97" t="s">
        <v>346</v>
      </c>
      <c r="C453" s="163">
        <v>3372</v>
      </c>
      <c r="D453" s="95" t="s">
        <v>351</v>
      </c>
      <c r="E453" s="142">
        <v>0.59043333333333337</v>
      </c>
      <c r="F453" s="4" t="s">
        <v>2752</v>
      </c>
      <c r="G453" s="4" t="s">
        <v>2752</v>
      </c>
      <c r="H453" s="4" t="str">
        <f t="shared" si="10"/>
        <v>No</v>
      </c>
      <c r="I453" s="56"/>
    </row>
    <row r="454" spans="1:9">
      <c r="A454" s="97" t="s">
        <v>2304</v>
      </c>
      <c r="B454" s="97" t="s">
        <v>346</v>
      </c>
      <c r="C454" s="163">
        <v>5130</v>
      </c>
      <c r="D454" s="95" t="s">
        <v>2879</v>
      </c>
      <c r="E454" s="142">
        <v>0.125</v>
      </c>
      <c r="F454" s="4" t="s">
        <v>3065</v>
      </c>
      <c r="G454" s="4" t="s">
        <v>3065</v>
      </c>
      <c r="H454" s="4" t="str">
        <f t="shared" si="10"/>
        <v>No</v>
      </c>
      <c r="I454" s="56"/>
    </row>
    <row r="455" spans="1:9">
      <c r="A455" s="97" t="s">
        <v>2304</v>
      </c>
      <c r="B455" s="97" t="s">
        <v>346</v>
      </c>
      <c r="C455" s="163">
        <v>2727</v>
      </c>
      <c r="D455" s="95" t="s">
        <v>348</v>
      </c>
      <c r="E455" s="142">
        <v>0.55056666666666665</v>
      </c>
      <c r="F455" s="4" t="s">
        <v>2752</v>
      </c>
      <c r="G455" s="4" t="s">
        <v>2752</v>
      </c>
      <c r="H455" s="4" t="str">
        <f t="shared" si="10"/>
        <v>No</v>
      </c>
      <c r="I455" s="56"/>
    </row>
    <row r="456" spans="1:9">
      <c r="A456" s="97" t="s">
        <v>2304</v>
      </c>
      <c r="B456" s="97" t="s">
        <v>346</v>
      </c>
      <c r="C456" s="163">
        <v>2966</v>
      </c>
      <c r="D456" s="95" t="s">
        <v>349</v>
      </c>
      <c r="E456" s="142">
        <v>0.51556666666666662</v>
      </c>
      <c r="F456" s="4" t="s">
        <v>2752</v>
      </c>
      <c r="G456" s="4" t="s">
        <v>2752</v>
      </c>
      <c r="H456" s="4" t="str">
        <f t="shared" si="10"/>
        <v>No</v>
      </c>
      <c r="I456" s="56"/>
    </row>
    <row r="457" spans="1:9">
      <c r="A457" s="56" t="s">
        <v>2304</v>
      </c>
      <c r="B457" s="97" t="s">
        <v>346</v>
      </c>
      <c r="C457" s="163">
        <v>3212</v>
      </c>
      <c r="D457" s="56" t="s">
        <v>350</v>
      </c>
      <c r="E457" s="142">
        <v>0.61483333333333334</v>
      </c>
      <c r="F457" s="4" t="s">
        <v>2752</v>
      </c>
      <c r="G457" s="4" t="s">
        <v>2752</v>
      </c>
      <c r="H457" s="4" t="str">
        <f t="shared" si="10"/>
        <v>No</v>
      </c>
      <c r="I457" s="56"/>
    </row>
    <row r="458" spans="1:9">
      <c r="A458" s="97" t="s">
        <v>2304</v>
      </c>
      <c r="B458" s="97" t="s">
        <v>346</v>
      </c>
      <c r="C458" s="163">
        <v>3083</v>
      </c>
      <c r="D458" s="95" t="s">
        <v>2880</v>
      </c>
      <c r="E458" s="142">
        <v>0.67683333333333329</v>
      </c>
      <c r="F458" s="4" t="s">
        <v>2752</v>
      </c>
      <c r="G458" s="4" t="s">
        <v>2752</v>
      </c>
      <c r="H458" s="4" t="str">
        <f t="shared" si="10"/>
        <v>No</v>
      </c>
      <c r="I458" s="56"/>
    </row>
    <row r="459" spans="1:9">
      <c r="A459" s="97" t="s">
        <v>2304</v>
      </c>
      <c r="B459" s="97" t="s">
        <v>346</v>
      </c>
      <c r="C459" s="163">
        <v>2563</v>
      </c>
      <c r="D459" s="95" t="s">
        <v>347</v>
      </c>
      <c r="E459" s="142">
        <v>0.76113333333333344</v>
      </c>
      <c r="F459" s="4" t="s">
        <v>2752</v>
      </c>
      <c r="G459" s="4" t="s">
        <v>2752</v>
      </c>
      <c r="H459" s="4" t="str">
        <f t="shared" si="10"/>
        <v>No</v>
      </c>
      <c r="I459" s="56"/>
    </row>
    <row r="460" spans="1:9">
      <c r="A460" s="97" t="s">
        <v>2304</v>
      </c>
      <c r="B460" s="97" t="s">
        <v>346</v>
      </c>
      <c r="C460" s="163">
        <v>5701</v>
      </c>
      <c r="D460" s="95" t="s">
        <v>3009</v>
      </c>
      <c r="E460" s="142">
        <v>0.56269999999999998</v>
      </c>
      <c r="F460" s="4" t="s">
        <v>2752</v>
      </c>
      <c r="G460" s="4" t="s">
        <v>3065</v>
      </c>
      <c r="H460" s="4" t="str">
        <f t="shared" si="10"/>
        <v>No</v>
      </c>
      <c r="I460" s="56"/>
    </row>
    <row r="461" spans="1:9">
      <c r="A461" s="97" t="s">
        <v>2378</v>
      </c>
      <c r="B461" s="97" t="s">
        <v>1085</v>
      </c>
      <c r="C461" s="163">
        <v>3554</v>
      </c>
      <c r="D461" s="95" t="s">
        <v>1086</v>
      </c>
      <c r="E461" s="142">
        <v>0.74500000000000011</v>
      </c>
      <c r="F461" s="4" t="s">
        <v>2752</v>
      </c>
      <c r="G461" s="4" t="s">
        <v>2752</v>
      </c>
      <c r="H461" s="4" t="str">
        <f t="shared" si="10"/>
        <v>No</v>
      </c>
      <c r="I461" s="56"/>
    </row>
    <row r="462" spans="1:9">
      <c r="A462" s="97" t="s">
        <v>2450</v>
      </c>
      <c r="B462" s="97" t="s">
        <v>1500</v>
      </c>
      <c r="C462" s="163">
        <v>2808</v>
      </c>
      <c r="D462" s="95" t="s">
        <v>1504</v>
      </c>
      <c r="E462" s="142">
        <v>0.5416333333333333</v>
      </c>
      <c r="F462" s="4" t="s">
        <v>2752</v>
      </c>
      <c r="G462" s="4" t="s">
        <v>2752</v>
      </c>
      <c r="H462" s="4" t="str">
        <f t="shared" si="10"/>
        <v>No</v>
      </c>
      <c r="I462" s="56"/>
    </row>
    <row r="463" spans="1:9">
      <c r="A463" s="97" t="s">
        <v>2450</v>
      </c>
      <c r="B463" s="97" t="s">
        <v>1500</v>
      </c>
      <c r="C463" s="163">
        <v>2205</v>
      </c>
      <c r="D463" s="95" t="s">
        <v>1501</v>
      </c>
      <c r="E463" s="142">
        <v>0.42736666666666667</v>
      </c>
      <c r="F463" s="4" t="s">
        <v>3065</v>
      </c>
      <c r="G463" s="4" t="s">
        <v>3065</v>
      </c>
      <c r="H463" s="4" t="str">
        <f t="shared" si="10"/>
        <v>No</v>
      </c>
      <c r="I463" s="56"/>
    </row>
    <row r="464" spans="1:9">
      <c r="A464" s="97" t="s">
        <v>2450</v>
      </c>
      <c r="B464" s="97" t="s">
        <v>1500</v>
      </c>
      <c r="C464" s="163">
        <v>2206</v>
      </c>
      <c r="D464" s="95" t="s">
        <v>1502</v>
      </c>
      <c r="E464" s="142">
        <v>0.34356666666666663</v>
      </c>
      <c r="F464" s="4" t="s">
        <v>3065</v>
      </c>
      <c r="G464" s="4" t="s">
        <v>3065</v>
      </c>
      <c r="H464" s="4" t="str">
        <f t="shared" si="10"/>
        <v>No</v>
      </c>
      <c r="I464" s="56"/>
    </row>
    <row r="465" spans="1:9">
      <c r="A465" s="97" t="s">
        <v>2450</v>
      </c>
      <c r="B465" s="97" t="s">
        <v>1500</v>
      </c>
      <c r="C465" s="163">
        <v>4230</v>
      </c>
      <c r="D465" s="95" t="s">
        <v>1505</v>
      </c>
      <c r="E465" s="142">
        <v>0.40333333333333332</v>
      </c>
      <c r="F465" s="4" t="s">
        <v>3065</v>
      </c>
      <c r="G465" s="4" t="s">
        <v>3065</v>
      </c>
      <c r="H465" s="4" t="str">
        <f t="shared" si="10"/>
        <v>No</v>
      </c>
      <c r="I465" s="56"/>
    </row>
    <row r="466" spans="1:9">
      <c r="A466" s="97" t="s">
        <v>2450</v>
      </c>
      <c r="B466" s="97" t="s">
        <v>1500</v>
      </c>
      <c r="C466" s="163">
        <v>5531</v>
      </c>
      <c r="D466" s="95" t="s">
        <v>2800</v>
      </c>
      <c r="E466" s="142">
        <v>0.5819333333333333</v>
      </c>
      <c r="F466" s="4" t="s">
        <v>2752</v>
      </c>
      <c r="G466" s="4" t="s">
        <v>2752</v>
      </c>
      <c r="H466" s="4" t="str">
        <f t="shared" si="10"/>
        <v>No</v>
      </c>
      <c r="I466" s="56"/>
    </row>
    <row r="467" spans="1:9">
      <c r="A467" s="97" t="s">
        <v>2450</v>
      </c>
      <c r="B467" s="97" t="s">
        <v>1500</v>
      </c>
      <c r="C467" s="163">
        <v>5300</v>
      </c>
      <c r="D467" s="95" t="s">
        <v>1506</v>
      </c>
      <c r="E467" s="142">
        <v>0.43853333333333328</v>
      </c>
      <c r="F467" s="4" t="s">
        <v>3065</v>
      </c>
      <c r="G467" s="4" t="s">
        <v>3065</v>
      </c>
      <c r="H467" s="4" t="str">
        <f t="shared" si="10"/>
        <v>No</v>
      </c>
      <c r="I467" s="56"/>
    </row>
    <row r="468" spans="1:9">
      <c r="A468" s="97" t="s">
        <v>2450</v>
      </c>
      <c r="B468" s="97" t="s">
        <v>1500</v>
      </c>
      <c r="C468" s="163">
        <v>5332</v>
      </c>
      <c r="D468" s="95" t="s">
        <v>1507</v>
      </c>
      <c r="E468" s="142">
        <v>0.69503333333333328</v>
      </c>
      <c r="F468" s="4" t="s">
        <v>2752</v>
      </c>
      <c r="G468" s="4" t="s">
        <v>2752</v>
      </c>
      <c r="H468" s="4" t="str">
        <f t="shared" si="10"/>
        <v>No</v>
      </c>
      <c r="I468" s="56"/>
    </row>
    <row r="469" spans="1:9">
      <c r="A469" s="97" t="s">
        <v>2450</v>
      </c>
      <c r="B469" s="97" t="s">
        <v>1500</v>
      </c>
      <c r="C469" s="163">
        <v>2361</v>
      </c>
      <c r="D469" s="95" t="s">
        <v>1503</v>
      </c>
      <c r="E469" s="142">
        <v>0.34253333333333336</v>
      </c>
      <c r="F469" s="4" t="s">
        <v>3065</v>
      </c>
      <c r="G469" s="4" t="s">
        <v>3065</v>
      </c>
      <c r="H469" s="4" t="str">
        <f t="shared" si="10"/>
        <v>No</v>
      </c>
      <c r="I469" s="56"/>
    </row>
    <row r="470" spans="1:9">
      <c r="A470" s="97" t="s">
        <v>2475</v>
      </c>
      <c r="B470" s="97" t="s">
        <v>1645</v>
      </c>
      <c r="C470" s="163">
        <v>3560</v>
      </c>
      <c r="D470" s="95" t="s">
        <v>1670</v>
      </c>
      <c r="E470" s="142">
        <v>0.45726666666666665</v>
      </c>
      <c r="F470" s="4" t="s">
        <v>3065</v>
      </c>
      <c r="G470" s="4" t="s">
        <v>3065</v>
      </c>
      <c r="H470" s="4" t="str">
        <f t="shared" si="10"/>
        <v>No</v>
      </c>
      <c r="I470" s="56"/>
    </row>
    <row r="471" spans="1:9">
      <c r="A471" s="97" t="s">
        <v>2475</v>
      </c>
      <c r="B471" s="97" t="s">
        <v>1645</v>
      </c>
      <c r="C471" s="163">
        <v>3302</v>
      </c>
      <c r="D471" s="95" t="s">
        <v>1658</v>
      </c>
      <c r="E471" s="142">
        <v>0.35666666666666663</v>
      </c>
      <c r="F471" s="4" t="s">
        <v>3065</v>
      </c>
      <c r="G471" s="4" t="s">
        <v>3065</v>
      </c>
      <c r="H471" s="4" t="str">
        <f t="shared" si="10"/>
        <v>No</v>
      </c>
      <c r="I471" s="56"/>
    </row>
    <row r="472" spans="1:9">
      <c r="A472" s="97" t="s">
        <v>2475</v>
      </c>
      <c r="B472" s="97" t="s">
        <v>1645</v>
      </c>
      <c r="C472" s="163">
        <v>3536</v>
      </c>
      <c r="D472" s="95" t="s">
        <v>1669</v>
      </c>
      <c r="E472" s="142">
        <v>0.1206</v>
      </c>
      <c r="F472" s="4" t="s">
        <v>3065</v>
      </c>
      <c r="G472" s="4" t="s">
        <v>3065</v>
      </c>
      <c r="H472" s="4" t="str">
        <f t="shared" si="10"/>
        <v>No</v>
      </c>
      <c r="I472" s="56"/>
    </row>
    <row r="473" spans="1:9">
      <c r="A473" s="97" t="s">
        <v>2475</v>
      </c>
      <c r="B473" s="97" t="s">
        <v>1645</v>
      </c>
      <c r="C473" s="163">
        <v>3650</v>
      </c>
      <c r="D473" s="95" t="s">
        <v>1675</v>
      </c>
      <c r="E473" s="142">
        <v>0.30049999999999999</v>
      </c>
      <c r="F473" s="4" t="s">
        <v>3065</v>
      </c>
      <c r="G473" s="4" t="s">
        <v>3065</v>
      </c>
      <c r="H473" s="4" t="str">
        <f t="shared" si="10"/>
        <v>No</v>
      </c>
      <c r="I473" s="56"/>
    </row>
    <row r="474" spans="1:9">
      <c r="A474" s="97" t="s">
        <v>2475</v>
      </c>
      <c r="B474" s="97" t="s">
        <v>1645</v>
      </c>
      <c r="C474" s="163">
        <v>3409</v>
      </c>
      <c r="D474" s="95" t="s">
        <v>1662</v>
      </c>
      <c r="E474" s="142">
        <v>0.73806666666666665</v>
      </c>
      <c r="F474" s="4" t="s">
        <v>2752</v>
      </c>
      <c r="G474" s="4" t="s">
        <v>2752</v>
      </c>
      <c r="H474" s="4" t="str">
        <f t="shared" si="10"/>
        <v>No</v>
      </c>
      <c r="I474" s="56"/>
    </row>
    <row r="475" spans="1:9">
      <c r="A475" s="97" t="s">
        <v>2475</v>
      </c>
      <c r="B475" s="97" t="s">
        <v>1645</v>
      </c>
      <c r="C475" s="163">
        <v>3304</v>
      </c>
      <c r="D475" s="95" t="s">
        <v>1660</v>
      </c>
      <c r="E475" s="142">
        <v>0.47189999999999999</v>
      </c>
      <c r="F475" s="4" t="s">
        <v>3065</v>
      </c>
      <c r="G475" s="4" t="s">
        <v>3065</v>
      </c>
      <c r="H475" s="4" t="str">
        <f t="shared" si="10"/>
        <v>No</v>
      </c>
      <c r="I475" s="56"/>
    </row>
    <row r="476" spans="1:9">
      <c r="A476" s="97" t="s">
        <v>2475</v>
      </c>
      <c r="B476" s="97" t="s">
        <v>1645</v>
      </c>
      <c r="C476" s="163">
        <v>1520</v>
      </c>
      <c r="D476" s="95" t="s">
        <v>1647</v>
      </c>
      <c r="E476" s="142">
        <v>8.9966666666666681E-2</v>
      </c>
      <c r="F476" s="4" t="s">
        <v>3065</v>
      </c>
      <c r="G476" s="4" t="s">
        <v>3065</v>
      </c>
      <c r="H476" s="4" t="str">
        <f t="shared" si="10"/>
        <v>No</v>
      </c>
      <c r="I476" s="56"/>
    </row>
    <row r="477" spans="1:9" s="56" customFormat="1">
      <c r="A477" s="97" t="s">
        <v>2475</v>
      </c>
      <c r="B477" s="97" t="s">
        <v>1645</v>
      </c>
      <c r="C477" s="163">
        <v>3534</v>
      </c>
      <c r="D477" s="95" t="s">
        <v>1668</v>
      </c>
      <c r="E477" s="142">
        <v>0.53989999999999994</v>
      </c>
      <c r="F477" s="4" t="s">
        <v>2752</v>
      </c>
      <c r="G477" s="4" t="s">
        <v>2752</v>
      </c>
      <c r="H477" s="4" t="str">
        <f t="shared" si="10"/>
        <v>No</v>
      </c>
    </row>
    <row r="478" spans="1:9">
      <c r="A478" s="97" t="s">
        <v>2475</v>
      </c>
      <c r="B478" s="97" t="s">
        <v>1645</v>
      </c>
      <c r="C478" s="163">
        <v>3691</v>
      </c>
      <c r="D478" s="95" t="s">
        <v>1676</v>
      </c>
      <c r="E478" s="142">
        <v>0.64383333333333337</v>
      </c>
      <c r="F478" s="4" t="s">
        <v>2752</v>
      </c>
      <c r="G478" s="4" t="s">
        <v>2752</v>
      </c>
      <c r="H478" s="4" t="str">
        <f t="shared" si="10"/>
        <v>No</v>
      </c>
      <c r="I478" s="56"/>
    </row>
    <row r="479" spans="1:9">
      <c r="A479" s="97" t="s">
        <v>2475</v>
      </c>
      <c r="B479" s="97" t="s">
        <v>1645</v>
      </c>
      <c r="C479" s="163">
        <v>3754</v>
      </c>
      <c r="D479" s="95" t="s">
        <v>1677</v>
      </c>
      <c r="E479" s="142">
        <v>0.45183333333333331</v>
      </c>
      <c r="F479" s="4" t="s">
        <v>3065</v>
      </c>
      <c r="G479" s="4" t="s">
        <v>3065</v>
      </c>
      <c r="H479" s="4" t="str">
        <f t="shared" si="10"/>
        <v>No</v>
      </c>
      <c r="I479" s="56"/>
    </row>
    <row r="480" spans="1:9">
      <c r="A480" s="97" t="s">
        <v>2475</v>
      </c>
      <c r="B480" s="97" t="s">
        <v>1645</v>
      </c>
      <c r="C480" s="163">
        <v>1830</v>
      </c>
      <c r="D480" s="95" t="s">
        <v>1650</v>
      </c>
      <c r="E480" s="142">
        <v>0.32856666666666667</v>
      </c>
      <c r="F480" s="4" t="s">
        <v>3065</v>
      </c>
      <c r="G480" s="4" t="s">
        <v>3065</v>
      </c>
      <c r="H480" s="4" t="str">
        <f t="shared" si="10"/>
        <v>No</v>
      </c>
      <c r="I480" s="56"/>
    </row>
    <row r="481" spans="1:9">
      <c r="A481" s="97" t="s">
        <v>2475</v>
      </c>
      <c r="B481" s="97" t="s">
        <v>1645</v>
      </c>
      <c r="C481" s="163">
        <v>5358</v>
      </c>
      <c r="D481" s="95" t="s">
        <v>1680</v>
      </c>
      <c r="E481" s="142">
        <v>0.38656666666666667</v>
      </c>
      <c r="F481" s="4" t="s">
        <v>3065</v>
      </c>
      <c r="G481" s="4" t="s">
        <v>3065</v>
      </c>
      <c r="H481" s="4" t="str">
        <f t="shared" si="10"/>
        <v>No</v>
      </c>
      <c r="I481" s="56"/>
    </row>
    <row r="482" spans="1:9">
      <c r="A482" s="97" t="s">
        <v>2475</v>
      </c>
      <c r="B482" s="97" t="s">
        <v>1645</v>
      </c>
      <c r="C482" s="163">
        <v>1519</v>
      </c>
      <c r="D482" s="95" t="s">
        <v>1646</v>
      </c>
      <c r="E482" s="142">
        <v>0.42843333333333328</v>
      </c>
      <c r="F482" s="4" t="s">
        <v>3065</v>
      </c>
      <c r="G482" s="4" t="s">
        <v>3065</v>
      </c>
      <c r="H482" s="4" t="str">
        <f t="shared" si="10"/>
        <v>No</v>
      </c>
      <c r="I482" s="56"/>
    </row>
    <row r="483" spans="1:9">
      <c r="A483" s="97" t="s">
        <v>2475</v>
      </c>
      <c r="B483" s="97" t="s">
        <v>1645</v>
      </c>
      <c r="C483" s="163">
        <v>3606</v>
      </c>
      <c r="D483" s="95" t="s">
        <v>1672</v>
      </c>
      <c r="E483" s="142">
        <v>0.12796666666666667</v>
      </c>
      <c r="F483" s="4" t="s">
        <v>3065</v>
      </c>
      <c r="G483" s="4" t="s">
        <v>3065</v>
      </c>
      <c r="H483" s="4" t="str">
        <f t="shared" si="10"/>
        <v>No</v>
      </c>
      <c r="I483" s="56"/>
    </row>
    <row r="484" spans="1:9">
      <c r="A484" s="97" t="s">
        <v>2475</v>
      </c>
      <c r="B484" s="97" t="s">
        <v>1645</v>
      </c>
      <c r="C484" s="163">
        <v>1966</v>
      </c>
      <c r="D484" s="95" t="s">
        <v>1651</v>
      </c>
      <c r="E484" s="142">
        <v>0.19223333333333334</v>
      </c>
      <c r="F484" s="4" t="s">
        <v>3065</v>
      </c>
      <c r="G484" s="4" t="s">
        <v>3065</v>
      </c>
      <c r="H484" s="4" t="str">
        <f t="shared" si="10"/>
        <v>No</v>
      </c>
      <c r="I484" s="56"/>
    </row>
    <row r="485" spans="1:9">
      <c r="A485" s="97" t="s">
        <v>2475</v>
      </c>
      <c r="B485" s="97" t="s">
        <v>1645</v>
      </c>
      <c r="C485" s="163">
        <v>5706</v>
      </c>
      <c r="D485" s="95" t="s">
        <v>3010</v>
      </c>
      <c r="E485" s="142">
        <v>0.43390000000000001</v>
      </c>
      <c r="F485" s="4" t="s">
        <v>3065</v>
      </c>
      <c r="G485" s="4" t="s">
        <v>3065</v>
      </c>
      <c r="H485" s="4" t="str">
        <f t="shared" si="10"/>
        <v>No</v>
      </c>
      <c r="I485" s="56"/>
    </row>
    <row r="486" spans="1:9">
      <c r="A486" s="97" t="s">
        <v>2475</v>
      </c>
      <c r="B486" s="97" t="s">
        <v>1645</v>
      </c>
      <c r="C486" s="163">
        <v>3123</v>
      </c>
      <c r="D486" s="95" t="s">
        <v>1655</v>
      </c>
      <c r="E486" s="142">
        <v>0.29470000000000002</v>
      </c>
      <c r="F486" s="4" t="s">
        <v>3065</v>
      </c>
      <c r="G486" s="4" t="s">
        <v>3065</v>
      </c>
      <c r="H486" s="4" t="str">
        <f t="shared" si="10"/>
        <v>No</v>
      </c>
      <c r="I486" s="56"/>
    </row>
    <row r="487" spans="1:9">
      <c r="A487" s="97" t="s">
        <v>2475</v>
      </c>
      <c r="B487" s="97" t="s">
        <v>1645</v>
      </c>
      <c r="C487" s="163">
        <v>3607</v>
      </c>
      <c r="D487" s="95" t="s">
        <v>1673</v>
      </c>
      <c r="E487" s="142">
        <v>0.30346666666666666</v>
      </c>
      <c r="F487" s="4" t="s">
        <v>3065</v>
      </c>
      <c r="G487" s="4" t="s">
        <v>3065</v>
      </c>
      <c r="H487" s="4" t="str">
        <f t="shared" si="10"/>
        <v>No</v>
      </c>
      <c r="I487" s="56"/>
    </row>
    <row r="488" spans="1:9">
      <c r="A488" s="97" t="s">
        <v>2475</v>
      </c>
      <c r="B488" s="97" t="s">
        <v>1645</v>
      </c>
      <c r="C488" s="163">
        <v>3689</v>
      </c>
      <c r="D488" s="95" t="s">
        <v>720</v>
      </c>
      <c r="E488" s="142">
        <v>0.1646</v>
      </c>
      <c r="F488" s="4" t="s">
        <v>3065</v>
      </c>
      <c r="G488" s="4" t="s">
        <v>3065</v>
      </c>
      <c r="H488" s="4" t="str">
        <f t="shared" si="10"/>
        <v>No</v>
      </c>
      <c r="I488" s="56"/>
    </row>
    <row r="489" spans="1:9">
      <c r="A489" s="97" t="s">
        <v>2475</v>
      </c>
      <c r="B489" s="97" t="s">
        <v>1645</v>
      </c>
      <c r="C489" s="163">
        <v>3122</v>
      </c>
      <c r="D489" s="95" t="s">
        <v>1654</v>
      </c>
      <c r="E489" s="142">
        <v>0.4047</v>
      </c>
      <c r="F489" s="4" t="s">
        <v>3065</v>
      </c>
      <c r="G489" s="4" t="s">
        <v>3065</v>
      </c>
      <c r="H489" s="4" t="str">
        <f t="shared" si="10"/>
        <v>No</v>
      </c>
      <c r="I489" s="56"/>
    </row>
    <row r="490" spans="1:9">
      <c r="A490" s="97" t="s">
        <v>2475</v>
      </c>
      <c r="B490" s="97" t="s">
        <v>1645</v>
      </c>
      <c r="C490" s="163">
        <v>3503</v>
      </c>
      <c r="D490" s="95" t="s">
        <v>1666</v>
      </c>
      <c r="E490" s="142">
        <v>0.39483333333333331</v>
      </c>
      <c r="F490" s="4" t="s">
        <v>3065</v>
      </c>
      <c r="G490" s="4" t="s">
        <v>3065</v>
      </c>
      <c r="H490" s="4" t="str">
        <f t="shared" si="10"/>
        <v>No</v>
      </c>
      <c r="I490" s="56"/>
    </row>
    <row r="491" spans="1:9">
      <c r="A491" s="97" t="s">
        <v>2475</v>
      </c>
      <c r="B491" s="97" t="s">
        <v>1645</v>
      </c>
      <c r="C491" s="163">
        <v>3755</v>
      </c>
      <c r="D491" s="95" t="s">
        <v>1678</v>
      </c>
      <c r="E491" s="142">
        <v>0.43273333333333336</v>
      </c>
      <c r="F491" s="4" t="s">
        <v>3065</v>
      </c>
      <c r="G491" s="4" t="s">
        <v>3065</v>
      </c>
      <c r="H491" s="4" t="str">
        <f t="shared" si="10"/>
        <v>No</v>
      </c>
      <c r="I491" s="56"/>
    </row>
    <row r="492" spans="1:9">
      <c r="A492" s="97" t="s">
        <v>2475</v>
      </c>
      <c r="B492" s="97" t="s">
        <v>1645</v>
      </c>
      <c r="C492" s="163">
        <v>3463</v>
      </c>
      <c r="D492" s="95" t="s">
        <v>2881</v>
      </c>
      <c r="E492" s="142">
        <v>0.11443333333333333</v>
      </c>
      <c r="F492" s="4" t="s">
        <v>3065</v>
      </c>
      <c r="G492" s="4" t="s">
        <v>3065</v>
      </c>
      <c r="H492" s="4" t="str">
        <f t="shared" si="10"/>
        <v>No</v>
      </c>
      <c r="I492" s="56"/>
    </row>
    <row r="493" spans="1:9">
      <c r="A493" s="97" t="s">
        <v>2475</v>
      </c>
      <c r="B493" s="97" t="s">
        <v>1645</v>
      </c>
      <c r="C493" s="163">
        <v>1685</v>
      </c>
      <c r="D493" s="95" t="s">
        <v>1649</v>
      </c>
      <c r="E493" s="142">
        <v>0.10726666666666666</v>
      </c>
      <c r="F493" s="4" t="s">
        <v>3065</v>
      </c>
      <c r="G493" s="4" t="s">
        <v>3065</v>
      </c>
      <c r="H493" s="4" t="str">
        <f t="shared" si="10"/>
        <v>No</v>
      </c>
      <c r="I493" s="56"/>
    </row>
    <row r="494" spans="1:9">
      <c r="A494" s="97" t="s">
        <v>2475</v>
      </c>
      <c r="B494" s="97" t="s">
        <v>1645</v>
      </c>
      <c r="C494" s="163">
        <v>2887</v>
      </c>
      <c r="D494" s="95" t="s">
        <v>1652</v>
      </c>
      <c r="E494" s="142">
        <v>0.41946666666666665</v>
      </c>
      <c r="F494" s="4" t="s">
        <v>3065</v>
      </c>
      <c r="G494" s="4" t="s">
        <v>3065</v>
      </c>
      <c r="H494" s="4" t="str">
        <f t="shared" si="10"/>
        <v>No</v>
      </c>
      <c r="I494" s="56"/>
    </row>
    <row r="495" spans="1:9">
      <c r="A495" s="97" t="s">
        <v>2475</v>
      </c>
      <c r="B495" s="97" t="s">
        <v>1645</v>
      </c>
      <c r="C495" s="163">
        <v>3504</v>
      </c>
      <c r="D495" s="95" t="s">
        <v>1667</v>
      </c>
      <c r="E495" s="142">
        <v>0.41553333333333331</v>
      </c>
      <c r="F495" s="4" t="s">
        <v>3065</v>
      </c>
      <c r="G495" s="4" t="s">
        <v>3065</v>
      </c>
      <c r="H495" s="4" t="str">
        <f t="shared" si="10"/>
        <v>No</v>
      </c>
      <c r="I495" s="56"/>
    </row>
    <row r="496" spans="1:9">
      <c r="A496" s="97" t="s">
        <v>2475</v>
      </c>
      <c r="B496" s="97" t="s">
        <v>1645</v>
      </c>
      <c r="C496" s="163">
        <v>3464</v>
      </c>
      <c r="D496" s="95" t="s">
        <v>1665</v>
      </c>
      <c r="E496" s="142">
        <v>0.36796666666666661</v>
      </c>
      <c r="F496" s="4" t="s">
        <v>3065</v>
      </c>
      <c r="G496" s="4" t="s">
        <v>3065</v>
      </c>
      <c r="H496" s="4" t="str">
        <f t="shared" si="10"/>
        <v>No</v>
      </c>
      <c r="I496" s="56"/>
    </row>
    <row r="497" spans="1:9">
      <c r="A497" s="97" t="s">
        <v>2475</v>
      </c>
      <c r="B497" s="97" t="s">
        <v>1645</v>
      </c>
      <c r="C497" s="163">
        <v>3353</v>
      </c>
      <c r="D497" s="95" t="s">
        <v>1661</v>
      </c>
      <c r="E497" s="142">
        <v>0.41676666666666667</v>
      </c>
      <c r="F497" s="4" t="s">
        <v>3065</v>
      </c>
      <c r="G497" s="4" t="s">
        <v>3065</v>
      </c>
      <c r="H497" s="4" t="str">
        <f t="shared" si="10"/>
        <v>No</v>
      </c>
      <c r="I497" s="56"/>
    </row>
    <row r="498" spans="1:9">
      <c r="A498" s="97" t="s">
        <v>2475</v>
      </c>
      <c r="B498" s="97" t="s">
        <v>1645</v>
      </c>
      <c r="C498" s="163">
        <v>3254</v>
      </c>
      <c r="D498" s="95" t="s">
        <v>1657</v>
      </c>
      <c r="E498" s="142">
        <v>0.51023333333333332</v>
      </c>
      <c r="F498" s="4" t="s">
        <v>2752</v>
      </c>
      <c r="G498" s="4" t="s">
        <v>2752</v>
      </c>
      <c r="H498" s="4" t="str">
        <f t="shared" si="10"/>
        <v>No</v>
      </c>
      <c r="I498" s="56"/>
    </row>
    <row r="499" spans="1:9">
      <c r="A499" s="97" t="s">
        <v>2475</v>
      </c>
      <c r="B499" s="97" t="s">
        <v>1645</v>
      </c>
      <c r="C499" s="163">
        <v>3303</v>
      </c>
      <c r="D499" s="95" t="s">
        <v>1659</v>
      </c>
      <c r="E499" s="142">
        <v>0.28510000000000002</v>
      </c>
      <c r="F499" s="4" t="s">
        <v>3065</v>
      </c>
      <c r="G499" s="4" t="s">
        <v>3065</v>
      </c>
      <c r="H499" s="4" t="str">
        <f t="shared" si="10"/>
        <v>No</v>
      </c>
      <c r="I499" s="56"/>
    </row>
    <row r="500" spans="1:9">
      <c r="A500" s="97" t="s">
        <v>2475</v>
      </c>
      <c r="B500" s="97" t="s">
        <v>1645</v>
      </c>
      <c r="C500" s="163">
        <v>3608</v>
      </c>
      <c r="D500" s="95" t="s">
        <v>1674</v>
      </c>
      <c r="E500" s="142">
        <v>0.35810000000000003</v>
      </c>
      <c r="F500" s="4" t="s">
        <v>3065</v>
      </c>
      <c r="G500" s="4" t="s">
        <v>3065</v>
      </c>
      <c r="H500" s="4" t="str">
        <f t="shared" si="10"/>
        <v>No</v>
      </c>
      <c r="I500" s="56"/>
    </row>
    <row r="501" spans="1:9">
      <c r="A501" s="97" t="s">
        <v>2475</v>
      </c>
      <c r="B501" s="97" t="s">
        <v>1645</v>
      </c>
      <c r="C501" s="163">
        <v>3854</v>
      </c>
      <c r="D501" s="95" t="s">
        <v>1679</v>
      </c>
      <c r="E501" s="142">
        <v>0.54893333333333338</v>
      </c>
      <c r="F501" s="4" t="s">
        <v>2752</v>
      </c>
      <c r="G501" s="4" t="s">
        <v>2752</v>
      </c>
      <c r="H501" s="4" t="str">
        <f t="shared" si="10"/>
        <v>No</v>
      </c>
      <c r="I501" s="56"/>
    </row>
    <row r="502" spans="1:9">
      <c r="A502" s="97" t="s">
        <v>2475</v>
      </c>
      <c r="B502" s="97" t="s">
        <v>1645</v>
      </c>
      <c r="C502" s="163">
        <v>3461</v>
      </c>
      <c r="D502" s="95" t="s">
        <v>1664</v>
      </c>
      <c r="E502" s="142">
        <v>0.18023333333333333</v>
      </c>
      <c r="F502" s="4" t="s">
        <v>3065</v>
      </c>
      <c r="G502" s="4" t="s">
        <v>3065</v>
      </c>
      <c r="H502" s="4" t="str">
        <f t="shared" si="10"/>
        <v>No</v>
      </c>
      <c r="I502" s="56"/>
    </row>
    <row r="503" spans="1:9">
      <c r="A503" s="97" t="s">
        <v>2475</v>
      </c>
      <c r="B503" s="97" t="s">
        <v>1645</v>
      </c>
      <c r="C503" s="163">
        <v>3605</v>
      </c>
      <c r="D503" s="95" t="s">
        <v>1671</v>
      </c>
      <c r="E503" s="142">
        <v>0.19993333333333332</v>
      </c>
      <c r="F503" s="4" t="s">
        <v>3065</v>
      </c>
      <c r="G503" s="4" t="s">
        <v>3065</v>
      </c>
      <c r="H503" s="4" t="str">
        <f t="shared" si="10"/>
        <v>No</v>
      </c>
      <c r="I503" s="56"/>
    </row>
    <row r="504" spans="1:9">
      <c r="A504" s="97" t="s">
        <v>2475</v>
      </c>
      <c r="B504" s="97" t="s">
        <v>1645</v>
      </c>
      <c r="C504" s="163">
        <v>3410</v>
      </c>
      <c r="D504" s="95" t="s">
        <v>1663</v>
      </c>
      <c r="E504" s="142">
        <v>0.47953333333333337</v>
      </c>
      <c r="F504" s="4" t="s">
        <v>3065</v>
      </c>
      <c r="G504" s="4" t="s">
        <v>2752</v>
      </c>
      <c r="H504" s="4" t="str">
        <f t="shared" si="10"/>
        <v>Yes</v>
      </c>
      <c r="I504" s="56"/>
    </row>
    <row r="505" spans="1:9">
      <c r="A505" s="97" t="s">
        <v>2475</v>
      </c>
      <c r="B505" s="97" t="s">
        <v>1645</v>
      </c>
      <c r="C505" s="163">
        <v>2888</v>
      </c>
      <c r="D505" s="95" t="s">
        <v>1653</v>
      </c>
      <c r="E505" s="142">
        <v>0.25390000000000001</v>
      </c>
      <c r="F505" s="4" t="s">
        <v>3065</v>
      </c>
      <c r="G505" s="4" t="s">
        <v>3065</v>
      </c>
      <c r="H505" s="4" t="str">
        <f t="shared" si="10"/>
        <v>No</v>
      </c>
      <c r="I505" s="56"/>
    </row>
    <row r="506" spans="1:9">
      <c r="A506" s="97" t="s">
        <v>2475</v>
      </c>
      <c r="B506" s="97" t="s">
        <v>1645</v>
      </c>
      <c r="C506" s="163">
        <v>1558</v>
      </c>
      <c r="D506" s="95" t="s">
        <v>1648</v>
      </c>
      <c r="E506" s="142">
        <v>8.8899999999999993E-2</v>
      </c>
      <c r="F506" s="4" t="s">
        <v>3065</v>
      </c>
      <c r="G506" s="4" t="s">
        <v>3065</v>
      </c>
      <c r="H506" s="4" t="str">
        <f t="shared" si="10"/>
        <v>No</v>
      </c>
      <c r="I506" s="56"/>
    </row>
    <row r="507" spans="1:9">
      <c r="A507" s="97" t="s">
        <v>2475</v>
      </c>
      <c r="B507" s="97" t="s">
        <v>1645</v>
      </c>
      <c r="C507" s="163">
        <v>3186</v>
      </c>
      <c r="D507" s="95" t="s">
        <v>1656</v>
      </c>
      <c r="E507" s="142">
        <v>0.3007333333333333</v>
      </c>
      <c r="F507" s="4" t="s">
        <v>3065</v>
      </c>
      <c r="G507" s="4" t="s">
        <v>3065</v>
      </c>
      <c r="H507" s="4" t="str">
        <f t="shared" si="10"/>
        <v>No</v>
      </c>
      <c r="I507" s="56"/>
    </row>
    <row r="508" spans="1:9">
      <c r="A508" s="97" t="s">
        <v>2475</v>
      </c>
      <c r="B508" s="97" t="s">
        <v>1645</v>
      </c>
      <c r="C508" s="163">
        <v>5669</v>
      </c>
      <c r="D508" s="95" t="s">
        <v>3011</v>
      </c>
      <c r="E508" s="142">
        <v>8.5900000000000004E-2</v>
      </c>
      <c r="F508" s="4" t="s">
        <v>3065</v>
      </c>
      <c r="G508" s="4" t="s">
        <v>3065</v>
      </c>
      <c r="H508" s="4" t="str">
        <f t="shared" si="10"/>
        <v>No</v>
      </c>
      <c r="I508" s="56"/>
    </row>
    <row r="509" spans="1:9">
      <c r="A509" s="97" t="s">
        <v>2380</v>
      </c>
      <c r="B509" s="97" t="s">
        <v>1089</v>
      </c>
      <c r="C509" s="163">
        <v>2996</v>
      </c>
      <c r="D509" s="95" t="s">
        <v>1091</v>
      </c>
      <c r="E509" s="142">
        <v>0.35256666666666669</v>
      </c>
      <c r="F509" s="4" t="s">
        <v>3065</v>
      </c>
      <c r="G509" s="4" t="s">
        <v>3065</v>
      </c>
      <c r="H509" s="4" t="str">
        <f t="shared" si="10"/>
        <v>No</v>
      </c>
      <c r="I509" s="56"/>
    </row>
    <row r="510" spans="1:9">
      <c r="A510" s="97" t="s">
        <v>2380</v>
      </c>
      <c r="B510" s="97" t="s">
        <v>1089</v>
      </c>
      <c r="C510" s="163">
        <v>5097</v>
      </c>
      <c r="D510" s="95" t="s">
        <v>1094</v>
      </c>
      <c r="E510" s="142">
        <v>0.5114333333333333</v>
      </c>
      <c r="F510" s="4" t="s">
        <v>2752</v>
      </c>
      <c r="G510" s="4" t="s">
        <v>2752</v>
      </c>
      <c r="H510" s="4" t="str">
        <f t="shared" si="10"/>
        <v>No</v>
      </c>
      <c r="I510" s="56"/>
    </row>
    <row r="511" spans="1:9">
      <c r="A511" s="97" t="s">
        <v>2380</v>
      </c>
      <c r="B511" s="97" t="s">
        <v>1089</v>
      </c>
      <c r="C511" s="163">
        <v>2741</v>
      </c>
      <c r="D511" s="95" t="s">
        <v>477</v>
      </c>
      <c r="E511" s="142">
        <v>0.37136666666666668</v>
      </c>
      <c r="F511" s="4" t="s">
        <v>3065</v>
      </c>
      <c r="G511" s="4" t="s">
        <v>3065</v>
      </c>
      <c r="H511" s="4" t="str">
        <f t="shared" si="10"/>
        <v>No</v>
      </c>
      <c r="I511" s="56"/>
    </row>
    <row r="512" spans="1:9">
      <c r="A512" s="97" t="s">
        <v>2380</v>
      </c>
      <c r="B512" s="97" t="s">
        <v>1089</v>
      </c>
      <c r="C512" s="163">
        <v>2453</v>
      </c>
      <c r="D512" s="95" t="s">
        <v>1090</v>
      </c>
      <c r="E512" s="142">
        <v>0.4356666666666667</v>
      </c>
      <c r="F512" s="4" t="s">
        <v>3065</v>
      </c>
      <c r="G512" s="4" t="s">
        <v>3065</v>
      </c>
      <c r="H512" s="4" t="str">
        <f t="shared" si="10"/>
        <v>No</v>
      </c>
      <c r="I512" s="56"/>
    </row>
    <row r="513" spans="1:9">
      <c r="A513" s="97" t="s">
        <v>2380</v>
      </c>
      <c r="B513" s="97" t="s">
        <v>1089</v>
      </c>
      <c r="C513" s="163">
        <v>3596</v>
      </c>
      <c r="D513" s="95" t="s">
        <v>1092</v>
      </c>
      <c r="E513" s="142">
        <v>0.5645</v>
      </c>
      <c r="F513" s="4" t="s">
        <v>2752</v>
      </c>
      <c r="G513" s="4" t="s">
        <v>2752</v>
      </c>
      <c r="H513" s="4" t="str">
        <f t="shared" si="10"/>
        <v>No</v>
      </c>
      <c r="I513" s="56"/>
    </row>
    <row r="514" spans="1:9">
      <c r="A514" s="97" t="s">
        <v>2380</v>
      </c>
      <c r="B514" s="97" t="s">
        <v>1089</v>
      </c>
      <c r="C514" s="163">
        <v>4411</v>
      </c>
      <c r="D514" s="95" t="s">
        <v>1093</v>
      </c>
      <c r="E514" s="142">
        <v>0.34426666666666667</v>
      </c>
      <c r="F514" s="4" t="s">
        <v>3065</v>
      </c>
      <c r="G514" s="4" t="s">
        <v>3065</v>
      </c>
      <c r="H514" s="4" t="str">
        <f t="shared" si="10"/>
        <v>No</v>
      </c>
      <c r="I514" s="56"/>
    </row>
    <row r="515" spans="1:9">
      <c r="A515" s="97" t="s">
        <v>2332</v>
      </c>
      <c r="B515" s="97" t="s">
        <v>491</v>
      </c>
      <c r="C515" s="163">
        <v>1629</v>
      </c>
      <c r="D515" s="95" t="s">
        <v>492</v>
      </c>
      <c r="E515" s="142">
        <v>0.69539999999999991</v>
      </c>
      <c r="F515" s="4" t="s">
        <v>2752</v>
      </c>
      <c r="G515" s="4" t="s">
        <v>2752</v>
      </c>
      <c r="H515" s="4" t="str">
        <f t="shared" si="10"/>
        <v>No</v>
      </c>
      <c r="I515" s="56"/>
    </row>
    <row r="516" spans="1:9">
      <c r="A516" s="97" t="s">
        <v>2332</v>
      </c>
      <c r="B516" s="97" t="s">
        <v>491</v>
      </c>
      <c r="C516" s="163">
        <v>5416</v>
      </c>
      <c r="D516" s="95" t="s">
        <v>496</v>
      </c>
      <c r="E516" s="142">
        <v>0.83406666666666673</v>
      </c>
      <c r="F516" s="4" t="s">
        <v>2752</v>
      </c>
      <c r="G516" s="4" t="s">
        <v>2752</v>
      </c>
      <c r="H516" s="4" t="str">
        <f t="shared" ref="H516:H579" si="11">IFERROR(IF(AND(G516="Yes",F516="No"),"Yes","No"),"No")</f>
        <v>No</v>
      </c>
      <c r="I516" s="56"/>
    </row>
    <row r="517" spans="1:9">
      <c r="A517" s="97" t="s">
        <v>2332</v>
      </c>
      <c r="B517" s="97" t="s">
        <v>491</v>
      </c>
      <c r="C517" s="163">
        <v>3217</v>
      </c>
      <c r="D517" s="95" t="s">
        <v>494</v>
      </c>
      <c r="E517" s="142">
        <v>0.71860000000000002</v>
      </c>
      <c r="F517" s="4" t="s">
        <v>2752</v>
      </c>
      <c r="G517" s="4" t="s">
        <v>2752</v>
      </c>
      <c r="H517" s="4" t="str">
        <f t="shared" si="11"/>
        <v>No</v>
      </c>
      <c r="I517" s="56"/>
    </row>
    <row r="518" spans="1:9">
      <c r="A518" s="97" t="s">
        <v>2332</v>
      </c>
      <c r="B518" s="97" t="s">
        <v>491</v>
      </c>
      <c r="C518" s="163">
        <v>2137</v>
      </c>
      <c r="D518" s="95" t="s">
        <v>493</v>
      </c>
      <c r="E518" s="142">
        <v>0.72049999999999992</v>
      </c>
      <c r="F518" s="4" t="s">
        <v>2752</v>
      </c>
      <c r="G518" s="4" t="s">
        <v>2752</v>
      </c>
      <c r="H518" s="4" t="str">
        <f t="shared" si="11"/>
        <v>No</v>
      </c>
      <c r="I518" s="56"/>
    </row>
    <row r="519" spans="1:9">
      <c r="A519" s="97" t="s">
        <v>2332</v>
      </c>
      <c r="B519" s="97" t="s">
        <v>491</v>
      </c>
      <c r="C519" s="163">
        <v>4245</v>
      </c>
      <c r="D519" s="95" t="s">
        <v>495</v>
      </c>
      <c r="E519" s="142">
        <v>0.75426666666666664</v>
      </c>
      <c r="F519" s="4" t="s">
        <v>2752</v>
      </c>
      <c r="G519" s="4" t="s">
        <v>2752</v>
      </c>
      <c r="H519" s="4" t="str">
        <f t="shared" si="11"/>
        <v>No</v>
      </c>
      <c r="I519" s="56"/>
    </row>
    <row r="520" spans="1:9">
      <c r="A520" s="97" t="s">
        <v>2549</v>
      </c>
      <c r="B520" s="97" t="s">
        <v>2154</v>
      </c>
      <c r="C520" s="163">
        <v>2207</v>
      </c>
      <c r="D520" s="95" t="s">
        <v>2155</v>
      </c>
      <c r="E520" s="142">
        <v>0.57223333333333326</v>
      </c>
      <c r="F520" s="4" t="s">
        <v>2752</v>
      </c>
      <c r="G520" s="4" t="s">
        <v>2752</v>
      </c>
      <c r="H520" s="4" t="str">
        <f t="shared" si="11"/>
        <v>No</v>
      </c>
      <c r="I520" s="56"/>
    </row>
    <row r="521" spans="1:9">
      <c r="A521" s="97" t="s">
        <v>2272</v>
      </c>
      <c r="B521" s="97" t="s">
        <v>102</v>
      </c>
      <c r="C521" s="163">
        <v>3317</v>
      </c>
      <c r="D521" s="95" t="s">
        <v>104</v>
      </c>
      <c r="E521" s="142">
        <v>0.59620000000000006</v>
      </c>
      <c r="F521" s="4" t="s">
        <v>2752</v>
      </c>
      <c r="G521" s="4" t="s">
        <v>2752</v>
      </c>
      <c r="H521" s="4" t="str">
        <f t="shared" si="11"/>
        <v>No</v>
      </c>
      <c r="I521" s="56"/>
    </row>
    <row r="522" spans="1:9">
      <c r="A522" s="97" t="s">
        <v>2272</v>
      </c>
      <c r="B522" s="97" t="s">
        <v>102</v>
      </c>
      <c r="C522" s="163">
        <v>2688</v>
      </c>
      <c r="D522" s="95" t="s">
        <v>103</v>
      </c>
      <c r="E522" s="142">
        <v>0.65960000000000008</v>
      </c>
      <c r="F522" s="4" t="s">
        <v>2752</v>
      </c>
      <c r="G522" s="4" t="s">
        <v>2752</v>
      </c>
      <c r="H522" s="4" t="str">
        <f t="shared" si="11"/>
        <v>No</v>
      </c>
      <c r="I522" s="56"/>
    </row>
    <row r="523" spans="1:9">
      <c r="A523" s="97" t="s">
        <v>2350</v>
      </c>
      <c r="B523" s="97" t="s">
        <v>685</v>
      </c>
      <c r="C523" s="163">
        <v>3430</v>
      </c>
      <c r="D523" s="95" t="s">
        <v>689</v>
      </c>
      <c r="E523" s="142">
        <v>0.22676666666666667</v>
      </c>
      <c r="F523" s="4" t="s">
        <v>3065</v>
      </c>
      <c r="G523" s="4" t="s">
        <v>3065</v>
      </c>
      <c r="H523" s="4" t="str">
        <f t="shared" si="11"/>
        <v>No</v>
      </c>
      <c r="I523" s="56"/>
    </row>
    <row r="524" spans="1:9">
      <c r="A524" s="97" t="s">
        <v>2350</v>
      </c>
      <c r="B524" s="97" t="s">
        <v>685</v>
      </c>
      <c r="C524" s="163">
        <v>2980</v>
      </c>
      <c r="D524" s="95" t="s">
        <v>687</v>
      </c>
      <c r="E524" s="142">
        <v>0.38873333333333332</v>
      </c>
      <c r="F524" s="4" t="s">
        <v>3065</v>
      </c>
      <c r="G524" s="4" t="s">
        <v>3065</v>
      </c>
      <c r="H524" s="4" t="str">
        <f t="shared" si="11"/>
        <v>No</v>
      </c>
      <c r="I524" s="56"/>
    </row>
    <row r="525" spans="1:9">
      <c r="A525" s="97" t="s">
        <v>2350</v>
      </c>
      <c r="B525" s="97" t="s">
        <v>685</v>
      </c>
      <c r="C525" s="163">
        <v>4210</v>
      </c>
      <c r="D525" s="95" t="s">
        <v>692</v>
      </c>
      <c r="E525" s="142">
        <v>0.33223333333333332</v>
      </c>
      <c r="F525" s="4" t="s">
        <v>3065</v>
      </c>
      <c r="G525" s="4" t="s">
        <v>3065</v>
      </c>
      <c r="H525" s="4" t="str">
        <f t="shared" si="11"/>
        <v>No</v>
      </c>
      <c r="I525" s="56"/>
    </row>
    <row r="526" spans="1:9">
      <c r="A526" s="97" t="s">
        <v>2350</v>
      </c>
      <c r="B526" s="97" t="s">
        <v>685</v>
      </c>
      <c r="C526" s="163">
        <v>3330</v>
      </c>
      <c r="D526" s="95" t="s">
        <v>688</v>
      </c>
      <c r="E526" s="142">
        <v>0.27133333333333332</v>
      </c>
      <c r="F526" s="4" t="s">
        <v>3065</v>
      </c>
      <c r="G526" s="4" t="s">
        <v>3065</v>
      </c>
      <c r="H526" s="4" t="str">
        <f t="shared" si="11"/>
        <v>No</v>
      </c>
      <c r="I526" s="56"/>
    </row>
    <row r="527" spans="1:9">
      <c r="A527" s="97" t="s">
        <v>2350</v>
      </c>
      <c r="B527" s="97" t="s">
        <v>685</v>
      </c>
      <c r="C527" s="163">
        <v>5491</v>
      </c>
      <c r="D527" s="95" t="s">
        <v>3012</v>
      </c>
      <c r="E527" s="142">
        <v>0.05</v>
      </c>
      <c r="F527" s="4" t="s">
        <v>3065</v>
      </c>
      <c r="G527" s="4" t="s">
        <v>3065</v>
      </c>
      <c r="H527" s="4" t="str">
        <f t="shared" si="11"/>
        <v>No</v>
      </c>
      <c r="I527" s="56"/>
    </row>
    <row r="528" spans="1:9">
      <c r="A528" s="97" t="s">
        <v>2350</v>
      </c>
      <c r="B528" s="97" t="s">
        <v>685</v>
      </c>
      <c r="C528" s="163">
        <v>3739</v>
      </c>
      <c r="D528" s="95" t="s">
        <v>691</v>
      </c>
      <c r="E528" s="142">
        <v>0.33823333333333333</v>
      </c>
      <c r="F528" s="4" t="s">
        <v>3065</v>
      </c>
      <c r="G528" s="4" t="s">
        <v>3065</v>
      </c>
      <c r="H528" s="4" t="str">
        <f t="shared" si="11"/>
        <v>No</v>
      </c>
      <c r="I528" s="56"/>
    </row>
    <row r="529" spans="1:9">
      <c r="A529" s="97" t="s">
        <v>2350</v>
      </c>
      <c r="B529" s="97" t="s">
        <v>685</v>
      </c>
      <c r="C529" s="163">
        <v>1523</v>
      </c>
      <c r="D529" s="95" t="s">
        <v>686</v>
      </c>
      <c r="E529" s="142">
        <v>0.61310000000000009</v>
      </c>
      <c r="F529" s="4" t="s">
        <v>2752</v>
      </c>
      <c r="G529" s="4" t="s">
        <v>2752</v>
      </c>
      <c r="H529" s="4" t="str">
        <f t="shared" si="11"/>
        <v>No</v>
      </c>
      <c r="I529" s="56"/>
    </row>
    <row r="530" spans="1:9">
      <c r="A530" s="97" t="s">
        <v>2350</v>
      </c>
      <c r="B530" s="97" t="s">
        <v>685</v>
      </c>
      <c r="C530" s="163">
        <v>4289</v>
      </c>
      <c r="D530" s="95" t="s">
        <v>693</v>
      </c>
      <c r="E530" s="142">
        <v>0.30383333333333334</v>
      </c>
      <c r="F530" s="4" t="s">
        <v>3065</v>
      </c>
      <c r="G530" s="4" t="s">
        <v>3065</v>
      </c>
      <c r="H530" s="4" t="str">
        <f t="shared" si="11"/>
        <v>No</v>
      </c>
      <c r="I530" s="56"/>
    </row>
    <row r="531" spans="1:9">
      <c r="A531" s="97" t="s">
        <v>2350</v>
      </c>
      <c r="B531" s="97" t="s">
        <v>685</v>
      </c>
      <c r="C531" s="163">
        <v>4550</v>
      </c>
      <c r="D531" s="95" t="s">
        <v>694</v>
      </c>
      <c r="E531" s="142">
        <v>0.26763333333333333</v>
      </c>
      <c r="F531" s="4" t="s">
        <v>3065</v>
      </c>
      <c r="G531" s="4" t="s">
        <v>3065</v>
      </c>
      <c r="H531" s="4" t="str">
        <f t="shared" si="11"/>
        <v>No</v>
      </c>
      <c r="I531" s="56"/>
    </row>
    <row r="532" spans="1:9">
      <c r="A532" s="97" t="s">
        <v>2350</v>
      </c>
      <c r="B532" s="97" t="s">
        <v>685</v>
      </c>
      <c r="C532" s="163">
        <v>3585</v>
      </c>
      <c r="D532" s="95" t="s">
        <v>690</v>
      </c>
      <c r="E532" s="142">
        <v>0.24433333333333332</v>
      </c>
      <c r="F532" s="4" t="s">
        <v>3065</v>
      </c>
      <c r="G532" s="4" t="s">
        <v>3065</v>
      </c>
      <c r="H532" s="4" t="str">
        <f t="shared" si="11"/>
        <v>No</v>
      </c>
      <c r="I532" s="56"/>
    </row>
    <row r="533" spans="1:9">
      <c r="A533" s="97" t="s">
        <v>2324</v>
      </c>
      <c r="B533" s="97" t="s">
        <v>452</v>
      </c>
      <c r="C533" s="163">
        <v>4229</v>
      </c>
      <c r="D533" s="95" t="s">
        <v>458</v>
      </c>
      <c r="E533" s="142">
        <v>0.32343333333333329</v>
      </c>
      <c r="F533" s="4" t="s">
        <v>3065</v>
      </c>
      <c r="G533" s="4" t="s">
        <v>3065</v>
      </c>
      <c r="H533" s="4" t="str">
        <f t="shared" si="11"/>
        <v>No</v>
      </c>
      <c r="I533" s="56"/>
    </row>
    <row r="534" spans="1:9">
      <c r="A534" s="97" t="s">
        <v>2324</v>
      </c>
      <c r="B534" s="97" t="s">
        <v>452</v>
      </c>
      <c r="C534" s="163">
        <v>2793</v>
      </c>
      <c r="D534" s="95" t="s">
        <v>454</v>
      </c>
      <c r="E534" s="142">
        <v>0.57666666666666666</v>
      </c>
      <c r="F534" s="4" t="s">
        <v>2752</v>
      </c>
      <c r="G534" s="4" t="s">
        <v>2752</v>
      </c>
      <c r="H534" s="4" t="str">
        <f t="shared" si="11"/>
        <v>No</v>
      </c>
      <c r="I534" s="56"/>
    </row>
    <row r="535" spans="1:9">
      <c r="A535" s="97" t="s">
        <v>2324</v>
      </c>
      <c r="B535" s="97" t="s">
        <v>452</v>
      </c>
      <c r="C535" s="163">
        <v>2920</v>
      </c>
      <c r="D535" s="95" t="s">
        <v>455</v>
      </c>
      <c r="E535" s="142">
        <v>0.49363333333333337</v>
      </c>
      <c r="F535" s="4" t="s">
        <v>3065</v>
      </c>
      <c r="G535" s="4" t="s">
        <v>3065</v>
      </c>
      <c r="H535" s="4" t="str">
        <f t="shared" si="11"/>
        <v>No</v>
      </c>
      <c r="I535" s="56"/>
    </row>
    <row r="536" spans="1:9">
      <c r="A536" s="97" t="s">
        <v>2324</v>
      </c>
      <c r="B536" s="97" t="s">
        <v>452</v>
      </c>
      <c r="C536" s="163">
        <v>3373</v>
      </c>
      <c r="D536" s="95" t="s">
        <v>457</v>
      </c>
      <c r="E536" s="142">
        <v>0.5658333333333333</v>
      </c>
      <c r="F536" s="4" t="s">
        <v>2752</v>
      </c>
      <c r="G536" s="4" t="s">
        <v>2752</v>
      </c>
      <c r="H536" s="4" t="str">
        <f t="shared" si="11"/>
        <v>No</v>
      </c>
      <c r="I536" s="56"/>
    </row>
    <row r="537" spans="1:9">
      <c r="A537" s="97" t="s">
        <v>2324</v>
      </c>
      <c r="B537" s="97" t="s">
        <v>452</v>
      </c>
      <c r="C537" s="163">
        <v>3092</v>
      </c>
      <c r="D537" s="95" t="s">
        <v>456</v>
      </c>
      <c r="E537" s="142">
        <v>0.60133333333333339</v>
      </c>
      <c r="F537" s="4" t="s">
        <v>2752</v>
      </c>
      <c r="G537" s="4" t="s">
        <v>2752</v>
      </c>
      <c r="H537" s="4" t="str">
        <f t="shared" si="11"/>
        <v>No</v>
      </c>
      <c r="I537" s="56"/>
    </row>
    <row r="538" spans="1:9">
      <c r="A538" s="97" t="s">
        <v>2324</v>
      </c>
      <c r="B538" s="97" t="s">
        <v>452</v>
      </c>
      <c r="C538" s="163">
        <v>2695</v>
      </c>
      <c r="D538" s="95" t="s">
        <v>453</v>
      </c>
      <c r="E538" s="142">
        <v>0.59006666666666663</v>
      </c>
      <c r="F538" s="4" t="s">
        <v>2752</v>
      </c>
      <c r="G538" s="4" t="s">
        <v>2752</v>
      </c>
      <c r="H538" s="4" t="str">
        <f t="shared" si="11"/>
        <v>No</v>
      </c>
      <c r="I538" s="56"/>
    </row>
    <row r="539" spans="1:9">
      <c r="A539" s="97" t="s">
        <v>2324</v>
      </c>
      <c r="B539" s="97" t="s">
        <v>452</v>
      </c>
      <c r="C539" s="163">
        <v>5497</v>
      </c>
      <c r="D539" s="95" t="s">
        <v>2778</v>
      </c>
      <c r="E539" s="142">
        <v>0.77253333333333341</v>
      </c>
      <c r="F539" s="4" t="s">
        <v>2752</v>
      </c>
      <c r="G539" s="4" t="s">
        <v>2752</v>
      </c>
      <c r="H539" s="4" t="str">
        <f t="shared" si="11"/>
        <v>No</v>
      </c>
      <c r="I539" s="56"/>
    </row>
    <row r="540" spans="1:9">
      <c r="A540" s="97" t="s">
        <v>2394</v>
      </c>
      <c r="B540" s="97" t="s">
        <v>1136</v>
      </c>
      <c r="C540" s="163">
        <v>2355</v>
      </c>
      <c r="D540" s="95" t="s">
        <v>1137</v>
      </c>
      <c r="E540" s="142">
        <v>0.63856666666666662</v>
      </c>
      <c r="F540" s="4" t="s">
        <v>2752</v>
      </c>
      <c r="G540" s="4" t="s">
        <v>2752</v>
      </c>
      <c r="H540" s="4" t="str">
        <f t="shared" si="11"/>
        <v>No</v>
      </c>
      <c r="I540" s="56"/>
    </row>
    <row r="541" spans="1:9">
      <c r="A541" s="97" t="s">
        <v>2472</v>
      </c>
      <c r="B541" s="97" t="s">
        <v>1594</v>
      </c>
      <c r="C541" s="163">
        <v>3407</v>
      </c>
      <c r="D541" s="95" t="s">
        <v>117</v>
      </c>
      <c r="E541" s="142">
        <v>0.50986666666666669</v>
      </c>
      <c r="F541" s="4" t="s">
        <v>2752</v>
      </c>
      <c r="G541" s="4" t="s">
        <v>3065</v>
      </c>
      <c r="H541" s="4" t="str">
        <f t="shared" si="11"/>
        <v>No</v>
      </c>
      <c r="I541" s="56"/>
    </row>
    <row r="542" spans="1:9">
      <c r="A542" s="97" t="s">
        <v>2472</v>
      </c>
      <c r="B542" s="97" t="s">
        <v>1594</v>
      </c>
      <c r="C542" s="163">
        <v>4382</v>
      </c>
      <c r="D542" s="95" t="s">
        <v>1612</v>
      </c>
      <c r="E542" s="142">
        <v>0.14419999999999999</v>
      </c>
      <c r="F542" s="4" t="s">
        <v>3065</v>
      </c>
      <c r="G542" s="4" t="s">
        <v>3065</v>
      </c>
      <c r="H542" s="4" t="str">
        <f t="shared" si="11"/>
        <v>No</v>
      </c>
      <c r="I542" s="56"/>
    </row>
    <row r="543" spans="1:9">
      <c r="A543" s="97" t="s">
        <v>2472</v>
      </c>
      <c r="B543" s="97" t="s">
        <v>1594</v>
      </c>
      <c r="C543" s="163">
        <v>3752</v>
      </c>
      <c r="D543" s="95" t="s">
        <v>1606</v>
      </c>
      <c r="E543" s="142">
        <v>0.44883333333333336</v>
      </c>
      <c r="F543" s="4" t="s">
        <v>3065</v>
      </c>
      <c r="G543" s="4" t="s">
        <v>3065</v>
      </c>
      <c r="H543" s="4" t="str">
        <f t="shared" si="11"/>
        <v>No</v>
      </c>
      <c r="I543" s="56"/>
    </row>
    <row r="544" spans="1:9">
      <c r="A544" s="97" t="s">
        <v>2472</v>
      </c>
      <c r="B544" s="97" t="s">
        <v>1594</v>
      </c>
      <c r="C544" s="163">
        <v>3184</v>
      </c>
      <c r="D544" s="95" t="s">
        <v>564</v>
      </c>
      <c r="E544" s="142">
        <v>0.63206666666666667</v>
      </c>
      <c r="F544" s="4" t="s">
        <v>2752</v>
      </c>
      <c r="G544" s="4" t="s">
        <v>2752</v>
      </c>
      <c r="H544" s="4" t="str">
        <f t="shared" si="11"/>
        <v>No</v>
      </c>
      <c r="I544" s="56"/>
    </row>
    <row r="545" spans="1:9">
      <c r="A545" s="97" t="s">
        <v>2472</v>
      </c>
      <c r="B545" s="97" t="s">
        <v>1594</v>
      </c>
      <c r="C545" s="163">
        <v>2126</v>
      </c>
      <c r="D545" s="95" t="s">
        <v>1598</v>
      </c>
      <c r="E545" s="142">
        <v>0.53123333333333334</v>
      </c>
      <c r="F545" s="4" t="s">
        <v>2752</v>
      </c>
      <c r="G545" s="4" t="s">
        <v>2752</v>
      </c>
      <c r="H545" s="4" t="str">
        <f t="shared" si="11"/>
        <v>No</v>
      </c>
      <c r="I545" s="56"/>
    </row>
    <row r="546" spans="1:9">
      <c r="A546" s="97" t="s">
        <v>2472</v>
      </c>
      <c r="B546" s="97" t="s">
        <v>1594</v>
      </c>
      <c r="C546" s="163">
        <v>5330</v>
      </c>
      <c r="D546" s="95" t="s">
        <v>1617</v>
      </c>
      <c r="E546" s="142">
        <v>0.67536666666666667</v>
      </c>
      <c r="F546" s="4" t="s">
        <v>2752</v>
      </c>
      <c r="G546" s="4" t="s">
        <v>2752</v>
      </c>
      <c r="H546" s="4" t="str">
        <f t="shared" si="11"/>
        <v>No</v>
      </c>
      <c r="I546" s="56"/>
    </row>
    <row r="547" spans="1:9">
      <c r="A547" s="97" t="s">
        <v>2472</v>
      </c>
      <c r="B547" s="97" t="s">
        <v>1594</v>
      </c>
      <c r="C547" s="163">
        <v>5670</v>
      </c>
      <c r="D547" s="95" t="s">
        <v>3013</v>
      </c>
      <c r="E547" s="142">
        <v>0.32629999999999998</v>
      </c>
      <c r="F547" s="4" t="s">
        <v>3065</v>
      </c>
      <c r="G547" s="4" t="s">
        <v>3065</v>
      </c>
      <c r="H547" s="4" t="str">
        <f t="shared" si="11"/>
        <v>No</v>
      </c>
      <c r="I547" s="56"/>
    </row>
    <row r="548" spans="1:9">
      <c r="A548" s="97" t="s">
        <v>2472</v>
      </c>
      <c r="B548" s="97" t="s">
        <v>1594</v>
      </c>
      <c r="C548" s="163">
        <v>3253</v>
      </c>
      <c r="D548" s="95" t="s">
        <v>925</v>
      </c>
      <c r="E548" s="142">
        <v>0.60106666666666675</v>
      </c>
      <c r="F548" s="4" t="s">
        <v>2752</v>
      </c>
      <c r="G548" s="4" t="s">
        <v>2752</v>
      </c>
      <c r="H548" s="4" t="str">
        <f t="shared" si="11"/>
        <v>No</v>
      </c>
      <c r="I548" s="56"/>
    </row>
    <row r="549" spans="1:9">
      <c r="A549" s="97" t="s">
        <v>2472</v>
      </c>
      <c r="B549" s="97" t="s">
        <v>1594</v>
      </c>
      <c r="C549" s="163">
        <v>5091</v>
      </c>
      <c r="D549" s="95" t="s">
        <v>1616</v>
      </c>
      <c r="E549" s="142">
        <v>0.1313</v>
      </c>
      <c r="F549" s="4" t="s">
        <v>3065</v>
      </c>
      <c r="G549" s="4" t="s">
        <v>3065</v>
      </c>
      <c r="H549" s="4" t="str">
        <f t="shared" si="11"/>
        <v>No</v>
      </c>
      <c r="I549" s="56"/>
    </row>
    <row r="550" spans="1:9">
      <c r="A550" s="97" t="s">
        <v>2472</v>
      </c>
      <c r="B550" s="97" t="s">
        <v>1594</v>
      </c>
      <c r="C550" s="163">
        <v>2065</v>
      </c>
      <c r="D550" s="95" t="s">
        <v>1597</v>
      </c>
      <c r="E550" s="142">
        <v>0.61946666666666672</v>
      </c>
      <c r="F550" s="4" t="s">
        <v>2752</v>
      </c>
      <c r="G550" s="4" t="s">
        <v>2752</v>
      </c>
      <c r="H550" s="4" t="str">
        <f t="shared" si="11"/>
        <v>No</v>
      </c>
      <c r="I550" s="56"/>
    </row>
    <row r="551" spans="1:9">
      <c r="A551" s="97" t="s">
        <v>2472</v>
      </c>
      <c r="B551" s="97" t="s">
        <v>1594</v>
      </c>
      <c r="C551" s="163">
        <v>4437</v>
      </c>
      <c r="D551" s="95" t="s">
        <v>1613</v>
      </c>
      <c r="E551" s="142">
        <v>0.12856666666666669</v>
      </c>
      <c r="F551" s="4" t="s">
        <v>3065</v>
      </c>
      <c r="G551" s="4" t="s">
        <v>3065</v>
      </c>
      <c r="H551" s="4" t="str">
        <f t="shared" si="11"/>
        <v>No</v>
      </c>
      <c r="I551" s="56"/>
    </row>
    <row r="552" spans="1:9">
      <c r="A552" s="97" t="s">
        <v>2472</v>
      </c>
      <c r="B552" s="97" t="s">
        <v>1594</v>
      </c>
      <c r="C552" s="163">
        <v>2883</v>
      </c>
      <c r="D552" s="95" t="s">
        <v>1603</v>
      </c>
      <c r="E552" s="142">
        <v>0.8167333333333332</v>
      </c>
      <c r="F552" s="4" t="s">
        <v>2752</v>
      </c>
      <c r="G552" s="4" t="s">
        <v>2752</v>
      </c>
      <c r="H552" s="4" t="str">
        <f t="shared" si="11"/>
        <v>No</v>
      </c>
      <c r="I552" s="56"/>
    </row>
    <row r="553" spans="1:9">
      <c r="A553" s="97" t="s">
        <v>2472</v>
      </c>
      <c r="B553" s="97" t="s">
        <v>1594</v>
      </c>
      <c r="C553" s="163">
        <v>4334</v>
      </c>
      <c r="D553" s="95" t="s">
        <v>1611</v>
      </c>
      <c r="E553" s="142">
        <v>0.28113333333333329</v>
      </c>
      <c r="F553" s="4" t="s">
        <v>3065</v>
      </c>
      <c r="G553" s="4" t="s">
        <v>3065</v>
      </c>
      <c r="H553" s="4" t="str">
        <f t="shared" si="11"/>
        <v>No</v>
      </c>
      <c r="I553" s="56"/>
    </row>
    <row r="554" spans="1:9">
      <c r="A554" s="97" t="s">
        <v>2472</v>
      </c>
      <c r="B554" s="97" t="s">
        <v>1594</v>
      </c>
      <c r="C554" s="163">
        <v>4438</v>
      </c>
      <c r="D554" s="95" t="s">
        <v>1614</v>
      </c>
      <c r="E554" s="142">
        <v>0.20303333333333332</v>
      </c>
      <c r="F554" s="4" t="s">
        <v>3065</v>
      </c>
      <c r="G554" s="4" t="s">
        <v>3065</v>
      </c>
      <c r="H554" s="4" t="str">
        <f t="shared" si="11"/>
        <v>No</v>
      </c>
      <c r="I554" s="56"/>
    </row>
    <row r="555" spans="1:9">
      <c r="A555" s="97" t="s">
        <v>2472</v>
      </c>
      <c r="B555" s="97" t="s">
        <v>1594</v>
      </c>
      <c r="C555" s="163">
        <v>2751</v>
      </c>
      <c r="D555" s="95" t="s">
        <v>1601</v>
      </c>
      <c r="E555" s="142">
        <v>0.59116666666666662</v>
      </c>
      <c r="F555" s="4" t="s">
        <v>2752</v>
      </c>
      <c r="G555" s="4" t="s">
        <v>2752</v>
      </c>
      <c r="H555" s="4" t="str">
        <f t="shared" si="11"/>
        <v>No</v>
      </c>
      <c r="I555" s="56"/>
    </row>
    <row r="556" spans="1:9">
      <c r="A556" s="97" t="s">
        <v>2472</v>
      </c>
      <c r="B556" s="97" t="s">
        <v>1594</v>
      </c>
      <c r="C556" s="163">
        <v>3533</v>
      </c>
      <c r="D556" s="95" t="s">
        <v>79</v>
      </c>
      <c r="E556" s="142">
        <v>0.35516666666666663</v>
      </c>
      <c r="F556" s="4" t="s">
        <v>3065</v>
      </c>
      <c r="G556" s="4" t="s">
        <v>3065</v>
      </c>
      <c r="H556" s="4" t="str">
        <f t="shared" si="11"/>
        <v>No</v>
      </c>
      <c r="I556" s="56"/>
    </row>
    <row r="557" spans="1:9">
      <c r="A557" s="97" t="s">
        <v>2472</v>
      </c>
      <c r="B557" s="97" t="s">
        <v>1594</v>
      </c>
      <c r="C557" s="163">
        <v>2811</v>
      </c>
      <c r="D557" s="95" t="s">
        <v>1602</v>
      </c>
      <c r="E557" s="142">
        <v>0.58006666666666662</v>
      </c>
      <c r="F557" s="4" t="s">
        <v>2752</v>
      </c>
      <c r="G557" s="4" t="s">
        <v>2752</v>
      </c>
      <c r="H557" s="4" t="str">
        <f t="shared" si="11"/>
        <v>No</v>
      </c>
      <c r="I557" s="56"/>
    </row>
    <row r="558" spans="1:9">
      <c r="A558" s="97" t="s">
        <v>2472</v>
      </c>
      <c r="B558" s="97" t="s">
        <v>1594</v>
      </c>
      <c r="C558" s="163">
        <v>2669</v>
      </c>
      <c r="D558" s="95" t="s">
        <v>1577</v>
      </c>
      <c r="E558" s="142">
        <v>0.65196666666666669</v>
      </c>
      <c r="F558" s="4" t="s">
        <v>2752</v>
      </c>
      <c r="G558" s="4" t="s">
        <v>2752</v>
      </c>
      <c r="H558" s="4" t="str">
        <f t="shared" si="11"/>
        <v>No</v>
      </c>
      <c r="I558" s="56"/>
    </row>
    <row r="559" spans="1:9">
      <c r="A559" s="97" t="s">
        <v>2472</v>
      </c>
      <c r="B559" s="97" t="s">
        <v>1594</v>
      </c>
      <c r="C559" s="163">
        <v>4316</v>
      </c>
      <c r="D559" s="95" t="s">
        <v>1610</v>
      </c>
      <c r="E559" s="142">
        <v>0.21419999999999997</v>
      </c>
      <c r="F559" s="4" t="s">
        <v>3065</v>
      </c>
      <c r="G559" s="4" t="s">
        <v>3065</v>
      </c>
      <c r="H559" s="4" t="str">
        <f t="shared" si="11"/>
        <v>No</v>
      </c>
      <c r="I559" s="56"/>
    </row>
    <row r="560" spans="1:9">
      <c r="A560" s="97" t="s">
        <v>2472</v>
      </c>
      <c r="B560" s="97" t="s">
        <v>1594</v>
      </c>
      <c r="C560" s="163">
        <v>3686</v>
      </c>
      <c r="D560" s="95" t="s">
        <v>1605</v>
      </c>
      <c r="E560" s="142">
        <v>0.42050000000000004</v>
      </c>
      <c r="F560" s="4" t="s">
        <v>3065</v>
      </c>
      <c r="G560" s="4" t="s">
        <v>3065</v>
      </c>
      <c r="H560" s="4" t="str">
        <f t="shared" si="11"/>
        <v>No</v>
      </c>
      <c r="I560" s="56"/>
    </row>
    <row r="561" spans="1:9">
      <c r="A561" s="97" t="s">
        <v>2472</v>
      </c>
      <c r="B561" s="97" t="s">
        <v>1594</v>
      </c>
      <c r="C561" s="163">
        <v>2364</v>
      </c>
      <c r="D561" s="95" t="s">
        <v>1599</v>
      </c>
      <c r="E561" s="142">
        <v>0.63656666666666661</v>
      </c>
      <c r="F561" s="4" t="s">
        <v>2752</v>
      </c>
      <c r="G561" s="4" t="s">
        <v>2752</v>
      </c>
      <c r="H561" s="4" t="str">
        <f t="shared" si="11"/>
        <v>No</v>
      </c>
      <c r="I561" s="56"/>
    </row>
    <row r="562" spans="1:9">
      <c r="A562" s="97" t="s">
        <v>2472</v>
      </c>
      <c r="B562" s="97" t="s">
        <v>1594</v>
      </c>
      <c r="C562" s="163">
        <v>1663</v>
      </c>
      <c r="D562" s="95" t="s">
        <v>1595</v>
      </c>
      <c r="E562" s="142">
        <v>0.27776666666666666</v>
      </c>
      <c r="F562" s="4" t="s">
        <v>3065</v>
      </c>
      <c r="G562" s="4" t="s">
        <v>3065</v>
      </c>
      <c r="H562" s="4" t="str">
        <f t="shared" si="11"/>
        <v>No</v>
      </c>
      <c r="I562" s="56"/>
    </row>
    <row r="563" spans="1:9">
      <c r="A563" s="97" t="s">
        <v>2472</v>
      </c>
      <c r="B563" s="97" t="s">
        <v>1594</v>
      </c>
      <c r="C563" s="163">
        <v>4530</v>
      </c>
      <c r="D563" s="95" t="s">
        <v>1615</v>
      </c>
      <c r="E563" s="142">
        <v>0.22786666666666666</v>
      </c>
      <c r="F563" s="4" t="s">
        <v>3065</v>
      </c>
      <c r="G563" s="4" t="s">
        <v>3065</v>
      </c>
      <c r="H563" s="4" t="str">
        <f t="shared" si="11"/>
        <v>No</v>
      </c>
      <c r="I563" s="56"/>
    </row>
    <row r="564" spans="1:9">
      <c r="A564" s="97" t="s">
        <v>2472</v>
      </c>
      <c r="B564" s="97" t="s">
        <v>1594</v>
      </c>
      <c r="C564" s="163">
        <v>1907</v>
      </c>
      <c r="D564" s="95" t="s">
        <v>1596</v>
      </c>
      <c r="E564" s="142">
        <v>0.19003333333333336</v>
      </c>
      <c r="F564" s="4" t="s">
        <v>3065</v>
      </c>
      <c r="G564" s="4" t="s">
        <v>3065</v>
      </c>
      <c r="H564" s="4" t="str">
        <f t="shared" si="11"/>
        <v>No</v>
      </c>
      <c r="I564" s="56"/>
    </row>
    <row r="565" spans="1:9">
      <c r="A565" s="97" t="s">
        <v>2472</v>
      </c>
      <c r="B565" s="97" t="s">
        <v>1594</v>
      </c>
      <c r="C565" s="163">
        <v>4137</v>
      </c>
      <c r="D565" s="95" t="s">
        <v>1608</v>
      </c>
      <c r="E565" s="142">
        <v>0.63076666666666659</v>
      </c>
      <c r="F565" s="4" t="s">
        <v>2752</v>
      </c>
      <c r="G565" s="4" t="s">
        <v>2752</v>
      </c>
      <c r="H565" s="4" t="str">
        <f t="shared" si="11"/>
        <v>No</v>
      </c>
      <c r="I565" s="56"/>
    </row>
    <row r="566" spans="1:9">
      <c r="A566" s="97" t="s">
        <v>2472</v>
      </c>
      <c r="B566" s="97" t="s">
        <v>1594</v>
      </c>
      <c r="C566" s="163">
        <v>4298</v>
      </c>
      <c r="D566" s="95" t="s">
        <v>1609</v>
      </c>
      <c r="E566" s="142">
        <v>0.14263333333333336</v>
      </c>
      <c r="F566" s="4" t="s">
        <v>3065</v>
      </c>
      <c r="G566" s="4" t="s">
        <v>3065</v>
      </c>
      <c r="H566" s="4" t="str">
        <f t="shared" si="11"/>
        <v>No</v>
      </c>
      <c r="I566" s="56"/>
    </row>
    <row r="567" spans="1:9">
      <c r="A567" s="97" t="s">
        <v>2472</v>
      </c>
      <c r="B567" s="97" t="s">
        <v>1594</v>
      </c>
      <c r="C567" s="163">
        <v>2545</v>
      </c>
      <c r="D567" s="95" t="s">
        <v>1600</v>
      </c>
      <c r="E567" s="142">
        <v>0.49503333333333338</v>
      </c>
      <c r="F567" s="4" t="s">
        <v>3065</v>
      </c>
      <c r="G567" s="4" t="s">
        <v>3065</v>
      </c>
      <c r="H567" s="4" t="str">
        <f t="shared" si="11"/>
        <v>No</v>
      </c>
      <c r="I567" s="56"/>
    </row>
    <row r="568" spans="1:9">
      <c r="A568" s="97" t="s">
        <v>2472</v>
      </c>
      <c r="B568" s="97" t="s">
        <v>1594</v>
      </c>
      <c r="C568" s="163">
        <v>3903</v>
      </c>
      <c r="D568" s="95" t="s">
        <v>27</v>
      </c>
      <c r="E568" s="142">
        <v>0.33616666666666667</v>
      </c>
      <c r="F568" s="4" t="s">
        <v>3065</v>
      </c>
      <c r="G568" s="4" t="s">
        <v>3065</v>
      </c>
      <c r="H568" s="4" t="str">
        <f t="shared" si="11"/>
        <v>No</v>
      </c>
      <c r="I568" s="56"/>
    </row>
    <row r="569" spans="1:9">
      <c r="A569" s="97" t="s">
        <v>2472</v>
      </c>
      <c r="B569" s="97" t="s">
        <v>1594</v>
      </c>
      <c r="C569" s="163">
        <v>5570</v>
      </c>
      <c r="D569" s="95" t="s">
        <v>2837</v>
      </c>
      <c r="E569" s="142">
        <v>5.8066666666666676E-2</v>
      </c>
      <c r="F569" s="4" t="s">
        <v>3065</v>
      </c>
      <c r="G569" s="4" t="s">
        <v>3065</v>
      </c>
      <c r="H569" s="4" t="str">
        <f t="shared" si="11"/>
        <v>No</v>
      </c>
      <c r="I569" s="56"/>
    </row>
    <row r="570" spans="1:9">
      <c r="A570" s="137" t="s">
        <v>2472</v>
      </c>
      <c r="B570" s="97" t="s">
        <v>1594</v>
      </c>
      <c r="C570" s="164">
        <v>3002</v>
      </c>
      <c r="D570" s="56" t="s">
        <v>1604</v>
      </c>
      <c r="E570" s="142">
        <v>0.39016666666666672</v>
      </c>
      <c r="F570" s="4" t="s">
        <v>3065</v>
      </c>
      <c r="G570" s="4" t="s">
        <v>3065</v>
      </c>
      <c r="H570" s="4" t="str">
        <f t="shared" si="11"/>
        <v>No</v>
      </c>
      <c r="I570" s="56"/>
    </row>
    <row r="571" spans="1:9">
      <c r="A571" s="97" t="s">
        <v>2472</v>
      </c>
      <c r="B571" s="97" t="s">
        <v>1594</v>
      </c>
      <c r="C571" s="163">
        <v>2752</v>
      </c>
      <c r="D571" s="95" t="s">
        <v>382</v>
      </c>
      <c r="E571" s="142">
        <v>0.3528</v>
      </c>
      <c r="F571" s="4" t="s">
        <v>3065</v>
      </c>
      <c r="G571" s="4" t="s">
        <v>3065</v>
      </c>
      <c r="H571" s="4" t="str">
        <f t="shared" si="11"/>
        <v>No</v>
      </c>
      <c r="I571" s="56"/>
    </row>
    <row r="572" spans="1:9">
      <c r="A572" s="97" t="s">
        <v>2472</v>
      </c>
      <c r="B572" s="97" t="s">
        <v>1594</v>
      </c>
      <c r="C572" s="163">
        <v>4125</v>
      </c>
      <c r="D572" s="95" t="s">
        <v>1607</v>
      </c>
      <c r="E572" s="142">
        <v>0.3372</v>
      </c>
      <c r="F572" s="4" t="s">
        <v>3065</v>
      </c>
      <c r="G572" s="4" t="s">
        <v>3065</v>
      </c>
      <c r="H572" s="4" t="str">
        <f t="shared" si="11"/>
        <v>No</v>
      </c>
      <c r="I572" s="56"/>
    </row>
    <row r="573" spans="1:9">
      <c r="A573" s="97" t="s">
        <v>2288</v>
      </c>
      <c r="B573" s="97" t="s">
        <v>220</v>
      </c>
      <c r="C573" s="163">
        <v>1646</v>
      </c>
      <c r="D573" s="95" t="s">
        <v>221</v>
      </c>
      <c r="E573" s="142">
        <v>0.67566666666666675</v>
      </c>
      <c r="F573" s="4" t="s">
        <v>2752</v>
      </c>
      <c r="G573" s="4" t="s">
        <v>2752</v>
      </c>
      <c r="H573" s="4" t="str">
        <f t="shared" si="11"/>
        <v>No</v>
      </c>
      <c r="I573" s="56"/>
    </row>
    <row r="574" spans="1:9">
      <c r="A574" s="97" t="s">
        <v>2288</v>
      </c>
      <c r="B574" s="97" t="s">
        <v>220</v>
      </c>
      <c r="C574" s="163">
        <v>4299</v>
      </c>
      <c r="D574" s="95" t="s">
        <v>242</v>
      </c>
      <c r="E574" s="142">
        <v>0.52473333333333338</v>
      </c>
      <c r="F574" s="4" t="s">
        <v>2752</v>
      </c>
      <c r="G574" s="4" t="s">
        <v>3065</v>
      </c>
      <c r="H574" s="4" t="str">
        <f t="shared" si="11"/>
        <v>No</v>
      </c>
      <c r="I574" s="56"/>
    </row>
    <row r="575" spans="1:9">
      <c r="A575" s="97" t="s">
        <v>2288</v>
      </c>
      <c r="B575" s="97" t="s">
        <v>220</v>
      </c>
      <c r="C575" s="163">
        <v>3736</v>
      </c>
      <c r="D575" s="95" t="s">
        <v>230</v>
      </c>
      <c r="E575" s="142">
        <v>0.67493333333333327</v>
      </c>
      <c r="F575" s="4" t="s">
        <v>2752</v>
      </c>
      <c r="G575" s="4" t="s">
        <v>2752</v>
      </c>
      <c r="H575" s="4" t="str">
        <f t="shared" si="11"/>
        <v>No</v>
      </c>
      <c r="I575" s="56"/>
    </row>
    <row r="576" spans="1:9">
      <c r="A576" s="97" t="s">
        <v>2288</v>
      </c>
      <c r="B576" s="97" t="s">
        <v>220</v>
      </c>
      <c r="C576" s="163">
        <v>3785</v>
      </c>
      <c r="D576" s="95" t="s">
        <v>231</v>
      </c>
      <c r="E576" s="142">
        <v>0.63930000000000009</v>
      </c>
      <c r="F576" s="4" t="s">
        <v>2752</v>
      </c>
      <c r="G576" s="4" t="s">
        <v>2752</v>
      </c>
      <c r="H576" s="4" t="str">
        <f t="shared" si="11"/>
        <v>No</v>
      </c>
      <c r="I576" s="56"/>
    </row>
    <row r="577" spans="1:9">
      <c r="A577" s="97" t="s">
        <v>2288</v>
      </c>
      <c r="B577" s="97" t="s">
        <v>220</v>
      </c>
      <c r="C577" s="163">
        <v>4587</v>
      </c>
      <c r="D577" s="95" t="s">
        <v>251</v>
      </c>
      <c r="E577" s="142">
        <v>0.45676666666666671</v>
      </c>
      <c r="F577" s="4" t="s">
        <v>3065</v>
      </c>
      <c r="G577" s="4" t="s">
        <v>3065</v>
      </c>
      <c r="H577" s="4" t="str">
        <f t="shared" si="11"/>
        <v>No</v>
      </c>
      <c r="I577" s="56"/>
    </row>
    <row r="578" spans="1:9">
      <c r="A578" s="97" t="s">
        <v>2288</v>
      </c>
      <c r="B578" s="97" t="s">
        <v>220</v>
      </c>
      <c r="C578" s="163">
        <v>3320</v>
      </c>
      <c r="D578" s="95" t="s">
        <v>228</v>
      </c>
      <c r="E578" s="142">
        <v>0.67770000000000008</v>
      </c>
      <c r="F578" s="4" t="s">
        <v>2752</v>
      </c>
      <c r="G578" s="4" t="s">
        <v>2752</v>
      </c>
      <c r="H578" s="4" t="str">
        <f t="shared" si="11"/>
        <v>No</v>
      </c>
      <c r="I578" s="56"/>
    </row>
    <row r="579" spans="1:9">
      <c r="A579" s="97" t="s">
        <v>2288</v>
      </c>
      <c r="B579" s="97" t="s">
        <v>220</v>
      </c>
      <c r="C579" s="163">
        <v>3822</v>
      </c>
      <c r="D579" s="95" t="s">
        <v>232</v>
      </c>
      <c r="E579" s="142">
        <v>0.67499999999999993</v>
      </c>
      <c r="F579" s="4" t="s">
        <v>2752</v>
      </c>
      <c r="G579" s="4" t="s">
        <v>2752</v>
      </c>
      <c r="H579" s="4" t="str">
        <f t="shared" si="11"/>
        <v>No</v>
      </c>
      <c r="I579" s="56"/>
    </row>
    <row r="580" spans="1:9">
      <c r="A580" s="97" t="s">
        <v>2288</v>
      </c>
      <c r="B580" s="97" t="s">
        <v>220</v>
      </c>
      <c r="C580" s="163">
        <v>3148</v>
      </c>
      <c r="D580" s="95" t="s">
        <v>226</v>
      </c>
      <c r="E580" s="142">
        <v>0.61456666666666671</v>
      </c>
      <c r="F580" s="4" t="s">
        <v>2752</v>
      </c>
      <c r="G580" s="4" t="s">
        <v>2752</v>
      </c>
      <c r="H580" s="4" t="str">
        <f t="shared" ref="H580:H642" si="12">IFERROR(IF(AND(G580="Yes",F580="No"),"Yes","No"),"No")</f>
        <v>No</v>
      </c>
      <c r="I580" s="56"/>
    </row>
    <row r="581" spans="1:9">
      <c r="A581" s="97" t="s">
        <v>2288</v>
      </c>
      <c r="B581" s="97" t="s">
        <v>220</v>
      </c>
      <c r="C581" s="163">
        <v>5612</v>
      </c>
      <c r="D581" s="95" t="s">
        <v>2882</v>
      </c>
      <c r="E581" s="142">
        <v>0.40590000000000004</v>
      </c>
      <c r="F581" s="4" t="s">
        <v>3065</v>
      </c>
      <c r="G581" s="4" t="s">
        <v>3065</v>
      </c>
      <c r="H581" s="4" t="str">
        <f t="shared" si="12"/>
        <v>No</v>
      </c>
      <c r="I581" s="56"/>
    </row>
    <row r="582" spans="1:9">
      <c r="A582" s="97" t="s">
        <v>2288</v>
      </c>
      <c r="B582" s="97" t="s">
        <v>220</v>
      </c>
      <c r="C582" s="163">
        <v>5136</v>
      </c>
      <c r="D582" s="95" t="s">
        <v>253</v>
      </c>
      <c r="E582" s="142">
        <v>0.62423333333333331</v>
      </c>
      <c r="F582" s="4" t="s">
        <v>2752</v>
      </c>
      <c r="G582" s="4" t="s">
        <v>2752</v>
      </c>
      <c r="H582" s="4" t="str">
        <f t="shared" si="12"/>
        <v>No</v>
      </c>
      <c r="I582" s="56"/>
    </row>
    <row r="583" spans="1:9">
      <c r="A583" s="97" t="s">
        <v>2288</v>
      </c>
      <c r="B583" s="97" t="s">
        <v>220</v>
      </c>
      <c r="C583" s="163">
        <v>2724</v>
      </c>
      <c r="D583" s="95" t="s">
        <v>223</v>
      </c>
      <c r="E583" s="142">
        <v>0.57943333333333324</v>
      </c>
      <c r="F583" s="4" t="s">
        <v>2752</v>
      </c>
      <c r="G583" s="4" t="s">
        <v>2752</v>
      </c>
      <c r="H583" s="4" t="str">
        <f t="shared" si="12"/>
        <v>No</v>
      </c>
      <c r="I583" s="56"/>
    </row>
    <row r="584" spans="1:9">
      <c r="A584" s="97" t="s">
        <v>2288</v>
      </c>
      <c r="B584" s="97" t="s">
        <v>220</v>
      </c>
      <c r="C584" s="163">
        <v>3971</v>
      </c>
      <c r="D584" s="95" t="s">
        <v>235</v>
      </c>
      <c r="E584" s="142">
        <v>0.63659999999999994</v>
      </c>
      <c r="F584" s="4" t="s">
        <v>2752</v>
      </c>
      <c r="G584" s="4" t="s">
        <v>2752</v>
      </c>
      <c r="H584" s="4" t="str">
        <f t="shared" si="12"/>
        <v>No</v>
      </c>
      <c r="I584" s="56"/>
    </row>
    <row r="585" spans="1:9">
      <c r="A585" s="97" t="s">
        <v>2288</v>
      </c>
      <c r="B585" s="97" t="s">
        <v>220</v>
      </c>
      <c r="C585" s="163">
        <v>4499</v>
      </c>
      <c r="D585" s="95" t="s">
        <v>246</v>
      </c>
      <c r="E585" s="142">
        <v>0.19456666666666667</v>
      </c>
      <c r="F585" s="4" t="s">
        <v>3065</v>
      </c>
      <c r="G585" s="4" t="s">
        <v>3065</v>
      </c>
      <c r="H585" s="4" t="str">
        <f t="shared" si="12"/>
        <v>No</v>
      </c>
      <c r="I585" s="56"/>
    </row>
    <row r="586" spans="1:9">
      <c r="A586" s="97" t="s">
        <v>2288</v>
      </c>
      <c r="B586" s="97" t="s">
        <v>220</v>
      </c>
      <c r="C586" s="163">
        <v>4498</v>
      </c>
      <c r="D586" s="95" t="s">
        <v>245</v>
      </c>
      <c r="E586" s="142">
        <v>0.51146666666666663</v>
      </c>
      <c r="F586" s="4" t="s">
        <v>2752</v>
      </c>
      <c r="G586" s="4" t="s">
        <v>3065</v>
      </c>
      <c r="H586" s="4" t="str">
        <f t="shared" si="12"/>
        <v>No</v>
      </c>
      <c r="I586" s="56"/>
    </row>
    <row r="587" spans="1:9">
      <c r="A587" s="97" t="s">
        <v>2288</v>
      </c>
      <c r="B587" s="97" t="s">
        <v>220</v>
      </c>
      <c r="C587" s="163">
        <v>4380</v>
      </c>
      <c r="D587" s="95" t="s">
        <v>243</v>
      </c>
      <c r="E587" s="142">
        <v>0.3550666666666667</v>
      </c>
      <c r="F587" s="4" t="s">
        <v>3065</v>
      </c>
      <c r="G587" s="4" t="s">
        <v>3065</v>
      </c>
      <c r="H587" s="4" t="str">
        <f t="shared" si="12"/>
        <v>No</v>
      </c>
      <c r="I587" s="56"/>
    </row>
    <row r="588" spans="1:9">
      <c r="A588" s="97" t="s">
        <v>2288</v>
      </c>
      <c r="B588" s="97" t="s">
        <v>220</v>
      </c>
      <c r="C588" s="163">
        <v>4163</v>
      </c>
      <c r="D588" s="95" t="s">
        <v>240</v>
      </c>
      <c r="E588" s="142">
        <v>0.60973333333333335</v>
      </c>
      <c r="F588" s="4" t="s">
        <v>2752</v>
      </c>
      <c r="G588" s="4" t="s">
        <v>2752</v>
      </c>
      <c r="H588" s="4" t="str">
        <f t="shared" si="12"/>
        <v>No</v>
      </c>
      <c r="I588" s="56"/>
    </row>
    <row r="589" spans="1:9">
      <c r="A589" s="97" t="s">
        <v>2288</v>
      </c>
      <c r="B589" s="97" t="s">
        <v>220</v>
      </c>
      <c r="C589" s="163">
        <v>5310</v>
      </c>
      <c r="D589" s="95" t="s">
        <v>2883</v>
      </c>
      <c r="E589" s="142">
        <v>0.4491</v>
      </c>
      <c r="F589" s="4" t="s">
        <v>3065</v>
      </c>
      <c r="G589" s="4" t="s">
        <v>3065</v>
      </c>
      <c r="H589" s="4" t="str">
        <f t="shared" si="12"/>
        <v>No</v>
      </c>
      <c r="I589" s="56"/>
    </row>
    <row r="590" spans="1:9">
      <c r="A590" s="97" t="s">
        <v>2288</v>
      </c>
      <c r="B590" s="97" t="s">
        <v>220</v>
      </c>
      <c r="C590" s="163">
        <v>4523</v>
      </c>
      <c r="D590" s="95" t="s">
        <v>247</v>
      </c>
      <c r="E590" s="142">
        <v>0.58796666666666664</v>
      </c>
      <c r="F590" s="4" t="s">
        <v>2752</v>
      </c>
      <c r="G590" s="4" t="s">
        <v>2752</v>
      </c>
      <c r="H590" s="4" t="str">
        <f t="shared" si="12"/>
        <v>No</v>
      </c>
      <c r="I590" s="56"/>
    </row>
    <row r="591" spans="1:9">
      <c r="A591" s="97" t="s">
        <v>2288</v>
      </c>
      <c r="B591" s="97" t="s">
        <v>220</v>
      </c>
      <c r="C591" s="163">
        <v>1926</v>
      </c>
      <c r="D591" s="95" t="s">
        <v>222</v>
      </c>
      <c r="E591" s="142">
        <v>0.45073333333333326</v>
      </c>
      <c r="F591" s="4" t="s">
        <v>3065</v>
      </c>
      <c r="G591" s="4" t="s">
        <v>3065</v>
      </c>
      <c r="H591" s="4" t="str">
        <f t="shared" si="12"/>
        <v>No</v>
      </c>
      <c r="I591" s="56"/>
    </row>
    <row r="592" spans="1:9">
      <c r="A592" s="97" t="s">
        <v>2288</v>
      </c>
      <c r="B592" s="97" t="s">
        <v>220</v>
      </c>
      <c r="C592" s="163">
        <v>4560</v>
      </c>
      <c r="D592" s="95" t="s">
        <v>248</v>
      </c>
      <c r="E592" s="142">
        <v>0.23479999999999998</v>
      </c>
      <c r="F592" s="4" t="s">
        <v>3065</v>
      </c>
      <c r="G592" s="4" t="s">
        <v>3065</v>
      </c>
      <c r="H592" s="4" t="str">
        <f t="shared" si="12"/>
        <v>No</v>
      </c>
      <c r="I592" s="56"/>
    </row>
    <row r="593" spans="1:9">
      <c r="A593" s="97" t="s">
        <v>2288</v>
      </c>
      <c r="B593" s="97" t="s">
        <v>220</v>
      </c>
      <c r="C593" s="163">
        <v>3994</v>
      </c>
      <c r="D593" s="95" t="s">
        <v>236</v>
      </c>
      <c r="E593" s="142">
        <v>0.5950333333333333</v>
      </c>
      <c r="F593" s="4" t="s">
        <v>2752</v>
      </c>
      <c r="G593" s="4" t="s">
        <v>2752</v>
      </c>
      <c r="H593" s="4" t="str">
        <f t="shared" si="12"/>
        <v>No</v>
      </c>
      <c r="I593" s="56"/>
    </row>
    <row r="594" spans="1:9">
      <c r="A594" s="97" t="s">
        <v>2288</v>
      </c>
      <c r="B594" s="97" t="s">
        <v>220</v>
      </c>
      <c r="C594" s="163">
        <v>4042</v>
      </c>
      <c r="D594" s="95" t="s">
        <v>34</v>
      </c>
      <c r="E594" s="142">
        <v>0.58346666666666669</v>
      </c>
      <c r="F594" s="4" t="s">
        <v>2752</v>
      </c>
      <c r="G594" s="4" t="s">
        <v>2752</v>
      </c>
      <c r="H594" s="4" t="str">
        <f t="shared" si="12"/>
        <v>No</v>
      </c>
      <c r="I594" s="56"/>
    </row>
    <row r="595" spans="1:9">
      <c r="A595" s="97" t="s">
        <v>2288</v>
      </c>
      <c r="B595" s="97" t="s">
        <v>220</v>
      </c>
      <c r="C595" s="163">
        <v>3618</v>
      </c>
      <c r="D595" s="95" t="s">
        <v>229</v>
      </c>
      <c r="E595" s="142">
        <v>0.64933333333333332</v>
      </c>
      <c r="F595" s="4" t="s">
        <v>2752</v>
      </c>
      <c r="G595" s="4" t="s">
        <v>2752</v>
      </c>
      <c r="H595" s="4" t="str">
        <f t="shared" si="12"/>
        <v>No</v>
      </c>
      <c r="I595" s="56"/>
    </row>
    <row r="596" spans="1:9">
      <c r="A596" s="97" t="s">
        <v>2288</v>
      </c>
      <c r="B596" s="97" t="s">
        <v>220</v>
      </c>
      <c r="C596" s="163">
        <v>2829</v>
      </c>
      <c r="D596" s="95" t="s">
        <v>224</v>
      </c>
      <c r="E596" s="142">
        <v>0.6169</v>
      </c>
      <c r="F596" s="4" t="s">
        <v>2752</v>
      </c>
      <c r="G596" s="4" t="s">
        <v>2752</v>
      </c>
      <c r="H596" s="4" t="str">
        <f t="shared" si="12"/>
        <v>No</v>
      </c>
      <c r="I596" s="56"/>
    </row>
    <row r="597" spans="1:9">
      <c r="A597" s="97" t="s">
        <v>2288</v>
      </c>
      <c r="B597" s="97" t="s">
        <v>220</v>
      </c>
      <c r="C597" s="163">
        <v>4162</v>
      </c>
      <c r="D597" s="95" t="s">
        <v>239</v>
      </c>
      <c r="E597" s="142">
        <v>0.46010000000000001</v>
      </c>
      <c r="F597" s="4" t="s">
        <v>3065</v>
      </c>
      <c r="G597" s="4" t="s">
        <v>3065</v>
      </c>
      <c r="H597" s="4" t="str">
        <f t="shared" si="12"/>
        <v>No</v>
      </c>
      <c r="I597" s="56"/>
    </row>
    <row r="598" spans="1:9">
      <c r="A598" s="97" t="s">
        <v>2288</v>
      </c>
      <c r="B598" s="97" t="s">
        <v>220</v>
      </c>
      <c r="C598" s="163">
        <v>5435</v>
      </c>
      <c r="D598" s="95" t="s">
        <v>254</v>
      </c>
      <c r="E598" s="142">
        <v>0.56856666666666678</v>
      </c>
      <c r="F598" s="4" t="s">
        <v>2752</v>
      </c>
      <c r="G598" s="4" t="s">
        <v>2752</v>
      </c>
      <c r="H598" s="4" t="str">
        <f t="shared" si="12"/>
        <v>No</v>
      </c>
      <c r="I598" s="56"/>
    </row>
    <row r="599" spans="1:9">
      <c r="A599" s="97" t="s">
        <v>2288</v>
      </c>
      <c r="B599" s="97" t="s">
        <v>220</v>
      </c>
      <c r="C599" s="163">
        <v>2912</v>
      </c>
      <c r="D599" s="95" t="s">
        <v>225</v>
      </c>
      <c r="E599" s="142">
        <v>0.72020000000000006</v>
      </c>
      <c r="F599" s="4" t="s">
        <v>2752</v>
      </c>
      <c r="G599" s="4" t="s">
        <v>2752</v>
      </c>
      <c r="H599" s="4" t="str">
        <f t="shared" si="12"/>
        <v>No</v>
      </c>
      <c r="I599" s="56"/>
    </row>
    <row r="600" spans="1:9">
      <c r="A600" s="97" t="s">
        <v>2288</v>
      </c>
      <c r="B600" s="97" t="s">
        <v>220</v>
      </c>
      <c r="C600" s="163">
        <v>4209</v>
      </c>
      <c r="D600" s="95" t="s">
        <v>241</v>
      </c>
      <c r="E600" s="142">
        <v>0.41539999999999999</v>
      </c>
      <c r="F600" s="4" t="s">
        <v>3065</v>
      </c>
      <c r="G600" s="4" t="s">
        <v>3065</v>
      </c>
      <c r="H600" s="4" t="str">
        <f t="shared" si="12"/>
        <v>No</v>
      </c>
      <c r="I600" s="56"/>
    </row>
    <row r="601" spans="1:9">
      <c r="A601" s="97" t="s">
        <v>2288</v>
      </c>
      <c r="B601" s="97" t="s">
        <v>220</v>
      </c>
      <c r="C601" s="163">
        <v>4445</v>
      </c>
      <c r="D601" s="95" t="s">
        <v>244</v>
      </c>
      <c r="E601" s="142">
        <v>0.49859999999999999</v>
      </c>
      <c r="F601" s="4" t="s">
        <v>3065</v>
      </c>
      <c r="G601" s="4" t="s">
        <v>2752</v>
      </c>
      <c r="H601" s="4" t="str">
        <f t="shared" si="12"/>
        <v>Yes</v>
      </c>
      <c r="I601" s="56"/>
    </row>
    <row r="602" spans="1:9">
      <c r="A602" s="97" t="s">
        <v>2288</v>
      </c>
      <c r="B602" s="97" t="s">
        <v>220</v>
      </c>
      <c r="C602" s="163">
        <v>3995</v>
      </c>
      <c r="D602" s="95" t="s">
        <v>237</v>
      </c>
      <c r="E602" s="142">
        <v>0.45990000000000003</v>
      </c>
      <c r="F602" s="4" t="s">
        <v>3065</v>
      </c>
      <c r="G602" s="4" t="s">
        <v>3065</v>
      </c>
      <c r="H602" s="4" t="str">
        <f t="shared" si="12"/>
        <v>No</v>
      </c>
      <c r="I602" s="56"/>
    </row>
    <row r="603" spans="1:9">
      <c r="A603" s="97" t="s">
        <v>2288</v>
      </c>
      <c r="B603" s="97" t="s">
        <v>220</v>
      </c>
      <c r="C603" s="163">
        <v>4561</v>
      </c>
      <c r="D603" s="95" t="s">
        <v>249</v>
      </c>
      <c r="E603" s="142">
        <v>0.34036666666666671</v>
      </c>
      <c r="F603" s="4" t="s">
        <v>3065</v>
      </c>
      <c r="G603" s="4" t="s">
        <v>3065</v>
      </c>
      <c r="H603" s="4" t="str">
        <f t="shared" si="12"/>
        <v>No</v>
      </c>
      <c r="I603" s="56"/>
    </row>
    <row r="604" spans="1:9">
      <c r="A604" s="97" t="s">
        <v>2288</v>
      </c>
      <c r="B604" s="97" t="s">
        <v>220</v>
      </c>
      <c r="C604" s="163">
        <v>3149</v>
      </c>
      <c r="D604" s="95" t="s">
        <v>227</v>
      </c>
      <c r="E604" s="142">
        <v>0.57143333333333335</v>
      </c>
      <c r="F604" s="4" t="s">
        <v>2752</v>
      </c>
      <c r="G604" s="4" t="s">
        <v>2752</v>
      </c>
      <c r="H604" s="4" t="str">
        <f t="shared" si="12"/>
        <v>No</v>
      </c>
      <c r="I604" s="56"/>
    </row>
    <row r="605" spans="1:9">
      <c r="A605" s="97" t="s">
        <v>2288</v>
      </c>
      <c r="B605" s="97" t="s">
        <v>220</v>
      </c>
      <c r="C605" s="163">
        <v>3823</v>
      </c>
      <c r="D605" s="95" t="s">
        <v>233</v>
      </c>
      <c r="E605" s="142">
        <v>0.58203333333333329</v>
      </c>
      <c r="F605" s="4" t="s">
        <v>2752</v>
      </c>
      <c r="G605" s="4" t="s">
        <v>2752</v>
      </c>
      <c r="H605" s="4" t="str">
        <f t="shared" si="12"/>
        <v>No</v>
      </c>
      <c r="I605" s="56"/>
    </row>
    <row r="606" spans="1:9">
      <c r="A606" s="97" t="s">
        <v>2288</v>
      </c>
      <c r="B606" s="97" t="s">
        <v>220</v>
      </c>
      <c r="C606" s="163">
        <v>3970</v>
      </c>
      <c r="D606" s="95" t="s">
        <v>234</v>
      </c>
      <c r="E606" s="142">
        <v>0.55433333333333323</v>
      </c>
      <c r="F606" s="4" t="s">
        <v>2752</v>
      </c>
      <c r="G606" s="4" t="s">
        <v>2752</v>
      </c>
      <c r="H606" s="4" t="str">
        <f t="shared" si="12"/>
        <v>No</v>
      </c>
      <c r="I606" s="56"/>
    </row>
    <row r="607" spans="1:9">
      <c r="A607" s="97" t="s">
        <v>2288</v>
      </c>
      <c r="B607" s="97" t="s">
        <v>220</v>
      </c>
      <c r="C607" s="163">
        <v>5111</v>
      </c>
      <c r="D607" s="95" t="s">
        <v>252</v>
      </c>
      <c r="E607" s="142">
        <v>0.30743333333333339</v>
      </c>
      <c r="F607" s="4" t="s">
        <v>3065</v>
      </c>
      <c r="G607" s="4" t="s">
        <v>3065</v>
      </c>
      <c r="H607" s="4" t="str">
        <f t="shared" si="12"/>
        <v>No</v>
      </c>
      <c r="I607" s="56"/>
    </row>
    <row r="608" spans="1:9">
      <c r="A608" s="97" t="s">
        <v>2288</v>
      </c>
      <c r="B608" s="97" t="s">
        <v>220</v>
      </c>
      <c r="C608" s="163">
        <v>4051</v>
      </c>
      <c r="D608" s="95" t="s">
        <v>238</v>
      </c>
      <c r="E608" s="142">
        <v>0.623</v>
      </c>
      <c r="F608" s="4" t="s">
        <v>2752</v>
      </c>
      <c r="G608" s="4" t="s">
        <v>2752</v>
      </c>
      <c r="H608" s="4" t="str">
        <f t="shared" si="12"/>
        <v>No</v>
      </c>
      <c r="I608" s="56"/>
    </row>
    <row r="609" spans="1:9">
      <c r="A609" s="97" t="s">
        <v>2288</v>
      </c>
      <c r="B609" s="97" t="s">
        <v>220</v>
      </c>
      <c r="C609" s="163">
        <v>4579</v>
      </c>
      <c r="D609" s="95" t="s">
        <v>250</v>
      </c>
      <c r="E609" s="142">
        <v>0.44113333333333332</v>
      </c>
      <c r="F609" s="4" t="s">
        <v>3065</v>
      </c>
      <c r="G609" s="4" t="s">
        <v>3065</v>
      </c>
      <c r="H609" s="4" t="str">
        <f t="shared" si="12"/>
        <v>No</v>
      </c>
      <c r="I609" s="56"/>
    </row>
    <row r="610" spans="1:9">
      <c r="A610" s="97" t="s">
        <v>2510</v>
      </c>
      <c r="B610" s="97" t="s">
        <v>1947</v>
      </c>
      <c r="C610" s="163">
        <v>3197</v>
      </c>
      <c r="D610" s="95" t="s">
        <v>1948</v>
      </c>
      <c r="E610" s="142">
        <v>0.76736666666666675</v>
      </c>
      <c r="F610" s="4" t="s">
        <v>2752</v>
      </c>
      <c r="G610" s="4" t="s">
        <v>2752</v>
      </c>
      <c r="H610" s="4" t="str">
        <f t="shared" si="12"/>
        <v>No</v>
      </c>
      <c r="I610" s="56"/>
    </row>
    <row r="611" spans="1:9">
      <c r="A611" s="97" t="s">
        <v>2349</v>
      </c>
      <c r="B611" s="97" t="s">
        <v>645</v>
      </c>
      <c r="C611" s="163">
        <v>3519</v>
      </c>
      <c r="D611" s="95" t="s">
        <v>658</v>
      </c>
      <c r="E611" s="142">
        <v>0.66476666666666662</v>
      </c>
      <c r="F611" s="4" t="s">
        <v>2752</v>
      </c>
      <c r="G611" s="4" t="s">
        <v>2752</v>
      </c>
      <c r="H611" s="4" t="str">
        <f t="shared" si="12"/>
        <v>No</v>
      </c>
      <c r="I611" s="56"/>
    </row>
    <row r="612" spans="1:9">
      <c r="A612" s="97" t="s">
        <v>2349</v>
      </c>
      <c r="B612" s="97" t="s">
        <v>645</v>
      </c>
      <c r="C612" s="163">
        <v>3700</v>
      </c>
      <c r="D612" s="95" t="s">
        <v>669</v>
      </c>
      <c r="E612" s="142">
        <v>0.61253333333333337</v>
      </c>
      <c r="F612" s="4" t="s">
        <v>2752</v>
      </c>
      <c r="G612" s="4" t="s">
        <v>2752</v>
      </c>
      <c r="H612" s="4" t="str">
        <f t="shared" si="12"/>
        <v>No</v>
      </c>
      <c r="I612" s="56"/>
    </row>
    <row r="613" spans="1:9">
      <c r="A613" s="97" t="s">
        <v>2349</v>
      </c>
      <c r="B613" s="97" t="s">
        <v>645</v>
      </c>
      <c r="C613" s="163">
        <v>3547</v>
      </c>
      <c r="D613" s="95" t="s">
        <v>659</v>
      </c>
      <c r="E613" s="142">
        <v>0.53639999999999999</v>
      </c>
      <c r="F613" s="4" t="s">
        <v>2752</v>
      </c>
      <c r="G613" s="4" t="s">
        <v>2752</v>
      </c>
      <c r="H613" s="4" t="str">
        <f t="shared" si="12"/>
        <v>No</v>
      </c>
      <c r="I613" s="56"/>
    </row>
    <row r="614" spans="1:9">
      <c r="A614" s="97" t="s">
        <v>2349</v>
      </c>
      <c r="B614" s="97" t="s">
        <v>645</v>
      </c>
      <c r="C614" s="163">
        <v>5163</v>
      </c>
      <c r="D614" s="95" t="s">
        <v>682</v>
      </c>
      <c r="E614" s="142">
        <v>0.75913333333333333</v>
      </c>
      <c r="F614" s="4" t="s">
        <v>2752</v>
      </c>
      <c r="G614" s="4" t="s">
        <v>2752</v>
      </c>
      <c r="H614" s="4" t="str">
        <f t="shared" si="12"/>
        <v>No</v>
      </c>
      <c r="I614" s="56"/>
    </row>
    <row r="615" spans="1:9">
      <c r="A615" s="97" t="s">
        <v>2349</v>
      </c>
      <c r="B615" s="97" t="s">
        <v>645</v>
      </c>
      <c r="C615" s="163">
        <v>3766</v>
      </c>
      <c r="D615" s="95" t="s">
        <v>672</v>
      </c>
      <c r="E615" s="142">
        <v>0.52866666666666662</v>
      </c>
      <c r="F615" s="4" t="s">
        <v>2752</v>
      </c>
      <c r="G615" s="4" t="s">
        <v>2752</v>
      </c>
      <c r="H615" s="4" t="str">
        <f t="shared" si="12"/>
        <v>No</v>
      </c>
      <c r="I615" s="56"/>
    </row>
    <row r="616" spans="1:9">
      <c r="A616" s="97" t="s">
        <v>2349</v>
      </c>
      <c r="B616" s="97" t="s">
        <v>645</v>
      </c>
      <c r="C616" s="163">
        <v>1950</v>
      </c>
      <c r="D616" s="95" t="s">
        <v>648</v>
      </c>
      <c r="E616" s="142">
        <v>0.69243333333333335</v>
      </c>
      <c r="F616" s="4" t="s">
        <v>2752</v>
      </c>
      <c r="G616" s="4" t="s">
        <v>2752</v>
      </c>
      <c r="H616" s="4" t="str">
        <f t="shared" si="12"/>
        <v>No</v>
      </c>
      <c r="I616" s="56"/>
    </row>
    <row r="617" spans="1:9">
      <c r="A617" s="97" t="s">
        <v>2349</v>
      </c>
      <c r="B617" s="97" t="s">
        <v>645</v>
      </c>
      <c r="C617" s="163">
        <v>4470</v>
      </c>
      <c r="D617" s="95" t="s">
        <v>677</v>
      </c>
      <c r="E617" s="142">
        <v>0.55700000000000005</v>
      </c>
      <c r="F617" s="4" t="s">
        <v>2752</v>
      </c>
      <c r="G617" s="4" t="s">
        <v>2752</v>
      </c>
      <c r="H617" s="4" t="str">
        <f t="shared" si="12"/>
        <v>No</v>
      </c>
      <c r="I617" s="56"/>
    </row>
    <row r="618" spans="1:9">
      <c r="A618" s="97" t="s">
        <v>2349</v>
      </c>
      <c r="B618" s="97" t="s">
        <v>645</v>
      </c>
      <c r="C618" s="163">
        <v>2417</v>
      </c>
      <c r="D618" s="95" t="s">
        <v>650</v>
      </c>
      <c r="E618" s="142">
        <v>0.66883333333333328</v>
      </c>
      <c r="F618" s="4" t="s">
        <v>2752</v>
      </c>
      <c r="G618" s="4" t="s">
        <v>2752</v>
      </c>
      <c r="H618" s="4" t="str">
        <f t="shared" si="12"/>
        <v>No</v>
      </c>
      <c r="I618" s="56"/>
    </row>
    <row r="619" spans="1:9">
      <c r="A619" s="97" t="s">
        <v>2349</v>
      </c>
      <c r="B619" s="97" t="s">
        <v>645</v>
      </c>
      <c r="C619" s="163">
        <v>1789</v>
      </c>
      <c r="D619" s="95" t="s">
        <v>647</v>
      </c>
      <c r="E619" s="142">
        <v>0.36936666666666668</v>
      </c>
      <c r="F619" s="4" t="s">
        <v>3065</v>
      </c>
      <c r="G619" s="4" t="s">
        <v>3065</v>
      </c>
      <c r="H619" s="4" t="str">
        <f t="shared" si="12"/>
        <v>No</v>
      </c>
      <c r="I619" s="56"/>
    </row>
    <row r="620" spans="1:9">
      <c r="A620" s="97" t="s">
        <v>2349</v>
      </c>
      <c r="B620" s="97" t="s">
        <v>645</v>
      </c>
      <c r="C620" s="163">
        <v>5107</v>
      </c>
      <c r="D620" s="95" t="s">
        <v>681</v>
      </c>
      <c r="E620" s="142">
        <v>0</v>
      </c>
      <c r="F620" s="4" t="s">
        <v>3065</v>
      </c>
      <c r="G620" s="4" t="s">
        <v>3065</v>
      </c>
      <c r="H620" s="4" t="str">
        <f t="shared" si="12"/>
        <v>No</v>
      </c>
      <c r="I620" s="56"/>
    </row>
    <row r="621" spans="1:9">
      <c r="A621" s="97" t="s">
        <v>2349</v>
      </c>
      <c r="B621" s="97" t="s">
        <v>645</v>
      </c>
      <c r="C621" s="163">
        <v>4426</v>
      </c>
      <c r="D621" s="95" t="s">
        <v>676</v>
      </c>
      <c r="E621" s="142">
        <v>0.47513333333333335</v>
      </c>
      <c r="F621" s="4" t="s">
        <v>3065</v>
      </c>
      <c r="G621" s="4" t="s">
        <v>3065</v>
      </c>
      <c r="H621" s="4" t="str">
        <f t="shared" si="12"/>
        <v>No</v>
      </c>
      <c r="I621" s="56"/>
    </row>
    <row r="622" spans="1:9">
      <c r="A622" s="97" t="s">
        <v>2349</v>
      </c>
      <c r="B622" s="97" t="s">
        <v>645</v>
      </c>
      <c r="C622" s="163">
        <v>3898</v>
      </c>
      <c r="D622" s="95" t="s">
        <v>673</v>
      </c>
      <c r="E622" s="142">
        <v>0.64710000000000001</v>
      </c>
      <c r="F622" s="4" t="s">
        <v>2752</v>
      </c>
      <c r="G622" s="4" t="s">
        <v>2752</v>
      </c>
      <c r="H622" s="4" t="str">
        <f t="shared" si="12"/>
        <v>No</v>
      </c>
      <c r="I622" s="56"/>
    </row>
    <row r="623" spans="1:9">
      <c r="A623" s="97" t="s">
        <v>2349</v>
      </c>
      <c r="B623" s="97" t="s">
        <v>645</v>
      </c>
      <c r="C623" s="163">
        <v>1759</v>
      </c>
      <c r="D623" s="95" t="s">
        <v>646</v>
      </c>
      <c r="E623" s="142">
        <v>0.36613333333333337</v>
      </c>
      <c r="F623" s="4" t="s">
        <v>3065</v>
      </c>
      <c r="G623" s="4" t="s">
        <v>3065</v>
      </c>
      <c r="H623" s="4" t="str">
        <f t="shared" si="12"/>
        <v>No</v>
      </c>
      <c r="I623" s="56"/>
    </row>
    <row r="624" spans="1:9">
      <c r="A624" s="97" t="s">
        <v>2349</v>
      </c>
      <c r="B624" s="97" t="s">
        <v>645</v>
      </c>
      <c r="C624" s="163">
        <v>3701</v>
      </c>
      <c r="D624" s="95" t="s">
        <v>670</v>
      </c>
      <c r="E624" s="142">
        <v>0.65749999999999997</v>
      </c>
      <c r="F624" s="4" t="s">
        <v>2752</v>
      </c>
      <c r="G624" s="4" t="s">
        <v>2752</v>
      </c>
      <c r="H624" s="4" t="str">
        <f t="shared" si="12"/>
        <v>No</v>
      </c>
      <c r="I624" s="56"/>
    </row>
    <row r="625" spans="1:9">
      <c r="A625" s="97" t="s">
        <v>2349</v>
      </c>
      <c r="B625" s="97" t="s">
        <v>645</v>
      </c>
      <c r="C625" s="163">
        <v>3738</v>
      </c>
      <c r="D625" s="95" t="s">
        <v>671</v>
      </c>
      <c r="E625" s="142">
        <v>0.72440000000000004</v>
      </c>
      <c r="F625" s="4" t="s">
        <v>2752</v>
      </c>
      <c r="G625" s="4" t="s">
        <v>2752</v>
      </c>
      <c r="H625" s="4" t="str">
        <f t="shared" si="12"/>
        <v>No</v>
      </c>
      <c r="I625" s="56"/>
    </row>
    <row r="626" spans="1:9">
      <c r="A626" s="97" t="s">
        <v>2349</v>
      </c>
      <c r="B626" s="97" t="s">
        <v>645</v>
      </c>
      <c r="C626" s="163">
        <v>3568</v>
      </c>
      <c r="D626" s="95" t="s">
        <v>661</v>
      </c>
      <c r="E626" s="142">
        <v>0.68203333333333338</v>
      </c>
      <c r="F626" s="4" t="s">
        <v>2752</v>
      </c>
      <c r="G626" s="4" t="s">
        <v>2752</v>
      </c>
      <c r="H626" s="4" t="str">
        <f t="shared" si="12"/>
        <v>No</v>
      </c>
      <c r="I626" s="56"/>
    </row>
    <row r="627" spans="1:9">
      <c r="A627" s="97" t="s">
        <v>2349</v>
      </c>
      <c r="B627" s="97" t="s">
        <v>645</v>
      </c>
      <c r="C627" s="163">
        <v>2841</v>
      </c>
      <c r="D627" s="95" t="s">
        <v>651</v>
      </c>
      <c r="E627" s="142">
        <v>0.53973333333333329</v>
      </c>
      <c r="F627" s="4" t="s">
        <v>2752</v>
      </c>
      <c r="G627" s="4" t="s">
        <v>2752</v>
      </c>
      <c r="H627" s="4" t="str">
        <f t="shared" si="12"/>
        <v>No</v>
      </c>
      <c r="I627" s="56"/>
    </row>
    <row r="628" spans="1:9">
      <c r="A628" s="97" t="s">
        <v>2349</v>
      </c>
      <c r="B628" s="97" t="s">
        <v>645</v>
      </c>
      <c r="C628" s="163">
        <v>3381</v>
      </c>
      <c r="D628" s="95" t="s">
        <v>656</v>
      </c>
      <c r="E628" s="142">
        <v>0.61380000000000001</v>
      </c>
      <c r="F628" s="4" t="s">
        <v>2752</v>
      </c>
      <c r="G628" s="4" t="s">
        <v>2752</v>
      </c>
      <c r="H628" s="4" t="str">
        <f t="shared" si="12"/>
        <v>No</v>
      </c>
      <c r="I628" s="56"/>
    </row>
    <row r="629" spans="1:9">
      <c r="A629" s="97" t="s">
        <v>2349</v>
      </c>
      <c r="B629" s="97" t="s">
        <v>645</v>
      </c>
      <c r="C629" s="163">
        <v>3627</v>
      </c>
      <c r="D629" s="95" t="s">
        <v>667</v>
      </c>
      <c r="E629" s="142">
        <v>0.93076666666666663</v>
      </c>
      <c r="F629" s="4" t="s">
        <v>2752</v>
      </c>
      <c r="G629" s="4" t="s">
        <v>2752</v>
      </c>
      <c r="H629" s="4" t="str">
        <f t="shared" si="12"/>
        <v>No</v>
      </c>
      <c r="I629" s="56"/>
    </row>
    <row r="630" spans="1:9">
      <c r="A630" s="97" t="s">
        <v>2349</v>
      </c>
      <c r="B630" s="97" t="s">
        <v>645</v>
      </c>
      <c r="C630" s="163">
        <v>4480</v>
      </c>
      <c r="D630" s="95" t="s">
        <v>678</v>
      </c>
      <c r="E630" s="142">
        <v>0.4632</v>
      </c>
      <c r="F630" s="4" t="s">
        <v>3065</v>
      </c>
      <c r="G630" s="4" t="s">
        <v>3065</v>
      </c>
      <c r="H630" s="4" t="str">
        <f t="shared" si="12"/>
        <v>No</v>
      </c>
      <c r="I630" s="56"/>
    </row>
    <row r="631" spans="1:9">
      <c r="A631" s="97" t="s">
        <v>2349</v>
      </c>
      <c r="B631" s="97" t="s">
        <v>645</v>
      </c>
      <c r="C631" s="163">
        <v>3159</v>
      </c>
      <c r="D631" s="95" t="s">
        <v>652</v>
      </c>
      <c r="E631" s="142">
        <v>0.84519999999999984</v>
      </c>
      <c r="F631" s="4" t="s">
        <v>2752</v>
      </c>
      <c r="G631" s="4" t="s">
        <v>2752</v>
      </c>
      <c r="H631" s="4" t="str">
        <f t="shared" si="12"/>
        <v>No</v>
      </c>
      <c r="I631" s="56"/>
    </row>
    <row r="632" spans="1:9">
      <c r="A632" s="97" t="s">
        <v>2349</v>
      </c>
      <c r="B632" s="97" t="s">
        <v>645</v>
      </c>
      <c r="C632" s="163">
        <v>3625</v>
      </c>
      <c r="D632" s="95" t="s">
        <v>665</v>
      </c>
      <c r="E632" s="142">
        <v>0.58856666666666668</v>
      </c>
      <c r="F632" s="4" t="s">
        <v>2752</v>
      </c>
      <c r="G632" s="4" t="s">
        <v>2752</v>
      </c>
      <c r="H632" s="4" t="str">
        <f t="shared" si="12"/>
        <v>No</v>
      </c>
      <c r="I632" s="56"/>
    </row>
    <row r="633" spans="1:9">
      <c r="A633" s="97" t="s">
        <v>2349</v>
      </c>
      <c r="B633" s="97" t="s">
        <v>645</v>
      </c>
      <c r="C633" s="163">
        <v>3432</v>
      </c>
      <c r="D633" s="95" t="s">
        <v>580</v>
      </c>
      <c r="E633" s="142">
        <v>0.81533333333333324</v>
      </c>
      <c r="F633" s="4" t="s">
        <v>2752</v>
      </c>
      <c r="G633" s="4" t="s">
        <v>2752</v>
      </c>
      <c r="H633" s="4" t="str">
        <f t="shared" si="12"/>
        <v>No</v>
      </c>
      <c r="I633" s="56"/>
    </row>
    <row r="634" spans="1:9">
      <c r="A634" s="97" t="s">
        <v>2349</v>
      </c>
      <c r="B634" s="97" t="s">
        <v>645</v>
      </c>
      <c r="C634" s="163">
        <v>5348</v>
      </c>
      <c r="D634" s="95" t="s">
        <v>684</v>
      </c>
      <c r="E634" s="142">
        <v>0.70316666666666672</v>
      </c>
      <c r="F634" s="4" t="s">
        <v>2752</v>
      </c>
      <c r="G634" s="4" t="s">
        <v>2752</v>
      </c>
      <c r="H634" s="4" t="str">
        <f t="shared" si="12"/>
        <v>No</v>
      </c>
      <c r="I634" s="56"/>
    </row>
    <row r="635" spans="1:9">
      <c r="A635" s="97" t="s">
        <v>2349</v>
      </c>
      <c r="B635" s="97" t="s">
        <v>645</v>
      </c>
      <c r="C635" s="163">
        <v>3329</v>
      </c>
      <c r="D635" s="95" t="s">
        <v>655</v>
      </c>
      <c r="E635" s="142">
        <v>0.74693333333333334</v>
      </c>
      <c r="F635" s="4" t="s">
        <v>2752</v>
      </c>
      <c r="G635" s="4" t="s">
        <v>2752</v>
      </c>
      <c r="H635" s="4" t="str">
        <f t="shared" si="12"/>
        <v>No</v>
      </c>
      <c r="I635" s="56"/>
    </row>
    <row r="636" spans="1:9">
      <c r="A636" s="97" t="s">
        <v>2349</v>
      </c>
      <c r="B636" s="97" t="s">
        <v>645</v>
      </c>
      <c r="C636" s="163">
        <v>4422</v>
      </c>
      <c r="D636" s="95" t="s">
        <v>615</v>
      </c>
      <c r="E636" s="142">
        <v>0.71309999999999996</v>
      </c>
      <c r="F636" s="4" t="s">
        <v>2752</v>
      </c>
      <c r="G636" s="4" t="s">
        <v>2752</v>
      </c>
      <c r="H636" s="4" t="str">
        <f t="shared" si="12"/>
        <v>No</v>
      </c>
      <c r="I636" s="56"/>
    </row>
    <row r="637" spans="1:9">
      <c r="A637" s="97" t="s">
        <v>2349</v>
      </c>
      <c r="B637" s="97" t="s">
        <v>645</v>
      </c>
      <c r="C637" s="163">
        <v>3626</v>
      </c>
      <c r="D637" s="95" t="s">
        <v>666</v>
      </c>
      <c r="E637" s="142">
        <v>0.7301333333333333</v>
      </c>
      <c r="F637" s="4" t="s">
        <v>2752</v>
      </c>
      <c r="G637" s="4" t="s">
        <v>2752</v>
      </c>
      <c r="H637" s="4" t="str">
        <f t="shared" si="12"/>
        <v>No</v>
      </c>
      <c r="I637" s="56"/>
    </row>
    <row r="638" spans="1:9">
      <c r="A638" s="97" t="s">
        <v>2349</v>
      </c>
      <c r="B638" s="97" t="s">
        <v>645</v>
      </c>
      <c r="C638" s="163">
        <v>5029</v>
      </c>
      <c r="D638" s="95" t="s">
        <v>680</v>
      </c>
      <c r="E638" s="142">
        <v>0.71786666666666665</v>
      </c>
      <c r="F638" s="4" t="s">
        <v>2752</v>
      </c>
      <c r="G638" s="4" t="s">
        <v>2752</v>
      </c>
      <c r="H638" s="4" t="str">
        <f t="shared" si="12"/>
        <v>No</v>
      </c>
      <c r="I638" s="56"/>
    </row>
    <row r="639" spans="1:9">
      <c r="A639" s="97" t="s">
        <v>2349</v>
      </c>
      <c r="B639" s="97" t="s">
        <v>645</v>
      </c>
      <c r="C639" s="163">
        <v>4374</v>
      </c>
      <c r="D639" s="95" t="s">
        <v>675</v>
      </c>
      <c r="E639" s="142">
        <v>0.51630000000000009</v>
      </c>
      <c r="F639" s="4" t="s">
        <v>2752</v>
      </c>
      <c r="G639" s="4" t="s">
        <v>3065</v>
      </c>
      <c r="H639" s="4" t="str">
        <f t="shared" si="12"/>
        <v>No</v>
      </c>
      <c r="I639" s="56"/>
    </row>
    <row r="640" spans="1:9">
      <c r="A640" s="97" t="s">
        <v>2349</v>
      </c>
      <c r="B640" s="97" t="s">
        <v>645</v>
      </c>
      <c r="C640" s="163">
        <v>4343</v>
      </c>
      <c r="D640" s="95" t="s">
        <v>674</v>
      </c>
      <c r="E640" s="142">
        <v>0.7319</v>
      </c>
      <c r="F640" s="4" t="s">
        <v>2752</v>
      </c>
      <c r="G640" s="4" t="s">
        <v>2752</v>
      </c>
      <c r="H640" s="4" t="str">
        <f t="shared" si="12"/>
        <v>No</v>
      </c>
      <c r="I640" s="56"/>
    </row>
    <row r="641" spans="1:9">
      <c r="A641" s="97" t="s">
        <v>2349</v>
      </c>
      <c r="B641" s="97" t="s">
        <v>645</v>
      </c>
      <c r="C641" s="163">
        <v>3160</v>
      </c>
      <c r="D641" s="95" t="s">
        <v>653</v>
      </c>
      <c r="E641" s="142">
        <v>0.63109999999999999</v>
      </c>
      <c r="F641" s="4" t="s">
        <v>2752</v>
      </c>
      <c r="G641" s="4" t="s">
        <v>2752</v>
      </c>
      <c r="H641" s="4" t="str">
        <f t="shared" si="12"/>
        <v>No</v>
      </c>
      <c r="I641" s="56"/>
    </row>
    <row r="642" spans="1:9">
      <c r="A642" s="97" t="s">
        <v>2349</v>
      </c>
      <c r="B642" s="97" t="s">
        <v>645</v>
      </c>
      <c r="C642" s="163">
        <v>3567</v>
      </c>
      <c r="D642" s="95" t="s">
        <v>660</v>
      </c>
      <c r="E642" s="142">
        <v>0.81366666666666676</v>
      </c>
      <c r="F642" s="4" t="s">
        <v>2752</v>
      </c>
      <c r="G642" s="4" t="s">
        <v>2752</v>
      </c>
      <c r="H642" s="4" t="str">
        <f t="shared" si="12"/>
        <v>No</v>
      </c>
      <c r="I642" s="56"/>
    </row>
    <row r="643" spans="1:9">
      <c r="A643" s="97" t="s">
        <v>2349</v>
      </c>
      <c r="B643" s="97" t="s">
        <v>645</v>
      </c>
      <c r="C643" s="163">
        <v>1951</v>
      </c>
      <c r="D643" s="95" t="s">
        <v>649</v>
      </c>
      <c r="E643" s="142">
        <v>0.35849999999999999</v>
      </c>
      <c r="F643" s="4" t="s">
        <v>3065</v>
      </c>
      <c r="G643" s="4" t="s">
        <v>3065</v>
      </c>
      <c r="H643" s="4" t="str">
        <f t="shared" ref="H643:H706" si="13">IFERROR(IF(AND(G643="Yes",F643="No"),"Yes","No"),"No")</f>
        <v>No</v>
      </c>
      <c r="I643" s="56"/>
    </row>
    <row r="644" spans="1:9">
      <c r="A644" s="97" t="s">
        <v>2349</v>
      </c>
      <c r="B644" s="97" t="s">
        <v>645</v>
      </c>
      <c r="C644" s="163">
        <v>5473</v>
      </c>
      <c r="D644" s="95" t="s">
        <v>2719</v>
      </c>
      <c r="E644" s="142">
        <v>0.64770000000000005</v>
      </c>
      <c r="F644" s="4" t="s">
        <v>2752</v>
      </c>
      <c r="G644" s="4" t="s">
        <v>2752</v>
      </c>
      <c r="H644" s="4" t="str">
        <f t="shared" si="13"/>
        <v>No</v>
      </c>
      <c r="I644" s="56"/>
    </row>
    <row r="645" spans="1:9">
      <c r="A645" s="56" t="s">
        <v>2349</v>
      </c>
      <c r="B645" s="97" t="s">
        <v>645</v>
      </c>
      <c r="C645" s="163">
        <v>3584</v>
      </c>
      <c r="D645" s="56" t="s">
        <v>664</v>
      </c>
      <c r="E645" s="142">
        <v>0.58453333333333324</v>
      </c>
      <c r="F645" s="4" t="s">
        <v>2752</v>
      </c>
      <c r="G645" s="4" t="s">
        <v>2752</v>
      </c>
      <c r="H645" s="4" t="str">
        <f t="shared" si="13"/>
        <v>No</v>
      </c>
      <c r="I645" s="56"/>
    </row>
    <row r="646" spans="1:9">
      <c r="A646" s="97" t="s">
        <v>2349</v>
      </c>
      <c r="B646" s="97" t="s">
        <v>645</v>
      </c>
      <c r="C646" s="163">
        <v>4570</v>
      </c>
      <c r="D646" s="95" t="s">
        <v>679</v>
      </c>
      <c r="E646" s="142">
        <v>0.62360000000000004</v>
      </c>
      <c r="F646" s="4" t="s">
        <v>2752</v>
      </c>
      <c r="G646" s="4" t="s">
        <v>2752</v>
      </c>
      <c r="H646" s="4" t="str">
        <f t="shared" si="13"/>
        <v>No</v>
      </c>
      <c r="I646" s="56"/>
    </row>
    <row r="647" spans="1:9">
      <c r="A647" s="97" t="s">
        <v>2349</v>
      </c>
      <c r="B647" s="97" t="s">
        <v>645</v>
      </c>
      <c r="C647" s="163">
        <v>3431</v>
      </c>
      <c r="D647" s="95" t="s">
        <v>657</v>
      </c>
      <c r="E647" s="142">
        <v>0.75896666666666668</v>
      </c>
      <c r="F647" s="4" t="s">
        <v>2752</v>
      </c>
      <c r="G647" s="4" t="s">
        <v>2752</v>
      </c>
      <c r="H647" s="4" t="str">
        <f t="shared" si="13"/>
        <v>No</v>
      </c>
      <c r="I647" s="56"/>
    </row>
    <row r="648" spans="1:9">
      <c r="A648" s="97" t="s">
        <v>2349</v>
      </c>
      <c r="B648" s="97" t="s">
        <v>645</v>
      </c>
      <c r="C648" s="163">
        <v>3628</v>
      </c>
      <c r="D648" s="95" t="s">
        <v>668</v>
      </c>
      <c r="E648" s="142">
        <v>0.59870000000000001</v>
      </c>
      <c r="F648" s="4" t="s">
        <v>2752</v>
      </c>
      <c r="G648" s="4" t="s">
        <v>2752</v>
      </c>
      <c r="H648" s="4" t="str">
        <f t="shared" si="13"/>
        <v>No</v>
      </c>
      <c r="I648" s="56"/>
    </row>
    <row r="649" spans="1:9">
      <c r="A649" s="97" t="s">
        <v>2349</v>
      </c>
      <c r="B649" s="97" t="s">
        <v>645</v>
      </c>
      <c r="C649" s="163">
        <v>3582</v>
      </c>
      <c r="D649" s="95" t="s">
        <v>662</v>
      </c>
      <c r="E649" s="142">
        <v>0.72656666666666669</v>
      </c>
      <c r="F649" s="4" t="s">
        <v>2752</v>
      </c>
      <c r="G649" s="4" t="s">
        <v>2752</v>
      </c>
      <c r="H649" s="4" t="str">
        <f t="shared" si="13"/>
        <v>No</v>
      </c>
      <c r="I649" s="56"/>
    </row>
    <row r="650" spans="1:9">
      <c r="A650" s="97" t="s">
        <v>2349</v>
      </c>
      <c r="B650" s="97" t="s">
        <v>645</v>
      </c>
      <c r="C650" s="163">
        <v>3583</v>
      </c>
      <c r="D650" s="95" t="s">
        <v>663</v>
      </c>
      <c r="E650" s="142">
        <v>0.77363333333333328</v>
      </c>
      <c r="F650" s="4" t="s">
        <v>2752</v>
      </c>
      <c r="G650" s="4" t="s">
        <v>2752</v>
      </c>
      <c r="H650" s="4" t="str">
        <f t="shared" si="13"/>
        <v>No</v>
      </c>
      <c r="I650" s="56"/>
    </row>
    <row r="651" spans="1:9">
      <c r="A651" s="97" t="s">
        <v>2349</v>
      </c>
      <c r="B651" s="97" t="s">
        <v>645</v>
      </c>
      <c r="C651" s="163">
        <v>3328</v>
      </c>
      <c r="D651" s="95" t="s">
        <v>654</v>
      </c>
      <c r="E651" s="142">
        <v>0.56956666666666667</v>
      </c>
      <c r="F651" s="4" t="s">
        <v>2752</v>
      </c>
      <c r="G651" s="4" t="s">
        <v>2752</v>
      </c>
      <c r="H651" s="4" t="str">
        <f t="shared" si="13"/>
        <v>No</v>
      </c>
      <c r="I651" s="56"/>
    </row>
    <row r="652" spans="1:9">
      <c r="A652" s="97" t="s">
        <v>2533</v>
      </c>
      <c r="B652" s="97" t="s">
        <v>2088</v>
      </c>
      <c r="C652" s="163">
        <v>2263</v>
      </c>
      <c r="D652" s="95" t="s">
        <v>2089</v>
      </c>
      <c r="E652" s="142">
        <v>0.34260000000000002</v>
      </c>
      <c r="F652" s="4" t="s">
        <v>3065</v>
      </c>
      <c r="G652" s="4" t="s">
        <v>3065</v>
      </c>
      <c r="H652" s="4" t="str">
        <f t="shared" si="13"/>
        <v>No</v>
      </c>
      <c r="I652" s="56"/>
    </row>
    <row r="653" spans="1:9">
      <c r="A653" s="97" t="s">
        <v>2533</v>
      </c>
      <c r="B653" s="97" t="s">
        <v>2088</v>
      </c>
      <c r="C653" s="163">
        <v>5207</v>
      </c>
      <c r="D653" s="95" t="s">
        <v>641</v>
      </c>
      <c r="E653" s="142">
        <v>0.50583333333333336</v>
      </c>
      <c r="F653" s="4" t="s">
        <v>2752</v>
      </c>
      <c r="G653" s="4" t="s">
        <v>3065</v>
      </c>
      <c r="H653" s="4" t="str">
        <f t="shared" si="13"/>
        <v>No</v>
      </c>
      <c r="I653" s="56"/>
    </row>
    <row r="654" spans="1:9">
      <c r="A654" s="97" t="s">
        <v>2533</v>
      </c>
      <c r="B654" s="97" t="s">
        <v>2088</v>
      </c>
      <c r="C654" s="163">
        <v>2458</v>
      </c>
      <c r="D654" s="95" t="s">
        <v>1728</v>
      </c>
      <c r="E654" s="142">
        <v>0.52036666666666664</v>
      </c>
      <c r="F654" s="4" t="s">
        <v>2752</v>
      </c>
      <c r="G654" s="4" t="s">
        <v>2752</v>
      </c>
      <c r="H654" s="4" t="str">
        <f t="shared" si="13"/>
        <v>No</v>
      </c>
      <c r="I654" s="56"/>
    </row>
    <row r="655" spans="1:9">
      <c r="A655" s="97" t="s">
        <v>2533</v>
      </c>
      <c r="B655" s="97" t="s">
        <v>2088</v>
      </c>
      <c r="C655" s="163">
        <v>2607</v>
      </c>
      <c r="D655" s="95" t="s">
        <v>2091</v>
      </c>
      <c r="E655" s="142">
        <v>0.44416666666666665</v>
      </c>
      <c r="F655" s="4" t="s">
        <v>3065</v>
      </c>
      <c r="G655" s="4" t="s">
        <v>3065</v>
      </c>
      <c r="H655" s="4" t="str">
        <f t="shared" si="13"/>
        <v>No</v>
      </c>
      <c r="I655" s="56"/>
    </row>
    <row r="656" spans="1:9">
      <c r="A656" s="97" t="s">
        <v>2533</v>
      </c>
      <c r="B656" s="97" t="s">
        <v>2088</v>
      </c>
      <c r="C656" s="163">
        <v>4482</v>
      </c>
      <c r="D656" s="95" t="s">
        <v>2094</v>
      </c>
      <c r="E656" s="142">
        <v>0.55346666666666666</v>
      </c>
      <c r="F656" s="4" t="s">
        <v>2752</v>
      </c>
      <c r="G656" s="4" t="s">
        <v>2752</v>
      </c>
      <c r="H656" s="4" t="str">
        <f t="shared" si="13"/>
        <v>No</v>
      </c>
      <c r="I656" s="56"/>
    </row>
    <row r="657" spans="1:9">
      <c r="A657" s="97" t="s">
        <v>2533</v>
      </c>
      <c r="B657" s="97" t="s">
        <v>2088</v>
      </c>
      <c r="C657" s="163">
        <v>2488</v>
      </c>
      <c r="D657" s="95" t="s">
        <v>2090</v>
      </c>
      <c r="E657" s="142">
        <v>0.42060000000000003</v>
      </c>
      <c r="F657" s="4" t="s">
        <v>3065</v>
      </c>
      <c r="G657" s="4" t="s">
        <v>3065</v>
      </c>
      <c r="H657" s="4" t="str">
        <f t="shared" si="13"/>
        <v>No</v>
      </c>
      <c r="I657" s="56"/>
    </row>
    <row r="658" spans="1:9">
      <c r="A658" s="56" t="s">
        <v>2533</v>
      </c>
      <c r="B658" s="97" t="s">
        <v>2088</v>
      </c>
      <c r="C658" s="163">
        <v>5464</v>
      </c>
      <c r="D658" s="56" t="s">
        <v>2095</v>
      </c>
      <c r="E658" s="142">
        <v>0.49036666666666667</v>
      </c>
      <c r="F658" s="4" t="s">
        <v>3065</v>
      </c>
      <c r="G658" s="4" t="s">
        <v>3065</v>
      </c>
      <c r="H658" s="4" t="str">
        <f t="shared" si="13"/>
        <v>No</v>
      </c>
      <c r="I658" s="56"/>
    </row>
    <row r="659" spans="1:9">
      <c r="A659" s="97" t="s">
        <v>2533</v>
      </c>
      <c r="B659" s="97" t="s">
        <v>2088</v>
      </c>
      <c r="C659" s="163">
        <v>5084</v>
      </c>
      <c r="D659" s="95" t="s">
        <v>3014</v>
      </c>
      <c r="E659" s="142">
        <v>0</v>
      </c>
      <c r="F659" s="4" t="s">
        <v>3065</v>
      </c>
      <c r="G659" s="4" t="s">
        <v>3065</v>
      </c>
      <c r="H659" s="4" t="str">
        <f t="shared" si="13"/>
        <v>No</v>
      </c>
      <c r="I659" s="56"/>
    </row>
    <row r="660" spans="1:9">
      <c r="A660" s="97" t="s">
        <v>2533</v>
      </c>
      <c r="B660" s="97" t="s">
        <v>2088</v>
      </c>
      <c r="C660" s="163">
        <v>5579</v>
      </c>
      <c r="D660" s="95" t="s">
        <v>2838</v>
      </c>
      <c r="E660" s="142">
        <v>0.42895</v>
      </c>
      <c r="F660" s="4" t="s">
        <v>3065</v>
      </c>
      <c r="G660" s="4" t="s">
        <v>2752</v>
      </c>
      <c r="H660" s="4" t="str">
        <f t="shared" si="13"/>
        <v>Yes</v>
      </c>
      <c r="I660" s="56"/>
    </row>
    <row r="661" spans="1:9">
      <c r="A661" s="97" t="s">
        <v>2533</v>
      </c>
      <c r="B661" s="97" t="s">
        <v>2088</v>
      </c>
      <c r="C661" s="163">
        <v>4554</v>
      </c>
      <c r="D661" s="95" t="s">
        <v>1867</v>
      </c>
      <c r="E661" s="142">
        <v>0.51203333333333323</v>
      </c>
      <c r="F661" s="4" t="s">
        <v>2752</v>
      </c>
      <c r="G661" s="4" t="s">
        <v>2752</v>
      </c>
      <c r="H661" s="4" t="str">
        <f t="shared" si="13"/>
        <v>No</v>
      </c>
      <c r="I661" s="56"/>
    </row>
    <row r="662" spans="1:9">
      <c r="A662" s="97" t="s">
        <v>2533</v>
      </c>
      <c r="B662" s="97" t="s">
        <v>2088</v>
      </c>
      <c r="C662" s="163">
        <v>5655</v>
      </c>
      <c r="D662" s="95" t="s">
        <v>2970</v>
      </c>
      <c r="E662" s="142">
        <v>0.42470000000000002</v>
      </c>
      <c r="F662" s="4" t="s">
        <v>3065</v>
      </c>
      <c r="G662" s="4" t="s">
        <v>3065</v>
      </c>
      <c r="H662" s="4" t="str">
        <f t="shared" si="13"/>
        <v>No</v>
      </c>
      <c r="I662" s="56"/>
    </row>
    <row r="663" spans="1:9">
      <c r="A663" s="97" t="s">
        <v>2533</v>
      </c>
      <c r="B663" s="97" t="s">
        <v>2088</v>
      </c>
      <c r="C663" s="163">
        <v>4130</v>
      </c>
      <c r="D663" s="95" t="s">
        <v>2093</v>
      </c>
      <c r="E663" s="142">
        <v>0.45496666666666669</v>
      </c>
      <c r="F663" s="4" t="s">
        <v>3065</v>
      </c>
      <c r="G663" s="4" t="s">
        <v>3065</v>
      </c>
      <c r="H663" s="4" t="str">
        <f t="shared" si="13"/>
        <v>No</v>
      </c>
      <c r="I663" s="56"/>
    </row>
    <row r="664" spans="1:9">
      <c r="A664" s="97" t="s">
        <v>2533</v>
      </c>
      <c r="B664" s="97" t="s">
        <v>2088</v>
      </c>
      <c r="C664" s="163">
        <v>3762</v>
      </c>
      <c r="D664" s="95" t="s">
        <v>2092</v>
      </c>
      <c r="E664" s="142">
        <v>0.46126666666666666</v>
      </c>
      <c r="F664" s="4" t="s">
        <v>3065</v>
      </c>
      <c r="G664" s="4" t="s">
        <v>3065</v>
      </c>
      <c r="H664" s="4" t="str">
        <f t="shared" si="13"/>
        <v>No</v>
      </c>
      <c r="I664" s="56"/>
    </row>
    <row r="665" spans="1:9">
      <c r="A665" s="97" t="s">
        <v>2452</v>
      </c>
      <c r="B665" s="97" t="s">
        <v>1516</v>
      </c>
      <c r="C665" s="163">
        <v>4582</v>
      </c>
      <c r="D665" s="95" t="s">
        <v>1521</v>
      </c>
      <c r="E665" s="142">
        <v>0.47033333333333333</v>
      </c>
      <c r="F665" s="4" t="s">
        <v>3065</v>
      </c>
      <c r="G665" s="4" t="s">
        <v>3065</v>
      </c>
      <c r="H665" s="4" t="str">
        <f t="shared" si="13"/>
        <v>No</v>
      </c>
      <c r="I665" s="56"/>
    </row>
    <row r="666" spans="1:9">
      <c r="A666" s="97" t="s">
        <v>2452</v>
      </c>
      <c r="B666" s="97" t="s">
        <v>1516</v>
      </c>
      <c r="C666" s="163">
        <v>2878</v>
      </c>
      <c r="D666" s="95" t="s">
        <v>1518</v>
      </c>
      <c r="E666" s="142">
        <v>0.37736666666666663</v>
      </c>
      <c r="F666" s="4" t="s">
        <v>3065</v>
      </c>
      <c r="G666" s="4" t="s">
        <v>3065</v>
      </c>
      <c r="H666" s="4" t="str">
        <f t="shared" si="13"/>
        <v>No</v>
      </c>
      <c r="I666" s="56"/>
    </row>
    <row r="667" spans="1:9">
      <c r="A667" s="97" t="s">
        <v>2452</v>
      </c>
      <c r="B667" s="97" t="s">
        <v>1516</v>
      </c>
      <c r="C667" s="163">
        <v>5671</v>
      </c>
      <c r="D667" s="95" t="s">
        <v>3015</v>
      </c>
      <c r="E667" s="142">
        <v>0.46989999999999998</v>
      </c>
      <c r="F667" s="4" t="s">
        <v>3065</v>
      </c>
      <c r="G667" s="4" t="s">
        <v>2752</v>
      </c>
      <c r="H667" s="4" t="str">
        <f>IFERROR(IF(AND(G667="Yes",F667="No"),"Yes","No"),"No")</f>
        <v>Yes</v>
      </c>
      <c r="I667" s="56"/>
    </row>
    <row r="668" spans="1:9">
      <c r="A668" s="97" t="s">
        <v>2452</v>
      </c>
      <c r="B668" s="97" t="s">
        <v>1516</v>
      </c>
      <c r="C668" s="163">
        <v>2773</v>
      </c>
      <c r="D668" s="95" t="s">
        <v>1517</v>
      </c>
      <c r="E668" s="142">
        <v>0.42066666666666669</v>
      </c>
      <c r="F668" s="4" t="s">
        <v>3065</v>
      </c>
      <c r="G668" s="4" t="s">
        <v>3065</v>
      </c>
      <c r="H668" s="4" t="str">
        <f t="shared" si="13"/>
        <v>No</v>
      </c>
      <c r="I668" s="56"/>
    </row>
    <row r="669" spans="1:9">
      <c r="A669" s="97" t="s">
        <v>2452</v>
      </c>
      <c r="B669" s="97" t="s">
        <v>1516</v>
      </c>
      <c r="C669" s="163">
        <v>5582</v>
      </c>
      <c r="D669" s="95" t="s">
        <v>2834</v>
      </c>
      <c r="E669" s="142">
        <v>0.59986666666666666</v>
      </c>
      <c r="F669" s="4" t="s">
        <v>2752</v>
      </c>
      <c r="G669" s="4" t="s">
        <v>2752</v>
      </c>
      <c r="H669" s="4" t="str">
        <f t="shared" si="13"/>
        <v>No</v>
      </c>
      <c r="I669" s="56"/>
    </row>
    <row r="670" spans="1:9">
      <c r="A670" s="97" t="s">
        <v>2452</v>
      </c>
      <c r="B670" s="97" t="s">
        <v>1516</v>
      </c>
      <c r="C670" s="163">
        <v>4557</v>
      </c>
      <c r="D670" s="95" t="s">
        <v>1520</v>
      </c>
      <c r="E670" s="142">
        <v>0.41749999999999998</v>
      </c>
      <c r="F670" s="4" t="s">
        <v>3065</v>
      </c>
      <c r="G670" s="4" t="s">
        <v>3065</v>
      </c>
      <c r="H670" s="4" t="str">
        <f t="shared" si="13"/>
        <v>No</v>
      </c>
      <c r="I670" s="56"/>
    </row>
    <row r="671" spans="1:9">
      <c r="A671" s="97" t="s">
        <v>2452</v>
      </c>
      <c r="B671" s="97" t="s">
        <v>1516</v>
      </c>
      <c r="C671" s="163">
        <v>3798</v>
      </c>
      <c r="D671" s="95" t="s">
        <v>1519</v>
      </c>
      <c r="E671" s="142">
        <v>0.47510000000000002</v>
      </c>
      <c r="F671" s="4" t="s">
        <v>3065</v>
      </c>
      <c r="G671" s="4" t="s">
        <v>3065</v>
      </c>
      <c r="H671" s="4" t="str">
        <f t="shared" si="13"/>
        <v>No</v>
      </c>
      <c r="I671" s="56"/>
    </row>
    <row r="672" spans="1:9">
      <c r="A672" s="97" t="s">
        <v>2267</v>
      </c>
      <c r="B672" s="97" t="s">
        <v>67</v>
      </c>
      <c r="C672" s="163">
        <v>3078</v>
      </c>
      <c r="D672" s="95" t="s">
        <v>69</v>
      </c>
      <c r="E672" s="142">
        <v>0.76043333333333329</v>
      </c>
      <c r="F672" s="4" t="s">
        <v>2752</v>
      </c>
      <c r="G672" s="4" t="s">
        <v>2752</v>
      </c>
      <c r="H672" s="4" t="str">
        <f t="shared" si="13"/>
        <v>No</v>
      </c>
      <c r="I672" s="56"/>
    </row>
    <row r="673" spans="1:9">
      <c r="A673" s="97" t="s">
        <v>2267</v>
      </c>
      <c r="B673" s="97" t="s">
        <v>67</v>
      </c>
      <c r="C673" s="163">
        <v>4031</v>
      </c>
      <c r="D673" s="95" t="s">
        <v>70</v>
      </c>
      <c r="E673" s="142">
        <v>0.79793333333333327</v>
      </c>
      <c r="F673" s="4" t="s">
        <v>2752</v>
      </c>
      <c r="G673" s="4" t="s">
        <v>2752</v>
      </c>
      <c r="H673" s="4" t="str">
        <f t="shared" si="13"/>
        <v>No</v>
      </c>
      <c r="I673" s="56"/>
    </row>
    <row r="674" spans="1:9">
      <c r="A674" s="97" t="s">
        <v>2267</v>
      </c>
      <c r="B674" s="97" t="s">
        <v>67</v>
      </c>
      <c r="C674" s="163">
        <v>2367</v>
      </c>
      <c r="D674" s="95" t="s">
        <v>68</v>
      </c>
      <c r="E674" s="142">
        <v>0.72036666666666671</v>
      </c>
      <c r="F674" s="4" t="s">
        <v>2752</v>
      </c>
      <c r="G674" s="4" t="s">
        <v>2752</v>
      </c>
      <c r="H674" s="4" t="str">
        <f t="shared" si="13"/>
        <v>No</v>
      </c>
      <c r="I674" s="56"/>
    </row>
    <row r="675" spans="1:9">
      <c r="A675" s="97" t="s">
        <v>2448</v>
      </c>
      <c r="B675" s="97" t="s">
        <v>1459</v>
      </c>
      <c r="C675" s="163">
        <v>3180</v>
      </c>
      <c r="D675" s="95" t="s">
        <v>1466</v>
      </c>
      <c r="E675" s="142">
        <v>0.67653333333333343</v>
      </c>
      <c r="F675" s="4" t="s">
        <v>2752</v>
      </c>
      <c r="G675" s="4" t="s">
        <v>2752</v>
      </c>
      <c r="H675" s="4" t="str">
        <f t="shared" si="13"/>
        <v>No</v>
      </c>
      <c r="I675" s="56"/>
    </row>
    <row r="676" spans="1:9">
      <c r="A676" s="97" t="s">
        <v>2448</v>
      </c>
      <c r="B676" s="97" t="s">
        <v>1459</v>
      </c>
      <c r="C676" s="163">
        <v>2398</v>
      </c>
      <c r="D676" s="95" t="s">
        <v>1462</v>
      </c>
      <c r="E676" s="142">
        <v>0.59376666666666666</v>
      </c>
      <c r="F676" s="4" t="s">
        <v>2752</v>
      </c>
      <c r="G676" s="4" t="s">
        <v>2752</v>
      </c>
      <c r="H676" s="4" t="str">
        <f t="shared" si="13"/>
        <v>No</v>
      </c>
      <c r="I676" s="56"/>
    </row>
    <row r="677" spans="1:9">
      <c r="A677" s="97" t="s">
        <v>2448</v>
      </c>
      <c r="B677" s="97" t="s">
        <v>1459</v>
      </c>
      <c r="C677" s="163">
        <v>3301</v>
      </c>
      <c r="D677" s="95" t="s">
        <v>1468</v>
      </c>
      <c r="E677" s="142">
        <v>0.75620000000000009</v>
      </c>
      <c r="F677" s="4" t="s">
        <v>2752</v>
      </c>
      <c r="G677" s="4" t="s">
        <v>2752</v>
      </c>
      <c r="H677" s="4" t="str">
        <f t="shared" si="13"/>
        <v>No</v>
      </c>
      <c r="I677" s="56"/>
    </row>
    <row r="678" spans="1:9">
      <c r="A678" s="97" t="s">
        <v>2448</v>
      </c>
      <c r="B678" s="97" t="s">
        <v>1459</v>
      </c>
      <c r="C678" s="163">
        <v>2257</v>
      </c>
      <c r="D678" s="95" t="s">
        <v>1460</v>
      </c>
      <c r="E678" s="142">
        <v>0.54086666666666661</v>
      </c>
      <c r="F678" s="4" t="s">
        <v>2752</v>
      </c>
      <c r="G678" s="4" t="s">
        <v>2752</v>
      </c>
      <c r="H678" s="4" t="str">
        <f t="shared" si="13"/>
        <v>No</v>
      </c>
      <c r="I678" s="56"/>
    </row>
    <row r="679" spans="1:9">
      <c r="A679" s="97" t="s">
        <v>2448</v>
      </c>
      <c r="B679" s="97" t="s">
        <v>1459</v>
      </c>
      <c r="C679" s="163">
        <v>3532</v>
      </c>
      <c r="D679" s="95" t="s">
        <v>1470</v>
      </c>
      <c r="E679" s="142">
        <v>0.6694</v>
      </c>
      <c r="F679" s="4" t="s">
        <v>2752</v>
      </c>
      <c r="G679" s="4" t="s">
        <v>2752</v>
      </c>
      <c r="H679" s="4" t="str">
        <f t="shared" si="13"/>
        <v>No</v>
      </c>
      <c r="I679" s="56"/>
    </row>
    <row r="680" spans="1:9">
      <c r="A680" s="97" t="s">
        <v>2448</v>
      </c>
      <c r="B680" s="97" t="s">
        <v>1459</v>
      </c>
      <c r="C680" s="163">
        <v>2876</v>
      </c>
      <c r="D680" s="95" t="s">
        <v>1463</v>
      </c>
      <c r="E680" s="142">
        <v>0.63623333333333332</v>
      </c>
      <c r="F680" s="4" t="s">
        <v>2752</v>
      </c>
      <c r="G680" s="4" t="s">
        <v>2752</v>
      </c>
      <c r="H680" s="4" t="str">
        <f t="shared" si="13"/>
        <v>No</v>
      </c>
      <c r="I680" s="56"/>
    </row>
    <row r="681" spans="1:9">
      <c r="A681" s="97" t="s">
        <v>2448</v>
      </c>
      <c r="B681" s="97" t="s">
        <v>1459</v>
      </c>
      <c r="C681" s="163">
        <v>4063</v>
      </c>
      <c r="D681" s="95" t="s">
        <v>1472</v>
      </c>
      <c r="E681" s="142">
        <v>0.74003333333333332</v>
      </c>
      <c r="F681" s="4" t="s">
        <v>2752</v>
      </c>
      <c r="G681" s="4" t="s">
        <v>2752</v>
      </c>
      <c r="H681" s="4" t="str">
        <f t="shared" si="13"/>
        <v>No</v>
      </c>
      <c r="I681" s="56"/>
    </row>
    <row r="682" spans="1:9">
      <c r="A682" s="97" t="s">
        <v>2448</v>
      </c>
      <c r="B682" s="97" t="s">
        <v>1459</v>
      </c>
      <c r="C682" s="163">
        <v>3000</v>
      </c>
      <c r="D682" s="95" t="s">
        <v>1465</v>
      </c>
      <c r="E682" s="142">
        <v>0.73246666666666671</v>
      </c>
      <c r="F682" s="4" t="s">
        <v>2752</v>
      </c>
      <c r="G682" s="4" t="s">
        <v>2752</v>
      </c>
      <c r="H682" s="4" t="str">
        <f t="shared" si="13"/>
        <v>No</v>
      </c>
      <c r="I682" s="56"/>
    </row>
    <row r="683" spans="1:9">
      <c r="A683" s="97" t="s">
        <v>2448</v>
      </c>
      <c r="B683" s="97" t="s">
        <v>1459</v>
      </c>
      <c r="C683" s="163">
        <v>2945</v>
      </c>
      <c r="D683" s="95" t="s">
        <v>1464</v>
      </c>
      <c r="E683" s="142">
        <v>0.75700000000000001</v>
      </c>
      <c r="F683" s="4" t="s">
        <v>2752</v>
      </c>
      <c r="G683" s="4" t="s">
        <v>2752</v>
      </c>
      <c r="H683" s="4" t="str">
        <f t="shared" si="13"/>
        <v>No</v>
      </c>
      <c r="I683" s="56"/>
    </row>
    <row r="684" spans="1:9">
      <c r="A684" s="97" t="s">
        <v>2448</v>
      </c>
      <c r="B684" s="97" t="s">
        <v>1459</v>
      </c>
      <c r="C684" s="163">
        <v>2340</v>
      </c>
      <c r="D684" s="95" t="s">
        <v>1461</v>
      </c>
      <c r="E684" s="142">
        <v>0.72060000000000002</v>
      </c>
      <c r="F684" s="4" t="s">
        <v>2752</v>
      </c>
      <c r="G684" s="4" t="s">
        <v>2752</v>
      </c>
      <c r="H684" s="4" t="str">
        <f t="shared" si="13"/>
        <v>No</v>
      </c>
      <c r="I684" s="56"/>
    </row>
    <row r="685" spans="1:9">
      <c r="A685" s="97" t="s">
        <v>2448</v>
      </c>
      <c r="B685" s="97" t="s">
        <v>1459</v>
      </c>
      <c r="C685" s="163">
        <v>3300</v>
      </c>
      <c r="D685" s="95" t="s">
        <v>1467</v>
      </c>
      <c r="E685" s="142">
        <v>0.67746666666666666</v>
      </c>
      <c r="F685" s="4" t="s">
        <v>2752</v>
      </c>
      <c r="G685" s="4" t="s">
        <v>2752</v>
      </c>
      <c r="H685" s="4" t="str">
        <f t="shared" si="13"/>
        <v>No</v>
      </c>
      <c r="I685" s="56"/>
    </row>
    <row r="686" spans="1:9">
      <c r="A686" s="97" t="s">
        <v>2448</v>
      </c>
      <c r="B686" s="97" t="s">
        <v>1459</v>
      </c>
      <c r="C686" s="163">
        <v>3401</v>
      </c>
      <c r="D686" s="95" t="s">
        <v>1469</v>
      </c>
      <c r="E686" s="142">
        <v>0.74653333333333338</v>
      </c>
      <c r="F686" s="4" t="s">
        <v>2752</v>
      </c>
      <c r="G686" s="4" t="s">
        <v>2752</v>
      </c>
      <c r="H686" s="4" t="str">
        <f t="shared" si="13"/>
        <v>No</v>
      </c>
      <c r="I686" s="56"/>
    </row>
    <row r="687" spans="1:9">
      <c r="A687" s="97" t="s">
        <v>2448</v>
      </c>
      <c r="B687" s="97" t="s">
        <v>1459</v>
      </c>
      <c r="C687" s="163">
        <v>3648</v>
      </c>
      <c r="D687" s="95" t="s">
        <v>1471</v>
      </c>
      <c r="E687" s="142">
        <v>0.6962666666666667</v>
      </c>
      <c r="F687" s="4" t="s">
        <v>2752</v>
      </c>
      <c r="G687" s="4" t="s">
        <v>2752</v>
      </c>
      <c r="H687" s="4" t="str">
        <f t="shared" si="13"/>
        <v>No</v>
      </c>
      <c r="I687" s="56"/>
    </row>
    <row r="688" spans="1:9">
      <c r="A688" s="97" t="s">
        <v>2493</v>
      </c>
      <c r="B688" s="97" t="s">
        <v>1871</v>
      </c>
      <c r="C688" s="163">
        <v>3794</v>
      </c>
      <c r="D688" s="95" t="s">
        <v>1873</v>
      </c>
      <c r="E688" s="142">
        <v>0.22119999999999998</v>
      </c>
      <c r="F688" s="4" t="s">
        <v>3065</v>
      </c>
      <c r="G688" s="4" t="s">
        <v>3065</v>
      </c>
      <c r="H688" s="4" t="str">
        <f t="shared" si="13"/>
        <v>No</v>
      </c>
      <c r="I688" s="56"/>
    </row>
    <row r="689" spans="1:9">
      <c r="A689" s="97" t="s">
        <v>2493</v>
      </c>
      <c r="B689" s="97" t="s">
        <v>1871</v>
      </c>
      <c r="C689" s="163">
        <v>3192</v>
      </c>
      <c r="D689" s="95" t="s">
        <v>1872</v>
      </c>
      <c r="E689" s="142">
        <v>0.20646666666666666</v>
      </c>
      <c r="F689" s="4" t="s">
        <v>3065</v>
      </c>
      <c r="G689" s="4" t="s">
        <v>3065</v>
      </c>
      <c r="H689" s="4" t="str">
        <f t="shared" si="13"/>
        <v>No</v>
      </c>
      <c r="I689" s="56"/>
    </row>
    <row r="690" spans="1:9">
      <c r="A690" s="97" t="s">
        <v>2493</v>
      </c>
      <c r="B690" s="97" t="s">
        <v>1871</v>
      </c>
      <c r="C690" s="163">
        <v>4593</v>
      </c>
      <c r="D690" s="95" t="s">
        <v>1874</v>
      </c>
      <c r="E690" s="142">
        <v>0.23696666666666666</v>
      </c>
      <c r="F690" s="4" t="s">
        <v>3065</v>
      </c>
      <c r="G690" s="4" t="s">
        <v>3065</v>
      </c>
      <c r="H690" s="4" t="str">
        <f t="shared" si="13"/>
        <v>No</v>
      </c>
      <c r="I690" s="56"/>
    </row>
    <row r="691" spans="1:9">
      <c r="A691" s="97" t="s">
        <v>2546</v>
      </c>
      <c r="B691" s="97" t="s">
        <v>2147</v>
      </c>
      <c r="C691" s="163">
        <v>1962</v>
      </c>
      <c r="D691" s="95" t="s">
        <v>2148</v>
      </c>
      <c r="E691" s="142">
        <v>0.42483333333333334</v>
      </c>
      <c r="F691" s="4" t="s">
        <v>3065</v>
      </c>
      <c r="G691" s="4" t="s">
        <v>3065</v>
      </c>
      <c r="H691" s="4" t="str">
        <f t="shared" si="13"/>
        <v>No</v>
      </c>
      <c r="I691" s="56"/>
    </row>
    <row r="692" spans="1:9">
      <c r="A692" s="97" t="s">
        <v>2546</v>
      </c>
      <c r="B692" s="97" t="s">
        <v>2147</v>
      </c>
      <c r="C692" s="163">
        <v>2895</v>
      </c>
      <c r="D692" s="95" t="s">
        <v>1812</v>
      </c>
      <c r="E692" s="142">
        <v>0.50206666666666666</v>
      </c>
      <c r="F692" s="4" t="s">
        <v>2752</v>
      </c>
      <c r="G692" s="4" t="s">
        <v>3065</v>
      </c>
      <c r="H692" s="4" t="str">
        <f t="shared" si="13"/>
        <v>No</v>
      </c>
      <c r="I692" s="56"/>
    </row>
    <row r="693" spans="1:9">
      <c r="A693" s="97" t="s">
        <v>2546</v>
      </c>
      <c r="B693" s="97" t="s">
        <v>2147</v>
      </c>
      <c r="C693" s="163">
        <v>2896</v>
      </c>
      <c r="D693" s="95" t="s">
        <v>2149</v>
      </c>
      <c r="E693" s="142">
        <v>0.49819999999999998</v>
      </c>
      <c r="F693" s="4" t="s">
        <v>3065</v>
      </c>
      <c r="G693" s="4" t="s">
        <v>2752</v>
      </c>
      <c r="H693" s="4" t="str">
        <f t="shared" si="13"/>
        <v>Yes</v>
      </c>
      <c r="I693" s="56"/>
    </row>
    <row r="694" spans="1:9">
      <c r="A694" s="97" t="s">
        <v>2387</v>
      </c>
      <c r="B694" s="97" t="s">
        <v>1113</v>
      </c>
      <c r="C694" s="163">
        <v>3047</v>
      </c>
      <c r="D694" s="95" t="s">
        <v>1114</v>
      </c>
      <c r="E694" s="142">
        <v>0.72223333333333339</v>
      </c>
      <c r="F694" s="4" t="s">
        <v>2752</v>
      </c>
      <c r="G694" s="4" t="s">
        <v>2752</v>
      </c>
      <c r="H694" s="4" t="str">
        <f t="shared" si="13"/>
        <v>No</v>
      </c>
      <c r="I694" s="56"/>
    </row>
    <row r="695" spans="1:9">
      <c r="A695" s="97" t="s">
        <v>2387</v>
      </c>
      <c r="B695" s="97" t="s">
        <v>1113</v>
      </c>
      <c r="C695" s="163">
        <v>3048</v>
      </c>
      <c r="D695" s="95" t="s">
        <v>1115</v>
      </c>
      <c r="E695" s="142">
        <v>0.45639999999999997</v>
      </c>
      <c r="F695" s="4" t="s">
        <v>3065</v>
      </c>
      <c r="G695" s="4" t="s">
        <v>3065</v>
      </c>
      <c r="H695" s="4" t="str">
        <f t="shared" si="13"/>
        <v>No</v>
      </c>
      <c r="I695" s="56"/>
    </row>
    <row r="696" spans="1:9">
      <c r="A696" s="97" t="s">
        <v>2390</v>
      </c>
      <c r="B696" s="97" t="s">
        <v>1119</v>
      </c>
      <c r="C696" s="163">
        <v>2856</v>
      </c>
      <c r="D696" s="95" t="s">
        <v>1121</v>
      </c>
      <c r="E696" s="142">
        <v>0.49986666666666668</v>
      </c>
      <c r="F696" s="4" t="s">
        <v>3065</v>
      </c>
      <c r="G696" s="4" t="s">
        <v>3065</v>
      </c>
      <c r="H696" s="4" t="str">
        <f t="shared" si="13"/>
        <v>No</v>
      </c>
      <c r="I696" s="56"/>
    </row>
    <row r="697" spans="1:9">
      <c r="A697" s="97" t="s">
        <v>2390</v>
      </c>
      <c r="B697" s="97" t="s">
        <v>1119</v>
      </c>
      <c r="C697" s="163">
        <v>3393</v>
      </c>
      <c r="D697" s="95" t="s">
        <v>1122</v>
      </c>
      <c r="E697" s="142">
        <v>0.68080000000000007</v>
      </c>
      <c r="F697" s="4" t="s">
        <v>2752</v>
      </c>
      <c r="G697" s="4" t="s">
        <v>2752</v>
      </c>
      <c r="H697" s="4" t="str">
        <f t="shared" si="13"/>
        <v>No</v>
      </c>
      <c r="I697" s="56"/>
    </row>
    <row r="698" spans="1:9">
      <c r="A698" s="97" t="s">
        <v>2390</v>
      </c>
      <c r="B698" s="97" t="s">
        <v>1119</v>
      </c>
      <c r="C698" s="163">
        <v>2677</v>
      </c>
      <c r="D698" s="95" t="s">
        <v>1120</v>
      </c>
      <c r="E698" s="142">
        <v>0.63063333333333338</v>
      </c>
      <c r="F698" s="4" t="s">
        <v>2752</v>
      </c>
      <c r="G698" s="4" t="s">
        <v>2752</v>
      </c>
      <c r="H698" s="4" t="str">
        <f t="shared" si="13"/>
        <v>No</v>
      </c>
      <c r="I698" s="56"/>
    </row>
    <row r="699" spans="1:9">
      <c r="A699" s="97" t="s">
        <v>2390</v>
      </c>
      <c r="B699" s="97" t="s">
        <v>1119</v>
      </c>
      <c r="C699" s="163">
        <v>5618</v>
      </c>
      <c r="D699" s="95" t="s">
        <v>2884</v>
      </c>
      <c r="E699" s="142">
        <v>0.34914999999999996</v>
      </c>
      <c r="F699" s="4" t="s">
        <v>3065</v>
      </c>
      <c r="G699" s="4" t="s">
        <v>3065</v>
      </c>
      <c r="H699" s="4" t="str">
        <f t="shared" si="13"/>
        <v>No</v>
      </c>
      <c r="I699" s="56"/>
    </row>
    <row r="700" spans="1:9">
      <c r="A700" s="97" t="s">
        <v>2326</v>
      </c>
      <c r="B700" s="97" t="s">
        <v>462</v>
      </c>
      <c r="C700" s="163">
        <v>5336</v>
      </c>
      <c r="D700" s="95" t="s">
        <v>2801</v>
      </c>
      <c r="E700" s="142">
        <v>0.79190000000000005</v>
      </c>
      <c r="F700" s="4" t="s">
        <v>2752</v>
      </c>
      <c r="G700" s="4" t="s">
        <v>2752</v>
      </c>
      <c r="H700" s="4" t="str">
        <f t="shared" si="13"/>
        <v>No</v>
      </c>
      <c r="I700" s="56"/>
    </row>
    <row r="701" spans="1:9">
      <c r="A701" s="97" t="s">
        <v>2326</v>
      </c>
      <c r="B701" s="97" t="s">
        <v>462</v>
      </c>
      <c r="C701" s="163">
        <v>2802</v>
      </c>
      <c r="D701" s="95" t="s">
        <v>464</v>
      </c>
      <c r="E701" s="142">
        <v>0.70196666666666674</v>
      </c>
      <c r="F701" s="4" t="s">
        <v>2752</v>
      </c>
      <c r="G701" s="4" t="s">
        <v>2752</v>
      </c>
      <c r="H701" s="4" t="str">
        <f t="shared" si="13"/>
        <v>No</v>
      </c>
      <c r="I701" s="56"/>
    </row>
    <row r="702" spans="1:9">
      <c r="A702" s="97" t="s">
        <v>2326</v>
      </c>
      <c r="B702" s="97" t="s">
        <v>462</v>
      </c>
      <c r="C702" s="163">
        <v>2801</v>
      </c>
      <c r="D702" s="95" t="s">
        <v>463</v>
      </c>
      <c r="E702" s="142">
        <v>0.7228</v>
      </c>
      <c r="F702" s="4" t="s">
        <v>2752</v>
      </c>
      <c r="G702" s="4" t="s">
        <v>2752</v>
      </c>
      <c r="H702" s="4" t="str">
        <f t="shared" si="13"/>
        <v>No</v>
      </c>
      <c r="I702" s="56"/>
    </row>
    <row r="703" spans="1:9">
      <c r="A703" s="97" t="s">
        <v>2559</v>
      </c>
      <c r="B703" s="97" t="s">
        <v>2204</v>
      </c>
      <c r="C703" s="163">
        <v>1776</v>
      </c>
      <c r="D703" s="95" t="s">
        <v>2205</v>
      </c>
      <c r="E703" s="142">
        <v>0.91389999999999993</v>
      </c>
      <c r="F703" s="4" t="s">
        <v>2752</v>
      </c>
      <c r="G703" s="4" t="s">
        <v>2752</v>
      </c>
      <c r="H703" s="4" t="str">
        <f t="shared" si="13"/>
        <v>No</v>
      </c>
      <c r="I703" s="56"/>
    </row>
    <row r="704" spans="1:9">
      <c r="A704" s="97" t="s">
        <v>2559</v>
      </c>
      <c r="B704" s="97" t="s">
        <v>2204</v>
      </c>
      <c r="C704" s="163">
        <v>2555</v>
      </c>
      <c r="D704" s="95" t="s">
        <v>2207</v>
      </c>
      <c r="E704" s="142">
        <v>0.82566666666666666</v>
      </c>
      <c r="F704" s="4" t="s">
        <v>2752</v>
      </c>
      <c r="G704" s="4" t="s">
        <v>2752</v>
      </c>
      <c r="H704" s="4" t="str">
        <f t="shared" si="13"/>
        <v>No</v>
      </c>
      <c r="I704" s="56"/>
    </row>
    <row r="705" spans="1:9">
      <c r="A705" s="97" t="s">
        <v>2559</v>
      </c>
      <c r="B705" s="97" t="s">
        <v>2204</v>
      </c>
      <c r="C705" s="163">
        <v>3071</v>
      </c>
      <c r="D705" s="95" t="s">
        <v>2210</v>
      </c>
      <c r="E705" s="142">
        <v>0.84500000000000008</v>
      </c>
      <c r="F705" s="4" t="s">
        <v>2752</v>
      </c>
      <c r="G705" s="4" t="s">
        <v>2752</v>
      </c>
      <c r="H705" s="4" t="str">
        <f t="shared" si="13"/>
        <v>No</v>
      </c>
      <c r="I705" s="56"/>
    </row>
    <row r="706" spans="1:9">
      <c r="A706" s="97" t="s">
        <v>2559</v>
      </c>
      <c r="B706" s="97" t="s">
        <v>2204</v>
      </c>
      <c r="C706" s="163">
        <v>2345</v>
      </c>
      <c r="D706" s="95" t="s">
        <v>2206</v>
      </c>
      <c r="E706" s="142">
        <v>0.89110000000000011</v>
      </c>
      <c r="F706" s="4" t="s">
        <v>2752</v>
      </c>
      <c r="G706" s="4" t="s">
        <v>2752</v>
      </c>
      <c r="H706" s="4" t="str">
        <f t="shared" si="13"/>
        <v>No</v>
      </c>
      <c r="I706" s="56"/>
    </row>
    <row r="707" spans="1:9">
      <c r="A707" s="97" t="s">
        <v>2559</v>
      </c>
      <c r="B707" s="97" t="s">
        <v>2204</v>
      </c>
      <c r="C707" s="163">
        <v>3013</v>
      </c>
      <c r="D707" s="95" t="s">
        <v>2209</v>
      </c>
      <c r="E707" s="142">
        <v>0.82566666666666666</v>
      </c>
      <c r="F707" s="4" t="s">
        <v>2752</v>
      </c>
      <c r="G707" s="4" t="s">
        <v>2752</v>
      </c>
      <c r="H707" s="4" t="str">
        <f t="shared" ref="H707:H770" si="14">IFERROR(IF(AND(G707="Yes",F707="No"),"Yes","No"),"No")</f>
        <v>No</v>
      </c>
      <c r="I707" s="56"/>
    </row>
    <row r="708" spans="1:9">
      <c r="A708" s="97" t="s">
        <v>2559</v>
      </c>
      <c r="B708" s="97" t="s">
        <v>2204</v>
      </c>
      <c r="C708" s="163">
        <v>5399</v>
      </c>
      <c r="D708" s="95" t="s">
        <v>2211</v>
      </c>
      <c r="E708" s="142">
        <v>0.82179999999999997</v>
      </c>
      <c r="F708" s="4" t="s">
        <v>2752</v>
      </c>
      <c r="G708" s="4" t="s">
        <v>2752</v>
      </c>
      <c r="H708" s="4" t="str">
        <f t="shared" si="14"/>
        <v>No</v>
      </c>
      <c r="I708" s="56"/>
    </row>
    <row r="709" spans="1:9">
      <c r="A709" s="97" t="s">
        <v>2559</v>
      </c>
      <c r="B709" s="97" t="s">
        <v>2204</v>
      </c>
      <c r="C709" s="163">
        <v>2756</v>
      </c>
      <c r="D709" s="95" t="s">
        <v>2208</v>
      </c>
      <c r="E709" s="142">
        <v>0.82609999999999995</v>
      </c>
      <c r="F709" s="4" t="s">
        <v>2752</v>
      </c>
      <c r="G709" s="4" t="s">
        <v>2752</v>
      </c>
      <c r="H709" s="4" t="str">
        <f t="shared" si="14"/>
        <v>No</v>
      </c>
      <c r="I709" s="56"/>
    </row>
    <row r="710" spans="1:9">
      <c r="A710" s="97" t="s">
        <v>2563</v>
      </c>
      <c r="B710" s="97" t="s">
        <v>2232</v>
      </c>
      <c r="C710" s="163">
        <v>3314</v>
      </c>
      <c r="D710" s="95" t="s">
        <v>2234</v>
      </c>
      <c r="E710" s="142">
        <v>0.85403333333333331</v>
      </c>
      <c r="F710" s="4" t="s">
        <v>2752</v>
      </c>
      <c r="G710" s="4" t="s">
        <v>2752</v>
      </c>
      <c r="H710" s="4" t="str">
        <f t="shared" si="14"/>
        <v>No</v>
      </c>
      <c r="I710" s="56"/>
    </row>
    <row r="711" spans="1:9">
      <c r="A711" s="97" t="s">
        <v>2563</v>
      </c>
      <c r="B711" s="97" t="s">
        <v>2232</v>
      </c>
      <c r="C711" s="163">
        <v>2531</v>
      </c>
      <c r="D711" s="95" t="s">
        <v>2233</v>
      </c>
      <c r="E711" s="142">
        <v>0.91293333333333326</v>
      </c>
      <c r="F711" s="4" t="s">
        <v>2752</v>
      </c>
      <c r="G711" s="4" t="s">
        <v>2752</v>
      </c>
      <c r="H711" s="4" t="str">
        <f t="shared" si="14"/>
        <v>No</v>
      </c>
      <c r="I711" s="56"/>
    </row>
    <row r="712" spans="1:9">
      <c r="A712" s="97" t="s">
        <v>2563</v>
      </c>
      <c r="B712" s="97" t="s">
        <v>2232</v>
      </c>
      <c r="C712" s="163">
        <v>4535</v>
      </c>
      <c r="D712" s="95" t="s">
        <v>1780</v>
      </c>
      <c r="E712" s="142">
        <v>0.88556666666666661</v>
      </c>
      <c r="F712" s="4" t="s">
        <v>2752</v>
      </c>
      <c r="G712" s="4" t="s">
        <v>2752</v>
      </c>
      <c r="H712" s="4" t="str">
        <f t="shared" si="14"/>
        <v>No</v>
      </c>
      <c r="I712" s="56"/>
    </row>
    <row r="713" spans="1:9">
      <c r="A713" s="97" t="s">
        <v>2484</v>
      </c>
      <c r="B713" s="97" t="s">
        <v>1754</v>
      </c>
      <c r="C713" s="163">
        <v>5171</v>
      </c>
      <c r="D713" s="95" t="s">
        <v>1759</v>
      </c>
      <c r="E713" s="142">
        <v>0.6331</v>
      </c>
      <c r="F713" s="4" t="s">
        <v>2752</v>
      </c>
      <c r="G713" s="4" t="s">
        <v>2752</v>
      </c>
      <c r="H713" s="4" t="str">
        <f t="shared" si="14"/>
        <v>No</v>
      </c>
      <c r="I713" s="56"/>
    </row>
    <row r="714" spans="1:9">
      <c r="A714" s="97" t="s">
        <v>2484</v>
      </c>
      <c r="B714" s="97" t="s">
        <v>1754</v>
      </c>
      <c r="C714" s="163">
        <v>2580</v>
      </c>
      <c r="D714" s="95" t="s">
        <v>1755</v>
      </c>
      <c r="E714" s="142">
        <v>0.34620000000000001</v>
      </c>
      <c r="F714" s="4" t="s">
        <v>3065</v>
      </c>
      <c r="G714" s="4" t="s">
        <v>3065</v>
      </c>
      <c r="H714" s="4" t="str">
        <f t="shared" si="14"/>
        <v>No</v>
      </c>
      <c r="I714" s="56"/>
    </row>
    <row r="715" spans="1:9">
      <c r="A715" s="97" t="s">
        <v>2484</v>
      </c>
      <c r="B715" s="97" t="s">
        <v>1754</v>
      </c>
      <c r="C715" s="163">
        <v>4113</v>
      </c>
      <c r="D715" s="95" t="s">
        <v>1756</v>
      </c>
      <c r="E715" s="142">
        <v>0.43733333333333335</v>
      </c>
      <c r="F715" s="4" t="s">
        <v>3065</v>
      </c>
      <c r="G715" s="4" t="s">
        <v>3065</v>
      </c>
      <c r="H715" s="4" t="str">
        <f t="shared" si="14"/>
        <v>No</v>
      </c>
      <c r="I715" s="56"/>
    </row>
    <row r="716" spans="1:9">
      <c r="A716" s="97" t="s">
        <v>2484</v>
      </c>
      <c r="B716" s="97" t="s">
        <v>1754</v>
      </c>
      <c r="C716" s="163">
        <v>5349</v>
      </c>
      <c r="D716" s="95" t="s">
        <v>1760</v>
      </c>
      <c r="E716" s="142">
        <v>0.68366666666666676</v>
      </c>
      <c r="F716" s="4" t="s">
        <v>2752</v>
      </c>
      <c r="G716" s="4" t="s">
        <v>2752</v>
      </c>
      <c r="H716" s="4" t="str">
        <f t="shared" si="14"/>
        <v>No</v>
      </c>
      <c r="I716" s="56"/>
    </row>
    <row r="717" spans="1:9">
      <c r="A717" s="97" t="s">
        <v>2484</v>
      </c>
      <c r="B717" s="97" t="s">
        <v>1754</v>
      </c>
      <c r="C717" s="163">
        <v>4479</v>
      </c>
      <c r="D717" s="95" t="s">
        <v>1758</v>
      </c>
      <c r="E717" s="142">
        <v>0.41949999999999998</v>
      </c>
      <c r="F717" s="4" t="s">
        <v>3065</v>
      </c>
      <c r="G717" s="4" t="s">
        <v>3065</v>
      </c>
      <c r="H717" s="4" t="str">
        <f t="shared" si="14"/>
        <v>No</v>
      </c>
      <c r="I717" s="56"/>
    </row>
    <row r="718" spans="1:9">
      <c r="A718" s="97" t="s">
        <v>2484</v>
      </c>
      <c r="B718" s="97" t="s">
        <v>1754</v>
      </c>
      <c r="C718" s="163">
        <v>4330</v>
      </c>
      <c r="D718" s="95" t="s">
        <v>1757</v>
      </c>
      <c r="E718" s="142">
        <v>0.38286666666666669</v>
      </c>
      <c r="F718" s="4" t="s">
        <v>3065</v>
      </c>
      <c r="G718" s="4" t="s">
        <v>3065</v>
      </c>
      <c r="H718" s="4" t="str">
        <f t="shared" si="14"/>
        <v>No</v>
      </c>
      <c r="I718" s="56"/>
    </row>
    <row r="719" spans="1:9">
      <c r="A719" s="97" t="s">
        <v>2415</v>
      </c>
      <c r="B719" s="97" t="s">
        <v>1206</v>
      </c>
      <c r="C719" s="163">
        <v>2145</v>
      </c>
      <c r="D719" s="95" t="s">
        <v>1207</v>
      </c>
      <c r="E719" s="142">
        <v>0.41409999999999997</v>
      </c>
      <c r="F719" s="4" t="s">
        <v>3065</v>
      </c>
      <c r="G719" s="4" t="s">
        <v>3065</v>
      </c>
      <c r="H719" s="4" t="str">
        <f t="shared" si="14"/>
        <v>No</v>
      </c>
      <c r="I719" s="56"/>
    </row>
    <row r="720" spans="1:9">
      <c r="A720" s="97" t="s">
        <v>2488</v>
      </c>
      <c r="B720" s="97" t="s">
        <v>1824</v>
      </c>
      <c r="C720" s="163">
        <v>2097</v>
      </c>
      <c r="D720" s="95" t="s">
        <v>1825</v>
      </c>
      <c r="E720" s="142">
        <v>0.23896666666666669</v>
      </c>
      <c r="F720" s="4" t="s">
        <v>3065</v>
      </c>
      <c r="G720" s="4" t="s">
        <v>3065</v>
      </c>
      <c r="H720" s="4" t="str">
        <f t="shared" si="14"/>
        <v>No</v>
      </c>
      <c r="I720" s="56"/>
    </row>
    <row r="721" spans="1:9">
      <c r="A721" s="97" t="s">
        <v>2286</v>
      </c>
      <c r="B721" s="97" t="s">
        <v>211</v>
      </c>
      <c r="C721" s="163">
        <v>2484</v>
      </c>
      <c r="D721" s="95" t="s">
        <v>212</v>
      </c>
      <c r="E721" s="142">
        <v>0.3842666666666667</v>
      </c>
      <c r="F721" s="4" t="s">
        <v>3065</v>
      </c>
      <c r="G721" s="4" t="s">
        <v>3065</v>
      </c>
      <c r="H721" s="4" t="str">
        <f t="shared" si="14"/>
        <v>No</v>
      </c>
      <c r="I721" s="56"/>
    </row>
    <row r="722" spans="1:9">
      <c r="A722" s="97" t="s">
        <v>2520</v>
      </c>
      <c r="B722" s="97" t="s">
        <v>2023</v>
      </c>
      <c r="C722" s="163">
        <v>2406</v>
      </c>
      <c r="D722" s="95" t="s">
        <v>2024</v>
      </c>
      <c r="E722" s="142">
        <v>0.16863333333333333</v>
      </c>
      <c r="F722" s="4" t="s">
        <v>3065</v>
      </c>
      <c r="G722" s="4" t="s">
        <v>3065</v>
      </c>
      <c r="H722" s="4" t="str">
        <f t="shared" si="14"/>
        <v>No</v>
      </c>
      <c r="I722" s="56"/>
    </row>
    <row r="723" spans="1:9">
      <c r="A723" s="97" t="s">
        <v>2412</v>
      </c>
      <c r="B723" s="97" t="s">
        <v>1198</v>
      </c>
      <c r="C723" s="163">
        <v>2743</v>
      </c>
      <c r="D723" s="95" t="s">
        <v>1199</v>
      </c>
      <c r="E723" s="142">
        <v>0.38410000000000005</v>
      </c>
      <c r="F723" s="4" t="s">
        <v>2752</v>
      </c>
      <c r="G723" s="4" t="s">
        <v>2752</v>
      </c>
      <c r="H723" s="4" t="str">
        <f t="shared" si="14"/>
        <v>No</v>
      </c>
      <c r="I723" s="56"/>
    </row>
    <row r="724" spans="1:9">
      <c r="A724" s="97" t="s">
        <v>2412</v>
      </c>
      <c r="B724" s="97" t="s">
        <v>1198</v>
      </c>
      <c r="C724" s="163">
        <v>3113</v>
      </c>
      <c r="D724" s="95" t="s">
        <v>1200</v>
      </c>
      <c r="E724" s="142">
        <v>0.44019999999999998</v>
      </c>
      <c r="F724" s="4" t="s">
        <v>2752</v>
      </c>
      <c r="G724" s="4" t="s">
        <v>2752</v>
      </c>
      <c r="H724" s="4" t="str">
        <f t="shared" si="14"/>
        <v>No</v>
      </c>
      <c r="I724" s="56"/>
    </row>
    <row r="725" spans="1:9">
      <c r="A725" s="97" t="s">
        <v>2562</v>
      </c>
      <c r="B725" s="97" t="s">
        <v>2227</v>
      </c>
      <c r="C725" s="163">
        <v>4559</v>
      </c>
      <c r="D725" s="95" t="s">
        <v>2231</v>
      </c>
      <c r="E725" s="142">
        <v>0.81503333333333339</v>
      </c>
      <c r="F725" s="4" t="s">
        <v>2752</v>
      </c>
      <c r="G725" s="4" t="s">
        <v>2752</v>
      </c>
      <c r="H725" s="4" t="str">
        <f t="shared" si="14"/>
        <v>No</v>
      </c>
      <c r="I725" s="56"/>
    </row>
    <row r="726" spans="1:9">
      <c r="A726" s="97" t="s">
        <v>2562</v>
      </c>
      <c r="B726" s="97" t="s">
        <v>2227</v>
      </c>
      <c r="C726" s="163">
        <v>2718</v>
      </c>
      <c r="D726" s="95" t="s">
        <v>2228</v>
      </c>
      <c r="E726" s="142">
        <v>0.81333333333333335</v>
      </c>
      <c r="F726" s="4" t="s">
        <v>2752</v>
      </c>
      <c r="G726" s="4" t="s">
        <v>2752</v>
      </c>
      <c r="H726" s="4" t="str">
        <f t="shared" si="14"/>
        <v>No</v>
      </c>
      <c r="I726" s="56"/>
    </row>
    <row r="727" spans="1:9">
      <c r="A727" s="97" t="s">
        <v>2562</v>
      </c>
      <c r="B727" s="97" t="s">
        <v>2227</v>
      </c>
      <c r="C727" s="163">
        <v>3072</v>
      </c>
      <c r="D727" s="95" t="s">
        <v>2229</v>
      </c>
      <c r="E727" s="142">
        <v>0.75360000000000005</v>
      </c>
      <c r="F727" s="4" t="s">
        <v>2752</v>
      </c>
      <c r="G727" s="4" t="s">
        <v>2752</v>
      </c>
      <c r="H727" s="4" t="str">
        <f t="shared" si="14"/>
        <v>No</v>
      </c>
      <c r="I727" s="56"/>
    </row>
    <row r="728" spans="1:9">
      <c r="A728" s="97" t="s">
        <v>2562</v>
      </c>
      <c r="B728" s="97" t="s">
        <v>2227</v>
      </c>
      <c r="C728" s="163">
        <v>3073</v>
      </c>
      <c r="D728" s="95" t="s">
        <v>2230</v>
      </c>
      <c r="E728" s="142">
        <v>0.85553333333333326</v>
      </c>
      <c r="F728" s="4" t="s">
        <v>2752</v>
      </c>
      <c r="G728" s="4" t="s">
        <v>2752</v>
      </c>
      <c r="H728" s="4" t="str">
        <f t="shared" si="14"/>
        <v>No</v>
      </c>
      <c r="I728" s="56"/>
    </row>
    <row r="729" spans="1:9">
      <c r="A729" s="97" t="s">
        <v>2352</v>
      </c>
      <c r="B729" s="97" t="s">
        <v>702</v>
      </c>
      <c r="C729" s="163">
        <v>2765</v>
      </c>
      <c r="D729" s="95" t="s">
        <v>711</v>
      </c>
      <c r="E729" s="142">
        <v>0.74296666666666666</v>
      </c>
      <c r="F729" s="4" t="s">
        <v>2752</v>
      </c>
      <c r="G729" s="4" t="s">
        <v>2752</v>
      </c>
      <c r="H729" s="4" t="str">
        <f t="shared" si="14"/>
        <v>No</v>
      </c>
      <c r="I729" s="56"/>
    </row>
    <row r="730" spans="1:9">
      <c r="A730" s="97" t="s">
        <v>2352</v>
      </c>
      <c r="B730" s="97" t="s">
        <v>702</v>
      </c>
      <c r="C730" s="163">
        <v>5028</v>
      </c>
      <c r="D730" s="95" t="s">
        <v>726</v>
      </c>
      <c r="E730" s="142">
        <v>0.53126666666666666</v>
      </c>
      <c r="F730" s="4" t="s">
        <v>2752</v>
      </c>
      <c r="G730" s="4" t="s">
        <v>2752</v>
      </c>
      <c r="H730" s="4" t="str">
        <f t="shared" si="14"/>
        <v>No</v>
      </c>
      <c r="I730" s="56"/>
    </row>
    <row r="731" spans="1:9">
      <c r="A731" s="97" t="s">
        <v>2352</v>
      </c>
      <c r="B731" s="97" t="s">
        <v>702</v>
      </c>
      <c r="C731" s="163">
        <v>2982</v>
      </c>
      <c r="D731" s="95" t="s">
        <v>716</v>
      </c>
      <c r="E731" s="142">
        <v>0.76406666666666678</v>
      </c>
      <c r="F731" s="4" t="s">
        <v>2752</v>
      </c>
      <c r="G731" s="4" t="s">
        <v>2752</v>
      </c>
      <c r="H731" s="4" t="str">
        <f t="shared" si="14"/>
        <v>No</v>
      </c>
      <c r="I731" s="56"/>
    </row>
    <row r="732" spans="1:9">
      <c r="A732" s="97" t="s">
        <v>2352</v>
      </c>
      <c r="B732" s="97" t="s">
        <v>702</v>
      </c>
      <c r="C732" s="163">
        <v>3163</v>
      </c>
      <c r="D732" s="95" t="s">
        <v>231</v>
      </c>
      <c r="E732" s="142">
        <v>0.8323666666666667</v>
      </c>
      <c r="F732" s="4" t="s">
        <v>2752</v>
      </c>
      <c r="G732" s="4" t="s">
        <v>2752</v>
      </c>
      <c r="H732" s="4" t="str">
        <f t="shared" si="14"/>
        <v>No</v>
      </c>
      <c r="I732" s="56"/>
    </row>
    <row r="733" spans="1:9">
      <c r="A733" s="97" t="s">
        <v>2352</v>
      </c>
      <c r="B733" s="97" t="s">
        <v>702</v>
      </c>
      <c r="C733" s="163">
        <v>2926</v>
      </c>
      <c r="D733" s="95" t="s">
        <v>714</v>
      </c>
      <c r="E733" s="142">
        <v>0.75139999999999996</v>
      </c>
      <c r="F733" s="4" t="s">
        <v>2752</v>
      </c>
      <c r="G733" s="4" t="s">
        <v>2752</v>
      </c>
      <c r="H733" s="4" t="str">
        <f t="shared" si="14"/>
        <v>No</v>
      </c>
      <c r="I733" s="56"/>
    </row>
    <row r="734" spans="1:9">
      <c r="A734" s="97" t="s">
        <v>2352</v>
      </c>
      <c r="B734" s="97" t="s">
        <v>702</v>
      </c>
      <c r="C734" s="163">
        <v>3098</v>
      </c>
      <c r="D734" s="95" t="s">
        <v>59</v>
      </c>
      <c r="E734" s="142">
        <v>0.78146666666666675</v>
      </c>
      <c r="F734" s="4" t="s">
        <v>2752</v>
      </c>
      <c r="G734" s="4" t="s">
        <v>2752</v>
      </c>
      <c r="H734" s="4" t="str">
        <f t="shared" si="14"/>
        <v>No</v>
      </c>
      <c r="I734" s="56"/>
    </row>
    <row r="735" spans="1:9">
      <c r="A735" s="97" t="s">
        <v>2352</v>
      </c>
      <c r="B735" s="97" t="s">
        <v>702</v>
      </c>
      <c r="C735" s="163">
        <v>1539</v>
      </c>
      <c r="D735" s="95" t="s">
        <v>703</v>
      </c>
      <c r="E735" s="142">
        <v>0.44103333333333339</v>
      </c>
      <c r="F735" s="4" t="s">
        <v>3065</v>
      </c>
      <c r="G735" s="4" t="s">
        <v>3065</v>
      </c>
      <c r="H735" s="4" t="str">
        <f t="shared" si="14"/>
        <v>No</v>
      </c>
      <c r="I735" s="56"/>
    </row>
    <row r="736" spans="1:9">
      <c r="A736" s="97" t="s">
        <v>2352</v>
      </c>
      <c r="B736" s="97" t="s">
        <v>702</v>
      </c>
      <c r="C736" s="163">
        <v>2418</v>
      </c>
      <c r="D736" s="95" t="s">
        <v>707</v>
      </c>
      <c r="E736" s="142">
        <v>0.56363333333333332</v>
      </c>
      <c r="F736" s="4" t="s">
        <v>2752</v>
      </c>
      <c r="G736" s="4" t="s">
        <v>2752</v>
      </c>
      <c r="H736" s="4" t="str">
        <f t="shared" si="14"/>
        <v>No</v>
      </c>
      <c r="I736" s="56"/>
    </row>
    <row r="737" spans="1:9">
      <c r="A737" s="97" t="s">
        <v>2352</v>
      </c>
      <c r="B737" s="97" t="s">
        <v>702</v>
      </c>
      <c r="C737" s="163">
        <v>3099</v>
      </c>
      <c r="D737" s="95" t="s">
        <v>223</v>
      </c>
      <c r="E737" s="142">
        <v>0.77750000000000019</v>
      </c>
      <c r="F737" s="4" t="s">
        <v>2752</v>
      </c>
      <c r="G737" s="4" t="s">
        <v>2752</v>
      </c>
      <c r="H737" s="4" t="str">
        <f t="shared" si="14"/>
        <v>No</v>
      </c>
      <c r="I737" s="56"/>
    </row>
    <row r="738" spans="1:9">
      <c r="A738" s="97" t="s">
        <v>2352</v>
      </c>
      <c r="B738" s="97" t="s">
        <v>702</v>
      </c>
      <c r="C738" s="163">
        <v>5551</v>
      </c>
      <c r="D738" s="95" t="s">
        <v>1510</v>
      </c>
      <c r="E738" s="142">
        <v>0.82726666666666671</v>
      </c>
      <c r="F738" s="4" t="s">
        <v>2752</v>
      </c>
      <c r="G738" s="4" t="s">
        <v>2752</v>
      </c>
      <c r="H738" s="4" t="str">
        <f t="shared" si="14"/>
        <v>No</v>
      </c>
      <c r="I738" s="56"/>
    </row>
    <row r="739" spans="1:9">
      <c r="A739" s="97" t="s">
        <v>2352</v>
      </c>
      <c r="B739" s="97" t="s">
        <v>702</v>
      </c>
      <c r="C739" s="163">
        <v>2844</v>
      </c>
      <c r="D739" s="95" t="s">
        <v>713</v>
      </c>
      <c r="E739" s="142">
        <v>0.49990000000000001</v>
      </c>
      <c r="F739" s="4" t="s">
        <v>3065</v>
      </c>
      <c r="G739" s="4" t="s">
        <v>2752</v>
      </c>
      <c r="H739" s="4" t="str">
        <f t="shared" si="14"/>
        <v>Yes</v>
      </c>
      <c r="I739" s="56"/>
    </row>
    <row r="740" spans="1:9">
      <c r="A740" s="97" t="s">
        <v>2352</v>
      </c>
      <c r="B740" s="97" t="s">
        <v>702</v>
      </c>
      <c r="C740" s="163">
        <v>2699</v>
      </c>
      <c r="D740" s="95" t="s">
        <v>709</v>
      </c>
      <c r="E740" s="142">
        <v>0.71979999999999988</v>
      </c>
      <c r="F740" s="4" t="s">
        <v>2752</v>
      </c>
      <c r="G740" s="4" t="s">
        <v>2752</v>
      </c>
      <c r="H740" s="4" t="str">
        <f t="shared" si="14"/>
        <v>No</v>
      </c>
      <c r="I740" s="56"/>
    </row>
    <row r="741" spans="1:9">
      <c r="A741" s="97" t="s">
        <v>2352</v>
      </c>
      <c r="B741" s="97" t="s">
        <v>702</v>
      </c>
      <c r="C741" s="163">
        <v>2325</v>
      </c>
      <c r="D741" s="95" t="s">
        <v>706</v>
      </c>
      <c r="E741" s="142">
        <v>0.72346666666666659</v>
      </c>
      <c r="F741" s="4" t="s">
        <v>2752</v>
      </c>
      <c r="G741" s="4" t="s">
        <v>2752</v>
      </c>
      <c r="H741" s="4" t="str">
        <f t="shared" si="14"/>
        <v>No</v>
      </c>
      <c r="I741" s="56"/>
    </row>
    <row r="742" spans="1:9">
      <c r="A742" s="97" t="s">
        <v>2352</v>
      </c>
      <c r="B742" s="97" t="s">
        <v>702</v>
      </c>
      <c r="C742" s="163">
        <v>5371</v>
      </c>
      <c r="D742" s="95" t="s">
        <v>729</v>
      </c>
      <c r="E742" s="142">
        <v>0.15596666666666667</v>
      </c>
      <c r="F742" s="4" t="s">
        <v>3065</v>
      </c>
      <c r="G742" s="4" t="s">
        <v>3065</v>
      </c>
      <c r="H742" s="4" t="str">
        <f t="shared" si="14"/>
        <v>No</v>
      </c>
      <c r="I742" s="56"/>
    </row>
    <row r="743" spans="1:9">
      <c r="A743" s="97" t="s">
        <v>2352</v>
      </c>
      <c r="B743" s="97" t="s">
        <v>702</v>
      </c>
      <c r="C743" s="163">
        <v>5370</v>
      </c>
      <c r="D743" s="95" t="s">
        <v>728</v>
      </c>
      <c r="E743" s="142">
        <v>0.36113333333333331</v>
      </c>
      <c r="F743" s="4" t="s">
        <v>3065</v>
      </c>
      <c r="G743" s="4" t="s">
        <v>3065</v>
      </c>
      <c r="H743" s="4" t="str">
        <f t="shared" si="14"/>
        <v>No</v>
      </c>
      <c r="I743" s="56"/>
    </row>
    <row r="744" spans="1:9">
      <c r="A744" s="97" t="s">
        <v>2352</v>
      </c>
      <c r="B744" s="97" t="s">
        <v>702</v>
      </c>
      <c r="C744" s="163">
        <v>5622</v>
      </c>
      <c r="D744" s="95" t="s">
        <v>3016</v>
      </c>
      <c r="E744" s="142">
        <v>0.89529999999999998</v>
      </c>
      <c r="F744" s="4" t="s">
        <v>2752</v>
      </c>
      <c r="G744" s="4" t="s">
        <v>3065</v>
      </c>
      <c r="H744" s="4" t="str">
        <f t="shared" si="14"/>
        <v>No</v>
      </c>
      <c r="I744" s="56"/>
    </row>
    <row r="745" spans="1:9">
      <c r="A745" s="97" t="s">
        <v>2352</v>
      </c>
      <c r="B745" s="97" t="s">
        <v>702</v>
      </c>
      <c r="C745" s="163">
        <v>3165</v>
      </c>
      <c r="D745" s="95" t="s">
        <v>720</v>
      </c>
      <c r="E745" s="142">
        <v>0.77776666666666661</v>
      </c>
      <c r="F745" s="4" t="s">
        <v>2752</v>
      </c>
      <c r="G745" s="4" t="s">
        <v>2752</v>
      </c>
      <c r="H745" s="4" t="str">
        <f t="shared" si="14"/>
        <v>No</v>
      </c>
      <c r="I745" s="56"/>
    </row>
    <row r="746" spans="1:9">
      <c r="A746" s="97" t="s">
        <v>2352</v>
      </c>
      <c r="B746" s="97" t="s">
        <v>702</v>
      </c>
      <c r="C746" s="163">
        <v>3278</v>
      </c>
      <c r="D746" s="95" t="s">
        <v>721</v>
      </c>
      <c r="E746" s="142">
        <v>0.79483333333333339</v>
      </c>
      <c r="F746" s="4" t="s">
        <v>2752</v>
      </c>
      <c r="G746" s="4" t="s">
        <v>2752</v>
      </c>
      <c r="H746" s="4" t="str">
        <f t="shared" si="14"/>
        <v>No</v>
      </c>
      <c r="I746" s="56"/>
    </row>
    <row r="747" spans="1:9">
      <c r="A747" s="97" t="s">
        <v>2352</v>
      </c>
      <c r="B747" s="97" t="s">
        <v>702</v>
      </c>
      <c r="C747" s="163">
        <v>5672</v>
      </c>
      <c r="D747" s="95" t="s">
        <v>3017</v>
      </c>
      <c r="E747" s="142">
        <v>0.2571</v>
      </c>
      <c r="F747" s="4" t="s">
        <v>3065</v>
      </c>
      <c r="G747" s="4" t="s">
        <v>3065</v>
      </c>
      <c r="H747" s="4" t="str">
        <f t="shared" si="14"/>
        <v>No</v>
      </c>
      <c r="I747" s="56"/>
    </row>
    <row r="748" spans="1:9">
      <c r="A748" s="97" t="s">
        <v>2352</v>
      </c>
      <c r="B748" s="97" t="s">
        <v>702</v>
      </c>
      <c r="C748" s="163">
        <v>3097</v>
      </c>
      <c r="D748" s="95" t="s">
        <v>719</v>
      </c>
      <c r="E748" s="142">
        <v>0.36943333333333334</v>
      </c>
      <c r="F748" s="4" t="s">
        <v>3065</v>
      </c>
      <c r="G748" s="4" t="s">
        <v>3065</v>
      </c>
      <c r="H748" s="4" t="str">
        <f t="shared" si="14"/>
        <v>No</v>
      </c>
      <c r="I748" s="56"/>
    </row>
    <row r="749" spans="1:9">
      <c r="A749" s="97" t="s">
        <v>2352</v>
      </c>
      <c r="B749" s="97" t="s">
        <v>702</v>
      </c>
      <c r="C749" s="163">
        <v>2734</v>
      </c>
      <c r="D749" s="95" t="s">
        <v>710</v>
      </c>
      <c r="E749" s="142">
        <v>0.78333333333333333</v>
      </c>
      <c r="F749" s="4" t="s">
        <v>2752</v>
      </c>
      <c r="G749" s="4" t="s">
        <v>2752</v>
      </c>
      <c r="H749" s="4" t="str">
        <f t="shared" si="14"/>
        <v>No</v>
      </c>
      <c r="I749" s="56"/>
    </row>
    <row r="750" spans="1:9">
      <c r="A750" s="97" t="s">
        <v>2352</v>
      </c>
      <c r="B750" s="97" t="s">
        <v>702</v>
      </c>
      <c r="C750" s="163">
        <v>2984</v>
      </c>
      <c r="D750" s="95" t="s">
        <v>440</v>
      </c>
      <c r="E750" s="142">
        <v>0.82073333333333343</v>
      </c>
      <c r="F750" s="4" t="s">
        <v>2752</v>
      </c>
      <c r="G750" s="4" t="s">
        <v>2752</v>
      </c>
      <c r="H750" s="4" t="str">
        <f t="shared" si="14"/>
        <v>No</v>
      </c>
      <c r="I750" s="56"/>
    </row>
    <row r="751" spans="1:9">
      <c r="A751" s="97" t="s">
        <v>2352</v>
      </c>
      <c r="B751" s="97" t="s">
        <v>702</v>
      </c>
      <c r="C751" s="163">
        <v>3279</v>
      </c>
      <c r="D751" s="95" t="s">
        <v>722</v>
      </c>
      <c r="E751" s="142">
        <v>0.59030000000000005</v>
      </c>
      <c r="F751" s="4" t="s">
        <v>2752</v>
      </c>
      <c r="G751" s="4" t="s">
        <v>2752</v>
      </c>
      <c r="H751" s="4" t="str">
        <f t="shared" si="14"/>
        <v>No</v>
      </c>
      <c r="I751" s="56"/>
    </row>
    <row r="752" spans="1:9">
      <c r="A752" s="97" t="s">
        <v>2352</v>
      </c>
      <c r="B752" s="97" t="s">
        <v>702</v>
      </c>
      <c r="C752" s="163">
        <v>2144</v>
      </c>
      <c r="D752" s="95" t="s">
        <v>705</v>
      </c>
      <c r="E752" s="142">
        <v>0.76013333333333344</v>
      </c>
      <c r="F752" s="4" t="s">
        <v>2752</v>
      </c>
      <c r="G752" s="4" t="s">
        <v>2752</v>
      </c>
      <c r="H752" s="4" t="str">
        <f t="shared" si="14"/>
        <v>No</v>
      </c>
      <c r="I752" s="56"/>
    </row>
    <row r="753" spans="1:9">
      <c r="A753" s="97" t="s">
        <v>2352</v>
      </c>
      <c r="B753" s="97" t="s">
        <v>702</v>
      </c>
      <c r="C753" s="163">
        <v>1972</v>
      </c>
      <c r="D753" s="95" t="s">
        <v>704</v>
      </c>
      <c r="E753" s="142">
        <v>0.78776666666666673</v>
      </c>
      <c r="F753" s="4" t="s">
        <v>2752</v>
      </c>
      <c r="G753" s="4" t="s">
        <v>2752</v>
      </c>
      <c r="H753" s="4" t="str">
        <f t="shared" si="14"/>
        <v>No</v>
      </c>
      <c r="I753" s="56"/>
    </row>
    <row r="754" spans="1:9">
      <c r="A754" s="97" t="s">
        <v>2352</v>
      </c>
      <c r="B754" s="97" t="s">
        <v>702</v>
      </c>
      <c r="C754" s="163">
        <v>2983</v>
      </c>
      <c r="D754" s="95" t="s">
        <v>717</v>
      </c>
      <c r="E754" s="142">
        <v>0.38923333333333332</v>
      </c>
      <c r="F754" s="4" t="s">
        <v>3065</v>
      </c>
      <c r="G754" s="4" t="s">
        <v>3065</v>
      </c>
      <c r="H754" s="4" t="str">
        <f t="shared" si="14"/>
        <v>No</v>
      </c>
      <c r="I754" s="56"/>
    </row>
    <row r="755" spans="1:9">
      <c r="A755" s="97" t="s">
        <v>2352</v>
      </c>
      <c r="B755" s="97" t="s">
        <v>702</v>
      </c>
      <c r="C755" s="163">
        <v>3333</v>
      </c>
      <c r="D755" s="95" t="s">
        <v>241</v>
      </c>
      <c r="E755" s="142">
        <v>0.74923333333333331</v>
      </c>
      <c r="F755" s="4" t="s">
        <v>2752</v>
      </c>
      <c r="G755" s="4" t="s">
        <v>2752</v>
      </c>
      <c r="H755" s="4" t="str">
        <f t="shared" si="14"/>
        <v>No</v>
      </c>
      <c r="I755" s="56"/>
    </row>
    <row r="756" spans="1:9">
      <c r="A756" s="97" t="s">
        <v>2352</v>
      </c>
      <c r="B756" s="97" t="s">
        <v>702</v>
      </c>
      <c r="C756" s="163">
        <v>3335</v>
      </c>
      <c r="D756" s="95" t="s">
        <v>723</v>
      </c>
      <c r="E756" s="142">
        <v>0.74656666666666671</v>
      </c>
      <c r="F756" s="4" t="s">
        <v>2752</v>
      </c>
      <c r="G756" s="4" t="s">
        <v>2752</v>
      </c>
      <c r="H756" s="4" t="str">
        <f t="shared" si="14"/>
        <v>No</v>
      </c>
      <c r="I756" s="56"/>
    </row>
    <row r="757" spans="1:9">
      <c r="A757" s="97" t="s">
        <v>2352</v>
      </c>
      <c r="B757" s="97" t="s">
        <v>702</v>
      </c>
      <c r="C757" s="163">
        <v>5172</v>
      </c>
      <c r="D757" s="95" t="s">
        <v>727</v>
      </c>
      <c r="E757" s="142">
        <v>0.69426666666666659</v>
      </c>
      <c r="F757" s="4" t="s">
        <v>2752</v>
      </c>
      <c r="G757" s="4" t="s">
        <v>2752</v>
      </c>
      <c r="H757" s="4" t="str">
        <f t="shared" si="14"/>
        <v>No</v>
      </c>
      <c r="I757" s="56"/>
    </row>
    <row r="758" spans="1:9">
      <c r="A758" s="56" t="s">
        <v>2352</v>
      </c>
      <c r="B758" s="97" t="s">
        <v>702</v>
      </c>
      <c r="C758" s="163">
        <v>2270</v>
      </c>
      <c r="D758" s="56" t="s">
        <v>2780</v>
      </c>
      <c r="E758" s="142">
        <v>0.24923333333333333</v>
      </c>
      <c r="F758" s="4" t="s">
        <v>3065</v>
      </c>
      <c r="G758" s="4" t="s">
        <v>3065</v>
      </c>
      <c r="H758" s="4" t="str">
        <f t="shared" si="14"/>
        <v>No</v>
      </c>
      <c r="I758" s="56"/>
    </row>
    <row r="759" spans="1:9">
      <c r="A759" s="97" t="s">
        <v>2352</v>
      </c>
      <c r="B759" s="97" t="s">
        <v>702</v>
      </c>
      <c r="C759" s="163">
        <v>3553</v>
      </c>
      <c r="D759" s="95" t="s">
        <v>725</v>
      </c>
      <c r="E759" s="142">
        <v>0.29199999999999998</v>
      </c>
      <c r="F759" s="4" t="s">
        <v>3065</v>
      </c>
      <c r="G759" s="4" t="s">
        <v>3065</v>
      </c>
      <c r="H759" s="4" t="str">
        <f t="shared" si="14"/>
        <v>No</v>
      </c>
      <c r="I759" s="56"/>
    </row>
    <row r="760" spans="1:9">
      <c r="A760" s="97" t="s">
        <v>2352</v>
      </c>
      <c r="B760" s="97" t="s">
        <v>702</v>
      </c>
      <c r="C760" s="163">
        <v>3382</v>
      </c>
      <c r="D760" s="95" t="s">
        <v>724</v>
      </c>
      <c r="E760" s="142">
        <v>0.70739999999999992</v>
      </c>
      <c r="F760" s="4" t="s">
        <v>2752</v>
      </c>
      <c r="G760" s="4" t="s">
        <v>2752</v>
      </c>
      <c r="H760" s="4" t="str">
        <f t="shared" si="14"/>
        <v>No</v>
      </c>
      <c r="I760" s="56"/>
    </row>
    <row r="761" spans="1:9">
      <c r="A761" s="97" t="s">
        <v>2352</v>
      </c>
      <c r="B761" s="97" t="s">
        <v>702</v>
      </c>
      <c r="C761" s="163">
        <v>2842</v>
      </c>
      <c r="D761" s="95" t="s">
        <v>712</v>
      </c>
      <c r="E761" s="142">
        <v>0.56576666666666664</v>
      </c>
      <c r="F761" s="4" t="s">
        <v>2752</v>
      </c>
      <c r="G761" s="4" t="s">
        <v>2752</v>
      </c>
      <c r="H761" s="4" t="str">
        <f t="shared" si="14"/>
        <v>No</v>
      </c>
      <c r="I761" s="56"/>
    </row>
    <row r="762" spans="1:9">
      <c r="A762" s="97" t="s">
        <v>2352</v>
      </c>
      <c r="B762" s="97" t="s">
        <v>702</v>
      </c>
      <c r="C762" s="163">
        <v>3032</v>
      </c>
      <c r="D762" s="95" t="s">
        <v>718</v>
      </c>
      <c r="E762" s="142">
        <v>0.71683333333333332</v>
      </c>
      <c r="F762" s="4" t="s">
        <v>2752</v>
      </c>
      <c r="G762" s="4" t="s">
        <v>2752</v>
      </c>
      <c r="H762" s="4" t="str">
        <f t="shared" si="14"/>
        <v>No</v>
      </c>
      <c r="I762" s="56"/>
    </row>
    <row r="763" spans="1:9">
      <c r="A763" s="97" t="s">
        <v>2352</v>
      </c>
      <c r="B763" s="97" t="s">
        <v>702</v>
      </c>
      <c r="C763" s="163">
        <v>2927</v>
      </c>
      <c r="D763" s="95" t="s">
        <v>715</v>
      </c>
      <c r="E763" s="142">
        <v>0.47900000000000004</v>
      </c>
      <c r="F763" s="4" t="s">
        <v>3065</v>
      </c>
      <c r="G763" s="4" t="s">
        <v>2752</v>
      </c>
      <c r="H763" s="4" t="str">
        <f t="shared" si="14"/>
        <v>Yes</v>
      </c>
      <c r="I763" s="56"/>
    </row>
    <row r="764" spans="1:9">
      <c r="A764" s="97" t="s">
        <v>2352</v>
      </c>
      <c r="B764" s="97" t="s">
        <v>702</v>
      </c>
      <c r="C764" s="163">
        <v>3483</v>
      </c>
      <c r="D764" s="95" t="s">
        <v>2721</v>
      </c>
      <c r="E764" s="142">
        <v>0.81519999999999992</v>
      </c>
      <c r="F764" s="4" t="s">
        <v>2752</v>
      </c>
      <c r="G764" s="4" t="s">
        <v>2752</v>
      </c>
      <c r="H764" s="4" t="str">
        <f t="shared" si="14"/>
        <v>No</v>
      </c>
      <c r="I764" s="56"/>
    </row>
    <row r="765" spans="1:9">
      <c r="A765" s="97" t="s">
        <v>2352</v>
      </c>
      <c r="B765" s="97" t="s">
        <v>702</v>
      </c>
      <c r="C765" s="163">
        <v>2639</v>
      </c>
      <c r="D765" s="95" t="s">
        <v>708</v>
      </c>
      <c r="E765" s="142">
        <v>0.74590000000000012</v>
      </c>
      <c r="F765" s="4" t="s">
        <v>2752</v>
      </c>
      <c r="G765" s="4" t="s">
        <v>2752</v>
      </c>
      <c r="H765" s="4" t="str">
        <f t="shared" si="14"/>
        <v>No</v>
      </c>
      <c r="I765" s="56"/>
    </row>
    <row r="766" spans="1:9">
      <c r="A766" s="97" t="s">
        <v>2284</v>
      </c>
      <c r="B766" s="97" t="s">
        <v>202</v>
      </c>
      <c r="C766" s="163">
        <v>5311</v>
      </c>
      <c r="D766" s="95" t="s">
        <v>205</v>
      </c>
      <c r="E766" s="142">
        <v>0.19969999999999999</v>
      </c>
      <c r="F766" s="4" t="s">
        <v>3065</v>
      </c>
      <c r="G766" s="4" t="s">
        <v>3065</v>
      </c>
      <c r="H766" s="4" t="str">
        <f t="shared" si="14"/>
        <v>No</v>
      </c>
      <c r="I766" s="56"/>
    </row>
    <row r="767" spans="1:9">
      <c r="A767" s="97" t="s">
        <v>2284</v>
      </c>
      <c r="B767" s="97" t="s">
        <v>202</v>
      </c>
      <c r="C767" s="163">
        <v>4568</v>
      </c>
      <c r="D767" s="95" t="s">
        <v>204</v>
      </c>
      <c r="E767" s="142">
        <v>0.1671</v>
      </c>
      <c r="F767" s="4" t="s">
        <v>3065</v>
      </c>
      <c r="G767" s="4" t="s">
        <v>3065</v>
      </c>
      <c r="H767" s="4" t="str">
        <f t="shared" si="14"/>
        <v>No</v>
      </c>
      <c r="I767" s="56"/>
    </row>
    <row r="768" spans="1:9">
      <c r="A768" s="97" t="s">
        <v>2284</v>
      </c>
      <c r="B768" s="97" t="s">
        <v>202</v>
      </c>
      <c r="C768" s="163">
        <v>3319</v>
      </c>
      <c r="D768" s="95" t="s">
        <v>203</v>
      </c>
      <c r="E768" s="142">
        <v>0.18959999999999999</v>
      </c>
      <c r="F768" s="4" t="s">
        <v>3065</v>
      </c>
      <c r="G768" s="4" t="s">
        <v>3065</v>
      </c>
      <c r="H768" s="4" t="str">
        <f t="shared" si="14"/>
        <v>No</v>
      </c>
      <c r="I768" s="56"/>
    </row>
    <row r="769" spans="1:9">
      <c r="A769" s="97" t="s">
        <v>2420</v>
      </c>
      <c r="B769" s="97" t="s">
        <v>1224</v>
      </c>
      <c r="C769" s="163">
        <v>2310</v>
      </c>
      <c r="D769" s="95" t="s">
        <v>2782</v>
      </c>
      <c r="E769" s="142">
        <v>0.7567666666666667</v>
      </c>
      <c r="F769" s="4" t="s">
        <v>2752</v>
      </c>
      <c r="G769" s="4" t="s">
        <v>2752</v>
      </c>
      <c r="H769" s="4" t="str">
        <f t="shared" si="14"/>
        <v>No</v>
      </c>
      <c r="I769" s="56"/>
    </row>
    <row r="770" spans="1:9">
      <c r="A770" s="97" t="s">
        <v>2328</v>
      </c>
      <c r="B770" s="97" t="s">
        <v>474</v>
      </c>
      <c r="C770" s="163">
        <v>2972</v>
      </c>
      <c r="D770" s="95" t="s">
        <v>476</v>
      </c>
      <c r="E770" s="142">
        <v>0.77796666666666658</v>
      </c>
      <c r="F770" s="4" t="s">
        <v>2752</v>
      </c>
      <c r="G770" s="4" t="s">
        <v>2752</v>
      </c>
      <c r="H770" s="4" t="str">
        <f t="shared" si="14"/>
        <v>No</v>
      </c>
      <c r="I770" s="56"/>
    </row>
    <row r="771" spans="1:9">
      <c r="A771" s="97" t="s">
        <v>2328</v>
      </c>
      <c r="B771" s="97" t="s">
        <v>474</v>
      </c>
      <c r="C771" s="163">
        <v>2268</v>
      </c>
      <c r="D771" s="95" t="s">
        <v>375</v>
      </c>
      <c r="E771" s="142">
        <v>0.7697666666666666</v>
      </c>
      <c r="F771" s="4" t="s">
        <v>2752</v>
      </c>
      <c r="G771" s="4" t="s">
        <v>2752</v>
      </c>
      <c r="H771" s="4" t="str">
        <f t="shared" ref="H771:H834" si="15">IFERROR(IF(AND(G771="Yes",F771="No"),"Yes","No"),"No")</f>
        <v>No</v>
      </c>
      <c r="I771" s="56"/>
    </row>
    <row r="772" spans="1:9">
      <c r="A772" s="97" t="s">
        <v>2328</v>
      </c>
      <c r="B772" s="97" t="s">
        <v>474</v>
      </c>
      <c r="C772" s="163">
        <v>3622</v>
      </c>
      <c r="D772" s="95" t="s">
        <v>478</v>
      </c>
      <c r="E772" s="142">
        <v>0.67003333333333337</v>
      </c>
      <c r="F772" s="4" t="s">
        <v>2752</v>
      </c>
      <c r="G772" s="4" t="s">
        <v>2752</v>
      </c>
      <c r="H772" s="4" t="str">
        <f t="shared" si="15"/>
        <v>No</v>
      </c>
      <c r="I772" s="56"/>
    </row>
    <row r="773" spans="1:9">
      <c r="A773" s="97" t="s">
        <v>2328</v>
      </c>
      <c r="B773" s="97" t="s">
        <v>474</v>
      </c>
      <c r="C773" s="163">
        <v>5191</v>
      </c>
      <c r="D773" s="95" t="s">
        <v>479</v>
      </c>
      <c r="E773" s="142">
        <v>0.67903333333333338</v>
      </c>
      <c r="F773" s="4" t="s">
        <v>2752</v>
      </c>
      <c r="G773" s="4" t="s">
        <v>2752</v>
      </c>
      <c r="H773" s="4" t="str">
        <f t="shared" si="15"/>
        <v>No</v>
      </c>
      <c r="I773" s="56"/>
    </row>
    <row r="774" spans="1:9">
      <c r="A774" s="97" t="s">
        <v>2328</v>
      </c>
      <c r="B774" s="97" t="s">
        <v>474</v>
      </c>
      <c r="C774" s="163">
        <v>2391</v>
      </c>
      <c r="D774" s="95" t="s">
        <v>475</v>
      </c>
      <c r="E774" s="142">
        <v>0.74853333333333338</v>
      </c>
      <c r="F774" s="4" t="s">
        <v>2752</v>
      </c>
      <c r="G774" s="4" t="s">
        <v>2752</v>
      </c>
      <c r="H774" s="4" t="str">
        <f t="shared" si="15"/>
        <v>No</v>
      </c>
      <c r="I774" s="56"/>
    </row>
    <row r="775" spans="1:9">
      <c r="A775" s="97" t="s">
        <v>2328</v>
      </c>
      <c r="B775" s="97" t="s">
        <v>474</v>
      </c>
      <c r="C775" s="163">
        <v>3621</v>
      </c>
      <c r="D775" s="95" t="s">
        <v>477</v>
      </c>
      <c r="E775" s="142">
        <v>0.77596666666666669</v>
      </c>
      <c r="F775" s="4" t="s">
        <v>2752</v>
      </c>
      <c r="G775" s="4" t="s">
        <v>2752</v>
      </c>
      <c r="H775" s="4" t="str">
        <f t="shared" si="15"/>
        <v>No</v>
      </c>
      <c r="I775" s="56"/>
    </row>
    <row r="776" spans="1:9">
      <c r="A776" s="97" t="s">
        <v>2953</v>
      </c>
      <c r="B776" s="97" t="s">
        <v>3058</v>
      </c>
      <c r="C776" s="163">
        <v>5661</v>
      </c>
      <c r="D776" s="95" t="s">
        <v>3018</v>
      </c>
      <c r="E776" s="142">
        <v>0.54679999999999995</v>
      </c>
      <c r="F776" s="4" t="s">
        <v>2752</v>
      </c>
      <c r="G776" s="4" t="s">
        <v>3065</v>
      </c>
      <c r="H776" s="4" t="str">
        <f t="shared" si="15"/>
        <v>No</v>
      </c>
      <c r="I776" s="56"/>
    </row>
    <row r="777" spans="1:9">
      <c r="A777" s="97" t="s">
        <v>2708</v>
      </c>
      <c r="B777" s="97" t="s">
        <v>2885</v>
      </c>
      <c r="C777" s="163">
        <v>5517</v>
      </c>
      <c r="D777" s="95" t="s">
        <v>2885</v>
      </c>
      <c r="E777" s="142">
        <v>0.62596666666666667</v>
      </c>
      <c r="F777" s="4" t="s">
        <v>2752</v>
      </c>
      <c r="G777" s="4" t="s">
        <v>2752</v>
      </c>
      <c r="H777" s="4" t="str">
        <f t="shared" si="15"/>
        <v>No</v>
      </c>
      <c r="I777" s="56"/>
    </row>
    <row r="778" spans="1:9">
      <c r="A778" s="97" t="s">
        <v>2853</v>
      </c>
      <c r="B778" s="97" t="s">
        <v>2886</v>
      </c>
      <c r="C778" s="163">
        <v>5608</v>
      </c>
      <c r="D778" s="95" t="s">
        <v>2886</v>
      </c>
      <c r="E778" s="142">
        <v>0.49814999999999998</v>
      </c>
      <c r="F778" s="4" t="s">
        <v>3065</v>
      </c>
      <c r="G778" s="4" t="s">
        <v>3065</v>
      </c>
      <c r="H778" s="4" t="str">
        <f t="shared" si="15"/>
        <v>No</v>
      </c>
      <c r="I778" s="56"/>
    </row>
    <row r="779" spans="1:9">
      <c r="A779" s="97" t="s">
        <v>2310</v>
      </c>
      <c r="B779" s="97" t="s">
        <v>363</v>
      </c>
      <c r="C779" s="163">
        <v>4215</v>
      </c>
      <c r="D779" s="95" t="s">
        <v>366</v>
      </c>
      <c r="E779" s="142">
        <v>0.71910000000000007</v>
      </c>
      <c r="F779" s="4" t="s">
        <v>2752</v>
      </c>
      <c r="G779" s="4" t="s">
        <v>2752</v>
      </c>
      <c r="H779" s="4" t="str">
        <f t="shared" si="15"/>
        <v>No</v>
      </c>
      <c r="I779" s="56"/>
    </row>
    <row r="780" spans="1:9">
      <c r="A780" s="97" t="s">
        <v>2310</v>
      </c>
      <c r="B780" s="97" t="s">
        <v>363</v>
      </c>
      <c r="C780" s="163">
        <v>2603</v>
      </c>
      <c r="D780" s="95" t="s">
        <v>364</v>
      </c>
      <c r="E780" s="142">
        <v>0.66033333333333333</v>
      </c>
      <c r="F780" s="4" t="s">
        <v>2752</v>
      </c>
      <c r="G780" s="4" t="s">
        <v>2752</v>
      </c>
      <c r="H780" s="4" t="str">
        <f t="shared" si="15"/>
        <v>No</v>
      </c>
      <c r="I780" s="56"/>
    </row>
    <row r="781" spans="1:9">
      <c r="A781" s="97" t="s">
        <v>2310</v>
      </c>
      <c r="B781" s="97" t="s">
        <v>363</v>
      </c>
      <c r="C781" s="163">
        <v>4214</v>
      </c>
      <c r="D781" s="95" t="s">
        <v>365</v>
      </c>
      <c r="E781" s="142">
        <v>0.78216666666666679</v>
      </c>
      <c r="F781" s="4" t="s">
        <v>2752</v>
      </c>
      <c r="G781" s="4" t="s">
        <v>2752</v>
      </c>
      <c r="H781" s="4" t="str">
        <f t="shared" si="15"/>
        <v>No</v>
      </c>
      <c r="I781" s="56"/>
    </row>
    <row r="782" spans="1:9">
      <c r="A782" s="97" t="s">
        <v>2478</v>
      </c>
      <c r="B782" s="97" t="s">
        <v>1708</v>
      </c>
      <c r="C782" s="163">
        <v>2948</v>
      </c>
      <c r="D782" s="95" t="s">
        <v>1709</v>
      </c>
      <c r="E782" s="142">
        <v>0.41473333333333334</v>
      </c>
      <c r="F782" s="4" t="s">
        <v>3065</v>
      </c>
      <c r="G782" s="4" t="s">
        <v>3065</v>
      </c>
      <c r="H782" s="4" t="str">
        <f t="shared" si="15"/>
        <v>No</v>
      </c>
      <c r="I782" s="56"/>
    </row>
    <row r="783" spans="1:9">
      <c r="A783" s="97" t="s">
        <v>2362</v>
      </c>
      <c r="B783" s="97" t="s">
        <v>846</v>
      </c>
      <c r="C783" s="163">
        <v>3746</v>
      </c>
      <c r="D783" s="95" t="s">
        <v>857</v>
      </c>
      <c r="E783" s="142">
        <v>0.13799999999999998</v>
      </c>
      <c r="F783" s="4" t="s">
        <v>3065</v>
      </c>
      <c r="G783" s="4" t="s">
        <v>3065</v>
      </c>
      <c r="H783" s="4" t="str">
        <f t="shared" si="15"/>
        <v>No</v>
      </c>
      <c r="I783" s="56"/>
    </row>
    <row r="784" spans="1:9">
      <c r="A784" s="97" t="s">
        <v>2362</v>
      </c>
      <c r="B784" s="97" t="s">
        <v>846</v>
      </c>
      <c r="C784" s="163">
        <v>4460</v>
      </c>
      <c r="D784" s="95" t="s">
        <v>863</v>
      </c>
      <c r="E784" s="142">
        <v>5.8933333333333338E-2</v>
      </c>
      <c r="F784" s="4" t="s">
        <v>3065</v>
      </c>
      <c r="G784" s="4" t="s">
        <v>3065</v>
      </c>
      <c r="H784" s="4" t="str">
        <f t="shared" si="15"/>
        <v>No</v>
      </c>
      <c r="I784" s="56"/>
    </row>
    <row r="785" spans="1:9">
      <c r="A785" s="97" t="s">
        <v>2362</v>
      </c>
      <c r="B785" s="97" t="s">
        <v>846</v>
      </c>
      <c r="C785" s="163">
        <v>3440</v>
      </c>
      <c r="D785" s="95" t="s">
        <v>853</v>
      </c>
      <c r="E785" s="142">
        <v>0.1176</v>
      </c>
      <c r="F785" s="4" t="s">
        <v>3065</v>
      </c>
      <c r="G785" s="4" t="s">
        <v>3065</v>
      </c>
      <c r="H785" s="4" t="str">
        <f t="shared" si="15"/>
        <v>No</v>
      </c>
      <c r="I785" s="56"/>
    </row>
    <row r="786" spans="1:9">
      <c r="A786" s="97" t="s">
        <v>2362</v>
      </c>
      <c r="B786" s="97" t="s">
        <v>846</v>
      </c>
      <c r="C786" s="163">
        <v>4565</v>
      </c>
      <c r="D786" s="95" t="s">
        <v>865</v>
      </c>
      <c r="E786" s="142">
        <v>1.0433333333333334E-2</v>
      </c>
      <c r="F786" s="4" t="s">
        <v>3065</v>
      </c>
      <c r="G786" s="4" t="s">
        <v>3065</v>
      </c>
      <c r="H786" s="4" t="str">
        <f t="shared" si="15"/>
        <v>No</v>
      </c>
      <c r="I786" s="56"/>
    </row>
    <row r="787" spans="1:9">
      <c r="A787" s="97" t="s">
        <v>2362</v>
      </c>
      <c r="B787" s="97" t="s">
        <v>846</v>
      </c>
      <c r="C787" s="163">
        <v>5673</v>
      </c>
      <c r="D787" s="95" t="s">
        <v>3019</v>
      </c>
      <c r="E787" s="142">
        <v>0.10340000000000001</v>
      </c>
      <c r="F787" s="4" t="s">
        <v>3065</v>
      </c>
      <c r="G787" s="4" t="s">
        <v>3065</v>
      </c>
      <c r="H787" s="4" t="str">
        <f t="shared" si="15"/>
        <v>No</v>
      </c>
      <c r="I787" s="56"/>
    </row>
    <row r="788" spans="1:9">
      <c r="A788" s="97" t="s">
        <v>2362</v>
      </c>
      <c r="B788" s="97" t="s">
        <v>846</v>
      </c>
      <c r="C788" s="163">
        <v>4300</v>
      </c>
      <c r="D788" s="95" t="s">
        <v>860</v>
      </c>
      <c r="E788" s="142">
        <v>8.7433333333333321E-2</v>
      </c>
      <c r="F788" s="4" t="s">
        <v>3065</v>
      </c>
      <c r="G788" s="4" t="s">
        <v>3065</v>
      </c>
      <c r="H788" s="4" t="str">
        <f t="shared" si="15"/>
        <v>No</v>
      </c>
      <c r="I788" s="56"/>
    </row>
    <row r="789" spans="1:9">
      <c r="A789" s="97" t="s">
        <v>2362</v>
      </c>
      <c r="B789" s="97" t="s">
        <v>846</v>
      </c>
      <c r="C789" s="163">
        <v>2738</v>
      </c>
      <c r="D789" s="95" t="s">
        <v>848</v>
      </c>
      <c r="E789" s="142">
        <v>0.20696666666666666</v>
      </c>
      <c r="F789" s="4" t="s">
        <v>3065</v>
      </c>
      <c r="G789" s="4" t="s">
        <v>3065</v>
      </c>
      <c r="H789" s="4" t="str">
        <f t="shared" si="15"/>
        <v>No</v>
      </c>
      <c r="I789" s="56"/>
    </row>
    <row r="790" spans="1:9">
      <c r="A790" s="97" t="s">
        <v>2362</v>
      </c>
      <c r="B790" s="97" t="s">
        <v>846</v>
      </c>
      <c r="C790" s="163">
        <v>5674</v>
      </c>
      <c r="D790" s="95" t="s">
        <v>3020</v>
      </c>
      <c r="E790" s="142">
        <v>9.0300000000000005E-2</v>
      </c>
      <c r="F790" s="4" t="s">
        <v>3065</v>
      </c>
      <c r="G790" s="4" t="s">
        <v>3065</v>
      </c>
      <c r="H790" s="4" t="str">
        <f t="shared" si="15"/>
        <v>No</v>
      </c>
      <c r="I790" s="56"/>
    </row>
    <row r="791" spans="1:9">
      <c r="A791" s="97" t="s">
        <v>2362</v>
      </c>
      <c r="B791" s="97" t="s">
        <v>846</v>
      </c>
      <c r="C791" s="163">
        <v>4375</v>
      </c>
      <c r="D791" s="95" t="s">
        <v>861</v>
      </c>
      <c r="E791" s="142">
        <v>4.413333333333333E-2</v>
      </c>
      <c r="F791" s="4" t="s">
        <v>3065</v>
      </c>
      <c r="G791" s="4" t="s">
        <v>3065</v>
      </c>
      <c r="H791" s="4" t="str">
        <f t="shared" si="15"/>
        <v>No</v>
      </c>
      <c r="I791" s="56"/>
    </row>
    <row r="792" spans="1:9">
      <c r="A792" s="97" t="s">
        <v>2362</v>
      </c>
      <c r="B792" s="97" t="s">
        <v>846</v>
      </c>
      <c r="C792" s="163">
        <v>5201</v>
      </c>
      <c r="D792" s="95" t="s">
        <v>869</v>
      </c>
      <c r="E792" s="142">
        <v>1.7766666666666667E-2</v>
      </c>
      <c r="F792" s="4" t="s">
        <v>3065</v>
      </c>
      <c r="G792" s="4" t="s">
        <v>3065</v>
      </c>
      <c r="H792" s="4" t="str">
        <f t="shared" si="15"/>
        <v>No</v>
      </c>
      <c r="I792" s="56"/>
    </row>
    <row r="793" spans="1:9">
      <c r="A793" s="97" t="s">
        <v>2362</v>
      </c>
      <c r="B793" s="97" t="s">
        <v>846</v>
      </c>
      <c r="C793" s="163">
        <v>4376</v>
      </c>
      <c r="D793" s="95" t="s">
        <v>862</v>
      </c>
      <c r="E793" s="142">
        <v>2.0799999999999999E-2</v>
      </c>
      <c r="F793" s="4" t="s">
        <v>3065</v>
      </c>
      <c r="G793" s="4" t="s">
        <v>3065</v>
      </c>
      <c r="H793" s="4" t="str">
        <f t="shared" si="15"/>
        <v>No</v>
      </c>
      <c r="I793" s="56"/>
    </row>
    <row r="794" spans="1:9">
      <c r="A794" s="97" t="s">
        <v>2362</v>
      </c>
      <c r="B794" s="97" t="s">
        <v>846</v>
      </c>
      <c r="C794" s="163">
        <v>4493</v>
      </c>
      <c r="D794" s="95" t="s">
        <v>253</v>
      </c>
      <c r="E794" s="142">
        <v>6.6366666666666671E-2</v>
      </c>
      <c r="F794" s="4" t="s">
        <v>3065</v>
      </c>
      <c r="G794" s="4" t="s">
        <v>3065</v>
      </c>
      <c r="H794" s="4" t="str">
        <f t="shared" si="15"/>
        <v>No</v>
      </c>
      <c r="I794" s="56"/>
    </row>
    <row r="795" spans="1:9">
      <c r="A795" s="97" t="s">
        <v>2362</v>
      </c>
      <c r="B795" s="97" t="s">
        <v>846</v>
      </c>
      <c r="C795" s="163">
        <v>5437</v>
      </c>
      <c r="D795" s="95" t="s">
        <v>870</v>
      </c>
      <c r="E795" s="142">
        <v>8.776666666666666E-2</v>
      </c>
      <c r="F795" s="4" t="s">
        <v>3065</v>
      </c>
      <c r="G795" s="4" t="s">
        <v>3065</v>
      </c>
      <c r="H795" s="4" t="str">
        <f t="shared" si="15"/>
        <v>No</v>
      </c>
      <c r="I795" s="56"/>
    </row>
    <row r="796" spans="1:9">
      <c r="A796" s="97" t="s">
        <v>2362</v>
      </c>
      <c r="B796" s="97" t="s">
        <v>846</v>
      </c>
      <c r="C796" s="163">
        <v>5056</v>
      </c>
      <c r="D796" s="95" t="s">
        <v>867</v>
      </c>
      <c r="E796" s="142">
        <v>5.6033333333333331E-2</v>
      </c>
      <c r="F796" s="4" t="s">
        <v>3065</v>
      </c>
      <c r="G796" s="4" t="s">
        <v>3065</v>
      </c>
      <c r="H796" s="4" t="str">
        <f t="shared" si="15"/>
        <v>No</v>
      </c>
      <c r="I796" s="56"/>
    </row>
    <row r="797" spans="1:9">
      <c r="A797" s="97" t="s">
        <v>2362</v>
      </c>
      <c r="B797" s="97" t="s">
        <v>846</v>
      </c>
      <c r="C797" s="163">
        <v>3385</v>
      </c>
      <c r="D797" s="95" t="s">
        <v>851</v>
      </c>
      <c r="E797" s="142">
        <v>9.3233333333333335E-2</v>
      </c>
      <c r="F797" s="4" t="s">
        <v>3065</v>
      </c>
      <c r="G797" s="4" t="s">
        <v>3065</v>
      </c>
      <c r="H797" s="4" t="str">
        <f t="shared" si="15"/>
        <v>No</v>
      </c>
      <c r="I797" s="56"/>
    </row>
    <row r="798" spans="1:9">
      <c r="A798" s="97" t="s">
        <v>2362</v>
      </c>
      <c r="B798" s="97" t="s">
        <v>846</v>
      </c>
      <c r="C798" s="163">
        <v>3038</v>
      </c>
      <c r="D798" s="95" t="s">
        <v>849</v>
      </c>
      <c r="E798" s="142">
        <v>0.16783333333333336</v>
      </c>
      <c r="F798" s="4" t="s">
        <v>3065</v>
      </c>
      <c r="G798" s="4" t="s">
        <v>3065</v>
      </c>
      <c r="H798" s="4" t="str">
        <f t="shared" si="15"/>
        <v>No</v>
      </c>
      <c r="I798" s="56"/>
    </row>
    <row r="799" spans="1:9">
      <c r="A799" s="97" t="s">
        <v>2362</v>
      </c>
      <c r="B799" s="97" t="s">
        <v>846</v>
      </c>
      <c r="C799" s="163">
        <v>1624</v>
      </c>
      <c r="D799" s="95" t="s">
        <v>847</v>
      </c>
      <c r="E799" s="142">
        <v>0.2024</v>
      </c>
      <c r="F799" s="4" t="s">
        <v>3065</v>
      </c>
      <c r="G799" s="4" t="s">
        <v>3065</v>
      </c>
      <c r="H799" s="4" t="str">
        <f t="shared" si="15"/>
        <v>No</v>
      </c>
      <c r="I799" s="56"/>
    </row>
    <row r="800" spans="1:9">
      <c r="A800" s="97" t="s">
        <v>2362</v>
      </c>
      <c r="B800" s="97" t="s">
        <v>846</v>
      </c>
      <c r="C800" s="163">
        <v>3673</v>
      </c>
      <c r="D800" s="95" t="s">
        <v>856</v>
      </c>
      <c r="E800" s="142">
        <v>0.21356666666666668</v>
      </c>
      <c r="F800" s="4" t="s">
        <v>3065</v>
      </c>
      <c r="G800" s="4" t="s">
        <v>3065</v>
      </c>
      <c r="H800" s="4" t="str">
        <f t="shared" si="15"/>
        <v>No</v>
      </c>
      <c r="I800" s="56"/>
    </row>
    <row r="801" spans="1:9">
      <c r="A801" s="97" t="s">
        <v>2362</v>
      </c>
      <c r="B801" s="97" t="s">
        <v>846</v>
      </c>
      <c r="C801" s="163">
        <v>3962</v>
      </c>
      <c r="D801" s="95" t="s">
        <v>859</v>
      </c>
      <c r="E801" s="142">
        <v>0.11823333333333334</v>
      </c>
      <c r="F801" s="4" t="s">
        <v>3065</v>
      </c>
      <c r="G801" s="4" t="s">
        <v>3065</v>
      </c>
      <c r="H801" s="4" t="str">
        <f t="shared" si="15"/>
        <v>No</v>
      </c>
      <c r="I801" s="56"/>
    </row>
    <row r="802" spans="1:9">
      <c r="A802" s="97" t="s">
        <v>2362</v>
      </c>
      <c r="B802" s="97" t="s">
        <v>846</v>
      </c>
      <c r="C802" s="163">
        <v>3637</v>
      </c>
      <c r="D802" s="95" t="s">
        <v>855</v>
      </c>
      <c r="E802" s="142">
        <v>0.10436666666666668</v>
      </c>
      <c r="F802" s="4" t="s">
        <v>3065</v>
      </c>
      <c r="G802" s="4" t="s">
        <v>3065</v>
      </c>
      <c r="H802" s="4" t="str">
        <f t="shared" si="15"/>
        <v>No</v>
      </c>
      <c r="I802" s="56"/>
    </row>
    <row r="803" spans="1:9">
      <c r="A803" s="97" t="s">
        <v>2362</v>
      </c>
      <c r="B803" s="97" t="s">
        <v>846</v>
      </c>
      <c r="C803" s="163">
        <v>3636</v>
      </c>
      <c r="D803" s="95" t="s">
        <v>854</v>
      </c>
      <c r="E803" s="142">
        <v>0.12586666666666665</v>
      </c>
      <c r="F803" s="4" t="s">
        <v>3065</v>
      </c>
      <c r="G803" s="4" t="s">
        <v>3065</v>
      </c>
      <c r="H803" s="4" t="str">
        <f t="shared" si="15"/>
        <v>No</v>
      </c>
      <c r="I803" s="56"/>
    </row>
    <row r="804" spans="1:9">
      <c r="A804" s="97" t="s">
        <v>2362</v>
      </c>
      <c r="B804" s="97" t="s">
        <v>846</v>
      </c>
      <c r="C804" s="163">
        <v>4592</v>
      </c>
      <c r="D804" s="95" t="s">
        <v>866</v>
      </c>
      <c r="E804" s="142">
        <v>8.7033333333333338E-2</v>
      </c>
      <c r="F804" s="4" t="s">
        <v>3065</v>
      </c>
      <c r="G804" s="4" t="s">
        <v>3065</v>
      </c>
      <c r="H804" s="4" t="str">
        <f t="shared" si="15"/>
        <v>No</v>
      </c>
      <c r="I804" s="56"/>
    </row>
    <row r="805" spans="1:9">
      <c r="A805" s="97" t="s">
        <v>2362</v>
      </c>
      <c r="B805" s="97" t="s">
        <v>846</v>
      </c>
      <c r="C805" s="163">
        <v>5200</v>
      </c>
      <c r="D805" s="95" t="s">
        <v>868</v>
      </c>
      <c r="E805" s="142">
        <v>6.536666666666667E-2</v>
      </c>
      <c r="F805" s="4" t="s">
        <v>3065</v>
      </c>
      <c r="G805" s="4" t="s">
        <v>3065</v>
      </c>
      <c r="H805" s="4" t="str">
        <f t="shared" si="15"/>
        <v>No</v>
      </c>
      <c r="I805" s="56"/>
    </row>
    <row r="806" spans="1:9">
      <c r="A806" s="97" t="s">
        <v>2362</v>
      </c>
      <c r="B806" s="97" t="s">
        <v>846</v>
      </c>
      <c r="C806" s="163">
        <v>3879</v>
      </c>
      <c r="D806" s="95" t="s">
        <v>858</v>
      </c>
      <c r="E806" s="142">
        <v>3.3133333333333327E-2</v>
      </c>
      <c r="F806" s="4" t="s">
        <v>3065</v>
      </c>
      <c r="G806" s="4" t="s">
        <v>3065</v>
      </c>
      <c r="H806" s="4" t="str">
        <f t="shared" si="15"/>
        <v>No</v>
      </c>
      <c r="I806" s="56"/>
    </row>
    <row r="807" spans="1:9">
      <c r="A807" s="97" t="s">
        <v>2362</v>
      </c>
      <c r="B807" s="97" t="s">
        <v>846</v>
      </c>
      <c r="C807" s="163">
        <v>4495</v>
      </c>
      <c r="D807" s="95" t="s">
        <v>864</v>
      </c>
      <c r="E807" s="142">
        <v>4.2466666666666673E-2</v>
      </c>
      <c r="F807" s="4" t="s">
        <v>3065</v>
      </c>
      <c r="G807" s="4" t="s">
        <v>3065</v>
      </c>
      <c r="H807" s="4" t="str">
        <f t="shared" si="15"/>
        <v>No</v>
      </c>
      <c r="I807" s="56"/>
    </row>
    <row r="808" spans="1:9">
      <c r="A808" s="97" t="s">
        <v>2362</v>
      </c>
      <c r="B808" s="97" t="s">
        <v>846</v>
      </c>
      <c r="C808" s="163">
        <v>3386</v>
      </c>
      <c r="D808" s="95" t="s">
        <v>852</v>
      </c>
      <c r="E808" s="142">
        <v>6.2199999999999998E-2</v>
      </c>
      <c r="F808" s="4" t="s">
        <v>3065</v>
      </c>
      <c r="G808" s="4" t="s">
        <v>3065</v>
      </c>
      <c r="H808" s="4" t="str">
        <f t="shared" si="15"/>
        <v>No</v>
      </c>
      <c r="I808" s="56"/>
    </row>
    <row r="809" spans="1:9">
      <c r="A809" s="97" t="s">
        <v>2362</v>
      </c>
      <c r="B809" s="97" t="s">
        <v>846</v>
      </c>
      <c r="C809" s="163">
        <v>3228</v>
      </c>
      <c r="D809" s="95" t="s">
        <v>850</v>
      </c>
      <c r="E809" s="142">
        <v>0.10713333333333334</v>
      </c>
      <c r="F809" s="4" t="s">
        <v>3065</v>
      </c>
      <c r="G809" s="4" t="s">
        <v>3065</v>
      </c>
      <c r="H809" s="4" t="str">
        <f t="shared" si="15"/>
        <v>No</v>
      </c>
      <c r="I809" s="56"/>
    </row>
    <row r="810" spans="1:9">
      <c r="A810" s="97" t="s">
        <v>2315</v>
      </c>
      <c r="B810" s="97" t="s">
        <v>403</v>
      </c>
      <c r="C810" s="163">
        <v>3214</v>
      </c>
      <c r="D810" s="95" t="s">
        <v>404</v>
      </c>
      <c r="E810" s="142">
        <v>0.44749999999999995</v>
      </c>
      <c r="F810" s="4" t="s">
        <v>2752</v>
      </c>
      <c r="G810" s="4" t="s">
        <v>2752</v>
      </c>
      <c r="H810" s="4" t="str">
        <f t="shared" si="15"/>
        <v>No</v>
      </c>
      <c r="I810" s="56"/>
    </row>
    <row r="811" spans="1:9">
      <c r="A811" s="97" t="s">
        <v>2298</v>
      </c>
      <c r="B811" s="97" t="s">
        <v>318</v>
      </c>
      <c r="C811" s="163">
        <v>2915</v>
      </c>
      <c r="D811" s="95" t="s">
        <v>319</v>
      </c>
      <c r="E811" s="142">
        <v>0.31583333333333335</v>
      </c>
      <c r="F811" s="4" t="s">
        <v>3065</v>
      </c>
      <c r="G811" s="4" t="s">
        <v>3065</v>
      </c>
      <c r="H811" s="4" t="str">
        <f t="shared" si="15"/>
        <v>No</v>
      </c>
      <c r="I811" s="56"/>
    </row>
    <row r="812" spans="1:9">
      <c r="A812" s="97" t="s">
        <v>2298</v>
      </c>
      <c r="B812" s="97" t="s">
        <v>318</v>
      </c>
      <c r="C812" s="163">
        <v>5545</v>
      </c>
      <c r="D812" s="95" t="s">
        <v>2802</v>
      </c>
      <c r="E812" s="142">
        <v>0.30456666666666671</v>
      </c>
      <c r="F812" s="4" t="s">
        <v>3065</v>
      </c>
      <c r="G812" s="4" t="s">
        <v>3065</v>
      </c>
      <c r="H812" s="4" t="str">
        <f t="shared" si="15"/>
        <v>No</v>
      </c>
      <c r="I812" s="56"/>
    </row>
    <row r="813" spans="1:9">
      <c r="A813" s="97" t="s">
        <v>2298</v>
      </c>
      <c r="B813" s="97" t="s">
        <v>318</v>
      </c>
      <c r="C813" s="163">
        <v>2561</v>
      </c>
      <c r="D813" s="95" t="s">
        <v>2783</v>
      </c>
      <c r="E813" s="142">
        <v>0.32526666666666665</v>
      </c>
      <c r="F813" s="4" t="s">
        <v>3065</v>
      </c>
      <c r="G813" s="4" t="s">
        <v>3065</v>
      </c>
      <c r="H813" s="4" t="str">
        <f t="shared" si="15"/>
        <v>No</v>
      </c>
      <c r="I813" s="56"/>
    </row>
    <row r="814" spans="1:9">
      <c r="A814" s="97" t="s">
        <v>2307</v>
      </c>
      <c r="B814" s="97" t="s">
        <v>358</v>
      </c>
      <c r="C814" s="163">
        <v>2602</v>
      </c>
      <c r="D814" s="95" t="s">
        <v>359</v>
      </c>
      <c r="E814" s="142">
        <v>0.8306</v>
      </c>
      <c r="F814" s="4" t="s">
        <v>2752</v>
      </c>
      <c r="G814" s="4" t="s">
        <v>2752</v>
      </c>
      <c r="H814" s="4" t="str">
        <f t="shared" si="15"/>
        <v>No</v>
      </c>
      <c r="I814" s="56"/>
    </row>
    <row r="815" spans="1:9">
      <c r="A815" s="97" t="s">
        <v>2300</v>
      </c>
      <c r="B815" s="97" t="s">
        <v>326</v>
      </c>
      <c r="C815" s="163">
        <v>3323</v>
      </c>
      <c r="D815" s="95" t="s">
        <v>335</v>
      </c>
      <c r="E815" s="142">
        <v>0.83293333333333341</v>
      </c>
      <c r="F815" s="4" t="s">
        <v>2752</v>
      </c>
      <c r="G815" s="4" t="s">
        <v>2752</v>
      </c>
      <c r="H815" s="4" t="str">
        <f t="shared" si="15"/>
        <v>No</v>
      </c>
      <c r="I815" s="56"/>
    </row>
    <row r="816" spans="1:9">
      <c r="A816" s="97" t="s">
        <v>2300</v>
      </c>
      <c r="B816" s="97" t="s">
        <v>326</v>
      </c>
      <c r="C816" s="163">
        <v>3082</v>
      </c>
      <c r="D816" s="95" t="s">
        <v>333</v>
      </c>
      <c r="E816" s="142">
        <v>0.54110000000000003</v>
      </c>
      <c r="F816" s="4" t="s">
        <v>2752</v>
      </c>
      <c r="G816" s="4" t="s">
        <v>2752</v>
      </c>
      <c r="H816" s="4" t="str">
        <f t="shared" si="15"/>
        <v>No</v>
      </c>
      <c r="I816" s="56"/>
    </row>
    <row r="817" spans="1:9">
      <c r="A817" s="97" t="s">
        <v>2300</v>
      </c>
      <c r="B817" s="97" t="s">
        <v>326</v>
      </c>
      <c r="C817" s="163">
        <v>2913</v>
      </c>
      <c r="D817" s="95" t="s">
        <v>331</v>
      </c>
      <c r="E817" s="142">
        <v>0.40329999999999999</v>
      </c>
      <c r="F817" s="4" t="s">
        <v>3065</v>
      </c>
      <c r="G817" s="4" t="s">
        <v>3065</v>
      </c>
      <c r="H817" s="4" t="str">
        <f t="shared" si="15"/>
        <v>No</v>
      </c>
      <c r="I817" s="56"/>
    </row>
    <row r="818" spans="1:9">
      <c r="A818" s="97" t="s">
        <v>2300</v>
      </c>
      <c r="B818" s="97" t="s">
        <v>326</v>
      </c>
      <c r="C818" s="163">
        <v>3322</v>
      </c>
      <c r="D818" s="95" t="s">
        <v>334</v>
      </c>
      <c r="E818" s="142">
        <v>0.59670000000000001</v>
      </c>
      <c r="F818" s="4" t="s">
        <v>2752</v>
      </c>
      <c r="G818" s="4" t="s">
        <v>2752</v>
      </c>
      <c r="H818" s="4" t="str">
        <f t="shared" si="15"/>
        <v>No</v>
      </c>
      <c r="I818" s="56"/>
    </row>
    <row r="819" spans="1:9">
      <c r="A819" s="97" t="s">
        <v>2300</v>
      </c>
      <c r="B819" s="97" t="s">
        <v>326</v>
      </c>
      <c r="C819" s="163">
        <v>2916</v>
      </c>
      <c r="D819" s="95" t="s">
        <v>332</v>
      </c>
      <c r="E819" s="142">
        <v>0.65</v>
      </c>
      <c r="F819" s="4" t="s">
        <v>2752</v>
      </c>
      <c r="G819" s="4" t="s">
        <v>2752</v>
      </c>
      <c r="H819" s="4" t="str">
        <f t="shared" si="15"/>
        <v>No</v>
      </c>
      <c r="I819" s="56"/>
    </row>
    <row r="820" spans="1:9">
      <c r="A820" s="97" t="s">
        <v>2300</v>
      </c>
      <c r="B820" s="97" t="s">
        <v>326</v>
      </c>
      <c r="C820" s="163">
        <v>5547</v>
      </c>
      <c r="D820" s="95" t="s">
        <v>2803</v>
      </c>
      <c r="E820" s="142">
        <v>0.82273333333333332</v>
      </c>
      <c r="F820" s="4" t="s">
        <v>2752</v>
      </c>
      <c r="G820" s="4" t="s">
        <v>2752</v>
      </c>
      <c r="H820" s="4" t="str">
        <f t="shared" si="15"/>
        <v>No</v>
      </c>
      <c r="I820" s="56"/>
    </row>
    <row r="821" spans="1:9">
      <c r="A821" s="97" t="s">
        <v>2300</v>
      </c>
      <c r="B821" s="97" t="s">
        <v>326</v>
      </c>
      <c r="C821" s="163">
        <v>2266</v>
      </c>
      <c r="D821" s="95" t="s">
        <v>328</v>
      </c>
      <c r="E821" s="142">
        <v>0.54786666666666672</v>
      </c>
      <c r="F821" s="4" t="s">
        <v>2752</v>
      </c>
      <c r="G821" s="4" t="s">
        <v>2752</v>
      </c>
      <c r="H821" s="4" t="str">
        <f t="shared" si="15"/>
        <v>No</v>
      </c>
      <c r="I821" s="56"/>
    </row>
    <row r="822" spans="1:9">
      <c r="A822" s="97" t="s">
        <v>2300</v>
      </c>
      <c r="B822" s="97" t="s">
        <v>326</v>
      </c>
      <c r="C822" s="163">
        <v>5194</v>
      </c>
      <c r="D822" s="95" t="s">
        <v>336</v>
      </c>
      <c r="E822" s="142">
        <v>0.54586666666666661</v>
      </c>
      <c r="F822" s="4" t="s">
        <v>2752</v>
      </c>
      <c r="G822" s="4" t="s">
        <v>2752</v>
      </c>
      <c r="H822" s="4" t="str">
        <f t="shared" si="15"/>
        <v>No</v>
      </c>
      <c r="I822" s="56"/>
    </row>
    <row r="823" spans="1:9">
      <c r="A823" s="97" t="s">
        <v>2300</v>
      </c>
      <c r="B823" s="97" t="s">
        <v>326</v>
      </c>
      <c r="C823" s="163">
        <v>5675</v>
      </c>
      <c r="D823" s="95" t="s">
        <v>3021</v>
      </c>
      <c r="E823" s="142">
        <v>0.60729999999999995</v>
      </c>
      <c r="F823" s="4" t="s">
        <v>2752</v>
      </c>
      <c r="G823" s="4" t="s">
        <v>3065</v>
      </c>
      <c r="H823" s="4" t="str">
        <f t="shared" si="15"/>
        <v>No</v>
      </c>
      <c r="I823" s="56"/>
    </row>
    <row r="824" spans="1:9">
      <c r="A824" s="97" t="s">
        <v>2300</v>
      </c>
      <c r="B824" s="97" t="s">
        <v>326</v>
      </c>
      <c r="C824" s="163">
        <v>1934</v>
      </c>
      <c r="D824" s="95" t="s">
        <v>327</v>
      </c>
      <c r="E824" s="142">
        <v>0.6629666666666667</v>
      </c>
      <c r="F824" s="4" t="s">
        <v>2752</v>
      </c>
      <c r="G824" s="4" t="s">
        <v>2752</v>
      </c>
      <c r="H824" s="4" t="str">
        <f t="shared" si="15"/>
        <v>No</v>
      </c>
      <c r="I824" s="56"/>
    </row>
    <row r="825" spans="1:9">
      <c r="A825" s="97" t="s">
        <v>2300</v>
      </c>
      <c r="B825" s="97" t="s">
        <v>326</v>
      </c>
      <c r="C825" s="163">
        <v>2596</v>
      </c>
      <c r="D825" s="95" t="s">
        <v>329</v>
      </c>
      <c r="E825" s="142">
        <v>0.33883333333333332</v>
      </c>
      <c r="F825" s="4" t="s">
        <v>3065</v>
      </c>
      <c r="G825" s="4" t="s">
        <v>3065</v>
      </c>
      <c r="H825" s="4" t="str">
        <f t="shared" si="15"/>
        <v>No</v>
      </c>
      <c r="I825" s="56"/>
    </row>
    <row r="826" spans="1:9">
      <c r="A826" s="97" t="s">
        <v>2300</v>
      </c>
      <c r="B826" s="97" t="s">
        <v>326</v>
      </c>
      <c r="C826" s="163">
        <v>5076</v>
      </c>
      <c r="D826" s="95" t="s">
        <v>137</v>
      </c>
      <c r="E826" s="142">
        <v>0</v>
      </c>
      <c r="F826" s="4" t="s">
        <v>3065</v>
      </c>
      <c r="G826" s="4" t="s">
        <v>3065</v>
      </c>
      <c r="H826" s="4" t="str">
        <f t="shared" si="15"/>
        <v>No</v>
      </c>
      <c r="I826" s="56"/>
    </row>
    <row r="827" spans="1:9">
      <c r="A827" s="97" t="s">
        <v>2300</v>
      </c>
      <c r="B827" s="97" t="s">
        <v>326</v>
      </c>
      <c r="C827" s="163">
        <v>2624</v>
      </c>
      <c r="D827" s="95" t="s">
        <v>330</v>
      </c>
      <c r="E827" s="142">
        <v>0.82493333333333341</v>
      </c>
      <c r="F827" s="4" t="s">
        <v>2752</v>
      </c>
      <c r="G827" s="4" t="s">
        <v>2752</v>
      </c>
      <c r="H827" s="4" t="str">
        <f t="shared" si="15"/>
        <v>No</v>
      </c>
      <c r="I827" s="56"/>
    </row>
    <row r="828" spans="1:9">
      <c r="A828" s="97" t="s">
        <v>2264</v>
      </c>
      <c r="B828" s="97" t="s">
        <v>33</v>
      </c>
      <c r="C828" s="163">
        <v>4418</v>
      </c>
      <c r="D828" s="95" t="s">
        <v>52</v>
      </c>
      <c r="E828" s="142">
        <v>0.9130666666666668</v>
      </c>
      <c r="F828" s="4" t="s">
        <v>2752</v>
      </c>
      <c r="G828" s="4" t="s">
        <v>2752</v>
      </c>
      <c r="H828" s="4" t="str">
        <f t="shared" si="15"/>
        <v>No</v>
      </c>
      <c r="I828" s="56"/>
    </row>
    <row r="829" spans="1:9">
      <c r="A829" s="97" t="s">
        <v>2264</v>
      </c>
      <c r="B829" s="97" t="s">
        <v>33</v>
      </c>
      <c r="C829" s="163">
        <v>5520</v>
      </c>
      <c r="D829" s="95" t="s">
        <v>2793</v>
      </c>
      <c r="E829" s="142">
        <v>0.23963333333333334</v>
      </c>
      <c r="F829" s="4" t="s">
        <v>3065</v>
      </c>
      <c r="G829" s="4" t="s">
        <v>3065</v>
      </c>
      <c r="H829" s="4" t="str">
        <f t="shared" si="15"/>
        <v>No</v>
      </c>
      <c r="I829" s="56"/>
    </row>
    <row r="830" spans="1:9">
      <c r="A830" s="97" t="s">
        <v>2264</v>
      </c>
      <c r="B830" s="97" t="s">
        <v>33</v>
      </c>
      <c r="C830" s="163">
        <v>4072</v>
      </c>
      <c r="D830" s="95" t="s">
        <v>47</v>
      </c>
      <c r="E830" s="142">
        <v>0.65056666666666674</v>
      </c>
      <c r="F830" s="4" t="s">
        <v>2752</v>
      </c>
      <c r="G830" s="4" t="s">
        <v>2752</v>
      </c>
      <c r="H830" s="4" t="str">
        <f t="shared" si="15"/>
        <v>No</v>
      </c>
      <c r="I830" s="56"/>
    </row>
    <row r="831" spans="1:9">
      <c r="A831" s="97" t="s">
        <v>2264</v>
      </c>
      <c r="B831" s="97" t="s">
        <v>33</v>
      </c>
      <c r="C831" s="163">
        <v>4202</v>
      </c>
      <c r="D831" s="95" t="s">
        <v>51</v>
      </c>
      <c r="E831" s="142">
        <v>0.56259999999999999</v>
      </c>
      <c r="F831" s="4" t="s">
        <v>2752</v>
      </c>
      <c r="G831" s="4" t="s">
        <v>2752</v>
      </c>
      <c r="H831" s="4" t="str">
        <f t="shared" si="15"/>
        <v>No</v>
      </c>
      <c r="I831" s="56"/>
    </row>
    <row r="832" spans="1:9">
      <c r="A832" s="97" t="s">
        <v>2264</v>
      </c>
      <c r="B832" s="97" t="s">
        <v>33</v>
      </c>
      <c r="C832" s="163">
        <v>5439</v>
      </c>
      <c r="D832" s="95" t="s">
        <v>59</v>
      </c>
      <c r="E832" s="142">
        <v>0.49416666666666664</v>
      </c>
      <c r="F832" s="4" t="s">
        <v>2752</v>
      </c>
      <c r="G832" s="4" t="s">
        <v>2752</v>
      </c>
      <c r="H832" s="4" t="str">
        <f t="shared" si="15"/>
        <v>No</v>
      </c>
      <c r="I832" s="56"/>
    </row>
    <row r="833" spans="1:9">
      <c r="A833" s="137" t="s">
        <v>2264</v>
      </c>
      <c r="B833" s="97" t="s">
        <v>33</v>
      </c>
      <c r="C833" s="164">
        <v>5220</v>
      </c>
      <c r="D833" s="56" t="s">
        <v>57</v>
      </c>
      <c r="E833" s="142">
        <v>0.16456666666666667</v>
      </c>
      <c r="F833" s="4" t="s">
        <v>3065</v>
      </c>
      <c r="G833" s="4" t="s">
        <v>3065</v>
      </c>
      <c r="H833" s="4" t="str">
        <f t="shared" si="15"/>
        <v>No</v>
      </c>
      <c r="I833" s="56"/>
    </row>
    <row r="834" spans="1:9">
      <c r="A834" s="97" t="s">
        <v>2264</v>
      </c>
      <c r="B834" s="97" t="s">
        <v>33</v>
      </c>
      <c r="C834" s="163">
        <v>4028</v>
      </c>
      <c r="D834" s="95" t="s">
        <v>46</v>
      </c>
      <c r="E834" s="142">
        <v>0.26256666666666667</v>
      </c>
      <c r="F834" s="4" t="s">
        <v>3065</v>
      </c>
      <c r="G834" s="4" t="s">
        <v>3065</v>
      </c>
      <c r="H834" s="4" t="str">
        <f t="shared" si="15"/>
        <v>No</v>
      </c>
      <c r="I834" s="56"/>
    </row>
    <row r="835" spans="1:9">
      <c r="A835" s="97" t="s">
        <v>2264</v>
      </c>
      <c r="B835" s="97" t="s">
        <v>33</v>
      </c>
      <c r="C835" s="163">
        <v>2824</v>
      </c>
      <c r="D835" s="95" t="s">
        <v>36</v>
      </c>
      <c r="E835" s="142">
        <v>0.84383333333333332</v>
      </c>
      <c r="F835" s="4" t="s">
        <v>2752</v>
      </c>
      <c r="G835" s="4" t="s">
        <v>2752</v>
      </c>
      <c r="H835" s="4" t="str">
        <f t="shared" ref="H835:H898" si="16">IFERROR(IF(AND(G835="Yes",F835="No"),"Yes","No"),"No")</f>
        <v>No</v>
      </c>
      <c r="I835" s="56"/>
    </row>
    <row r="836" spans="1:9">
      <c r="A836" s="97" t="s">
        <v>2264</v>
      </c>
      <c r="B836" s="97" t="s">
        <v>33</v>
      </c>
      <c r="C836" s="163">
        <v>3315</v>
      </c>
      <c r="D836" s="95" t="s">
        <v>42</v>
      </c>
      <c r="E836" s="142">
        <v>0.78166666666666673</v>
      </c>
      <c r="F836" s="4" t="s">
        <v>2752</v>
      </c>
      <c r="G836" s="4" t="s">
        <v>2752</v>
      </c>
      <c r="H836" s="4" t="str">
        <f t="shared" si="16"/>
        <v>No</v>
      </c>
      <c r="I836" s="56"/>
    </row>
    <row r="837" spans="1:9">
      <c r="A837" s="97" t="s">
        <v>2264</v>
      </c>
      <c r="B837" s="97" t="s">
        <v>33</v>
      </c>
      <c r="C837" s="163">
        <v>5521</v>
      </c>
      <c r="D837" s="95" t="s">
        <v>2794</v>
      </c>
      <c r="E837" s="142">
        <v>0.65303333333333347</v>
      </c>
      <c r="F837" s="4" t="s">
        <v>2752</v>
      </c>
      <c r="G837" s="4" t="s">
        <v>2752</v>
      </c>
      <c r="H837" s="4" t="str">
        <f t="shared" si="16"/>
        <v>No</v>
      </c>
      <c r="I837" s="56"/>
    </row>
    <row r="838" spans="1:9">
      <c r="A838" s="97" t="s">
        <v>2264</v>
      </c>
      <c r="B838" s="97" t="s">
        <v>33</v>
      </c>
      <c r="C838" s="163">
        <v>3077</v>
      </c>
      <c r="D838" s="95" t="s">
        <v>39</v>
      </c>
      <c r="E838" s="142">
        <v>0.75550000000000006</v>
      </c>
      <c r="F838" s="4" t="s">
        <v>2752</v>
      </c>
      <c r="G838" s="4" t="s">
        <v>2752</v>
      </c>
      <c r="H838" s="4" t="str">
        <f t="shared" si="16"/>
        <v>No</v>
      </c>
      <c r="I838" s="56"/>
    </row>
    <row r="839" spans="1:9">
      <c r="A839" s="97" t="s">
        <v>2264</v>
      </c>
      <c r="B839" s="97" t="s">
        <v>33</v>
      </c>
      <c r="C839" s="163">
        <v>3267</v>
      </c>
      <c r="D839" s="95" t="s">
        <v>41</v>
      </c>
      <c r="E839" s="142">
        <v>0.81176666666666675</v>
      </c>
      <c r="F839" s="4" t="s">
        <v>2752</v>
      </c>
      <c r="G839" s="4" t="s">
        <v>2752</v>
      </c>
      <c r="H839" s="4" t="str">
        <f t="shared" si="16"/>
        <v>No</v>
      </c>
      <c r="I839" s="56"/>
    </row>
    <row r="840" spans="1:9">
      <c r="A840" s="97" t="s">
        <v>2264</v>
      </c>
      <c r="B840" s="97" t="s">
        <v>33</v>
      </c>
      <c r="C840" s="163">
        <v>4429</v>
      </c>
      <c r="D840" s="95" t="s">
        <v>53</v>
      </c>
      <c r="E840" s="142">
        <v>0.58683333333333332</v>
      </c>
      <c r="F840" s="4" t="s">
        <v>2752</v>
      </c>
      <c r="G840" s="4" t="s">
        <v>2752</v>
      </c>
      <c r="H840" s="4" t="str">
        <f t="shared" si="16"/>
        <v>No</v>
      </c>
      <c r="I840" s="56"/>
    </row>
    <row r="841" spans="1:9">
      <c r="A841" s="97" t="s">
        <v>2264</v>
      </c>
      <c r="B841" s="97" t="s">
        <v>33</v>
      </c>
      <c r="C841" s="163">
        <v>3731</v>
      </c>
      <c r="D841" s="95" t="s">
        <v>45</v>
      </c>
      <c r="E841" s="142">
        <v>0.40773333333333328</v>
      </c>
      <c r="F841" s="4" t="s">
        <v>3065</v>
      </c>
      <c r="G841" s="4" t="s">
        <v>3065</v>
      </c>
      <c r="H841" s="4" t="str">
        <f t="shared" si="16"/>
        <v>No</v>
      </c>
      <c r="I841" s="56"/>
    </row>
    <row r="842" spans="1:9">
      <c r="A842" s="97" t="s">
        <v>2264</v>
      </c>
      <c r="B842" s="97" t="s">
        <v>33</v>
      </c>
      <c r="C842" s="163">
        <v>2826</v>
      </c>
      <c r="D842" s="95" t="s">
        <v>38</v>
      </c>
      <c r="E842" s="142">
        <v>0.68610000000000004</v>
      </c>
      <c r="F842" s="4" t="s">
        <v>2752</v>
      </c>
      <c r="G842" s="4" t="s">
        <v>2752</v>
      </c>
      <c r="H842" s="4" t="str">
        <f t="shared" si="16"/>
        <v>No</v>
      </c>
      <c r="I842" s="56"/>
    </row>
    <row r="843" spans="1:9">
      <c r="A843" s="97" t="s">
        <v>2264</v>
      </c>
      <c r="B843" s="97" t="s">
        <v>33</v>
      </c>
      <c r="C843" s="163">
        <v>1884</v>
      </c>
      <c r="D843" s="95" t="s">
        <v>34</v>
      </c>
      <c r="E843" s="142">
        <v>0.67106666666666681</v>
      </c>
      <c r="F843" s="4" t="s">
        <v>2752</v>
      </c>
      <c r="G843" s="4" t="s">
        <v>2752</v>
      </c>
      <c r="H843" s="4" t="str">
        <f t="shared" si="16"/>
        <v>No</v>
      </c>
      <c r="I843" s="56"/>
    </row>
    <row r="844" spans="1:9">
      <c r="A844" s="97" t="s">
        <v>2264</v>
      </c>
      <c r="B844" s="97" t="s">
        <v>33</v>
      </c>
      <c r="C844" s="163">
        <v>4181</v>
      </c>
      <c r="D844" s="95" t="s">
        <v>50</v>
      </c>
      <c r="E844" s="142">
        <v>0.58760000000000001</v>
      </c>
      <c r="F844" s="4" t="s">
        <v>2752</v>
      </c>
      <c r="G844" s="4" t="s">
        <v>2752</v>
      </c>
      <c r="H844" s="4" t="str">
        <f t="shared" si="16"/>
        <v>No</v>
      </c>
      <c r="I844" s="56"/>
    </row>
    <row r="845" spans="1:9">
      <c r="A845" s="97" t="s">
        <v>2264</v>
      </c>
      <c r="B845" s="97" t="s">
        <v>33</v>
      </c>
      <c r="C845" s="163">
        <v>1941</v>
      </c>
      <c r="D845" s="95" t="s">
        <v>35</v>
      </c>
      <c r="E845" s="142">
        <v>0.29803333333333332</v>
      </c>
      <c r="F845" s="4" t="s">
        <v>3065</v>
      </c>
      <c r="G845" s="4" t="s">
        <v>3065</v>
      </c>
      <c r="H845" s="4" t="str">
        <f t="shared" si="16"/>
        <v>No</v>
      </c>
      <c r="I845" s="56"/>
    </row>
    <row r="846" spans="1:9">
      <c r="A846" s="97" t="s">
        <v>2264</v>
      </c>
      <c r="B846" s="97" t="s">
        <v>33</v>
      </c>
      <c r="C846" s="163">
        <v>3472</v>
      </c>
      <c r="D846" s="95" t="s">
        <v>44</v>
      </c>
      <c r="E846" s="142">
        <v>0.88463333333333338</v>
      </c>
      <c r="F846" s="4" t="s">
        <v>2752</v>
      </c>
      <c r="G846" s="4" t="s">
        <v>2752</v>
      </c>
      <c r="H846" s="4" t="str">
        <f t="shared" si="16"/>
        <v>No</v>
      </c>
      <c r="I846" s="56"/>
    </row>
    <row r="847" spans="1:9">
      <c r="A847" s="97" t="s">
        <v>2264</v>
      </c>
      <c r="B847" s="97" t="s">
        <v>33</v>
      </c>
      <c r="C847" s="163">
        <v>5106</v>
      </c>
      <c r="D847" s="95" t="s">
        <v>56</v>
      </c>
      <c r="E847" s="142">
        <v>0.66766666666666652</v>
      </c>
      <c r="F847" s="4" t="s">
        <v>2752</v>
      </c>
      <c r="G847" s="4" t="s">
        <v>2752</v>
      </c>
      <c r="H847" s="4" t="str">
        <f t="shared" si="16"/>
        <v>No</v>
      </c>
      <c r="I847" s="56"/>
    </row>
    <row r="848" spans="1:9">
      <c r="A848" s="97" t="s">
        <v>2264</v>
      </c>
      <c r="B848" s="97" t="s">
        <v>33</v>
      </c>
      <c r="C848" s="163">
        <v>4446</v>
      </c>
      <c r="D848" s="95" t="s">
        <v>54</v>
      </c>
      <c r="E848" s="142">
        <v>0.32356666666666672</v>
      </c>
      <c r="F848" s="4" t="s">
        <v>3065</v>
      </c>
      <c r="G848" s="4" t="s">
        <v>3065</v>
      </c>
      <c r="H848" s="4" t="str">
        <f t="shared" si="16"/>
        <v>No</v>
      </c>
      <c r="I848" s="56"/>
    </row>
    <row r="849" spans="1:9">
      <c r="A849" s="97" t="s">
        <v>2264</v>
      </c>
      <c r="B849" s="97" t="s">
        <v>33</v>
      </c>
      <c r="C849" s="163">
        <v>5438</v>
      </c>
      <c r="D849" s="95" t="s">
        <v>58</v>
      </c>
      <c r="E849" s="142">
        <v>0.36509999999999998</v>
      </c>
      <c r="F849" s="4" t="s">
        <v>3065</v>
      </c>
      <c r="G849" s="4" t="s">
        <v>3065</v>
      </c>
      <c r="H849" s="4" t="str">
        <f t="shared" si="16"/>
        <v>No</v>
      </c>
      <c r="I849" s="56"/>
    </row>
    <row r="850" spans="1:9">
      <c r="A850" s="97" t="s">
        <v>2264</v>
      </c>
      <c r="B850" s="97" t="s">
        <v>33</v>
      </c>
      <c r="C850" s="163">
        <v>4073</v>
      </c>
      <c r="D850" s="95" t="s">
        <v>48</v>
      </c>
      <c r="E850" s="142">
        <v>0.62390000000000001</v>
      </c>
      <c r="F850" s="4" t="s">
        <v>2752</v>
      </c>
      <c r="G850" s="4" t="s">
        <v>2752</v>
      </c>
      <c r="H850" s="4" t="str">
        <f t="shared" si="16"/>
        <v>No</v>
      </c>
      <c r="I850" s="56"/>
    </row>
    <row r="851" spans="1:9">
      <c r="A851" s="97" t="s">
        <v>2264</v>
      </c>
      <c r="B851" s="97" t="s">
        <v>33</v>
      </c>
      <c r="C851" s="163">
        <v>4484</v>
      </c>
      <c r="D851" s="95" t="s">
        <v>55</v>
      </c>
      <c r="E851" s="142">
        <v>0.52736666666666665</v>
      </c>
      <c r="F851" s="4" t="s">
        <v>2752</v>
      </c>
      <c r="G851" s="4" t="s">
        <v>2752</v>
      </c>
      <c r="H851" s="4" t="str">
        <f t="shared" si="16"/>
        <v>No</v>
      </c>
      <c r="I851" s="56"/>
    </row>
    <row r="852" spans="1:9">
      <c r="A852" s="97" t="s">
        <v>2264</v>
      </c>
      <c r="B852" s="97" t="s">
        <v>33</v>
      </c>
      <c r="C852" s="163">
        <v>4136</v>
      </c>
      <c r="D852" s="95" t="s">
        <v>49</v>
      </c>
      <c r="E852" s="142">
        <v>0.53276666666666672</v>
      </c>
      <c r="F852" s="4" t="s">
        <v>2752</v>
      </c>
      <c r="G852" s="4" t="s">
        <v>2752</v>
      </c>
      <c r="H852" s="4" t="str">
        <f t="shared" si="16"/>
        <v>No</v>
      </c>
      <c r="I852" s="56"/>
    </row>
    <row r="853" spans="1:9">
      <c r="A853" s="97" t="s">
        <v>2264</v>
      </c>
      <c r="B853" s="97" t="s">
        <v>33</v>
      </c>
      <c r="C853" s="163">
        <v>4118</v>
      </c>
      <c r="D853" s="95" t="s">
        <v>2784</v>
      </c>
      <c r="E853" s="142">
        <v>0.23710000000000001</v>
      </c>
      <c r="F853" s="4" t="s">
        <v>3065</v>
      </c>
      <c r="G853" s="4" t="s">
        <v>3065</v>
      </c>
      <c r="H853" s="4" t="str">
        <f t="shared" si="16"/>
        <v>No</v>
      </c>
      <c r="I853" s="56"/>
    </row>
    <row r="854" spans="1:9">
      <c r="A854" s="97" t="s">
        <v>2264</v>
      </c>
      <c r="B854" s="97" t="s">
        <v>33</v>
      </c>
      <c r="C854" s="163">
        <v>3369</v>
      </c>
      <c r="D854" s="95" t="s">
        <v>43</v>
      </c>
      <c r="E854" s="142">
        <v>0.67996666666666661</v>
      </c>
      <c r="F854" s="4" t="s">
        <v>2752</v>
      </c>
      <c r="G854" s="4" t="s">
        <v>2752</v>
      </c>
      <c r="H854" s="4" t="str">
        <f t="shared" si="16"/>
        <v>No</v>
      </c>
      <c r="I854" s="56"/>
    </row>
    <row r="855" spans="1:9">
      <c r="A855" s="97" t="s">
        <v>2264</v>
      </c>
      <c r="B855" s="97" t="s">
        <v>33</v>
      </c>
      <c r="C855" s="163">
        <v>3144</v>
      </c>
      <c r="D855" s="95" t="s">
        <v>40</v>
      </c>
      <c r="E855" s="142">
        <v>0.72746666666666682</v>
      </c>
      <c r="F855" s="4" t="s">
        <v>2752</v>
      </c>
      <c r="G855" s="4" t="s">
        <v>2752</v>
      </c>
      <c r="H855" s="4" t="str">
        <f t="shared" si="16"/>
        <v>No</v>
      </c>
      <c r="I855" s="56"/>
    </row>
    <row r="856" spans="1:9">
      <c r="A856" s="97" t="s">
        <v>2264</v>
      </c>
      <c r="B856" s="97" t="s">
        <v>33</v>
      </c>
      <c r="C856" s="163">
        <v>2825</v>
      </c>
      <c r="D856" s="95" t="s">
        <v>37</v>
      </c>
      <c r="E856" s="142">
        <v>0.83740000000000003</v>
      </c>
      <c r="F856" s="4" t="s">
        <v>2752</v>
      </c>
      <c r="G856" s="4" t="s">
        <v>2752</v>
      </c>
      <c r="H856" s="4" t="str">
        <f t="shared" si="16"/>
        <v>No</v>
      </c>
      <c r="I856" s="56"/>
    </row>
    <row r="857" spans="1:9">
      <c r="A857" s="97" t="s">
        <v>2365</v>
      </c>
      <c r="B857" s="97" t="s">
        <v>939</v>
      </c>
      <c r="C857" s="163">
        <v>4353</v>
      </c>
      <c r="D857" s="95" t="s">
        <v>963</v>
      </c>
      <c r="E857" s="142">
        <v>0.23393333333333333</v>
      </c>
      <c r="F857" s="4" t="s">
        <v>3065</v>
      </c>
      <c r="G857" s="4" t="s">
        <v>3065</v>
      </c>
      <c r="H857" s="4" t="str">
        <f t="shared" si="16"/>
        <v>No</v>
      </c>
      <c r="I857" s="56"/>
    </row>
    <row r="858" spans="1:9">
      <c r="A858" s="97" t="s">
        <v>2365</v>
      </c>
      <c r="B858" s="97" t="s">
        <v>939</v>
      </c>
      <c r="C858" s="163">
        <v>4440</v>
      </c>
      <c r="D858" s="95" t="s">
        <v>967</v>
      </c>
      <c r="E858" s="142">
        <v>0.47773333333333334</v>
      </c>
      <c r="F858" s="4" t="s">
        <v>3065</v>
      </c>
      <c r="G858" s="4" t="s">
        <v>3065</v>
      </c>
      <c r="H858" s="4" t="str">
        <f t="shared" si="16"/>
        <v>No</v>
      </c>
      <c r="I858" s="56"/>
    </row>
    <row r="859" spans="1:9">
      <c r="A859" s="97" t="s">
        <v>2365</v>
      </c>
      <c r="B859" s="97" t="s">
        <v>939</v>
      </c>
      <c r="C859" s="163">
        <v>3676</v>
      </c>
      <c r="D859" s="95" t="s">
        <v>950</v>
      </c>
      <c r="E859" s="142">
        <v>0.48283333333333339</v>
      </c>
      <c r="F859" s="4" t="s">
        <v>3065</v>
      </c>
      <c r="G859" s="4" t="s">
        <v>3065</v>
      </c>
      <c r="H859" s="4" t="str">
        <f t="shared" si="16"/>
        <v>No</v>
      </c>
      <c r="I859" s="56"/>
    </row>
    <row r="860" spans="1:9">
      <c r="A860" s="97" t="s">
        <v>2365</v>
      </c>
      <c r="B860" s="97" t="s">
        <v>939</v>
      </c>
      <c r="C860" s="163">
        <v>3388</v>
      </c>
      <c r="D860" s="95" t="s">
        <v>944</v>
      </c>
      <c r="E860" s="142">
        <v>0.50436666666666674</v>
      </c>
      <c r="F860" s="4" t="s">
        <v>2752</v>
      </c>
      <c r="G860" s="4" t="s">
        <v>3065</v>
      </c>
      <c r="H860" s="4" t="str">
        <f t="shared" si="16"/>
        <v>No</v>
      </c>
      <c r="I860" s="56"/>
    </row>
    <row r="861" spans="1:9">
      <c r="A861" s="97" t="s">
        <v>2365</v>
      </c>
      <c r="B861" s="97" t="s">
        <v>939</v>
      </c>
      <c r="C861" s="163">
        <v>4126</v>
      </c>
      <c r="D861" s="95" t="s">
        <v>956</v>
      </c>
      <c r="E861" s="142">
        <v>0.32956666666666662</v>
      </c>
      <c r="F861" s="4" t="s">
        <v>3065</v>
      </c>
      <c r="G861" s="4" t="s">
        <v>3065</v>
      </c>
      <c r="H861" s="4" t="str">
        <f t="shared" si="16"/>
        <v>No</v>
      </c>
      <c r="I861" s="56"/>
    </row>
    <row r="862" spans="1:9">
      <c r="A862" s="97" t="s">
        <v>2365</v>
      </c>
      <c r="B862" s="97" t="s">
        <v>939</v>
      </c>
      <c r="C862" s="163">
        <v>2851</v>
      </c>
      <c r="D862" s="95" t="s">
        <v>942</v>
      </c>
      <c r="E862" s="142">
        <v>0.73563333333333336</v>
      </c>
      <c r="F862" s="4" t="s">
        <v>2752</v>
      </c>
      <c r="G862" s="4" t="s">
        <v>2752</v>
      </c>
      <c r="H862" s="4" t="str">
        <f t="shared" si="16"/>
        <v>No</v>
      </c>
      <c r="I862" s="56"/>
    </row>
    <row r="863" spans="1:9">
      <c r="A863" s="97" t="s">
        <v>2365</v>
      </c>
      <c r="B863" s="97" t="s">
        <v>939</v>
      </c>
      <c r="C863" s="163">
        <v>4545</v>
      </c>
      <c r="D863" s="95" t="s">
        <v>974</v>
      </c>
      <c r="E863" s="142">
        <v>0.4733</v>
      </c>
      <c r="F863" s="4" t="s">
        <v>3065</v>
      </c>
      <c r="G863" s="4" t="s">
        <v>3065</v>
      </c>
      <c r="H863" s="4" t="str">
        <f t="shared" si="16"/>
        <v>No</v>
      </c>
      <c r="I863" s="56"/>
    </row>
    <row r="864" spans="1:9">
      <c r="A864" s="97" t="s">
        <v>2365</v>
      </c>
      <c r="B864" s="97" t="s">
        <v>939</v>
      </c>
      <c r="C864" s="163">
        <v>3678</v>
      </c>
      <c r="D864" s="95" t="s">
        <v>952</v>
      </c>
      <c r="E864" s="142">
        <v>0.33533333333333332</v>
      </c>
      <c r="F864" s="4" t="s">
        <v>3065</v>
      </c>
      <c r="G864" s="4" t="s">
        <v>3065</v>
      </c>
      <c r="H864" s="4" t="str">
        <f t="shared" si="16"/>
        <v>No</v>
      </c>
      <c r="I864" s="56"/>
    </row>
    <row r="865" spans="1:9">
      <c r="A865" s="97" t="s">
        <v>2365</v>
      </c>
      <c r="B865" s="97" t="s">
        <v>939</v>
      </c>
      <c r="C865" s="163">
        <v>4413</v>
      </c>
      <c r="D865" s="95" t="s">
        <v>965</v>
      </c>
      <c r="E865" s="142">
        <v>0.77349999999999997</v>
      </c>
      <c r="F865" s="4" t="s">
        <v>2752</v>
      </c>
      <c r="G865" s="4" t="s">
        <v>2752</v>
      </c>
      <c r="H865" s="4" t="str">
        <f t="shared" si="16"/>
        <v>No</v>
      </c>
      <c r="I865" s="56"/>
    </row>
    <row r="866" spans="1:9">
      <c r="A866" s="97" t="s">
        <v>2365</v>
      </c>
      <c r="B866" s="97" t="s">
        <v>939</v>
      </c>
      <c r="C866" s="163">
        <v>4489</v>
      </c>
      <c r="D866" s="95" t="s">
        <v>971</v>
      </c>
      <c r="E866" s="142">
        <v>0.49286666666666673</v>
      </c>
      <c r="F866" s="4" t="s">
        <v>3065</v>
      </c>
      <c r="G866" s="4" t="s">
        <v>3065</v>
      </c>
      <c r="H866" s="4" t="str">
        <f t="shared" si="16"/>
        <v>No</v>
      </c>
      <c r="I866" s="56"/>
    </row>
    <row r="867" spans="1:9">
      <c r="A867" s="97" t="s">
        <v>2365</v>
      </c>
      <c r="B867" s="97" t="s">
        <v>939</v>
      </c>
      <c r="C867" s="163">
        <v>3708</v>
      </c>
      <c r="D867" s="95" t="s">
        <v>954</v>
      </c>
      <c r="E867" s="142">
        <v>0.25669999999999998</v>
      </c>
      <c r="F867" s="4" t="s">
        <v>3065</v>
      </c>
      <c r="G867" s="4" t="s">
        <v>3065</v>
      </c>
      <c r="H867" s="4" t="str">
        <f t="shared" si="16"/>
        <v>No</v>
      </c>
      <c r="I867" s="56"/>
    </row>
    <row r="868" spans="1:9">
      <c r="A868" s="97" t="s">
        <v>2365</v>
      </c>
      <c r="B868" s="97" t="s">
        <v>939</v>
      </c>
      <c r="C868" s="163">
        <v>4345</v>
      </c>
      <c r="D868" s="95" t="s">
        <v>962</v>
      </c>
      <c r="E868" s="142">
        <v>0.51169999999999993</v>
      </c>
      <c r="F868" s="4" t="s">
        <v>2752</v>
      </c>
      <c r="G868" s="4" t="s">
        <v>2752</v>
      </c>
      <c r="H868" s="4" t="str">
        <f t="shared" si="16"/>
        <v>No</v>
      </c>
      <c r="I868" s="56"/>
    </row>
    <row r="869" spans="1:9">
      <c r="A869" s="97" t="s">
        <v>2365</v>
      </c>
      <c r="B869" s="97" t="s">
        <v>939</v>
      </c>
      <c r="C869" s="163">
        <v>5275</v>
      </c>
      <c r="D869" s="95" t="s">
        <v>977</v>
      </c>
      <c r="E869" s="142">
        <v>0.55696666666666672</v>
      </c>
      <c r="F869" s="4" t="s">
        <v>2752</v>
      </c>
      <c r="G869" s="4" t="s">
        <v>2752</v>
      </c>
      <c r="H869" s="4" t="str">
        <f t="shared" si="16"/>
        <v>No</v>
      </c>
      <c r="I869" s="56"/>
    </row>
    <row r="870" spans="1:9">
      <c r="A870" s="97" t="s">
        <v>2365</v>
      </c>
      <c r="B870" s="97" t="s">
        <v>939</v>
      </c>
      <c r="C870" s="163">
        <v>4301</v>
      </c>
      <c r="D870" s="95" t="s">
        <v>961</v>
      </c>
      <c r="E870" s="142">
        <v>0.38929999999999998</v>
      </c>
      <c r="F870" s="4" t="s">
        <v>3065</v>
      </c>
      <c r="G870" s="4" t="s">
        <v>3065</v>
      </c>
      <c r="H870" s="4" t="str">
        <f t="shared" si="16"/>
        <v>No</v>
      </c>
      <c r="I870" s="56"/>
    </row>
    <row r="871" spans="1:9">
      <c r="A871" s="97" t="s">
        <v>2365</v>
      </c>
      <c r="B871" s="97" t="s">
        <v>939</v>
      </c>
      <c r="C871" s="163">
        <v>4520</v>
      </c>
      <c r="D871" s="95" t="s">
        <v>973</v>
      </c>
      <c r="E871" s="142">
        <v>0.72270000000000001</v>
      </c>
      <c r="F871" s="4" t="s">
        <v>2752</v>
      </c>
      <c r="G871" s="4" t="s">
        <v>2752</v>
      </c>
      <c r="H871" s="4" t="str">
        <f t="shared" si="16"/>
        <v>No</v>
      </c>
      <c r="I871" s="56"/>
    </row>
    <row r="872" spans="1:9">
      <c r="A872" s="97" t="s">
        <v>2365</v>
      </c>
      <c r="B872" s="97" t="s">
        <v>939</v>
      </c>
      <c r="C872" s="163">
        <v>5676</v>
      </c>
      <c r="D872" s="95" t="s">
        <v>3022</v>
      </c>
      <c r="E872" s="142">
        <v>0.37290000000000001</v>
      </c>
      <c r="F872" s="4" t="s">
        <v>3065</v>
      </c>
      <c r="G872" s="4" t="s">
        <v>3065</v>
      </c>
      <c r="H872" s="4" t="str">
        <f t="shared" si="16"/>
        <v>No</v>
      </c>
      <c r="I872" s="56"/>
    </row>
    <row r="873" spans="1:9">
      <c r="A873" s="97" t="s">
        <v>2365</v>
      </c>
      <c r="B873" s="97" t="s">
        <v>939</v>
      </c>
      <c r="C873" s="163">
        <v>4492</v>
      </c>
      <c r="D873" s="95" t="s">
        <v>972</v>
      </c>
      <c r="E873" s="142">
        <v>0.43759999999999999</v>
      </c>
      <c r="F873" s="4" t="s">
        <v>3065</v>
      </c>
      <c r="G873" s="4" t="s">
        <v>3065</v>
      </c>
      <c r="H873" s="4" t="str">
        <f t="shared" si="16"/>
        <v>No</v>
      </c>
      <c r="I873" s="56"/>
    </row>
    <row r="874" spans="1:9">
      <c r="A874" s="97" t="s">
        <v>2365</v>
      </c>
      <c r="B874" s="97" t="s">
        <v>939</v>
      </c>
      <c r="C874" s="163">
        <v>2797</v>
      </c>
      <c r="D874" s="95" t="s">
        <v>941</v>
      </c>
      <c r="E874" s="142">
        <v>0.70546666666666669</v>
      </c>
      <c r="F874" s="4" t="s">
        <v>2752</v>
      </c>
      <c r="G874" s="4" t="s">
        <v>2752</v>
      </c>
      <c r="H874" s="4" t="str">
        <f t="shared" si="16"/>
        <v>No</v>
      </c>
      <c r="I874" s="56"/>
    </row>
    <row r="875" spans="1:9">
      <c r="A875" s="97" t="s">
        <v>2365</v>
      </c>
      <c r="B875" s="97" t="s">
        <v>939</v>
      </c>
      <c r="C875" s="163">
        <v>3640</v>
      </c>
      <c r="D875" s="95" t="s">
        <v>949</v>
      </c>
      <c r="E875" s="142">
        <v>0.33706666666666663</v>
      </c>
      <c r="F875" s="4" t="s">
        <v>3065</v>
      </c>
      <c r="G875" s="4" t="s">
        <v>3065</v>
      </c>
      <c r="H875" s="4" t="str">
        <f t="shared" si="16"/>
        <v>No</v>
      </c>
      <c r="I875" s="56"/>
    </row>
    <row r="876" spans="1:9">
      <c r="A876" s="97" t="s">
        <v>2365</v>
      </c>
      <c r="B876" s="97" t="s">
        <v>939</v>
      </c>
      <c r="C876" s="163">
        <v>4128</v>
      </c>
      <c r="D876" s="95" t="s">
        <v>958</v>
      </c>
      <c r="E876" s="142">
        <v>0.40293333333333337</v>
      </c>
      <c r="F876" s="4" t="s">
        <v>3065</v>
      </c>
      <c r="G876" s="4" t="s">
        <v>3065</v>
      </c>
      <c r="H876" s="4" t="str">
        <f t="shared" si="16"/>
        <v>No</v>
      </c>
      <c r="I876" s="56"/>
    </row>
    <row r="877" spans="1:9">
      <c r="A877" s="97" t="s">
        <v>2365</v>
      </c>
      <c r="B877" s="97" t="s">
        <v>939</v>
      </c>
      <c r="C877" s="163">
        <v>3550</v>
      </c>
      <c r="D877" s="95" t="s">
        <v>947</v>
      </c>
      <c r="E877" s="142">
        <v>0.29853333333333332</v>
      </c>
      <c r="F877" s="4" t="s">
        <v>3065</v>
      </c>
      <c r="G877" s="4" t="s">
        <v>3065</v>
      </c>
      <c r="H877" s="4" t="str">
        <f t="shared" si="16"/>
        <v>No</v>
      </c>
      <c r="I877" s="56"/>
    </row>
    <row r="878" spans="1:9">
      <c r="A878" s="97" t="s">
        <v>2365</v>
      </c>
      <c r="B878" s="97" t="s">
        <v>939</v>
      </c>
      <c r="C878" s="163">
        <v>4294</v>
      </c>
      <c r="D878" s="95" t="s">
        <v>960</v>
      </c>
      <c r="E878" s="142">
        <v>0.53663333333333341</v>
      </c>
      <c r="F878" s="4" t="s">
        <v>2752</v>
      </c>
      <c r="G878" s="4" t="s">
        <v>2752</v>
      </c>
      <c r="H878" s="4" t="str">
        <f t="shared" si="16"/>
        <v>No</v>
      </c>
      <c r="I878" s="56"/>
    </row>
    <row r="879" spans="1:9">
      <c r="A879" s="97" t="s">
        <v>2365</v>
      </c>
      <c r="B879" s="97" t="s">
        <v>939</v>
      </c>
      <c r="C879" s="163">
        <v>4127</v>
      </c>
      <c r="D879" s="95" t="s">
        <v>957</v>
      </c>
      <c r="E879" s="142">
        <v>0.41716666666666669</v>
      </c>
      <c r="F879" s="4" t="s">
        <v>3065</v>
      </c>
      <c r="G879" s="4" t="s">
        <v>3065</v>
      </c>
      <c r="H879" s="4" t="str">
        <f t="shared" si="16"/>
        <v>No</v>
      </c>
      <c r="I879" s="56"/>
    </row>
    <row r="880" spans="1:9">
      <c r="A880" s="97" t="s">
        <v>2365</v>
      </c>
      <c r="B880" s="97" t="s">
        <v>939</v>
      </c>
      <c r="C880" s="163">
        <v>4465</v>
      </c>
      <c r="D880" s="95" t="s">
        <v>968</v>
      </c>
      <c r="E880" s="142">
        <v>0.68403333333333338</v>
      </c>
      <c r="F880" s="4" t="s">
        <v>2752</v>
      </c>
      <c r="G880" s="4" t="s">
        <v>2752</v>
      </c>
      <c r="H880" s="4" t="str">
        <f t="shared" si="16"/>
        <v>No</v>
      </c>
      <c r="I880" s="56"/>
    </row>
    <row r="881" spans="1:9">
      <c r="A881" s="97" t="s">
        <v>2365</v>
      </c>
      <c r="B881" s="97" t="s">
        <v>939</v>
      </c>
      <c r="C881" s="163">
        <v>3764</v>
      </c>
      <c r="D881" s="95" t="s">
        <v>955</v>
      </c>
      <c r="E881" s="142">
        <v>0.58233333333333337</v>
      </c>
      <c r="F881" s="4" t="s">
        <v>2752</v>
      </c>
      <c r="G881" s="4" t="s">
        <v>2752</v>
      </c>
      <c r="H881" s="4" t="str">
        <f t="shared" si="16"/>
        <v>No</v>
      </c>
      <c r="I881" s="56"/>
    </row>
    <row r="882" spans="1:9">
      <c r="A882" s="97" t="s">
        <v>2365</v>
      </c>
      <c r="B882" s="97" t="s">
        <v>939</v>
      </c>
      <c r="C882" s="163">
        <v>2565</v>
      </c>
      <c r="D882" s="95" t="s">
        <v>940</v>
      </c>
      <c r="E882" s="142">
        <v>0.45433333333333331</v>
      </c>
      <c r="F882" s="4" t="s">
        <v>3065</v>
      </c>
      <c r="G882" s="4" t="s">
        <v>3065</v>
      </c>
      <c r="H882" s="4" t="str">
        <f t="shared" si="16"/>
        <v>No</v>
      </c>
      <c r="I882" s="56"/>
    </row>
    <row r="883" spans="1:9">
      <c r="A883" s="97" t="s">
        <v>2365</v>
      </c>
      <c r="B883" s="97" t="s">
        <v>939</v>
      </c>
      <c r="C883" s="163">
        <v>3233</v>
      </c>
      <c r="D883" s="95" t="s">
        <v>943</v>
      </c>
      <c r="E883" s="142">
        <v>0.57423333333333337</v>
      </c>
      <c r="F883" s="4" t="s">
        <v>2752</v>
      </c>
      <c r="G883" s="4" t="s">
        <v>2752</v>
      </c>
      <c r="H883" s="4" t="str">
        <f t="shared" si="16"/>
        <v>No</v>
      </c>
      <c r="I883" s="56"/>
    </row>
    <row r="884" spans="1:9">
      <c r="A884" s="97" t="s">
        <v>2365</v>
      </c>
      <c r="B884" s="97" t="s">
        <v>939</v>
      </c>
      <c r="C884" s="163">
        <v>5016</v>
      </c>
      <c r="D884" s="95" t="s">
        <v>976</v>
      </c>
      <c r="E884" s="142">
        <v>0.74440000000000006</v>
      </c>
      <c r="F884" s="4" t="s">
        <v>2752</v>
      </c>
      <c r="G884" s="4" t="s">
        <v>2752</v>
      </c>
      <c r="H884" s="4" t="str">
        <f t="shared" si="16"/>
        <v>No</v>
      </c>
      <c r="I884" s="56"/>
    </row>
    <row r="885" spans="1:9">
      <c r="A885" s="97" t="s">
        <v>2365</v>
      </c>
      <c r="B885" s="97" t="s">
        <v>939</v>
      </c>
      <c r="C885" s="163">
        <v>4581</v>
      </c>
      <c r="D885" s="95" t="s">
        <v>975</v>
      </c>
      <c r="E885" s="142">
        <v>0.70653333333333335</v>
      </c>
      <c r="F885" s="4" t="s">
        <v>2752</v>
      </c>
      <c r="G885" s="4" t="s">
        <v>2752</v>
      </c>
      <c r="H885" s="4" t="str">
        <f t="shared" si="16"/>
        <v>No</v>
      </c>
      <c r="I885" s="56"/>
    </row>
    <row r="886" spans="1:9">
      <c r="A886" s="97" t="s">
        <v>2365</v>
      </c>
      <c r="B886" s="97" t="s">
        <v>939</v>
      </c>
      <c r="C886" s="163">
        <v>4356</v>
      </c>
      <c r="D886" s="95" t="s">
        <v>964</v>
      </c>
      <c r="E886" s="142">
        <v>0.72430000000000005</v>
      </c>
      <c r="F886" s="4" t="s">
        <v>2752</v>
      </c>
      <c r="G886" s="4" t="s">
        <v>2752</v>
      </c>
      <c r="H886" s="4" t="str">
        <f t="shared" si="16"/>
        <v>No</v>
      </c>
      <c r="I886" s="56"/>
    </row>
    <row r="887" spans="1:9">
      <c r="A887" s="97" t="s">
        <v>2365</v>
      </c>
      <c r="B887" s="97" t="s">
        <v>939</v>
      </c>
      <c r="C887" s="163">
        <v>4485</v>
      </c>
      <c r="D887" s="95" t="s">
        <v>970</v>
      </c>
      <c r="E887" s="142">
        <v>0.30279999999999996</v>
      </c>
      <c r="F887" s="4" t="s">
        <v>3065</v>
      </c>
      <c r="G887" s="4" t="s">
        <v>3065</v>
      </c>
      <c r="H887" s="4" t="str">
        <f t="shared" si="16"/>
        <v>No</v>
      </c>
      <c r="I887" s="56"/>
    </row>
    <row r="888" spans="1:9">
      <c r="A888" s="97" t="s">
        <v>2365</v>
      </c>
      <c r="B888" s="97" t="s">
        <v>939</v>
      </c>
      <c r="C888" s="163">
        <v>5178</v>
      </c>
      <c r="D888" s="95" t="s">
        <v>655</v>
      </c>
      <c r="E888" s="142">
        <v>0.68853333333333333</v>
      </c>
      <c r="F888" s="4" t="s">
        <v>2752</v>
      </c>
      <c r="G888" s="4" t="s">
        <v>2752</v>
      </c>
      <c r="H888" s="4" t="str">
        <f t="shared" si="16"/>
        <v>No</v>
      </c>
      <c r="I888" s="56"/>
    </row>
    <row r="889" spans="1:9">
      <c r="A889" s="97" t="s">
        <v>2365</v>
      </c>
      <c r="B889" s="97" t="s">
        <v>939</v>
      </c>
      <c r="C889" s="163">
        <v>3491</v>
      </c>
      <c r="D889" s="95" t="s">
        <v>946</v>
      </c>
      <c r="E889" s="142">
        <v>0.67266666666666675</v>
      </c>
      <c r="F889" s="4" t="s">
        <v>2752</v>
      </c>
      <c r="G889" s="4" t="s">
        <v>2752</v>
      </c>
      <c r="H889" s="4" t="str">
        <f t="shared" si="16"/>
        <v>No</v>
      </c>
      <c r="I889" s="56"/>
    </row>
    <row r="890" spans="1:9">
      <c r="A890" s="97" t="s">
        <v>2365</v>
      </c>
      <c r="B890" s="97" t="s">
        <v>939</v>
      </c>
      <c r="C890" s="163">
        <v>3593</v>
      </c>
      <c r="D890" s="95" t="s">
        <v>948</v>
      </c>
      <c r="E890" s="142">
        <v>0.69793333333333329</v>
      </c>
      <c r="F890" s="4" t="s">
        <v>2752</v>
      </c>
      <c r="G890" s="4" t="s">
        <v>2752</v>
      </c>
      <c r="H890" s="4" t="str">
        <f t="shared" si="16"/>
        <v>No</v>
      </c>
      <c r="I890" s="56"/>
    </row>
    <row r="891" spans="1:9">
      <c r="A891" s="56" t="s">
        <v>2365</v>
      </c>
      <c r="B891" s="97" t="s">
        <v>939</v>
      </c>
      <c r="C891" s="163">
        <v>4293</v>
      </c>
      <c r="D891" s="56" t="s">
        <v>959</v>
      </c>
      <c r="E891" s="142">
        <v>0.15233333333333335</v>
      </c>
      <c r="F891" s="4" t="s">
        <v>3065</v>
      </c>
      <c r="G891" s="4" t="s">
        <v>3065</v>
      </c>
      <c r="H891" s="4" t="str">
        <f t="shared" si="16"/>
        <v>No</v>
      </c>
      <c r="I891" s="56"/>
    </row>
    <row r="892" spans="1:9">
      <c r="A892" s="97" t="s">
        <v>2365</v>
      </c>
      <c r="B892" s="97" t="s">
        <v>939</v>
      </c>
      <c r="C892" s="163">
        <v>5677</v>
      </c>
      <c r="D892" s="95" t="s">
        <v>3023</v>
      </c>
      <c r="E892" s="142">
        <v>0.7026</v>
      </c>
      <c r="F892" s="4" t="s">
        <v>2752</v>
      </c>
      <c r="G892" s="4" t="s">
        <v>3065</v>
      </c>
      <c r="H892" s="4" t="str">
        <f t="shared" si="16"/>
        <v>No</v>
      </c>
      <c r="I892" s="56"/>
    </row>
    <row r="893" spans="1:9">
      <c r="A893" s="97" t="s">
        <v>2365</v>
      </c>
      <c r="B893" s="97" t="s">
        <v>939</v>
      </c>
      <c r="C893" s="163">
        <v>4466</v>
      </c>
      <c r="D893" s="95" t="s">
        <v>969</v>
      </c>
      <c r="E893" s="142">
        <v>0.21789999999999998</v>
      </c>
      <c r="F893" s="4" t="s">
        <v>3065</v>
      </c>
      <c r="G893" s="4" t="s">
        <v>3065</v>
      </c>
      <c r="H893" s="4" t="str">
        <f t="shared" si="16"/>
        <v>No</v>
      </c>
      <c r="I893" s="56"/>
    </row>
    <row r="894" spans="1:9">
      <c r="A894" s="97" t="s">
        <v>2365</v>
      </c>
      <c r="B894" s="97" t="s">
        <v>939</v>
      </c>
      <c r="C894" s="163">
        <v>3389</v>
      </c>
      <c r="D894" s="95" t="s">
        <v>945</v>
      </c>
      <c r="E894" s="142">
        <v>0.76716666666666666</v>
      </c>
      <c r="F894" s="4" t="s">
        <v>2752</v>
      </c>
      <c r="G894" s="4" t="s">
        <v>2752</v>
      </c>
      <c r="H894" s="4" t="str">
        <f t="shared" si="16"/>
        <v>No</v>
      </c>
      <c r="I894" s="56"/>
    </row>
    <row r="895" spans="1:9">
      <c r="A895" s="97" t="s">
        <v>2365</v>
      </c>
      <c r="B895" s="97" t="s">
        <v>939</v>
      </c>
      <c r="C895" s="163">
        <v>3707</v>
      </c>
      <c r="D895" s="95" t="s">
        <v>953</v>
      </c>
      <c r="E895" s="142">
        <v>0.44823333333333332</v>
      </c>
      <c r="F895" s="4" t="s">
        <v>3065</v>
      </c>
      <c r="G895" s="4" t="s">
        <v>3065</v>
      </c>
      <c r="H895" s="4" t="str">
        <f t="shared" si="16"/>
        <v>No</v>
      </c>
      <c r="I895" s="56"/>
    </row>
    <row r="896" spans="1:9">
      <c r="A896" s="97" t="s">
        <v>2365</v>
      </c>
      <c r="B896" s="97" t="s">
        <v>939</v>
      </c>
      <c r="C896" s="163">
        <v>3677</v>
      </c>
      <c r="D896" s="95" t="s">
        <v>951</v>
      </c>
      <c r="E896" s="142">
        <v>0.68763333333333332</v>
      </c>
      <c r="F896" s="4" t="s">
        <v>2752</v>
      </c>
      <c r="G896" s="4" t="s">
        <v>2752</v>
      </c>
      <c r="H896" s="4" t="str">
        <f t="shared" si="16"/>
        <v>No</v>
      </c>
      <c r="I896" s="56"/>
    </row>
    <row r="897" spans="1:9">
      <c r="A897" s="97" t="s">
        <v>2365</v>
      </c>
      <c r="B897" s="97" t="s">
        <v>939</v>
      </c>
      <c r="C897" s="163">
        <v>4420</v>
      </c>
      <c r="D897" s="95" t="s">
        <v>966</v>
      </c>
      <c r="E897" s="142">
        <v>0.35546666666666665</v>
      </c>
      <c r="F897" s="4" t="s">
        <v>3065</v>
      </c>
      <c r="G897" s="4" t="s">
        <v>3065</v>
      </c>
      <c r="H897" s="4" t="str">
        <f t="shared" si="16"/>
        <v>No</v>
      </c>
      <c r="I897" s="56"/>
    </row>
    <row r="898" spans="1:9">
      <c r="A898" s="97" t="s">
        <v>2365</v>
      </c>
      <c r="B898" s="97" t="s">
        <v>939</v>
      </c>
      <c r="C898" s="163">
        <v>5440</v>
      </c>
      <c r="D898" s="95" t="s">
        <v>978</v>
      </c>
      <c r="E898" s="142">
        <v>0.60960000000000003</v>
      </c>
      <c r="F898" s="4" t="s">
        <v>2752</v>
      </c>
      <c r="G898" s="4" t="s">
        <v>2752</v>
      </c>
      <c r="H898" s="4" t="str">
        <f t="shared" si="16"/>
        <v>No</v>
      </c>
      <c r="I898" s="56"/>
    </row>
    <row r="899" spans="1:9">
      <c r="A899" s="97" t="s">
        <v>2514</v>
      </c>
      <c r="B899" s="97" t="s">
        <v>1959</v>
      </c>
      <c r="C899" s="163">
        <v>5180</v>
      </c>
      <c r="D899" s="95" t="s">
        <v>1963</v>
      </c>
      <c r="E899" s="142">
        <v>0.26763333333333333</v>
      </c>
      <c r="F899" s="4" t="s">
        <v>3065</v>
      </c>
      <c r="G899" s="4" t="s">
        <v>3065</v>
      </c>
      <c r="H899" s="4" t="str">
        <f t="shared" ref="H899:H962" si="17">IFERROR(IF(AND(G899="Yes",F899="No"),"Yes","No"),"No")</f>
        <v>No</v>
      </c>
      <c r="I899" s="56"/>
    </row>
    <row r="900" spans="1:9">
      <c r="A900" s="97" t="s">
        <v>2514</v>
      </c>
      <c r="B900" s="97" t="s">
        <v>1959</v>
      </c>
      <c r="C900" s="163">
        <v>2385</v>
      </c>
      <c r="D900" s="95" t="s">
        <v>1960</v>
      </c>
      <c r="E900" s="142">
        <v>0.57650000000000001</v>
      </c>
      <c r="F900" s="4" t="s">
        <v>2752</v>
      </c>
      <c r="G900" s="4" t="s">
        <v>2752</v>
      </c>
      <c r="H900" s="4" t="str">
        <f t="shared" si="17"/>
        <v>No</v>
      </c>
      <c r="I900" s="56"/>
    </row>
    <row r="901" spans="1:9">
      <c r="A901" s="97" t="s">
        <v>2514</v>
      </c>
      <c r="B901" s="97" t="s">
        <v>1959</v>
      </c>
      <c r="C901" s="163">
        <v>4206</v>
      </c>
      <c r="D901" s="95" t="s">
        <v>1962</v>
      </c>
      <c r="E901" s="142">
        <v>0.56290000000000007</v>
      </c>
      <c r="F901" s="4" t="s">
        <v>2752</v>
      </c>
      <c r="G901" s="4" t="s">
        <v>2752</v>
      </c>
      <c r="H901" s="4" t="str">
        <f t="shared" si="17"/>
        <v>No</v>
      </c>
      <c r="I901" s="56"/>
    </row>
    <row r="902" spans="1:9">
      <c r="A902" s="97" t="s">
        <v>2514</v>
      </c>
      <c r="B902" s="97" t="s">
        <v>1959</v>
      </c>
      <c r="C902" s="163">
        <v>3198</v>
      </c>
      <c r="D902" s="95" t="s">
        <v>1961</v>
      </c>
      <c r="E902" s="142">
        <v>0.6081333333333333</v>
      </c>
      <c r="F902" s="4" t="s">
        <v>2752</v>
      </c>
      <c r="G902" s="4" t="s">
        <v>2752</v>
      </c>
      <c r="H902" s="4" t="str">
        <f t="shared" si="17"/>
        <v>No</v>
      </c>
      <c r="I902" s="56"/>
    </row>
    <row r="903" spans="1:9">
      <c r="A903" s="97" t="s">
        <v>2266</v>
      </c>
      <c r="B903" s="97" t="s">
        <v>62</v>
      </c>
      <c r="C903" s="163">
        <v>2904</v>
      </c>
      <c r="D903" s="95" t="s">
        <v>64</v>
      </c>
      <c r="E903" s="142">
        <v>0.68096666666666661</v>
      </c>
      <c r="F903" s="4" t="s">
        <v>2752</v>
      </c>
      <c r="G903" s="4" t="s">
        <v>2752</v>
      </c>
      <c r="H903" s="4" t="str">
        <f t="shared" si="17"/>
        <v>No</v>
      </c>
      <c r="I903" s="56"/>
    </row>
    <row r="904" spans="1:9">
      <c r="A904" s="97" t="s">
        <v>2266</v>
      </c>
      <c r="B904" s="97" t="s">
        <v>62</v>
      </c>
      <c r="C904" s="163">
        <v>3961</v>
      </c>
      <c r="D904" s="95" t="s">
        <v>65</v>
      </c>
      <c r="E904" s="142">
        <v>0.74239999999999995</v>
      </c>
      <c r="F904" s="4" t="s">
        <v>2752</v>
      </c>
      <c r="G904" s="4" t="s">
        <v>2752</v>
      </c>
      <c r="H904" s="4" t="str">
        <f t="shared" si="17"/>
        <v>No</v>
      </c>
      <c r="I904" s="56"/>
    </row>
    <row r="905" spans="1:9">
      <c r="A905" s="97" t="s">
        <v>2266</v>
      </c>
      <c r="B905" s="97" t="s">
        <v>62</v>
      </c>
      <c r="C905" s="163">
        <v>2759</v>
      </c>
      <c r="D905" s="95" t="s">
        <v>63</v>
      </c>
      <c r="E905" s="142">
        <v>0.64746666666666675</v>
      </c>
      <c r="F905" s="4" t="s">
        <v>2752</v>
      </c>
      <c r="G905" s="4" t="s">
        <v>2752</v>
      </c>
      <c r="H905" s="4" t="str">
        <f t="shared" si="17"/>
        <v>No</v>
      </c>
      <c r="I905" s="56"/>
    </row>
    <row r="906" spans="1:9">
      <c r="A906" s="97" t="s">
        <v>2266</v>
      </c>
      <c r="B906" s="97" t="s">
        <v>62</v>
      </c>
      <c r="C906" s="163">
        <v>4217</v>
      </c>
      <c r="D906" s="95" t="s">
        <v>66</v>
      </c>
      <c r="E906" s="142">
        <v>0.75146666666666662</v>
      </c>
      <c r="F906" s="4" t="s">
        <v>2752</v>
      </c>
      <c r="G906" s="4" t="s">
        <v>2752</v>
      </c>
      <c r="H906" s="4" t="str">
        <f t="shared" si="17"/>
        <v>No</v>
      </c>
      <c r="I906" s="56"/>
    </row>
    <row r="907" spans="1:9">
      <c r="A907" s="97" t="s">
        <v>2381</v>
      </c>
      <c r="B907" s="97" t="s">
        <v>1095</v>
      </c>
      <c r="C907" s="163">
        <v>5086</v>
      </c>
      <c r="D907" s="95" t="s">
        <v>1098</v>
      </c>
      <c r="E907" s="142">
        <v>0</v>
      </c>
      <c r="F907" s="4" t="s">
        <v>3065</v>
      </c>
      <c r="G907" s="4" t="s">
        <v>3065</v>
      </c>
      <c r="H907" s="4" t="str">
        <f t="shared" si="17"/>
        <v>No</v>
      </c>
      <c r="I907" s="56"/>
    </row>
    <row r="908" spans="1:9">
      <c r="A908" s="97" t="s">
        <v>2381</v>
      </c>
      <c r="B908" s="97" t="s">
        <v>1095</v>
      </c>
      <c r="C908" s="163">
        <v>2569</v>
      </c>
      <c r="D908" s="95" t="s">
        <v>1096</v>
      </c>
      <c r="E908" s="142">
        <v>0.46173333333333333</v>
      </c>
      <c r="F908" s="4" t="s">
        <v>3065</v>
      </c>
      <c r="G908" s="4" t="s">
        <v>3065</v>
      </c>
      <c r="H908" s="4" t="str">
        <f t="shared" si="17"/>
        <v>No</v>
      </c>
      <c r="I908" s="56"/>
    </row>
    <row r="909" spans="1:9">
      <c r="A909" s="97" t="s">
        <v>2381</v>
      </c>
      <c r="B909" s="97" t="s">
        <v>1095</v>
      </c>
      <c r="C909" s="163">
        <v>2766</v>
      </c>
      <c r="D909" s="95" t="s">
        <v>1097</v>
      </c>
      <c r="E909" s="142">
        <v>0.46379999999999999</v>
      </c>
      <c r="F909" s="4" t="s">
        <v>3065</v>
      </c>
      <c r="G909" s="4" t="s">
        <v>3065</v>
      </c>
      <c r="H909" s="4" t="str">
        <f t="shared" si="17"/>
        <v>No</v>
      </c>
      <c r="I909" s="56"/>
    </row>
    <row r="910" spans="1:9">
      <c r="A910" s="97" t="s">
        <v>2388</v>
      </c>
      <c r="B910" s="97" t="s">
        <v>1116</v>
      </c>
      <c r="C910" s="163">
        <v>3494</v>
      </c>
      <c r="D910" s="95" t="s">
        <v>1117</v>
      </c>
      <c r="E910" s="142">
        <v>0.50873333333333326</v>
      </c>
      <c r="F910" s="4" t="s">
        <v>2752</v>
      </c>
      <c r="G910" s="4" t="s">
        <v>2752</v>
      </c>
      <c r="H910" s="4" t="str">
        <f t="shared" si="17"/>
        <v>No</v>
      </c>
      <c r="I910" s="56"/>
    </row>
    <row r="911" spans="1:9">
      <c r="A911" s="97" t="s">
        <v>2285</v>
      </c>
      <c r="B911" s="97" t="s">
        <v>206</v>
      </c>
      <c r="C911" s="163">
        <v>2558</v>
      </c>
      <c r="D911" s="95" t="s">
        <v>207</v>
      </c>
      <c r="E911" s="142">
        <v>0.24243333333333336</v>
      </c>
      <c r="F911" s="4" t="s">
        <v>3065</v>
      </c>
      <c r="G911" s="4" t="s">
        <v>3065</v>
      </c>
      <c r="H911" s="4" t="str">
        <f t="shared" si="17"/>
        <v>No</v>
      </c>
      <c r="I911" s="56"/>
    </row>
    <row r="912" spans="1:9">
      <c r="A912" s="97" t="s">
        <v>2285</v>
      </c>
      <c r="B912" s="97" t="s">
        <v>206</v>
      </c>
      <c r="C912" s="163">
        <v>4431</v>
      </c>
      <c r="D912" s="95" t="s">
        <v>209</v>
      </c>
      <c r="E912" s="142">
        <v>0.21766666666666667</v>
      </c>
      <c r="F912" s="4" t="s">
        <v>3065</v>
      </c>
      <c r="G912" s="4" t="s">
        <v>3065</v>
      </c>
      <c r="H912" s="4" t="str">
        <f t="shared" si="17"/>
        <v>No</v>
      </c>
      <c r="I912" s="56"/>
    </row>
    <row r="913" spans="1:9">
      <c r="A913" s="97" t="s">
        <v>2285</v>
      </c>
      <c r="B913" s="97" t="s">
        <v>206</v>
      </c>
      <c r="C913" s="163">
        <v>5326</v>
      </c>
      <c r="D913" s="95" t="s">
        <v>210</v>
      </c>
      <c r="E913" s="142">
        <v>0.16973333333333332</v>
      </c>
      <c r="F913" s="4" t="s">
        <v>3065</v>
      </c>
      <c r="G913" s="4" t="s">
        <v>3065</v>
      </c>
      <c r="H913" s="4" t="str">
        <f t="shared" si="17"/>
        <v>No</v>
      </c>
      <c r="I913" s="56"/>
    </row>
    <row r="914" spans="1:9">
      <c r="A914" s="137" t="s">
        <v>2285</v>
      </c>
      <c r="B914" s="97" t="s">
        <v>206</v>
      </c>
      <c r="C914" s="164">
        <v>3371</v>
      </c>
      <c r="D914" s="56" t="s">
        <v>208</v>
      </c>
      <c r="E914" s="142">
        <v>0.24126666666666666</v>
      </c>
      <c r="F914" s="4" t="s">
        <v>3065</v>
      </c>
      <c r="G914" s="4" t="s">
        <v>3065</v>
      </c>
      <c r="H914" s="4" t="str">
        <f t="shared" si="17"/>
        <v>No</v>
      </c>
      <c r="I914" s="56"/>
    </row>
    <row r="915" spans="1:9">
      <c r="A915" s="97" t="s">
        <v>2464</v>
      </c>
      <c r="B915" s="97" t="s">
        <v>1569</v>
      </c>
      <c r="C915" s="163">
        <v>2522</v>
      </c>
      <c r="D915" s="95" t="s">
        <v>1571</v>
      </c>
      <c r="E915" s="142">
        <v>0.54640000000000011</v>
      </c>
      <c r="F915" s="4" t="s">
        <v>2752</v>
      </c>
      <c r="G915" s="4" t="s">
        <v>2752</v>
      </c>
      <c r="H915" s="4" t="str">
        <f t="shared" si="17"/>
        <v>No</v>
      </c>
      <c r="I915" s="56"/>
    </row>
    <row r="916" spans="1:9">
      <c r="A916" s="97" t="s">
        <v>2464</v>
      </c>
      <c r="B916" s="97" t="s">
        <v>1569</v>
      </c>
      <c r="C916" s="163">
        <v>2276</v>
      </c>
      <c r="D916" s="95" t="s">
        <v>1570</v>
      </c>
      <c r="E916" s="142">
        <v>0.5159666666666668</v>
      </c>
      <c r="F916" s="4" t="s">
        <v>2752</v>
      </c>
      <c r="G916" s="4" t="s">
        <v>3065</v>
      </c>
      <c r="H916" s="4" t="str">
        <f t="shared" si="17"/>
        <v>No</v>
      </c>
      <c r="I916" s="56"/>
    </row>
    <row r="917" spans="1:9">
      <c r="A917" s="97" t="s">
        <v>2464</v>
      </c>
      <c r="B917" s="97" t="s">
        <v>1569</v>
      </c>
      <c r="C917" s="163">
        <v>3900</v>
      </c>
      <c r="D917" s="95" t="s">
        <v>1572</v>
      </c>
      <c r="E917" s="142">
        <v>0.62863333333333338</v>
      </c>
      <c r="F917" s="4" t="s">
        <v>2752</v>
      </c>
      <c r="G917" s="4" t="s">
        <v>2752</v>
      </c>
      <c r="H917" s="4" t="str">
        <f t="shared" si="17"/>
        <v>No</v>
      </c>
      <c r="I917" s="56"/>
    </row>
    <row r="918" spans="1:9">
      <c r="A918" s="97" t="s">
        <v>2540</v>
      </c>
      <c r="B918" s="97" t="s">
        <v>2130</v>
      </c>
      <c r="C918" s="163">
        <v>2087</v>
      </c>
      <c r="D918" s="95" t="s">
        <v>2131</v>
      </c>
      <c r="E918" s="142">
        <v>0.48303333333333337</v>
      </c>
      <c r="F918" s="4" t="s">
        <v>3065</v>
      </c>
      <c r="G918" s="4" t="s">
        <v>3065</v>
      </c>
      <c r="H918" s="4" t="str">
        <f t="shared" si="17"/>
        <v>No</v>
      </c>
      <c r="I918" s="56"/>
    </row>
    <row r="919" spans="1:9">
      <c r="A919" s="97" t="s">
        <v>2540</v>
      </c>
      <c r="B919" s="97" t="s">
        <v>2130</v>
      </c>
      <c r="C919" s="163">
        <v>2088</v>
      </c>
      <c r="D919" s="95" t="s">
        <v>2132</v>
      </c>
      <c r="E919" s="142">
        <v>0.3177666666666667</v>
      </c>
      <c r="F919" s="4" t="s">
        <v>3065</v>
      </c>
      <c r="G919" s="4" t="s">
        <v>3065</v>
      </c>
      <c r="H919" s="4" t="str">
        <f t="shared" si="17"/>
        <v>No</v>
      </c>
      <c r="I919" s="56"/>
    </row>
    <row r="920" spans="1:9">
      <c r="A920" s="97" t="s">
        <v>2273</v>
      </c>
      <c r="B920" s="97" t="s">
        <v>105</v>
      </c>
      <c r="C920" s="163">
        <v>4260</v>
      </c>
      <c r="D920" s="95" t="s">
        <v>110</v>
      </c>
      <c r="E920" s="142">
        <v>0.53389999999999993</v>
      </c>
      <c r="F920" s="4" t="s">
        <v>2752</v>
      </c>
      <c r="G920" s="4" t="s">
        <v>2752</v>
      </c>
      <c r="H920" s="4" t="str">
        <f t="shared" si="17"/>
        <v>No</v>
      </c>
      <c r="I920" s="56"/>
    </row>
    <row r="921" spans="1:9">
      <c r="A921" s="97" t="s">
        <v>2273</v>
      </c>
      <c r="B921" s="97" t="s">
        <v>105</v>
      </c>
      <c r="C921" s="163">
        <v>2317</v>
      </c>
      <c r="D921" s="95" t="s">
        <v>107</v>
      </c>
      <c r="E921" s="142">
        <v>0.63576666666666659</v>
      </c>
      <c r="F921" s="4" t="s">
        <v>2752</v>
      </c>
      <c r="G921" s="4" t="s">
        <v>2752</v>
      </c>
      <c r="H921" s="4" t="str">
        <f t="shared" si="17"/>
        <v>No</v>
      </c>
      <c r="I921" s="56"/>
    </row>
    <row r="922" spans="1:9">
      <c r="A922" s="97" t="s">
        <v>2273</v>
      </c>
      <c r="B922" s="97" t="s">
        <v>105</v>
      </c>
      <c r="C922" s="163">
        <v>1940</v>
      </c>
      <c r="D922" s="95" t="s">
        <v>106</v>
      </c>
      <c r="E922" s="142">
        <v>0.68603333333333338</v>
      </c>
      <c r="F922" s="4" t="s">
        <v>2752</v>
      </c>
      <c r="G922" s="4" t="s">
        <v>2752</v>
      </c>
      <c r="H922" s="4" t="str">
        <f t="shared" si="17"/>
        <v>No</v>
      </c>
      <c r="I922" s="56"/>
    </row>
    <row r="923" spans="1:9">
      <c r="A923" s="97" t="s">
        <v>2273</v>
      </c>
      <c r="B923" s="97" t="s">
        <v>105</v>
      </c>
      <c r="C923" s="163">
        <v>3861</v>
      </c>
      <c r="D923" s="95" t="s">
        <v>109</v>
      </c>
      <c r="E923" s="142">
        <v>0</v>
      </c>
      <c r="F923" s="4" t="s">
        <v>3065</v>
      </c>
      <c r="G923" s="4" t="s">
        <v>3065</v>
      </c>
      <c r="H923" s="4" t="str">
        <f t="shared" si="17"/>
        <v>No</v>
      </c>
      <c r="I923" s="56"/>
    </row>
    <row r="924" spans="1:9">
      <c r="A924" s="97" t="s">
        <v>2273</v>
      </c>
      <c r="B924" s="97" t="s">
        <v>105</v>
      </c>
      <c r="C924" s="163">
        <v>2689</v>
      </c>
      <c r="D924" s="95" t="s">
        <v>108</v>
      </c>
      <c r="E924" s="142">
        <v>0.6001333333333333</v>
      </c>
      <c r="F924" s="4" t="s">
        <v>2752</v>
      </c>
      <c r="G924" s="4" t="s">
        <v>2752</v>
      </c>
      <c r="H924" s="4" t="str">
        <f t="shared" si="17"/>
        <v>No</v>
      </c>
      <c r="I924" s="56"/>
    </row>
    <row r="925" spans="1:9">
      <c r="A925" s="97" t="s">
        <v>2334</v>
      </c>
      <c r="B925" s="97" t="s">
        <v>500</v>
      </c>
      <c r="C925" s="163">
        <v>2921</v>
      </c>
      <c r="D925" s="95" t="s">
        <v>2791</v>
      </c>
      <c r="E925" s="142">
        <v>0.96906666666666663</v>
      </c>
      <c r="F925" s="4" t="s">
        <v>2752</v>
      </c>
      <c r="G925" s="4" t="s">
        <v>2752</v>
      </c>
      <c r="H925" s="4" t="str">
        <f t="shared" si="17"/>
        <v>No</v>
      </c>
      <c r="I925" s="56"/>
    </row>
    <row r="926" spans="1:9">
      <c r="A926" s="97" t="s">
        <v>2473</v>
      </c>
      <c r="B926" s="97" t="s">
        <v>1618</v>
      </c>
      <c r="C926" s="163">
        <v>5099</v>
      </c>
      <c r="D926" s="95" t="s">
        <v>1626</v>
      </c>
      <c r="E926" s="142">
        <v>0.26930000000000004</v>
      </c>
      <c r="F926" s="4" t="s">
        <v>3065</v>
      </c>
      <c r="G926" s="4" t="s">
        <v>3065</v>
      </c>
      <c r="H926" s="4" t="str">
        <f t="shared" si="17"/>
        <v>No</v>
      </c>
      <c r="I926" s="56"/>
    </row>
    <row r="927" spans="1:9">
      <c r="A927" s="97" t="s">
        <v>2473</v>
      </c>
      <c r="B927" s="97" t="s">
        <v>1618</v>
      </c>
      <c r="C927" s="163">
        <v>4391</v>
      </c>
      <c r="D927" s="95" t="s">
        <v>1114</v>
      </c>
      <c r="E927" s="142">
        <v>0.19239999999999999</v>
      </c>
      <c r="F927" s="4" t="s">
        <v>3065</v>
      </c>
      <c r="G927" s="4" t="s">
        <v>3065</v>
      </c>
      <c r="H927" s="4" t="str">
        <f t="shared" si="17"/>
        <v>No</v>
      </c>
      <c r="I927" s="56"/>
    </row>
    <row r="928" spans="1:9">
      <c r="A928" s="97" t="s">
        <v>2473</v>
      </c>
      <c r="B928" s="97" t="s">
        <v>1618</v>
      </c>
      <c r="C928" s="163">
        <v>4534</v>
      </c>
      <c r="D928" s="95" t="s">
        <v>26</v>
      </c>
      <c r="E928" s="142">
        <v>0.20203333333333337</v>
      </c>
      <c r="F928" s="4" t="s">
        <v>3065</v>
      </c>
      <c r="G928" s="4" t="s">
        <v>3065</v>
      </c>
      <c r="H928" s="4" t="str">
        <f t="shared" si="17"/>
        <v>No</v>
      </c>
      <c r="I928" s="56"/>
    </row>
    <row r="929" spans="1:9">
      <c r="A929" s="97" t="s">
        <v>2473</v>
      </c>
      <c r="B929" s="97" t="s">
        <v>1618</v>
      </c>
      <c r="C929" s="163">
        <v>2885</v>
      </c>
      <c r="D929" s="95" t="s">
        <v>1622</v>
      </c>
      <c r="E929" s="142">
        <v>0.20780000000000001</v>
      </c>
      <c r="F929" s="4" t="s">
        <v>3065</v>
      </c>
      <c r="G929" s="4" t="s">
        <v>3065</v>
      </c>
      <c r="H929" s="4" t="str">
        <f t="shared" si="17"/>
        <v>No</v>
      </c>
      <c r="I929" s="56"/>
    </row>
    <row r="930" spans="1:9">
      <c r="A930" s="97" t="s">
        <v>2473</v>
      </c>
      <c r="B930" s="97" t="s">
        <v>1618</v>
      </c>
      <c r="C930" s="163">
        <v>1753</v>
      </c>
      <c r="D930" s="95" t="s">
        <v>1619</v>
      </c>
      <c r="E930" s="142">
        <v>0.13490000000000002</v>
      </c>
      <c r="F930" s="4" t="s">
        <v>3065</v>
      </c>
      <c r="G930" s="4" t="s">
        <v>3065</v>
      </c>
      <c r="H930" s="4" t="str">
        <f t="shared" si="17"/>
        <v>No</v>
      </c>
      <c r="I930" s="56"/>
    </row>
    <row r="931" spans="1:9">
      <c r="A931" s="97" t="s">
        <v>2473</v>
      </c>
      <c r="B931" s="97" t="s">
        <v>1618</v>
      </c>
      <c r="C931" s="163">
        <v>3408</v>
      </c>
      <c r="D931" s="95" t="s">
        <v>1623</v>
      </c>
      <c r="E931" s="142">
        <v>0.26013333333333333</v>
      </c>
      <c r="F931" s="4" t="s">
        <v>3065</v>
      </c>
      <c r="G931" s="4" t="s">
        <v>3065</v>
      </c>
      <c r="H931" s="4" t="str">
        <f t="shared" si="17"/>
        <v>No</v>
      </c>
      <c r="I931" s="56"/>
    </row>
    <row r="932" spans="1:9">
      <c r="A932" s="56" t="s">
        <v>2473</v>
      </c>
      <c r="B932" s="97" t="s">
        <v>1618</v>
      </c>
      <c r="C932" s="163">
        <v>2426</v>
      </c>
      <c r="D932" s="56" t="s">
        <v>1620</v>
      </c>
      <c r="E932" s="142">
        <v>0.23250000000000001</v>
      </c>
      <c r="F932" s="4" t="s">
        <v>3065</v>
      </c>
      <c r="G932" s="4" t="s">
        <v>3065</v>
      </c>
      <c r="H932" s="4" t="str">
        <f t="shared" si="17"/>
        <v>No</v>
      </c>
      <c r="I932" s="56"/>
    </row>
    <row r="933" spans="1:9">
      <c r="A933" s="97" t="s">
        <v>2473</v>
      </c>
      <c r="B933" s="97" t="s">
        <v>1618</v>
      </c>
      <c r="C933" s="163">
        <v>2884</v>
      </c>
      <c r="D933" s="95" t="s">
        <v>1621</v>
      </c>
      <c r="E933" s="142">
        <v>0.26026666666666665</v>
      </c>
      <c r="F933" s="4" t="s">
        <v>3065</v>
      </c>
      <c r="G933" s="4" t="s">
        <v>3065</v>
      </c>
      <c r="H933" s="4" t="str">
        <f t="shared" si="17"/>
        <v>No</v>
      </c>
      <c r="I933" s="56"/>
    </row>
    <row r="934" spans="1:9">
      <c r="A934" s="97" t="s">
        <v>2473</v>
      </c>
      <c r="B934" s="97" t="s">
        <v>1618</v>
      </c>
      <c r="C934" s="163">
        <v>4139</v>
      </c>
      <c r="D934" s="95" t="s">
        <v>1624</v>
      </c>
      <c r="E934" s="142">
        <v>0.27150000000000002</v>
      </c>
      <c r="F934" s="4" t="s">
        <v>3065</v>
      </c>
      <c r="G934" s="4" t="s">
        <v>3065</v>
      </c>
      <c r="H934" s="4" t="str">
        <f t="shared" si="17"/>
        <v>No</v>
      </c>
      <c r="I934" s="56"/>
    </row>
    <row r="935" spans="1:9">
      <c r="A935" s="97" t="s">
        <v>2473</v>
      </c>
      <c r="B935" s="97" t="s">
        <v>1618</v>
      </c>
      <c r="C935" s="163">
        <v>4392</v>
      </c>
      <c r="D935" s="95" t="s">
        <v>1625</v>
      </c>
      <c r="E935" s="142">
        <v>0.25600000000000001</v>
      </c>
      <c r="F935" s="4" t="s">
        <v>3065</v>
      </c>
      <c r="G935" s="4" t="s">
        <v>3065</v>
      </c>
      <c r="H935" s="4" t="str">
        <f t="shared" si="17"/>
        <v>No</v>
      </c>
      <c r="I935" s="56"/>
    </row>
    <row r="936" spans="1:9">
      <c r="A936" s="97" t="s">
        <v>2473</v>
      </c>
      <c r="B936" s="97" t="s">
        <v>1618</v>
      </c>
      <c r="C936" s="163">
        <v>5477</v>
      </c>
      <c r="D936" s="95" t="s">
        <v>2804</v>
      </c>
      <c r="E936" s="142">
        <v>0.26216666666666666</v>
      </c>
      <c r="F936" s="4" t="s">
        <v>3065</v>
      </c>
      <c r="G936" s="4" t="s">
        <v>3065</v>
      </c>
      <c r="H936" s="4" t="str">
        <f t="shared" si="17"/>
        <v>No</v>
      </c>
      <c r="I936" s="56"/>
    </row>
    <row r="937" spans="1:9">
      <c r="A937" s="97" t="s">
        <v>2473</v>
      </c>
      <c r="B937" s="97" t="s">
        <v>1618</v>
      </c>
      <c r="C937" s="163">
        <v>3753</v>
      </c>
      <c r="D937" s="95" t="s">
        <v>660</v>
      </c>
      <c r="E937" s="142">
        <v>0.22199999999999998</v>
      </c>
      <c r="F937" s="4" t="s">
        <v>3065</v>
      </c>
      <c r="G937" s="4" t="s">
        <v>3065</v>
      </c>
      <c r="H937" s="4" t="str">
        <f t="shared" si="17"/>
        <v>No</v>
      </c>
      <c r="I937" s="56"/>
    </row>
    <row r="938" spans="1:9">
      <c r="A938" s="97" t="s">
        <v>2364</v>
      </c>
      <c r="B938" s="97" t="s">
        <v>888</v>
      </c>
      <c r="C938" s="163">
        <v>4256</v>
      </c>
      <c r="D938" s="95" t="s">
        <v>927</v>
      </c>
      <c r="E938" s="142">
        <v>3.0166666666666665E-2</v>
      </c>
      <c r="F938" s="4" t="s">
        <v>3065</v>
      </c>
      <c r="G938" s="4" t="s">
        <v>3065</v>
      </c>
      <c r="H938" s="4" t="str">
        <f t="shared" si="17"/>
        <v>No</v>
      </c>
      <c r="I938" s="56"/>
    </row>
    <row r="939" spans="1:9">
      <c r="A939" s="97" t="s">
        <v>2364</v>
      </c>
      <c r="B939" s="97" t="s">
        <v>888</v>
      </c>
      <c r="C939" s="163">
        <v>3548</v>
      </c>
      <c r="D939" s="95" t="s">
        <v>908</v>
      </c>
      <c r="E939" s="142">
        <v>4.1066666666666661E-2</v>
      </c>
      <c r="F939" s="4" t="s">
        <v>3065</v>
      </c>
      <c r="G939" s="4" t="s">
        <v>3065</v>
      </c>
      <c r="H939" s="4" t="str">
        <f t="shared" si="17"/>
        <v>No</v>
      </c>
      <c r="I939" s="56"/>
    </row>
    <row r="940" spans="1:9">
      <c r="A940" s="97" t="s">
        <v>2364</v>
      </c>
      <c r="B940" s="97" t="s">
        <v>888</v>
      </c>
      <c r="C940" s="163">
        <v>3592</v>
      </c>
      <c r="D940" s="95" t="s">
        <v>910</v>
      </c>
      <c r="E940" s="142">
        <v>0.19026666666666667</v>
      </c>
      <c r="F940" s="4" t="s">
        <v>3065</v>
      </c>
      <c r="G940" s="4" t="s">
        <v>3065</v>
      </c>
      <c r="H940" s="4" t="str">
        <f t="shared" si="17"/>
        <v>No</v>
      </c>
      <c r="I940" s="56"/>
    </row>
    <row r="941" spans="1:9">
      <c r="A941" s="97" t="s">
        <v>2364</v>
      </c>
      <c r="B941" s="97" t="s">
        <v>888</v>
      </c>
      <c r="C941" s="163">
        <v>4532</v>
      </c>
      <c r="D941" s="95" t="s">
        <v>934</v>
      </c>
      <c r="E941" s="142">
        <v>1.5133333333333332E-2</v>
      </c>
      <c r="F941" s="4" t="s">
        <v>3065</v>
      </c>
      <c r="G941" s="4" t="s">
        <v>3065</v>
      </c>
      <c r="H941" s="4" t="str">
        <f t="shared" si="17"/>
        <v>No</v>
      </c>
      <c r="I941" s="56"/>
    </row>
    <row r="942" spans="1:9">
      <c r="A942" s="97" t="s">
        <v>2364</v>
      </c>
      <c r="B942" s="97" t="s">
        <v>888</v>
      </c>
      <c r="C942" s="163">
        <v>5139</v>
      </c>
      <c r="D942" s="95" t="s">
        <v>937</v>
      </c>
      <c r="E942" s="142">
        <v>2.0933333333333332E-2</v>
      </c>
      <c r="F942" s="4" t="s">
        <v>3065</v>
      </c>
      <c r="G942" s="4" t="s">
        <v>3065</v>
      </c>
      <c r="H942" s="4" t="str">
        <f t="shared" si="17"/>
        <v>No</v>
      </c>
      <c r="I942" s="56"/>
    </row>
    <row r="943" spans="1:9">
      <c r="A943" s="97" t="s">
        <v>2364</v>
      </c>
      <c r="B943" s="97" t="s">
        <v>888</v>
      </c>
      <c r="C943" s="163">
        <v>5511</v>
      </c>
      <c r="D943" s="95" t="s">
        <v>2805</v>
      </c>
      <c r="E943" s="142">
        <v>0.14229999999999998</v>
      </c>
      <c r="F943" s="4" t="s">
        <v>3065</v>
      </c>
      <c r="G943" s="4" t="s">
        <v>3065</v>
      </c>
      <c r="H943" s="4" t="str">
        <f t="shared" si="17"/>
        <v>No</v>
      </c>
      <c r="I943" s="56"/>
    </row>
    <row r="944" spans="1:9">
      <c r="A944" s="97" t="s">
        <v>2364</v>
      </c>
      <c r="B944" s="97" t="s">
        <v>888</v>
      </c>
      <c r="C944" s="163">
        <v>3856</v>
      </c>
      <c r="D944" s="95" t="s">
        <v>919</v>
      </c>
      <c r="E944" s="142">
        <v>3.4133333333333335E-2</v>
      </c>
      <c r="F944" s="4" t="s">
        <v>3065</v>
      </c>
      <c r="G944" s="4" t="s">
        <v>3065</v>
      </c>
      <c r="H944" s="4" t="str">
        <f t="shared" si="17"/>
        <v>No</v>
      </c>
      <c r="I944" s="56"/>
    </row>
    <row r="945" spans="1:9">
      <c r="A945" s="97" t="s">
        <v>2364</v>
      </c>
      <c r="B945" s="97" t="s">
        <v>888</v>
      </c>
      <c r="C945" s="163">
        <v>1649</v>
      </c>
      <c r="D945" s="95" t="s">
        <v>889</v>
      </c>
      <c r="E945" s="142">
        <v>0.11116666666666668</v>
      </c>
      <c r="F945" s="4" t="s">
        <v>3065</v>
      </c>
      <c r="G945" s="4" t="s">
        <v>3065</v>
      </c>
      <c r="H945" s="4" t="str">
        <f t="shared" si="17"/>
        <v>No</v>
      </c>
      <c r="I945" s="56"/>
    </row>
    <row r="946" spans="1:9">
      <c r="A946" s="97" t="s">
        <v>2364</v>
      </c>
      <c r="B946" s="97" t="s">
        <v>888</v>
      </c>
      <c r="C946" s="163">
        <v>4018</v>
      </c>
      <c r="D946" s="95" t="s">
        <v>922</v>
      </c>
      <c r="E946" s="142">
        <v>6.6100000000000006E-2</v>
      </c>
      <c r="F946" s="4" t="s">
        <v>3065</v>
      </c>
      <c r="G946" s="4" t="s">
        <v>3065</v>
      </c>
      <c r="H946" s="4" t="str">
        <f t="shared" si="17"/>
        <v>No</v>
      </c>
      <c r="I946" s="56"/>
    </row>
    <row r="947" spans="1:9">
      <c r="A947" s="97" t="s">
        <v>2364</v>
      </c>
      <c r="B947" s="97" t="s">
        <v>888</v>
      </c>
      <c r="C947" s="163">
        <v>1658</v>
      </c>
      <c r="D947" s="95" t="s">
        <v>890</v>
      </c>
      <c r="E947" s="142">
        <v>4.2833333333333334E-2</v>
      </c>
      <c r="F947" s="4" t="s">
        <v>3065</v>
      </c>
      <c r="G947" s="4" t="s">
        <v>3065</v>
      </c>
      <c r="H947" s="4" t="str">
        <f t="shared" si="17"/>
        <v>No</v>
      </c>
      <c r="I947" s="56"/>
    </row>
    <row r="948" spans="1:9">
      <c r="A948" s="97" t="s">
        <v>2364</v>
      </c>
      <c r="B948" s="97" t="s">
        <v>888</v>
      </c>
      <c r="C948" s="163">
        <v>4439</v>
      </c>
      <c r="D948" s="95" t="s">
        <v>933</v>
      </c>
      <c r="E948" s="142">
        <v>3.266666666666667E-2</v>
      </c>
      <c r="F948" s="4" t="s">
        <v>3065</v>
      </c>
      <c r="G948" s="4" t="s">
        <v>3065</v>
      </c>
      <c r="H948" s="4" t="str">
        <f t="shared" si="17"/>
        <v>No</v>
      </c>
      <c r="I948" s="56"/>
    </row>
    <row r="949" spans="1:9">
      <c r="A949" s="97" t="s">
        <v>2364</v>
      </c>
      <c r="B949" s="97" t="s">
        <v>888</v>
      </c>
      <c r="C949" s="163">
        <v>4424</v>
      </c>
      <c r="D949" s="95" t="s">
        <v>932</v>
      </c>
      <c r="E949" s="142">
        <v>0.14673333333333335</v>
      </c>
      <c r="F949" s="4" t="s">
        <v>3065</v>
      </c>
      <c r="G949" s="4" t="s">
        <v>3065</v>
      </c>
      <c r="H949" s="4" t="str">
        <f t="shared" si="17"/>
        <v>No</v>
      </c>
      <c r="I949" s="56"/>
    </row>
    <row r="950" spans="1:9">
      <c r="A950" s="97" t="s">
        <v>2364</v>
      </c>
      <c r="B950" s="97" t="s">
        <v>888</v>
      </c>
      <c r="C950" s="163">
        <v>5512</v>
      </c>
      <c r="D950" s="95" t="s">
        <v>2806</v>
      </c>
      <c r="E950" s="142">
        <v>0.11509999999999999</v>
      </c>
      <c r="F950" s="4" t="s">
        <v>3065</v>
      </c>
      <c r="G950" s="4" t="s">
        <v>3065</v>
      </c>
      <c r="H950" s="4" t="str">
        <f t="shared" si="17"/>
        <v>No</v>
      </c>
      <c r="I950" s="56"/>
    </row>
    <row r="951" spans="1:9">
      <c r="A951" s="97" t="s">
        <v>2364</v>
      </c>
      <c r="B951" s="97" t="s">
        <v>888</v>
      </c>
      <c r="C951" s="163">
        <v>3855</v>
      </c>
      <c r="D951" s="95" t="s">
        <v>918</v>
      </c>
      <c r="E951" s="142">
        <v>0.18520000000000003</v>
      </c>
      <c r="F951" s="4" t="s">
        <v>3065</v>
      </c>
      <c r="G951" s="4" t="s">
        <v>3065</v>
      </c>
      <c r="H951" s="4" t="str">
        <f t="shared" si="17"/>
        <v>No</v>
      </c>
      <c r="I951" s="56"/>
    </row>
    <row r="952" spans="1:9">
      <c r="A952" s="97" t="s">
        <v>2364</v>
      </c>
      <c r="B952" s="97" t="s">
        <v>888</v>
      </c>
      <c r="C952" s="163">
        <v>1688</v>
      </c>
      <c r="D952" s="95" t="s">
        <v>892</v>
      </c>
      <c r="E952" s="142">
        <v>6.7733333333333326E-2</v>
      </c>
      <c r="F952" s="4" t="s">
        <v>3065</v>
      </c>
      <c r="G952" s="4" t="s">
        <v>3065</v>
      </c>
      <c r="H952" s="4" t="str">
        <f t="shared" si="17"/>
        <v>No</v>
      </c>
      <c r="I952" s="56"/>
    </row>
    <row r="953" spans="1:9">
      <c r="A953" s="97" t="s">
        <v>2364</v>
      </c>
      <c r="B953" s="97" t="s">
        <v>888</v>
      </c>
      <c r="C953" s="163">
        <v>1800</v>
      </c>
      <c r="D953" s="95" t="s">
        <v>894</v>
      </c>
      <c r="E953" s="142">
        <v>3.8300000000000001E-2</v>
      </c>
      <c r="F953" s="4" t="s">
        <v>3065</v>
      </c>
      <c r="G953" s="4" t="s">
        <v>3065</v>
      </c>
      <c r="H953" s="4" t="str">
        <f t="shared" si="17"/>
        <v>No</v>
      </c>
      <c r="I953" s="56"/>
    </row>
    <row r="954" spans="1:9">
      <c r="A954" s="97" t="s">
        <v>2364</v>
      </c>
      <c r="B954" s="97" t="s">
        <v>888</v>
      </c>
      <c r="C954" s="163">
        <v>4148</v>
      </c>
      <c r="D954" s="95" t="s">
        <v>925</v>
      </c>
      <c r="E954" s="142">
        <v>7.226666666666666E-2</v>
      </c>
      <c r="F954" s="4" t="s">
        <v>3065</v>
      </c>
      <c r="G954" s="4" t="s">
        <v>3065</v>
      </c>
      <c r="H954" s="4" t="str">
        <f t="shared" si="17"/>
        <v>No</v>
      </c>
      <c r="I954" s="56"/>
    </row>
    <row r="955" spans="1:9">
      <c r="A955" s="97" t="s">
        <v>2364</v>
      </c>
      <c r="B955" s="97" t="s">
        <v>888</v>
      </c>
      <c r="C955" s="163">
        <v>1687</v>
      </c>
      <c r="D955" s="95" t="s">
        <v>891</v>
      </c>
      <c r="E955" s="142">
        <v>0.02</v>
      </c>
      <c r="F955" s="4" t="s">
        <v>3065</v>
      </c>
      <c r="G955" s="4" t="s">
        <v>3065</v>
      </c>
      <c r="H955" s="4" t="str">
        <f t="shared" si="17"/>
        <v>No</v>
      </c>
      <c r="I955" s="56"/>
    </row>
    <row r="956" spans="1:9">
      <c r="A956" s="97" t="s">
        <v>2364</v>
      </c>
      <c r="B956" s="97" t="s">
        <v>888</v>
      </c>
      <c r="C956" s="163">
        <v>3590</v>
      </c>
      <c r="D956" s="95" t="s">
        <v>909</v>
      </c>
      <c r="E956" s="142">
        <v>0.16159999999999999</v>
      </c>
      <c r="F956" s="4" t="s">
        <v>3065</v>
      </c>
      <c r="G956" s="4" t="s">
        <v>3065</v>
      </c>
      <c r="H956" s="4" t="str">
        <f t="shared" si="17"/>
        <v>No</v>
      </c>
      <c r="I956" s="56"/>
    </row>
    <row r="957" spans="1:9">
      <c r="A957" s="97" t="s">
        <v>2364</v>
      </c>
      <c r="B957" s="97" t="s">
        <v>888</v>
      </c>
      <c r="C957" s="163">
        <v>3591</v>
      </c>
      <c r="D957" s="95" t="s">
        <v>139</v>
      </c>
      <c r="E957" s="142">
        <v>5.4433333333333334E-2</v>
      </c>
      <c r="F957" s="4" t="s">
        <v>3065</v>
      </c>
      <c r="G957" s="4" t="s">
        <v>3065</v>
      </c>
      <c r="H957" s="4" t="str">
        <f t="shared" si="17"/>
        <v>No</v>
      </c>
      <c r="I957" s="56"/>
    </row>
    <row r="958" spans="1:9">
      <c r="A958" s="97" t="s">
        <v>2364</v>
      </c>
      <c r="B958" s="97" t="s">
        <v>888</v>
      </c>
      <c r="C958" s="163">
        <v>3675</v>
      </c>
      <c r="D958" s="95" t="s">
        <v>911</v>
      </c>
      <c r="E958" s="142">
        <v>0.26233333333333331</v>
      </c>
      <c r="F958" s="4" t="s">
        <v>3065</v>
      </c>
      <c r="G958" s="4" t="s">
        <v>3065</v>
      </c>
      <c r="H958" s="4" t="str">
        <f t="shared" si="17"/>
        <v>No</v>
      </c>
      <c r="I958" s="56"/>
    </row>
    <row r="959" spans="1:9">
      <c r="A959" s="97" t="s">
        <v>2364</v>
      </c>
      <c r="B959" s="97" t="s">
        <v>888</v>
      </c>
      <c r="C959" s="163">
        <v>1804</v>
      </c>
      <c r="D959" s="95" t="s">
        <v>895</v>
      </c>
      <c r="E959" s="142">
        <v>0.33516666666666667</v>
      </c>
      <c r="F959" s="4" t="s">
        <v>3065</v>
      </c>
      <c r="G959" s="4" t="s">
        <v>3065</v>
      </c>
      <c r="H959" s="4" t="str">
        <f t="shared" si="17"/>
        <v>No</v>
      </c>
      <c r="I959" s="56"/>
    </row>
    <row r="960" spans="1:9">
      <c r="A960" s="97" t="s">
        <v>2364</v>
      </c>
      <c r="B960" s="97" t="s">
        <v>888</v>
      </c>
      <c r="C960" s="163">
        <v>4386</v>
      </c>
      <c r="D960" s="95" t="s">
        <v>931</v>
      </c>
      <c r="E960" s="142">
        <v>3.203333333333333E-2</v>
      </c>
      <c r="F960" s="4" t="s">
        <v>3065</v>
      </c>
      <c r="G960" s="4" t="s">
        <v>3065</v>
      </c>
      <c r="H960" s="4" t="str">
        <f t="shared" si="17"/>
        <v>No</v>
      </c>
      <c r="I960" s="56"/>
    </row>
    <row r="961" spans="1:9">
      <c r="A961" s="97" t="s">
        <v>2364</v>
      </c>
      <c r="B961" s="97" t="s">
        <v>888</v>
      </c>
      <c r="C961" s="163">
        <v>1706</v>
      </c>
      <c r="D961" s="95" t="s">
        <v>893</v>
      </c>
      <c r="E961" s="142">
        <v>2.2799999999999997E-2</v>
      </c>
      <c r="F961" s="4" t="s">
        <v>3065</v>
      </c>
      <c r="G961" s="4" t="s">
        <v>3065</v>
      </c>
      <c r="H961" s="4" t="str">
        <f t="shared" si="17"/>
        <v>No</v>
      </c>
      <c r="I961" s="56"/>
    </row>
    <row r="962" spans="1:9">
      <c r="A962" s="97" t="s">
        <v>2364</v>
      </c>
      <c r="B962" s="97" t="s">
        <v>888</v>
      </c>
      <c r="C962" s="163">
        <v>2796</v>
      </c>
      <c r="D962" s="95" t="s">
        <v>900</v>
      </c>
      <c r="E962" s="142">
        <v>0.18356666666666666</v>
      </c>
      <c r="F962" s="4" t="s">
        <v>3065</v>
      </c>
      <c r="G962" s="4" t="s">
        <v>3065</v>
      </c>
      <c r="H962" s="4" t="str">
        <f t="shared" si="17"/>
        <v>No</v>
      </c>
      <c r="I962" s="56"/>
    </row>
    <row r="963" spans="1:9">
      <c r="A963" s="97" t="s">
        <v>2364</v>
      </c>
      <c r="B963" s="97" t="s">
        <v>888</v>
      </c>
      <c r="C963" s="163">
        <v>3771</v>
      </c>
      <c r="D963" s="95" t="s">
        <v>917</v>
      </c>
      <c r="E963" s="142">
        <v>0.20109999999999997</v>
      </c>
      <c r="F963" s="4" t="s">
        <v>3065</v>
      </c>
      <c r="G963" s="4" t="s">
        <v>3065</v>
      </c>
      <c r="H963" s="4" t="str">
        <f t="shared" ref="H963:H1026" si="18">IFERROR(IF(AND(G963="Yes",F963="No"),"Yes","No"),"No")</f>
        <v>No</v>
      </c>
      <c r="I963" s="56"/>
    </row>
    <row r="964" spans="1:9">
      <c r="A964" s="97" t="s">
        <v>2364</v>
      </c>
      <c r="B964" s="97" t="s">
        <v>888</v>
      </c>
      <c r="C964" s="163">
        <v>3922</v>
      </c>
      <c r="D964" s="95" t="s">
        <v>920</v>
      </c>
      <c r="E964" s="142">
        <v>0.2679333333333333</v>
      </c>
      <c r="F964" s="4" t="s">
        <v>3065</v>
      </c>
      <c r="G964" s="4" t="s">
        <v>3065</v>
      </c>
      <c r="H964" s="4" t="str">
        <f t="shared" si="18"/>
        <v>No</v>
      </c>
      <c r="I964" s="56"/>
    </row>
    <row r="965" spans="1:9">
      <c r="A965" s="97" t="s">
        <v>2364</v>
      </c>
      <c r="B965" s="97" t="s">
        <v>888</v>
      </c>
      <c r="C965" s="163">
        <v>3704</v>
      </c>
      <c r="D965" s="95" t="s">
        <v>913</v>
      </c>
      <c r="E965" s="142">
        <v>0.19266666666666668</v>
      </c>
      <c r="F965" s="4" t="s">
        <v>3065</v>
      </c>
      <c r="G965" s="4" t="s">
        <v>3065</v>
      </c>
      <c r="H965" s="4" t="str">
        <f t="shared" si="18"/>
        <v>No</v>
      </c>
      <c r="I965" s="56"/>
    </row>
    <row r="966" spans="1:9">
      <c r="A966" s="97" t="s">
        <v>2364</v>
      </c>
      <c r="B966" s="97" t="s">
        <v>888</v>
      </c>
      <c r="C966" s="163">
        <v>3941</v>
      </c>
      <c r="D966" s="95" t="s">
        <v>921</v>
      </c>
      <c r="E966" s="142">
        <v>3.676666666666667E-2</v>
      </c>
      <c r="F966" s="4" t="s">
        <v>3065</v>
      </c>
      <c r="G966" s="4" t="s">
        <v>3065</v>
      </c>
      <c r="H966" s="4" t="str">
        <f t="shared" si="18"/>
        <v>No</v>
      </c>
      <c r="I966" s="56"/>
    </row>
    <row r="967" spans="1:9">
      <c r="A967" s="97" t="s">
        <v>2364</v>
      </c>
      <c r="B967" s="97" t="s">
        <v>888</v>
      </c>
      <c r="C967" s="163">
        <v>2308</v>
      </c>
      <c r="D967" s="95" t="s">
        <v>898</v>
      </c>
      <c r="E967" s="142">
        <v>9.6233333333333337E-2</v>
      </c>
      <c r="F967" s="4" t="s">
        <v>3065</v>
      </c>
      <c r="G967" s="4" t="s">
        <v>3065</v>
      </c>
      <c r="H967" s="4" t="str">
        <f t="shared" si="18"/>
        <v>No</v>
      </c>
      <c r="I967" s="56"/>
    </row>
    <row r="968" spans="1:9">
      <c r="A968" s="97" t="s">
        <v>2364</v>
      </c>
      <c r="B968" s="97" t="s">
        <v>888</v>
      </c>
      <c r="C968" s="163">
        <v>2739</v>
      </c>
      <c r="D968" s="95" t="s">
        <v>899</v>
      </c>
      <c r="E968" s="142">
        <v>0.12136666666666666</v>
      </c>
      <c r="F968" s="4" t="s">
        <v>3065</v>
      </c>
      <c r="G968" s="4" t="s">
        <v>3065</v>
      </c>
      <c r="H968" s="4" t="str">
        <f t="shared" si="18"/>
        <v>No</v>
      </c>
      <c r="I968" s="56"/>
    </row>
    <row r="969" spans="1:9">
      <c r="A969" s="97" t="s">
        <v>2364</v>
      </c>
      <c r="B969" s="97" t="s">
        <v>888</v>
      </c>
      <c r="C969" s="163">
        <v>5678</v>
      </c>
      <c r="D969" s="95" t="s">
        <v>3024</v>
      </c>
      <c r="E969" s="142">
        <v>7.2099999999999997E-2</v>
      </c>
      <c r="F969" s="4" t="s">
        <v>3065</v>
      </c>
      <c r="G969" s="4" t="s">
        <v>3065</v>
      </c>
      <c r="H969" s="4" t="str">
        <f t="shared" si="18"/>
        <v>No</v>
      </c>
      <c r="I969" s="56"/>
    </row>
    <row r="970" spans="1:9">
      <c r="A970" s="97" t="s">
        <v>2364</v>
      </c>
      <c r="B970" s="97" t="s">
        <v>888</v>
      </c>
      <c r="C970" s="163">
        <v>3041</v>
      </c>
      <c r="D970" s="95" t="s">
        <v>902</v>
      </c>
      <c r="E970" s="142">
        <v>0.12726666666666667</v>
      </c>
      <c r="F970" s="4" t="s">
        <v>3065</v>
      </c>
      <c r="G970" s="4" t="s">
        <v>3065</v>
      </c>
      <c r="H970" s="4" t="str">
        <f t="shared" si="18"/>
        <v>No</v>
      </c>
      <c r="I970" s="56"/>
    </row>
    <row r="971" spans="1:9">
      <c r="A971" s="97" t="s">
        <v>2364</v>
      </c>
      <c r="B971" s="97" t="s">
        <v>888</v>
      </c>
      <c r="C971" s="163">
        <v>3529</v>
      </c>
      <c r="D971" s="95" t="s">
        <v>907</v>
      </c>
      <c r="E971" s="142">
        <v>3.7233333333333334E-2</v>
      </c>
      <c r="F971" s="4" t="s">
        <v>3065</v>
      </c>
      <c r="G971" s="4" t="s">
        <v>3065</v>
      </c>
      <c r="H971" s="4" t="str">
        <f t="shared" si="18"/>
        <v>No</v>
      </c>
      <c r="I971" s="56"/>
    </row>
    <row r="972" spans="1:9">
      <c r="A972" s="97" t="s">
        <v>2364</v>
      </c>
      <c r="B972" s="97" t="s">
        <v>888</v>
      </c>
      <c r="C972" s="163">
        <v>4354</v>
      </c>
      <c r="D972" s="95" t="s">
        <v>930</v>
      </c>
      <c r="E972" s="142">
        <v>1.6899999999999998E-2</v>
      </c>
      <c r="F972" s="4" t="s">
        <v>3065</v>
      </c>
      <c r="G972" s="4" t="s">
        <v>3065</v>
      </c>
      <c r="H972" s="4" t="str">
        <f t="shared" si="18"/>
        <v>No</v>
      </c>
      <c r="I972" s="56"/>
    </row>
    <row r="973" spans="1:9">
      <c r="A973" s="97" t="s">
        <v>2364</v>
      </c>
      <c r="B973" s="97" t="s">
        <v>888</v>
      </c>
      <c r="C973" s="163">
        <v>4096</v>
      </c>
      <c r="D973" s="95" t="s">
        <v>923</v>
      </c>
      <c r="E973" s="142">
        <v>2.9833333333333333E-2</v>
      </c>
      <c r="F973" s="4" t="s">
        <v>3065</v>
      </c>
      <c r="G973" s="4" t="s">
        <v>3065</v>
      </c>
      <c r="H973" s="4" t="str">
        <f t="shared" si="18"/>
        <v>No</v>
      </c>
      <c r="I973" s="56"/>
    </row>
    <row r="974" spans="1:9">
      <c r="A974" s="97" t="s">
        <v>2364</v>
      </c>
      <c r="B974" s="97" t="s">
        <v>888</v>
      </c>
      <c r="C974" s="163">
        <v>3748</v>
      </c>
      <c r="D974" s="95" t="s">
        <v>916</v>
      </c>
      <c r="E974" s="142">
        <v>0.29093333333333332</v>
      </c>
      <c r="F974" s="4" t="s">
        <v>3065</v>
      </c>
      <c r="G974" s="4" t="s">
        <v>3065</v>
      </c>
      <c r="H974" s="4" t="str">
        <f t="shared" si="18"/>
        <v>No</v>
      </c>
      <c r="I974" s="56"/>
    </row>
    <row r="975" spans="1:9">
      <c r="A975" s="97" t="s">
        <v>2364</v>
      </c>
      <c r="B975" s="97" t="s">
        <v>888</v>
      </c>
      <c r="C975" s="163">
        <v>4167</v>
      </c>
      <c r="D975" s="95" t="s">
        <v>926</v>
      </c>
      <c r="E975" s="142">
        <v>0</v>
      </c>
      <c r="F975" s="4" t="s">
        <v>3065</v>
      </c>
      <c r="G975" s="4" t="s">
        <v>3065</v>
      </c>
      <c r="H975" s="4" t="str">
        <f t="shared" si="18"/>
        <v>No</v>
      </c>
      <c r="I975" s="56"/>
    </row>
    <row r="976" spans="1:9">
      <c r="A976" s="97" t="s">
        <v>2364</v>
      </c>
      <c r="B976" s="97" t="s">
        <v>888</v>
      </c>
      <c r="C976" s="163">
        <v>2289</v>
      </c>
      <c r="D976" s="95" t="s">
        <v>897</v>
      </c>
      <c r="E976" s="142">
        <v>0.17403333333333335</v>
      </c>
      <c r="F976" s="4" t="s">
        <v>3065</v>
      </c>
      <c r="G976" s="4" t="s">
        <v>3065</v>
      </c>
      <c r="H976" s="4" t="str">
        <f t="shared" si="18"/>
        <v>No</v>
      </c>
      <c r="I976" s="56"/>
    </row>
    <row r="977" spans="1:9">
      <c r="A977" s="97" t="s">
        <v>2364</v>
      </c>
      <c r="B977" s="97" t="s">
        <v>888</v>
      </c>
      <c r="C977" s="163">
        <v>3528</v>
      </c>
      <c r="D977" s="95" t="s">
        <v>906</v>
      </c>
      <c r="E977" s="142">
        <v>0.11699999999999999</v>
      </c>
      <c r="F977" s="4" t="s">
        <v>3065</v>
      </c>
      <c r="G977" s="4" t="s">
        <v>3065</v>
      </c>
      <c r="H977" s="4" t="str">
        <f t="shared" si="18"/>
        <v>No</v>
      </c>
      <c r="I977" s="56"/>
    </row>
    <row r="978" spans="1:9">
      <c r="A978" s="97" t="s">
        <v>2364</v>
      </c>
      <c r="B978" s="97" t="s">
        <v>888</v>
      </c>
      <c r="C978" s="163">
        <v>3232</v>
      </c>
      <c r="D978" s="95" t="s">
        <v>903</v>
      </c>
      <c r="E978" s="142">
        <v>0.13039999999999999</v>
      </c>
      <c r="F978" s="4" t="s">
        <v>3065</v>
      </c>
      <c r="G978" s="4" t="s">
        <v>3065</v>
      </c>
      <c r="H978" s="4" t="str">
        <f t="shared" si="18"/>
        <v>No</v>
      </c>
      <c r="I978" s="56"/>
    </row>
    <row r="979" spans="1:9">
      <c r="A979" s="97" t="s">
        <v>2364</v>
      </c>
      <c r="B979" s="97" t="s">
        <v>888</v>
      </c>
      <c r="C979" s="163">
        <v>5057</v>
      </c>
      <c r="D979" s="95" t="s">
        <v>936</v>
      </c>
      <c r="E979" s="142">
        <v>6.1766666666666664E-2</v>
      </c>
      <c r="F979" s="4" t="s">
        <v>3065</v>
      </c>
      <c r="G979" s="4" t="s">
        <v>3065</v>
      </c>
      <c r="H979" s="4" t="str">
        <f t="shared" si="18"/>
        <v>No</v>
      </c>
      <c r="I979" s="56"/>
    </row>
    <row r="980" spans="1:9">
      <c r="A980" s="97" t="s">
        <v>2364</v>
      </c>
      <c r="B980" s="97" t="s">
        <v>888</v>
      </c>
      <c r="C980" s="163">
        <v>4147</v>
      </c>
      <c r="D980" s="95" t="s">
        <v>924</v>
      </c>
      <c r="E980" s="142">
        <v>5.6833333333333326E-2</v>
      </c>
      <c r="F980" s="4" t="s">
        <v>3065</v>
      </c>
      <c r="G980" s="4" t="s">
        <v>3065</v>
      </c>
      <c r="H980" s="4" t="str">
        <f t="shared" si="18"/>
        <v>No</v>
      </c>
      <c r="I980" s="56"/>
    </row>
    <row r="981" spans="1:9">
      <c r="A981" s="97" t="s">
        <v>2364</v>
      </c>
      <c r="B981" s="97" t="s">
        <v>888</v>
      </c>
      <c r="C981" s="163">
        <v>5053</v>
      </c>
      <c r="D981" s="95" t="s">
        <v>935</v>
      </c>
      <c r="E981" s="142">
        <v>2.3533333333333333E-2</v>
      </c>
      <c r="F981" s="4" t="s">
        <v>3065</v>
      </c>
      <c r="G981" s="4" t="s">
        <v>3065</v>
      </c>
      <c r="H981" s="4" t="str">
        <f t="shared" si="18"/>
        <v>No</v>
      </c>
      <c r="I981" s="56"/>
    </row>
    <row r="982" spans="1:9">
      <c r="A982" s="97" t="s">
        <v>2364</v>
      </c>
      <c r="B982" s="97" t="s">
        <v>888</v>
      </c>
      <c r="C982" s="163">
        <v>2992</v>
      </c>
      <c r="D982" s="95" t="s">
        <v>901</v>
      </c>
      <c r="E982" s="142">
        <v>0.17336666666666667</v>
      </c>
      <c r="F982" s="4" t="s">
        <v>3065</v>
      </c>
      <c r="G982" s="4" t="s">
        <v>3065</v>
      </c>
      <c r="H982" s="4" t="str">
        <f t="shared" si="18"/>
        <v>No</v>
      </c>
      <c r="I982" s="56"/>
    </row>
    <row r="983" spans="1:9">
      <c r="A983" s="97" t="s">
        <v>2364</v>
      </c>
      <c r="B983" s="97" t="s">
        <v>888</v>
      </c>
      <c r="C983" s="163">
        <v>3706</v>
      </c>
      <c r="D983" s="95" t="s">
        <v>914</v>
      </c>
      <c r="E983" s="142">
        <v>0.12636666666666665</v>
      </c>
      <c r="F983" s="4" t="s">
        <v>3065</v>
      </c>
      <c r="G983" s="4" t="s">
        <v>3065</v>
      </c>
      <c r="H983" s="4" t="str">
        <f t="shared" si="18"/>
        <v>No</v>
      </c>
      <c r="I983" s="56"/>
    </row>
    <row r="984" spans="1:9">
      <c r="A984" s="97" t="s">
        <v>2364</v>
      </c>
      <c r="B984" s="97" t="s">
        <v>888</v>
      </c>
      <c r="C984" s="163">
        <v>3703</v>
      </c>
      <c r="D984" s="95" t="s">
        <v>912</v>
      </c>
      <c r="E984" s="142">
        <v>4.6533333333333336E-2</v>
      </c>
      <c r="F984" s="4" t="s">
        <v>3065</v>
      </c>
      <c r="G984" s="4" t="s">
        <v>3065</v>
      </c>
      <c r="H984" s="4" t="str">
        <f t="shared" si="18"/>
        <v>No</v>
      </c>
      <c r="I984" s="56"/>
    </row>
    <row r="985" spans="1:9">
      <c r="A985" s="97" t="s">
        <v>2364</v>
      </c>
      <c r="B985" s="97" t="s">
        <v>888</v>
      </c>
      <c r="C985" s="163">
        <v>3747</v>
      </c>
      <c r="D985" s="95" t="s">
        <v>915</v>
      </c>
      <c r="E985" s="142">
        <v>6.246666666666667E-2</v>
      </c>
      <c r="F985" s="4" t="s">
        <v>3065</v>
      </c>
      <c r="G985" s="4" t="s">
        <v>3065</v>
      </c>
      <c r="H985" s="4" t="str">
        <f t="shared" si="18"/>
        <v>No</v>
      </c>
      <c r="I985" s="56"/>
    </row>
    <row r="986" spans="1:9">
      <c r="A986" s="97" t="s">
        <v>2364</v>
      </c>
      <c r="B986" s="97" t="s">
        <v>888</v>
      </c>
      <c r="C986" s="163">
        <v>4302</v>
      </c>
      <c r="D986" s="95" t="s">
        <v>928</v>
      </c>
      <c r="E986" s="142">
        <v>1.3766666666666665E-2</v>
      </c>
      <c r="F986" s="4" t="s">
        <v>3065</v>
      </c>
      <c r="G986" s="4" t="s">
        <v>3065</v>
      </c>
      <c r="H986" s="4" t="str">
        <f t="shared" si="18"/>
        <v>No</v>
      </c>
      <c r="I986" s="56"/>
    </row>
    <row r="987" spans="1:9">
      <c r="A987" s="97" t="s">
        <v>2364</v>
      </c>
      <c r="B987" s="97" t="s">
        <v>888</v>
      </c>
      <c r="C987" s="163">
        <v>1975</v>
      </c>
      <c r="D987" s="95" t="s">
        <v>896</v>
      </c>
      <c r="E987" s="142">
        <v>3.7366666666666666E-2</v>
      </c>
      <c r="F987" s="4" t="s">
        <v>3065</v>
      </c>
      <c r="G987" s="4" t="s">
        <v>3065</v>
      </c>
      <c r="H987" s="4" t="str">
        <f t="shared" si="18"/>
        <v>No</v>
      </c>
      <c r="I987" s="56"/>
    </row>
    <row r="988" spans="1:9">
      <c r="A988" s="97" t="s">
        <v>2364</v>
      </c>
      <c r="B988" s="97" t="s">
        <v>888</v>
      </c>
      <c r="C988" s="163">
        <v>5265</v>
      </c>
      <c r="D988" s="95" t="s">
        <v>938</v>
      </c>
      <c r="E988" s="142">
        <v>1.8133333333333335E-2</v>
      </c>
      <c r="F988" s="4" t="s">
        <v>3065</v>
      </c>
      <c r="G988" s="4" t="s">
        <v>3065</v>
      </c>
      <c r="H988" s="4" t="str">
        <f t="shared" si="18"/>
        <v>No</v>
      </c>
      <c r="I988" s="56"/>
    </row>
    <row r="989" spans="1:9">
      <c r="A989" s="97" t="s">
        <v>2364</v>
      </c>
      <c r="B989" s="97" t="s">
        <v>888</v>
      </c>
      <c r="C989" s="163">
        <v>3490</v>
      </c>
      <c r="D989" s="95" t="s">
        <v>905</v>
      </c>
      <c r="E989" s="142">
        <v>9.6999999999999989E-2</v>
      </c>
      <c r="F989" s="4" t="s">
        <v>3065</v>
      </c>
      <c r="G989" s="4" t="s">
        <v>3065</v>
      </c>
      <c r="H989" s="4" t="str">
        <f t="shared" si="18"/>
        <v>No</v>
      </c>
      <c r="I989" s="56"/>
    </row>
    <row r="990" spans="1:9">
      <c r="A990" s="97" t="s">
        <v>2364</v>
      </c>
      <c r="B990" s="97" t="s">
        <v>888</v>
      </c>
      <c r="C990" s="163">
        <v>5597</v>
      </c>
      <c r="D990" s="95" t="s">
        <v>2828</v>
      </c>
      <c r="E990" s="142">
        <v>7.3666666666666672E-2</v>
      </c>
      <c r="F990" s="4" t="s">
        <v>3065</v>
      </c>
      <c r="G990" s="4" t="s">
        <v>3065</v>
      </c>
      <c r="H990" s="4" t="str">
        <f t="shared" si="18"/>
        <v>No</v>
      </c>
      <c r="I990" s="56"/>
    </row>
    <row r="991" spans="1:9">
      <c r="A991" s="97" t="s">
        <v>2364</v>
      </c>
      <c r="B991" s="97" t="s">
        <v>888</v>
      </c>
      <c r="C991" s="163">
        <v>3441</v>
      </c>
      <c r="D991" s="95" t="s">
        <v>904</v>
      </c>
      <c r="E991" s="142">
        <v>0.11969999999999999</v>
      </c>
      <c r="F991" s="4" t="s">
        <v>3065</v>
      </c>
      <c r="G991" s="4" t="s">
        <v>3065</v>
      </c>
      <c r="H991" s="4" t="str">
        <f t="shared" si="18"/>
        <v>No</v>
      </c>
      <c r="I991" s="56"/>
    </row>
    <row r="992" spans="1:9">
      <c r="A992" s="97" t="s">
        <v>2364</v>
      </c>
      <c r="B992" s="97" t="s">
        <v>888</v>
      </c>
      <c r="C992" s="163">
        <v>5958</v>
      </c>
      <c r="D992" s="95" t="s">
        <v>2722</v>
      </c>
      <c r="E992" s="142">
        <v>6.133333333333333E-2</v>
      </c>
      <c r="F992" s="4" t="s">
        <v>3065</v>
      </c>
      <c r="G992" s="4" t="s">
        <v>3065</v>
      </c>
      <c r="H992" s="4" t="str">
        <f t="shared" si="18"/>
        <v>No</v>
      </c>
      <c r="I992" s="56"/>
    </row>
    <row r="993" spans="1:9">
      <c r="A993" s="97" t="s">
        <v>2364</v>
      </c>
      <c r="B993" s="97" t="s">
        <v>888</v>
      </c>
      <c r="C993" s="163">
        <v>4336</v>
      </c>
      <c r="D993" s="95" t="s">
        <v>929</v>
      </c>
      <c r="E993" s="142">
        <v>2.6400000000000003E-2</v>
      </c>
      <c r="F993" s="4" t="s">
        <v>3065</v>
      </c>
      <c r="G993" s="4" t="s">
        <v>3065</v>
      </c>
      <c r="H993" s="4" t="str">
        <f t="shared" si="18"/>
        <v>No</v>
      </c>
      <c r="I993" s="56"/>
    </row>
    <row r="994" spans="1:9">
      <c r="A994" s="97" t="s">
        <v>2481</v>
      </c>
      <c r="B994" s="97" t="s">
        <v>1740</v>
      </c>
      <c r="C994" s="163">
        <v>4576</v>
      </c>
      <c r="D994" s="95" t="s">
        <v>1745</v>
      </c>
      <c r="E994" s="142">
        <v>0.3715</v>
      </c>
      <c r="F994" s="4" t="s">
        <v>3065</v>
      </c>
      <c r="G994" s="4" t="s">
        <v>3065</v>
      </c>
      <c r="H994" s="4" t="str">
        <f t="shared" si="18"/>
        <v>No</v>
      </c>
      <c r="I994" s="56"/>
    </row>
    <row r="995" spans="1:9">
      <c r="A995" s="97" t="s">
        <v>2481</v>
      </c>
      <c r="B995" s="97" t="s">
        <v>1740</v>
      </c>
      <c r="C995" s="163">
        <v>4477</v>
      </c>
      <c r="D995" s="95" t="s">
        <v>1744</v>
      </c>
      <c r="E995" s="142">
        <v>0.45166666666666666</v>
      </c>
      <c r="F995" s="4" t="s">
        <v>3065</v>
      </c>
      <c r="G995" s="4" t="s">
        <v>3065</v>
      </c>
      <c r="H995" s="4" t="str">
        <f t="shared" si="18"/>
        <v>No</v>
      </c>
      <c r="I995" s="56"/>
    </row>
    <row r="996" spans="1:9">
      <c r="A996" s="97" t="s">
        <v>2481</v>
      </c>
      <c r="B996" s="97" t="s">
        <v>1740</v>
      </c>
      <c r="C996" s="163">
        <v>3255</v>
      </c>
      <c r="D996" s="95" t="s">
        <v>1741</v>
      </c>
      <c r="E996" s="142">
        <v>0.45460000000000006</v>
      </c>
      <c r="F996" s="4" t="s">
        <v>3065</v>
      </c>
      <c r="G996" s="4" t="s">
        <v>3065</v>
      </c>
      <c r="H996" s="4" t="str">
        <f t="shared" si="18"/>
        <v>No</v>
      </c>
      <c r="I996" s="56"/>
    </row>
    <row r="997" spans="1:9">
      <c r="A997" s="97" t="s">
        <v>2481</v>
      </c>
      <c r="B997" s="97" t="s">
        <v>1740</v>
      </c>
      <c r="C997" s="163">
        <v>4204</v>
      </c>
      <c r="D997" s="95" t="s">
        <v>1743</v>
      </c>
      <c r="E997" s="142">
        <v>0.3508</v>
      </c>
      <c r="F997" s="4" t="s">
        <v>3065</v>
      </c>
      <c r="G997" s="4" t="s">
        <v>3065</v>
      </c>
      <c r="H997" s="4" t="str">
        <f t="shared" si="18"/>
        <v>No</v>
      </c>
      <c r="I997" s="56"/>
    </row>
    <row r="998" spans="1:9">
      <c r="A998" s="97" t="s">
        <v>2481</v>
      </c>
      <c r="B998" s="97" t="s">
        <v>1740</v>
      </c>
      <c r="C998" s="163">
        <v>3893</v>
      </c>
      <c r="D998" s="95" t="s">
        <v>1742</v>
      </c>
      <c r="E998" s="142">
        <v>0.42073333333333335</v>
      </c>
      <c r="F998" s="4" t="s">
        <v>3065</v>
      </c>
      <c r="G998" s="4" t="s">
        <v>3065</v>
      </c>
      <c r="H998" s="4" t="str">
        <f t="shared" si="18"/>
        <v>No</v>
      </c>
      <c r="I998" s="56"/>
    </row>
    <row r="999" spans="1:9">
      <c r="A999" s="97" t="s">
        <v>2541</v>
      </c>
      <c r="B999" s="97" t="s">
        <v>2133</v>
      </c>
      <c r="C999" s="163">
        <v>3137</v>
      </c>
      <c r="D999" s="95" t="s">
        <v>2134</v>
      </c>
      <c r="E999" s="142">
        <v>0.57726666666666671</v>
      </c>
      <c r="F999" s="4" t="s">
        <v>2752</v>
      </c>
      <c r="G999" s="4" t="s">
        <v>2752</v>
      </c>
      <c r="H999" s="4" t="str">
        <f t="shared" si="18"/>
        <v>No</v>
      </c>
      <c r="I999" s="56"/>
    </row>
    <row r="1000" spans="1:9">
      <c r="A1000" s="97" t="s">
        <v>2496</v>
      </c>
      <c r="B1000" s="97" t="s">
        <v>1895</v>
      </c>
      <c r="C1000" s="163">
        <v>3416</v>
      </c>
      <c r="D1000" s="95" t="s">
        <v>1896</v>
      </c>
      <c r="E1000" s="142">
        <v>0.27046666666666669</v>
      </c>
      <c r="F1000" s="4" t="s">
        <v>3065</v>
      </c>
      <c r="G1000" s="4" t="s">
        <v>3065</v>
      </c>
      <c r="H1000" s="4" t="str">
        <f t="shared" si="18"/>
        <v>No</v>
      </c>
      <c r="I1000" s="56"/>
    </row>
    <row r="1001" spans="1:9">
      <c r="A1001" s="97" t="s">
        <v>2496</v>
      </c>
      <c r="B1001" s="97" t="s">
        <v>1895</v>
      </c>
      <c r="C1001" s="163">
        <v>4226</v>
      </c>
      <c r="D1001" s="95" t="s">
        <v>1897</v>
      </c>
      <c r="E1001" s="142">
        <v>0.32503333333333334</v>
      </c>
      <c r="F1001" s="4" t="s">
        <v>3065</v>
      </c>
      <c r="G1001" s="4" t="s">
        <v>3065</v>
      </c>
      <c r="H1001" s="4" t="str">
        <f t="shared" si="18"/>
        <v>No</v>
      </c>
      <c r="I1001" s="56"/>
    </row>
    <row r="1002" spans="1:9">
      <c r="A1002" s="97" t="s">
        <v>2260</v>
      </c>
      <c r="B1002" s="97" t="s">
        <v>12</v>
      </c>
      <c r="C1002" s="163">
        <v>3421</v>
      </c>
      <c r="D1002" s="95" t="s">
        <v>14</v>
      </c>
      <c r="E1002" s="142">
        <v>0.66849999999999998</v>
      </c>
      <c r="F1002" s="4" t="s">
        <v>2752</v>
      </c>
      <c r="G1002" s="4" t="s">
        <v>2752</v>
      </c>
      <c r="H1002" s="4" t="str">
        <f t="shared" si="18"/>
        <v>No</v>
      </c>
      <c r="I1002" s="56"/>
    </row>
    <row r="1003" spans="1:9">
      <c r="A1003" s="97" t="s">
        <v>2260</v>
      </c>
      <c r="B1003" s="97" t="s">
        <v>12</v>
      </c>
      <c r="C1003" s="163">
        <v>2903</v>
      </c>
      <c r="D1003" s="95" t="s">
        <v>13</v>
      </c>
      <c r="E1003" s="142">
        <v>0.71896666666666664</v>
      </c>
      <c r="F1003" s="4" t="s">
        <v>2752</v>
      </c>
      <c r="G1003" s="4" t="s">
        <v>2752</v>
      </c>
      <c r="H1003" s="4" t="str">
        <f t="shared" si="18"/>
        <v>No</v>
      </c>
      <c r="I1003" s="56"/>
    </row>
    <row r="1004" spans="1:9">
      <c r="A1004" s="97" t="s">
        <v>2260</v>
      </c>
      <c r="B1004" s="97" t="s">
        <v>12</v>
      </c>
      <c r="C1004" s="163">
        <v>5293</v>
      </c>
      <c r="D1004" s="95" t="s">
        <v>15</v>
      </c>
      <c r="E1004" s="142">
        <v>0.66876666666666662</v>
      </c>
      <c r="F1004" s="4" t="s">
        <v>2752</v>
      </c>
      <c r="G1004" s="4" t="s">
        <v>2752</v>
      </c>
      <c r="H1004" s="4" t="str">
        <f t="shared" si="18"/>
        <v>No</v>
      </c>
      <c r="I1004" s="56"/>
    </row>
    <row r="1005" spans="1:9">
      <c r="A1005" s="97" t="s">
        <v>2295</v>
      </c>
      <c r="B1005" s="97" t="s">
        <v>296</v>
      </c>
      <c r="C1005" s="163">
        <v>3475</v>
      </c>
      <c r="D1005" s="95" t="s">
        <v>231</v>
      </c>
      <c r="E1005" s="142">
        <v>0.6222333333333333</v>
      </c>
      <c r="F1005" s="4" t="s">
        <v>2752</v>
      </c>
      <c r="G1005" s="4" t="s">
        <v>2752</v>
      </c>
      <c r="H1005" s="4" t="str">
        <f t="shared" si="18"/>
        <v>No</v>
      </c>
      <c r="I1005" s="56"/>
    </row>
    <row r="1006" spans="1:9">
      <c r="A1006" s="97" t="s">
        <v>2295</v>
      </c>
      <c r="B1006" s="97" t="s">
        <v>296</v>
      </c>
      <c r="C1006" s="163">
        <v>3211</v>
      </c>
      <c r="D1006" s="95" t="s">
        <v>306</v>
      </c>
      <c r="E1006" s="142">
        <v>0.51616666666666655</v>
      </c>
      <c r="F1006" s="4" t="s">
        <v>2752</v>
      </c>
      <c r="G1006" s="4" t="s">
        <v>2752</v>
      </c>
      <c r="H1006" s="4" t="str">
        <f t="shared" si="18"/>
        <v>No</v>
      </c>
      <c r="I1006" s="56"/>
    </row>
    <row r="1007" spans="1:9">
      <c r="A1007" s="97" t="s">
        <v>2295</v>
      </c>
      <c r="B1007" s="97" t="s">
        <v>296</v>
      </c>
      <c r="C1007" s="163">
        <v>2369</v>
      </c>
      <c r="D1007" s="95" t="s">
        <v>298</v>
      </c>
      <c r="E1007" s="142">
        <v>0.4931666666666667</v>
      </c>
      <c r="F1007" s="4" t="s">
        <v>3065</v>
      </c>
      <c r="G1007" s="4" t="s">
        <v>3065</v>
      </c>
      <c r="H1007" s="4" t="str">
        <f t="shared" si="18"/>
        <v>No</v>
      </c>
      <c r="I1007" s="56"/>
    </row>
    <row r="1008" spans="1:9">
      <c r="A1008" s="97" t="s">
        <v>2295</v>
      </c>
      <c r="B1008" s="97" t="s">
        <v>296</v>
      </c>
      <c r="C1008" s="163">
        <v>5312</v>
      </c>
      <c r="D1008" s="95" t="s">
        <v>309</v>
      </c>
      <c r="E1008" s="142">
        <v>0.73556666666666659</v>
      </c>
      <c r="F1008" s="4" t="s">
        <v>2752</v>
      </c>
      <c r="G1008" s="4" t="s">
        <v>2752</v>
      </c>
      <c r="H1008" s="4" t="str">
        <f t="shared" si="18"/>
        <v>No</v>
      </c>
      <c r="I1008" s="56"/>
    </row>
    <row r="1009" spans="1:9">
      <c r="A1009" s="97" t="s">
        <v>2295</v>
      </c>
      <c r="B1009" s="97" t="s">
        <v>296</v>
      </c>
      <c r="C1009" s="163">
        <v>5400</v>
      </c>
      <c r="D1009" s="95" t="s">
        <v>310</v>
      </c>
      <c r="E1009" s="142">
        <v>0.68593333333333339</v>
      </c>
      <c r="F1009" s="4" t="s">
        <v>2752</v>
      </c>
      <c r="G1009" s="4" t="s">
        <v>2752</v>
      </c>
      <c r="H1009" s="4" t="str">
        <f t="shared" si="18"/>
        <v>No</v>
      </c>
      <c r="I1009" s="56"/>
    </row>
    <row r="1010" spans="1:9">
      <c r="A1010" s="97" t="s">
        <v>2295</v>
      </c>
      <c r="B1010" s="97" t="s">
        <v>296</v>
      </c>
      <c r="C1010" s="163">
        <v>2319</v>
      </c>
      <c r="D1010" s="95" t="s">
        <v>297</v>
      </c>
      <c r="E1010" s="142">
        <v>0.78469999999999995</v>
      </c>
      <c r="F1010" s="4" t="s">
        <v>2752</v>
      </c>
      <c r="G1010" s="4" t="s">
        <v>2752</v>
      </c>
      <c r="H1010" s="4" t="str">
        <f t="shared" si="18"/>
        <v>No</v>
      </c>
      <c r="I1010" s="56"/>
    </row>
    <row r="1011" spans="1:9">
      <c r="A1011" s="97" t="s">
        <v>2295</v>
      </c>
      <c r="B1011" s="97" t="s">
        <v>296</v>
      </c>
      <c r="C1011" s="163">
        <v>5614</v>
      </c>
      <c r="D1011" s="95" t="s">
        <v>2887</v>
      </c>
      <c r="E1011" s="142">
        <v>0.58010000000000006</v>
      </c>
      <c r="F1011" s="4" t="s">
        <v>2752</v>
      </c>
      <c r="G1011" s="4" t="s">
        <v>3065</v>
      </c>
      <c r="H1011" s="4" t="str">
        <f t="shared" si="18"/>
        <v>No</v>
      </c>
      <c r="I1011" s="56"/>
    </row>
    <row r="1012" spans="1:9">
      <c r="A1012" s="97" t="s">
        <v>2295</v>
      </c>
      <c r="B1012" s="97" t="s">
        <v>296</v>
      </c>
      <c r="C1012" s="163">
        <v>3151</v>
      </c>
      <c r="D1012" s="95" t="s">
        <v>305</v>
      </c>
      <c r="E1012" s="142">
        <v>0.47120000000000006</v>
      </c>
      <c r="F1012" s="4" t="s">
        <v>3065</v>
      </c>
      <c r="G1012" s="4" t="s">
        <v>3065</v>
      </c>
      <c r="H1012" s="4" t="str">
        <f t="shared" si="18"/>
        <v>No</v>
      </c>
      <c r="I1012" s="56"/>
    </row>
    <row r="1013" spans="1:9">
      <c r="A1013" s="97" t="s">
        <v>2295</v>
      </c>
      <c r="B1013" s="97" t="s">
        <v>296</v>
      </c>
      <c r="C1013" s="163">
        <v>3658</v>
      </c>
      <c r="D1013" s="95" t="s">
        <v>307</v>
      </c>
      <c r="E1013" s="142">
        <v>0.72773333333333345</v>
      </c>
      <c r="F1013" s="4" t="s">
        <v>2752</v>
      </c>
      <c r="G1013" s="4" t="s">
        <v>2752</v>
      </c>
      <c r="H1013" s="4" t="str">
        <f t="shared" si="18"/>
        <v>No</v>
      </c>
      <c r="I1013" s="56"/>
    </row>
    <row r="1014" spans="1:9">
      <c r="A1014" s="97" t="s">
        <v>2295</v>
      </c>
      <c r="B1014" s="97" t="s">
        <v>296</v>
      </c>
      <c r="C1014" s="163">
        <v>2831</v>
      </c>
      <c r="D1014" s="95" t="s">
        <v>302</v>
      </c>
      <c r="E1014" s="142">
        <v>0.74026666666666652</v>
      </c>
      <c r="F1014" s="4" t="s">
        <v>2752</v>
      </c>
      <c r="G1014" s="4" t="s">
        <v>2752</v>
      </c>
      <c r="H1014" s="4" t="str">
        <f t="shared" si="18"/>
        <v>No</v>
      </c>
      <c r="I1014" s="56"/>
    </row>
    <row r="1015" spans="1:9">
      <c r="A1015" s="97" t="s">
        <v>2295</v>
      </c>
      <c r="B1015" s="97" t="s">
        <v>296</v>
      </c>
      <c r="C1015" s="163">
        <v>4574</v>
      </c>
      <c r="D1015" s="95" t="s">
        <v>308</v>
      </c>
      <c r="E1015" s="142">
        <v>0.53860000000000008</v>
      </c>
      <c r="F1015" s="4" t="s">
        <v>2752</v>
      </c>
      <c r="G1015" s="4" t="s">
        <v>2752</v>
      </c>
      <c r="H1015" s="4" t="str">
        <f t="shared" si="18"/>
        <v>No</v>
      </c>
      <c r="I1015" s="56"/>
    </row>
    <row r="1016" spans="1:9">
      <c r="A1016" s="97" t="s">
        <v>2295</v>
      </c>
      <c r="B1016" s="97" t="s">
        <v>296</v>
      </c>
      <c r="C1016" s="163">
        <v>2914</v>
      </c>
      <c r="D1016" s="95" t="s">
        <v>303</v>
      </c>
      <c r="E1016" s="142">
        <v>0.72506666666666675</v>
      </c>
      <c r="F1016" s="4" t="s">
        <v>2752</v>
      </c>
      <c r="G1016" s="4" t="s">
        <v>2752</v>
      </c>
      <c r="H1016" s="4" t="str">
        <f t="shared" si="18"/>
        <v>No</v>
      </c>
      <c r="I1016" s="56"/>
    </row>
    <row r="1017" spans="1:9">
      <c r="A1017" s="97" t="s">
        <v>2295</v>
      </c>
      <c r="B1017" s="97" t="s">
        <v>296</v>
      </c>
      <c r="C1017" s="163">
        <v>2726</v>
      </c>
      <c r="D1017" s="95" t="s">
        <v>301</v>
      </c>
      <c r="E1017" s="142">
        <v>0.71986666666666677</v>
      </c>
      <c r="F1017" s="4" t="s">
        <v>2752</v>
      </c>
      <c r="G1017" s="4" t="s">
        <v>2752</v>
      </c>
      <c r="H1017" s="4" t="str">
        <f t="shared" si="18"/>
        <v>No</v>
      </c>
      <c r="I1017" s="56"/>
    </row>
    <row r="1018" spans="1:9">
      <c r="A1018" s="97" t="s">
        <v>2295</v>
      </c>
      <c r="B1018" s="97" t="s">
        <v>296</v>
      </c>
      <c r="C1018" s="163">
        <v>2416</v>
      </c>
      <c r="D1018" s="95" t="s">
        <v>300</v>
      </c>
      <c r="E1018" s="142">
        <v>0.65070000000000006</v>
      </c>
      <c r="F1018" s="4" t="s">
        <v>2752</v>
      </c>
      <c r="G1018" s="4" t="s">
        <v>2752</v>
      </c>
      <c r="H1018" s="4" t="str">
        <f t="shared" si="18"/>
        <v>No</v>
      </c>
      <c r="I1018" s="56"/>
    </row>
    <row r="1019" spans="1:9">
      <c r="A1019" s="97" t="s">
        <v>2295</v>
      </c>
      <c r="B1019" s="97" t="s">
        <v>296</v>
      </c>
      <c r="C1019" s="163">
        <v>3019</v>
      </c>
      <c r="D1019" s="95" t="s">
        <v>304</v>
      </c>
      <c r="E1019" s="142">
        <v>0.41143333333333337</v>
      </c>
      <c r="F1019" s="4" t="s">
        <v>3065</v>
      </c>
      <c r="G1019" s="4" t="s">
        <v>3065</v>
      </c>
      <c r="H1019" s="4" t="str">
        <f t="shared" si="18"/>
        <v>No</v>
      </c>
      <c r="I1019" s="56"/>
    </row>
    <row r="1020" spans="1:9">
      <c r="A1020" s="97" t="s">
        <v>2295</v>
      </c>
      <c r="B1020" s="97" t="s">
        <v>296</v>
      </c>
      <c r="C1020" s="163">
        <v>2370</v>
      </c>
      <c r="D1020" s="95" t="s">
        <v>299</v>
      </c>
      <c r="E1020" s="142">
        <v>0.8454666666666667</v>
      </c>
      <c r="F1020" s="4" t="s">
        <v>2752</v>
      </c>
      <c r="G1020" s="4" t="s">
        <v>2752</v>
      </c>
      <c r="H1020" s="4" t="str">
        <f t="shared" si="18"/>
        <v>No</v>
      </c>
      <c r="I1020" s="56"/>
    </row>
    <row r="1021" spans="1:9">
      <c r="A1021" s="97" t="s">
        <v>2508</v>
      </c>
      <c r="B1021" s="97" t="s">
        <v>1942</v>
      </c>
      <c r="C1021" s="163">
        <v>2480</v>
      </c>
      <c r="D1021" s="95" t="s">
        <v>1944</v>
      </c>
      <c r="E1021" s="142">
        <v>0.75393333333333334</v>
      </c>
      <c r="F1021" s="4" t="s">
        <v>2752</v>
      </c>
      <c r="G1021" s="4" t="s">
        <v>2752</v>
      </c>
      <c r="H1021" s="4" t="str">
        <f t="shared" si="18"/>
        <v>No</v>
      </c>
      <c r="I1021" s="56"/>
    </row>
    <row r="1022" spans="1:9">
      <c r="A1022" s="97" t="s">
        <v>2508</v>
      </c>
      <c r="B1022" s="97" t="s">
        <v>1942</v>
      </c>
      <c r="C1022" s="163">
        <v>1922</v>
      </c>
      <c r="D1022" s="95" t="s">
        <v>1943</v>
      </c>
      <c r="E1022" s="142">
        <v>0.35783333333333339</v>
      </c>
      <c r="F1022" s="4" t="s">
        <v>3065</v>
      </c>
      <c r="G1022" s="4" t="s">
        <v>3065</v>
      </c>
      <c r="H1022" s="4" t="str">
        <f t="shared" si="18"/>
        <v>No</v>
      </c>
      <c r="I1022" s="56"/>
    </row>
    <row r="1023" spans="1:9">
      <c r="A1023" s="97" t="s">
        <v>2458</v>
      </c>
      <c r="B1023" s="97" t="s">
        <v>1533</v>
      </c>
      <c r="C1023" s="163">
        <v>4178</v>
      </c>
      <c r="D1023" s="95" t="s">
        <v>1536</v>
      </c>
      <c r="E1023" s="142">
        <v>4.1666666666666664E-2</v>
      </c>
      <c r="F1023" s="4" t="s">
        <v>3065</v>
      </c>
      <c r="G1023" s="4" t="s">
        <v>3065</v>
      </c>
      <c r="H1023" s="4" t="str">
        <f t="shared" si="18"/>
        <v>No</v>
      </c>
      <c r="I1023" s="56"/>
    </row>
    <row r="1024" spans="1:9">
      <c r="A1024" s="97" t="s">
        <v>2458</v>
      </c>
      <c r="B1024" s="97" t="s">
        <v>1533</v>
      </c>
      <c r="C1024" s="163">
        <v>4107</v>
      </c>
      <c r="D1024" s="95" t="s">
        <v>1535</v>
      </c>
      <c r="E1024" s="142">
        <v>0.43009999999999998</v>
      </c>
      <c r="F1024" s="4" t="s">
        <v>3065</v>
      </c>
      <c r="G1024" s="4" t="s">
        <v>3065</v>
      </c>
      <c r="H1024" s="4" t="str">
        <f t="shared" si="18"/>
        <v>No</v>
      </c>
      <c r="I1024" s="56"/>
    </row>
    <row r="1025" spans="1:9">
      <c r="A1025" s="97" t="s">
        <v>2458</v>
      </c>
      <c r="B1025" s="97" t="s">
        <v>1533</v>
      </c>
      <c r="C1025" s="163">
        <v>2632</v>
      </c>
      <c r="D1025" s="95" t="s">
        <v>1534</v>
      </c>
      <c r="E1025" s="142">
        <v>0.49836666666666662</v>
      </c>
      <c r="F1025" s="4" t="s">
        <v>3065</v>
      </c>
      <c r="G1025" s="4" t="s">
        <v>3065</v>
      </c>
      <c r="H1025" s="4" t="str">
        <f t="shared" si="18"/>
        <v>No</v>
      </c>
      <c r="I1025" s="56"/>
    </row>
    <row r="1026" spans="1:9">
      <c r="A1026" s="97" t="s">
        <v>2857</v>
      </c>
      <c r="B1026" s="97" t="s">
        <v>2965</v>
      </c>
      <c r="C1026" s="163">
        <v>5609</v>
      </c>
      <c r="D1026" s="95" t="s">
        <v>2888</v>
      </c>
      <c r="E1026" s="142">
        <v>0.88905000000000001</v>
      </c>
      <c r="F1026" s="4" t="s">
        <v>2752</v>
      </c>
      <c r="G1026" s="4" t="s">
        <v>2752</v>
      </c>
      <c r="H1026" s="4" t="str">
        <f t="shared" si="18"/>
        <v>No</v>
      </c>
      <c r="I1026" s="56"/>
    </row>
    <row r="1027" spans="1:9">
      <c r="A1027" s="97" t="s">
        <v>2539</v>
      </c>
      <c r="B1027" s="97" t="s">
        <v>2128</v>
      </c>
      <c r="C1027" s="163">
        <v>5373</v>
      </c>
      <c r="D1027" s="95" t="s">
        <v>2129</v>
      </c>
      <c r="E1027" s="142">
        <v>0.74883333333333335</v>
      </c>
      <c r="F1027" s="4" t="s">
        <v>2752</v>
      </c>
      <c r="G1027" s="4" t="s">
        <v>2752</v>
      </c>
      <c r="H1027" s="4" t="str">
        <f t="shared" ref="H1027:H1090" si="19">IFERROR(IF(AND(G1027="Yes",F1027="No"),"Yes","No"),"No")</f>
        <v>No</v>
      </c>
      <c r="I1027" s="56"/>
    </row>
    <row r="1028" spans="1:9">
      <c r="A1028" s="97" t="s">
        <v>2392</v>
      </c>
      <c r="B1028" s="97" t="s">
        <v>1129</v>
      </c>
      <c r="C1028" s="163">
        <v>3049</v>
      </c>
      <c r="D1028" s="95" t="s">
        <v>1130</v>
      </c>
      <c r="E1028" s="142">
        <v>0.69990000000000008</v>
      </c>
      <c r="F1028" s="4" t="s">
        <v>2752</v>
      </c>
      <c r="G1028" s="4" t="s">
        <v>2752</v>
      </c>
      <c r="H1028" s="4" t="str">
        <f t="shared" si="19"/>
        <v>No</v>
      </c>
      <c r="I1028" s="56"/>
    </row>
    <row r="1029" spans="1:9">
      <c r="A1029" s="97" t="s">
        <v>2392</v>
      </c>
      <c r="B1029" s="97" t="s">
        <v>1129</v>
      </c>
      <c r="C1029" s="163">
        <v>3111</v>
      </c>
      <c r="D1029" s="95" t="s">
        <v>1131</v>
      </c>
      <c r="E1029" s="142">
        <v>0.67279999999999995</v>
      </c>
      <c r="F1029" s="4" t="s">
        <v>2752</v>
      </c>
      <c r="G1029" s="4" t="s">
        <v>2752</v>
      </c>
      <c r="H1029" s="4" t="str">
        <f t="shared" si="19"/>
        <v>No</v>
      </c>
      <c r="I1029" s="56"/>
    </row>
    <row r="1030" spans="1:9">
      <c r="A1030" s="97" t="s">
        <v>2392</v>
      </c>
      <c r="B1030" s="97" t="s">
        <v>1129</v>
      </c>
      <c r="C1030" s="163">
        <v>3643</v>
      </c>
      <c r="D1030" s="95" t="s">
        <v>1132</v>
      </c>
      <c r="E1030" s="142">
        <v>0.72420000000000007</v>
      </c>
      <c r="F1030" s="4" t="s">
        <v>2752</v>
      </c>
      <c r="G1030" s="4" t="s">
        <v>2752</v>
      </c>
      <c r="H1030" s="4" t="str">
        <f t="shared" si="19"/>
        <v>No</v>
      </c>
      <c r="I1030" s="56"/>
    </row>
    <row r="1031" spans="1:9">
      <c r="A1031" s="56" t="s">
        <v>2535</v>
      </c>
      <c r="B1031" s="97" t="s">
        <v>2103</v>
      </c>
      <c r="C1031" s="163">
        <v>3417</v>
      </c>
      <c r="D1031" s="56" t="s">
        <v>2106</v>
      </c>
      <c r="E1031" s="142">
        <v>0.37080000000000002</v>
      </c>
      <c r="F1031" s="4" t="s">
        <v>3065</v>
      </c>
      <c r="G1031" s="4" t="s">
        <v>3065</v>
      </c>
      <c r="H1031" s="4" t="str">
        <f t="shared" si="19"/>
        <v>No</v>
      </c>
      <c r="I1031" s="56"/>
    </row>
    <row r="1032" spans="1:9">
      <c r="A1032" s="97" t="s">
        <v>2535</v>
      </c>
      <c r="B1032" s="97" t="s">
        <v>2103</v>
      </c>
      <c r="C1032" s="163">
        <v>4324</v>
      </c>
      <c r="D1032" s="95" t="s">
        <v>2108</v>
      </c>
      <c r="E1032" s="142">
        <v>0.26956666666666668</v>
      </c>
      <c r="F1032" s="4" t="s">
        <v>3065</v>
      </c>
      <c r="G1032" s="4" t="s">
        <v>3065</v>
      </c>
      <c r="H1032" s="4" t="str">
        <f t="shared" si="19"/>
        <v>No</v>
      </c>
      <c r="I1032" s="56"/>
    </row>
    <row r="1033" spans="1:9">
      <c r="A1033" s="97" t="s">
        <v>2535</v>
      </c>
      <c r="B1033" s="97" t="s">
        <v>2103</v>
      </c>
      <c r="C1033" s="163">
        <v>1983</v>
      </c>
      <c r="D1033" s="95" t="s">
        <v>2104</v>
      </c>
      <c r="E1033" s="142">
        <v>6.8666666666666668E-2</v>
      </c>
      <c r="F1033" s="4" t="s">
        <v>3065</v>
      </c>
      <c r="G1033" s="4" t="s">
        <v>3065</v>
      </c>
      <c r="H1033" s="4" t="str">
        <f t="shared" si="19"/>
        <v>No</v>
      </c>
      <c r="I1033" s="56"/>
    </row>
    <row r="1034" spans="1:9">
      <c r="A1034" s="56" t="s">
        <v>2535</v>
      </c>
      <c r="B1034" s="97" t="s">
        <v>2103</v>
      </c>
      <c r="C1034" s="163">
        <v>4201</v>
      </c>
      <c r="D1034" s="56" t="s">
        <v>2107</v>
      </c>
      <c r="E1034" s="142">
        <v>0.29726666666666673</v>
      </c>
      <c r="F1034" s="4" t="s">
        <v>3065</v>
      </c>
      <c r="G1034" s="4" t="s">
        <v>3065</v>
      </c>
      <c r="H1034" s="4" t="str">
        <f t="shared" si="19"/>
        <v>No</v>
      </c>
      <c r="I1034" s="56"/>
    </row>
    <row r="1035" spans="1:9">
      <c r="A1035" s="97" t="s">
        <v>2535</v>
      </c>
      <c r="B1035" s="97" t="s">
        <v>2103</v>
      </c>
      <c r="C1035" s="163">
        <v>2219</v>
      </c>
      <c r="D1035" s="95" t="s">
        <v>2105</v>
      </c>
      <c r="E1035" s="142">
        <v>0.35573333333333329</v>
      </c>
      <c r="F1035" s="4" t="s">
        <v>3065</v>
      </c>
      <c r="G1035" s="4" t="s">
        <v>3065</v>
      </c>
      <c r="H1035" s="4" t="str">
        <f t="shared" si="19"/>
        <v>No</v>
      </c>
      <c r="I1035" s="56"/>
    </row>
    <row r="1036" spans="1:9">
      <c r="A1036" s="97" t="s">
        <v>2535</v>
      </c>
      <c r="B1036" s="97" t="s">
        <v>2103</v>
      </c>
      <c r="C1036" s="163">
        <v>4517</v>
      </c>
      <c r="D1036" s="95" t="s">
        <v>2109</v>
      </c>
      <c r="E1036" s="142">
        <v>0.29950000000000004</v>
      </c>
      <c r="F1036" s="4" t="s">
        <v>3065</v>
      </c>
      <c r="G1036" s="4" t="s">
        <v>3065</v>
      </c>
      <c r="H1036" s="4" t="str">
        <f t="shared" si="19"/>
        <v>No</v>
      </c>
      <c r="I1036" s="56"/>
    </row>
    <row r="1037" spans="1:9">
      <c r="A1037" s="97" t="s">
        <v>2558</v>
      </c>
      <c r="B1037" s="97" t="s">
        <v>2201</v>
      </c>
      <c r="C1037" s="163">
        <v>3070</v>
      </c>
      <c r="D1037" s="95" t="s">
        <v>2202</v>
      </c>
      <c r="E1037" s="142">
        <v>0.91380000000000006</v>
      </c>
      <c r="F1037" s="4" t="s">
        <v>2752</v>
      </c>
      <c r="G1037" s="4" t="s">
        <v>2752</v>
      </c>
      <c r="H1037" s="4" t="str">
        <f t="shared" si="19"/>
        <v>No</v>
      </c>
      <c r="I1037" s="56"/>
    </row>
    <row r="1038" spans="1:9">
      <c r="A1038" s="97" t="s">
        <v>2558</v>
      </c>
      <c r="B1038" s="97" t="s">
        <v>2201</v>
      </c>
      <c r="C1038" s="163">
        <v>5289</v>
      </c>
      <c r="D1038" s="95" t="s">
        <v>2203</v>
      </c>
      <c r="E1038" s="142">
        <v>0.92210000000000003</v>
      </c>
      <c r="F1038" s="4" t="s">
        <v>2752</v>
      </c>
      <c r="G1038" s="4" t="s">
        <v>2752</v>
      </c>
      <c r="H1038" s="4" t="str">
        <f t="shared" si="19"/>
        <v>No</v>
      </c>
      <c r="I1038" s="56"/>
    </row>
    <row r="1039" spans="1:9">
      <c r="A1039" s="97" t="s">
        <v>2558</v>
      </c>
      <c r="B1039" s="97" t="s">
        <v>2201</v>
      </c>
      <c r="C1039" s="163">
        <v>5443</v>
      </c>
      <c r="D1039" s="95" t="s">
        <v>2786</v>
      </c>
      <c r="E1039" s="142">
        <v>0.83330000000000004</v>
      </c>
      <c r="F1039" s="4" t="s">
        <v>2752</v>
      </c>
      <c r="G1039" s="4" t="s">
        <v>3065</v>
      </c>
      <c r="H1039" s="4" t="str">
        <f t="shared" si="19"/>
        <v>No</v>
      </c>
      <c r="I1039" s="56"/>
    </row>
    <row r="1040" spans="1:9">
      <c r="A1040" s="97" t="s">
        <v>2305</v>
      </c>
      <c r="B1040" s="97" t="s">
        <v>353</v>
      </c>
      <c r="C1040" s="163">
        <v>2233</v>
      </c>
      <c r="D1040" s="95" t="s">
        <v>354</v>
      </c>
      <c r="E1040" s="142">
        <v>0.6579666666666667</v>
      </c>
      <c r="F1040" s="4" t="s">
        <v>2752</v>
      </c>
      <c r="G1040" s="4" t="s">
        <v>2752</v>
      </c>
      <c r="H1040" s="4" t="str">
        <f t="shared" si="19"/>
        <v>No</v>
      </c>
      <c r="I1040" s="56"/>
    </row>
    <row r="1041" spans="1:9">
      <c r="A1041" s="97" t="s">
        <v>2270</v>
      </c>
      <c r="B1041" s="97" t="s">
        <v>96</v>
      </c>
      <c r="C1041" s="163">
        <v>2196</v>
      </c>
      <c r="D1041" s="95" t="s">
        <v>97</v>
      </c>
      <c r="E1041" s="142">
        <v>0.69346666666666668</v>
      </c>
      <c r="F1041" s="4" t="s">
        <v>2752</v>
      </c>
      <c r="G1041" s="4" t="s">
        <v>2752</v>
      </c>
      <c r="H1041" s="4" t="str">
        <f t="shared" si="19"/>
        <v>No</v>
      </c>
      <c r="I1041" s="56"/>
    </row>
    <row r="1042" spans="1:9">
      <c r="A1042" s="97" t="s">
        <v>2270</v>
      </c>
      <c r="B1042" s="97" t="s">
        <v>96</v>
      </c>
      <c r="C1042" s="163">
        <v>2623</v>
      </c>
      <c r="D1042" s="95" t="s">
        <v>98</v>
      </c>
      <c r="E1042" s="142">
        <v>0.66786666666666672</v>
      </c>
      <c r="F1042" s="4" t="s">
        <v>2752</v>
      </c>
      <c r="G1042" s="4" t="s">
        <v>2752</v>
      </c>
      <c r="H1042" s="4" t="str">
        <f t="shared" si="19"/>
        <v>No</v>
      </c>
      <c r="I1042" s="56"/>
    </row>
    <row r="1043" spans="1:9">
      <c r="A1043" s="97" t="s">
        <v>2270</v>
      </c>
      <c r="B1043" s="97" t="s">
        <v>96</v>
      </c>
      <c r="C1043" s="163">
        <v>5286</v>
      </c>
      <c r="D1043" s="95" t="s">
        <v>99</v>
      </c>
      <c r="E1043" s="142">
        <v>0.68079999999999996</v>
      </c>
      <c r="F1043" s="4" t="s">
        <v>2752</v>
      </c>
      <c r="G1043" s="4" t="s">
        <v>2752</v>
      </c>
      <c r="H1043" s="4" t="str">
        <f t="shared" si="19"/>
        <v>No</v>
      </c>
      <c r="I1043" s="56"/>
    </row>
    <row r="1044" spans="1:9">
      <c r="A1044" s="97" t="s">
        <v>2417</v>
      </c>
      <c r="B1044" s="97" t="s">
        <v>1213</v>
      </c>
      <c r="C1044" s="163">
        <v>5444</v>
      </c>
      <c r="D1044" s="95" t="s">
        <v>1214</v>
      </c>
      <c r="E1044" s="142">
        <v>0.69873333333333332</v>
      </c>
      <c r="F1044" s="4" t="s">
        <v>2752</v>
      </c>
      <c r="G1044" s="4" t="s">
        <v>2752</v>
      </c>
      <c r="H1044" s="4" t="str">
        <f t="shared" si="19"/>
        <v>No</v>
      </c>
      <c r="I1044" s="56"/>
    </row>
    <row r="1045" spans="1:9">
      <c r="A1045" s="97" t="s">
        <v>2417</v>
      </c>
      <c r="B1045" s="97" t="s">
        <v>1213</v>
      </c>
      <c r="C1045" s="163">
        <v>5445</v>
      </c>
      <c r="D1045" s="95" t="s">
        <v>1215</v>
      </c>
      <c r="E1045" s="142">
        <v>0.15590000000000001</v>
      </c>
      <c r="F1045" s="4" t="s">
        <v>3065</v>
      </c>
      <c r="G1045" s="4" t="s">
        <v>3065</v>
      </c>
      <c r="H1045" s="4" t="str">
        <f t="shared" si="19"/>
        <v>No</v>
      </c>
      <c r="I1045" s="56"/>
    </row>
    <row r="1046" spans="1:9">
      <c r="A1046" s="97" t="s">
        <v>2512</v>
      </c>
      <c r="B1046" s="97" t="s">
        <v>1951</v>
      </c>
      <c r="C1046" s="163">
        <v>5446</v>
      </c>
      <c r="D1046" s="95" t="s">
        <v>2889</v>
      </c>
      <c r="E1046" s="142">
        <v>0.71823333333333339</v>
      </c>
      <c r="F1046" s="4" t="s">
        <v>2752</v>
      </c>
      <c r="G1046" s="4" t="s">
        <v>2752</v>
      </c>
      <c r="H1046" s="4" t="str">
        <f t="shared" si="19"/>
        <v>No</v>
      </c>
      <c r="I1046" s="56"/>
    </row>
    <row r="1047" spans="1:9">
      <c r="A1047" s="97" t="s">
        <v>2512</v>
      </c>
      <c r="B1047" s="97" t="s">
        <v>1951</v>
      </c>
      <c r="C1047" s="163">
        <v>3311</v>
      </c>
      <c r="D1047" s="95" t="s">
        <v>1953</v>
      </c>
      <c r="E1047" s="142">
        <v>0.70643333333333336</v>
      </c>
      <c r="F1047" s="4" t="s">
        <v>2752</v>
      </c>
      <c r="G1047" s="4" t="s">
        <v>2752</v>
      </c>
      <c r="H1047" s="4" t="str">
        <f t="shared" si="19"/>
        <v>No</v>
      </c>
      <c r="I1047" s="56"/>
    </row>
    <row r="1048" spans="1:9">
      <c r="A1048" s="97" t="s">
        <v>2512</v>
      </c>
      <c r="B1048" s="97" t="s">
        <v>1951</v>
      </c>
      <c r="C1048" s="163">
        <v>2297</v>
      </c>
      <c r="D1048" s="95" t="s">
        <v>1952</v>
      </c>
      <c r="E1048" s="142">
        <v>0.73196666666666665</v>
      </c>
      <c r="F1048" s="4" t="s">
        <v>2752</v>
      </c>
      <c r="G1048" s="4" t="s">
        <v>2752</v>
      </c>
      <c r="H1048" s="4" t="str">
        <f t="shared" si="19"/>
        <v>No</v>
      </c>
      <c r="I1048" s="56"/>
    </row>
    <row r="1049" spans="1:9">
      <c r="A1049" s="97" t="s">
        <v>2512</v>
      </c>
      <c r="B1049" s="97" t="s">
        <v>1951</v>
      </c>
      <c r="C1049" s="163">
        <v>3894</v>
      </c>
      <c r="D1049" s="95" t="s">
        <v>1954</v>
      </c>
      <c r="E1049" s="142">
        <v>0.76989999999999992</v>
      </c>
      <c r="F1049" s="4" t="s">
        <v>2752</v>
      </c>
      <c r="G1049" s="4" t="s">
        <v>2752</v>
      </c>
      <c r="H1049" s="4" t="str">
        <f t="shared" si="19"/>
        <v>No</v>
      </c>
      <c r="I1049" s="56"/>
    </row>
    <row r="1050" spans="1:9">
      <c r="A1050" s="97" t="s">
        <v>2477</v>
      </c>
      <c r="B1050" s="97" t="s">
        <v>1689</v>
      </c>
      <c r="C1050" s="163">
        <v>1656</v>
      </c>
      <c r="D1050" s="95" t="s">
        <v>1690</v>
      </c>
      <c r="E1050" s="142">
        <v>0.33929999999999999</v>
      </c>
      <c r="F1050" s="4" t="s">
        <v>3065</v>
      </c>
      <c r="G1050" s="4" t="s">
        <v>3065</v>
      </c>
      <c r="H1050" s="4" t="str">
        <f t="shared" si="19"/>
        <v>No</v>
      </c>
      <c r="I1050" s="56"/>
    </row>
    <row r="1051" spans="1:9">
      <c r="A1051" s="97" t="s">
        <v>2477</v>
      </c>
      <c r="B1051" s="97" t="s">
        <v>1689</v>
      </c>
      <c r="C1051" s="163">
        <v>4454</v>
      </c>
      <c r="D1051" s="95" t="s">
        <v>1703</v>
      </c>
      <c r="E1051" s="142">
        <v>0.42406666666666665</v>
      </c>
      <c r="F1051" s="4" t="s">
        <v>3065</v>
      </c>
      <c r="G1051" s="4" t="s">
        <v>3065</v>
      </c>
      <c r="H1051" s="4" t="str">
        <f t="shared" si="19"/>
        <v>No</v>
      </c>
      <c r="I1051" s="56"/>
    </row>
    <row r="1052" spans="1:9">
      <c r="A1052" s="97" t="s">
        <v>2477</v>
      </c>
      <c r="B1052" s="97" t="s">
        <v>1689</v>
      </c>
      <c r="C1052" s="163">
        <v>3059</v>
      </c>
      <c r="D1052" s="95" t="s">
        <v>352</v>
      </c>
      <c r="E1052" s="142">
        <v>0.53233333333333344</v>
      </c>
      <c r="F1052" s="4" t="s">
        <v>2752</v>
      </c>
      <c r="G1052" s="4" t="s">
        <v>2752</v>
      </c>
      <c r="H1052" s="4" t="str">
        <f t="shared" si="19"/>
        <v>No</v>
      </c>
      <c r="I1052" s="56"/>
    </row>
    <row r="1053" spans="1:9">
      <c r="A1053" s="97" t="s">
        <v>2477</v>
      </c>
      <c r="B1053" s="97" t="s">
        <v>1689</v>
      </c>
      <c r="C1053" s="163">
        <v>4357</v>
      </c>
      <c r="D1053" s="95" t="s">
        <v>1702</v>
      </c>
      <c r="E1053" s="142">
        <v>0.53323333333333334</v>
      </c>
      <c r="F1053" s="4" t="s">
        <v>2752</v>
      </c>
      <c r="G1053" s="4" t="s">
        <v>2752</v>
      </c>
      <c r="H1053" s="4" t="str">
        <f t="shared" si="19"/>
        <v>No</v>
      </c>
      <c r="I1053" s="56"/>
    </row>
    <row r="1054" spans="1:9">
      <c r="A1054" s="97" t="s">
        <v>2477</v>
      </c>
      <c r="B1054" s="97" t="s">
        <v>1689</v>
      </c>
      <c r="C1054" s="163">
        <v>1895</v>
      </c>
      <c r="D1054" s="95" t="s">
        <v>3025</v>
      </c>
      <c r="E1054" s="142">
        <v>1</v>
      </c>
      <c r="F1054" s="4" t="s">
        <v>2752</v>
      </c>
      <c r="G1054" s="4" t="s">
        <v>3065</v>
      </c>
      <c r="H1054" s="4" t="str">
        <f t="shared" si="19"/>
        <v>No</v>
      </c>
      <c r="I1054" s="56"/>
    </row>
    <row r="1055" spans="1:9">
      <c r="A1055" s="97" t="s">
        <v>2477</v>
      </c>
      <c r="B1055" s="97" t="s">
        <v>1689</v>
      </c>
      <c r="C1055" s="163">
        <v>5123</v>
      </c>
      <c r="D1055" s="95" t="s">
        <v>1704</v>
      </c>
      <c r="E1055" s="142">
        <v>0.42846666666666672</v>
      </c>
      <c r="F1055" s="4" t="s">
        <v>3065</v>
      </c>
      <c r="G1055" s="4" t="s">
        <v>3065</v>
      </c>
      <c r="H1055" s="4" t="str">
        <f t="shared" si="19"/>
        <v>No</v>
      </c>
      <c r="I1055" s="56"/>
    </row>
    <row r="1056" spans="1:9">
      <c r="A1056" s="97" t="s">
        <v>2477</v>
      </c>
      <c r="B1056" s="97" t="s">
        <v>1689</v>
      </c>
      <c r="C1056" s="163">
        <v>1657</v>
      </c>
      <c r="D1056" s="95" t="s">
        <v>1691</v>
      </c>
      <c r="E1056" s="142">
        <v>0.67649999999999999</v>
      </c>
      <c r="F1056" s="4" t="s">
        <v>2752</v>
      </c>
      <c r="G1056" s="4" t="s">
        <v>2752</v>
      </c>
      <c r="H1056" s="4" t="str">
        <f t="shared" si="19"/>
        <v>No</v>
      </c>
      <c r="I1056" s="56"/>
    </row>
    <row r="1057" spans="1:9">
      <c r="A1057" s="97" t="s">
        <v>2477</v>
      </c>
      <c r="B1057" s="97" t="s">
        <v>1689</v>
      </c>
      <c r="C1057" s="163">
        <v>4323</v>
      </c>
      <c r="D1057" s="95" t="s">
        <v>1701</v>
      </c>
      <c r="E1057" s="142">
        <v>0.51223333333333343</v>
      </c>
      <c r="F1057" s="4" t="s">
        <v>2752</v>
      </c>
      <c r="G1057" s="4" t="s">
        <v>2752</v>
      </c>
      <c r="H1057" s="4" t="str">
        <f t="shared" si="19"/>
        <v>No</v>
      </c>
      <c r="I1057" s="56"/>
    </row>
    <row r="1058" spans="1:9">
      <c r="A1058" s="97" t="s">
        <v>2477</v>
      </c>
      <c r="B1058" s="97" t="s">
        <v>1689</v>
      </c>
      <c r="C1058" s="163">
        <v>1927</v>
      </c>
      <c r="D1058" s="95" t="s">
        <v>34</v>
      </c>
      <c r="E1058" s="142">
        <v>0.54723333333333335</v>
      </c>
      <c r="F1058" s="4" t="s">
        <v>2752</v>
      </c>
      <c r="G1058" s="4" t="s">
        <v>2752</v>
      </c>
      <c r="H1058" s="4" t="str">
        <f t="shared" si="19"/>
        <v>No</v>
      </c>
      <c r="I1058" s="56"/>
    </row>
    <row r="1059" spans="1:9">
      <c r="A1059" s="97" t="s">
        <v>2477</v>
      </c>
      <c r="B1059" s="97" t="s">
        <v>1689</v>
      </c>
      <c r="C1059" s="163">
        <v>3964</v>
      </c>
      <c r="D1059" s="95" t="s">
        <v>1699</v>
      </c>
      <c r="E1059" s="142">
        <v>0.70000000000000007</v>
      </c>
      <c r="F1059" s="4" t="s">
        <v>2752</v>
      </c>
      <c r="G1059" s="4" t="s">
        <v>2752</v>
      </c>
      <c r="H1059" s="4" t="str">
        <f t="shared" si="19"/>
        <v>No</v>
      </c>
      <c r="I1059" s="56"/>
    </row>
    <row r="1060" spans="1:9">
      <c r="A1060" s="97" t="s">
        <v>2477</v>
      </c>
      <c r="B1060" s="97" t="s">
        <v>1689</v>
      </c>
      <c r="C1060" s="163">
        <v>4150</v>
      </c>
      <c r="D1060" s="95" t="s">
        <v>1700</v>
      </c>
      <c r="E1060" s="142">
        <v>0.53853333333333342</v>
      </c>
      <c r="F1060" s="4" t="s">
        <v>2752</v>
      </c>
      <c r="G1060" s="4" t="s">
        <v>2752</v>
      </c>
      <c r="H1060" s="4" t="str">
        <f t="shared" si="19"/>
        <v>No</v>
      </c>
      <c r="I1060" s="56"/>
    </row>
    <row r="1061" spans="1:9">
      <c r="A1061" s="97" t="s">
        <v>2477</v>
      </c>
      <c r="B1061" s="97" t="s">
        <v>1689</v>
      </c>
      <c r="C1061" s="163">
        <v>1862</v>
      </c>
      <c r="D1061" s="95" t="s">
        <v>1693</v>
      </c>
      <c r="E1061" s="142">
        <v>0.22053333333333333</v>
      </c>
      <c r="F1061" s="4" t="s">
        <v>3065</v>
      </c>
      <c r="G1061" s="4" t="s">
        <v>3065</v>
      </c>
      <c r="H1061" s="4" t="str">
        <f t="shared" si="19"/>
        <v>No</v>
      </c>
      <c r="I1061" s="56"/>
    </row>
    <row r="1062" spans="1:9">
      <c r="A1062" s="97" t="s">
        <v>2477</v>
      </c>
      <c r="B1062" s="97" t="s">
        <v>1689</v>
      </c>
      <c r="C1062" s="163">
        <v>5478</v>
      </c>
      <c r="D1062" s="95" t="s">
        <v>2723</v>
      </c>
      <c r="E1062" s="142">
        <v>0.37633333333333335</v>
      </c>
      <c r="F1062" s="4" t="s">
        <v>3065</v>
      </c>
      <c r="G1062" s="4" t="s">
        <v>3065</v>
      </c>
      <c r="H1062" s="4" t="str">
        <f t="shared" si="19"/>
        <v>No</v>
      </c>
      <c r="I1062" s="56"/>
    </row>
    <row r="1063" spans="1:9">
      <c r="A1063" s="97" t="s">
        <v>2477</v>
      </c>
      <c r="B1063" s="97" t="s">
        <v>1689</v>
      </c>
      <c r="C1063" s="163">
        <v>3355</v>
      </c>
      <c r="D1063" s="95" t="s">
        <v>1696</v>
      </c>
      <c r="E1063" s="142">
        <v>0.5364000000000001</v>
      </c>
      <c r="F1063" s="4" t="s">
        <v>2752</v>
      </c>
      <c r="G1063" s="4" t="s">
        <v>2752</v>
      </c>
      <c r="H1063" s="4" t="str">
        <f t="shared" si="19"/>
        <v>No</v>
      </c>
      <c r="I1063" s="56"/>
    </row>
    <row r="1064" spans="1:9">
      <c r="A1064" s="97" t="s">
        <v>2477</v>
      </c>
      <c r="B1064" s="97" t="s">
        <v>1689</v>
      </c>
      <c r="C1064" s="163">
        <v>5402</v>
      </c>
      <c r="D1064" s="95" t="s">
        <v>1707</v>
      </c>
      <c r="E1064" s="142">
        <v>0.58040000000000003</v>
      </c>
      <c r="F1064" s="4" t="s">
        <v>2752</v>
      </c>
      <c r="G1064" s="4" t="s">
        <v>2752</v>
      </c>
      <c r="H1064" s="4" t="str">
        <f t="shared" si="19"/>
        <v>No</v>
      </c>
      <c r="I1064" s="56"/>
    </row>
    <row r="1065" spans="1:9">
      <c r="A1065" s="97" t="s">
        <v>2477</v>
      </c>
      <c r="B1065" s="97" t="s">
        <v>1689</v>
      </c>
      <c r="C1065" s="163">
        <v>5213</v>
      </c>
      <c r="D1065" s="95" t="s">
        <v>1705</v>
      </c>
      <c r="E1065" s="142">
        <v>0.51739999999999997</v>
      </c>
      <c r="F1065" s="4" t="s">
        <v>2752</v>
      </c>
      <c r="G1065" s="4" t="s">
        <v>3065</v>
      </c>
      <c r="H1065" s="4" t="str">
        <f t="shared" si="19"/>
        <v>No</v>
      </c>
      <c r="I1065" s="56"/>
    </row>
    <row r="1066" spans="1:9">
      <c r="A1066" s="97" t="s">
        <v>2477</v>
      </c>
      <c r="B1066" s="97" t="s">
        <v>1689</v>
      </c>
      <c r="C1066" s="163">
        <v>1910</v>
      </c>
      <c r="D1066" s="95" t="s">
        <v>1694</v>
      </c>
      <c r="E1066" s="142">
        <v>0.44403333333333334</v>
      </c>
      <c r="F1066" s="4" t="s">
        <v>3065</v>
      </c>
      <c r="G1066" s="4" t="s">
        <v>3065</v>
      </c>
      <c r="H1066" s="4" t="str">
        <f t="shared" si="19"/>
        <v>No</v>
      </c>
      <c r="I1066" s="56"/>
    </row>
    <row r="1067" spans="1:9">
      <c r="A1067" s="97" t="s">
        <v>2477</v>
      </c>
      <c r="B1067" s="97" t="s">
        <v>1689</v>
      </c>
      <c r="C1067" s="163">
        <v>3651</v>
      </c>
      <c r="D1067" s="95" t="s">
        <v>1698</v>
      </c>
      <c r="E1067" s="142">
        <v>0.42609999999999998</v>
      </c>
      <c r="F1067" s="4" t="s">
        <v>3065</v>
      </c>
      <c r="G1067" s="4" t="s">
        <v>3065</v>
      </c>
      <c r="H1067" s="4" t="str">
        <f t="shared" si="19"/>
        <v>No</v>
      </c>
      <c r="I1067" s="56"/>
    </row>
    <row r="1068" spans="1:9">
      <c r="A1068" s="97" t="s">
        <v>2477</v>
      </c>
      <c r="B1068" s="97" t="s">
        <v>1689</v>
      </c>
      <c r="C1068" s="163">
        <v>5350</v>
      </c>
      <c r="D1068" s="95" t="s">
        <v>1706</v>
      </c>
      <c r="E1068" s="142">
        <v>0.69123333333333337</v>
      </c>
      <c r="F1068" s="4" t="s">
        <v>2752</v>
      </c>
      <c r="G1068" s="4" t="s">
        <v>2752</v>
      </c>
      <c r="H1068" s="4" t="str">
        <f t="shared" si="19"/>
        <v>No</v>
      </c>
      <c r="I1068" s="56"/>
    </row>
    <row r="1069" spans="1:9">
      <c r="A1069" s="97" t="s">
        <v>2477</v>
      </c>
      <c r="B1069" s="97" t="s">
        <v>1689</v>
      </c>
      <c r="C1069" s="163">
        <v>1744</v>
      </c>
      <c r="D1069" s="95" t="s">
        <v>1692</v>
      </c>
      <c r="E1069" s="142">
        <v>0.50953333333333328</v>
      </c>
      <c r="F1069" s="4" t="s">
        <v>2752</v>
      </c>
      <c r="G1069" s="4" t="s">
        <v>3065</v>
      </c>
      <c r="H1069" s="4" t="str">
        <f t="shared" si="19"/>
        <v>No</v>
      </c>
      <c r="I1069" s="56"/>
    </row>
    <row r="1070" spans="1:9">
      <c r="A1070" s="97" t="s">
        <v>2477</v>
      </c>
      <c r="B1070" s="97" t="s">
        <v>1689</v>
      </c>
      <c r="C1070" s="163">
        <v>3187</v>
      </c>
      <c r="D1070" s="95" t="s">
        <v>1695</v>
      </c>
      <c r="E1070" s="142">
        <v>0.52453333333333341</v>
      </c>
      <c r="F1070" s="4" t="s">
        <v>2752</v>
      </c>
      <c r="G1070" s="4" t="s">
        <v>2752</v>
      </c>
      <c r="H1070" s="4" t="str">
        <f t="shared" si="19"/>
        <v>No</v>
      </c>
      <c r="I1070" s="56"/>
    </row>
    <row r="1071" spans="1:9">
      <c r="A1071" s="97" t="s">
        <v>2477</v>
      </c>
      <c r="B1071" s="97" t="s">
        <v>1689</v>
      </c>
      <c r="C1071" s="163">
        <v>3537</v>
      </c>
      <c r="D1071" s="95" t="s">
        <v>1697</v>
      </c>
      <c r="E1071" s="142">
        <v>0.34993333333333326</v>
      </c>
      <c r="F1071" s="4" t="s">
        <v>3065</v>
      </c>
      <c r="G1071" s="4" t="s">
        <v>3065</v>
      </c>
      <c r="H1071" s="4" t="str">
        <f t="shared" si="19"/>
        <v>No</v>
      </c>
      <c r="I1071" s="56"/>
    </row>
    <row r="1072" spans="1:9">
      <c r="A1072" s="97" t="s">
        <v>2477</v>
      </c>
      <c r="B1072" s="97" t="s">
        <v>1689</v>
      </c>
      <c r="C1072" s="163">
        <v>2813</v>
      </c>
      <c r="D1072" s="95" t="s">
        <v>657</v>
      </c>
      <c r="E1072" s="142">
        <v>0.60353333333333337</v>
      </c>
      <c r="F1072" s="4" t="s">
        <v>2752</v>
      </c>
      <c r="G1072" s="4" t="s">
        <v>2752</v>
      </c>
      <c r="H1072" s="4" t="str">
        <f t="shared" si="19"/>
        <v>No</v>
      </c>
      <c r="I1072" s="56"/>
    </row>
    <row r="1073" spans="1:9">
      <c r="A1073" s="97" t="s">
        <v>2330</v>
      </c>
      <c r="B1073" s="97" t="s">
        <v>485</v>
      </c>
      <c r="C1073" s="163">
        <v>2835</v>
      </c>
      <c r="D1073" s="95" t="s">
        <v>486</v>
      </c>
      <c r="E1073" s="142">
        <v>0.48996666666666666</v>
      </c>
      <c r="F1073" s="4" t="s">
        <v>2752</v>
      </c>
      <c r="G1073" s="4" t="s">
        <v>2752</v>
      </c>
      <c r="H1073" s="4" t="str">
        <f t="shared" si="19"/>
        <v>No</v>
      </c>
      <c r="I1073" s="56"/>
    </row>
    <row r="1074" spans="1:9">
      <c r="A1074" s="97" t="s">
        <v>2491</v>
      </c>
      <c r="B1074" s="97" t="s">
        <v>1837</v>
      </c>
      <c r="C1074" s="163">
        <v>3693</v>
      </c>
      <c r="D1074" s="95" t="s">
        <v>1842</v>
      </c>
      <c r="E1074" s="142">
        <v>0.28583333333333333</v>
      </c>
      <c r="F1074" s="4" t="s">
        <v>3065</v>
      </c>
      <c r="G1074" s="4" t="s">
        <v>3065</v>
      </c>
      <c r="H1074" s="4" t="str">
        <f t="shared" si="19"/>
        <v>No</v>
      </c>
      <c r="I1074" s="56"/>
    </row>
    <row r="1075" spans="1:9">
      <c r="A1075" s="97" t="s">
        <v>2491</v>
      </c>
      <c r="B1075" s="97" t="s">
        <v>1837</v>
      </c>
      <c r="C1075" s="163">
        <v>3562</v>
      </c>
      <c r="D1075" s="95" t="s">
        <v>1841</v>
      </c>
      <c r="E1075" s="142">
        <v>0.18933333333333333</v>
      </c>
      <c r="F1075" s="4" t="s">
        <v>3065</v>
      </c>
      <c r="G1075" s="4" t="s">
        <v>3065</v>
      </c>
      <c r="H1075" s="4" t="str">
        <f t="shared" si="19"/>
        <v>No</v>
      </c>
      <c r="I1075" s="56"/>
    </row>
    <row r="1076" spans="1:9">
      <c r="A1076" s="97" t="s">
        <v>2491</v>
      </c>
      <c r="B1076" s="97" t="s">
        <v>1837</v>
      </c>
      <c r="C1076" s="163">
        <v>5572</v>
      </c>
      <c r="D1076" s="95" t="s">
        <v>2890</v>
      </c>
      <c r="E1076" s="142">
        <v>0.42859999999999998</v>
      </c>
      <c r="F1076" s="4" t="s">
        <v>3065</v>
      </c>
      <c r="G1076" s="4" t="s">
        <v>3065</v>
      </c>
      <c r="H1076" s="4" t="str">
        <f t="shared" si="19"/>
        <v>No</v>
      </c>
      <c r="I1076" s="56"/>
    </row>
    <row r="1077" spans="1:9">
      <c r="A1077" s="97" t="s">
        <v>2491</v>
      </c>
      <c r="B1077" s="97" t="s">
        <v>1837</v>
      </c>
      <c r="C1077" s="163">
        <v>3414</v>
      </c>
      <c r="D1077" s="95" t="s">
        <v>1209</v>
      </c>
      <c r="E1077" s="142">
        <v>0.39860000000000001</v>
      </c>
      <c r="F1077" s="4" t="s">
        <v>3065</v>
      </c>
      <c r="G1077" s="4" t="s">
        <v>3065</v>
      </c>
      <c r="H1077" s="4" t="str">
        <f t="shared" si="19"/>
        <v>No</v>
      </c>
      <c r="I1077" s="56"/>
    </row>
    <row r="1078" spans="1:9">
      <c r="A1078" s="97" t="s">
        <v>2491</v>
      </c>
      <c r="B1078" s="97" t="s">
        <v>1837</v>
      </c>
      <c r="C1078" s="163">
        <v>3759</v>
      </c>
      <c r="D1078" s="95" t="s">
        <v>1843</v>
      </c>
      <c r="E1078" s="142">
        <v>0.30396666666666666</v>
      </c>
      <c r="F1078" s="4" t="s">
        <v>3065</v>
      </c>
      <c r="G1078" s="4" t="s">
        <v>3065</v>
      </c>
      <c r="H1078" s="4" t="str">
        <f t="shared" si="19"/>
        <v>No</v>
      </c>
      <c r="I1078" s="56"/>
    </row>
    <row r="1079" spans="1:9">
      <c r="A1079" s="97" t="s">
        <v>2491</v>
      </c>
      <c r="B1079" s="97" t="s">
        <v>1837</v>
      </c>
      <c r="C1079" s="163">
        <v>5571</v>
      </c>
      <c r="D1079" s="95" t="s">
        <v>768</v>
      </c>
      <c r="E1079" s="142">
        <v>0.21989999999999998</v>
      </c>
      <c r="F1079" s="4" t="s">
        <v>3065</v>
      </c>
      <c r="G1079" s="4" t="s">
        <v>3065</v>
      </c>
      <c r="H1079" s="4" t="str">
        <f t="shared" si="19"/>
        <v>No</v>
      </c>
      <c r="I1079" s="56"/>
    </row>
    <row r="1080" spans="1:9">
      <c r="A1080" s="97" t="s">
        <v>2491</v>
      </c>
      <c r="B1080" s="97" t="s">
        <v>1837</v>
      </c>
      <c r="C1080" s="163">
        <v>1858</v>
      </c>
      <c r="D1080" s="95" t="s">
        <v>1838</v>
      </c>
      <c r="E1080" s="142">
        <v>0.25409999999999999</v>
      </c>
      <c r="F1080" s="4" t="s">
        <v>3065</v>
      </c>
      <c r="G1080" s="4" t="s">
        <v>3065</v>
      </c>
      <c r="H1080" s="4" t="str">
        <f t="shared" si="19"/>
        <v>No</v>
      </c>
      <c r="I1080" s="56"/>
    </row>
    <row r="1081" spans="1:9">
      <c r="A1081" s="97" t="s">
        <v>2491</v>
      </c>
      <c r="B1081" s="97" t="s">
        <v>1837</v>
      </c>
      <c r="C1081" s="163">
        <v>5401</v>
      </c>
      <c r="D1081" s="95" t="s">
        <v>1848</v>
      </c>
      <c r="E1081" s="142">
        <v>0.12330000000000002</v>
      </c>
      <c r="F1081" s="4" t="s">
        <v>3065</v>
      </c>
      <c r="G1081" s="4" t="s">
        <v>3065</v>
      </c>
      <c r="H1081" s="4" t="str">
        <f t="shared" si="19"/>
        <v>No</v>
      </c>
      <c r="I1081" s="56"/>
    </row>
    <row r="1082" spans="1:9">
      <c r="A1082" s="97" t="s">
        <v>2491</v>
      </c>
      <c r="B1082" s="97" t="s">
        <v>1837</v>
      </c>
      <c r="C1082" s="163">
        <v>2402</v>
      </c>
      <c r="D1082" s="95" t="s">
        <v>1839</v>
      </c>
      <c r="E1082" s="142">
        <v>0.22823333333333332</v>
      </c>
      <c r="F1082" s="4" t="s">
        <v>3065</v>
      </c>
      <c r="G1082" s="4" t="s">
        <v>3065</v>
      </c>
      <c r="H1082" s="4" t="str">
        <f t="shared" si="19"/>
        <v>No</v>
      </c>
      <c r="I1082" s="56"/>
    </row>
    <row r="1083" spans="1:9">
      <c r="A1083" s="97" t="s">
        <v>2491</v>
      </c>
      <c r="B1083" s="97" t="s">
        <v>1837</v>
      </c>
      <c r="C1083" s="163">
        <v>4400</v>
      </c>
      <c r="D1083" s="95" t="s">
        <v>1845</v>
      </c>
      <c r="E1083" s="142">
        <v>0.21433333333333335</v>
      </c>
      <c r="F1083" s="4" t="s">
        <v>3065</v>
      </c>
      <c r="G1083" s="4" t="s">
        <v>3065</v>
      </c>
      <c r="H1083" s="4" t="str">
        <f t="shared" si="19"/>
        <v>No</v>
      </c>
      <c r="I1083" s="56"/>
    </row>
    <row r="1084" spans="1:9">
      <c r="A1084" s="97" t="s">
        <v>2491</v>
      </c>
      <c r="B1084" s="97" t="s">
        <v>1837</v>
      </c>
      <c r="C1084" s="163">
        <v>4133</v>
      </c>
      <c r="D1084" s="95" t="s">
        <v>440</v>
      </c>
      <c r="E1084" s="142">
        <v>0.14940000000000001</v>
      </c>
      <c r="F1084" s="4" t="s">
        <v>3065</v>
      </c>
      <c r="G1084" s="4" t="s">
        <v>3065</v>
      </c>
      <c r="H1084" s="4" t="str">
        <f t="shared" si="19"/>
        <v>No</v>
      </c>
      <c r="I1084" s="56"/>
    </row>
    <row r="1085" spans="1:9">
      <c r="A1085" s="97" t="s">
        <v>2491</v>
      </c>
      <c r="B1085" s="97" t="s">
        <v>1837</v>
      </c>
      <c r="C1085" s="163">
        <v>3191</v>
      </c>
      <c r="D1085" s="95" t="s">
        <v>1840</v>
      </c>
      <c r="E1085" s="142">
        <v>0.31929999999999997</v>
      </c>
      <c r="F1085" s="4" t="s">
        <v>3065</v>
      </c>
      <c r="G1085" s="4" t="s">
        <v>3065</v>
      </c>
      <c r="H1085" s="4" t="str">
        <f t="shared" si="19"/>
        <v>No</v>
      </c>
      <c r="I1085" s="56"/>
    </row>
    <row r="1086" spans="1:9">
      <c r="A1086" s="97" t="s">
        <v>2491</v>
      </c>
      <c r="B1086" s="97" t="s">
        <v>1837</v>
      </c>
      <c r="C1086" s="163">
        <v>4491</v>
      </c>
      <c r="D1086" s="95" t="s">
        <v>1846</v>
      </c>
      <c r="E1086" s="142">
        <v>0.25179999999999997</v>
      </c>
      <c r="F1086" s="4" t="s">
        <v>3065</v>
      </c>
      <c r="G1086" s="4" t="s">
        <v>3065</v>
      </c>
      <c r="H1086" s="4" t="str">
        <f t="shared" si="19"/>
        <v>No</v>
      </c>
      <c r="I1086" s="56"/>
    </row>
    <row r="1087" spans="1:9">
      <c r="A1087" s="97" t="s">
        <v>2491</v>
      </c>
      <c r="B1087" s="97" t="s">
        <v>1837</v>
      </c>
      <c r="C1087" s="163">
        <v>3851</v>
      </c>
      <c r="D1087" s="95" t="s">
        <v>970</v>
      </c>
      <c r="E1087" s="142">
        <v>0.23820000000000005</v>
      </c>
      <c r="F1087" s="4" t="s">
        <v>3065</v>
      </c>
      <c r="G1087" s="4" t="s">
        <v>3065</v>
      </c>
      <c r="H1087" s="4" t="str">
        <f t="shared" si="19"/>
        <v>No</v>
      </c>
      <c r="I1087" s="56"/>
    </row>
    <row r="1088" spans="1:9">
      <c r="A1088" s="97" t="s">
        <v>2491</v>
      </c>
      <c r="B1088" s="97" t="s">
        <v>1837</v>
      </c>
      <c r="C1088" s="163">
        <v>5094</v>
      </c>
      <c r="D1088" s="95" t="s">
        <v>1847</v>
      </c>
      <c r="E1088" s="142">
        <v>0.12476666666666665</v>
      </c>
      <c r="F1088" s="4" t="s">
        <v>3065</v>
      </c>
      <c r="G1088" s="4" t="s">
        <v>3065</v>
      </c>
      <c r="H1088" s="4" t="str">
        <f t="shared" si="19"/>
        <v>No</v>
      </c>
      <c r="I1088" s="56"/>
    </row>
    <row r="1089" spans="1:9">
      <c r="A1089" s="97" t="s">
        <v>2491</v>
      </c>
      <c r="B1089" s="97" t="s">
        <v>1837</v>
      </c>
      <c r="C1089" s="163">
        <v>4134</v>
      </c>
      <c r="D1089" s="95" t="s">
        <v>1844</v>
      </c>
      <c r="E1089" s="142">
        <v>0.60716666666666663</v>
      </c>
      <c r="F1089" s="4" t="s">
        <v>2752</v>
      </c>
      <c r="G1089" s="4" t="s">
        <v>2752</v>
      </c>
      <c r="H1089" s="4" t="str">
        <f t="shared" si="19"/>
        <v>No</v>
      </c>
      <c r="I1089" s="56"/>
    </row>
    <row r="1090" spans="1:9">
      <c r="A1090" s="97" t="s">
        <v>2491</v>
      </c>
      <c r="B1090" s="97" t="s">
        <v>1837</v>
      </c>
      <c r="C1090" s="163">
        <v>5658</v>
      </c>
      <c r="D1090" s="95" t="s">
        <v>1625</v>
      </c>
      <c r="E1090" s="142">
        <v>6.4199999999999993E-2</v>
      </c>
      <c r="F1090" s="4" t="s">
        <v>3065</v>
      </c>
      <c r="G1090" s="4" t="s">
        <v>3065</v>
      </c>
      <c r="H1090" s="4" t="str">
        <f t="shared" si="19"/>
        <v>No</v>
      </c>
      <c r="I1090" s="56"/>
    </row>
    <row r="1091" spans="1:9">
      <c r="A1091" s="97" t="s">
        <v>2490</v>
      </c>
      <c r="B1091" s="97" t="s">
        <v>1832</v>
      </c>
      <c r="C1091" s="163">
        <v>4483</v>
      </c>
      <c r="D1091" s="95" t="s">
        <v>1835</v>
      </c>
      <c r="E1091" s="142">
        <v>0.43233333333333329</v>
      </c>
      <c r="F1091" s="4" t="s">
        <v>3065</v>
      </c>
      <c r="G1091" s="4" t="s">
        <v>3065</v>
      </c>
      <c r="H1091" s="4" t="str">
        <f t="shared" ref="H1091:H1154" si="20">IFERROR(IF(AND(G1091="Yes",F1091="No"),"Yes","No"),"No")</f>
        <v>No</v>
      </c>
      <c r="I1091" s="56"/>
    </row>
    <row r="1092" spans="1:9">
      <c r="A1092" s="97" t="s">
        <v>2490</v>
      </c>
      <c r="B1092" s="97" t="s">
        <v>1832</v>
      </c>
      <c r="C1092" s="163">
        <v>5042</v>
      </c>
      <c r="D1092" s="95" t="s">
        <v>2787</v>
      </c>
      <c r="E1092" s="142">
        <v>0.50173333333333325</v>
      </c>
      <c r="F1092" s="4" t="s">
        <v>2752</v>
      </c>
      <c r="G1092" s="4" t="s">
        <v>2752</v>
      </c>
      <c r="H1092" s="4" t="str">
        <f t="shared" si="20"/>
        <v>No</v>
      </c>
      <c r="I1092" s="56"/>
    </row>
    <row r="1093" spans="1:9">
      <c r="A1093" s="97" t="s">
        <v>2490</v>
      </c>
      <c r="B1093" s="97" t="s">
        <v>1832</v>
      </c>
      <c r="C1093" s="163">
        <v>2890</v>
      </c>
      <c r="D1093" s="95" t="s">
        <v>1833</v>
      </c>
      <c r="E1093" s="142">
        <v>0.33096666666666663</v>
      </c>
      <c r="F1093" s="4" t="s">
        <v>3065</v>
      </c>
      <c r="G1093" s="4" t="s">
        <v>3065</v>
      </c>
      <c r="H1093" s="4" t="str">
        <f t="shared" si="20"/>
        <v>No</v>
      </c>
      <c r="I1093" s="56"/>
    </row>
    <row r="1094" spans="1:9">
      <c r="A1094" s="97" t="s">
        <v>2490</v>
      </c>
      <c r="B1094" s="97" t="s">
        <v>1832</v>
      </c>
      <c r="C1094" s="163">
        <v>3965</v>
      </c>
      <c r="D1094" s="95" t="s">
        <v>1834</v>
      </c>
      <c r="E1094" s="142">
        <v>0.38393333333333329</v>
      </c>
      <c r="F1094" s="4" t="s">
        <v>3065</v>
      </c>
      <c r="G1094" s="4" t="s">
        <v>3065</v>
      </c>
      <c r="H1094" s="4" t="str">
        <f t="shared" si="20"/>
        <v>No</v>
      </c>
      <c r="I1094" s="56"/>
    </row>
    <row r="1095" spans="1:9">
      <c r="A1095" s="97" t="s">
        <v>2490</v>
      </c>
      <c r="B1095" s="97" t="s">
        <v>1832</v>
      </c>
      <c r="C1095" s="163">
        <v>4577</v>
      </c>
      <c r="D1095" s="95" t="s">
        <v>1836</v>
      </c>
      <c r="E1095" s="142">
        <v>0.26926666666666671</v>
      </c>
      <c r="F1095" s="4" t="s">
        <v>3065</v>
      </c>
      <c r="G1095" s="4" t="s">
        <v>3065</v>
      </c>
      <c r="H1095" s="4" t="str">
        <f t="shared" si="20"/>
        <v>No</v>
      </c>
      <c r="I1095" s="56"/>
    </row>
    <row r="1096" spans="1:9">
      <c r="A1096" s="97" t="s">
        <v>2351</v>
      </c>
      <c r="B1096" s="97" t="s">
        <v>695</v>
      </c>
      <c r="C1096" s="163">
        <v>3162</v>
      </c>
      <c r="D1096" s="95" t="s">
        <v>698</v>
      </c>
      <c r="E1096" s="142">
        <v>1.8366666666666667E-2</v>
      </c>
      <c r="F1096" s="4" t="s">
        <v>3065</v>
      </c>
      <c r="G1096" s="4" t="s">
        <v>3065</v>
      </c>
      <c r="H1096" s="4" t="str">
        <f t="shared" si="20"/>
        <v>No</v>
      </c>
      <c r="I1096" s="56"/>
    </row>
    <row r="1097" spans="1:9">
      <c r="A1097" s="97" t="s">
        <v>2351</v>
      </c>
      <c r="B1097" s="97" t="s">
        <v>695</v>
      </c>
      <c r="C1097" s="163">
        <v>3219</v>
      </c>
      <c r="D1097" s="95" t="s">
        <v>699</v>
      </c>
      <c r="E1097" s="142">
        <v>3.793333333333334E-2</v>
      </c>
      <c r="F1097" s="4" t="s">
        <v>3065</v>
      </c>
      <c r="G1097" s="4" t="s">
        <v>3065</v>
      </c>
      <c r="H1097" s="4" t="str">
        <f t="shared" si="20"/>
        <v>No</v>
      </c>
      <c r="I1097" s="56"/>
    </row>
    <row r="1098" spans="1:9">
      <c r="A1098" s="97" t="s">
        <v>2351</v>
      </c>
      <c r="B1098" s="97" t="s">
        <v>695</v>
      </c>
      <c r="C1098" s="163">
        <v>2981</v>
      </c>
      <c r="D1098" s="95" t="s">
        <v>696</v>
      </c>
      <c r="E1098" s="142">
        <v>1.3199999999999998E-2</v>
      </c>
      <c r="F1098" s="4" t="s">
        <v>3065</v>
      </c>
      <c r="G1098" s="4" t="s">
        <v>3065</v>
      </c>
      <c r="H1098" s="4" t="str">
        <f t="shared" si="20"/>
        <v>No</v>
      </c>
      <c r="I1098" s="56"/>
    </row>
    <row r="1099" spans="1:9">
      <c r="A1099" s="97" t="s">
        <v>2351</v>
      </c>
      <c r="B1099" s="97" t="s">
        <v>695</v>
      </c>
      <c r="C1099" s="163">
        <v>3029</v>
      </c>
      <c r="D1099" s="95" t="s">
        <v>697</v>
      </c>
      <c r="E1099" s="142">
        <v>3.5966666666666668E-2</v>
      </c>
      <c r="F1099" s="4" t="s">
        <v>3065</v>
      </c>
      <c r="G1099" s="4" t="s">
        <v>3065</v>
      </c>
      <c r="H1099" s="4" t="str">
        <f t="shared" si="20"/>
        <v>No</v>
      </c>
      <c r="I1099" s="56"/>
    </row>
    <row r="1100" spans="1:9">
      <c r="A1100" s="97" t="s">
        <v>2351</v>
      </c>
      <c r="B1100" s="97" t="s">
        <v>695</v>
      </c>
      <c r="C1100" s="163">
        <v>5447</v>
      </c>
      <c r="D1100" s="95" t="s">
        <v>701</v>
      </c>
      <c r="E1100" s="142">
        <v>4.926666666666666E-2</v>
      </c>
      <c r="F1100" s="4" t="s">
        <v>3065</v>
      </c>
      <c r="G1100" s="4" t="s">
        <v>3065</v>
      </c>
      <c r="H1100" s="4" t="str">
        <f t="shared" si="20"/>
        <v>No</v>
      </c>
      <c r="I1100" s="56"/>
    </row>
    <row r="1101" spans="1:9">
      <c r="A1101" s="97" t="s">
        <v>2351</v>
      </c>
      <c r="B1101" s="97" t="s">
        <v>695</v>
      </c>
      <c r="C1101" s="163">
        <v>3433</v>
      </c>
      <c r="D1101" s="95" t="s">
        <v>700</v>
      </c>
      <c r="E1101" s="142">
        <v>2.9366666666666669E-2</v>
      </c>
      <c r="F1101" s="4" t="s">
        <v>3065</v>
      </c>
      <c r="G1101" s="4" t="s">
        <v>3065</v>
      </c>
      <c r="H1101" s="4" t="str">
        <f t="shared" si="20"/>
        <v>No</v>
      </c>
      <c r="I1101" s="56"/>
    </row>
    <row r="1102" spans="1:9">
      <c r="A1102" s="97" t="s">
        <v>2536</v>
      </c>
      <c r="B1102" s="97" t="s">
        <v>2110</v>
      </c>
      <c r="C1102" s="163">
        <v>2584</v>
      </c>
      <c r="D1102" s="95" t="s">
        <v>2112</v>
      </c>
      <c r="E1102" s="142">
        <v>0.38903333333333334</v>
      </c>
      <c r="F1102" s="4" t="s">
        <v>3065</v>
      </c>
      <c r="G1102" s="4" t="s">
        <v>3065</v>
      </c>
      <c r="H1102" s="4" t="str">
        <f t="shared" si="20"/>
        <v>No</v>
      </c>
      <c r="I1102" s="56"/>
    </row>
    <row r="1103" spans="1:9">
      <c r="A1103" s="97" t="s">
        <v>2536</v>
      </c>
      <c r="B1103" s="97" t="s">
        <v>2110</v>
      </c>
      <c r="C1103" s="163">
        <v>2554</v>
      </c>
      <c r="D1103" s="95" t="s">
        <v>2111</v>
      </c>
      <c r="E1103" s="142">
        <v>0.32519999999999999</v>
      </c>
      <c r="F1103" s="4" t="s">
        <v>3065</v>
      </c>
      <c r="G1103" s="4" t="s">
        <v>3065</v>
      </c>
      <c r="H1103" s="4" t="str">
        <f t="shared" si="20"/>
        <v>No</v>
      </c>
      <c r="I1103" s="56"/>
    </row>
    <row r="1104" spans="1:9">
      <c r="A1104" s="97" t="s">
        <v>2536</v>
      </c>
      <c r="B1104" s="97" t="s">
        <v>2110</v>
      </c>
      <c r="C1104" s="163">
        <v>5448</v>
      </c>
      <c r="D1104" s="95" t="s">
        <v>2114</v>
      </c>
      <c r="E1104" s="142">
        <v>0.36506666666666671</v>
      </c>
      <c r="F1104" s="4" t="s">
        <v>3065</v>
      </c>
      <c r="G1104" s="4" t="s">
        <v>3065</v>
      </c>
      <c r="H1104" s="4" t="str">
        <f t="shared" si="20"/>
        <v>No</v>
      </c>
      <c r="I1104" s="56"/>
    </row>
    <row r="1105" spans="1:9">
      <c r="A1105" s="97" t="s">
        <v>2536</v>
      </c>
      <c r="B1105" s="97" t="s">
        <v>2110</v>
      </c>
      <c r="C1105" s="163">
        <v>3930</v>
      </c>
      <c r="D1105" s="95" t="s">
        <v>943</v>
      </c>
      <c r="E1105" s="142">
        <v>0.34736666666666666</v>
      </c>
      <c r="F1105" s="4" t="s">
        <v>3065</v>
      </c>
      <c r="G1105" s="4" t="s">
        <v>3065</v>
      </c>
      <c r="H1105" s="4" t="str">
        <f t="shared" si="20"/>
        <v>No</v>
      </c>
      <c r="I1105" s="56"/>
    </row>
    <row r="1106" spans="1:9">
      <c r="A1106" s="97" t="s">
        <v>2536</v>
      </c>
      <c r="B1106" s="97" t="s">
        <v>2110</v>
      </c>
      <c r="C1106" s="163">
        <v>5047</v>
      </c>
      <c r="D1106" s="95" t="s">
        <v>2113</v>
      </c>
      <c r="E1106" s="142">
        <v>0.12086666666666666</v>
      </c>
      <c r="F1106" s="4" t="s">
        <v>3065</v>
      </c>
      <c r="G1106" s="4" t="s">
        <v>3065</v>
      </c>
      <c r="H1106" s="4" t="str">
        <f t="shared" si="20"/>
        <v>No</v>
      </c>
      <c r="I1106" s="56"/>
    </row>
    <row r="1107" spans="1:9">
      <c r="A1107" s="97" t="s">
        <v>2426</v>
      </c>
      <c r="B1107" s="97" t="s">
        <v>1250</v>
      </c>
      <c r="C1107" s="163">
        <v>1845</v>
      </c>
      <c r="D1107" s="95" t="s">
        <v>1251</v>
      </c>
      <c r="E1107" s="142">
        <v>0.39010000000000006</v>
      </c>
      <c r="F1107" s="4" t="s">
        <v>3065</v>
      </c>
      <c r="G1107" s="4" t="s">
        <v>3065</v>
      </c>
      <c r="H1107" s="4" t="str">
        <f t="shared" si="20"/>
        <v>No</v>
      </c>
      <c r="I1107" s="56"/>
    </row>
    <row r="1108" spans="1:9">
      <c r="A1108" s="97" t="s">
        <v>2426</v>
      </c>
      <c r="B1108" s="97" t="s">
        <v>1250</v>
      </c>
      <c r="C1108" s="163">
        <v>1621</v>
      </c>
      <c r="D1108" s="95" t="s">
        <v>2891</v>
      </c>
      <c r="E1108" s="142">
        <v>0.60450000000000004</v>
      </c>
      <c r="F1108" s="4" t="s">
        <v>2752</v>
      </c>
      <c r="G1108" s="4" t="s">
        <v>2752</v>
      </c>
      <c r="H1108" s="4" t="str">
        <f t="shared" si="20"/>
        <v>No</v>
      </c>
      <c r="I1108" s="56"/>
    </row>
    <row r="1109" spans="1:9">
      <c r="A1109" s="97" t="s">
        <v>2426</v>
      </c>
      <c r="B1109" s="97" t="s">
        <v>1250</v>
      </c>
      <c r="C1109" s="163">
        <v>2146</v>
      </c>
      <c r="D1109" s="95" t="s">
        <v>1252</v>
      </c>
      <c r="E1109" s="142">
        <v>0.307</v>
      </c>
      <c r="F1109" s="4" t="s">
        <v>3065</v>
      </c>
      <c r="G1109" s="4" t="s">
        <v>3065</v>
      </c>
      <c r="H1109" s="4" t="str">
        <f t="shared" si="20"/>
        <v>No</v>
      </c>
      <c r="I1109" s="56"/>
    </row>
    <row r="1110" spans="1:9">
      <c r="A1110" s="97" t="s">
        <v>2426</v>
      </c>
      <c r="B1110" s="97" t="s">
        <v>1250</v>
      </c>
      <c r="C1110" s="163">
        <v>4501</v>
      </c>
      <c r="D1110" s="95" t="s">
        <v>1253</v>
      </c>
      <c r="E1110" s="142">
        <v>0.34233333333333332</v>
      </c>
      <c r="F1110" s="4" t="s">
        <v>3065</v>
      </c>
      <c r="G1110" s="4" t="s">
        <v>3065</v>
      </c>
      <c r="H1110" s="4" t="str">
        <f t="shared" si="20"/>
        <v>No</v>
      </c>
      <c r="I1110" s="56"/>
    </row>
    <row r="1111" spans="1:9">
      <c r="A1111" s="97" t="s">
        <v>2470</v>
      </c>
      <c r="B1111" s="97" t="s">
        <v>1589</v>
      </c>
      <c r="C1111" s="163">
        <v>3406</v>
      </c>
      <c r="D1111" s="95" t="s">
        <v>1590</v>
      </c>
      <c r="E1111" s="142">
        <v>0.3785</v>
      </c>
      <c r="F1111" s="4" t="s">
        <v>2752</v>
      </c>
      <c r="G1111" s="4" t="s">
        <v>2752</v>
      </c>
      <c r="H1111" s="4" t="str">
        <f t="shared" si="20"/>
        <v>No</v>
      </c>
      <c r="I1111" s="56"/>
    </row>
    <row r="1112" spans="1:9">
      <c r="A1112" s="97" t="s">
        <v>2470</v>
      </c>
      <c r="B1112" s="97" t="s">
        <v>1589</v>
      </c>
      <c r="C1112" s="163">
        <v>5480</v>
      </c>
      <c r="D1112" s="95" t="s">
        <v>2724</v>
      </c>
      <c r="E1112" s="142">
        <v>0.1452</v>
      </c>
      <c r="F1112" s="4" t="s">
        <v>3065</v>
      </c>
      <c r="G1112" s="4" t="s">
        <v>3065</v>
      </c>
      <c r="H1112" s="4" t="str">
        <f t="shared" si="20"/>
        <v>No</v>
      </c>
      <c r="I1112" s="56"/>
    </row>
    <row r="1113" spans="1:9">
      <c r="A1113" s="97" t="s">
        <v>2479</v>
      </c>
      <c r="B1113" s="97" t="s">
        <v>1710</v>
      </c>
      <c r="C1113" s="163">
        <v>4362</v>
      </c>
      <c r="D1113" s="95" t="s">
        <v>1718</v>
      </c>
      <c r="E1113" s="142">
        <v>0.1263</v>
      </c>
      <c r="F1113" s="4" t="s">
        <v>3065</v>
      </c>
      <c r="G1113" s="4" t="s">
        <v>3065</v>
      </c>
      <c r="H1113" s="4" t="str">
        <f t="shared" si="20"/>
        <v>No</v>
      </c>
      <c r="I1113" s="56"/>
    </row>
    <row r="1114" spans="1:9">
      <c r="A1114" s="97" t="s">
        <v>2479</v>
      </c>
      <c r="B1114" s="97" t="s">
        <v>1710</v>
      </c>
      <c r="C1114" s="163">
        <v>3060</v>
      </c>
      <c r="D1114" s="95" t="s">
        <v>1716</v>
      </c>
      <c r="E1114" s="142">
        <v>0.64166666666666661</v>
      </c>
      <c r="F1114" s="4" t="s">
        <v>2752</v>
      </c>
      <c r="G1114" s="4" t="s">
        <v>2752</v>
      </c>
      <c r="H1114" s="4" t="str">
        <f t="shared" si="20"/>
        <v>No</v>
      </c>
      <c r="I1114" s="56"/>
    </row>
    <row r="1115" spans="1:9">
      <c r="A1115" s="97" t="s">
        <v>2479</v>
      </c>
      <c r="B1115" s="97" t="s">
        <v>1710</v>
      </c>
      <c r="C1115" s="163">
        <v>4594</v>
      </c>
      <c r="D1115" s="95" t="s">
        <v>1721</v>
      </c>
      <c r="E1115" s="142">
        <v>0.36076666666666668</v>
      </c>
      <c r="F1115" s="4" t="s">
        <v>3065</v>
      </c>
      <c r="G1115" s="4" t="s">
        <v>3065</v>
      </c>
      <c r="H1115" s="4" t="str">
        <f t="shared" si="20"/>
        <v>No</v>
      </c>
      <c r="I1115" s="56"/>
    </row>
    <row r="1116" spans="1:9">
      <c r="A1116" s="97" t="s">
        <v>2479</v>
      </c>
      <c r="B1116" s="97" t="s">
        <v>1710</v>
      </c>
      <c r="C1116" s="163">
        <v>4544</v>
      </c>
      <c r="D1116" s="95" t="s">
        <v>1720</v>
      </c>
      <c r="E1116" s="142">
        <v>0.33746666666666664</v>
      </c>
      <c r="F1116" s="4" t="s">
        <v>3065</v>
      </c>
      <c r="G1116" s="4" t="s">
        <v>3065</v>
      </c>
      <c r="H1116" s="4" t="str">
        <f t="shared" si="20"/>
        <v>No</v>
      </c>
      <c r="I1116" s="56"/>
    </row>
    <row r="1117" spans="1:9">
      <c r="A1117" s="97" t="s">
        <v>2479</v>
      </c>
      <c r="B1117" s="97" t="s">
        <v>1710</v>
      </c>
      <c r="C1117" s="163">
        <v>1806</v>
      </c>
      <c r="D1117" s="95" t="s">
        <v>1713</v>
      </c>
      <c r="E1117" s="142">
        <v>0.54833333333333334</v>
      </c>
      <c r="F1117" s="4" t="s">
        <v>2752</v>
      </c>
      <c r="G1117" s="4" t="s">
        <v>2752</v>
      </c>
      <c r="H1117" s="4" t="str">
        <f t="shared" si="20"/>
        <v>No</v>
      </c>
      <c r="I1117" s="56"/>
    </row>
    <row r="1118" spans="1:9">
      <c r="A1118" s="97" t="s">
        <v>2479</v>
      </c>
      <c r="B1118" s="97" t="s">
        <v>1710</v>
      </c>
      <c r="C1118" s="163">
        <v>2546</v>
      </c>
      <c r="D1118" s="95" t="s">
        <v>1715</v>
      </c>
      <c r="E1118" s="142">
        <v>0.20596666666666666</v>
      </c>
      <c r="F1118" s="4" t="s">
        <v>3065</v>
      </c>
      <c r="G1118" s="4" t="s">
        <v>3065</v>
      </c>
      <c r="H1118" s="4" t="str">
        <f t="shared" si="20"/>
        <v>No</v>
      </c>
      <c r="I1118" s="56"/>
    </row>
    <row r="1119" spans="1:9">
      <c r="A1119" s="97" t="s">
        <v>2479</v>
      </c>
      <c r="B1119" s="97" t="s">
        <v>1710</v>
      </c>
      <c r="C1119" s="163">
        <v>4528</v>
      </c>
      <c r="D1119" s="95" t="s">
        <v>1719</v>
      </c>
      <c r="E1119" s="142">
        <v>0.30249999999999999</v>
      </c>
      <c r="F1119" s="4" t="s">
        <v>3065</v>
      </c>
      <c r="G1119" s="4" t="s">
        <v>3065</v>
      </c>
      <c r="H1119" s="4" t="str">
        <f t="shared" si="20"/>
        <v>No</v>
      </c>
      <c r="I1119" s="56"/>
    </row>
    <row r="1120" spans="1:9">
      <c r="A1120" s="97" t="s">
        <v>2479</v>
      </c>
      <c r="B1120" s="97" t="s">
        <v>1710</v>
      </c>
      <c r="C1120" s="163">
        <v>1570</v>
      </c>
      <c r="D1120" s="95" t="s">
        <v>2849</v>
      </c>
      <c r="E1120" s="142">
        <v>0</v>
      </c>
      <c r="F1120" s="4" t="s">
        <v>3065</v>
      </c>
      <c r="G1120" s="4" t="s">
        <v>3065</v>
      </c>
      <c r="H1120" s="4" t="str">
        <f t="shared" si="20"/>
        <v>No</v>
      </c>
      <c r="I1120" s="56"/>
    </row>
    <row r="1121" spans="1:9">
      <c r="A1121" s="97" t="s">
        <v>2479</v>
      </c>
      <c r="B1121" s="97" t="s">
        <v>1710</v>
      </c>
      <c r="C1121" s="163">
        <v>1643</v>
      </c>
      <c r="D1121" s="95" t="s">
        <v>1711</v>
      </c>
      <c r="E1121" s="142">
        <v>0.25216666666666665</v>
      </c>
      <c r="F1121" s="4" t="s">
        <v>3065</v>
      </c>
      <c r="G1121" s="4" t="s">
        <v>3065</v>
      </c>
      <c r="H1121" s="4" t="str">
        <f t="shared" si="20"/>
        <v>No</v>
      </c>
      <c r="I1121" s="56"/>
    </row>
    <row r="1122" spans="1:9">
      <c r="A1122" s="97" t="s">
        <v>2479</v>
      </c>
      <c r="B1122" s="97" t="s">
        <v>1710</v>
      </c>
      <c r="C1122" s="163">
        <v>5040</v>
      </c>
      <c r="D1122" s="95" t="s">
        <v>1722</v>
      </c>
      <c r="E1122" s="142">
        <v>0.3833333333333333</v>
      </c>
      <c r="F1122" s="4" t="s">
        <v>3065</v>
      </c>
      <c r="G1122" s="4" t="s">
        <v>3065</v>
      </c>
      <c r="H1122" s="4" t="str">
        <f t="shared" si="20"/>
        <v>No</v>
      </c>
      <c r="I1122" s="56"/>
    </row>
    <row r="1123" spans="1:9">
      <c r="A1123" s="97" t="s">
        <v>2479</v>
      </c>
      <c r="B1123" s="97" t="s">
        <v>1710</v>
      </c>
      <c r="C1123" s="163">
        <v>4159</v>
      </c>
      <c r="D1123" s="95" t="s">
        <v>1717</v>
      </c>
      <c r="E1123" s="142">
        <v>0.17679999999999998</v>
      </c>
      <c r="F1123" s="4" t="s">
        <v>3065</v>
      </c>
      <c r="G1123" s="4" t="s">
        <v>3065</v>
      </c>
      <c r="H1123" s="4" t="str">
        <f t="shared" si="20"/>
        <v>No</v>
      </c>
      <c r="I1123" s="56"/>
    </row>
    <row r="1124" spans="1:9">
      <c r="A1124" s="97" t="s">
        <v>2479</v>
      </c>
      <c r="B1124" s="97" t="s">
        <v>1710</v>
      </c>
      <c r="C1124" s="163">
        <v>5154</v>
      </c>
      <c r="D1124" s="95" t="s">
        <v>1723</v>
      </c>
      <c r="E1124" s="142">
        <v>0.15890000000000001</v>
      </c>
      <c r="F1124" s="4" t="s">
        <v>3065</v>
      </c>
      <c r="G1124" s="4" t="s">
        <v>3065</v>
      </c>
      <c r="H1124" s="4" t="str">
        <f t="shared" si="20"/>
        <v>No</v>
      </c>
      <c r="I1124" s="56"/>
    </row>
    <row r="1125" spans="1:9">
      <c r="A1125" s="97" t="s">
        <v>2479</v>
      </c>
      <c r="B1125" s="97" t="s">
        <v>1710</v>
      </c>
      <c r="C1125" s="163">
        <v>1777</v>
      </c>
      <c r="D1125" s="95" t="s">
        <v>1712</v>
      </c>
      <c r="E1125" s="142">
        <v>0.11643333333333333</v>
      </c>
      <c r="F1125" s="4" t="s">
        <v>3065</v>
      </c>
      <c r="G1125" s="4" t="s">
        <v>3065</v>
      </c>
      <c r="H1125" s="4" t="str">
        <f t="shared" si="20"/>
        <v>No</v>
      </c>
      <c r="I1125" s="56"/>
    </row>
    <row r="1126" spans="1:9">
      <c r="A1126" s="97" t="s">
        <v>2479</v>
      </c>
      <c r="B1126" s="97" t="s">
        <v>1710</v>
      </c>
      <c r="C1126" s="163">
        <v>1883</v>
      </c>
      <c r="D1126" s="95" t="s">
        <v>1714</v>
      </c>
      <c r="E1126" s="142">
        <v>0.16663333333333333</v>
      </c>
      <c r="F1126" s="4" t="s">
        <v>3065</v>
      </c>
      <c r="G1126" s="4" t="s">
        <v>3065</v>
      </c>
      <c r="H1126" s="4" t="str">
        <f t="shared" si="20"/>
        <v>No</v>
      </c>
      <c r="I1126" s="56"/>
    </row>
    <row r="1127" spans="1:9">
      <c r="A1127" s="97" t="s">
        <v>2331</v>
      </c>
      <c r="B1127" s="97" t="s">
        <v>487</v>
      </c>
      <c r="C1127" s="163">
        <v>3661</v>
      </c>
      <c r="D1127" s="95" t="s">
        <v>490</v>
      </c>
      <c r="E1127" s="142">
        <v>0.33826666666666666</v>
      </c>
      <c r="F1127" s="4" t="s">
        <v>3065</v>
      </c>
      <c r="G1127" s="4" t="s">
        <v>3065</v>
      </c>
      <c r="H1127" s="4" t="str">
        <f t="shared" si="20"/>
        <v>No</v>
      </c>
      <c r="I1127" s="56"/>
    </row>
    <row r="1128" spans="1:9">
      <c r="A1128" s="97" t="s">
        <v>2331</v>
      </c>
      <c r="B1128" s="97" t="s">
        <v>487</v>
      </c>
      <c r="C1128" s="163">
        <v>2180</v>
      </c>
      <c r="D1128" s="95" t="s">
        <v>488</v>
      </c>
      <c r="E1128" s="142">
        <v>0.33396666666666669</v>
      </c>
      <c r="F1128" s="4" t="s">
        <v>3065</v>
      </c>
      <c r="G1128" s="4" t="s">
        <v>3065</v>
      </c>
      <c r="H1128" s="4" t="str">
        <f t="shared" si="20"/>
        <v>No</v>
      </c>
      <c r="I1128" s="56"/>
    </row>
    <row r="1129" spans="1:9">
      <c r="A1129" s="97" t="s">
        <v>2331</v>
      </c>
      <c r="B1129" s="97" t="s">
        <v>487</v>
      </c>
      <c r="C1129" s="163">
        <v>3374</v>
      </c>
      <c r="D1129" s="95" t="s">
        <v>489</v>
      </c>
      <c r="E1129" s="142">
        <v>0.37060000000000004</v>
      </c>
      <c r="F1129" s="4" t="s">
        <v>3065</v>
      </c>
      <c r="G1129" s="4" t="s">
        <v>3065</v>
      </c>
      <c r="H1129" s="4" t="str">
        <f t="shared" si="20"/>
        <v>No</v>
      </c>
      <c r="I1129" s="56"/>
    </row>
    <row r="1130" spans="1:9">
      <c r="A1130" s="97" t="s">
        <v>2396</v>
      </c>
      <c r="B1130" s="97" t="s">
        <v>1142</v>
      </c>
      <c r="C1130" s="163">
        <v>2678</v>
      </c>
      <c r="D1130" s="95" t="s">
        <v>1143</v>
      </c>
      <c r="E1130" s="142">
        <v>0.56820000000000004</v>
      </c>
      <c r="F1130" s="4" t="s">
        <v>2752</v>
      </c>
      <c r="G1130" s="4" t="s">
        <v>2752</v>
      </c>
      <c r="H1130" s="4" t="str">
        <f t="shared" si="20"/>
        <v>No</v>
      </c>
      <c r="I1130" s="56"/>
    </row>
    <row r="1131" spans="1:9">
      <c r="A1131" s="97" t="s">
        <v>2396</v>
      </c>
      <c r="B1131" s="97" t="s">
        <v>1142</v>
      </c>
      <c r="C1131" s="163">
        <v>3112</v>
      </c>
      <c r="D1131" s="95" t="s">
        <v>1144</v>
      </c>
      <c r="E1131" s="142">
        <v>0.53883333333333339</v>
      </c>
      <c r="F1131" s="4" t="s">
        <v>2752</v>
      </c>
      <c r="G1131" s="4" t="s">
        <v>2752</v>
      </c>
      <c r="H1131" s="4" t="str">
        <f t="shared" si="20"/>
        <v>No</v>
      </c>
      <c r="I1131" s="56"/>
    </row>
    <row r="1132" spans="1:9">
      <c r="A1132" s="97" t="s">
        <v>2323</v>
      </c>
      <c r="B1132" s="97" t="s">
        <v>436</v>
      </c>
      <c r="C1132" s="163">
        <v>3022</v>
      </c>
      <c r="D1132" s="95" t="s">
        <v>442</v>
      </c>
      <c r="E1132" s="142">
        <v>0.62339999999999995</v>
      </c>
      <c r="F1132" s="4" t="s">
        <v>2752</v>
      </c>
      <c r="G1132" s="4" t="s">
        <v>2752</v>
      </c>
      <c r="H1132" s="4" t="str">
        <f t="shared" si="20"/>
        <v>No</v>
      </c>
      <c r="I1132" s="56"/>
    </row>
    <row r="1133" spans="1:9">
      <c r="A1133" s="97" t="s">
        <v>2323</v>
      </c>
      <c r="B1133" s="97" t="s">
        <v>436</v>
      </c>
      <c r="C1133" s="163">
        <v>5273</v>
      </c>
      <c r="D1133" s="95" t="s">
        <v>449</v>
      </c>
      <c r="E1133" s="142">
        <v>0.3805</v>
      </c>
      <c r="F1133" s="4" t="s">
        <v>3065</v>
      </c>
      <c r="G1133" s="4" t="s">
        <v>3065</v>
      </c>
      <c r="H1133" s="4" t="str">
        <f t="shared" si="20"/>
        <v>No</v>
      </c>
      <c r="I1133" s="56"/>
    </row>
    <row r="1134" spans="1:9">
      <c r="A1134" s="97" t="s">
        <v>2323</v>
      </c>
      <c r="B1134" s="97" t="s">
        <v>436</v>
      </c>
      <c r="C1134" s="163">
        <v>5679</v>
      </c>
      <c r="D1134" s="95" t="s">
        <v>3026</v>
      </c>
      <c r="E1134" s="142">
        <v>0.71279999999999999</v>
      </c>
      <c r="F1134" s="4" t="s">
        <v>2752</v>
      </c>
      <c r="G1134" s="4" t="s">
        <v>3065</v>
      </c>
      <c r="H1134" s="4" t="str">
        <f t="shared" si="20"/>
        <v>No</v>
      </c>
      <c r="I1134" s="56"/>
    </row>
    <row r="1135" spans="1:9">
      <c r="A1135" s="97" t="s">
        <v>2323</v>
      </c>
      <c r="B1135" s="97" t="s">
        <v>436</v>
      </c>
      <c r="C1135" s="163">
        <v>5354</v>
      </c>
      <c r="D1135" s="95" t="s">
        <v>451</v>
      </c>
      <c r="E1135" s="142">
        <v>0.93129999999999991</v>
      </c>
      <c r="F1135" s="4" t="s">
        <v>2752</v>
      </c>
      <c r="G1135" s="4" t="s">
        <v>2752</v>
      </c>
      <c r="H1135" s="4" t="str">
        <f t="shared" si="20"/>
        <v>No</v>
      </c>
      <c r="I1135" s="56"/>
    </row>
    <row r="1136" spans="1:9">
      <c r="A1136" s="97" t="s">
        <v>2323</v>
      </c>
      <c r="B1136" s="97" t="s">
        <v>436</v>
      </c>
      <c r="C1136" s="163">
        <v>2673</v>
      </c>
      <c r="D1136" s="95" t="s">
        <v>245</v>
      </c>
      <c r="E1136" s="142">
        <v>0.61353333333333337</v>
      </c>
      <c r="F1136" s="4" t="s">
        <v>2752</v>
      </c>
      <c r="G1136" s="4" t="s">
        <v>2752</v>
      </c>
      <c r="H1136" s="4" t="str">
        <f t="shared" si="20"/>
        <v>No</v>
      </c>
      <c r="I1136" s="56"/>
    </row>
    <row r="1137" spans="1:9">
      <c r="A1137" s="97" t="s">
        <v>2323</v>
      </c>
      <c r="B1137" s="97" t="s">
        <v>436</v>
      </c>
      <c r="C1137" s="163">
        <v>3091</v>
      </c>
      <c r="D1137" s="95" t="s">
        <v>443</v>
      </c>
      <c r="E1137" s="142">
        <v>0.5479666666666666</v>
      </c>
      <c r="F1137" s="4" t="s">
        <v>2752</v>
      </c>
      <c r="G1137" s="4" t="s">
        <v>2752</v>
      </c>
      <c r="H1137" s="4" t="str">
        <f t="shared" si="20"/>
        <v>No</v>
      </c>
      <c r="I1137" s="56"/>
    </row>
    <row r="1138" spans="1:9">
      <c r="A1138" s="97" t="s">
        <v>2323</v>
      </c>
      <c r="B1138" s="97" t="s">
        <v>436</v>
      </c>
      <c r="C1138" s="163">
        <v>2833</v>
      </c>
      <c r="D1138" s="95" t="s">
        <v>438</v>
      </c>
      <c r="E1138" s="142">
        <v>0.7654333333333333</v>
      </c>
      <c r="F1138" s="4" t="s">
        <v>2752</v>
      </c>
      <c r="G1138" s="4" t="s">
        <v>2752</v>
      </c>
      <c r="H1138" s="4" t="str">
        <f t="shared" si="20"/>
        <v>No</v>
      </c>
      <c r="I1138" s="56"/>
    </row>
    <row r="1139" spans="1:9">
      <c r="A1139" s="97" t="s">
        <v>2323</v>
      </c>
      <c r="B1139" s="97" t="s">
        <v>436</v>
      </c>
      <c r="C1139" s="163">
        <v>2969</v>
      </c>
      <c r="D1139" s="95" t="s">
        <v>439</v>
      </c>
      <c r="E1139" s="142">
        <v>0.64680000000000004</v>
      </c>
      <c r="F1139" s="4" t="s">
        <v>2752</v>
      </c>
      <c r="G1139" s="4" t="s">
        <v>2752</v>
      </c>
      <c r="H1139" s="4" t="str">
        <f t="shared" si="20"/>
        <v>No</v>
      </c>
      <c r="I1139" s="56"/>
    </row>
    <row r="1140" spans="1:9">
      <c r="A1140" s="97" t="s">
        <v>2323</v>
      </c>
      <c r="B1140" s="97" t="s">
        <v>436</v>
      </c>
      <c r="C1140" s="163">
        <v>3021</v>
      </c>
      <c r="D1140" s="95" t="s">
        <v>441</v>
      </c>
      <c r="E1140" s="142">
        <v>0.86929999999999996</v>
      </c>
      <c r="F1140" s="4" t="s">
        <v>2752</v>
      </c>
      <c r="G1140" s="4" t="s">
        <v>2752</v>
      </c>
      <c r="H1140" s="4" t="str">
        <f t="shared" si="20"/>
        <v>No</v>
      </c>
      <c r="I1140" s="56"/>
    </row>
    <row r="1141" spans="1:9">
      <c r="A1141" s="97" t="s">
        <v>2323</v>
      </c>
      <c r="B1141" s="97" t="s">
        <v>436</v>
      </c>
      <c r="C1141" s="163">
        <v>3153</v>
      </c>
      <c r="D1141" s="95" t="s">
        <v>444</v>
      </c>
      <c r="E1141" s="142">
        <v>0.6846333333333332</v>
      </c>
      <c r="F1141" s="4" t="s">
        <v>2752</v>
      </c>
      <c r="G1141" s="4" t="s">
        <v>2752</v>
      </c>
      <c r="H1141" s="4" t="str">
        <f t="shared" si="20"/>
        <v>No</v>
      </c>
      <c r="I1141" s="56"/>
    </row>
    <row r="1142" spans="1:9">
      <c r="A1142" s="97" t="s">
        <v>2323</v>
      </c>
      <c r="B1142" s="97" t="s">
        <v>436</v>
      </c>
      <c r="C1142" s="163">
        <v>2970</v>
      </c>
      <c r="D1142" s="95" t="s">
        <v>440</v>
      </c>
      <c r="E1142" s="142">
        <v>0.78853333333333342</v>
      </c>
      <c r="F1142" s="4" t="s">
        <v>2752</v>
      </c>
      <c r="G1142" s="4" t="s">
        <v>2752</v>
      </c>
      <c r="H1142" s="4" t="str">
        <f t="shared" si="20"/>
        <v>No</v>
      </c>
      <c r="I1142" s="56"/>
    </row>
    <row r="1143" spans="1:9">
      <c r="A1143" s="97" t="s">
        <v>2323</v>
      </c>
      <c r="B1143" s="97" t="s">
        <v>436</v>
      </c>
      <c r="C1143" s="163">
        <v>5601</v>
      </c>
      <c r="D1143" s="95" t="s">
        <v>2825</v>
      </c>
      <c r="E1143" s="142">
        <v>0.20000000000000004</v>
      </c>
      <c r="F1143" s="4" t="s">
        <v>3065</v>
      </c>
      <c r="G1143" s="4" t="s">
        <v>3065</v>
      </c>
      <c r="H1143" s="4" t="str">
        <f t="shared" si="20"/>
        <v>No</v>
      </c>
      <c r="I1143" s="56"/>
    </row>
    <row r="1144" spans="1:9">
      <c r="A1144" s="97" t="s">
        <v>2323</v>
      </c>
      <c r="B1144" s="97" t="s">
        <v>436</v>
      </c>
      <c r="C1144" s="163">
        <v>3215</v>
      </c>
      <c r="D1144" s="95" t="s">
        <v>445</v>
      </c>
      <c r="E1144" s="142">
        <v>0.58763333333333334</v>
      </c>
      <c r="F1144" s="4" t="s">
        <v>2752</v>
      </c>
      <c r="G1144" s="4" t="s">
        <v>2752</v>
      </c>
      <c r="H1144" s="4" t="str">
        <f t="shared" si="20"/>
        <v>No</v>
      </c>
      <c r="I1144" s="56"/>
    </row>
    <row r="1145" spans="1:9">
      <c r="A1145" s="97" t="s">
        <v>2323</v>
      </c>
      <c r="B1145" s="97" t="s">
        <v>436</v>
      </c>
      <c r="C1145" s="163">
        <v>3779</v>
      </c>
      <c r="D1145" s="95" t="s">
        <v>446</v>
      </c>
      <c r="E1145" s="142">
        <v>0.88306666666666667</v>
      </c>
      <c r="F1145" s="4" t="s">
        <v>2752</v>
      </c>
      <c r="G1145" s="4" t="s">
        <v>2752</v>
      </c>
      <c r="H1145" s="4" t="str">
        <f t="shared" si="20"/>
        <v>No</v>
      </c>
      <c r="I1145" s="56"/>
    </row>
    <row r="1146" spans="1:9">
      <c r="A1146" s="97" t="s">
        <v>2323</v>
      </c>
      <c r="B1146" s="97" t="s">
        <v>436</v>
      </c>
      <c r="C1146" s="163">
        <v>5251</v>
      </c>
      <c r="D1146" s="95" t="s">
        <v>448</v>
      </c>
      <c r="E1146" s="142">
        <v>0.65616666666666668</v>
      </c>
      <c r="F1146" s="4" t="s">
        <v>2752</v>
      </c>
      <c r="G1146" s="4" t="s">
        <v>2752</v>
      </c>
      <c r="H1146" s="4" t="str">
        <f t="shared" si="20"/>
        <v>No</v>
      </c>
      <c r="I1146" s="56"/>
    </row>
    <row r="1147" spans="1:9">
      <c r="A1147" s="97" t="s">
        <v>2323</v>
      </c>
      <c r="B1147" s="97" t="s">
        <v>436</v>
      </c>
      <c r="C1147" s="163">
        <v>2832</v>
      </c>
      <c r="D1147" s="95" t="s">
        <v>437</v>
      </c>
      <c r="E1147" s="142">
        <v>0.61233333333333329</v>
      </c>
      <c r="F1147" s="4" t="s">
        <v>2752</v>
      </c>
      <c r="G1147" s="4" t="s">
        <v>2752</v>
      </c>
      <c r="H1147" s="4" t="str">
        <f t="shared" si="20"/>
        <v>No</v>
      </c>
      <c r="I1147" s="56"/>
    </row>
    <row r="1148" spans="1:9">
      <c r="A1148" s="97" t="s">
        <v>2323</v>
      </c>
      <c r="B1148" s="97" t="s">
        <v>436</v>
      </c>
      <c r="C1148" s="163">
        <v>5173</v>
      </c>
      <c r="D1148" s="95" t="s">
        <v>447</v>
      </c>
      <c r="E1148" s="142">
        <v>0.3617333333333333</v>
      </c>
      <c r="F1148" s="4" t="s">
        <v>3065</v>
      </c>
      <c r="G1148" s="4" t="s">
        <v>3065</v>
      </c>
      <c r="H1148" s="4" t="str">
        <f t="shared" si="20"/>
        <v>No</v>
      </c>
      <c r="I1148" s="56"/>
    </row>
    <row r="1149" spans="1:9">
      <c r="A1149" s="97" t="s">
        <v>2323</v>
      </c>
      <c r="B1149" s="97" t="s">
        <v>436</v>
      </c>
      <c r="C1149" s="163">
        <v>5323</v>
      </c>
      <c r="D1149" s="95" t="s">
        <v>450</v>
      </c>
      <c r="E1149" s="142">
        <v>0.7732</v>
      </c>
      <c r="F1149" s="4" t="s">
        <v>2752</v>
      </c>
      <c r="G1149" s="4" t="s">
        <v>2752</v>
      </c>
      <c r="H1149" s="4" t="str">
        <f t="shared" si="20"/>
        <v>No</v>
      </c>
      <c r="I1149" s="56"/>
    </row>
    <row r="1150" spans="1:9">
      <c r="A1150" s="97" t="s">
        <v>2323</v>
      </c>
      <c r="B1150" s="97" t="s">
        <v>436</v>
      </c>
      <c r="C1150" s="163">
        <v>5680</v>
      </c>
      <c r="D1150" s="95" t="s">
        <v>3027</v>
      </c>
      <c r="E1150" s="142">
        <v>0.46879999999999999</v>
      </c>
      <c r="F1150" s="4" t="s">
        <v>3065</v>
      </c>
      <c r="G1150" s="4" t="s">
        <v>3065</v>
      </c>
      <c r="H1150" s="4" t="str">
        <f t="shared" si="20"/>
        <v>No</v>
      </c>
      <c r="I1150" s="56"/>
    </row>
    <row r="1151" spans="1:9">
      <c r="A1151" s="97" t="s">
        <v>2395</v>
      </c>
      <c r="B1151" s="97" t="s">
        <v>1138</v>
      </c>
      <c r="C1151" s="163">
        <v>5415</v>
      </c>
      <c r="D1151" s="95" t="s">
        <v>1141</v>
      </c>
      <c r="E1151" s="142">
        <v>0.78076666666666661</v>
      </c>
      <c r="F1151" s="4" t="s">
        <v>2752</v>
      </c>
      <c r="G1151" s="4" t="s">
        <v>2752</v>
      </c>
      <c r="H1151" s="4" t="str">
        <f t="shared" si="20"/>
        <v>No</v>
      </c>
      <c r="I1151" s="56"/>
    </row>
    <row r="1152" spans="1:9">
      <c r="A1152" s="97" t="s">
        <v>2395</v>
      </c>
      <c r="B1152" s="97" t="s">
        <v>1138</v>
      </c>
      <c r="C1152" s="163">
        <v>2572</v>
      </c>
      <c r="D1152" s="95" t="s">
        <v>1139</v>
      </c>
      <c r="E1152" s="142">
        <v>0.59053333333333335</v>
      </c>
      <c r="F1152" s="4" t="s">
        <v>2752</v>
      </c>
      <c r="G1152" s="4" t="s">
        <v>2752</v>
      </c>
      <c r="H1152" s="4" t="str">
        <f t="shared" si="20"/>
        <v>No</v>
      </c>
      <c r="I1152" s="56"/>
    </row>
    <row r="1153" spans="1:9">
      <c r="A1153" s="97" t="s">
        <v>2395</v>
      </c>
      <c r="B1153" s="97" t="s">
        <v>1138</v>
      </c>
      <c r="C1153" s="163">
        <v>3238</v>
      </c>
      <c r="D1153" s="95" t="s">
        <v>1140</v>
      </c>
      <c r="E1153" s="142">
        <v>0.56476666666666675</v>
      </c>
      <c r="F1153" s="4" t="s">
        <v>2752</v>
      </c>
      <c r="G1153" s="4" t="s">
        <v>2752</v>
      </c>
      <c r="H1153" s="4" t="str">
        <f t="shared" si="20"/>
        <v>No</v>
      </c>
      <c r="I1153" s="56"/>
    </row>
    <row r="1154" spans="1:9">
      <c r="A1154" s="97" t="s">
        <v>2567</v>
      </c>
      <c r="B1154" s="97" t="s">
        <v>2253</v>
      </c>
      <c r="C1154" s="163">
        <v>2506</v>
      </c>
      <c r="D1154" s="95" t="s">
        <v>2255</v>
      </c>
      <c r="E1154" s="142">
        <v>0.96539999999999992</v>
      </c>
      <c r="F1154" s="4" t="s">
        <v>2752</v>
      </c>
      <c r="G1154" s="4" t="s">
        <v>2752</v>
      </c>
      <c r="H1154" s="4" t="str">
        <f t="shared" si="20"/>
        <v>No</v>
      </c>
      <c r="I1154" s="56"/>
    </row>
    <row r="1155" spans="1:9">
      <c r="A1155" s="97" t="s">
        <v>2567</v>
      </c>
      <c r="B1155" s="97" t="s">
        <v>2253</v>
      </c>
      <c r="C1155" s="163">
        <v>2389</v>
      </c>
      <c r="D1155" s="95" t="s">
        <v>2254</v>
      </c>
      <c r="E1155" s="142">
        <v>0.97256666666666669</v>
      </c>
      <c r="F1155" s="4" t="s">
        <v>2752</v>
      </c>
      <c r="G1155" s="4" t="s">
        <v>2752</v>
      </c>
      <c r="H1155" s="4" t="str">
        <f t="shared" ref="H1155:H1218" si="21">IFERROR(IF(AND(G1155="Yes",F1155="No"),"Yes","No"),"No")</f>
        <v>No</v>
      </c>
      <c r="I1155" s="56"/>
    </row>
    <row r="1156" spans="1:9">
      <c r="A1156" s="97" t="s">
        <v>2567</v>
      </c>
      <c r="B1156" s="97" t="s">
        <v>2253</v>
      </c>
      <c r="C1156" s="163">
        <v>2532</v>
      </c>
      <c r="D1156" s="95" t="s">
        <v>2256</v>
      </c>
      <c r="E1156" s="142">
        <v>0.97389999999999999</v>
      </c>
      <c r="F1156" s="4" t="s">
        <v>2752</v>
      </c>
      <c r="G1156" s="4" t="s">
        <v>2752</v>
      </c>
      <c r="H1156" s="4" t="str">
        <f t="shared" si="21"/>
        <v>No</v>
      </c>
      <c r="I1156" s="56"/>
    </row>
    <row r="1157" spans="1:9">
      <c r="A1157" s="97" t="s">
        <v>2538</v>
      </c>
      <c r="B1157" s="97" t="s">
        <v>2121</v>
      </c>
      <c r="C1157" s="163">
        <v>2585</v>
      </c>
      <c r="D1157" s="95" t="s">
        <v>2123</v>
      </c>
      <c r="E1157" s="142">
        <v>0.52403333333333324</v>
      </c>
      <c r="F1157" s="4" t="s">
        <v>2752</v>
      </c>
      <c r="G1157" s="4" t="s">
        <v>2752</v>
      </c>
      <c r="H1157" s="4" t="str">
        <f t="shared" si="21"/>
        <v>No</v>
      </c>
      <c r="I1157" s="56"/>
    </row>
    <row r="1158" spans="1:9">
      <c r="A1158" s="97" t="s">
        <v>2538</v>
      </c>
      <c r="B1158" s="97" t="s">
        <v>2121</v>
      </c>
      <c r="C1158" s="163">
        <v>3365</v>
      </c>
      <c r="D1158" s="95" t="s">
        <v>2125</v>
      </c>
      <c r="E1158" s="142">
        <v>0.36846666666666666</v>
      </c>
      <c r="F1158" s="4" t="s">
        <v>3065</v>
      </c>
      <c r="G1158" s="4" t="s">
        <v>3065</v>
      </c>
      <c r="H1158" s="4" t="str">
        <f t="shared" si="21"/>
        <v>No</v>
      </c>
      <c r="I1158" s="56"/>
    </row>
    <row r="1159" spans="1:9">
      <c r="A1159" s="97" t="s">
        <v>2538</v>
      </c>
      <c r="B1159" s="97" t="s">
        <v>2121</v>
      </c>
      <c r="C1159" s="163">
        <v>4533</v>
      </c>
      <c r="D1159" s="95" t="s">
        <v>2126</v>
      </c>
      <c r="E1159" s="142">
        <v>0.7695333333333334</v>
      </c>
      <c r="F1159" s="4" t="s">
        <v>2752</v>
      </c>
      <c r="G1159" s="4" t="s">
        <v>2752</v>
      </c>
      <c r="H1159" s="4" t="str">
        <f t="shared" si="21"/>
        <v>No</v>
      </c>
      <c r="I1159" s="56"/>
    </row>
    <row r="1160" spans="1:9">
      <c r="A1160" s="97" t="s">
        <v>2538</v>
      </c>
      <c r="B1160" s="97" t="s">
        <v>2121</v>
      </c>
      <c r="C1160" s="163">
        <v>5112</v>
      </c>
      <c r="D1160" s="95" t="s">
        <v>2127</v>
      </c>
      <c r="E1160" s="142">
        <v>0.38853333333333334</v>
      </c>
      <c r="F1160" s="4" t="s">
        <v>3065</v>
      </c>
      <c r="G1160" s="4" t="s">
        <v>3065</v>
      </c>
      <c r="H1160" s="4" t="str">
        <f t="shared" si="21"/>
        <v>No</v>
      </c>
      <c r="I1160" s="56"/>
    </row>
    <row r="1161" spans="1:9">
      <c r="A1161" s="97" t="s">
        <v>2538</v>
      </c>
      <c r="B1161" s="97" t="s">
        <v>2121</v>
      </c>
      <c r="C1161" s="163">
        <v>3003</v>
      </c>
      <c r="D1161" s="95" t="s">
        <v>2124</v>
      </c>
      <c r="E1161" s="142">
        <v>0.61030000000000006</v>
      </c>
      <c r="F1161" s="4" t="s">
        <v>2752</v>
      </c>
      <c r="G1161" s="4" t="s">
        <v>2752</v>
      </c>
      <c r="H1161" s="4" t="str">
        <f t="shared" si="21"/>
        <v>No</v>
      </c>
      <c r="I1161" s="56"/>
    </row>
    <row r="1162" spans="1:9">
      <c r="A1162" s="97" t="s">
        <v>2538</v>
      </c>
      <c r="B1162" s="97" t="s">
        <v>2121</v>
      </c>
      <c r="C1162" s="163">
        <v>2343</v>
      </c>
      <c r="D1162" s="95" t="s">
        <v>2122</v>
      </c>
      <c r="E1162" s="142">
        <v>0.50159999999999993</v>
      </c>
      <c r="F1162" s="4" t="s">
        <v>2752</v>
      </c>
      <c r="G1162" s="4" t="s">
        <v>3065</v>
      </c>
      <c r="H1162" s="4" t="str">
        <f t="shared" si="21"/>
        <v>No</v>
      </c>
      <c r="I1162" s="56"/>
    </row>
    <row r="1163" spans="1:9">
      <c r="A1163" s="97" t="s">
        <v>2469</v>
      </c>
      <c r="B1163" s="97" t="s">
        <v>1587</v>
      </c>
      <c r="C1163" s="163">
        <v>3459</v>
      </c>
      <c r="D1163" s="95" t="s">
        <v>1588</v>
      </c>
      <c r="E1163" s="142">
        <v>0.18913333333333335</v>
      </c>
      <c r="F1163" s="4" t="s">
        <v>3065</v>
      </c>
      <c r="G1163" s="4" t="s">
        <v>3065</v>
      </c>
      <c r="H1163" s="4" t="str">
        <f t="shared" si="21"/>
        <v>No</v>
      </c>
      <c r="I1163" s="56"/>
    </row>
    <row r="1164" spans="1:9">
      <c r="A1164" s="97" t="s">
        <v>2466</v>
      </c>
      <c r="B1164" s="97" t="s">
        <v>1575</v>
      </c>
      <c r="C1164" s="163">
        <v>5625</v>
      </c>
      <c r="D1164" s="95" t="s">
        <v>2892</v>
      </c>
      <c r="E1164" s="142">
        <v>0.69784999999999997</v>
      </c>
      <c r="F1164" s="4" t="s">
        <v>2752</v>
      </c>
      <c r="G1164" s="4" t="s">
        <v>2752</v>
      </c>
      <c r="H1164" s="4" t="str">
        <f t="shared" si="21"/>
        <v>No</v>
      </c>
      <c r="I1164" s="56"/>
    </row>
    <row r="1165" spans="1:9">
      <c r="A1165" s="97" t="s">
        <v>2466</v>
      </c>
      <c r="B1165" s="97" t="s">
        <v>1575</v>
      </c>
      <c r="C1165" s="163">
        <v>4329</v>
      </c>
      <c r="D1165" s="95" t="s">
        <v>2893</v>
      </c>
      <c r="E1165" s="142">
        <v>0.72460000000000002</v>
      </c>
      <c r="F1165" s="4" t="s">
        <v>2752</v>
      </c>
      <c r="G1165" s="4" t="s">
        <v>2752</v>
      </c>
      <c r="H1165" s="4" t="str">
        <f t="shared" si="21"/>
        <v>No</v>
      </c>
      <c r="I1165" s="56"/>
    </row>
    <row r="1166" spans="1:9">
      <c r="A1166" s="97" t="s">
        <v>2466</v>
      </c>
      <c r="B1166" s="97" t="s">
        <v>1575</v>
      </c>
      <c r="C1166" s="163">
        <v>5589</v>
      </c>
      <c r="D1166" s="95" t="s">
        <v>2836</v>
      </c>
      <c r="E1166" s="142">
        <v>0.65169999999999995</v>
      </c>
      <c r="F1166" s="4" t="s">
        <v>2752</v>
      </c>
      <c r="G1166" s="4" t="s">
        <v>2752</v>
      </c>
      <c r="H1166" s="4" t="str">
        <f t="shared" si="21"/>
        <v>No</v>
      </c>
      <c r="I1166" s="56"/>
    </row>
    <row r="1167" spans="1:9">
      <c r="A1167" s="97" t="s">
        <v>2466</v>
      </c>
      <c r="B1167" s="97" t="s">
        <v>1575</v>
      </c>
      <c r="C1167" s="163">
        <v>3183</v>
      </c>
      <c r="D1167" s="95" t="s">
        <v>79</v>
      </c>
      <c r="E1167" s="142">
        <v>0.62080000000000002</v>
      </c>
      <c r="F1167" s="4" t="s">
        <v>2752</v>
      </c>
      <c r="G1167" s="4" t="s">
        <v>2752</v>
      </c>
      <c r="H1167" s="4" t="str">
        <f t="shared" si="21"/>
        <v>No</v>
      </c>
      <c r="I1167" s="56"/>
    </row>
    <row r="1168" spans="1:9">
      <c r="A1168" s="97" t="s">
        <v>2466</v>
      </c>
      <c r="B1168" s="97" t="s">
        <v>1575</v>
      </c>
      <c r="C1168" s="163">
        <v>3821</v>
      </c>
      <c r="D1168" s="95" t="s">
        <v>1578</v>
      </c>
      <c r="E1168" s="142">
        <v>0.71566666666666656</v>
      </c>
      <c r="F1168" s="4" t="s">
        <v>2752</v>
      </c>
      <c r="G1168" s="4" t="s">
        <v>2752</v>
      </c>
      <c r="H1168" s="4" t="str">
        <f t="shared" si="21"/>
        <v>No</v>
      </c>
      <c r="I1168" s="56"/>
    </row>
    <row r="1169" spans="1:9">
      <c r="A1169" s="97" t="s">
        <v>2466</v>
      </c>
      <c r="B1169" s="97" t="s">
        <v>1575</v>
      </c>
      <c r="C1169" s="163">
        <v>4013</v>
      </c>
      <c r="D1169" s="95" t="s">
        <v>1580</v>
      </c>
      <c r="E1169" s="142">
        <v>0.62983333333333336</v>
      </c>
      <c r="F1169" s="4" t="s">
        <v>2752</v>
      </c>
      <c r="G1169" s="4" t="s">
        <v>2752</v>
      </c>
      <c r="H1169" s="4" t="str">
        <f t="shared" si="21"/>
        <v>No</v>
      </c>
      <c r="I1169" s="56"/>
    </row>
    <row r="1170" spans="1:9">
      <c r="A1170" s="97" t="s">
        <v>2466</v>
      </c>
      <c r="B1170" s="97" t="s">
        <v>1575</v>
      </c>
      <c r="C1170" s="163">
        <v>3001</v>
      </c>
      <c r="D1170" s="95" t="s">
        <v>1577</v>
      </c>
      <c r="E1170" s="142">
        <v>0.60040000000000004</v>
      </c>
      <c r="F1170" s="4" t="s">
        <v>2752</v>
      </c>
      <c r="G1170" s="4" t="s">
        <v>2752</v>
      </c>
      <c r="H1170" s="4" t="str">
        <f t="shared" si="21"/>
        <v>No</v>
      </c>
      <c r="I1170" s="56"/>
    </row>
    <row r="1171" spans="1:9">
      <c r="A1171" s="97" t="s">
        <v>2466</v>
      </c>
      <c r="B1171" s="97" t="s">
        <v>1575</v>
      </c>
      <c r="C1171" s="163">
        <v>4511</v>
      </c>
      <c r="D1171" s="95" t="s">
        <v>1581</v>
      </c>
      <c r="E1171" s="142">
        <v>0.66336666666666666</v>
      </c>
      <c r="F1171" s="4" t="s">
        <v>2752</v>
      </c>
      <c r="G1171" s="4" t="s">
        <v>2752</v>
      </c>
      <c r="H1171" s="4" t="str">
        <f t="shared" si="21"/>
        <v>No</v>
      </c>
      <c r="I1171" s="56"/>
    </row>
    <row r="1172" spans="1:9">
      <c r="A1172" s="97" t="s">
        <v>2466</v>
      </c>
      <c r="B1172" s="97" t="s">
        <v>1575</v>
      </c>
      <c r="C1172" s="163">
        <v>2295</v>
      </c>
      <c r="D1172" s="95" t="s">
        <v>1576</v>
      </c>
      <c r="E1172" s="142">
        <v>0.60840000000000005</v>
      </c>
      <c r="F1172" s="4" t="s">
        <v>2752</v>
      </c>
      <c r="G1172" s="4" t="s">
        <v>2752</v>
      </c>
      <c r="H1172" s="4" t="str">
        <f t="shared" si="21"/>
        <v>No</v>
      </c>
      <c r="I1172" s="56"/>
    </row>
    <row r="1173" spans="1:9">
      <c r="A1173" s="97" t="s">
        <v>2466</v>
      </c>
      <c r="B1173" s="97" t="s">
        <v>1575</v>
      </c>
      <c r="C1173" s="163">
        <v>5449</v>
      </c>
      <c r="D1173" s="95" t="s">
        <v>1582</v>
      </c>
      <c r="E1173" s="142">
        <v>0.59066666666666667</v>
      </c>
      <c r="F1173" s="4" t="s">
        <v>2752</v>
      </c>
      <c r="G1173" s="4" t="s">
        <v>2752</v>
      </c>
      <c r="H1173" s="4" t="str">
        <f t="shared" si="21"/>
        <v>No</v>
      </c>
      <c r="I1173" s="56"/>
    </row>
    <row r="1174" spans="1:9">
      <c r="A1174" s="97" t="s">
        <v>2466</v>
      </c>
      <c r="B1174" s="97" t="s">
        <v>1575</v>
      </c>
      <c r="C1174" s="163">
        <v>3829</v>
      </c>
      <c r="D1174" s="95" t="s">
        <v>1579</v>
      </c>
      <c r="E1174" s="142">
        <v>0.45</v>
      </c>
      <c r="F1174" s="4" t="s">
        <v>3065</v>
      </c>
      <c r="G1174" s="4" t="s">
        <v>3065</v>
      </c>
      <c r="H1174" s="4" t="str">
        <f t="shared" si="21"/>
        <v>No</v>
      </c>
      <c r="I1174" s="56"/>
    </row>
    <row r="1175" spans="1:9">
      <c r="A1175" s="97" t="s">
        <v>2466</v>
      </c>
      <c r="B1175" s="97" t="s">
        <v>1575</v>
      </c>
      <c r="C1175" s="163">
        <v>5960</v>
      </c>
      <c r="D1175" s="95" t="s">
        <v>1583</v>
      </c>
      <c r="E1175" s="142">
        <v>0.22123333333333331</v>
      </c>
      <c r="F1175" s="4" t="s">
        <v>3065</v>
      </c>
      <c r="G1175" s="4" t="s">
        <v>3065</v>
      </c>
      <c r="H1175" s="4" t="str">
        <f t="shared" si="21"/>
        <v>No</v>
      </c>
      <c r="I1175" s="56"/>
    </row>
    <row r="1176" spans="1:9">
      <c r="A1176" s="97" t="s">
        <v>2466</v>
      </c>
      <c r="B1176" s="97" t="s">
        <v>1575</v>
      </c>
      <c r="C1176" s="163">
        <v>1992</v>
      </c>
      <c r="D1176" s="95" t="s">
        <v>2788</v>
      </c>
      <c r="E1176" s="142">
        <v>0.1585</v>
      </c>
      <c r="F1176" s="4" t="s">
        <v>3065</v>
      </c>
      <c r="G1176" s="4" t="s">
        <v>3065</v>
      </c>
      <c r="H1176" s="4" t="str">
        <f t="shared" si="21"/>
        <v>No</v>
      </c>
      <c r="I1176" s="56"/>
    </row>
    <row r="1177" spans="1:9">
      <c r="A1177" s="97" t="s">
        <v>2466</v>
      </c>
      <c r="B1177" s="97" t="s">
        <v>1575</v>
      </c>
      <c r="C1177" s="163">
        <v>2880</v>
      </c>
      <c r="D1177" s="95" t="s">
        <v>40</v>
      </c>
      <c r="E1177" s="142">
        <v>0.75896666666666668</v>
      </c>
      <c r="F1177" s="4" t="s">
        <v>2752</v>
      </c>
      <c r="G1177" s="4" t="s">
        <v>2752</v>
      </c>
      <c r="H1177" s="4" t="str">
        <f t="shared" si="21"/>
        <v>No</v>
      </c>
      <c r="I1177" s="56"/>
    </row>
    <row r="1178" spans="1:9">
      <c r="A1178" s="97" t="s">
        <v>2368</v>
      </c>
      <c r="B1178" s="97" t="s">
        <v>1012</v>
      </c>
      <c r="C1178" s="163">
        <v>1986</v>
      </c>
      <c r="D1178" s="95" t="s">
        <v>1013</v>
      </c>
      <c r="E1178" s="142">
        <v>0.76666666666666661</v>
      </c>
      <c r="F1178" s="4" t="s">
        <v>2752</v>
      </c>
      <c r="G1178" s="4" t="s">
        <v>2752</v>
      </c>
      <c r="H1178" s="4" t="str">
        <f t="shared" si="21"/>
        <v>No</v>
      </c>
      <c r="I1178" s="56"/>
    </row>
    <row r="1179" spans="1:9">
      <c r="A1179" s="97" t="s">
        <v>2474</v>
      </c>
      <c r="B1179" s="97" t="s">
        <v>1627</v>
      </c>
      <c r="C1179" s="163">
        <v>4247</v>
      </c>
      <c r="D1179" s="95" t="s">
        <v>1636</v>
      </c>
      <c r="E1179" s="142">
        <v>0.71649999999999991</v>
      </c>
      <c r="F1179" s="4" t="s">
        <v>2752</v>
      </c>
      <c r="G1179" s="4" t="s">
        <v>2752</v>
      </c>
      <c r="H1179" s="4" t="str">
        <f t="shared" si="21"/>
        <v>No</v>
      </c>
      <c r="I1179" s="56"/>
    </row>
    <row r="1180" spans="1:9">
      <c r="A1180" s="97" t="s">
        <v>2474</v>
      </c>
      <c r="B1180" s="97" t="s">
        <v>1627</v>
      </c>
      <c r="C1180" s="163">
        <v>4303</v>
      </c>
      <c r="D1180" s="95" t="s">
        <v>860</v>
      </c>
      <c r="E1180" s="142">
        <v>0.70906666666666673</v>
      </c>
      <c r="F1180" s="4" t="s">
        <v>2752</v>
      </c>
      <c r="G1180" s="4" t="s">
        <v>2752</v>
      </c>
      <c r="H1180" s="4" t="str">
        <f t="shared" si="21"/>
        <v>No</v>
      </c>
      <c r="I1180" s="56"/>
    </row>
    <row r="1181" spans="1:9">
      <c r="A1181" s="97" t="s">
        <v>2474</v>
      </c>
      <c r="B1181" s="97" t="s">
        <v>1627</v>
      </c>
      <c r="C1181" s="163">
        <v>4342</v>
      </c>
      <c r="D1181" s="95" t="s">
        <v>1637</v>
      </c>
      <c r="E1181" s="142">
        <v>0.26613333333333333</v>
      </c>
      <c r="F1181" s="4" t="s">
        <v>3065</v>
      </c>
      <c r="G1181" s="4" t="s">
        <v>3065</v>
      </c>
      <c r="H1181" s="4" t="str">
        <f t="shared" si="21"/>
        <v>No</v>
      </c>
      <c r="I1181" s="56"/>
    </row>
    <row r="1182" spans="1:9">
      <c r="A1182" s="97" t="s">
        <v>2474</v>
      </c>
      <c r="B1182" s="97" t="s">
        <v>1627</v>
      </c>
      <c r="C1182" s="163">
        <v>4304</v>
      </c>
      <c r="D1182" s="95" t="s">
        <v>862</v>
      </c>
      <c r="E1182" s="142">
        <v>0.63339999999999996</v>
      </c>
      <c r="F1182" s="4" t="s">
        <v>2752</v>
      </c>
      <c r="G1182" s="4" t="s">
        <v>2752</v>
      </c>
      <c r="H1182" s="4" t="str">
        <f t="shared" si="21"/>
        <v>No</v>
      </c>
      <c r="I1182" s="56"/>
    </row>
    <row r="1183" spans="1:9">
      <c r="A1183" s="97" t="s">
        <v>2474</v>
      </c>
      <c r="B1183" s="97" t="s">
        <v>1627</v>
      </c>
      <c r="C1183" s="163">
        <v>4469</v>
      </c>
      <c r="D1183" s="95" t="s">
        <v>1642</v>
      </c>
      <c r="E1183" s="142">
        <v>0.19316666666666663</v>
      </c>
      <c r="F1183" s="4" t="s">
        <v>3065</v>
      </c>
      <c r="G1183" s="4" t="s">
        <v>3065</v>
      </c>
      <c r="H1183" s="4" t="str">
        <f t="shared" si="21"/>
        <v>No</v>
      </c>
      <c r="I1183" s="56"/>
    </row>
    <row r="1184" spans="1:9">
      <c r="A1184" s="97" t="s">
        <v>2474</v>
      </c>
      <c r="B1184" s="97" t="s">
        <v>1627</v>
      </c>
      <c r="C1184" s="163">
        <v>4231</v>
      </c>
      <c r="D1184" s="95" t="s">
        <v>1635</v>
      </c>
      <c r="E1184" s="142">
        <v>0.65533333333333343</v>
      </c>
      <c r="F1184" s="4" t="s">
        <v>2752</v>
      </c>
      <c r="G1184" s="4" t="s">
        <v>2752</v>
      </c>
      <c r="H1184" s="4" t="str">
        <f t="shared" si="21"/>
        <v>No</v>
      </c>
      <c r="I1184" s="56"/>
    </row>
    <row r="1185" spans="1:9">
      <c r="A1185" s="97" t="s">
        <v>2474</v>
      </c>
      <c r="B1185" s="97" t="s">
        <v>1627</v>
      </c>
      <c r="C1185" s="163">
        <v>2886</v>
      </c>
      <c r="D1185" s="95" t="s">
        <v>1628</v>
      </c>
      <c r="E1185" s="142">
        <v>0.61053333333333326</v>
      </c>
      <c r="F1185" s="4" t="s">
        <v>2752</v>
      </c>
      <c r="G1185" s="4" t="s">
        <v>2752</v>
      </c>
      <c r="H1185" s="4" t="str">
        <f t="shared" si="21"/>
        <v>No</v>
      </c>
      <c r="I1185" s="56"/>
    </row>
    <row r="1186" spans="1:9">
      <c r="A1186" s="97" t="s">
        <v>2474</v>
      </c>
      <c r="B1186" s="97" t="s">
        <v>1627</v>
      </c>
      <c r="C1186" s="163">
        <v>4430</v>
      </c>
      <c r="D1186" s="95" t="s">
        <v>1640</v>
      </c>
      <c r="E1186" s="142">
        <v>0.28813333333333335</v>
      </c>
      <c r="F1186" s="4" t="s">
        <v>3065</v>
      </c>
      <c r="G1186" s="4" t="s">
        <v>3065</v>
      </c>
      <c r="H1186" s="4" t="str">
        <f t="shared" si="21"/>
        <v>No</v>
      </c>
      <c r="I1186" s="56"/>
    </row>
    <row r="1187" spans="1:9">
      <c r="A1187" s="97" t="s">
        <v>2474</v>
      </c>
      <c r="B1187" s="97" t="s">
        <v>1627</v>
      </c>
      <c r="C1187" s="163">
        <v>4344</v>
      </c>
      <c r="D1187" s="95" t="s">
        <v>1638</v>
      </c>
      <c r="E1187" s="142">
        <v>0.75280000000000002</v>
      </c>
      <c r="F1187" s="4" t="s">
        <v>2752</v>
      </c>
      <c r="G1187" s="4" t="s">
        <v>2752</v>
      </c>
      <c r="H1187" s="4" t="str">
        <f t="shared" si="21"/>
        <v>No</v>
      </c>
      <c r="I1187" s="56"/>
    </row>
    <row r="1188" spans="1:9">
      <c r="A1188" s="97" t="s">
        <v>2474</v>
      </c>
      <c r="B1188" s="97" t="s">
        <v>1627</v>
      </c>
      <c r="C1188" s="163">
        <v>4433</v>
      </c>
      <c r="D1188" s="95" t="s">
        <v>1641</v>
      </c>
      <c r="E1188" s="142">
        <v>0.23356666666666667</v>
      </c>
      <c r="F1188" s="4" t="s">
        <v>3065</v>
      </c>
      <c r="G1188" s="4" t="s">
        <v>3065</v>
      </c>
      <c r="H1188" s="4" t="str">
        <f t="shared" si="21"/>
        <v>No</v>
      </c>
      <c r="I1188" s="56"/>
    </row>
    <row r="1189" spans="1:9">
      <c r="A1189" s="97" t="s">
        <v>2474</v>
      </c>
      <c r="B1189" s="97" t="s">
        <v>1627</v>
      </c>
      <c r="C1189" s="163">
        <v>5450</v>
      </c>
      <c r="D1189" s="95" t="s">
        <v>1644</v>
      </c>
      <c r="E1189" s="142">
        <v>0.54966666666666664</v>
      </c>
      <c r="F1189" s="4" t="s">
        <v>2752</v>
      </c>
      <c r="G1189" s="4" t="s">
        <v>2752</v>
      </c>
      <c r="H1189" s="4" t="str">
        <f t="shared" si="21"/>
        <v>No</v>
      </c>
      <c r="I1189" s="56"/>
    </row>
    <row r="1190" spans="1:9">
      <c r="A1190" s="97" t="s">
        <v>2474</v>
      </c>
      <c r="B1190" s="97" t="s">
        <v>1627</v>
      </c>
      <c r="C1190" s="163">
        <v>3688</v>
      </c>
      <c r="D1190" s="95" t="s">
        <v>1632</v>
      </c>
      <c r="E1190" s="142">
        <v>0.62556666666666672</v>
      </c>
      <c r="F1190" s="4" t="s">
        <v>2752</v>
      </c>
      <c r="G1190" s="4" t="s">
        <v>2752</v>
      </c>
      <c r="H1190" s="4" t="str">
        <f t="shared" si="21"/>
        <v>No</v>
      </c>
      <c r="I1190" s="56"/>
    </row>
    <row r="1191" spans="1:9">
      <c r="A1191" s="97" t="s">
        <v>2474</v>
      </c>
      <c r="B1191" s="97" t="s">
        <v>1627</v>
      </c>
      <c r="C1191" s="163">
        <v>4164</v>
      </c>
      <c r="D1191" s="95" t="s">
        <v>1633</v>
      </c>
      <c r="E1191" s="142">
        <v>0.16436666666666666</v>
      </c>
      <c r="F1191" s="4" t="s">
        <v>3065</v>
      </c>
      <c r="G1191" s="4" t="s">
        <v>3065</v>
      </c>
      <c r="H1191" s="4" t="str">
        <f t="shared" si="21"/>
        <v>No</v>
      </c>
      <c r="I1191" s="56"/>
    </row>
    <row r="1192" spans="1:9">
      <c r="A1192" s="56" t="s">
        <v>2474</v>
      </c>
      <c r="B1192" s="97" t="s">
        <v>1627</v>
      </c>
      <c r="C1192" s="163">
        <v>5498</v>
      </c>
      <c r="D1192" s="56" t="s">
        <v>2725</v>
      </c>
      <c r="E1192" s="142">
        <v>0.55576666666666663</v>
      </c>
      <c r="F1192" s="4" t="s">
        <v>2752</v>
      </c>
      <c r="G1192" s="4" t="s">
        <v>3065</v>
      </c>
      <c r="H1192" s="4" t="str">
        <f t="shared" si="21"/>
        <v>No</v>
      </c>
      <c r="I1192" s="56"/>
    </row>
    <row r="1193" spans="1:9">
      <c r="A1193" s="97" t="s">
        <v>2474</v>
      </c>
      <c r="B1193" s="97" t="s">
        <v>1627</v>
      </c>
      <c r="C1193" s="163">
        <v>5703</v>
      </c>
      <c r="D1193" s="95" t="s">
        <v>3028</v>
      </c>
      <c r="E1193" s="142">
        <v>0.61399999999999999</v>
      </c>
      <c r="F1193" s="4" t="s">
        <v>2752</v>
      </c>
      <c r="G1193" s="4" t="s">
        <v>3065</v>
      </c>
      <c r="H1193" s="4" t="str">
        <f t="shared" si="21"/>
        <v>No</v>
      </c>
      <c r="I1193" s="56"/>
    </row>
    <row r="1194" spans="1:9">
      <c r="A1194" s="97" t="s">
        <v>2474</v>
      </c>
      <c r="B1194" s="97" t="s">
        <v>1627</v>
      </c>
      <c r="C1194" s="163">
        <v>4583</v>
      </c>
      <c r="D1194" s="95" t="s">
        <v>1643</v>
      </c>
      <c r="E1194" s="142">
        <v>0.5865999999999999</v>
      </c>
      <c r="F1194" s="4" t="s">
        <v>2752</v>
      </c>
      <c r="G1194" s="4" t="s">
        <v>2752</v>
      </c>
      <c r="H1194" s="4" t="str">
        <f t="shared" si="21"/>
        <v>No</v>
      </c>
      <c r="I1194" s="56"/>
    </row>
    <row r="1195" spans="1:9">
      <c r="A1195" s="97" t="s">
        <v>2474</v>
      </c>
      <c r="B1195" s="97" t="s">
        <v>1627</v>
      </c>
      <c r="C1195" s="163">
        <v>3121</v>
      </c>
      <c r="D1195" s="95" t="s">
        <v>1630</v>
      </c>
      <c r="E1195" s="142">
        <v>0.62503333333333333</v>
      </c>
      <c r="F1195" s="4" t="s">
        <v>2752</v>
      </c>
      <c r="G1195" s="4" t="s">
        <v>2752</v>
      </c>
      <c r="H1195" s="4" t="str">
        <f t="shared" si="21"/>
        <v>No</v>
      </c>
      <c r="I1195" s="56"/>
    </row>
    <row r="1196" spans="1:9">
      <c r="A1196" s="97" t="s">
        <v>2474</v>
      </c>
      <c r="B1196" s="97" t="s">
        <v>1627</v>
      </c>
      <c r="C1196" s="163">
        <v>3120</v>
      </c>
      <c r="D1196" s="95" t="s">
        <v>1629</v>
      </c>
      <c r="E1196" s="142">
        <v>0.47263333333333329</v>
      </c>
      <c r="F1196" s="4" t="s">
        <v>3065</v>
      </c>
      <c r="G1196" s="4" t="s">
        <v>3065</v>
      </c>
      <c r="H1196" s="4" t="str">
        <f t="shared" si="21"/>
        <v>No</v>
      </c>
      <c r="I1196" s="56"/>
    </row>
    <row r="1197" spans="1:9">
      <c r="A1197" s="97" t="s">
        <v>2474</v>
      </c>
      <c r="B1197" s="97" t="s">
        <v>1627</v>
      </c>
      <c r="C1197" s="163">
        <v>5482</v>
      </c>
      <c r="D1197" s="95" t="s">
        <v>2726</v>
      </c>
      <c r="E1197" s="142">
        <v>0.51090000000000002</v>
      </c>
      <c r="F1197" s="4" t="s">
        <v>2752</v>
      </c>
      <c r="G1197" s="4" t="s">
        <v>2752</v>
      </c>
      <c r="H1197" s="4" t="str">
        <f t="shared" si="21"/>
        <v>No</v>
      </c>
      <c r="I1197" s="56"/>
    </row>
    <row r="1198" spans="1:9">
      <c r="A1198" s="97" t="s">
        <v>2474</v>
      </c>
      <c r="B1198" s="97" t="s">
        <v>1627</v>
      </c>
      <c r="C1198" s="163">
        <v>4165</v>
      </c>
      <c r="D1198" s="95" t="s">
        <v>1634</v>
      </c>
      <c r="E1198" s="142">
        <v>0.31529999999999997</v>
      </c>
      <c r="F1198" s="4" t="s">
        <v>3065</v>
      </c>
      <c r="G1198" s="4" t="s">
        <v>3065</v>
      </c>
      <c r="H1198" s="4" t="str">
        <f t="shared" si="21"/>
        <v>No</v>
      </c>
      <c r="I1198" s="56"/>
    </row>
    <row r="1199" spans="1:9">
      <c r="A1199" s="97" t="s">
        <v>2474</v>
      </c>
      <c r="B1199" s="97" t="s">
        <v>1627</v>
      </c>
      <c r="C1199" s="163">
        <v>3687</v>
      </c>
      <c r="D1199" s="95" t="s">
        <v>1631</v>
      </c>
      <c r="E1199" s="142">
        <v>0.42809999999999998</v>
      </c>
      <c r="F1199" s="4" t="s">
        <v>3065</v>
      </c>
      <c r="G1199" s="4" t="s">
        <v>3065</v>
      </c>
      <c r="H1199" s="4" t="str">
        <f t="shared" si="21"/>
        <v>No</v>
      </c>
      <c r="I1199" s="56"/>
    </row>
    <row r="1200" spans="1:9">
      <c r="A1200" s="97" t="s">
        <v>2474</v>
      </c>
      <c r="B1200" s="97" t="s">
        <v>1627</v>
      </c>
      <c r="C1200" s="163">
        <v>4019</v>
      </c>
      <c r="D1200" s="95" t="s">
        <v>2981</v>
      </c>
      <c r="E1200" s="142">
        <v>0</v>
      </c>
      <c r="F1200" s="4" t="s">
        <v>3065</v>
      </c>
      <c r="G1200" s="4" t="s">
        <v>3065</v>
      </c>
      <c r="H1200" s="4" t="str">
        <f t="shared" si="21"/>
        <v>No</v>
      </c>
      <c r="I1200" s="56"/>
    </row>
    <row r="1201" spans="1:9">
      <c r="A1201" s="97" t="s">
        <v>2474</v>
      </c>
      <c r="B1201" s="97" t="s">
        <v>1627</v>
      </c>
      <c r="C1201" s="163">
        <v>1848</v>
      </c>
      <c r="D1201" s="95" t="s">
        <v>27</v>
      </c>
      <c r="E1201" s="142">
        <v>0.29710000000000003</v>
      </c>
      <c r="F1201" s="4" t="s">
        <v>3065</v>
      </c>
      <c r="G1201" s="4" t="s">
        <v>3065</v>
      </c>
      <c r="H1201" s="4" t="str">
        <f t="shared" si="21"/>
        <v>No</v>
      </c>
      <c r="I1201" s="56"/>
    </row>
    <row r="1202" spans="1:9">
      <c r="A1202" s="97" t="s">
        <v>2474</v>
      </c>
      <c r="B1202" s="97" t="s">
        <v>1627</v>
      </c>
      <c r="C1202" s="163">
        <v>4425</v>
      </c>
      <c r="D1202" s="95" t="s">
        <v>1639</v>
      </c>
      <c r="E1202" s="142">
        <v>0.65710000000000013</v>
      </c>
      <c r="F1202" s="4" t="s">
        <v>2752</v>
      </c>
      <c r="G1202" s="4" t="s">
        <v>2752</v>
      </c>
      <c r="H1202" s="4" t="str">
        <f t="shared" si="21"/>
        <v>No</v>
      </c>
      <c r="I1202" s="56"/>
    </row>
    <row r="1203" spans="1:9">
      <c r="A1203" s="97" t="s">
        <v>2554</v>
      </c>
      <c r="B1203" s="97" t="s">
        <v>2166</v>
      </c>
      <c r="C1203" s="163">
        <v>5451</v>
      </c>
      <c r="D1203" s="95" t="s">
        <v>2169</v>
      </c>
      <c r="E1203" s="142">
        <v>0.51359999999999995</v>
      </c>
      <c r="F1203" s="4" t="s">
        <v>2752</v>
      </c>
      <c r="G1203" s="4" t="s">
        <v>2752</v>
      </c>
      <c r="H1203" s="4" t="str">
        <f t="shared" si="21"/>
        <v>No</v>
      </c>
      <c r="I1203" s="56"/>
    </row>
    <row r="1204" spans="1:9">
      <c r="A1204" s="97" t="s">
        <v>2554</v>
      </c>
      <c r="B1204" s="97" t="s">
        <v>2166</v>
      </c>
      <c r="C1204" s="163">
        <v>5580</v>
      </c>
      <c r="D1204" s="95" t="s">
        <v>2845</v>
      </c>
      <c r="E1204" s="142">
        <v>0.33333333333333331</v>
      </c>
      <c r="F1204" s="4" t="s">
        <v>3065</v>
      </c>
      <c r="G1204" s="4" t="s">
        <v>2752</v>
      </c>
      <c r="H1204" s="4" t="str">
        <f t="shared" si="21"/>
        <v>Yes</v>
      </c>
      <c r="I1204" s="56"/>
    </row>
    <row r="1205" spans="1:9">
      <c r="A1205" s="97" t="s">
        <v>2554</v>
      </c>
      <c r="B1205" s="97" t="s">
        <v>2166</v>
      </c>
      <c r="C1205" s="163">
        <v>2591</v>
      </c>
      <c r="D1205" s="95" t="s">
        <v>2167</v>
      </c>
      <c r="E1205" s="142">
        <v>0.49556666666666666</v>
      </c>
      <c r="F1205" s="4" t="s">
        <v>3065</v>
      </c>
      <c r="G1205" s="4" t="s">
        <v>3065</v>
      </c>
      <c r="H1205" s="4" t="str">
        <f t="shared" si="21"/>
        <v>No</v>
      </c>
      <c r="I1205" s="56"/>
    </row>
    <row r="1206" spans="1:9">
      <c r="A1206" s="97" t="s">
        <v>2554</v>
      </c>
      <c r="B1206" s="97" t="s">
        <v>2166</v>
      </c>
      <c r="C1206" s="163">
        <v>2898</v>
      </c>
      <c r="D1206" s="95" t="s">
        <v>2168</v>
      </c>
      <c r="E1206" s="142">
        <v>0.53166666666666662</v>
      </c>
      <c r="F1206" s="4" t="s">
        <v>2752</v>
      </c>
      <c r="G1206" s="4" t="s">
        <v>2752</v>
      </c>
      <c r="H1206" s="4" t="str">
        <f t="shared" si="21"/>
        <v>No</v>
      </c>
      <c r="I1206" s="56"/>
    </row>
    <row r="1207" spans="1:9">
      <c r="A1207" s="97" t="s">
        <v>2393</v>
      </c>
      <c r="B1207" s="97" t="s">
        <v>1133</v>
      </c>
      <c r="C1207" s="163">
        <v>3288</v>
      </c>
      <c r="D1207" s="95" t="s">
        <v>1135</v>
      </c>
      <c r="E1207" s="142">
        <v>0.42923333333333336</v>
      </c>
      <c r="F1207" s="4" t="s">
        <v>3065</v>
      </c>
      <c r="G1207" s="4" t="s">
        <v>3065</v>
      </c>
      <c r="H1207" s="4" t="str">
        <f t="shared" si="21"/>
        <v>No</v>
      </c>
      <c r="I1207" s="56"/>
    </row>
    <row r="1208" spans="1:9">
      <c r="A1208" s="97" t="s">
        <v>2393</v>
      </c>
      <c r="B1208" s="97" t="s">
        <v>1133</v>
      </c>
      <c r="C1208" s="163">
        <v>2273</v>
      </c>
      <c r="D1208" s="95" t="s">
        <v>1134</v>
      </c>
      <c r="E1208" s="142">
        <v>0.43239999999999995</v>
      </c>
      <c r="F1208" s="4" t="s">
        <v>3065</v>
      </c>
      <c r="G1208" s="4" t="s">
        <v>3065</v>
      </c>
      <c r="H1208" s="4" t="str">
        <f t="shared" si="21"/>
        <v>No</v>
      </c>
      <c r="I1208" s="56"/>
    </row>
    <row r="1209" spans="1:9">
      <c r="A1209" s="97" t="s">
        <v>2432</v>
      </c>
      <c r="B1209" s="97" t="s">
        <v>1272</v>
      </c>
      <c r="C1209" s="163">
        <v>2868</v>
      </c>
      <c r="D1209" s="95" t="s">
        <v>1273</v>
      </c>
      <c r="E1209" s="142">
        <v>0.53826666666666667</v>
      </c>
      <c r="F1209" s="4" t="s">
        <v>2752</v>
      </c>
      <c r="G1209" s="4" t="s">
        <v>2752</v>
      </c>
      <c r="H1209" s="4" t="str">
        <f t="shared" si="21"/>
        <v>No</v>
      </c>
      <c r="I1209" s="56"/>
    </row>
    <row r="1210" spans="1:9">
      <c r="A1210" s="97" t="s">
        <v>2432</v>
      </c>
      <c r="B1210" s="97" t="s">
        <v>1272</v>
      </c>
      <c r="C1210" s="163">
        <v>3295</v>
      </c>
      <c r="D1210" s="95" t="s">
        <v>1274</v>
      </c>
      <c r="E1210" s="142">
        <v>0.54976666666666674</v>
      </c>
      <c r="F1210" s="4" t="s">
        <v>2752</v>
      </c>
      <c r="G1210" s="4" t="s">
        <v>2752</v>
      </c>
      <c r="H1210" s="4" t="str">
        <f t="shared" si="21"/>
        <v>No</v>
      </c>
      <c r="I1210" s="56"/>
    </row>
    <row r="1211" spans="1:9">
      <c r="A1211" s="97" t="s">
        <v>2421</v>
      </c>
      <c r="B1211" s="97" t="s">
        <v>3059</v>
      </c>
      <c r="C1211" s="163">
        <v>2494</v>
      </c>
      <c r="D1211" s="95" t="s">
        <v>1225</v>
      </c>
      <c r="E1211" s="142">
        <v>0.97986666666666666</v>
      </c>
      <c r="F1211" s="4" t="s">
        <v>2752</v>
      </c>
      <c r="G1211" s="4" t="s">
        <v>2752</v>
      </c>
      <c r="H1211" s="4" t="str">
        <f t="shared" si="21"/>
        <v>No</v>
      </c>
      <c r="I1211" s="56"/>
    </row>
    <row r="1212" spans="1:9">
      <c r="A1212" s="97" t="s">
        <v>2435</v>
      </c>
      <c r="B1212" s="97" t="s">
        <v>1280</v>
      </c>
      <c r="C1212" s="163">
        <v>2518</v>
      </c>
      <c r="D1212" s="95" t="s">
        <v>1281</v>
      </c>
      <c r="E1212" s="142">
        <v>0.57079999999999997</v>
      </c>
      <c r="F1212" s="4" t="s">
        <v>2752</v>
      </c>
      <c r="G1212" s="4" t="s">
        <v>2752</v>
      </c>
      <c r="H1212" s="4" t="str">
        <f t="shared" si="21"/>
        <v>No</v>
      </c>
      <c r="I1212" s="56"/>
    </row>
    <row r="1213" spans="1:9">
      <c r="A1213" s="97" t="s">
        <v>2435</v>
      </c>
      <c r="B1213" s="97" t="s">
        <v>1280</v>
      </c>
      <c r="C1213" s="163">
        <v>5681</v>
      </c>
      <c r="D1213" s="95" t="s">
        <v>3029</v>
      </c>
      <c r="E1213" s="142">
        <v>0.56520000000000004</v>
      </c>
      <c r="F1213" s="4" t="s">
        <v>2752</v>
      </c>
      <c r="G1213" s="4" t="s">
        <v>3065</v>
      </c>
      <c r="H1213" s="4" t="str">
        <f t="shared" si="21"/>
        <v>No</v>
      </c>
      <c r="I1213" s="56"/>
    </row>
    <row r="1214" spans="1:9">
      <c r="A1214" s="97" t="s">
        <v>2435</v>
      </c>
      <c r="B1214" s="97" t="s">
        <v>1280</v>
      </c>
      <c r="C1214" s="163">
        <v>5118</v>
      </c>
      <c r="D1214" s="95" t="s">
        <v>1284</v>
      </c>
      <c r="E1214" s="142">
        <v>0.75633333333333341</v>
      </c>
      <c r="F1214" s="4" t="s">
        <v>2752</v>
      </c>
      <c r="G1214" s="4" t="s">
        <v>2752</v>
      </c>
      <c r="H1214" s="4" t="str">
        <f t="shared" si="21"/>
        <v>No</v>
      </c>
      <c r="I1214" s="56"/>
    </row>
    <row r="1215" spans="1:9">
      <c r="A1215" s="97" t="s">
        <v>2435</v>
      </c>
      <c r="B1215" s="97" t="s">
        <v>1280</v>
      </c>
      <c r="C1215" s="163">
        <v>3968</v>
      </c>
      <c r="D1215" s="95" t="s">
        <v>1282</v>
      </c>
      <c r="E1215" s="142">
        <v>0.62519999999999998</v>
      </c>
      <c r="F1215" s="4" t="s">
        <v>2752</v>
      </c>
      <c r="G1215" s="4" t="s">
        <v>2752</v>
      </c>
      <c r="H1215" s="4" t="str">
        <f t="shared" si="21"/>
        <v>No</v>
      </c>
      <c r="I1215" s="56"/>
    </row>
    <row r="1216" spans="1:9">
      <c r="A1216" s="97" t="s">
        <v>2435</v>
      </c>
      <c r="B1216" s="97" t="s">
        <v>1280</v>
      </c>
      <c r="C1216" s="163">
        <v>4478</v>
      </c>
      <c r="D1216" s="95" t="s">
        <v>1283</v>
      </c>
      <c r="E1216" s="142">
        <v>0.63906666666666656</v>
      </c>
      <c r="F1216" s="4" t="s">
        <v>2752</v>
      </c>
      <c r="G1216" s="4" t="s">
        <v>2752</v>
      </c>
      <c r="H1216" s="4" t="str">
        <f t="shared" si="21"/>
        <v>No</v>
      </c>
      <c r="I1216" s="56"/>
    </row>
    <row r="1217" spans="1:9">
      <c r="A1217" s="97" t="s">
        <v>2489</v>
      </c>
      <c r="B1217" s="97" t="s">
        <v>1826</v>
      </c>
      <c r="C1217" s="163">
        <v>4036</v>
      </c>
      <c r="D1217" s="95" t="s">
        <v>1828</v>
      </c>
      <c r="E1217" s="142">
        <v>0.27226666666666666</v>
      </c>
      <c r="F1217" s="4" t="s">
        <v>3065</v>
      </c>
      <c r="G1217" s="4" t="s">
        <v>3065</v>
      </c>
      <c r="H1217" s="4" t="str">
        <f t="shared" si="21"/>
        <v>No</v>
      </c>
      <c r="I1217" s="56"/>
    </row>
    <row r="1218" spans="1:9">
      <c r="A1218" s="97" t="s">
        <v>2489</v>
      </c>
      <c r="B1218" s="97" t="s">
        <v>1826</v>
      </c>
      <c r="C1218" s="163">
        <v>4333</v>
      </c>
      <c r="D1218" s="95" t="s">
        <v>1829</v>
      </c>
      <c r="E1218" s="142">
        <v>0.23783333333333334</v>
      </c>
      <c r="F1218" s="4" t="s">
        <v>3065</v>
      </c>
      <c r="G1218" s="4" t="s">
        <v>3065</v>
      </c>
      <c r="H1218" s="4" t="str">
        <f t="shared" si="21"/>
        <v>No</v>
      </c>
      <c r="I1218" s="56"/>
    </row>
    <row r="1219" spans="1:9">
      <c r="A1219" s="97" t="s">
        <v>2489</v>
      </c>
      <c r="B1219" s="97" t="s">
        <v>1826</v>
      </c>
      <c r="C1219" s="163">
        <v>4521</v>
      </c>
      <c r="D1219" s="95" t="s">
        <v>1830</v>
      </c>
      <c r="E1219" s="142">
        <v>0.26756666666666667</v>
      </c>
      <c r="F1219" s="4" t="s">
        <v>3065</v>
      </c>
      <c r="G1219" s="4" t="s">
        <v>3065</v>
      </c>
      <c r="H1219" s="4" t="str">
        <f t="shared" ref="H1219:H1282" si="22">IFERROR(IF(AND(G1219="Yes",F1219="No"),"Yes","No"),"No")</f>
        <v>No</v>
      </c>
      <c r="I1219" s="56"/>
    </row>
    <row r="1220" spans="1:9">
      <c r="A1220" s="97" t="s">
        <v>2489</v>
      </c>
      <c r="B1220" s="97" t="s">
        <v>1826</v>
      </c>
      <c r="C1220" s="163">
        <v>2341</v>
      </c>
      <c r="D1220" s="95" t="s">
        <v>1827</v>
      </c>
      <c r="E1220" s="142">
        <v>0.20919999999999997</v>
      </c>
      <c r="F1220" s="4" t="s">
        <v>3065</v>
      </c>
      <c r="G1220" s="4" t="s">
        <v>3065</v>
      </c>
      <c r="H1220" s="4" t="str">
        <f t="shared" si="22"/>
        <v>No</v>
      </c>
      <c r="I1220" s="56"/>
    </row>
    <row r="1221" spans="1:9">
      <c r="A1221" s="97" t="s">
        <v>2489</v>
      </c>
      <c r="B1221" s="97" t="s">
        <v>1826</v>
      </c>
      <c r="C1221" s="163">
        <v>5417</v>
      </c>
      <c r="D1221" s="95" t="s">
        <v>1831</v>
      </c>
      <c r="E1221" s="142">
        <v>0.33333333333333331</v>
      </c>
      <c r="F1221" s="4" t="s">
        <v>3065</v>
      </c>
      <c r="G1221" s="4" t="s">
        <v>3065</v>
      </c>
      <c r="H1221" s="4" t="str">
        <f t="shared" si="22"/>
        <v>No</v>
      </c>
      <c r="I1221" s="56"/>
    </row>
    <row r="1222" spans="1:9">
      <c r="A1222" s="97" t="s">
        <v>2537</v>
      </c>
      <c r="B1222" s="97" t="s">
        <v>2115</v>
      </c>
      <c r="C1222" s="163">
        <v>4428</v>
      </c>
      <c r="D1222" s="95" t="s">
        <v>2119</v>
      </c>
      <c r="E1222" s="142">
        <v>0.5762666666666667</v>
      </c>
      <c r="F1222" s="4" t="s">
        <v>2752</v>
      </c>
      <c r="G1222" s="4" t="s">
        <v>2752</v>
      </c>
      <c r="H1222" s="4" t="str">
        <f t="shared" si="22"/>
        <v>No</v>
      </c>
      <c r="I1222" s="56"/>
    </row>
    <row r="1223" spans="1:9">
      <c r="A1223" s="97" t="s">
        <v>2537</v>
      </c>
      <c r="B1223" s="97" t="s">
        <v>2115</v>
      </c>
      <c r="C1223" s="163">
        <v>4525</v>
      </c>
      <c r="D1223" s="95" t="s">
        <v>2120</v>
      </c>
      <c r="E1223" s="142">
        <v>0.47269999999999995</v>
      </c>
      <c r="F1223" s="4" t="s">
        <v>3065</v>
      </c>
      <c r="G1223" s="4" t="s">
        <v>3065</v>
      </c>
      <c r="H1223" s="4" t="str">
        <f t="shared" si="22"/>
        <v>No</v>
      </c>
      <c r="I1223" s="56"/>
    </row>
    <row r="1224" spans="1:9">
      <c r="A1224" s="97" t="s">
        <v>2537</v>
      </c>
      <c r="B1224" s="97" t="s">
        <v>2115</v>
      </c>
      <c r="C1224" s="163">
        <v>5554</v>
      </c>
      <c r="D1224" s="95" t="s">
        <v>2844</v>
      </c>
      <c r="E1224" s="142">
        <v>0.35000000000000003</v>
      </c>
      <c r="F1224" s="4" t="s">
        <v>3065</v>
      </c>
      <c r="G1224" s="4" t="s">
        <v>3065</v>
      </c>
      <c r="H1224" s="4" t="str">
        <f t="shared" si="22"/>
        <v>No</v>
      </c>
      <c r="I1224" s="56"/>
    </row>
    <row r="1225" spans="1:9">
      <c r="A1225" s="97" t="s">
        <v>2537</v>
      </c>
      <c r="B1225" s="97" t="s">
        <v>2115</v>
      </c>
      <c r="C1225" s="163">
        <v>2459</v>
      </c>
      <c r="D1225" s="95" t="s">
        <v>2116</v>
      </c>
      <c r="E1225" s="142">
        <v>0.50263333333333338</v>
      </c>
      <c r="F1225" s="4" t="s">
        <v>2752</v>
      </c>
      <c r="G1225" s="4" t="s">
        <v>2752</v>
      </c>
      <c r="H1225" s="4" t="str">
        <f t="shared" si="22"/>
        <v>No</v>
      </c>
      <c r="I1225" s="56"/>
    </row>
    <row r="1226" spans="1:9">
      <c r="A1226" s="97" t="s">
        <v>2537</v>
      </c>
      <c r="B1226" s="97" t="s">
        <v>2115</v>
      </c>
      <c r="C1226" s="163">
        <v>2687</v>
      </c>
      <c r="D1226" s="139" t="s">
        <v>2118</v>
      </c>
      <c r="E1226" s="142">
        <v>0.55513333333333337</v>
      </c>
      <c r="F1226" s="4" t="s">
        <v>2752</v>
      </c>
      <c r="G1226" s="4" t="s">
        <v>2752</v>
      </c>
      <c r="H1226" s="4" t="str">
        <f t="shared" si="22"/>
        <v>No</v>
      </c>
      <c r="I1226" s="56"/>
    </row>
    <row r="1227" spans="1:9">
      <c r="A1227" s="97" t="s">
        <v>2537</v>
      </c>
      <c r="B1227" s="97" t="s">
        <v>2115</v>
      </c>
      <c r="C1227" s="163">
        <v>2489</v>
      </c>
      <c r="D1227" s="95" t="s">
        <v>2117</v>
      </c>
      <c r="E1227" s="142">
        <v>0.54086666666666661</v>
      </c>
      <c r="F1227" s="4" t="s">
        <v>2752</v>
      </c>
      <c r="G1227" s="4" t="s">
        <v>2752</v>
      </c>
      <c r="H1227" s="4" t="str">
        <f t="shared" si="22"/>
        <v>No</v>
      </c>
      <c r="I1227" s="56"/>
    </row>
    <row r="1228" spans="1:9">
      <c r="A1228" s="97" t="s">
        <v>2329</v>
      </c>
      <c r="B1228" s="97" t="s">
        <v>480</v>
      </c>
      <c r="C1228" s="163">
        <v>3788</v>
      </c>
      <c r="D1228" s="95" t="s">
        <v>484</v>
      </c>
      <c r="E1228" s="142">
        <v>0.72413333333333341</v>
      </c>
      <c r="F1228" s="4" t="s">
        <v>2752</v>
      </c>
      <c r="G1228" s="4" t="s">
        <v>2752</v>
      </c>
      <c r="H1228" s="4" t="str">
        <f t="shared" si="22"/>
        <v>No</v>
      </c>
      <c r="I1228" s="56"/>
    </row>
    <row r="1229" spans="1:9">
      <c r="A1229" s="97" t="s">
        <v>2329</v>
      </c>
      <c r="B1229" s="97" t="s">
        <v>480</v>
      </c>
      <c r="C1229" s="163">
        <v>2728</v>
      </c>
      <c r="D1229" s="95" t="s">
        <v>481</v>
      </c>
      <c r="E1229" s="142">
        <v>0.7043666666666667</v>
      </c>
      <c r="F1229" s="4" t="s">
        <v>2752</v>
      </c>
      <c r="G1229" s="4" t="s">
        <v>2752</v>
      </c>
      <c r="H1229" s="4" t="str">
        <f t="shared" si="22"/>
        <v>No</v>
      </c>
      <c r="I1229" s="56"/>
    </row>
    <row r="1230" spans="1:9">
      <c r="A1230" s="97" t="s">
        <v>2329</v>
      </c>
      <c r="B1230" s="97" t="s">
        <v>480</v>
      </c>
      <c r="C1230" s="163">
        <v>3787</v>
      </c>
      <c r="D1230" s="95" t="s">
        <v>483</v>
      </c>
      <c r="E1230" s="142">
        <v>0.70466666666666666</v>
      </c>
      <c r="F1230" s="4" t="s">
        <v>2752</v>
      </c>
      <c r="G1230" s="4" t="s">
        <v>2752</v>
      </c>
      <c r="H1230" s="4" t="str">
        <f t="shared" si="22"/>
        <v>No</v>
      </c>
      <c r="I1230" s="56"/>
    </row>
    <row r="1231" spans="1:9">
      <c r="A1231" s="97" t="s">
        <v>2329</v>
      </c>
      <c r="B1231" s="97" t="s">
        <v>480</v>
      </c>
      <c r="C1231" s="163">
        <v>3155</v>
      </c>
      <c r="D1231" s="95" t="s">
        <v>482</v>
      </c>
      <c r="E1231" s="142">
        <v>0.72129999999999994</v>
      </c>
      <c r="F1231" s="4" t="s">
        <v>2752</v>
      </c>
      <c r="G1231" s="4" t="s">
        <v>2752</v>
      </c>
      <c r="H1231" s="4" t="str">
        <f t="shared" si="22"/>
        <v>No</v>
      </c>
      <c r="I1231" s="56"/>
    </row>
    <row r="1232" spans="1:9">
      <c r="A1232" s="97" t="s">
        <v>2313</v>
      </c>
      <c r="B1232" s="97" t="s">
        <v>393</v>
      </c>
      <c r="C1232" s="163">
        <v>3325</v>
      </c>
      <c r="D1232" s="95" t="s">
        <v>399</v>
      </c>
      <c r="E1232" s="142">
        <v>0.78983333333333328</v>
      </c>
      <c r="F1232" s="4" t="s">
        <v>2752</v>
      </c>
      <c r="G1232" s="4" t="s">
        <v>2752</v>
      </c>
      <c r="H1232" s="4" t="str">
        <f t="shared" si="22"/>
        <v>No</v>
      </c>
      <c r="I1232" s="56"/>
    </row>
    <row r="1233" spans="1:9">
      <c r="A1233" s="97" t="s">
        <v>2313</v>
      </c>
      <c r="B1233" s="97" t="s">
        <v>393</v>
      </c>
      <c r="C1233" s="163">
        <v>2918</v>
      </c>
      <c r="D1233" s="95" t="s">
        <v>396</v>
      </c>
      <c r="E1233" s="142">
        <v>0.77490000000000003</v>
      </c>
      <c r="F1233" s="4" t="s">
        <v>2752</v>
      </c>
      <c r="G1233" s="4" t="s">
        <v>2752</v>
      </c>
      <c r="H1233" s="4" t="str">
        <f t="shared" si="22"/>
        <v>No</v>
      </c>
      <c r="I1233" s="56"/>
    </row>
    <row r="1234" spans="1:9">
      <c r="A1234" s="97" t="s">
        <v>2313</v>
      </c>
      <c r="B1234" s="97" t="s">
        <v>393</v>
      </c>
      <c r="C1234" s="163">
        <v>3272</v>
      </c>
      <c r="D1234" s="95" t="s">
        <v>398</v>
      </c>
      <c r="E1234" s="142">
        <v>0.71813333333333329</v>
      </c>
      <c r="F1234" s="4" t="s">
        <v>2752</v>
      </c>
      <c r="G1234" s="4" t="s">
        <v>2752</v>
      </c>
      <c r="H1234" s="4" t="str">
        <f t="shared" si="22"/>
        <v>No</v>
      </c>
      <c r="I1234" s="56"/>
    </row>
    <row r="1235" spans="1:9">
      <c r="A1235" s="97" t="s">
        <v>2313</v>
      </c>
      <c r="B1235" s="97" t="s">
        <v>393</v>
      </c>
      <c r="C1235" s="163">
        <v>5499</v>
      </c>
      <c r="D1235" s="139" t="s">
        <v>2727</v>
      </c>
      <c r="E1235" s="142">
        <v>6.25E-2</v>
      </c>
      <c r="F1235" s="4" t="s">
        <v>3065</v>
      </c>
      <c r="G1235" s="4" t="s">
        <v>3065</v>
      </c>
      <c r="H1235" s="4" t="str">
        <f t="shared" si="22"/>
        <v>No</v>
      </c>
      <c r="I1235" s="56"/>
    </row>
    <row r="1236" spans="1:9">
      <c r="A1236" s="97" t="s">
        <v>2313</v>
      </c>
      <c r="B1236" s="97" t="s">
        <v>393</v>
      </c>
      <c r="C1236" s="163">
        <v>3086</v>
      </c>
      <c r="D1236" s="95" t="s">
        <v>397</v>
      </c>
      <c r="E1236" s="142">
        <v>0.73083333333333333</v>
      </c>
      <c r="F1236" s="4" t="s">
        <v>2752</v>
      </c>
      <c r="G1236" s="4" t="s">
        <v>2752</v>
      </c>
      <c r="H1236" s="4" t="str">
        <f t="shared" si="22"/>
        <v>No</v>
      </c>
      <c r="I1236" s="56"/>
    </row>
    <row r="1237" spans="1:9">
      <c r="A1237" s="97" t="s">
        <v>2313</v>
      </c>
      <c r="B1237" s="97" t="s">
        <v>393</v>
      </c>
      <c r="C1237" s="163">
        <v>5653</v>
      </c>
      <c r="D1237" s="95" t="s">
        <v>400</v>
      </c>
      <c r="E1237" s="142">
        <v>0.6895</v>
      </c>
      <c r="F1237" s="4" t="s">
        <v>2752</v>
      </c>
      <c r="G1237" s="4" t="s">
        <v>2752</v>
      </c>
      <c r="H1237" s="4" t="str">
        <f t="shared" si="22"/>
        <v>No</v>
      </c>
      <c r="I1237" s="56"/>
    </row>
    <row r="1238" spans="1:9">
      <c r="A1238" s="97" t="s">
        <v>2313</v>
      </c>
      <c r="B1238" s="97" t="s">
        <v>393</v>
      </c>
      <c r="C1238" s="163">
        <v>1754</v>
      </c>
      <c r="D1238" s="95" t="s">
        <v>394</v>
      </c>
      <c r="E1238" s="142">
        <v>0.9321666666666667</v>
      </c>
      <c r="F1238" s="4" t="s">
        <v>2752</v>
      </c>
      <c r="G1238" s="4" t="s">
        <v>2752</v>
      </c>
      <c r="H1238" s="4" t="str">
        <f t="shared" si="22"/>
        <v>No</v>
      </c>
      <c r="I1238" s="56"/>
    </row>
    <row r="1239" spans="1:9">
      <c r="A1239" s="97" t="s">
        <v>2313</v>
      </c>
      <c r="B1239" s="97" t="s">
        <v>393</v>
      </c>
      <c r="C1239" s="163">
        <v>2198</v>
      </c>
      <c r="D1239" s="95" t="s">
        <v>395</v>
      </c>
      <c r="E1239" s="142">
        <v>0.77993333333333326</v>
      </c>
      <c r="F1239" s="4" t="s">
        <v>2752</v>
      </c>
      <c r="G1239" s="4" t="s">
        <v>2752</v>
      </c>
      <c r="H1239" s="4" t="str">
        <f t="shared" si="22"/>
        <v>No</v>
      </c>
      <c r="I1239" s="56"/>
    </row>
    <row r="1240" spans="1:9">
      <c r="A1240" s="97" t="s">
        <v>2373</v>
      </c>
      <c r="B1240" s="97" t="s">
        <v>1039</v>
      </c>
      <c r="C1240" s="163">
        <v>5546</v>
      </c>
      <c r="D1240" s="95" t="s">
        <v>703</v>
      </c>
      <c r="E1240" s="142">
        <v>0.4793</v>
      </c>
      <c r="F1240" s="4" t="s">
        <v>3065</v>
      </c>
      <c r="G1240" s="4" t="s">
        <v>2752</v>
      </c>
      <c r="H1240" s="4" t="str">
        <f t="shared" si="22"/>
        <v>Yes</v>
      </c>
      <c r="I1240" s="56"/>
    </row>
    <row r="1241" spans="1:9">
      <c r="A1241" s="97" t="s">
        <v>2373</v>
      </c>
      <c r="B1241" s="97" t="s">
        <v>1039</v>
      </c>
      <c r="C1241" s="163">
        <v>2798</v>
      </c>
      <c r="D1241" s="95" t="s">
        <v>1042</v>
      </c>
      <c r="E1241" s="142">
        <v>0.50946666666666662</v>
      </c>
      <c r="F1241" s="4" t="s">
        <v>2752</v>
      </c>
      <c r="G1241" s="4" t="s">
        <v>2752</v>
      </c>
      <c r="H1241" s="4" t="str">
        <f t="shared" si="22"/>
        <v>No</v>
      </c>
      <c r="I1241" s="56"/>
    </row>
    <row r="1242" spans="1:9">
      <c r="A1242" s="97" t="s">
        <v>2373</v>
      </c>
      <c r="B1242" s="97" t="s">
        <v>1039</v>
      </c>
      <c r="C1242" s="163">
        <v>2854</v>
      </c>
      <c r="D1242" s="95" t="s">
        <v>1043</v>
      </c>
      <c r="E1242" s="142">
        <v>0.27120000000000005</v>
      </c>
      <c r="F1242" s="4" t="s">
        <v>3065</v>
      </c>
      <c r="G1242" s="4" t="s">
        <v>3065</v>
      </c>
      <c r="H1242" s="4" t="str">
        <f t="shared" si="22"/>
        <v>No</v>
      </c>
      <c r="I1242" s="56"/>
    </row>
    <row r="1243" spans="1:9">
      <c r="A1243" s="97" t="s">
        <v>2373</v>
      </c>
      <c r="B1243" s="97" t="s">
        <v>1039</v>
      </c>
      <c r="C1243" s="163">
        <v>5085</v>
      </c>
      <c r="D1243" s="95" t="s">
        <v>1049</v>
      </c>
      <c r="E1243" s="142">
        <v>0.35556666666666664</v>
      </c>
      <c r="F1243" s="4" t="s">
        <v>3065</v>
      </c>
      <c r="G1243" s="4" t="s">
        <v>3065</v>
      </c>
      <c r="H1243" s="4" t="str">
        <f t="shared" si="22"/>
        <v>No</v>
      </c>
      <c r="I1243" s="56"/>
    </row>
    <row r="1244" spans="1:9">
      <c r="A1244" s="97" t="s">
        <v>2373</v>
      </c>
      <c r="B1244" s="97" t="s">
        <v>1039</v>
      </c>
      <c r="C1244" s="163">
        <v>4359</v>
      </c>
      <c r="D1244" s="95" t="s">
        <v>1046</v>
      </c>
      <c r="E1244" s="142">
        <v>0.46613333333333329</v>
      </c>
      <c r="F1244" s="4" t="s">
        <v>3065</v>
      </c>
      <c r="G1244" s="4" t="s">
        <v>3065</v>
      </c>
      <c r="H1244" s="4" t="str">
        <f t="shared" si="22"/>
        <v>No</v>
      </c>
      <c r="I1244" s="56"/>
    </row>
    <row r="1245" spans="1:9">
      <c r="A1245" s="97" t="s">
        <v>2373</v>
      </c>
      <c r="B1245" s="97" t="s">
        <v>1039</v>
      </c>
      <c r="C1245" s="163">
        <v>3236</v>
      </c>
      <c r="D1245" s="95" t="s">
        <v>1044</v>
      </c>
      <c r="E1245" s="142">
        <v>0.2298</v>
      </c>
      <c r="F1245" s="4" t="s">
        <v>3065</v>
      </c>
      <c r="G1245" s="4" t="s">
        <v>3065</v>
      </c>
      <c r="H1245" s="4" t="str">
        <f t="shared" si="22"/>
        <v>No</v>
      </c>
      <c r="I1245" s="56"/>
    </row>
    <row r="1246" spans="1:9">
      <c r="A1246" s="97" t="s">
        <v>2373</v>
      </c>
      <c r="B1246" s="97" t="s">
        <v>1039</v>
      </c>
      <c r="C1246" s="163">
        <v>5646</v>
      </c>
      <c r="D1246" s="95" t="s">
        <v>2894</v>
      </c>
      <c r="E1246" s="142">
        <v>0.12465000000000001</v>
      </c>
      <c r="F1246" s="4" t="s">
        <v>3065</v>
      </c>
      <c r="G1246" s="4" t="s">
        <v>3065</v>
      </c>
      <c r="H1246" s="4" t="str">
        <f t="shared" si="22"/>
        <v>No</v>
      </c>
      <c r="I1246" s="56"/>
    </row>
    <row r="1247" spans="1:9">
      <c r="A1247" s="97" t="s">
        <v>2373</v>
      </c>
      <c r="B1247" s="97" t="s">
        <v>1039</v>
      </c>
      <c r="C1247" s="163">
        <v>1733</v>
      </c>
      <c r="D1247" s="139" t="s">
        <v>2895</v>
      </c>
      <c r="E1247" s="142">
        <v>0.32629999999999998</v>
      </c>
      <c r="F1247" s="4" t="s">
        <v>3065</v>
      </c>
      <c r="G1247" s="4" t="s">
        <v>3065</v>
      </c>
      <c r="H1247" s="4" t="str">
        <f t="shared" si="22"/>
        <v>No</v>
      </c>
      <c r="I1247" s="56"/>
    </row>
    <row r="1248" spans="1:9">
      <c r="A1248" s="97" t="s">
        <v>2373</v>
      </c>
      <c r="B1248" s="97" t="s">
        <v>1039</v>
      </c>
      <c r="C1248" s="163">
        <v>2026</v>
      </c>
      <c r="D1248" s="95" t="s">
        <v>1040</v>
      </c>
      <c r="E1248" s="142">
        <v>0.25716666666666665</v>
      </c>
      <c r="F1248" s="4" t="s">
        <v>3065</v>
      </c>
      <c r="G1248" s="4" t="s">
        <v>3065</v>
      </c>
      <c r="H1248" s="4" t="str">
        <f t="shared" si="22"/>
        <v>No</v>
      </c>
      <c r="I1248" s="56"/>
    </row>
    <row r="1249" spans="1:9">
      <c r="A1249" s="97" t="s">
        <v>2373</v>
      </c>
      <c r="B1249" s="97" t="s">
        <v>1039</v>
      </c>
      <c r="C1249" s="163">
        <v>2476</v>
      </c>
      <c r="D1249" s="95" t="s">
        <v>1041</v>
      </c>
      <c r="E1249" s="142">
        <v>0.2824666666666667</v>
      </c>
      <c r="F1249" s="4" t="s">
        <v>3065</v>
      </c>
      <c r="G1249" s="4" t="s">
        <v>3065</v>
      </c>
      <c r="H1249" s="4" t="str">
        <f t="shared" si="22"/>
        <v>No</v>
      </c>
      <c r="I1249" s="56"/>
    </row>
    <row r="1250" spans="1:9">
      <c r="A1250" s="97" t="s">
        <v>2373</v>
      </c>
      <c r="B1250" s="97" t="s">
        <v>1039</v>
      </c>
      <c r="C1250" s="163">
        <v>4467</v>
      </c>
      <c r="D1250" s="95" t="s">
        <v>1048</v>
      </c>
      <c r="E1250" s="142">
        <v>0.32653333333333334</v>
      </c>
      <c r="F1250" s="4" t="s">
        <v>3065</v>
      </c>
      <c r="G1250" s="4" t="s">
        <v>3065</v>
      </c>
      <c r="H1250" s="4" t="str">
        <f t="shared" si="22"/>
        <v>No</v>
      </c>
      <c r="I1250" s="56"/>
    </row>
    <row r="1251" spans="1:9">
      <c r="A1251" s="97" t="s">
        <v>2373</v>
      </c>
      <c r="B1251" s="97" t="s">
        <v>1039</v>
      </c>
      <c r="C1251" s="163">
        <v>1677</v>
      </c>
      <c r="D1251" s="95" t="s">
        <v>78</v>
      </c>
      <c r="E1251" s="142">
        <v>0.21876666666666666</v>
      </c>
      <c r="F1251" s="4" t="s">
        <v>3065</v>
      </c>
      <c r="G1251" s="4" t="s">
        <v>3065</v>
      </c>
      <c r="H1251" s="4" t="str">
        <f t="shared" si="22"/>
        <v>No</v>
      </c>
      <c r="I1251" s="56"/>
    </row>
    <row r="1252" spans="1:9">
      <c r="A1252" s="97" t="s">
        <v>2373</v>
      </c>
      <c r="B1252" s="97" t="s">
        <v>1039</v>
      </c>
      <c r="C1252" s="163">
        <v>3391</v>
      </c>
      <c r="D1252" s="95" t="s">
        <v>1045</v>
      </c>
      <c r="E1252" s="142">
        <v>0.40240000000000004</v>
      </c>
      <c r="F1252" s="4" t="s">
        <v>3065</v>
      </c>
      <c r="G1252" s="4" t="s">
        <v>3065</v>
      </c>
      <c r="H1252" s="4" t="str">
        <f t="shared" si="22"/>
        <v>No</v>
      </c>
      <c r="I1252" s="56"/>
    </row>
    <row r="1253" spans="1:9">
      <c r="A1253" s="97" t="s">
        <v>2373</v>
      </c>
      <c r="B1253" s="97" t="s">
        <v>1039</v>
      </c>
      <c r="C1253" s="163">
        <v>4461</v>
      </c>
      <c r="D1253" s="95" t="s">
        <v>1047</v>
      </c>
      <c r="E1253" s="142">
        <v>0.2861333333333333</v>
      </c>
      <c r="F1253" s="4" t="s">
        <v>3065</v>
      </c>
      <c r="G1253" s="4" t="s">
        <v>3065</v>
      </c>
      <c r="H1253" s="4" t="str">
        <f t="shared" si="22"/>
        <v>No</v>
      </c>
      <c r="I1253" s="56"/>
    </row>
    <row r="1254" spans="1:9">
      <c r="A1254" s="97" t="s">
        <v>2419</v>
      </c>
      <c r="B1254" s="97" t="s">
        <v>1217</v>
      </c>
      <c r="C1254" s="163">
        <v>2662</v>
      </c>
      <c r="D1254" s="139" t="s">
        <v>1220</v>
      </c>
      <c r="E1254" s="142">
        <v>0.51910000000000001</v>
      </c>
      <c r="F1254" s="4" t="s">
        <v>2752</v>
      </c>
      <c r="G1254" s="4" t="s">
        <v>2752</v>
      </c>
      <c r="H1254" s="4" t="str">
        <f t="shared" si="22"/>
        <v>No</v>
      </c>
      <c r="I1254" s="56"/>
    </row>
    <row r="1255" spans="1:9">
      <c r="A1255" s="97" t="s">
        <v>2419</v>
      </c>
      <c r="B1255" s="97" t="s">
        <v>1217</v>
      </c>
      <c r="C1255" s="163">
        <v>3174</v>
      </c>
      <c r="D1255" s="95" t="s">
        <v>1221</v>
      </c>
      <c r="E1255" s="142">
        <v>0.57153333333333334</v>
      </c>
      <c r="F1255" s="4" t="s">
        <v>2752</v>
      </c>
      <c r="G1255" s="4" t="s">
        <v>2752</v>
      </c>
      <c r="H1255" s="4" t="str">
        <f t="shared" si="22"/>
        <v>No</v>
      </c>
      <c r="I1255" s="56"/>
    </row>
    <row r="1256" spans="1:9">
      <c r="A1256" s="97" t="s">
        <v>2419</v>
      </c>
      <c r="B1256" s="97" t="s">
        <v>1217</v>
      </c>
      <c r="C1256" s="163">
        <v>1680</v>
      </c>
      <c r="D1256" s="95" t="s">
        <v>1218</v>
      </c>
      <c r="E1256" s="142">
        <v>0.57786666666666664</v>
      </c>
      <c r="F1256" s="4" t="s">
        <v>2752</v>
      </c>
      <c r="G1256" s="4" t="s">
        <v>2752</v>
      </c>
      <c r="H1256" s="4" t="str">
        <f t="shared" si="22"/>
        <v>No</v>
      </c>
      <c r="I1256" s="56"/>
    </row>
    <row r="1257" spans="1:9">
      <c r="A1257" s="97" t="s">
        <v>2419</v>
      </c>
      <c r="B1257" s="97" t="s">
        <v>1217</v>
      </c>
      <c r="C1257" s="163">
        <v>5513</v>
      </c>
      <c r="D1257" s="95" t="s">
        <v>3030</v>
      </c>
      <c r="E1257" s="142">
        <v>1</v>
      </c>
      <c r="F1257" s="4" t="s">
        <v>2752</v>
      </c>
      <c r="G1257" s="4" t="s">
        <v>3065</v>
      </c>
      <c r="H1257" s="4" t="str">
        <f t="shared" si="22"/>
        <v>No</v>
      </c>
      <c r="I1257" s="56"/>
    </row>
    <row r="1258" spans="1:9">
      <c r="A1258" s="97" t="s">
        <v>2419</v>
      </c>
      <c r="B1258" s="97" t="s">
        <v>1217</v>
      </c>
      <c r="C1258" s="163">
        <v>1861</v>
      </c>
      <c r="D1258" s="95" t="s">
        <v>1219</v>
      </c>
      <c r="E1258" s="142">
        <v>0.26883333333333331</v>
      </c>
      <c r="F1258" s="4" t="s">
        <v>3065</v>
      </c>
      <c r="G1258" s="4" t="s">
        <v>3065</v>
      </c>
      <c r="H1258" s="4" t="str">
        <f t="shared" si="22"/>
        <v>No</v>
      </c>
      <c r="I1258" s="56"/>
    </row>
    <row r="1259" spans="1:9">
      <c r="A1259" s="97" t="s">
        <v>2419</v>
      </c>
      <c r="B1259" s="97" t="s">
        <v>1217</v>
      </c>
      <c r="C1259" s="163">
        <v>5651</v>
      </c>
      <c r="D1259" s="95" t="s">
        <v>2896</v>
      </c>
      <c r="E1259" s="142">
        <v>0.17574999999999999</v>
      </c>
      <c r="F1259" s="4" t="s">
        <v>3065</v>
      </c>
      <c r="G1259" s="4" t="s">
        <v>3065</v>
      </c>
      <c r="H1259" s="4" t="str">
        <f t="shared" si="22"/>
        <v>No</v>
      </c>
      <c r="I1259" s="56"/>
    </row>
    <row r="1260" spans="1:9">
      <c r="A1260" s="97" t="s">
        <v>2419</v>
      </c>
      <c r="B1260" s="97" t="s">
        <v>1217</v>
      </c>
      <c r="C1260" s="163">
        <v>3175</v>
      </c>
      <c r="D1260" s="95" t="s">
        <v>1222</v>
      </c>
      <c r="E1260" s="142">
        <v>0.49879999999999997</v>
      </c>
      <c r="F1260" s="4" t="s">
        <v>3065</v>
      </c>
      <c r="G1260" s="4" t="s">
        <v>3065</v>
      </c>
      <c r="H1260" s="4" t="str">
        <f t="shared" si="22"/>
        <v>No</v>
      </c>
      <c r="I1260" s="56"/>
    </row>
    <row r="1261" spans="1:9">
      <c r="A1261" s="97" t="s">
        <v>2419</v>
      </c>
      <c r="B1261" s="97" t="s">
        <v>1217</v>
      </c>
      <c r="C1261" s="163">
        <v>4320</v>
      </c>
      <c r="D1261" s="95" t="s">
        <v>1223</v>
      </c>
      <c r="E1261" s="142">
        <v>0.57553333333333334</v>
      </c>
      <c r="F1261" s="4" t="s">
        <v>2752</v>
      </c>
      <c r="G1261" s="4" t="s">
        <v>2752</v>
      </c>
      <c r="H1261" s="4" t="str">
        <f t="shared" si="22"/>
        <v>No</v>
      </c>
      <c r="I1261" s="56"/>
    </row>
    <row r="1262" spans="1:9">
      <c r="A1262" s="97" t="s">
        <v>2434</v>
      </c>
      <c r="B1262" s="97" t="s">
        <v>1278</v>
      </c>
      <c r="C1262" s="163">
        <v>2292</v>
      </c>
      <c r="D1262" s="95" t="s">
        <v>1279</v>
      </c>
      <c r="E1262" s="142">
        <v>0.62703333333333333</v>
      </c>
      <c r="F1262" s="4" t="s">
        <v>2752</v>
      </c>
      <c r="G1262" s="4" t="s">
        <v>2752</v>
      </c>
      <c r="H1262" s="4" t="str">
        <f t="shared" si="22"/>
        <v>No</v>
      </c>
      <c r="I1262" s="56"/>
    </row>
    <row r="1263" spans="1:9">
      <c r="A1263" s="97" t="s">
        <v>2516</v>
      </c>
      <c r="B1263" s="97" t="s">
        <v>1975</v>
      </c>
      <c r="C1263" s="163">
        <v>5168</v>
      </c>
      <c r="D1263" s="95" t="s">
        <v>1992</v>
      </c>
      <c r="E1263" s="142">
        <v>0.2703666666666667</v>
      </c>
      <c r="F1263" s="4" t="s">
        <v>3065</v>
      </c>
      <c r="G1263" s="4" t="s">
        <v>3065</v>
      </c>
      <c r="H1263" s="4" t="str">
        <f t="shared" si="22"/>
        <v>No</v>
      </c>
      <c r="I1263" s="56"/>
    </row>
    <row r="1264" spans="1:9">
      <c r="A1264" s="97" t="s">
        <v>2516</v>
      </c>
      <c r="B1264" s="97" t="s">
        <v>1975</v>
      </c>
      <c r="C1264" s="163">
        <v>5167</v>
      </c>
      <c r="D1264" s="95" t="s">
        <v>1991</v>
      </c>
      <c r="E1264" s="142">
        <v>0.51200000000000001</v>
      </c>
      <c r="F1264" s="4" t="s">
        <v>2752</v>
      </c>
      <c r="G1264" s="4" t="s">
        <v>2752</v>
      </c>
      <c r="H1264" s="4" t="str">
        <f t="shared" si="22"/>
        <v>No</v>
      </c>
      <c r="I1264" s="56"/>
    </row>
    <row r="1265" spans="1:9">
      <c r="A1265" s="97" t="s">
        <v>2516</v>
      </c>
      <c r="B1265" s="97" t="s">
        <v>1975</v>
      </c>
      <c r="C1265" s="163">
        <v>3361</v>
      </c>
      <c r="D1265" s="95" t="s">
        <v>59</v>
      </c>
      <c r="E1265" s="142">
        <v>0.47923333333333334</v>
      </c>
      <c r="F1265" s="4" t="s">
        <v>3065</v>
      </c>
      <c r="G1265" s="4" t="s">
        <v>3065</v>
      </c>
      <c r="H1265" s="4" t="str">
        <f t="shared" si="22"/>
        <v>No</v>
      </c>
      <c r="I1265" s="56"/>
    </row>
    <row r="1266" spans="1:9">
      <c r="A1266" s="97" t="s">
        <v>2516</v>
      </c>
      <c r="B1266" s="97" t="s">
        <v>1975</v>
      </c>
      <c r="C1266" s="163">
        <v>5654</v>
      </c>
      <c r="D1266" s="95" t="s">
        <v>2897</v>
      </c>
      <c r="E1266" s="142">
        <v>0.56109999999999993</v>
      </c>
      <c r="F1266" s="4" t="s">
        <v>2752</v>
      </c>
      <c r="G1266" s="4" t="s">
        <v>2752</v>
      </c>
      <c r="H1266" s="4" t="str">
        <f t="shared" si="22"/>
        <v>No</v>
      </c>
      <c r="I1266" s="56"/>
    </row>
    <row r="1267" spans="1:9">
      <c r="A1267" s="97" t="s">
        <v>2516</v>
      </c>
      <c r="B1267" s="97" t="s">
        <v>1975</v>
      </c>
      <c r="C1267" s="163">
        <v>4058</v>
      </c>
      <c r="D1267" s="95" t="s">
        <v>1984</v>
      </c>
      <c r="E1267" s="142">
        <v>0.34293333333333331</v>
      </c>
      <c r="F1267" s="4" t="s">
        <v>3065</v>
      </c>
      <c r="G1267" s="4" t="s">
        <v>3065</v>
      </c>
      <c r="H1267" s="4" t="str">
        <f t="shared" si="22"/>
        <v>No</v>
      </c>
      <c r="I1267" s="56"/>
    </row>
    <row r="1268" spans="1:9">
      <c r="A1268" s="97" t="s">
        <v>2516</v>
      </c>
      <c r="B1268" s="97" t="s">
        <v>1975</v>
      </c>
      <c r="C1268" s="163">
        <v>4408</v>
      </c>
      <c r="D1268" s="95" t="s">
        <v>1988</v>
      </c>
      <c r="E1268" s="142">
        <v>0.27833333333333332</v>
      </c>
      <c r="F1268" s="4" t="s">
        <v>3065</v>
      </c>
      <c r="G1268" s="4" t="s">
        <v>3065</v>
      </c>
      <c r="H1268" s="4" t="str">
        <f t="shared" si="22"/>
        <v>No</v>
      </c>
      <c r="I1268" s="56"/>
    </row>
    <row r="1269" spans="1:9">
      <c r="A1269" s="97" t="s">
        <v>2516</v>
      </c>
      <c r="B1269" s="97" t="s">
        <v>1975</v>
      </c>
      <c r="C1269" s="163">
        <v>5682</v>
      </c>
      <c r="D1269" s="95" t="s">
        <v>3031</v>
      </c>
      <c r="E1269" s="142">
        <v>0.1905</v>
      </c>
      <c r="F1269" s="4" t="s">
        <v>3065</v>
      </c>
      <c r="G1269" s="4" t="s">
        <v>3065</v>
      </c>
      <c r="H1269" s="4" t="str">
        <f t="shared" si="22"/>
        <v>No</v>
      </c>
      <c r="I1269" s="56"/>
    </row>
    <row r="1270" spans="1:9">
      <c r="A1270" s="97" t="s">
        <v>2516</v>
      </c>
      <c r="B1270" s="97" t="s">
        <v>1975</v>
      </c>
      <c r="C1270" s="163">
        <v>4409</v>
      </c>
      <c r="D1270" s="95" t="s">
        <v>1989</v>
      </c>
      <c r="E1270" s="142">
        <v>0.45563333333333333</v>
      </c>
      <c r="F1270" s="4" t="s">
        <v>3065</v>
      </c>
      <c r="G1270" s="4" t="s">
        <v>3065</v>
      </c>
      <c r="H1270" s="4" t="str">
        <f t="shared" si="22"/>
        <v>No</v>
      </c>
      <c r="I1270" s="56"/>
    </row>
    <row r="1271" spans="1:9">
      <c r="A1271" s="97" t="s">
        <v>2516</v>
      </c>
      <c r="B1271" s="97" t="s">
        <v>1975</v>
      </c>
      <c r="C1271" s="163">
        <v>3653</v>
      </c>
      <c r="D1271" s="95" t="s">
        <v>1981</v>
      </c>
      <c r="E1271" s="142">
        <v>0.57779999999999998</v>
      </c>
      <c r="F1271" s="4" t="s">
        <v>2752</v>
      </c>
      <c r="G1271" s="4" t="s">
        <v>2752</v>
      </c>
      <c r="H1271" s="4" t="str">
        <f t="shared" si="22"/>
        <v>No</v>
      </c>
      <c r="I1271" s="56"/>
    </row>
    <row r="1272" spans="1:9">
      <c r="A1272" s="97" t="s">
        <v>2516</v>
      </c>
      <c r="B1272" s="97" t="s">
        <v>1975</v>
      </c>
      <c r="C1272" s="163">
        <v>3539</v>
      </c>
      <c r="D1272" s="95" t="s">
        <v>1979</v>
      </c>
      <c r="E1272" s="142">
        <v>0.37336666666666662</v>
      </c>
      <c r="F1272" s="4" t="s">
        <v>3065</v>
      </c>
      <c r="G1272" s="4" t="s">
        <v>3065</v>
      </c>
      <c r="H1272" s="4" t="str">
        <f t="shared" si="22"/>
        <v>No</v>
      </c>
      <c r="I1272" s="56"/>
    </row>
    <row r="1273" spans="1:9">
      <c r="A1273" s="97" t="s">
        <v>2516</v>
      </c>
      <c r="B1273" s="97" t="s">
        <v>1975</v>
      </c>
      <c r="C1273" s="163">
        <v>3262</v>
      </c>
      <c r="D1273" s="95" t="s">
        <v>1978</v>
      </c>
      <c r="E1273" s="142">
        <v>0.66106666666666669</v>
      </c>
      <c r="F1273" s="4" t="s">
        <v>2752</v>
      </c>
      <c r="G1273" s="4" t="s">
        <v>2752</v>
      </c>
      <c r="H1273" s="4" t="str">
        <f t="shared" si="22"/>
        <v>No</v>
      </c>
      <c r="I1273" s="56"/>
    </row>
    <row r="1274" spans="1:9">
      <c r="A1274" s="97" t="s">
        <v>2516</v>
      </c>
      <c r="B1274" s="97" t="s">
        <v>1975</v>
      </c>
      <c r="C1274" s="163">
        <v>4255</v>
      </c>
      <c r="D1274" s="95" t="s">
        <v>1985</v>
      </c>
      <c r="E1274" s="142">
        <v>0.29046666666666665</v>
      </c>
      <c r="F1274" s="4" t="s">
        <v>3065</v>
      </c>
      <c r="G1274" s="4" t="s">
        <v>3065</v>
      </c>
      <c r="H1274" s="4" t="str">
        <f t="shared" si="22"/>
        <v>No</v>
      </c>
      <c r="I1274" s="56"/>
    </row>
    <row r="1275" spans="1:9">
      <c r="A1275" s="97" t="s">
        <v>2516</v>
      </c>
      <c r="B1275" s="97" t="s">
        <v>1975</v>
      </c>
      <c r="C1275" s="163">
        <v>3130</v>
      </c>
      <c r="D1275" s="95" t="s">
        <v>417</v>
      </c>
      <c r="E1275" s="142">
        <v>0.55233333333333334</v>
      </c>
      <c r="F1275" s="4" t="s">
        <v>2752</v>
      </c>
      <c r="G1275" s="4" t="s">
        <v>2752</v>
      </c>
      <c r="H1275" s="4" t="str">
        <f t="shared" si="22"/>
        <v>No</v>
      </c>
      <c r="I1275" s="56"/>
    </row>
    <row r="1276" spans="1:9">
      <c r="A1276" s="97" t="s">
        <v>2516</v>
      </c>
      <c r="B1276" s="97" t="s">
        <v>1975</v>
      </c>
      <c r="C1276" s="163">
        <v>3611</v>
      </c>
      <c r="D1276" s="95" t="s">
        <v>1980</v>
      </c>
      <c r="E1276" s="142">
        <v>0.5033333333333333</v>
      </c>
      <c r="F1276" s="4" t="s">
        <v>2752</v>
      </c>
      <c r="G1276" s="4" t="s">
        <v>3065</v>
      </c>
      <c r="H1276" s="4" t="str">
        <f t="shared" si="22"/>
        <v>No</v>
      </c>
      <c r="I1276" s="56"/>
    </row>
    <row r="1277" spans="1:9">
      <c r="A1277" s="97" t="s">
        <v>2516</v>
      </c>
      <c r="B1277" s="97" t="s">
        <v>1975</v>
      </c>
      <c r="C1277" s="163">
        <v>3010</v>
      </c>
      <c r="D1277" s="95" t="s">
        <v>1977</v>
      </c>
      <c r="E1277" s="142">
        <v>0.42053333333333337</v>
      </c>
      <c r="F1277" s="4" t="s">
        <v>3065</v>
      </c>
      <c r="G1277" s="4" t="s">
        <v>3065</v>
      </c>
      <c r="H1277" s="4" t="str">
        <f t="shared" si="22"/>
        <v>No</v>
      </c>
      <c r="I1277" s="56"/>
    </row>
    <row r="1278" spans="1:9">
      <c r="A1278" s="97" t="s">
        <v>2516</v>
      </c>
      <c r="B1278" s="97" t="s">
        <v>1975</v>
      </c>
      <c r="C1278" s="163">
        <v>3709</v>
      </c>
      <c r="D1278" s="95" t="s">
        <v>1982</v>
      </c>
      <c r="E1278" s="142">
        <v>0.39756666666666662</v>
      </c>
      <c r="F1278" s="4" t="s">
        <v>3065</v>
      </c>
      <c r="G1278" s="4" t="s">
        <v>3065</v>
      </c>
      <c r="H1278" s="4" t="str">
        <f t="shared" si="22"/>
        <v>No</v>
      </c>
      <c r="I1278" s="56"/>
    </row>
    <row r="1279" spans="1:9">
      <c r="A1279" s="97" t="s">
        <v>2516</v>
      </c>
      <c r="B1279" s="97" t="s">
        <v>1975</v>
      </c>
      <c r="C1279" s="163">
        <v>4271</v>
      </c>
      <c r="D1279" s="95" t="s">
        <v>1986</v>
      </c>
      <c r="E1279" s="142">
        <v>0.51049999999999995</v>
      </c>
      <c r="F1279" s="4" t="s">
        <v>2752</v>
      </c>
      <c r="G1279" s="4" t="s">
        <v>2752</v>
      </c>
      <c r="H1279" s="4" t="str">
        <f t="shared" si="22"/>
        <v>No</v>
      </c>
      <c r="I1279" s="56"/>
    </row>
    <row r="1280" spans="1:9">
      <c r="A1280" s="97" t="s">
        <v>2516</v>
      </c>
      <c r="B1280" s="97" t="s">
        <v>1975</v>
      </c>
      <c r="C1280" s="163">
        <v>4427</v>
      </c>
      <c r="D1280" s="95" t="s">
        <v>1990</v>
      </c>
      <c r="E1280" s="142">
        <v>0.40166666666666662</v>
      </c>
      <c r="F1280" s="4" t="s">
        <v>3065</v>
      </c>
      <c r="G1280" s="4" t="s">
        <v>3065</v>
      </c>
      <c r="H1280" s="4" t="str">
        <f t="shared" si="22"/>
        <v>No</v>
      </c>
      <c r="I1280" s="56"/>
    </row>
    <row r="1281" spans="1:9">
      <c r="A1281" s="97" t="s">
        <v>2516</v>
      </c>
      <c r="B1281" s="97" t="s">
        <v>1975</v>
      </c>
      <c r="C1281" s="163">
        <v>5452</v>
      </c>
      <c r="D1281" s="95" t="s">
        <v>1993</v>
      </c>
      <c r="E1281" s="142">
        <v>0.41930000000000001</v>
      </c>
      <c r="F1281" s="4" t="s">
        <v>3065</v>
      </c>
      <c r="G1281" s="4" t="s">
        <v>3065</v>
      </c>
      <c r="H1281" s="4" t="str">
        <f t="shared" si="22"/>
        <v>No</v>
      </c>
      <c r="I1281" s="56"/>
    </row>
    <row r="1282" spans="1:9">
      <c r="A1282" s="97" t="s">
        <v>2516</v>
      </c>
      <c r="B1282" s="97" t="s">
        <v>1975</v>
      </c>
      <c r="C1282" s="163">
        <v>4368</v>
      </c>
      <c r="D1282" s="95" t="s">
        <v>1987</v>
      </c>
      <c r="E1282" s="142">
        <v>0.4538666666666667</v>
      </c>
      <c r="F1282" s="4" t="s">
        <v>3065</v>
      </c>
      <c r="G1282" s="4" t="s">
        <v>3065</v>
      </c>
      <c r="H1282" s="4" t="str">
        <f t="shared" si="22"/>
        <v>No</v>
      </c>
      <c r="I1282" s="56"/>
    </row>
    <row r="1283" spans="1:9">
      <c r="A1283" s="97" t="s">
        <v>2516</v>
      </c>
      <c r="B1283" s="97" t="s">
        <v>1975</v>
      </c>
      <c r="C1283" s="163">
        <v>2754</v>
      </c>
      <c r="D1283" s="95" t="s">
        <v>1976</v>
      </c>
      <c r="E1283" s="142">
        <v>0.31563333333333338</v>
      </c>
      <c r="F1283" s="4" t="s">
        <v>3065</v>
      </c>
      <c r="G1283" s="4" t="s">
        <v>3065</v>
      </c>
      <c r="H1283" s="4" t="str">
        <f t="shared" ref="H1283:H1346" si="23">IFERROR(IF(AND(G1283="Yes",F1283="No"),"Yes","No"),"No")</f>
        <v>No</v>
      </c>
      <c r="I1283" s="56"/>
    </row>
    <row r="1284" spans="1:9">
      <c r="A1284" s="97" t="s">
        <v>2516</v>
      </c>
      <c r="B1284" s="97" t="s">
        <v>1975</v>
      </c>
      <c r="C1284" s="163">
        <v>5683</v>
      </c>
      <c r="D1284" s="95" t="s">
        <v>3032</v>
      </c>
      <c r="E1284" s="142">
        <v>0.46689999999999998</v>
      </c>
      <c r="F1284" s="4" t="s">
        <v>3065</v>
      </c>
      <c r="G1284" s="4" t="s">
        <v>3065</v>
      </c>
      <c r="H1284" s="4" t="str">
        <f t="shared" si="23"/>
        <v>No</v>
      </c>
      <c r="I1284" s="56"/>
    </row>
    <row r="1285" spans="1:9">
      <c r="A1285" s="97" t="s">
        <v>2516</v>
      </c>
      <c r="B1285" s="97" t="s">
        <v>1975</v>
      </c>
      <c r="C1285" s="163">
        <v>3710</v>
      </c>
      <c r="D1285" s="95" t="s">
        <v>1983</v>
      </c>
      <c r="E1285" s="142">
        <v>0.37709999999999999</v>
      </c>
      <c r="F1285" s="4" t="s">
        <v>3065</v>
      </c>
      <c r="G1285" s="4" t="s">
        <v>3065</v>
      </c>
      <c r="H1285" s="4" t="str">
        <f t="shared" si="23"/>
        <v>No</v>
      </c>
      <c r="I1285" s="56"/>
    </row>
    <row r="1286" spans="1:9">
      <c r="A1286" s="97" t="s">
        <v>2516</v>
      </c>
      <c r="B1286" s="97" t="s">
        <v>1975</v>
      </c>
      <c r="C1286" s="163">
        <v>4122</v>
      </c>
      <c r="D1286" s="95" t="s">
        <v>1307</v>
      </c>
      <c r="E1286" s="142">
        <v>0.37873333333333337</v>
      </c>
      <c r="F1286" s="4" t="s">
        <v>3065</v>
      </c>
      <c r="G1286" s="4" t="s">
        <v>3065</v>
      </c>
      <c r="H1286" s="4" t="str">
        <f t="shared" si="23"/>
        <v>No</v>
      </c>
      <c r="I1286" s="56"/>
    </row>
    <row r="1287" spans="1:9">
      <c r="A1287" s="97" t="s">
        <v>2513</v>
      </c>
      <c r="B1287" s="97" t="s">
        <v>1955</v>
      </c>
      <c r="C1287" s="163">
        <v>2062</v>
      </c>
      <c r="D1287" s="140" t="s">
        <v>1956</v>
      </c>
      <c r="E1287" s="142">
        <v>0.79059999999999997</v>
      </c>
      <c r="F1287" s="4" t="s">
        <v>2752</v>
      </c>
      <c r="G1287" s="4" t="s">
        <v>2752</v>
      </c>
      <c r="H1287" s="4" t="str">
        <f t="shared" si="23"/>
        <v>No</v>
      </c>
      <c r="I1287" s="56"/>
    </row>
    <row r="1288" spans="1:9">
      <c r="A1288" s="97" t="s">
        <v>2513</v>
      </c>
      <c r="B1288" s="97" t="s">
        <v>1955</v>
      </c>
      <c r="C1288" s="163">
        <v>2958</v>
      </c>
      <c r="D1288" s="95" t="s">
        <v>1957</v>
      </c>
      <c r="E1288" s="142">
        <v>0.76273333333333337</v>
      </c>
      <c r="F1288" s="4" t="s">
        <v>2752</v>
      </c>
      <c r="G1288" s="4" t="s">
        <v>2752</v>
      </c>
      <c r="H1288" s="4" t="str">
        <f t="shared" si="23"/>
        <v>No</v>
      </c>
      <c r="I1288" s="56"/>
    </row>
    <row r="1289" spans="1:9">
      <c r="A1289" s="97" t="s">
        <v>2513</v>
      </c>
      <c r="B1289" s="97" t="s">
        <v>1955</v>
      </c>
      <c r="C1289" s="163">
        <v>5252</v>
      </c>
      <c r="D1289" s="95" t="s">
        <v>1958</v>
      </c>
      <c r="E1289" s="142">
        <v>0.25430000000000003</v>
      </c>
      <c r="F1289" s="4" t="s">
        <v>3065</v>
      </c>
      <c r="G1289" s="4" t="s">
        <v>3065</v>
      </c>
      <c r="H1289" s="4" t="str">
        <f t="shared" si="23"/>
        <v>No</v>
      </c>
      <c r="I1289" s="56"/>
    </row>
    <row r="1290" spans="1:9">
      <c r="A1290" s="97" t="s">
        <v>2366</v>
      </c>
      <c r="B1290" s="97" t="s">
        <v>979</v>
      </c>
      <c r="C1290" s="163">
        <v>3107</v>
      </c>
      <c r="D1290" s="95" t="s">
        <v>985</v>
      </c>
      <c r="E1290" s="142">
        <v>0.1134</v>
      </c>
      <c r="F1290" s="4" t="s">
        <v>3065</v>
      </c>
      <c r="G1290" s="4" t="s">
        <v>3065</v>
      </c>
      <c r="H1290" s="4" t="str">
        <f t="shared" si="23"/>
        <v>No</v>
      </c>
      <c r="I1290" s="56"/>
    </row>
    <row r="1291" spans="1:9">
      <c r="A1291" s="97" t="s">
        <v>2366</v>
      </c>
      <c r="B1291" s="97" t="s">
        <v>979</v>
      </c>
      <c r="C1291" s="163">
        <v>3106</v>
      </c>
      <c r="D1291" s="95" t="s">
        <v>984</v>
      </c>
      <c r="E1291" s="142">
        <v>0.16816666666666669</v>
      </c>
      <c r="F1291" s="4" t="s">
        <v>3065</v>
      </c>
      <c r="G1291" s="4" t="s">
        <v>3065</v>
      </c>
      <c r="H1291" s="4" t="str">
        <f t="shared" si="23"/>
        <v>No</v>
      </c>
      <c r="I1291" s="56"/>
    </row>
    <row r="1292" spans="1:9">
      <c r="A1292" s="97" t="s">
        <v>2366</v>
      </c>
      <c r="B1292" s="97" t="s">
        <v>979</v>
      </c>
      <c r="C1292" s="163">
        <v>4017</v>
      </c>
      <c r="D1292" s="95" t="s">
        <v>998</v>
      </c>
      <c r="E1292" s="142">
        <v>0.1144</v>
      </c>
      <c r="F1292" s="4" t="s">
        <v>3065</v>
      </c>
      <c r="G1292" s="4" t="s">
        <v>3065</v>
      </c>
      <c r="H1292" s="4" t="str">
        <f t="shared" si="23"/>
        <v>No</v>
      </c>
      <c r="I1292" s="56"/>
    </row>
    <row r="1293" spans="1:9">
      <c r="A1293" s="97" t="s">
        <v>2366</v>
      </c>
      <c r="B1293" s="97" t="s">
        <v>979</v>
      </c>
      <c r="C1293" s="163">
        <v>3493</v>
      </c>
      <c r="D1293" s="95" t="s">
        <v>993</v>
      </c>
      <c r="E1293" s="142">
        <v>0.17473333333333332</v>
      </c>
      <c r="F1293" s="4" t="s">
        <v>3065</v>
      </c>
      <c r="G1293" s="4" t="s">
        <v>3065</v>
      </c>
      <c r="H1293" s="4" t="str">
        <f t="shared" si="23"/>
        <v>No</v>
      </c>
      <c r="I1293" s="56"/>
    </row>
    <row r="1294" spans="1:9">
      <c r="A1294" s="97" t="s">
        <v>2366</v>
      </c>
      <c r="B1294" s="97" t="s">
        <v>979</v>
      </c>
      <c r="C1294" s="163">
        <v>3234</v>
      </c>
      <c r="D1294" s="95" t="s">
        <v>986</v>
      </c>
      <c r="E1294" s="142">
        <v>8.7099999999999997E-2</v>
      </c>
      <c r="F1294" s="4" t="s">
        <v>3065</v>
      </c>
      <c r="G1294" s="4" t="s">
        <v>3065</v>
      </c>
      <c r="H1294" s="4" t="str">
        <f t="shared" si="23"/>
        <v>No</v>
      </c>
      <c r="I1294" s="56"/>
    </row>
    <row r="1295" spans="1:9">
      <c r="A1295" s="97" t="s">
        <v>2366</v>
      </c>
      <c r="B1295" s="97" t="s">
        <v>979</v>
      </c>
      <c r="C1295" s="163">
        <v>3105</v>
      </c>
      <c r="D1295" s="95" t="s">
        <v>983</v>
      </c>
      <c r="E1295" s="142">
        <v>0.24086666666666667</v>
      </c>
      <c r="F1295" s="4" t="s">
        <v>3065</v>
      </c>
      <c r="G1295" s="4" t="s">
        <v>3065</v>
      </c>
      <c r="H1295" s="4" t="str">
        <f t="shared" si="23"/>
        <v>No</v>
      </c>
      <c r="I1295" s="56"/>
    </row>
    <row r="1296" spans="1:9">
      <c r="A1296" s="97" t="s">
        <v>2366</v>
      </c>
      <c r="B1296" s="97" t="s">
        <v>979</v>
      </c>
      <c r="C1296" s="163">
        <v>4379</v>
      </c>
      <c r="D1296" s="95" t="s">
        <v>1007</v>
      </c>
      <c r="E1296" s="142">
        <v>5.5833333333333339E-2</v>
      </c>
      <c r="F1296" s="4" t="s">
        <v>3065</v>
      </c>
      <c r="G1296" s="4" t="s">
        <v>3065</v>
      </c>
      <c r="H1296" s="4" t="str">
        <f t="shared" si="23"/>
        <v>No</v>
      </c>
      <c r="I1296" s="56"/>
    </row>
    <row r="1297" spans="1:9">
      <c r="A1297" s="97" t="s">
        <v>2366</v>
      </c>
      <c r="B1297" s="97" t="s">
        <v>979</v>
      </c>
      <c r="C1297" s="163">
        <v>4306</v>
      </c>
      <c r="D1297" s="95" t="s">
        <v>1003</v>
      </c>
      <c r="E1297" s="142">
        <v>3.7333333333333329E-2</v>
      </c>
      <c r="F1297" s="4" t="s">
        <v>3065</v>
      </c>
      <c r="G1297" s="4" t="s">
        <v>3065</v>
      </c>
      <c r="H1297" s="4" t="str">
        <f t="shared" si="23"/>
        <v>No</v>
      </c>
      <c r="I1297" s="56"/>
    </row>
    <row r="1298" spans="1:9">
      <c r="A1298" s="97" t="s">
        <v>2366</v>
      </c>
      <c r="B1298" s="97" t="s">
        <v>979</v>
      </c>
      <c r="C1298" s="163">
        <v>4355</v>
      </c>
      <c r="D1298" s="95" t="s">
        <v>1004</v>
      </c>
      <c r="E1298" s="142">
        <v>0.14773333333333333</v>
      </c>
      <c r="F1298" s="4" t="s">
        <v>3065</v>
      </c>
      <c r="G1298" s="4" t="s">
        <v>3065</v>
      </c>
      <c r="H1298" s="4" t="str">
        <f t="shared" si="23"/>
        <v>No</v>
      </c>
      <c r="I1298" s="56"/>
    </row>
    <row r="1299" spans="1:9">
      <c r="A1299" s="97" t="s">
        <v>2366</v>
      </c>
      <c r="B1299" s="97" t="s">
        <v>979</v>
      </c>
      <c r="C1299" s="163">
        <v>4124</v>
      </c>
      <c r="D1299" s="95" t="s">
        <v>1001</v>
      </c>
      <c r="E1299" s="142">
        <v>0.11420000000000001</v>
      </c>
      <c r="F1299" s="4" t="s">
        <v>3065</v>
      </c>
      <c r="G1299" s="4" t="s">
        <v>3065</v>
      </c>
      <c r="H1299" s="4" t="str">
        <f t="shared" si="23"/>
        <v>No</v>
      </c>
      <c r="I1299" s="56"/>
    </row>
    <row r="1300" spans="1:9">
      <c r="A1300" s="97" t="s">
        <v>2366</v>
      </c>
      <c r="B1300" s="97" t="s">
        <v>979</v>
      </c>
      <c r="C1300" s="163">
        <v>3492</v>
      </c>
      <c r="D1300" s="95" t="s">
        <v>992</v>
      </c>
      <c r="E1300" s="142">
        <v>0.1555</v>
      </c>
      <c r="F1300" s="4" t="s">
        <v>3065</v>
      </c>
      <c r="G1300" s="4" t="s">
        <v>3065</v>
      </c>
      <c r="H1300" s="4" t="str">
        <f t="shared" si="23"/>
        <v>No</v>
      </c>
      <c r="I1300" s="56"/>
    </row>
    <row r="1301" spans="1:9">
      <c r="A1301" s="97" t="s">
        <v>2366</v>
      </c>
      <c r="B1301" s="97" t="s">
        <v>979</v>
      </c>
      <c r="C1301" s="163">
        <v>5606</v>
      </c>
      <c r="D1301" s="140" t="s">
        <v>2898</v>
      </c>
      <c r="E1301" s="142">
        <v>9.7750000000000004E-2</v>
      </c>
      <c r="F1301" s="4" t="s">
        <v>3065</v>
      </c>
      <c r="G1301" s="4" t="s">
        <v>3065</v>
      </c>
      <c r="H1301" s="4" t="str">
        <f t="shared" si="23"/>
        <v>No</v>
      </c>
      <c r="I1301" s="56"/>
    </row>
    <row r="1302" spans="1:9">
      <c r="A1302" s="97" t="s">
        <v>2366</v>
      </c>
      <c r="B1302" s="97" t="s">
        <v>979</v>
      </c>
      <c r="C1302" s="163">
        <v>2993</v>
      </c>
      <c r="D1302" s="95" t="s">
        <v>982</v>
      </c>
      <c r="E1302" s="142">
        <v>0.30456666666666665</v>
      </c>
      <c r="F1302" s="4" t="s">
        <v>3065</v>
      </c>
      <c r="G1302" s="4" t="s">
        <v>3065</v>
      </c>
      <c r="H1302" s="4" t="str">
        <f t="shared" si="23"/>
        <v>No</v>
      </c>
      <c r="I1302" s="56"/>
    </row>
    <row r="1303" spans="1:9">
      <c r="A1303" s="97" t="s">
        <v>2366</v>
      </c>
      <c r="B1303" s="97" t="s">
        <v>979</v>
      </c>
      <c r="C1303" s="163">
        <v>3345</v>
      </c>
      <c r="D1303" s="95" t="s">
        <v>989</v>
      </c>
      <c r="E1303" s="142">
        <v>0.22789999999999999</v>
      </c>
      <c r="F1303" s="4" t="s">
        <v>3065</v>
      </c>
      <c r="G1303" s="4" t="s">
        <v>3065</v>
      </c>
      <c r="H1303" s="4" t="str">
        <f t="shared" si="23"/>
        <v>No</v>
      </c>
      <c r="I1303" s="56"/>
    </row>
    <row r="1304" spans="1:9">
      <c r="A1304" s="97" t="s">
        <v>2366</v>
      </c>
      <c r="B1304" s="97" t="s">
        <v>979</v>
      </c>
      <c r="C1304" s="163">
        <v>4455</v>
      </c>
      <c r="D1304" s="95" t="s">
        <v>1008</v>
      </c>
      <c r="E1304" s="142">
        <v>4.6600000000000003E-2</v>
      </c>
      <c r="F1304" s="4" t="s">
        <v>3065</v>
      </c>
      <c r="G1304" s="4" t="s">
        <v>3065</v>
      </c>
      <c r="H1304" s="4" t="str">
        <f t="shared" si="23"/>
        <v>No</v>
      </c>
      <c r="I1304" s="56"/>
    </row>
    <row r="1305" spans="1:9">
      <c r="A1305" s="97" t="s">
        <v>2366</v>
      </c>
      <c r="B1305" s="97" t="s">
        <v>979</v>
      </c>
      <c r="C1305" s="163">
        <v>3790</v>
      </c>
      <c r="D1305" s="95" t="s">
        <v>996</v>
      </c>
      <c r="E1305" s="142">
        <v>0.12703333333333333</v>
      </c>
      <c r="F1305" s="4" t="s">
        <v>3065</v>
      </c>
      <c r="G1305" s="4" t="s">
        <v>3065</v>
      </c>
      <c r="H1305" s="4" t="str">
        <f t="shared" si="23"/>
        <v>No</v>
      </c>
      <c r="I1305" s="56"/>
    </row>
    <row r="1306" spans="1:9">
      <c r="A1306" s="97" t="s">
        <v>2366</v>
      </c>
      <c r="B1306" s="97" t="s">
        <v>979</v>
      </c>
      <c r="C1306" s="163">
        <v>3390</v>
      </c>
      <c r="D1306" s="95" t="s">
        <v>990</v>
      </c>
      <c r="E1306" s="142">
        <v>7.1833333333333318E-2</v>
      </c>
      <c r="F1306" s="4" t="s">
        <v>3065</v>
      </c>
      <c r="G1306" s="4" t="s">
        <v>3065</v>
      </c>
      <c r="H1306" s="4" t="str">
        <f t="shared" si="23"/>
        <v>No</v>
      </c>
      <c r="I1306" s="56"/>
    </row>
    <row r="1307" spans="1:9">
      <c r="A1307" s="97" t="s">
        <v>2366</v>
      </c>
      <c r="B1307" s="97" t="s">
        <v>979</v>
      </c>
      <c r="C1307" s="163">
        <v>3344</v>
      </c>
      <c r="D1307" s="95" t="s">
        <v>988</v>
      </c>
      <c r="E1307" s="142">
        <v>0.14536666666666667</v>
      </c>
      <c r="F1307" s="4" t="s">
        <v>3065</v>
      </c>
      <c r="G1307" s="4" t="s">
        <v>3065</v>
      </c>
      <c r="H1307" s="4" t="str">
        <f t="shared" si="23"/>
        <v>No</v>
      </c>
      <c r="I1307" s="56"/>
    </row>
    <row r="1308" spans="1:9">
      <c r="A1308" s="97" t="s">
        <v>2366</v>
      </c>
      <c r="B1308" s="97" t="s">
        <v>979</v>
      </c>
      <c r="C1308" s="163">
        <v>3442</v>
      </c>
      <c r="D1308" s="95" t="s">
        <v>991</v>
      </c>
      <c r="E1308" s="142">
        <v>5.4900000000000004E-2</v>
      </c>
      <c r="F1308" s="4" t="s">
        <v>3065</v>
      </c>
      <c r="G1308" s="4" t="s">
        <v>3065</v>
      </c>
      <c r="H1308" s="4" t="str">
        <f t="shared" si="23"/>
        <v>No</v>
      </c>
      <c r="I1308" s="56"/>
    </row>
    <row r="1309" spans="1:9">
      <c r="A1309" s="97" t="s">
        <v>2366</v>
      </c>
      <c r="B1309" s="97" t="s">
        <v>979</v>
      </c>
      <c r="C1309" s="163">
        <v>5481</v>
      </c>
      <c r="D1309" s="95" t="s">
        <v>2728</v>
      </c>
      <c r="E1309" s="142">
        <v>0.13143333333333332</v>
      </c>
      <c r="F1309" s="4" t="s">
        <v>3065</v>
      </c>
      <c r="G1309" s="4" t="s">
        <v>3065</v>
      </c>
      <c r="H1309" s="4" t="str">
        <f t="shared" si="23"/>
        <v>No</v>
      </c>
      <c r="I1309" s="56"/>
    </row>
    <row r="1310" spans="1:9">
      <c r="A1310" s="97" t="s">
        <v>2366</v>
      </c>
      <c r="B1310" s="97" t="s">
        <v>979</v>
      </c>
      <c r="C1310" s="163">
        <v>5583</v>
      </c>
      <c r="D1310" s="95" t="s">
        <v>2829</v>
      </c>
      <c r="E1310" s="142">
        <v>5.3233333333333327E-2</v>
      </c>
      <c r="F1310" s="4" t="s">
        <v>3065</v>
      </c>
      <c r="G1310" s="4" t="s">
        <v>3065</v>
      </c>
      <c r="H1310" s="4" t="str">
        <f t="shared" si="23"/>
        <v>No</v>
      </c>
      <c r="I1310" s="56"/>
    </row>
    <row r="1311" spans="1:9">
      <c r="A1311" s="97" t="s">
        <v>2366</v>
      </c>
      <c r="B1311" s="97" t="s">
        <v>979</v>
      </c>
      <c r="C1311" s="163">
        <v>4021</v>
      </c>
      <c r="D1311" s="95" t="s">
        <v>999</v>
      </c>
      <c r="E1311" s="142">
        <v>0.14653333333333332</v>
      </c>
      <c r="F1311" s="4" t="s">
        <v>3065</v>
      </c>
      <c r="G1311" s="4" t="s">
        <v>3065</v>
      </c>
      <c r="H1311" s="4" t="str">
        <f t="shared" si="23"/>
        <v>No</v>
      </c>
      <c r="I1311" s="56"/>
    </row>
    <row r="1312" spans="1:9">
      <c r="A1312" s="97" t="s">
        <v>2366</v>
      </c>
      <c r="B1312" s="97" t="s">
        <v>979</v>
      </c>
      <c r="C1312" s="163">
        <v>1814</v>
      </c>
      <c r="D1312" s="95" t="s">
        <v>980</v>
      </c>
      <c r="E1312" s="142">
        <v>8.4466666666666676E-2</v>
      </c>
      <c r="F1312" s="4" t="s">
        <v>3065</v>
      </c>
      <c r="G1312" s="4" t="s">
        <v>3065</v>
      </c>
      <c r="H1312" s="4" t="str">
        <f t="shared" si="23"/>
        <v>No</v>
      </c>
      <c r="I1312" s="56"/>
    </row>
    <row r="1313" spans="1:9">
      <c r="A1313" s="97" t="s">
        <v>2366</v>
      </c>
      <c r="B1313" s="97" t="s">
        <v>979</v>
      </c>
      <c r="C1313" s="163">
        <v>5331</v>
      </c>
      <c r="D1313" s="95" t="s">
        <v>1010</v>
      </c>
      <c r="E1313" s="142">
        <v>0.21930000000000002</v>
      </c>
      <c r="F1313" s="4" t="s">
        <v>3065</v>
      </c>
      <c r="G1313" s="4" t="s">
        <v>3065</v>
      </c>
      <c r="H1313" s="4" t="str">
        <f t="shared" si="23"/>
        <v>No</v>
      </c>
      <c r="I1313" s="56"/>
    </row>
    <row r="1314" spans="1:9">
      <c r="A1314" s="97" t="s">
        <v>2366</v>
      </c>
      <c r="B1314" s="97" t="s">
        <v>979</v>
      </c>
      <c r="C1314" s="163">
        <v>1815</v>
      </c>
      <c r="D1314" s="95" t="s">
        <v>981</v>
      </c>
      <c r="E1314" s="142">
        <v>8.3966666666666676E-2</v>
      </c>
      <c r="F1314" s="4" t="s">
        <v>3065</v>
      </c>
      <c r="G1314" s="4" t="s">
        <v>3065</v>
      </c>
      <c r="H1314" s="4" t="str">
        <f t="shared" si="23"/>
        <v>No</v>
      </c>
      <c r="I1314" s="56"/>
    </row>
    <row r="1315" spans="1:9">
      <c r="A1315" s="97" t="s">
        <v>2366</v>
      </c>
      <c r="B1315" s="97" t="s">
        <v>979</v>
      </c>
      <c r="C1315" s="163">
        <v>5605</v>
      </c>
      <c r="D1315" s="95" t="s">
        <v>2899</v>
      </c>
      <c r="E1315" s="142">
        <v>7.6249999999999998E-2</v>
      </c>
      <c r="F1315" s="4" t="s">
        <v>3065</v>
      </c>
      <c r="G1315" s="4" t="s">
        <v>3065</v>
      </c>
      <c r="H1315" s="4" t="str">
        <f t="shared" si="23"/>
        <v>No</v>
      </c>
      <c r="I1315" s="56"/>
    </row>
    <row r="1316" spans="1:9">
      <c r="A1316" s="97" t="s">
        <v>2366</v>
      </c>
      <c r="B1316" s="97" t="s">
        <v>979</v>
      </c>
      <c r="C1316" s="163">
        <v>3811</v>
      </c>
      <c r="D1316" s="95" t="s">
        <v>997</v>
      </c>
      <c r="E1316" s="142">
        <v>0.35069999999999996</v>
      </c>
      <c r="F1316" s="4" t="s">
        <v>3065</v>
      </c>
      <c r="G1316" s="4" t="s">
        <v>3065</v>
      </c>
      <c r="H1316" s="4" t="str">
        <f t="shared" si="23"/>
        <v>No</v>
      </c>
      <c r="I1316" s="56"/>
    </row>
    <row r="1317" spans="1:9">
      <c r="A1317" s="97" t="s">
        <v>2366</v>
      </c>
      <c r="B1317" s="97" t="s">
        <v>979</v>
      </c>
      <c r="C1317" s="163">
        <v>3679</v>
      </c>
      <c r="D1317" s="95" t="s">
        <v>994</v>
      </c>
      <c r="E1317" s="142">
        <v>0.15596666666666667</v>
      </c>
      <c r="F1317" s="4" t="s">
        <v>3065</v>
      </c>
      <c r="G1317" s="4" t="s">
        <v>3065</v>
      </c>
      <c r="H1317" s="4" t="str">
        <f t="shared" si="23"/>
        <v>No</v>
      </c>
      <c r="I1317" s="56"/>
    </row>
    <row r="1318" spans="1:9">
      <c r="A1318" s="97" t="s">
        <v>2366</v>
      </c>
      <c r="B1318" s="97" t="s">
        <v>979</v>
      </c>
      <c r="C1318" s="163">
        <v>4371</v>
      </c>
      <c r="D1318" s="95" t="s">
        <v>1005</v>
      </c>
      <c r="E1318" s="142">
        <v>0.13473333333333334</v>
      </c>
      <c r="F1318" s="4" t="s">
        <v>3065</v>
      </c>
      <c r="G1318" s="4" t="s">
        <v>3065</v>
      </c>
      <c r="H1318" s="4" t="str">
        <f t="shared" si="23"/>
        <v>No</v>
      </c>
      <c r="I1318" s="56"/>
    </row>
    <row r="1319" spans="1:9">
      <c r="A1319" s="97" t="s">
        <v>2366</v>
      </c>
      <c r="B1319" s="97" t="s">
        <v>979</v>
      </c>
      <c r="C1319" s="163">
        <v>4187</v>
      </c>
      <c r="D1319" s="95" t="s">
        <v>693</v>
      </c>
      <c r="E1319" s="142">
        <v>2.4900000000000002E-2</v>
      </c>
      <c r="F1319" s="4" t="s">
        <v>3065</v>
      </c>
      <c r="G1319" s="4" t="s">
        <v>3065</v>
      </c>
      <c r="H1319" s="4" t="str">
        <f t="shared" si="23"/>
        <v>No</v>
      </c>
      <c r="I1319" s="56"/>
    </row>
    <row r="1320" spans="1:9">
      <c r="A1320" s="97" t="s">
        <v>2366</v>
      </c>
      <c r="B1320" s="97" t="s">
        <v>979</v>
      </c>
      <c r="C1320" s="163">
        <v>4516</v>
      </c>
      <c r="D1320" s="95" t="s">
        <v>1009</v>
      </c>
      <c r="E1320" s="142">
        <v>5.4400000000000004E-2</v>
      </c>
      <c r="F1320" s="4" t="s">
        <v>3065</v>
      </c>
      <c r="G1320" s="4" t="s">
        <v>3065</v>
      </c>
      <c r="H1320" s="4" t="str">
        <f t="shared" si="23"/>
        <v>No</v>
      </c>
      <c r="I1320" s="56"/>
    </row>
    <row r="1321" spans="1:9">
      <c r="A1321" s="97" t="s">
        <v>2366</v>
      </c>
      <c r="B1321" s="97" t="s">
        <v>979</v>
      </c>
      <c r="C1321" s="163">
        <v>4069</v>
      </c>
      <c r="D1321" s="139" t="s">
        <v>1000</v>
      </c>
      <c r="E1321" s="142">
        <v>7.4133333333333329E-2</v>
      </c>
      <c r="F1321" s="4" t="s">
        <v>3065</v>
      </c>
      <c r="G1321" s="4" t="s">
        <v>3065</v>
      </c>
      <c r="H1321" s="4" t="str">
        <f t="shared" si="23"/>
        <v>No</v>
      </c>
      <c r="I1321" s="56"/>
    </row>
    <row r="1322" spans="1:9">
      <c r="A1322" s="97" t="s">
        <v>2366</v>
      </c>
      <c r="B1322" s="97" t="s">
        <v>979</v>
      </c>
      <c r="C1322" s="163">
        <v>3287</v>
      </c>
      <c r="D1322" s="95" t="s">
        <v>987</v>
      </c>
      <c r="E1322" s="142">
        <v>0.13009999999999999</v>
      </c>
      <c r="F1322" s="4" t="s">
        <v>3065</v>
      </c>
      <c r="G1322" s="4" t="s">
        <v>3065</v>
      </c>
      <c r="H1322" s="4" t="str">
        <f t="shared" si="23"/>
        <v>No</v>
      </c>
      <c r="I1322" s="56"/>
    </row>
    <row r="1323" spans="1:9">
      <c r="A1323" s="97" t="s">
        <v>2366</v>
      </c>
      <c r="B1323" s="97" t="s">
        <v>979</v>
      </c>
      <c r="C1323" s="163">
        <v>3749</v>
      </c>
      <c r="D1323" s="95" t="s">
        <v>995</v>
      </c>
      <c r="E1323" s="142">
        <v>0.21983333333333333</v>
      </c>
      <c r="F1323" s="4" t="s">
        <v>3065</v>
      </c>
      <c r="G1323" s="4" t="s">
        <v>3065</v>
      </c>
      <c r="H1323" s="4" t="str">
        <f t="shared" si="23"/>
        <v>No</v>
      </c>
      <c r="I1323" s="56"/>
    </row>
    <row r="1324" spans="1:9">
      <c r="A1324" s="97" t="s">
        <v>2366</v>
      </c>
      <c r="B1324" s="97" t="s">
        <v>979</v>
      </c>
      <c r="C1324" s="163">
        <v>4208</v>
      </c>
      <c r="D1324" s="95" t="s">
        <v>1002</v>
      </c>
      <c r="E1324" s="142">
        <v>8.776666666666666E-2</v>
      </c>
      <c r="F1324" s="4" t="s">
        <v>3065</v>
      </c>
      <c r="G1324" s="4" t="s">
        <v>3065</v>
      </c>
      <c r="H1324" s="4" t="str">
        <f t="shared" si="23"/>
        <v>No</v>
      </c>
      <c r="I1324" s="56"/>
    </row>
    <row r="1325" spans="1:9">
      <c r="A1325" s="97" t="s">
        <v>2366</v>
      </c>
      <c r="B1325" s="97" t="s">
        <v>979</v>
      </c>
      <c r="C1325" s="163">
        <v>4377</v>
      </c>
      <c r="D1325" s="95" t="s">
        <v>1006</v>
      </c>
      <c r="E1325" s="142">
        <v>0.20980000000000001</v>
      </c>
      <c r="F1325" s="4" t="s">
        <v>3065</v>
      </c>
      <c r="G1325" s="4" t="s">
        <v>3065</v>
      </c>
      <c r="H1325" s="4" t="str">
        <f t="shared" si="23"/>
        <v>No</v>
      </c>
      <c r="I1325" s="56"/>
    </row>
    <row r="1326" spans="1:9">
      <c r="A1326" s="97" t="s">
        <v>2340</v>
      </c>
      <c r="B1326" s="97" t="s">
        <v>513</v>
      </c>
      <c r="C1326" s="163">
        <v>3477</v>
      </c>
      <c r="D1326" s="95" t="s">
        <v>517</v>
      </c>
      <c r="E1326" s="142">
        <v>0.39710000000000001</v>
      </c>
      <c r="F1326" s="4" t="s">
        <v>3065</v>
      </c>
      <c r="G1326" s="4" t="s">
        <v>3065</v>
      </c>
      <c r="H1326" s="4" t="str">
        <f t="shared" si="23"/>
        <v>No</v>
      </c>
      <c r="I1326" s="56"/>
    </row>
    <row r="1327" spans="1:9">
      <c r="A1327" s="97" t="s">
        <v>2340</v>
      </c>
      <c r="B1327" s="97" t="s">
        <v>513</v>
      </c>
      <c r="C1327" s="163">
        <v>3377</v>
      </c>
      <c r="D1327" s="95" t="s">
        <v>516</v>
      </c>
      <c r="E1327" s="142">
        <v>0.52026666666666666</v>
      </c>
      <c r="F1327" s="4" t="s">
        <v>2752</v>
      </c>
      <c r="G1327" s="4" t="s">
        <v>2752</v>
      </c>
      <c r="H1327" s="4" t="str">
        <f t="shared" si="23"/>
        <v>No</v>
      </c>
      <c r="I1327" s="56"/>
    </row>
    <row r="1328" spans="1:9">
      <c r="A1328" s="97" t="s">
        <v>2340</v>
      </c>
      <c r="B1328" s="97" t="s">
        <v>513</v>
      </c>
      <c r="C1328" s="163">
        <v>4328</v>
      </c>
      <c r="D1328" s="95" t="s">
        <v>520</v>
      </c>
      <c r="E1328" s="142">
        <v>0.24980000000000002</v>
      </c>
      <c r="F1328" s="4" t="s">
        <v>3065</v>
      </c>
      <c r="G1328" s="4" t="s">
        <v>3065</v>
      </c>
      <c r="H1328" s="4" t="str">
        <f t="shared" si="23"/>
        <v>No</v>
      </c>
      <c r="I1328" s="56"/>
    </row>
    <row r="1329" spans="1:9">
      <c r="A1329" s="97" t="s">
        <v>2340</v>
      </c>
      <c r="B1329" s="97" t="s">
        <v>513</v>
      </c>
      <c r="C1329" s="163">
        <v>1758</v>
      </c>
      <c r="D1329" s="95" t="s">
        <v>2789</v>
      </c>
      <c r="E1329" s="142">
        <v>0.17133333333333334</v>
      </c>
      <c r="F1329" s="4" t="s">
        <v>3065</v>
      </c>
      <c r="G1329" s="4" t="s">
        <v>3065</v>
      </c>
      <c r="H1329" s="4" t="str">
        <f t="shared" si="23"/>
        <v>No</v>
      </c>
      <c r="I1329" s="56"/>
    </row>
    <row r="1330" spans="1:9">
      <c r="A1330" s="97" t="s">
        <v>2340</v>
      </c>
      <c r="B1330" s="97" t="s">
        <v>513</v>
      </c>
      <c r="C1330" s="163">
        <v>5343</v>
      </c>
      <c r="D1330" s="95" t="s">
        <v>521</v>
      </c>
      <c r="E1330" s="142">
        <v>0.65893333333333326</v>
      </c>
      <c r="F1330" s="4" t="s">
        <v>2752</v>
      </c>
      <c r="G1330" s="4" t="s">
        <v>2752</v>
      </c>
      <c r="H1330" s="4" t="str">
        <f t="shared" si="23"/>
        <v>No</v>
      </c>
      <c r="I1330" s="56"/>
    </row>
    <row r="1331" spans="1:9">
      <c r="A1331" s="97" t="s">
        <v>2340</v>
      </c>
      <c r="B1331" s="97" t="s">
        <v>513</v>
      </c>
      <c r="C1331" s="163">
        <v>3939</v>
      </c>
      <c r="D1331" s="95" t="s">
        <v>519</v>
      </c>
      <c r="E1331" s="142">
        <v>0.38529999999999998</v>
      </c>
      <c r="F1331" s="4" t="s">
        <v>3065</v>
      </c>
      <c r="G1331" s="4" t="s">
        <v>3065</v>
      </c>
      <c r="H1331" s="4" t="str">
        <f t="shared" si="23"/>
        <v>No</v>
      </c>
      <c r="I1331" s="56"/>
    </row>
    <row r="1332" spans="1:9">
      <c r="A1332" s="97" t="s">
        <v>2340</v>
      </c>
      <c r="B1332" s="97" t="s">
        <v>513</v>
      </c>
      <c r="C1332" s="163">
        <v>2696</v>
      </c>
      <c r="D1332" s="139" t="s">
        <v>514</v>
      </c>
      <c r="E1332" s="142">
        <v>0.37749999999999995</v>
      </c>
      <c r="F1332" s="4" t="s">
        <v>3065</v>
      </c>
      <c r="G1332" s="4" t="s">
        <v>3065</v>
      </c>
      <c r="H1332" s="4" t="str">
        <f t="shared" si="23"/>
        <v>No</v>
      </c>
      <c r="I1332" s="56"/>
    </row>
    <row r="1333" spans="1:9">
      <c r="A1333" s="97" t="s">
        <v>2340</v>
      </c>
      <c r="B1333" s="97" t="s">
        <v>513</v>
      </c>
      <c r="C1333" s="163">
        <v>2974</v>
      </c>
      <c r="D1333" s="95" t="s">
        <v>515</v>
      </c>
      <c r="E1333" s="142">
        <v>0.34773333333333339</v>
      </c>
      <c r="F1333" s="4" t="s">
        <v>3065</v>
      </c>
      <c r="G1333" s="4" t="s">
        <v>3065</v>
      </c>
      <c r="H1333" s="4" t="str">
        <f t="shared" si="23"/>
        <v>No</v>
      </c>
      <c r="I1333" s="56"/>
    </row>
    <row r="1334" spans="1:9">
      <c r="A1334" s="97" t="s">
        <v>2340</v>
      </c>
      <c r="B1334" s="97" t="s">
        <v>513</v>
      </c>
      <c r="C1334" s="163">
        <v>3274</v>
      </c>
      <c r="D1334" s="95" t="s">
        <v>2729</v>
      </c>
      <c r="E1334" s="142">
        <v>0.39733333333333332</v>
      </c>
      <c r="F1334" s="4" t="s">
        <v>3065</v>
      </c>
      <c r="G1334" s="4" t="s">
        <v>3065</v>
      </c>
      <c r="H1334" s="4" t="str">
        <f t="shared" si="23"/>
        <v>No</v>
      </c>
      <c r="I1334" s="56"/>
    </row>
    <row r="1335" spans="1:9">
      <c r="A1335" s="97" t="s">
        <v>2340</v>
      </c>
      <c r="B1335" s="97" t="s">
        <v>513</v>
      </c>
      <c r="C1335" s="163">
        <v>5626</v>
      </c>
      <c r="D1335" s="95" t="s">
        <v>2900</v>
      </c>
      <c r="E1335" s="142">
        <v>0.42675000000000002</v>
      </c>
      <c r="F1335" s="4" t="s">
        <v>3065</v>
      </c>
      <c r="G1335" s="4" t="s">
        <v>3065</v>
      </c>
      <c r="H1335" s="4" t="str">
        <f t="shared" si="23"/>
        <v>No</v>
      </c>
      <c r="I1335" s="56"/>
    </row>
    <row r="1336" spans="1:9">
      <c r="A1336" s="97" t="s">
        <v>2340</v>
      </c>
      <c r="B1336" s="97" t="s">
        <v>513</v>
      </c>
      <c r="C1336" s="163">
        <v>3566</v>
      </c>
      <c r="D1336" s="95" t="s">
        <v>518</v>
      </c>
      <c r="E1336" s="142">
        <v>0.50429999999999997</v>
      </c>
      <c r="F1336" s="4" t="s">
        <v>2752</v>
      </c>
      <c r="G1336" s="4" t="s">
        <v>2752</v>
      </c>
      <c r="H1336" s="4" t="str">
        <f t="shared" si="23"/>
        <v>No</v>
      </c>
      <c r="I1336" s="56"/>
    </row>
    <row r="1337" spans="1:9">
      <c r="A1337" s="97" t="s">
        <v>2340</v>
      </c>
      <c r="B1337" s="97" t="s">
        <v>513</v>
      </c>
      <c r="C1337" s="163">
        <v>3662</v>
      </c>
      <c r="D1337" s="95" t="s">
        <v>137</v>
      </c>
      <c r="E1337" s="142">
        <v>0</v>
      </c>
      <c r="F1337" s="4" t="s">
        <v>3065</v>
      </c>
      <c r="G1337" s="4" t="s">
        <v>3065</v>
      </c>
      <c r="H1337" s="4" t="str">
        <f t="shared" si="23"/>
        <v>No</v>
      </c>
      <c r="I1337" s="56"/>
    </row>
    <row r="1338" spans="1:9">
      <c r="A1338" s="97" t="s">
        <v>2552</v>
      </c>
      <c r="B1338" s="97" t="s">
        <v>2161</v>
      </c>
      <c r="C1338" s="163">
        <v>3205</v>
      </c>
      <c r="D1338" s="95" t="s">
        <v>2163</v>
      </c>
      <c r="E1338" s="142">
        <v>0.36010000000000003</v>
      </c>
      <c r="F1338" s="4" t="s">
        <v>3065</v>
      </c>
      <c r="G1338" s="4" t="s">
        <v>3065</v>
      </c>
      <c r="H1338" s="4" t="str">
        <f t="shared" si="23"/>
        <v>No</v>
      </c>
      <c r="I1338" s="56"/>
    </row>
    <row r="1339" spans="1:9">
      <c r="A1339" s="97" t="s">
        <v>2552</v>
      </c>
      <c r="B1339" s="97" t="s">
        <v>2161</v>
      </c>
      <c r="C1339" s="163">
        <v>2432</v>
      </c>
      <c r="D1339" s="95" t="s">
        <v>2162</v>
      </c>
      <c r="E1339" s="142">
        <v>0.39306666666666662</v>
      </c>
      <c r="F1339" s="4" t="s">
        <v>3065</v>
      </c>
      <c r="G1339" s="4" t="s">
        <v>3065</v>
      </c>
      <c r="H1339" s="4" t="str">
        <f t="shared" si="23"/>
        <v>No</v>
      </c>
      <c r="I1339" s="56"/>
    </row>
    <row r="1340" spans="1:9">
      <c r="A1340" s="97" t="s">
        <v>2339</v>
      </c>
      <c r="B1340" s="97" t="s">
        <v>510</v>
      </c>
      <c r="C1340" s="163">
        <v>2922</v>
      </c>
      <c r="D1340" s="95" t="s">
        <v>512</v>
      </c>
      <c r="E1340" s="142">
        <v>0.73523333333333329</v>
      </c>
      <c r="F1340" s="4" t="s">
        <v>2752</v>
      </c>
      <c r="G1340" s="4" t="s">
        <v>2752</v>
      </c>
      <c r="H1340" s="4" t="str">
        <f t="shared" si="23"/>
        <v>No</v>
      </c>
      <c r="I1340" s="56"/>
    </row>
    <row r="1341" spans="1:9">
      <c r="A1341" s="97" t="s">
        <v>2339</v>
      </c>
      <c r="B1341" s="97" t="s">
        <v>510</v>
      </c>
      <c r="C1341" s="163">
        <v>2283</v>
      </c>
      <c r="D1341" s="95" t="s">
        <v>511</v>
      </c>
      <c r="E1341" s="142">
        <v>0.73266666666666669</v>
      </c>
      <c r="F1341" s="4" t="s">
        <v>2752</v>
      </c>
      <c r="G1341" s="4" t="s">
        <v>2752</v>
      </c>
      <c r="H1341" s="4" t="str">
        <f t="shared" si="23"/>
        <v>No</v>
      </c>
      <c r="I1341" s="56"/>
    </row>
    <row r="1342" spans="1:9">
      <c r="A1342" s="97" t="s">
        <v>2339</v>
      </c>
      <c r="B1342" s="97" t="s">
        <v>510</v>
      </c>
      <c r="C1342" s="163">
        <v>5584</v>
      </c>
      <c r="D1342" s="95" t="s">
        <v>2826</v>
      </c>
      <c r="E1342" s="142">
        <v>0.41866666666666669</v>
      </c>
      <c r="F1342" s="4" t="s">
        <v>3065</v>
      </c>
      <c r="G1342" s="4" t="s">
        <v>3065</v>
      </c>
      <c r="H1342" s="4" t="str">
        <f t="shared" si="23"/>
        <v>No</v>
      </c>
      <c r="I1342" s="56"/>
    </row>
    <row r="1343" spans="1:9">
      <c r="A1343" s="97" t="s">
        <v>2429</v>
      </c>
      <c r="B1343" s="97" t="s">
        <v>1261</v>
      </c>
      <c r="C1343" s="163">
        <v>2517</v>
      </c>
      <c r="D1343" s="95" t="s">
        <v>1262</v>
      </c>
      <c r="E1343" s="142">
        <v>0.57529999999999992</v>
      </c>
      <c r="F1343" s="4" t="s">
        <v>2752</v>
      </c>
      <c r="G1343" s="4" t="s">
        <v>2752</v>
      </c>
      <c r="H1343" s="4" t="str">
        <f t="shared" si="23"/>
        <v>No</v>
      </c>
      <c r="I1343" s="56"/>
    </row>
    <row r="1344" spans="1:9">
      <c r="A1344" s="97" t="s">
        <v>2429</v>
      </c>
      <c r="B1344" s="97" t="s">
        <v>1261</v>
      </c>
      <c r="C1344" s="163">
        <v>4220</v>
      </c>
      <c r="D1344" s="95" t="s">
        <v>1265</v>
      </c>
      <c r="E1344" s="142">
        <v>0.59199999999999997</v>
      </c>
      <c r="F1344" s="4" t="s">
        <v>2752</v>
      </c>
      <c r="G1344" s="4" t="s">
        <v>2752</v>
      </c>
      <c r="H1344" s="4" t="str">
        <f t="shared" si="23"/>
        <v>No</v>
      </c>
      <c r="I1344" s="56"/>
    </row>
    <row r="1345" spans="1:9">
      <c r="A1345" s="97" t="s">
        <v>2429</v>
      </c>
      <c r="B1345" s="97" t="s">
        <v>1261</v>
      </c>
      <c r="C1345" s="163">
        <v>3531</v>
      </c>
      <c r="D1345" s="95" t="s">
        <v>1263</v>
      </c>
      <c r="E1345" s="142">
        <v>0.72366666666666657</v>
      </c>
      <c r="F1345" s="4" t="s">
        <v>2752</v>
      </c>
      <c r="G1345" s="4" t="s">
        <v>2752</v>
      </c>
      <c r="H1345" s="4" t="str">
        <f t="shared" si="23"/>
        <v>No</v>
      </c>
      <c r="I1345" s="56"/>
    </row>
    <row r="1346" spans="1:9">
      <c r="A1346" s="97" t="s">
        <v>2429</v>
      </c>
      <c r="B1346" s="97" t="s">
        <v>1261</v>
      </c>
      <c r="C1346" s="163">
        <v>5647</v>
      </c>
      <c r="D1346" s="95" t="s">
        <v>1266</v>
      </c>
      <c r="E1346" s="142">
        <v>0.69874999999999998</v>
      </c>
      <c r="F1346" s="4" t="s">
        <v>2752</v>
      </c>
      <c r="G1346" s="4" t="s">
        <v>2752</v>
      </c>
      <c r="H1346" s="4" t="str">
        <f t="shared" si="23"/>
        <v>No</v>
      </c>
      <c r="I1346" s="56"/>
    </row>
    <row r="1347" spans="1:9">
      <c r="A1347" s="97" t="s">
        <v>2429</v>
      </c>
      <c r="B1347" s="97" t="s">
        <v>1261</v>
      </c>
      <c r="C1347" s="163">
        <v>5179</v>
      </c>
      <c r="D1347" s="95" t="s">
        <v>2850</v>
      </c>
      <c r="E1347" s="142">
        <v>0.33333333333333331</v>
      </c>
      <c r="F1347" s="4" t="s">
        <v>3065</v>
      </c>
      <c r="G1347" s="4" t="s">
        <v>2752</v>
      </c>
      <c r="H1347" s="4" t="str">
        <f t="shared" ref="H1347:H1410" si="24">IFERROR(IF(AND(G1347="Yes",F1347="No"),"Yes","No"),"No")</f>
        <v>Yes</v>
      </c>
      <c r="I1347" s="56"/>
    </row>
    <row r="1348" spans="1:9">
      <c r="A1348" s="97" t="s">
        <v>2429</v>
      </c>
      <c r="B1348" s="97" t="s">
        <v>1261</v>
      </c>
      <c r="C1348" s="163">
        <v>4039</v>
      </c>
      <c r="D1348" s="95" t="s">
        <v>1264</v>
      </c>
      <c r="E1348" s="142">
        <v>0.68496666666666661</v>
      </c>
      <c r="F1348" s="4" t="s">
        <v>2752</v>
      </c>
      <c r="G1348" s="4" t="s">
        <v>2752</v>
      </c>
      <c r="H1348" s="4" t="str">
        <f t="shared" si="24"/>
        <v>No</v>
      </c>
      <c r="I1348" s="56"/>
    </row>
    <row r="1349" spans="1:9">
      <c r="A1349" s="97" t="s">
        <v>2338</v>
      </c>
      <c r="B1349" s="97" t="s">
        <v>507</v>
      </c>
      <c r="C1349" s="163">
        <v>5708</v>
      </c>
      <c r="D1349" s="95" t="s">
        <v>3033</v>
      </c>
      <c r="E1349" s="142">
        <v>0.83330000000000004</v>
      </c>
      <c r="F1349" s="4" t="s">
        <v>2752</v>
      </c>
      <c r="G1349" s="4" t="s">
        <v>3065</v>
      </c>
      <c r="H1349" s="4" t="str">
        <f t="shared" si="24"/>
        <v>No</v>
      </c>
      <c r="I1349" s="56"/>
    </row>
    <row r="1350" spans="1:9">
      <c r="A1350" s="97" t="s">
        <v>2338</v>
      </c>
      <c r="B1350" s="97" t="s">
        <v>507</v>
      </c>
      <c r="C1350" s="163">
        <v>3025</v>
      </c>
      <c r="D1350" s="95" t="s">
        <v>509</v>
      </c>
      <c r="E1350" s="142">
        <v>0.76763333333333339</v>
      </c>
      <c r="F1350" s="4" t="s">
        <v>2752</v>
      </c>
      <c r="G1350" s="4" t="s">
        <v>2752</v>
      </c>
      <c r="H1350" s="4" t="str">
        <f t="shared" si="24"/>
        <v>No</v>
      </c>
      <c r="I1350" s="56"/>
    </row>
    <row r="1351" spans="1:9">
      <c r="A1351" s="97" t="s">
        <v>2338</v>
      </c>
      <c r="B1351" s="97" t="s">
        <v>507</v>
      </c>
      <c r="C1351" s="163">
        <v>3024</v>
      </c>
      <c r="D1351" s="95" t="s">
        <v>508</v>
      </c>
      <c r="E1351" s="142">
        <v>0.7907333333333334</v>
      </c>
      <c r="F1351" s="4" t="s">
        <v>2752</v>
      </c>
      <c r="G1351" s="4" t="s">
        <v>2752</v>
      </c>
      <c r="H1351" s="4" t="str">
        <f t="shared" si="24"/>
        <v>No</v>
      </c>
      <c r="I1351" s="56"/>
    </row>
    <row r="1352" spans="1:9">
      <c r="A1352" s="97" t="s">
        <v>2410</v>
      </c>
      <c r="B1352" s="97" t="s">
        <v>1192</v>
      </c>
      <c r="C1352" s="163">
        <v>2443</v>
      </c>
      <c r="D1352" s="95" t="s">
        <v>1193</v>
      </c>
      <c r="E1352" s="142">
        <v>0.38046666666666668</v>
      </c>
      <c r="F1352" s="4" t="s">
        <v>3065</v>
      </c>
      <c r="G1352" s="4" t="s">
        <v>3065</v>
      </c>
      <c r="H1352" s="4" t="str">
        <f t="shared" si="24"/>
        <v>No</v>
      </c>
      <c r="I1352" s="56"/>
    </row>
    <row r="1353" spans="1:9">
      <c r="A1353" s="97" t="s">
        <v>2410</v>
      </c>
      <c r="B1353" s="97" t="s">
        <v>1192</v>
      </c>
      <c r="C1353" s="163">
        <v>2769</v>
      </c>
      <c r="D1353" s="95" t="s">
        <v>1194</v>
      </c>
      <c r="E1353" s="142">
        <v>0.4919</v>
      </c>
      <c r="F1353" s="4" t="s">
        <v>3065</v>
      </c>
      <c r="G1353" s="4" t="s">
        <v>2752</v>
      </c>
      <c r="H1353" s="4" t="str">
        <f t="shared" si="24"/>
        <v>Yes</v>
      </c>
      <c r="I1353" s="56"/>
    </row>
    <row r="1354" spans="1:9">
      <c r="A1354" s="97" t="s">
        <v>2423</v>
      </c>
      <c r="B1354" s="97" t="s">
        <v>1236</v>
      </c>
      <c r="C1354" s="163">
        <v>2539</v>
      </c>
      <c r="D1354" s="95" t="s">
        <v>1240</v>
      </c>
      <c r="E1354" s="142">
        <v>0.66193333333333337</v>
      </c>
      <c r="F1354" s="4" t="s">
        <v>2752</v>
      </c>
      <c r="G1354" s="4" t="s">
        <v>2752</v>
      </c>
      <c r="H1354" s="4" t="str">
        <f t="shared" si="24"/>
        <v>No</v>
      </c>
      <c r="I1354" s="56"/>
    </row>
    <row r="1355" spans="1:9">
      <c r="A1355" s="97" t="s">
        <v>2423</v>
      </c>
      <c r="B1355" s="97" t="s">
        <v>1236</v>
      </c>
      <c r="C1355" s="163">
        <v>1980</v>
      </c>
      <c r="D1355" s="95" t="s">
        <v>1237</v>
      </c>
      <c r="E1355" s="142">
        <v>0.74639999999999995</v>
      </c>
      <c r="F1355" s="4" t="s">
        <v>2752</v>
      </c>
      <c r="G1355" s="4" t="s">
        <v>2752</v>
      </c>
      <c r="H1355" s="4" t="str">
        <f t="shared" si="24"/>
        <v>No</v>
      </c>
      <c r="I1355" s="56"/>
    </row>
    <row r="1356" spans="1:9">
      <c r="A1356" s="97" t="s">
        <v>2423</v>
      </c>
      <c r="B1356" s="97" t="s">
        <v>1236</v>
      </c>
      <c r="C1356" s="163">
        <v>2246</v>
      </c>
      <c r="D1356" s="95" t="s">
        <v>1239</v>
      </c>
      <c r="E1356" s="142">
        <v>0.55596666666666661</v>
      </c>
      <c r="F1356" s="4" t="s">
        <v>2752</v>
      </c>
      <c r="G1356" s="4" t="s">
        <v>3065</v>
      </c>
      <c r="H1356" s="4" t="str">
        <f t="shared" si="24"/>
        <v>No</v>
      </c>
      <c r="I1356" s="56"/>
    </row>
    <row r="1357" spans="1:9">
      <c r="A1357" s="97" t="s">
        <v>2423</v>
      </c>
      <c r="B1357" s="97" t="s">
        <v>1236</v>
      </c>
      <c r="C1357" s="163">
        <v>2245</v>
      </c>
      <c r="D1357" s="95" t="s">
        <v>1238</v>
      </c>
      <c r="E1357" s="142">
        <v>0.6288999999999999</v>
      </c>
      <c r="F1357" s="4" t="s">
        <v>2752</v>
      </c>
      <c r="G1357" s="4" t="s">
        <v>2752</v>
      </c>
      <c r="H1357" s="4" t="str">
        <f t="shared" si="24"/>
        <v>No</v>
      </c>
      <c r="I1357" s="56"/>
    </row>
    <row r="1358" spans="1:9">
      <c r="A1358" s="97" t="s">
        <v>2423</v>
      </c>
      <c r="B1358" s="97" t="s">
        <v>1236</v>
      </c>
      <c r="C1358" s="163">
        <v>5151</v>
      </c>
      <c r="D1358" s="95" t="s">
        <v>1241</v>
      </c>
      <c r="E1358" s="142">
        <v>0.77910000000000001</v>
      </c>
      <c r="F1358" s="4" t="s">
        <v>2752</v>
      </c>
      <c r="G1358" s="4" t="s">
        <v>2752</v>
      </c>
      <c r="H1358" s="4" t="str">
        <f t="shared" si="24"/>
        <v>No</v>
      </c>
      <c r="I1358" s="56"/>
    </row>
    <row r="1359" spans="1:9">
      <c r="A1359" s="97" t="s">
        <v>2518</v>
      </c>
      <c r="B1359" s="97" t="s">
        <v>2007</v>
      </c>
      <c r="C1359" s="163">
        <v>1768</v>
      </c>
      <c r="D1359" s="95" t="s">
        <v>2008</v>
      </c>
      <c r="E1359" s="142">
        <v>0.30056666666666665</v>
      </c>
      <c r="F1359" s="4" t="s">
        <v>3065</v>
      </c>
      <c r="G1359" s="4" t="s">
        <v>3065</v>
      </c>
      <c r="H1359" s="4" t="str">
        <f t="shared" si="24"/>
        <v>No</v>
      </c>
      <c r="I1359" s="56"/>
    </row>
    <row r="1360" spans="1:9">
      <c r="A1360" s="97" t="s">
        <v>2518</v>
      </c>
      <c r="B1360" s="97" t="s">
        <v>2007</v>
      </c>
      <c r="C1360" s="163">
        <v>2487</v>
      </c>
      <c r="D1360" s="95" t="s">
        <v>2009</v>
      </c>
      <c r="E1360" s="142">
        <v>0.1532</v>
      </c>
      <c r="F1360" s="4" t="s">
        <v>3065</v>
      </c>
      <c r="G1360" s="4" t="s">
        <v>3065</v>
      </c>
      <c r="H1360" s="4" t="str">
        <f t="shared" si="24"/>
        <v>No</v>
      </c>
      <c r="I1360" s="56"/>
    </row>
    <row r="1361" spans="1:9">
      <c r="A1361" s="97" t="s">
        <v>2518</v>
      </c>
      <c r="B1361" s="97" t="s">
        <v>2007</v>
      </c>
      <c r="C1361" s="163">
        <v>3960</v>
      </c>
      <c r="D1361" s="95" t="s">
        <v>2015</v>
      </c>
      <c r="E1361" s="142">
        <v>0.31619999999999998</v>
      </c>
      <c r="F1361" s="4" t="s">
        <v>3065</v>
      </c>
      <c r="G1361" s="4" t="s">
        <v>3065</v>
      </c>
      <c r="H1361" s="4" t="str">
        <f t="shared" si="24"/>
        <v>No</v>
      </c>
      <c r="I1361" s="56"/>
    </row>
    <row r="1362" spans="1:9">
      <c r="A1362" s="97" t="s">
        <v>2518</v>
      </c>
      <c r="B1362" s="97" t="s">
        <v>2007</v>
      </c>
      <c r="C1362" s="163">
        <v>4367</v>
      </c>
      <c r="D1362" s="95" t="s">
        <v>2016</v>
      </c>
      <c r="E1362" s="142">
        <v>0.16023333333333334</v>
      </c>
      <c r="F1362" s="4" t="s">
        <v>3065</v>
      </c>
      <c r="G1362" s="4" t="s">
        <v>3065</v>
      </c>
      <c r="H1362" s="4" t="str">
        <f t="shared" si="24"/>
        <v>No</v>
      </c>
      <c r="I1362" s="56"/>
    </row>
    <row r="1363" spans="1:9">
      <c r="A1363" s="97" t="s">
        <v>2518</v>
      </c>
      <c r="B1363" s="97" t="s">
        <v>2007</v>
      </c>
      <c r="C1363" s="163">
        <v>2448</v>
      </c>
      <c r="D1363" s="95" t="s">
        <v>1597</v>
      </c>
      <c r="E1363" s="142">
        <v>0.64060000000000006</v>
      </c>
      <c r="F1363" s="4" t="s">
        <v>2752</v>
      </c>
      <c r="G1363" s="4" t="s">
        <v>2752</v>
      </c>
      <c r="H1363" s="4" t="str">
        <f t="shared" si="24"/>
        <v>No</v>
      </c>
      <c r="I1363" s="56"/>
    </row>
    <row r="1364" spans="1:9">
      <c r="A1364" s="97" t="s">
        <v>2518</v>
      </c>
      <c r="B1364" s="97" t="s">
        <v>2007</v>
      </c>
      <c r="C1364" s="163">
        <v>3133</v>
      </c>
      <c r="D1364" s="95" t="s">
        <v>198</v>
      </c>
      <c r="E1364" s="142">
        <v>0.43530000000000002</v>
      </c>
      <c r="F1364" s="4" t="s">
        <v>3065</v>
      </c>
      <c r="G1364" s="4" t="s">
        <v>3065</v>
      </c>
      <c r="H1364" s="4" t="str">
        <f t="shared" si="24"/>
        <v>No</v>
      </c>
      <c r="I1364" s="56"/>
    </row>
    <row r="1365" spans="1:9">
      <c r="A1365" s="97" t="s">
        <v>2518</v>
      </c>
      <c r="B1365" s="97" t="s">
        <v>2007</v>
      </c>
      <c r="C1365" s="163">
        <v>4472</v>
      </c>
      <c r="D1365" s="95" t="s">
        <v>2018</v>
      </c>
      <c r="E1365" s="142">
        <v>0.45800000000000002</v>
      </c>
      <c r="F1365" s="4" t="s">
        <v>3065</v>
      </c>
      <c r="G1365" s="4" t="s">
        <v>3065</v>
      </c>
      <c r="H1365" s="4" t="str">
        <f t="shared" si="24"/>
        <v>No</v>
      </c>
      <c r="I1365" s="56"/>
    </row>
    <row r="1366" spans="1:9">
      <c r="A1366" s="97" t="s">
        <v>2518</v>
      </c>
      <c r="B1366" s="97" t="s">
        <v>2007</v>
      </c>
      <c r="C1366" s="163">
        <v>3540</v>
      </c>
      <c r="D1366" s="95" t="s">
        <v>2013</v>
      </c>
      <c r="E1366" s="142">
        <v>0.61026666666666662</v>
      </c>
      <c r="F1366" s="4" t="s">
        <v>2752</v>
      </c>
      <c r="G1366" s="4" t="s">
        <v>2752</v>
      </c>
      <c r="H1366" s="4" t="str">
        <f t="shared" si="24"/>
        <v>No</v>
      </c>
      <c r="I1366" s="56"/>
    </row>
    <row r="1367" spans="1:9">
      <c r="A1367" s="97" t="s">
        <v>2518</v>
      </c>
      <c r="B1367" s="97" t="s">
        <v>2007</v>
      </c>
      <c r="C1367" s="163">
        <v>2342</v>
      </c>
      <c r="D1367" s="95" t="s">
        <v>50</v>
      </c>
      <c r="E1367" s="142">
        <v>0.26176666666666665</v>
      </c>
      <c r="F1367" s="4" t="s">
        <v>3065</v>
      </c>
      <c r="G1367" s="4" t="s">
        <v>3065</v>
      </c>
      <c r="H1367" s="4" t="str">
        <f t="shared" si="24"/>
        <v>No</v>
      </c>
      <c r="I1367" s="56"/>
    </row>
    <row r="1368" spans="1:9">
      <c r="A1368" s="97" t="s">
        <v>2518</v>
      </c>
      <c r="B1368" s="97" t="s">
        <v>2007</v>
      </c>
      <c r="C1368" s="163">
        <v>3066</v>
      </c>
      <c r="D1368" s="95" t="s">
        <v>2011</v>
      </c>
      <c r="E1368" s="142">
        <v>0.36156666666666665</v>
      </c>
      <c r="F1368" s="4" t="s">
        <v>3065</v>
      </c>
      <c r="G1368" s="4" t="s">
        <v>3065</v>
      </c>
      <c r="H1368" s="4" t="str">
        <f t="shared" si="24"/>
        <v>No</v>
      </c>
      <c r="I1368" s="56"/>
    </row>
    <row r="1369" spans="1:9">
      <c r="A1369" s="97" t="s">
        <v>2518</v>
      </c>
      <c r="B1369" s="97" t="s">
        <v>2007</v>
      </c>
      <c r="C1369" s="163">
        <v>4458</v>
      </c>
      <c r="D1369" s="95" t="s">
        <v>2017</v>
      </c>
      <c r="E1369" s="142">
        <v>0.26886666666666664</v>
      </c>
      <c r="F1369" s="4" t="s">
        <v>3065</v>
      </c>
      <c r="G1369" s="4" t="s">
        <v>3065</v>
      </c>
      <c r="H1369" s="4" t="str">
        <f t="shared" si="24"/>
        <v>No</v>
      </c>
      <c r="I1369" s="56"/>
    </row>
    <row r="1370" spans="1:9">
      <c r="A1370" s="97" t="s">
        <v>2518</v>
      </c>
      <c r="B1370" s="97" t="s">
        <v>2007</v>
      </c>
      <c r="C1370" s="163">
        <v>2621</v>
      </c>
      <c r="D1370" s="95" t="s">
        <v>2010</v>
      </c>
      <c r="E1370" s="142">
        <v>0.29393333333333332</v>
      </c>
      <c r="F1370" s="4" t="s">
        <v>3065</v>
      </c>
      <c r="G1370" s="4" t="s">
        <v>3065</v>
      </c>
      <c r="H1370" s="4" t="str">
        <f t="shared" si="24"/>
        <v>No</v>
      </c>
      <c r="I1370" s="56"/>
    </row>
    <row r="1371" spans="1:9">
      <c r="A1371" s="97" t="s">
        <v>2518</v>
      </c>
      <c r="B1371" s="97" t="s">
        <v>2007</v>
      </c>
      <c r="C1371" s="163">
        <v>3132</v>
      </c>
      <c r="D1371" s="95" t="s">
        <v>2012</v>
      </c>
      <c r="E1371" s="142">
        <v>0.17173333333333332</v>
      </c>
      <c r="F1371" s="4" t="s">
        <v>3065</v>
      </c>
      <c r="G1371" s="4" t="s">
        <v>3065</v>
      </c>
      <c r="H1371" s="4" t="str">
        <f t="shared" si="24"/>
        <v>No</v>
      </c>
      <c r="I1371" s="56"/>
    </row>
    <row r="1372" spans="1:9">
      <c r="A1372" s="97" t="s">
        <v>2518</v>
      </c>
      <c r="B1372" s="97" t="s">
        <v>2007</v>
      </c>
      <c r="C1372" s="163">
        <v>5078</v>
      </c>
      <c r="D1372" s="95" t="s">
        <v>2020</v>
      </c>
      <c r="E1372" s="142">
        <v>0.31783333333333336</v>
      </c>
      <c r="F1372" s="4" t="s">
        <v>3065</v>
      </c>
      <c r="G1372" s="4" t="s">
        <v>3065</v>
      </c>
      <c r="H1372" s="4" t="str">
        <f t="shared" si="24"/>
        <v>No</v>
      </c>
      <c r="I1372" s="56"/>
    </row>
    <row r="1373" spans="1:9">
      <c r="A1373" s="97" t="s">
        <v>2518</v>
      </c>
      <c r="B1373" s="97" t="s">
        <v>2007</v>
      </c>
      <c r="C1373" s="163">
        <v>3697</v>
      </c>
      <c r="D1373" s="95" t="s">
        <v>244</v>
      </c>
      <c r="E1373" s="142">
        <v>0.16516666666666668</v>
      </c>
      <c r="F1373" s="4" t="s">
        <v>3065</v>
      </c>
      <c r="G1373" s="4" t="s">
        <v>3065</v>
      </c>
      <c r="H1373" s="4" t="str">
        <f t="shared" si="24"/>
        <v>No</v>
      </c>
      <c r="I1373" s="56"/>
    </row>
    <row r="1374" spans="1:9">
      <c r="A1374" s="97" t="s">
        <v>2518</v>
      </c>
      <c r="B1374" s="97" t="s">
        <v>2007</v>
      </c>
      <c r="C1374" s="163">
        <v>3696</v>
      </c>
      <c r="D1374" s="95" t="s">
        <v>2014</v>
      </c>
      <c r="E1374" s="142">
        <v>0.34039999999999998</v>
      </c>
      <c r="F1374" s="4" t="s">
        <v>3065</v>
      </c>
      <c r="G1374" s="4" t="s">
        <v>3065</v>
      </c>
      <c r="H1374" s="4" t="str">
        <f t="shared" si="24"/>
        <v>No</v>
      </c>
      <c r="I1374" s="56"/>
    </row>
    <row r="1375" spans="1:9">
      <c r="A1375" s="97" t="s">
        <v>2518</v>
      </c>
      <c r="B1375" s="97" t="s">
        <v>2007</v>
      </c>
      <c r="C1375" s="163">
        <v>2778</v>
      </c>
      <c r="D1375" s="95" t="s">
        <v>144</v>
      </c>
      <c r="E1375" s="142">
        <v>0.33746666666666664</v>
      </c>
      <c r="F1375" s="4" t="s">
        <v>3065</v>
      </c>
      <c r="G1375" s="4" t="s">
        <v>3065</v>
      </c>
      <c r="H1375" s="4" t="str">
        <f t="shared" si="24"/>
        <v>No</v>
      </c>
      <c r="I1375" s="56"/>
    </row>
    <row r="1376" spans="1:9">
      <c r="A1376" s="97" t="s">
        <v>2518</v>
      </c>
      <c r="B1376" s="97" t="s">
        <v>2007</v>
      </c>
      <c r="C1376" s="163">
        <v>4473</v>
      </c>
      <c r="D1376" s="95" t="s">
        <v>2019</v>
      </c>
      <c r="E1376" s="142">
        <v>0.36853333333333332</v>
      </c>
      <c r="F1376" s="4" t="s">
        <v>3065</v>
      </c>
      <c r="G1376" s="4" t="s">
        <v>3065</v>
      </c>
      <c r="H1376" s="4" t="str">
        <f t="shared" si="24"/>
        <v>No</v>
      </c>
      <c r="I1376" s="56"/>
    </row>
    <row r="1377" spans="1:9">
      <c r="A1377" s="97" t="s">
        <v>2518</v>
      </c>
      <c r="B1377" s="97" t="s">
        <v>2007</v>
      </c>
      <c r="C1377" s="163">
        <v>3711</v>
      </c>
      <c r="D1377" s="95" t="s">
        <v>631</v>
      </c>
      <c r="E1377" s="142">
        <v>0.19196666666666665</v>
      </c>
      <c r="F1377" s="4" t="s">
        <v>3065</v>
      </c>
      <c r="G1377" s="4" t="s">
        <v>3065</v>
      </c>
      <c r="H1377" s="4" t="str">
        <f t="shared" si="24"/>
        <v>No</v>
      </c>
      <c r="I1377" s="56"/>
    </row>
    <row r="1378" spans="1:9">
      <c r="A1378" s="97" t="s">
        <v>2422</v>
      </c>
      <c r="B1378" s="97" t="s">
        <v>1226</v>
      </c>
      <c r="C1378" s="163">
        <v>3051</v>
      </c>
      <c r="D1378" s="95" t="s">
        <v>1229</v>
      </c>
      <c r="E1378" s="142">
        <v>0.78733333333333333</v>
      </c>
      <c r="F1378" s="4" t="s">
        <v>2752</v>
      </c>
      <c r="G1378" s="4" t="s">
        <v>2752</v>
      </c>
      <c r="H1378" s="4" t="str">
        <f t="shared" si="24"/>
        <v>No</v>
      </c>
      <c r="I1378" s="56"/>
    </row>
    <row r="1379" spans="1:9">
      <c r="A1379" s="97" t="s">
        <v>2422</v>
      </c>
      <c r="B1379" s="97" t="s">
        <v>1226</v>
      </c>
      <c r="C1379" s="163">
        <v>4279</v>
      </c>
      <c r="D1379" s="95" t="s">
        <v>1232</v>
      </c>
      <c r="E1379" s="142">
        <v>0.68056666666666665</v>
      </c>
      <c r="F1379" s="4" t="s">
        <v>2752</v>
      </c>
      <c r="G1379" s="4" t="s">
        <v>2752</v>
      </c>
      <c r="H1379" s="4" t="str">
        <f t="shared" si="24"/>
        <v>No</v>
      </c>
      <c r="I1379" s="56"/>
    </row>
    <row r="1380" spans="1:9">
      <c r="A1380" s="97" t="s">
        <v>2422</v>
      </c>
      <c r="B1380" s="97" t="s">
        <v>1226</v>
      </c>
      <c r="C1380" s="163">
        <v>2999</v>
      </c>
      <c r="D1380" s="95" t="s">
        <v>1228</v>
      </c>
      <c r="E1380" s="142">
        <v>0.78306666666666669</v>
      </c>
      <c r="F1380" s="4" t="s">
        <v>2752</v>
      </c>
      <c r="G1380" s="4" t="s">
        <v>2752</v>
      </c>
      <c r="H1380" s="4" t="str">
        <f t="shared" si="24"/>
        <v>No</v>
      </c>
      <c r="I1380" s="56"/>
    </row>
    <row r="1381" spans="1:9">
      <c r="A1381" s="97" t="s">
        <v>2422</v>
      </c>
      <c r="B1381" s="97" t="s">
        <v>1226</v>
      </c>
      <c r="C1381" s="163">
        <v>2031</v>
      </c>
      <c r="D1381" s="95" t="s">
        <v>1227</v>
      </c>
      <c r="E1381" s="142">
        <v>0.66703333333333337</v>
      </c>
      <c r="F1381" s="4" t="s">
        <v>2752</v>
      </c>
      <c r="G1381" s="4" t="s">
        <v>2752</v>
      </c>
      <c r="H1381" s="4" t="str">
        <f t="shared" si="24"/>
        <v>No</v>
      </c>
      <c r="I1381" s="56"/>
    </row>
    <row r="1382" spans="1:9">
      <c r="A1382" s="97" t="s">
        <v>2422</v>
      </c>
      <c r="B1382" s="97" t="s">
        <v>1226</v>
      </c>
      <c r="C1382" s="163">
        <v>4237</v>
      </c>
      <c r="D1382" s="95" t="s">
        <v>1230</v>
      </c>
      <c r="E1382" s="142">
        <v>0.73593333333333344</v>
      </c>
      <c r="F1382" s="4" t="s">
        <v>2752</v>
      </c>
      <c r="G1382" s="4" t="s">
        <v>2752</v>
      </c>
      <c r="H1382" s="4" t="str">
        <f t="shared" si="24"/>
        <v>No</v>
      </c>
      <c r="I1382" s="56"/>
    </row>
    <row r="1383" spans="1:9">
      <c r="A1383" s="97" t="s">
        <v>2422</v>
      </c>
      <c r="B1383" s="97" t="s">
        <v>1226</v>
      </c>
      <c r="C1383" s="163">
        <v>4278</v>
      </c>
      <c r="D1383" s="95" t="s">
        <v>1231</v>
      </c>
      <c r="E1383" s="142">
        <v>0.88719999999999999</v>
      </c>
      <c r="F1383" s="4" t="s">
        <v>2752</v>
      </c>
      <c r="G1383" s="4" t="s">
        <v>2752</v>
      </c>
      <c r="H1383" s="4" t="str">
        <f t="shared" si="24"/>
        <v>No</v>
      </c>
      <c r="I1383" s="56"/>
    </row>
    <row r="1384" spans="1:9">
      <c r="A1384" s="97" t="s">
        <v>2422</v>
      </c>
      <c r="B1384" s="97" t="s">
        <v>1226</v>
      </c>
      <c r="C1384" s="163">
        <v>5195</v>
      </c>
      <c r="D1384" s="95" t="s">
        <v>1233</v>
      </c>
      <c r="E1384" s="142">
        <v>0.50816666666666677</v>
      </c>
      <c r="F1384" s="4" t="s">
        <v>2752</v>
      </c>
      <c r="G1384" s="4" t="s">
        <v>3065</v>
      </c>
      <c r="H1384" s="4" t="str">
        <f t="shared" si="24"/>
        <v>No</v>
      </c>
      <c r="I1384" s="56"/>
    </row>
    <row r="1385" spans="1:9">
      <c r="A1385" s="97" t="s">
        <v>2422</v>
      </c>
      <c r="B1385" s="97" t="s">
        <v>1226</v>
      </c>
      <c r="C1385" s="163">
        <v>5197</v>
      </c>
      <c r="D1385" s="95" t="s">
        <v>1235</v>
      </c>
      <c r="E1385" s="142">
        <v>0.5580666666666666</v>
      </c>
      <c r="F1385" s="4" t="s">
        <v>2752</v>
      </c>
      <c r="G1385" s="4" t="s">
        <v>3065</v>
      </c>
      <c r="H1385" s="4" t="str">
        <f t="shared" si="24"/>
        <v>No</v>
      </c>
      <c r="I1385" s="56"/>
    </row>
    <row r="1386" spans="1:9">
      <c r="A1386" s="97" t="s">
        <v>2422</v>
      </c>
      <c r="B1386" s="97" t="s">
        <v>1226</v>
      </c>
      <c r="C1386" s="163">
        <v>5196</v>
      </c>
      <c r="D1386" s="95" t="s">
        <v>1234</v>
      </c>
      <c r="E1386" s="142">
        <v>0.49256666666666665</v>
      </c>
      <c r="F1386" s="4" t="s">
        <v>3065</v>
      </c>
      <c r="G1386" s="4" t="s">
        <v>3065</v>
      </c>
      <c r="H1386" s="4" t="str">
        <f t="shared" si="24"/>
        <v>No</v>
      </c>
      <c r="I1386" s="56"/>
    </row>
    <row r="1387" spans="1:9">
      <c r="A1387" s="97" t="s">
        <v>2401</v>
      </c>
      <c r="B1387" s="97" t="s">
        <v>1160</v>
      </c>
      <c r="C1387" s="163">
        <v>3239</v>
      </c>
      <c r="D1387" s="95" t="s">
        <v>1162</v>
      </c>
      <c r="E1387" s="142">
        <v>0.57416666666666671</v>
      </c>
      <c r="F1387" s="4" t="s">
        <v>2752</v>
      </c>
      <c r="G1387" s="4" t="s">
        <v>2752</v>
      </c>
      <c r="H1387" s="4" t="str">
        <f t="shared" si="24"/>
        <v>No</v>
      </c>
      <c r="I1387" s="56"/>
    </row>
    <row r="1388" spans="1:9">
      <c r="A1388" s="97" t="s">
        <v>2401</v>
      </c>
      <c r="B1388" s="97" t="s">
        <v>1160</v>
      </c>
      <c r="C1388" s="163">
        <v>2331</v>
      </c>
      <c r="D1388" s="95" t="s">
        <v>1161</v>
      </c>
      <c r="E1388" s="142">
        <v>0.54763333333333331</v>
      </c>
      <c r="F1388" s="4" t="s">
        <v>2752</v>
      </c>
      <c r="G1388" s="4" t="s">
        <v>2752</v>
      </c>
      <c r="H1388" s="4" t="str">
        <f t="shared" si="24"/>
        <v>No</v>
      </c>
      <c r="I1388" s="56"/>
    </row>
    <row r="1389" spans="1:9">
      <c r="A1389" s="97" t="s">
        <v>2401</v>
      </c>
      <c r="B1389" s="97" t="s">
        <v>1160</v>
      </c>
      <c r="C1389" s="163">
        <v>4335</v>
      </c>
      <c r="D1389" s="95" t="s">
        <v>1163</v>
      </c>
      <c r="E1389" s="142">
        <v>0.55383333333333329</v>
      </c>
      <c r="F1389" s="4" t="s">
        <v>2752</v>
      </c>
      <c r="G1389" s="4" t="s">
        <v>2752</v>
      </c>
      <c r="H1389" s="4" t="str">
        <f t="shared" si="24"/>
        <v>No</v>
      </c>
      <c r="I1389" s="56"/>
    </row>
    <row r="1390" spans="1:9">
      <c r="A1390" s="97" t="s">
        <v>2503</v>
      </c>
      <c r="B1390" s="97" t="s">
        <v>1923</v>
      </c>
      <c r="C1390" s="163">
        <v>2049</v>
      </c>
      <c r="D1390" s="95" t="s">
        <v>1924</v>
      </c>
      <c r="E1390" s="142">
        <v>0.68336666666666668</v>
      </c>
      <c r="F1390" s="4" t="s">
        <v>2752</v>
      </c>
      <c r="G1390" s="4" t="s">
        <v>2752</v>
      </c>
      <c r="H1390" s="4" t="str">
        <f t="shared" si="24"/>
        <v>No</v>
      </c>
      <c r="I1390" s="56"/>
    </row>
    <row r="1391" spans="1:9">
      <c r="A1391" s="97" t="s">
        <v>2457</v>
      </c>
      <c r="B1391" s="97" t="s">
        <v>1527</v>
      </c>
      <c r="C1391" s="163">
        <v>1892</v>
      </c>
      <c r="D1391" s="95" t="s">
        <v>1528</v>
      </c>
      <c r="E1391" s="142">
        <v>0.14810000000000001</v>
      </c>
      <c r="F1391" s="4" t="s">
        <v>3065</v>
      </c>
      <c r="G1391" s="4" t="s">
        <v>3065</v>
      </c>
      <c r="H1391" s="4" t="str">
        <f t="shared" si="24"/>
        <v>No</v>
      </c>
      <c r="I1391" s="56"/>
    </row>
    <row r="1392" spans="1:9">
      <c r="A1392" s="97" t="s">
        <v>2457</v>
      </c>
      <c r="B1392" s="97" t="s">
        <v>1527</v>
      </c>
      <c r="C1392" s="163">
        <v>2749</v>
      </c>
      <c r="D1392" s="95" t="s">
        <v>1529</v>
      </c>
      <c r="E1392" s="142">
        <v>0.36536666666666667</v>
      </c>
      <c r="F1392" s="4" t="s">
        <v>3065</v>
      </c>
      <c r="G1392" s="4" t="s">
        <v>3065</v>
      </c>
      <c r="H1392" s="4" t="str">
        <f t="shared" si="24"/>
        <v>No</v>
      </c>
      <c r="I1392" s="56"/>
    </row>
    <row r="1393" spans="1:9">
      <c r="A1393" s="97" t="s">
        <v>2457</v>
      </c>
      <c r="B1393" s="97" t="s">
        <v>1527</v>
      </c>
      <c r="C1393" s="163">
        <v>2750</v>
      </c>
      <c r="D1393" s="95" t="s">
        <v>1530</v>
      </c>
      <c r="E1393" s="142">
        <v>0.45960000000000001</v>
      </c>
      <c r="F1393" s="4" t="s">
        <v>3065</v>
      </c>
      <c r="G1393" s="4" t="s">
        <v>3065</v>
      </c>
      <c r="H1393" s="4" t="str">
        <f t="shared" si="24"/>
        <v>No</v>
      </c>
      <c r="I1393" s="56"/>
    </row>
    <row r="1394" spans="1:9">
      <c r="A1394" s="97" t="s">
        <v>2457</v>
      </c>
      <c r="B1394" s="97" t="s">
        <v>1527</v>
      </c>
      <c r="C1394" s="163">
        <v>4558</v>
      </c>
      <c r="D1394" s="95" t="s">
        <v>1532</v>
      </c>
      <c r="E1394" s="142">
        <v>0.44900000000000001</v>
      </c>
      <c r="F1394" s="4" t="s">
        <v>3065</v>
      </c>
      <c r="G1394" s="4" t="s">
        <v>3065</v>
      </c>
      <c r="H1394" s="4" t="str">
        <f t="shared" si="24"/>
        <v>No</v>
      </c>
      <c r="I1394" s="56"/>
    </row>
    <row r="1395" spans="1:9">
      <c r="A1395" s="97" t="s">
        <v>2457</v>
      </c>
      <c r="B1395" s="97" t="s">
        <v>1527</v>
      </c>
      <c r="C1395" s="163">
        <v>5555</v>
      </c>
      <c r="D1395" s="95" t="s">
        <v>2835</v>
      </c>
      <c r="E1395" s="142">
        <v>0.23276666666666668</v>
      </c>
      <c r="F1395" s="4" t="s">
        <v>3065</v>
      </c>
      <c r="G1395" s="4" t="s">
        <v>3065</v>
      </c>
      <c r="H1395" s="4" t="str">
        <f t="shared" si="24"/>
        <v>No</v>
      </c>
      <c r="I1395" s="56"/>
    </row>
    <row r="1396" spans="1:9">
      <c r="A1396" s="97" t="s">
        <v>2457</v>
      </c>
      <c r="B1396" s="97" t="s">
        <v>1527</v>
      </c>
      <c r="C1396" s="163">
        <v>3808</v>
      </c>
      <c r="D1396" s="95" t="s">
        <v>1531</v>
      </c>
      <c r="E1396" s="142">
        <v>4.1666666666666664E-2</v>
      </c>
      <c r="F1396" s="4" t="s">
        <v>3065</v>
      </c>
      <c r="G1396" s="4" t="s">
        <v>3065</v>
      </c>
      <c r="H1396" s="4" t="str">
        <f t="shared" si="24"/>
        <v>No</v>
      </c>
      <c r="I1396" s="56"/>
    </row>
    <row r="1397" spans="1:9">
      <c r="A1397" s="97" t="s">
        <v>2487</v>
      </c>
      <c r="B1397" s="97" t="s">
        <v>1822</v>
      </c>
      <c r="C1397" s="163">
        <v>3723</v>
      </c>
      <c r="D1397" s="95" t="s">
        <v>1823</v>
      </c>
      <c r="E1397" s="142">
        <v>0.1062</v>
      </c>
      <c r="F1397" s="4" t="s">
        <v>3065</v>
      </c>
      <c r="G1397" s="4" t="s">
        <v>3065</v>
      </c>
      <c r="H1397" s="4" t="str">
        <f t="shared" si="24"/>
        <v>No</v>
      </c>
      <c r="I1397" s="56"/>
    </row>
    <row r="1398" spans="1:9">
      <c r="A1398" s="97" t="s">
        <v>2309</v>
      </c>
      <c r="B1398" s="97" t="s">
        <v>362</v>
      </c>
      <c r="C1398" s="163">
        <v>2136</v>
      </c>
      <c r="D1398" s="95" t="s">
        <v>2901</v>
      </c>
      <c r="E1398" s="142">
        <v>0.62133333333333329</v>
      </c>
      <c r="F1398" s="4" t="s">
        <v>2752</v>
      </c>
      <c r="G1398" s="4" t="s">
        <v>2752</v>
      </c>
      <c r="H1398" s="4" t="str">
        <f t="shared" si="24"/>
        <v>No</v>
      </c>
      <c r="I1398" s="56"/>
    </row>
    <row r="1399" spans="1:9">
      <c r="A1399" s="97" t="s">
        <v>2301</v>
      </c>
      <c r="B1399" s="97" t="s">
        <v>337</v>
      </c>
      <c r="C1399" s="163">
        <v>2666</v>
      </c>
      <c r="D1399" s="95" t="s">
        <v>338</v>
      </c>
      <c r="E1399" s="142">
        <v>0.7674333333333333</v>
      </c>
      <c r="F1399" s="4" t="s">
        <v>2752</v>
      </c>
      <c r="G1399" s="4" t="s">
        <v>2752</v>
      </c>
      <c r="H1399" s="4" t="str">
        <f t="shared" si="24"/>
        <v>No</v>
      </c>
      <c r="I1399" s="56"/>
    </row>
    <row r="1400" spans="1:9">
      <c r="A1400" s="97" t="s">
        <v>2428</v>
      </c>
      <c r="B1400" s="97" t="s">
        <v>1258</v>
      </c>
      <c r="C1400" s="163">
        <v>2422</v>
      </c>
      <c r="D1400" s="95" t="s">
        <v>1259</v>
      </c>
      <c r="E1400" s="142">
        <v>0.75653333333333339</v>
      </c>
      <c r="F1400" s="4" t="s">
        <v>2752</v>
      </c>
      <c r="G1400" s="4" t="s">
        <v>2752</v>
      </c>
      <c r="H1400" s="4" t="str">
        <f t="shared" si="24"/>
        <v>No</v>
      </c>
      <c r="I1400" s="56"/>
    </row>
    <row r="1401" spans="1:9">
      <c r="A1401" s="97" t="s">
        <v>2428</v>
      </c>
      <c r="B1401" s="97" t="s">
        <v>1258</v>
      </c>
      <c r="C1401" s="163">
        <v>2706</v>
      </c>
      <c r="D1401" s="95" t="s">
        <v>1260</v>
      </c>
      <c r="E1401" s="142">
        <v>0.68476666666666663</v>
      </c>
      <c r="F1401" s="4" t="s">
        <v>2752</v>
      </c>
      <c r="G1401" s="4" t="s">
        <v>2752</v>
      </c>
      <c r="H1401" s="4" t="str">
        <f t="shared" si="24"/>
        <v>No</v>
      </c>
      <c r="I1401" s="56"/>
    </row>
    <row r="1402" spans="1:9">
      <c r="A1402" s="56" t="s">
        <v>2445</v>
      </c>
      <c r="B1402" s="97" t="s">
        <v>1413</v>
      </c>
      <c r="C1402" s="163">
        <v>5656</v>
      </c>
      <c r="D1402" s="56" t="s">
        <v>2902</v>
      </c>
      <c r="E1402" s="142">
        <v>0.13535</v>
      </c>
      <c r="F1402" s="4" t="s">
        <v>3065</v>
      </c>
      <c r="G1402" s="4" t="s">
        <v>3065</v>
      </c>
      <c r="H1402" s="4" t="str">
        <f t="shared" si="24"/>
        <v>No</v>
      </c>
      <c r="I1402" s="56"/>
    </row>
    <row r="1403" spans="1:9">
      <c r="A1403" s="97" t="s">
        <v>2445</v>
      </c>
      <c r="B1403" s="97" t="s">
        <v>1413</v>
      </c>
      <c r="C1403" s="163">
        <v>2942</v>
      </c>
      <c r="D1403" s="95" t="s">
        <v>1415</v>
      </c>
      <c r="E1403" s="142">
        <v>0.29583333333333334</v>
      </c>
      <c r="F1403" s="4" t="s">
        <v>3065</v>
      </c>
      <c r="G1403" s="4" t="s">
        <v>3065</v>
      </c>
      <c r="H1403" s="4" t="str">
        <f t="shared" si="24"/>
        <v>No</v>
      </c>
      <c r="I1403" s="56"/>
    </row>
    <row r="1404" spans="1:9">
      <c r="A1404" s="97" t="s">
        <v>2445</v>
      </c>
      <c r="B1404" s="97" t="s">
        <v>1413</v>
      </c>
      <c r="C1404" s="163">
        <v>4262</v>
      </c>
      <c r="D1404" s="95" t="s">
        <v>1416</v>
      </c>
      <c r="E1404" s="142">
        <v>0.31850000000000001</v>
      </c>
      <c r="F1404" s="4" t="s">
        <v>3065</v>
      </c>
      <c r="G1404" s="4" t="s">
        <v>3065</v>
      </c>
      <c r="H1404" s="4" t="str">
        <f t="shared" si="24"/>
        <v>No</v>
      </c>
      <c r="I1404" s="56"/>
    </row>
    <row r="1405" spans="1:9">
      <c r="A1405" s="97" t="s">
        <v>2445</v>
      </c>
      <c r="B1405" s="97" t="s">
        <v>1413</v>
      </c>
      <c r="C1405" s="163">
        <v>2360</v>
      </c>
      <c r="D1405" s="95" t="s">
        <v>1414</v>
      </c>
      <c r="E1405" s="142">
        <v>0.27</v>
      </c>
      <c r="F1405" s="4" t="s">
        <v>3065</v>
      </c>
      <c r="G1405" s="4" t="s">
        <v>3065</v>
      </c>
      <c r="H1405" s="4" t="str">
        <f t="shared" si="24"/>
        <v>No</v>
      </c>
      <c r="I1405" s="56"/>
    </row>
    <row r="1406" spans="1:9">
      <c r="A1406" s="97" t="s">
        <v>2445</v>
      </c>
      <c r="B1406" s="97" t="s">
        <v>1413</v>
      </c>
      <c r="C1406" s="163">
        <v>5657</v>
      </c>
      <c r="D1406" s="95" t="s">
        <v>2903</v>
      </c>
      <c r="E1406" s="142">
        <v>0.1216</v>
      </c>
      <c r="F1406" s="4" t="s">
        <v>3065</v>
      </c>
      <c r="G1406" s="4" t="s">
        <v>3065</v>
      </c>
      <c r="H1406" s="4" t="str">
        <f t="shared" si="24"/>
        <v>No</v>
      </c>
      <c r="I1406" s="56"/>
    </row>
    <row r="1407" spans="1:9">
      <c r="A1407" s="97" t="s">
        <v>2445</v>
      </c>
      <c r="B1407" s="97" t="s">
        <v>1413</v>
      </c>
      <c r="C1407" s="163">
        <v>5011</v>
      </c>
      <c r="D1407" s="95" t="s">
        <v>2851</v>
      </c>
      <c r="E1407" s="142">
        <v>0.66666666666666663</v>
      </c>
      <c r="F1407" s="4" t="s">
        <v>2752</v>
      </c>
      <c r="G1407" s="4" t="s">
        <v>2752</v>
      </c>
      <c r="H1407" s="4" t="str">
        <f t="shared" si="24"/>
        <v>No</v>
      </c>
      <c r="I1407" s="56"/>
    </row>
    <row r="1408" spans="1:9">
      <c r="A1408" s="97" t="s">
        <v>2445</v>
      </c>
      <c r="B1408" s="97" t="s">
        <v>1413</v>
      </c>
      <c r="C1408" s="163">
        <v>4547</v>
      </c>
      <c r="D1408" s="95" t="s">
        <v>1417</v>
      </c>
      <c r="E1408" s="142">
        <v>0.31790000000000002</v>
      </c>
      <c r="F1408" s="4" t="s">
        <v>3065</v>
      </c>
      <c r="G1408" s="4" t="s">
        <v>3065</v>
      </c>
      <c r="H1408" s="4" t="str">
        <f t="shared" si="24"/>
        <v>No</v>
      </c>
      <c r="I1408" s="56"/>
    </row>
    <row r="1409" spans="1:9">
      <c r="A1409" s="97" t="s">
        <v>2259</v>
      </c>
      <c r="B1409" s="97" t="s">
        <v>4</v>
      </c>
      <c r="C1409" s="163">
        <v>5367</v>
      </c>
      <c r="D1409" s="95" t="s">
        <v>11</v>
      </c>
      <c r="E1409" s="142">
        <v>0.85726666666666673</v>
      </c>
      <c r="F1409" s="4" t="s">
        <v>2752</v>
      </c>
      <c r="G1409" s="4" t="s">
        <v>2752</v>
      </c>
      <c r="H1409" s="4" t="str">
        <f t="shared" si="24"/>
        <v>No</v>
      </c>
      <c r="I1409" s="56"/>
    </row>
    <row r="1410" spans="1:9">
      <c r="A1410" s="97" t="s">
        <v>2259</v>
      </c>
      <c r="B1410" s="97" t="s">
        <v>4</v>
      </c>
      <c r="C1410" s="163">
        <v>5528</v>
      </c>
      <c r="D1410" s="95" t="s">
        <v>2984</v>
      </c>
      <c r="E1410" s="142">
        <v>0.73680000000000001</v>
      </c>
      <c r="F1410" s="4" t="s">
        <v>2752</v>
      </c>
      <c r="G1410" s="4" t="s">
        <v>3065</v>
      </c>
      <c r="H1410" s="4" t="str">
        <f t="shared" si="24"/>
        <v>No</v>
      </c>
      <c r="I1410" s="56"/>
    </row>
    <row r="1411" spans="1:9">
      <c r="A1411" s="97" t="s">
        <v>2259</v>
      </c>
      <c r="B1411" s="97" t="s">
        <v>4</v>
      </c>
      <c r="C1411" s="163">
        <v>2961</v>
      </c>
      <c r="D1411" s="95" t="s">
        <v>6</v>
      </c>
      <c r="E1411" s="142">
        <v>0.81186666666666663</v>
      </c>
      <c r="F1411" s="4" t="s">
        <v>2752</v>
      </c>
      <c r="G1411" s="4" t="s">
        <v>2752</v>
      </c>
      <c r="H1411" s="4" t="str">
        <f t="shared" ref="H1411:H1474" si="25">IFERROR(IF(AND(G1411="Yes",F1411="No"),"Yes","No"),"No")</f>
        <v>No</v>
      </c>
      <c r="I1411" s="56"/>
    </row>
    <row r="1412" spans="1:9">
      <c r="A1412" s="97" t="s">
        <v>2259</v>
      </c>
      <c r="B1412" s="97" t="s">
        <v>4</v>
      </c>
      <c r="C1412" s="163">
        <v>2902</v>
      </c>
      <c r="D1412" s="95" t="s">
        <v>5</v>
      </c>
      <c r="E1412" s="142">
        <v>0.81523333333333337</v>
      </c>
      <c r="F1412" s="4" t="s">
        <v>2752</v>
      </c>
      <c r="G1412" s="4" t="s">
        <v>2752</v>
      </c>
      <c r="H1412" s="4" t="str">
        <f t="shared" si="25"/>
        <v>No</v>
      </c>
      <c r="I1412" s="56"/>
    </row>
    <row r="1413" spans="1:9">
      <c r="A1413" s="97" t="s">
        <v>2259</v>
      </c>
      <c r="B1413" s="97" t="s">
        <v>4</v>
      </c>
      <c r="C1413" s="163">
        <v>3471</v>
      </c>
      <c r="D1413" s="95" t="s">
        <v>8</v>
      </c>
      <c r="E1413" s="142">
        <v>0.82350000000000001</v>
      </c>
      <c r="F1413" s="4" t="s">
        <v>2752</v>
      </c>
      <c r="G1413" s="4" t="s">
        <v>2752</v>
      </c>
      <c r="H1413" s="4" t="str">
        <f t="shared" si="25"/>
        <v>No</v>
      </c>
      <c r="I1413" s="56"/>
    </row>
    <row r="1414" spans="1:9">
      <c r="A1414" s="97" t="s">
        <v>2259</v>
      </c>
      <c r="B1414" s="97" t="s">
        <v>4</v>
      </c>
      <c r="C1414" s="163">
        <v>5634</v>
      </c>
      <c r="D1414" s="95" t="s">
        <v>2971</v>
      </c>
      <c r="E1414" s="142">
        <v>0.6522</v>
      </c>
      <c r="F1414" s="4" t="s">
        <v>2752</v>
      </c>
      <c r="G1414" s="4" t="s">
        <v>3065</v>
      </c>
      <c r="H1414" s="4" t="str">
        <f t="shared" si="25"/>
        <v>No</v>
      </c>
      <c r="I1414" s="56"/>
    </row>
    <row r="1415" spans="1:9">
      <c r="A1415" s="97" t="s">
        <v>2259</v>
      </c>
      <c r="B1415" s="97" t="s">
        <v>4</v>
      </c>
      <c r="C1415" s="163">
        <v>3015</v>
      </c>
      <c r="D1415" s="95" t="s">
        <v>7</v>
      </c>
      <c r="E1415" s="142">
        <v>0.73993333333333322</v>
      </c>
      <c r="F1415" s="4" t="s">
        <v>2752</v>
      </c>
      <c r="G1415" s="4" t="s">
        <v>2752</v>
      </c>
      <c r="H1415" s="4" t="str">
        <f t="shared" si="25"/>
        <v>No</v>
      </c>
      <c r="I1415" s="56"/>
    </row>
    <row r="1416" spans="1:9">
      <c r="A1416" s="97" t="s">
        <v>2259</v>
      </c>
      <c r="B1416" s="97" t="s">
        <v>4</v>
      </c>
      <c r="C1416" s="163">
        <v>3730</v>
      </c>
      <c r="D1416" s="95" t="s">
        <v>9</v>
      </c>
      <c r="E1416" s="142">
        <v>0.76873333333333338</v>
      </c>
      <c r="F1416" s="4" t="s">
        <v>2752</v>
      </c>
      <c r="G1416" s="4" t="s">
        <v>2752</v>
      </c>
      <c r="H1416" s="4" t="str">
        <f t="shared" si="25"/>
        <v>No</v>
      </c>
      <c r="I1416" s="56"/>
    </row>
    <row r="1417" spans="1:9">
      <c r="A1417" s="97" t="s">
        <v>2259</v>
      </c>
      <c r="B1417" s="97" t="s">
        <v>4</v>
      </c>
      <c r="C1417" s="163">
        <v>5285</v>
      </c>
      <c r="D1417" s="95" t="s">
        <v>10</v>
      </c>
      <c r="E1417" s="142">
        <v>0.78976666666666662</v>
      </c>
      <c r="F1417" s="4" t="s">
        <v>2752</v>
      </c>
      <c r="G1417" s="4" t="s">
        <v>2752</v>
      </c>
      <c r="H1417" s="4" t="str">
        <f t="shared" si="25"/>
        <v>No</v>
      </c>
      <c r="I1417" s="56"/>
    </row>
    <row r="1418" spans="1:9">
      <c r="A1418" s="97" t="s">
        <v>2303</v>
      </c>
      <c r="B1418" s="97" t="s">
        <v>344</v>
      </c>
      <c r="C1418" s="163">
        <v>2502</v>
      </c>
      <c r="D1418" s="95" t="s">
        <v>345</v>
      </c>
      <c r="E1418" s="142">
        <v>0.85279999999999989</v>
      </c>
      <c r="F1418" s="4" t="s">
        <v>2752</v>
      </c>
      <c r="G1418" s="4" t="s">
        <v>2752</v>
      </c>
      <c r="H1418" s="4" t="str">
        <f t="shared" si="25"/>
        <v>No</v>
      </c>
      <c r="I1418" s="56"/>
    </row>
    <row r="1419" spans="1:9">
      <c r="A1419" s="97" t="s">
        <v>2545</v>
      </c>
      <c r="B1419" s="97" t="s">
        <v>2143</v>
      </c>
      <c r="C1419" s="163">
        <v>1961</v>
      </c>
      <c r="D1419" s="95" t="s">
        <v>2144</v>
      </c>
      <c r="E1419" s="142">
        <v>0.26590000000000003</v>
      </c>
      <c r="F1419" s="4" t="s">
        <v>3065</v>
      </c>
      <c r="G1419" s="4" t="s">
        <v>3065</v>
      </c>
      <c r="H1419" s="4" t="str">
        <f t="shared" si="25"/>
        <v>No</v>
      </c>
      <c r="I1419" s="56"/>
    </row>
    <row r="1420" spans="1:9">
      <c r="A1420" s="97" t="s">
        <v>2545</v>
      </c>
      <c r="B1420" s="97" t="s">
        <v>2143</v>
      </c>
      <c r="C1420" s="163">
        <v>2622</v>
      </c>
      <c r="D1420" s="95" t="s">
        <v>2145</v>
      </c>
      <c r="E1420" s="142">
        <v>0.35233333333333333</v>
      </c>
      <c r="F1420" s="4" t="s">
        <v>3065</v>
      </c>
      <c r="G1420" s="4" t="s">
        <v>3065</v>
      </c>
      <c r="H1420" s="4" t="str">
        <f t="shared" si="25"/>
        <v>No</v>
      </c>
      <c r="I1420" s="56"/>
    </row>
    <row r="1421" spans="1:9">
      <c r="A1421" s="97" t="s">
        <v>2545</v>
      </c>
      <c r="B1421" s="97" t="s">
        <v>2143</v>
      </c>
      <c r="C1421" s="163">
        <v>2634</v>
      </c>
      <c r="D1421" s="95" t="s">
        <v>2146</v>
      </c>
      <c r="E1421" s="142">
        <v>0.3062333333333333</v>
      </c>
      <c r="F1421" s="4" t="s">
        <v>3065</v>
      </c>
      <c r="G1421" s="4" t="s">
        <v>3065</v>
      </c>
      <c r="H1421" s="4" t="str">
        <f t="shared" si="25"/>
        <v>No</v>
      </c>
      <c r="I1421" s="56"/>
    </row>
    <row r="1422" spans="1:9">
      <c r="A1422" s="97" t="s">
        <v>2312</v>
      </c>
      <c r="B1422" s="97" t="s">
        <v>372</v>
      </c>
      <c r="C1422" s="163">
        <v>5391</v>
      </c>
      <c r="D1422" s="95" t="s">
        <v>389</v>
      </c>
      <c r="E1422" s="142">
        <v>0.50053333333333327</v>
      </c>
      <c r="F1422" s="4" t="s">
        <v>2752</v>
      </c>
      <c r="G1422" s="4" t="s">
        <v>3065</v>
      </c>
      <c r="H1422" s="4" t="str">
        <f t="shared" si="25"/>
        <v>No</v>
      </c>
      <c r="I1422" s="56"/>
    </row>
    <row r="1423" spans="1:9">
      <c r="A1423" s="97" t="s">
        <v>2312</v>
      </c>
      <c r="B1423" s="97" t="s">
        <v>372</v>
      </c>
      <c r="C1423" s="163">
        <v>5392</v>
      </c>
      <c r="D1423" s="95" t="s">
        <v>390</v>
      </c>
      <c r="E1423" s="142">
        <v>0.94329999999999992</v>
      </c>
      <c r="F1423" s="4" t="s">
        <v>2752</v>
      </c>
      <c r="G1423" s="4" t="s">
        <v>2752</v>
      </c>
      <c r="H1423" s="4" t="str">
        <f t="shared" si="25"/>
        <v>No</v>
      </c>
      <c r="I1423" s="56"/>
    </row>
    <row r="1424" spans="1:9">
      <c r="A1424" s="97" t="s">
        <v>2312</v>
      </c>
      <c r="B1424" s="97" t="s">
        <v>372</v>
      </c>
      <c r="C1424" s="163">
        <v>5164</v>
      </c>
      <c r="D1424" s="95" t="s">
        <v>387</v>
      </c>
      <c r="E1424" s="142">
        <v>0.65403333333333336</v>
      </c>
      <c r="F1424" s="4" t="s">
        <v>2752</v>
      </c>
      <c r="G1424" s="4" t="s">
        <v>2752</v>
      </c>
      <c r="H1424" s="4" t="str">
        <f t="shared" si="25"/>
        <v>No</v>
      </c>
      <c r="I1424" s="56"/>
    </row>
    <row r="1425" spans="1:9">
      <c r="A1425" s="97" t="s">
        <v>2312</v>
      </c>
      <c r="B1425" s="97" t="s">
        <v>372</v>
      </c>
      <c r="C1425" s="163">
        <v>5623</v>
      </c>
      <c r="D1425" s="95" t="s">
        <v>2904</v>
      </c>
      <c r="E1425" s="142">
        <v>0.45199999999999996</v>
      </c>
      <c r="F1425" s="4" t="s">
        <v>3065</v>
      </c>
      <c r="G1425" s="4" t="s">
        <v>3065</v>
      </c>
      <c r="H1425" s="4" t="str">
        <f t="shared" si="25"/>
        <v>No</v>
      </c>
      <c r="I1425" s="56"/>
    </row>
    <row r="1426" spans="1:9">
      <c r="A1426" s="97" t="s">
        <v>2312</v>
      </c>
      <c r="B1426" s="97" t="s">
        <v>372</v>
      </c>
      <c r="C1426" s="163">
        <v>3425</v>
      </c>
      <c r="D1426" s="95" t="s">
        <v>377</v>
      </c>
      <c r="E1426" s="142">
        <v>0.47056666666666663</v>
      </c>
      <c r="F1426" s="4" t="s">
        <v>3065</v>
      </c>
      <c r="G1426" s="4" t="s">
        <v>3065</v>
      </c>
      <c r="H1426" s="4" t="str">
        <f t="shared" si="25"/>
        <v>No</v>
      </c>
      <c r="I1426" s="56"/>
    </row>
    <row r="1427" spans="1:9">
      <c r="A1427" s="97" t="s">
        <v>2312</v>
      </c>
      <c r="B1427" s="97" t="s">
        <v>372</v>
      </c>
      <c r="C1427" s="163">
        <v>4564</v>
      </c>
      <c r="D1427" s="95" t="s">
        <v>384</v>
      </c>
      <c r="E1427" s="142">
        <v>0.94696666666666662</v>
      </c>
      <c r="F1427" s="4" t="s">
        <v>2752</v>
      </c>
      <c r="G1427" s="4" t="s">
        <v>2752</v>
      </c>
      <c r="H1427" s="4" t="str">
        <f t="shared" si="25"/>
        <v>No</v>
      </c>
      <c r="I1427" s="56"/>
    </row>
    <row r="1428" spans="1:9">
      <c r="A1428" s="97" t="s">
        <v>2312</v>
      </c>
      <c r="B1428" s="97" t="s">
        <v>372</v>
      </c>
      <c r="C1428" s="163">
        <v>2967</v>
      </c>
      <c r="D1428" s="95" t="s">
        <v>375</v>
      </c>
      <c r="E1428" s="142">
        <v>0.90666666666666662</v>
      </c>
      <c r="F1428" s="4" t="s">
        <v>2752</v>
      </c>
      <c r="G1428" s="4" t="s">
        <v>2752</v>
      </c>
      <c r="H1428" s="4" t="str">
        <f t="shared" si="25"/>
        <v>No</v>
      </c>
      <c r="I1428" s="56"/>
    </row>
    <row r="1429" spans="1:9">
      <c r="A1429" s="97" t="s">
        <v>2312</v>
      </c>
      <c r="B1429" s="97" t="s">
        <v>372</v>
      </c>
      <c r="C1429" s="163">
        <v>5393</v>
      </c>
      <c r="D1429" s="95" t="s">
        <v>391</v>
      </c>
      <c r="E1429" s="142">
        <v>0.49230000000000002</v>
      </c>
      <c r="F1429" s="4" t="s">
        <v>3065</v>
      </c>
      <c r="G1429" s="4" t="s">
        <v>3065</v>
      </c>
      <c r="H1429" s="4" t="str">
        <f t="shared" si="25"/>
        <v>No</v>
      </c>
      <c r="I1429" s="56"/>
    </row>
    <row r="1430" spans="1:9">
      <c r="A1430" s="97" t="s">
        <v>2312</v>
      </c>
      <c r="B1430" s="97" t="s">
        <v>372</v>
      </c>
      <c r="C1430" s="163">
        <v>4155</v>
      </c>
      <c r="D1430" s="95" t="s">
        <v>381</v>
      </c>
      <c r="E1430" s="142">
        <v>0.51496666666666668</v>
      </c>
      <c r="F1430" s="4" t="s">
        <v>2752</v>
      </c>
      <c r="G1430" s="4" t="s">
        <v>2752</v>
      </c>
      <c r="H1430" s="4" t="str">
        <f t="shared" si="25"/>
        <v>No</v>
      </c>
      <c r="I1430" s="56"/>
    </row>
    <row r="1431" spans="1:9">
      <c r="A1431" s="97" t="s">
        <v>2312</v>
      </c>
      <c r="B1431" s="97" t="s">
        <v>372</v>
      </c>
      <c r="C1431" s="163">
        <v>2790</v>
      </c>
      <c r="D1431" s="95" t="s">
        <v>373</v>
      </c>
      <c r="E1431" s="142">
        <v>0.95256666666666667</v>
      </c>
      <c r="F1431" s="4" t="s">
        <v>2752</v>
      </c>
      <c r="G1431" s="4" t="s">
        <v>2752</v>
      </c>
      <c r="H1431" s="4" t="str">
        <f t="shared" si="25"/>
        <v>No</v>
      </c>
      <c r="I1431" s="56"/>
    </row>
    <row r="1432" spans="1:9" s="56" customFormat="1">
      <c r="A1432" s="97" t="s">
        <v>2312</v>
      </c>
      <c r="B1432" s="97" t="s">
        <v>372</v>
      </c>
      <c r="C1432" s="163">
        <v>5394</v>
      </c>
      <c r="D1432" s="95" t="s">
        <v>392</v>
      </c>
      <c r="E1432" s="142">
        <v>0.93583333333333341</v>
      </c>
      <c r="F1432" s="4" t="s">
        <v>2752</v>
      </c>
      <c r="G1432" s="4" t="s">
        <v>2752</v>
      </c>
      <c r="H1432" s="4" t="str">
        <f t="shared" si="25"/>
        <v>No</v>
      </c>
    </row>
    <row r="1433" spans="1:9">
      <c r="A1433" s="97" t="s">
        <v>2312</v>
      </c>
      <c r="B1433" s="97" t="s">
        <v>372</v>
      </c>
      <c r="C1433" s="163">
        <v>3085</v>
      </c>
      <c r="D1433" s="95" t="s">
        <v>376</v>
      </c>
      <c r="E1433" s="142">
        <v>0.6819666666666665</v>
      </c>
      <c r="F1433" s="4" t="s">
        <v>2752</v>
      </c>
      <c r="G1433" s="4" t="s">
        <v>2752</v>
      </c>
      <c r="H1433" s="4" t="str">
        <f t="shared" si="25"/>
        <v>No</v>
      </c>
      <c r="I1433" s="56"/>
    </row>
    <row r="1434" spans="1:9">
      <c r="A1434" s="97" t="s">
        <v>2312</v>
      </c>
      <c r="B1434" s="97" t="s">
        <v>372</v>
      </c>
      <c r="C1434" s="163">
        <v>4595</v>
      </c>
      <c r="D1434" s="95" t="s">
        <v>385</v>
      </c>
      <c r="E1434" s="142">
        <v>0.51983333333333337</v>
      </c>
      <c r="F1434" s="4" t="s">
        <v>2752</v>
      </c>
      <c r="G1434" s="4" t="s">
        <v>2752</v>
      </c>
      <c r="H1434" s="4" t="str">
        <f t="shared" si="25"/>
        <v>No</v>
      </c>
      <c r="I1434" s="56"/>
    </row>
    <row r="1435" spans="1:9">
      <c r="A1435" s="97" t="s">
        <v>2312</v>
      </c>
      <c r="B1435" s="97" t="s">
        <v>372</v>
      </c>
      <c r="C1435" s="163">
        <v>2267</v>
      </c>
      <c r="D1435" s="95" t="s">
        <v>181</v>
      </c>
      <c r="E1435" s="142">
        <v>0.5770333333333334</v>
      </c>
      <c r="F1435" s="4" t="s">
        <v>2752</v>
      </c>
      <c r="G1435" s="4" t="s">
        <v>2752</v>
      </c>
      <c r="H1435" s="4" t="str">
        <f t="shared" si="25"/>
        <v>No</v>
      </c>
      <c r="I1435" s="56"/>
    </row>
    <row r="1436" spans="1:9">
      <c r="A1436" s="97" t="s">
        <v>2312</v>
      </c>
      <c r="B1436" s="97" t="s">
        <v>372</v>
      </c>
      <c r="C1436" s="163">
        <v>3912</v>
      </c>
      <c r="D1436" s="95" t="s">
        <v>379</v>
      </c>
      <c r="E1436" s="142">
        <v>0.76873333333333338</v>
      </c>
      <c r="F1436" s="4" t="s">
        <v>2752</v>
      </c>
      <c r="G1436" s="4" t="s">
        <v>2752</v>
      </c>
      <c r="H1436" s="4" t="str">
        <f t="shared" si="25"/>
        <v>No</v>
      </c>
      <c r="I1436" s="56"/>
    </row>
    <row r="1437" spans="1:9">
      <c r="A1437" s="97" t="s">
        <v>2312</v>
      </c>
      <c r="B1437" s="97" t="s">
        <v>372</v>
      </c>
      <c r="C1437" s="163">
        <v>1970</v>
      </c>
      <c r="D1437" s="95" t="s">
        <v>2730</v>
      </c>
      <c r="E1437" s="142">
        <v>0.16666666666666666</v>
      </c>
      <c r="F1437" s="4" t="s">
        <v>2752</v>
      </c>
      <c r="G1437" s="4" t="s">
        <v>2752</v>
      </c>
      <c r="H1437" s="4" t="str">
        <f t="shared" si="25"/>
        <v>No</v>
      </c>
      <c r="I1437" s="56"/>
    </row>
    <row r="1438" spans="1:9">
      <c r="A1438" s="97" t="s">
        <v>2312</v>
      </c>
      <c r="B1438" s="97" t="s">
        <v>372</v>
      </c>
      <c r="C1438" s="163">
        <v>5711</v>
      </c>
      <c r="D1438" s="95" t="s">
        <v>3034</v>
      </c>
      <c r="E1438" s="142">
        <v>0.64759999999999995</v>
      </c>
      <c r="F1438" s="4" t="s">
        <v>2752</v>
      </c>
      <c r="G1438" s="4" t="s">
        <v>3065</v>
      </c>
      <c r="H1438" s="4" t="str">
        <f t="shared" si="25"/>
        <v>No</v>
      </c>
      <c r="I1438" s="56"/>
    </row>
    <row r="1439" spans="1:9">
      <c r="A1439" s="97" t="s">
        <v>2312</v>
      </c>
      <c r="B1439" s="97" t="s">
        <v>372</v>
      </c>
      <c r="C1439" s="163">
        <v>2917</v>
      </c>
      <c r="D1439" s="95" t="s">
        <v>374</v>
      </c>
      <c r="E1439" s="142">
        <v>0.7772</v>
      </c>
      <c r="F1439" s="4" t="s">
        <v>2752</v>
      </c>
      <c r="G1439" s="4" t="s">
        <v>2752</v>
      </c>
      <c r="H1439" s="4" t="str">
        <f t="shared" si="25"/>
        <v>No</v>
      </c>
      <c r="I1439" s="56"/>
    </row>
    <row r="1440" spans="1:9">
      <c r="A1440" s="97" t="s">
        <v>2312</v>
      </c>
      <c r="B1440" s="97" t="s">
        <v>372</v>
      </c>
      <c r="C1440" s="163">
        <v>5624</v>
      </c>
      <c r="D1440" s="95" t="s">
        <v>2905</v>
      </c>
      <c r="E1440" s="142">
        <v>0.55169999999999997</v>
      </c>
      <c r="F1440" s="4" t="s">
        <v>2752</v>
      </c>
      <c r="G1440" s="4" t="s">
        <v>2752</v>
      </c>
      <c r="H1440" s="4" t="str">
        <f t="shared" si="25"/>
        <v>No</v>
      </c>
      <c r="I1440" s="56"/>
    </row>
    <row r="1441" spans="1:9">
      <c r="A1441" s="97" t="s">
        <v>2312</v>
      </c>
      <c r="B1441" s="97" t="s">
        <v>372</v>
      </c>
      <c r="C1441" s="163">
        <v>3515</v>
      </c>
      <c r="D1441" s="95" t="s">
        <v>378</v>
      </c>
      <c r="E1441" s="142">
        <v>0.94589999999999996</v>
      </c>
      <c r="F1441" s="4" t="s">
        <v>2752</v>
      </c>
      <c r="G1441" s="4" t="s">
        <v>2752</v>
      </c>
      <c r="H1441" s="4" t="str">
        <f t="shared" si="25"/>
        <v>No</v>
      </c>
      <c r="I1441" s="56"/>
    </row>
    <row r="1442" spans="1:9">
      <c r="A1442" s="97" t="s">
        <v>2312</v>
      </c>
      <c r="B1442" s="97" t="s">
        <v>372</v>
      </c>
      <c r="C1442" s="163">
        <v>5345</v>
      </c>
      <c r="D1442" s="95" t="s">
        <v>388</v>
      </c>
      <c r="E1442" s="142">
        <v>0.48446666666666666</v>
      </c>
      <c r="F1442" s="4" t="s">
        <v>3065</v>
      </c>
      <c r="G1442" s="4" t="s">
        <v>3065</v>
      </c>
      <c r="H1442" s="4" t="str">
        <f t="shared" si="25"/>
        <v>No</v>
      </c>
      <c r="I1442" s="56"/>
    </row>
    <row r="1443" spans="1:9">
      <c r="A1443" s="97" t="s">
        <v>2312</v>
      </c>
      <c r="B1443" s="97" t="s">
        <v>372</v>
      </c>
      <c r="C1443" s="163">
        <v>4555</v>
      </c>
      <c r="D1443" s="95" t="s">
        <v>383</v>
      </c>
      <c r="E1443" s="142">
        <v>0.93256666666666665</v>
      </c>
      <c r="F1443" s="4" t="s">
        <v>2752</v>
      </c>
      <c r="G1443" s="4" t="s">
        <v>2752</v>
      </c>
      <c r="H1443" s="4" t="str">
        <f t="shared" si="25"/>
        <v>No</v>
      </c>
      <c r="I1443" s="56"/>
    </row>
    <row r="1444" spans="1:9">
      <c r="A1444" s="97" t="s">
        <v>2312</v>
      </c>
      <c r="B1444" s="97" t="s">
        <v>372</v>
      </c>
      <c r="C1444" s="163">
        <v>4041</v>
      </c>
      <c r="D1444" s="95" t="s">
        <v>380</v>
      </c>
      <c r="E1444" s="142">
        <v>0.34576666666666672</v>
      </c>
      <c r="F1444" s="4" t="s">
        <v>3065</v>
      </c>
      <c r="G1444" s="4" t="s">
        <v>3065</v>
      </c>
      <c r="H1444" s="4" t="str">
        <f t="shared" si="25"/>
        <v>No</v>
      </c>
      <c r="I1444" s="56"/>
    </row>
    <row r="1445" spans="1:9">
      <c r="A1445" s="97" t="s">
        <v>2312</v>
      </c>
      <c r="B1445" s="97" t="s">
        <v>372</v>
      </c>
      <c r="C1445" s="163">
        <v>3324</v>
      </c>
      <c r="D1445" s="95" t="s">
        <v>141</v>
      </c>
      <c r="E1445" s="142">
        <v>0.94706666666666661</v>
      </c>
      <c r="F1445" s="4" t="s">
        <v>2752</v>
      </c>
      <c r="G1445" s="4" t="s">
        <v>2752</v>
      </c>
      <c r="H1445" s="4" t="str">
        <f t="shared" si="25"/>
        <v>No</v>
      </c>
      <c r="I1445" s="56"/>
    </row>
    <row r="1446" spans="1:9">
      <c r="A1446" s="97" t="s">
        <v>2312</v>
      </c>
      <c r="B1446" s="97" t="s">
        <v>372</v>
      </c>
      <c r="C1446" s="163">
        <v>5556</v>
      </c>
      <c r="D1446" s="95" t="s">
        <v>2823</v>
      </c>
      <c r="E1446" s="142">
        <v>0.6781666666666667</v>
      </c>
      <c r="F1446" s="4" t="s">
        <v>2752</v>
      </c>
      <c r="G1446" s="4" t="s">
        <v>2752</v>
      </c>
      <c r="H1446" s="4" t="str">
        <f t="shared" si="25"/>
        <v>No</v>
      </c>
      <c r="I1446" s="56"/>
    </row>
    <row r="1447" spans="1:9">
      <c r="A1447" s="97" t="s">
        <v>2312</v>
      </c>
      <c r="B1447" s="97" t="s">
        <v>372</v>
      </c>
      <c r="C1447" s="163">
        <v>5020</v>
      </c>
      <c r="D1447" s="95" t="s">
        <v>386</v>
      </c>
      <c r="E1447" s="142">
        <v>0.93160000000000009</v>
      </c>
      <c r="F1447" s="4" t="s">
        <v>2752</v>
      </c>
      <c r="G1447" s="4" t="s">
        <v>2752</v>
      </c>
      <c r="H1447" s="4" t="str">
        <f t="shared" si="25"/>
        <v>No</v>
      </c>
      <c r="I1447" s="56"/>
    </row>
    <row r="1448" spans="1:9">
      <c r="A1448" s="97" t="s">
        <v>2312</v>
      </c>
      <c r="B1448" s="97" t="s">
        <v>372</v>
      </c>
      <c r="C1448" s="163">
        <v>4526</v>
      </c>
      <c r="D1448" s="95" t="s">
        <v>382</v>
      </c>
      <c r="E1448" s="142">
        <v>0.90793333333333326</v>
      </c>
      <c r="F1448" s="4" t="s">
        <v>2752</v>
      </c>
      <c r="G1448" s="4" t="s">
        <v>2752</v>
      </c>
      <c r="H1448" s="4" t="str">
        <f t="shared" si="25"/>
        <v>No</v>
      </c>
      <c r="I1448" s="56"/>
    </row>
    <row r="1449" spans="1:9">
      <c r="A1449" s="97" t="s">
        <v>2425</v>
      </c>
      <c r="B1449" s="97" t="s">
        <v>1247</v>
      </c>
      <c r="C1449" s="163">
        <v>2396</v>
      </c>
      <c r="D1449" s="95" t="s">
        <v>1248</v>
      </c>
      <c r="E1449" s="142">
        <v>0.63940000000000008</v>
      </c>
      <c r="F1449" s="4" t="s">
        <v>2752</v>
      </c>
      <c r="G1449" s="4" t="s">
        <v>2752</v>
      </c>
      <c r="H1449" s="4" t="str">
        <f t="shared" si="25"/>
        <v>No</v>
      </c>
      <c r="I1449" s="56"/>
    </row>
    <row r="1450" spans="1:9">
      <c r="A1450" s="97" t="s">
        <v>2425</v>
      </c>
      <c r="B1450" s="97" t="s">
        <v>1247</v>
      </c>
      <c r="C1450" s="163">
        <v>2397</v>
      </c>
      <c r="D1450" s="95" t="s">
        <v>1249</v>
      </c>
      <c r="E1450" s="142">
        <v>0.7402333333333333</v>
      </c>
      <c r="F1450" s="4" t="s">
        <v>2752</v>
      </c>
      <c r="G1450" s="4" t="s">
        <v>2752</v>
      </c>
      <c r="H1450" s="4" t="str">
        <f t="shared" si="25"/>
        <v>No</v>
      </c>
      <c r="I1450" s="56"/>
    </row>
    <row r="1451" spans="1:9">
      <c r="A1451" s="97" t="s">
        <v>2265</v>
      </c>
      <c r="B1451" s="97" t="s">
        <v>60</v>
      </c>
      <c r="C1451" s="163">
        <v>2133</v>
      </c>
      <c r="D1451" s="95" t="s">
        <v>61</v>
      </c>
      <c r="E1451" s="142">
        <v>0.99716666666666676</v>
      </c>
      <c r="F1451" s="4" t="s">
        <v>2752</v>
      </c>
      <c r="G1451" s="4" t="s">
        <v>2752</v>
      </c>
      <c r="H1451" s="4" t="str">
        <f t="shared" si="25"/>
        <v>No</v>
      </c>
      <c r="I1451" s="56"/>
    </row>
    <row r="1452" spans="1:9">
      <c r="A1452" s="97" t="s">
        <v>2402</v>
      </c>
      <c r="B1452" s="97" t="s">
        <v>1164</v>
      </c>
      <c r="C1452" s="163">
        <v>2858</v>
      </c>
      <c r="D1452" s="95" t="s">
        <v>1165</v>
      </c>
      <c r="E1452" s="142">
        <v>0.57346666666666668</v>
      </c>
      <c r="F1452" s="4" t="s">
        <v>2752</v>
      </c>
      <c r="G1452" s="4" t="s">
        <v>2752</v>
      </c>
      <c r="H1452" s="4" t="str">
        <f t="shared" si="25"/>
        <v>No</v>
      </c>
      <c r="I1452" s="56"/>
    </row>
    <row r="1453" spans="1:9">
      <c r="A1453" s="97" t="s">
        <v>2447</v>
      </c>
      <c r="B1453" s="97" t="s">
        <v>1443</v>
      </c>
      <c r="C1453" s="163">
        <v>3299</v>
      </c>
      <c r="D1453" s="95" t="s">
        <v>1450</v>
      </c>
      <c r="E1453" s="142">
        <v>0.12156666666666667</v>
      </c>
      <c r="F1453" s="4" t="s">
        <v>3065</v>
      </c>
      <c r="G1453" s="4" t="s">
        <v>3065</v>
      </c>
      <c r="H1453" s="4" t="str">
        <f t="shared" si="25"/>
        <v>No</v>
      </c>
      <c r="I1453" s="56"/>
    </row>
    <row r="1454" spans="1:9">
      <c r="A1454" s="97" t="s">
        <v>2447</v>
      </c>
      <c r="B1454" s="97" t="s">
        <v>1443</v>
      </c>
      <c r="C1454" s="163">
        <v>4080</v>
      </c>
      <c r="D1454" s="95" t="s">
        <v>1452</v>
      </c>
      <c r="E1454" s="142">
        <v>0.15416666666666667</v>
      </c>
      <c r="F1454" s="4" t="s">
        <v>3065</v>
      </c>
      <c r="G1454" s="4" t="s">
        <v>3065</v>
      </c>
      <c r="H1454" s="4" t="str">
        <f t="shared" si="25"/>
        <v>No</v>
      </c>
      <c r="I1454" s="56"/>
    </row>
    <row r="1455" spans="1:9">
      <c r="A1455" s="97" t="s">
        <v>2447</v>
      </c>
      <c r="B1455" s="97" t="s">
        <v>1443</v>
      </c>
      <c r="C1455" s="163">
        <v>3055</v>
      </c>
      <c r="D1455" s="95" t="s">
        <v>1448</v>
      </c>
      <c r="E1455" s="142">
        <v>0.47449999999999998</v>
      </c>
      <c r="F1455" s="4" t="s">
        <v>3065</v>
      </c>
      <c r="G1455" s="4" t="s">
        <v>2752</v>
      </c>
      <c r="H1455" s="4" t="str">
        <f t="shared" si="25"/>
        <v>Yes</v>
      </c>
      <c r="I1455" s="56"/>
    </row>
    <row r="1456" spans="1:9">
      <c r="A1456" s="97" t="s">
        <v>2447</v>
      </c>
      <c r="B1456" s="97" t="s">
        <v>1443</v>
      </c>
      <c r="C1456" s="163">
        <v>4081</v>
      </c>
      <c r="D1456" s="95" t="s">
        <v>1453</v>
      </c>
      <c r="E1456" s="142">
        <v>0.11053333333333333</v>
      </c>
      <c r="F1456" s="4" t="s">
        <v>3065</v>
      </c>
      <c r="G1456" s="4" t="s">
        <v>3065</v>
      </c>
      <c r="H1456" s="4" t="str">
        <f t="shared" si="25"/>
        <v>No</v>
      </c>
      <c r="I1456" s="56"/>
    </row>
    <row r="1457" spans="1:9">
      <c r="A1457" s="97" t="s">
        <v>2447</v>
      </c>
      <c r="B1457" s="97" t="s">
        <v>1443</v>
      </c>
      <c r="C1457" s="163">
        <v>2294</v>
      </c>
      <c r="D1457" s="95" t="s">
        <v>1445</v>
      </c>
      <c r="E1457" s="142">
        <v>0.18543333333333334</v>
      </c>
      <c r="F1457" s="4" t="s">
        <v>3065</v>
      </c>
      <c r="G1457" s="4" t="s">
        <v>3065</v>
      </c>
      <c r="H1457" s="4" t="str">
        <f t="shared" si="25"/>
        <v>No</v>
      </c>
      <c r="I1457" s="56"/>
    </row>
    <row r="1458" spans="1:9">
      <c r="A1458" s="97" t="s">
        <v>2447</v>
      </c>
      <c r="B1458" s="97" t="s">
        <v>1443</v>
      </c>
      <c r="C1458" s="163">
        <v>2944</v>
      </c>
      <c r="D1458" s="95" t="s">
        <v>1447</v>
      </c>
      <c r="E1458" s="142">
        <v>0.17446666666666669</v>
      </c>
      <c r="F1458" s="4" t="s">
        <v>3065</v>
      </c>
      <c r="G1458" s="4" t="s">
        <v>3065</v>
      </c>
      <c r="H1458" s="4" t="str">
        <f t="shared" si="25"/>
        <v>No</v>
      </c>
      <c r="I1458" s="56"/>
    </row>
    <row r="1459" spans="1:9">
      <c r="A1459" s="97" t="s">
        <v>2447</v>
      </c>
      <c r="B1459" s="97" t="s">
        <v>1443</v>
      </c>
      <c r="C1459" s="163">
        <v>4387</v>
      </c>
      <c r="D1459" s="95" t="s">
        <v>1458</v>
      </c>
      <c r="E1459" s="142">
        <v>0.14730000000000001</v>
      </c>
      <c r="F1459" s="4" t="s">
        <v>3065</v>
      </c>
      <c r="G1459" s="4" t="s">
        <v>3065</v>
      </c>
      <c r="H1459" s="4" t="str">
        <f t="shared" si="25"/>
        <v>No</v>
      </c>
      <c r="I1459" s="56"/>
    </row>
    <row r="1460" spans="1:9">
      <c r="A1460" s="97" t="s">
        <v>2447</v>
      </c>
      <c r="B1460" s="97" t="s">
        <v>1443</v>
      </c>
      <c r="C1460" s="163">
        <v>1516</v>
      </c>
      <c r="D1460" s="95" t="s">
        <v>1444</v>
      </c>
      <c r="E1460" s="142">
        <v>0.47110000000000002</v>
      </c>
      <c r="F1460" s="4" t="s">
        <v>3065</v>
      </c>
      <c r="G1460" s="4" t="s">
        <v>3065</v>
      </c>
      <c r="H1460" s="4" t="str">
        <f t="shared" si="25"/>
        <v>No</v>
      </c>
      <c r="I1460" s="56"/>
    </row>
    <row r="1461" spans="1:9">
      <c r="A1461" s="97" t="s">
        <v>2447</v>
      </c>
      <c r="B1461" s="97" t="s">
        <v>1443</v>
      </c>
      <c r="C1461" s="163">
        <v>4156</v>
      </c>
      <c r="D1461" s="95" t="s">
        <v>1454</v>
      </c>
      <c r="E1461" s="142">
        <v>0.41609999999999997</v>
      </c>
      <c r="F1461" s="4" t="s">
        <v>3065</v>
      </c>
      <c r="G1461" s="4" t="s">
        <v>3065</v>
      </c>
      <c r="H1461" s="4" t="str">
        <f t="shared" si="25"/>
        <v>No</v>
      </c>
      <c r="I1461" s="56"/>
    </row>
    <row r="1462" spans="1:9">
      <c r="A1462" s="97" t="s">
        <v>2447</v>
      </c>
      <c r="B1462" s="97" t="s">
        <v>1443</v>
      </c>
      <c r="C1462" s="163">
        <v>4219</v>
      </c>
      <c r="D1462" s="95" t="s">
        <v>1456</v>
      </c>
      <c r="E1462" s="142">
        <v>0.14149999999999999</v>
      </c>
      <c r="F1462" s="4" t="s">
        <v>3065</v>
      </c>
      <c r="G1462" s="4" t="s">
        <v>3065</v>
      </c>
      <c r="H1462" s="4" t="str">
        <f t="shared" si="25"/>
        <v>No</v>
      </c>
      <c r="I1462" s="56"/>
    </row>
    <row r="1463" spans="1:9">
      <c r="A1463" s="97" t="s">
        <v>2447</v>
      </c>
      <c r="B1463" s="97" t="s">
        <v>1443</v>
      </c>
      <c r="C1463" s="163">
        <v>4189</v>
      </c>
      <c r="D1463" s="95" t="s">
        <v>1455</v>
      </c>
      <c r="E1463" s="142">
        <v>0.27790000000000004</v>
      </c>
      <c r="F1463" s="4" t="s">
        <v>3065</v>
      </c>
      <c r="G1463" s="4" t="s">
        <v>3065</v>
      </c>
      <c r="H1463" s="4" t="str">
        <f t="shared" si="25"/>
        <v>No</v>
      </c>
      <c r="I1463" s="56"/>
    </row>
    <row r="1464" spans="1:9">
      <c r="A1464" s="97" t="s">
        <v>2447</v>
      </c>
      <c r="B1464" s="97" t="s">
        <v>1443</v>
      </c>
      <c r="C1464" s="163">
        <v>5707</v>
      </c>
      <c r="D1464" s="95" t="s">
        <v>2906</v>
      </c>
      <c r="E1464" s="142">
        <v>0.24690000000000001</v>
      </c>
      <c r="F1464" s="4" t="s">
        <v>3065</v>
      </c>
      <c r="G1464" s="4" t="s">
        <v>3065</v>
      </c>
      <c r="H1464" s="4" t="str">
        <f t="shared" si="25"/>
        <v>No</v>
      </c>
      <c r="I1464" s="56"/>
    </row>
    <row r="1465" spans="1:9">
      <c r="A1465" s="97" t="s">
        <v>2447</v>
      </c>
      <c r="B1465" s="97" t="s">
        <v>1443</v>
      </c>
      <c r="C1465" s="163">
        <v>2681</v>
      </c>
      <c r="D1465" s="95" t="s">
        <v>1446</v>
      </c>
      <c r="E1465" s="142">
        <v>0.2117</v>
      </c>
      <c r="F1465" s="4" t="s">
        <v>3065</v>
      </c>
      <c r="G1465" s="4" t="s">
        <v>3065</v>
      </c>
      <c r="H1465" s="4" t="str">
        <f t="shared" si="25"/>
        <v>No</v>
      </c>
      <c r="I1465" s="56"/>
    </row>
    <row r="1466" spans="1:9">
      <c r="A1466" s="97" t="s">
        <v>2447</v>
      </c>
      <c r="B1466" s="97" t="s">
        <v>1443</v>
      </c>
      <c r="C1466" s="163">
        <v>5631</v>
      </c>
      <c r="D1466" s="95" t="s">
        <v>244</v>
      </c>
      <c r="E1466" s="142">
        <v>0.10475000000000001</v>
      </c>
      <c r="F1466" s="4" t="s">
        <v>3065</v>
      </c>
      <c r="G1466" s="4" t="s">
        <v>3065</v>
      </c>
      <c r="H1466" s="4" t="str">
        <f t="shared" si="25"/>
        <v>No</v>
      </c>
      <c r="I1466" s="56"/>
    </row>
    <row r="1467" spans="1:9">
      <c r="A1467" s="97" t="s">
        <v>2447</v>
      </c>
      <c r="B1467" s="97" t="s">
        <v>1443</v>
      </c>
      <c r="C1467" s="163">
        <v>3685</v>
      </c>
      <c r="D1467" s="95" t="s">
        <v>1451</v>
      </c>
      <c r="E1467" s="142">
        <v>0.158</v>
      </c>
      <c r="F1467" s="4" t="s">
        <v>3065</v>
      </c>
      <c r="G1467" s="4" t="s">
        <v>3065</v>
      </c>
      <c r="H1467" s="4" t="str">
        <f t="shared" si="25"/>
        <v>No</v>
      </c>
      <c r="I1467" s="56"/>
    </row>
    <row r="1468" spans="1:9">
      <c r="A1468" s="97" t="s">
        <v>2447</v>
      </c>
      <c r="B1468" s="97" t="s">
        <v>1443</v>
      </c>
      <c r="C1468" s="163">
        <v>5685</v>
      </c>
      <c r="D1468" s="95" t="s">
        <v>3035</v>
      </c>
      <c r="E1468" s="142">
        <v>9.3700000000000006E-2</v>
      </c>
      <c r="F1468" s="4" t="s">
        <v>3065</v>
      </c>
      <c r="G1468" s="4" t="s">
        <v>3065</v>
      </c>
      <c r="H1468" s="4" t="str">
        <f t="shared" si="25"/>
        <v>No</v>
      </c>
      <c r="I1468" s="56"/>
    </row>
    <row r="1469" spans="1:9">
      <c r="A1469" s="97" t="s">
        <v>2447</v>
      </c>
      <c r="B1469" s="97" t="s">
        <v>1443</v>
      </c>
      <c r="C1469" s="163">
        <v>3056</v>
      </c>
      <c r="D1469" s="95" t="s">
        <v>1449</v>
      </c>
      <c r="E1469" s="142">
        <v>0.34276666666666666</v>
      </c>
      <c r="F1469" s="4" t="s">
        <v>3065</v>
      </c>
      <c r="G1469" s="4" t="s">
        <v>3065</v>
      </c>
      <c r="H1469" s="4" t="str">
        <f t="shared" si="25"/>
        <v>No</v>
      </c>
      <c r="I1469" s="56"/>
    </row>
    <row r="1470" spans="1:9">
      <c r="A1470" s="97" t="s">
        <v>2447</v>
      </c>
      <c r="B1470" s="97" t="s">
        <v>1443</v>
      </c>
      <c r="C1470" s="163">
        <v>4307</v>
      </c>
      <c r="D1470" s="95" t="s">
        <v>1457</v>
      </c>
      <c r="E1470" s="142">
        <v>0.1082</v>
      </c>
      <c r="F1470" s="4" t="s">
        <v>3065</v>
      </c>
      <c r="G1470" s="4" t="s">
        <v>3065</v>
      </c>
      <c r="H1470" s="4" t="str">
        <f t="shared" si="25"/>
        <v>No</v>
      </c>
      <c r="I1470" s="56"/>
    </row>
    <row r="1471" spans="1:9">
      <c r="A1471" s="97" t="s">
        <v>2954</v>
      </c>
      <c r="B1471" s="97" t="s">
        <v>3060</v>
      </c>
      <c r="C1471" s="163">
        <v>5686</v>
      </c>
      <c r="D1471" s="95" t="s">
        <v>3036</v>
      </c>
      <c r="E1471" s="142">
        <v>0.43359999999999999</v>
      </c>
      <c r="F1471" s="4" t="s">
        <v>3065</v>
      </c>
      <c r="G1471" s="4" t="s">
        <v>3065</v>
      </c>
      <c r="H1471" s="4" t="str">
        <f t="shared" si="25"/>
        <v>No</v>
      </c>
      <c r="I1471" s="56"/>
    </row>
    <row r="1472" spans="1:9">
      <c r="A1472" s="97" t="s">
        <v>2418</v>
      </c>
      <c r="B1472" s="97" t="s">
        <v>1216</v>
      </c>
      <c r="C1472" s="163">
        <v>4463</v>
      </c>
      <c r="D1472" s="95" t="s">
        <v>244</v>
      </c>
      <c r="E1472" s="142">
        <v>0.5749333333333333</v>
      </c>
      <c r="F1472" s="4" t="s">
        <v>2752</v>
      </c>
      <c r="G1472" s="4" t="s">
        <v>2752</v>
      </c>
      <c r="H1472" s="4" t="str">
        <f t="shared" si="25"/>
        <v>No</v>
      </c>
      <c r="I1472" s="56"/>
    </row>
    <row r="1473" spans="1:9">
      <c r="A1473" s="97" t="s">
        <v>2418</v>
      </c>
      <c r="B1473" s="97" t="s">
        <v>1216</v>
      </c>
      <c r="C1473" s="163">
        <v>2865</v>
      </c>
      <c r="D1473" s="95" t="s">
        <v>130</v>
      </c>
      <c r="E1473" s="142">
        <v>0.63719999999999999</v>
      </c>
      <c r="F1473" s="4" t="s">
        <v>2752</v>
      </c>
      <c r="G1473" s="4" t="s">
        <v>2752</v>
      </c>
      <c r="H1473" s="4" t="str">
        <f t="shared" si="25"/>
        <v>No</v>
      </c>
      <c r="I1473" s="56"/>
    </row>
    <row r="1474" spans="1:9">
      <c r="A1474" s="97" t="s">
        <v>2418</v>
      </c>
      <c r="B1474" s="97" t="s">
        <v>1216</v>
      </c>
      <c r="C1474" s="163">
        <v>5704</v>
      </c>
      <c r="D1474" s="95" t="s">
        <v>3037</v>
      </c>
      <c r="E1474" s="142">
        <v>0.68179999999999996</v>
      </c>
      <c r="F1474" s="4" t="s">
        <v>2752</v>
      </c>
      <c r="G1474" s="4" t="s">
        <v>3065</v>
      </c>
      <c r="H1474" s="4" t="str">
        <f t="shared" si="25"/>
        <v>No</v>
      </c>
      <c r="I1474" s="56"/>
    </row>
    <row r="1475" spans="1:9">
      <c r="A1475" s="97" t="s">
        <v>2316</v>
      </c>
      <c r="B1475" s="97" t="s">
        <v>405</v>
      </c>
      <c r="C1475" s="163">
        <v>3087</v>
      </c>
      <c r="D1475" s="95" t="s">
        <v>407</v>
      </c>
      <c r="E1475" s="142">
        <v>0.49680000000000007</v>
      </c>
      <c r="F1475" s="4" t="s">
        <v>3065</v>
      </c>
      <c r="G1475" s="4" t="s">
        <v>2752</v>
      </c>
      <c r="H1475" s="4" t="str">
        <f t="shared" ref="H1475:H1538" si="26">IFERROR(IF(AND(G1475="Yes",F1475="No"),"Yes","No"),"No")</f>
        <v>Yes</v>
      </c>
      <c r="I1475" s="56"/>
    </row>
    <row r="1476" spans="1:9">
      <c r="A1476" s="97" t="s">
        <v>2316</v>
      </c>
      <c r="B1476" s="97" t="s">
        <v>405</v>
      </c>
      <c r="C1476" s="163">
        <v>2241</v>
      </c>
      <c r="D1476" s="95" t="s">
        <v>406</v>
      </c>
      <c r="E1476" s="142">
        <v>0.50260000000000005</v>
      </c>
      <c r="F1476" s="4" t="s">
        <v>2752</v>
      </c>
      <c r="G1476" s="4" t="s">
        <v>3065</v>
      </c>
      <c r="H1476" s="4" t="str">
        <f t="shared" si="26"/>
        <v>No</v>
      </c>
      <c r="I1476" s="56"/>
    </row>
    <row r="1477" spans="1:9">
      <c r="A1477" s="97" t="s">
        <v>2277</v>
      </c>
      <c r="B1477" s="97" t="s">
        <v>136</v>
      </c>
      <c r="C1477" s="163">
        <v>4494</v>
      </c>
      <c r="D1477" s="95" t="s">
        <v>143</v>
      </c>
      <c r="E1477" s="142">
        <v>0.6163333333333334</v>
      </c>
      <c r="F1477" s="4" t="s">
        <v>2752</v>
      </c>
      <c r="G1477" s="4" t="s">
        <v>2752</v>
      </c>
      <c r="H1477" s="4" t="str">
        <f t="shared" si="26"/>
        <v>No</v>
      </c>
      <c r="I1477" s="56"/>
    </row>
    <row r="1478" spans="1:9">
      <c r="A1478" s="97" t="s">
        <v>2277</v>
      </c>
      <c r="B1478" s="97" t="s">
        <v>136</v>
      </c>
      <c r="C1478" s="163">
        <v>2909</v>
      </c>
      <c r="D1478" s="95" t="s">
        <v>139</v>
      </c>
      <c r="E1478" s="142">
        <v>0.55663333333333342</v>
      </c>
      <c r="F1478" s="4" t="s">
        <v>2752</v>
      </c>
      <c r="G1478" s="4" t="s">
        <v>2752</v>
      </c>
      <c r="H1478" s="4" t="str">
        <f t="shared" si="26"/>
        <v>No</v>
      </c>
      <c r="I1478" s="56"/>
    </row>
    <row r="1479" spans="1:9">
      <c r="A1479" s="97" t="s">
        <v>2277</v>
      </c>
      <c r="B1479" s="97" t="s">
        <v>136</v>
      </c>
      <c r="C1479" s="163">
        <v>3079</v>
      </c>
      <c r="D1479" s="95" t="s">
        <v>140</v>
      </c>
      <c r="E1479" s="142">
        <v>0.50780000000000003</v>
      </c>
      <c r="F1479" s="4" t="s">
        <v>2752</v>
      </c>
      <c r="G1479" s="4" t="s">
        <v>2752</v>
      </c>
      <c r="H1479" s="4" t="str">
        <f t="shared" si="26"/>
        <v>No</v>
      </c>
      <c r="I1479" s="56"/>
    </row>
    <row r="1480" spans="1:9">
      <c r="A1480" s="97" t="s">
        <v>2277</v>
      </c>
      <c r="B1480" s="97" t="s">
        <v>136</v>
      </c>
      <c r="C1480" s="163">
        <v>2368</v>
      </c>
      <c r="D1480" s="95" t="s">
        <v>79</v>
      </c>
      <c r="E1480" s="142">
        <v>0.59056666666666657</v>
      </c>
      <c r="F1480" s="4" t="s">
        <v>2752</v>
      </c>
      <c r="G1480" s="4" t="s">
        <v>2752</v>
      </c>
      <c r="H1480" s="4" t="str">
        <f t="shared" si="26"/>
        <v>No</v>
      </c>
      <c r="I1480" s="56"/>
    </row>
    <row r="1481" spans="1:9">
      <c r="A1481" s="97" t="s">
        <v>2277</v>
      </c>
      <c r="B1481" s="97" t="s">
        <v>136</v>
      </c>
      <c r="C1481" s="163">
        <v>4003</v>
      </c>
      <c r="D1481" s="95" t="s">
        <v>142</v>
      </c>
      <c r="E1481" s="142">
        <v>0.67106666666666659</v>
      </c>
      <c r="F1481" s="4" t="s">
        <v>2752</v>
      </c>
      <c r="G1481" s="4" t="s">
        <v>2752</v>
      </c>
      <c r="H1481" s="4" t="str">
        <f t="shared" si="26"/>
        <v>No</v>
      </c>
      <c r="I1481" s="56"/>
    </row>
    <row r="1482" spans="1:9">
      <c r="A1482" s="97" t="s">
        <v>2277</v>
      </c>
      <c r="B1482" s="97" t="s">
        <v>136</v>
      </c>
      <c r="C1482" s="163">
        <v>2908</v>
      </c>
      <c r="D1482" s="95" t="s">
        <v>138</v>
      </c>
      <c r="E1482" s="142">
        <v>0.4371666666666667</v>
      </c>
      <c r="F1482" s="4" t="s">
        <v>3065</v>
      </c>
      <c r="G1482" s="4" t="s">
        <v>3065</v>
      </c>
      <c r="H1482" s="4" t="str">
        <f t="shared" si="26"/>
        <v>No</v>
      </c>
      <c r="I1482" s="56"/>
    </row>
    <row r="1483" spans="1:9">
      <c r="A1483" s="97" t="s">
        <v>2277</v>
      </c>
      <c r="B1483" s="97" t="s">
        <v>136</v>
      </c>
      <c r="C1483" s="163">
        <v>5115</v>
      </c>
      <c r="D1483" s="95" t="s">
        <v>144</v>
      </c>
      <c r="E1483" s="142">
        <v>0.53553333333333331</v>
      </c>
      <c r="F1483" s="4" t="s">
        <v>2752</v>
      </c>
      <c r="G1483" s="4" t="s">
        <v>2752</v>
      </c>
      <c r="H1483" s="4" t="str">
        <f t="shared" si="26"/>
        <v>No</v>
      </c>
      <c r="I1483" s="56"/>
    </row>
    <row r="1484" spans="1:9">
      <c r="A1484" s="97" t="s">
        <v>2277</v>
      </c>
      <c r="B1484" s="97" t="s">
        <v>136</v>
      </c>
      <c r="C1484" s="163">
        <v>5611</v>
      </c>
      <c r="D1484" s="95" t="s">
        <v>2907</v>
      </c>
      <c r="E1484" s="142">
        <v>0.49780000000000002</v>
      </c>
      <c r="F1484" s="4" t="s">
        <v>3065</v>
      </c>
      <c r="G1484" s="4" t="s">
        <v>3065</v>
      </c>
      <c r="H1484" s="4" t="str">
        <f t="shared" si="26"/>
        <v>No</v>
      </c>
      <c r="I1484" s="56"/>
    </row>
    <row r="1485" spans="1:9">
      <c r="A1485" s="97" t="s">
        <v>2277</v>
      </c>
      <c r="B1485" s="97" t="s">
        <v>136</v>
      </c>
      <c r="C1485" s="163">
        <v>1897</v>
      </c>
      <c r="D1485" s="95" t="s">
        <v>137</v>
      </c>
      <c r="E1485" s="142">
        <v>0.13</v>
      </c>
      <c r="F1485" s="4" t="s">
        <v>3065</v>
      </c>
      <c r="G1485" s="4" t="s">
        <v>3065</v>
      </c>
      <c r="H1485" s="4" t="str">
        <f t="shared" si="26"/>
        <v>No</v>
      </c>
      <c r="I1485" s="56"/>
    </row>
    <row r="1486" spans="1:9">
      <c r="A1486" s="97" t="s">
        <v>2277</v>
      </c>
      <c r="B1486" s="97" t="s">
        <v>136</v>
      </c>
      <c r="C1486" s="163">
        <v>3318</v>
      </c>
      <c r="D1486" s="95" t="s">
        <v>141</v>
      </c>
      <c r="E1486" s="142">
        <v>0.53013333333333335</v>
      </c>
      <c r="F1486" s="4" t="s">
        <v>2752</v>
      </c>
      <c r="G1486" s="4" t="s">
        <v>2752</v>
      </c>
      <c r="H1486" s="4" t="str">
        <f t="shared" si="26"/>
        <v>No</v>
      </c>
      <c r="I1486" s="56"/>
    </row>
    <row r="1487" spans="1:9">
      <c r="A1487" s="97" t="s">
        <v>2347</v>
      </c>
      <c r="B1487" s="97" t="s">
        <v>543</v>
      </c>
      <c r="C1487" s="163">
        <v>4475</v>
      </c>
      <c r="D1487" s="95" t="s">
        <v>546</v>
      </c>
      <c r="E1487" s="142">
        <v>0.48690000000000005</v>
      </c>
      <c r="F1487" s="4" t="s">
        <v>3065</v>
      </c>
      <c r="G1487" s="4" t="s">
        <v>2752</v>
      </c>
      <c r="H1487" s="4" t="str">
        <f t="shared" si="26"/>
        <v>Yes</v>
      </c>
      <c r="I1487" s="56"/>
    </row>
    <row r="1488" spans="1:9">
      <c r="A1488" s="97" t="s">
        <v>2347</v>
      </c>
      <c r="B1488" s="97" t="s">
        <v>543</v>
      </c>
      <c r="C1488" s="163">
        <v>1798</v>
      </c>
      <c r="D1488" s="95" t="s">
        <v>544</v>
      </c>
      <c r="E1488" s="142">
        <v>0.51126666666666665</v>
      </c>
      <c r="F1488" s="4" t="s">
        <v>2752</v>
      </c>
      <c r="G1488" s="4" t="s">
        <v>2752</v>
      </c>
      <c r="H1488" s="4" t="str">
        <f t="shared" si="26"/>
        <v>No</v>
      </c>
      <c r="I1488" s="56"/>
    </row>
    <row r="1489" spans="1:9">
      <c r="A1489" s="97" t="s">
        <v>2347</v>
      </c>
      <c r="B1489" s="97" t="s">
        <v>543</v>
      </c>
      <c r="C1489" s="163">
        <v>2503</v>
      </c>
      <c r="D1489" s="95" t="s">
        <v>545</v>
      </c>
      <c r="E1489" s="142">
        <v>0.4296666666666667</v>
      </c>
      <c r="F1489" s="4" t="s">
        <v>3065</v>
      </c>
      <c r="G1489" s="4" t="s">
        <v>3065</v>
      </c>
      <c r="H1489" s="4" t="str">
        <f t="shared" si="26"/>
        <v>No</v>
      </c>
      <c r="I1489" s="56"/>
    </row>
    <row r="1490" spans="1:9">
      <c r="A1490" s="97" t="s">
        <v>2347</v>
      </c>
      <c r="B1490" s="97" t="s">
        <v>543</v>
      </c>
      <c r="C1490" s="163">
        <v>3094</v>
      </c>
      <c r="D1490" s="95" t="s">
        <v>2790</v>
      </c>
      <c r="E1490" s="142">
        <v>0.4738</v>
      </c>
      <c r="F1490" s="4" t="s">
        <v>3065</v>
      </c>
      <c r="G1490" s="4" t="s">
        <v>2752</v>
      </c>
      <c r="H1490" s="4" t="str">
        <f t="shared" si="26"/>
        <v>Yes</v>
      </c>
      <c r="I1490" s="56"/>
    </row>
    <row r="1491" spans="1:9">
      <c r="A1491" s="97" t="s">
        <v>2531</v>
      </c>
      <c r="B1491" s="97" t="s">
        <v>2061</v>
      </c>
      <c r="C1491" s="163">
        <v>3574</v>
      </c>
      <c r="D1491" s="95" t="s">
        <v>2062</v>
      </c>
      <c r="E1491" s="142">
        <v>0.81643333333333334</v>
      </c>
      <c r="F1491" s="4" t="s">
        <v>2752</v>
      </c>
      <c r="G1491" s="4" t="s">
        <v>2752</v>
      </c>
      <c r="H1491" s="4" t="str">
        <f t="shared" si="26"/>
        <v>No</v>
      </c>
      <c r="I1491" s="56"/>
    </row>
    <row r="1492" spans="1:9">
      <c r="A1492" s="97" t="s">
        <v>2531</v>
      </c>
      <c r="B1492" s="97" t="s">
        <v>2061</v>
      </c>
      <c r="C1492" s="163">
        <v>3575</v>
      </c>
      <c r="D1492" s="95" t="s">
        <v>2063</v>
      </c>
      <c r="E1492" s="142">
        <v>0.91590000000000005</v>
      </c>
      <c r="F1492" s="4" t="s">
        <v>2752</v>
      </c>
      <c r="G1492" s="4" t="s">
        <v>2752</v>
      </c>
      <c r="H1492" s="4" t="str">
        <f t="shared" si="26"/>
        <v>No</v>
      </c>
      <c r="I1492" s="56"/>
    </row>
    <row r="1493" spans="1:9">
      <c r="A1493" s="97" t="s">
        <v>2531</v>
      </c>
      <c r="B1493" s="97" t="s">
        <v>2061</v>
      </c>
      <c r="C1493" s="163">
        <v>5687</v>
      </c>
      <c r="D1493" s="95" t="s">
        <v>3038</v>
      </c>
      <c r="E1493" s="142">
        <v>0.86050000000000004</v>
      </c>
      <c r="F1493" s="4" t="s">
        <v>2752</v>
      </c>
      <c r="G1493" s="4" t="s">
        <v>3065</v>
      </c>
      <c r="H1493" s="4" t="str">
        <f t="shared" si="26"/>
        <v>No</v>
      </c>
      <c r="I1493" s="56"/>
    </row>
    <row r="1494" spans="1:9">
      <c r="A1494" s="97" t="s">
        <v>2502</v>
      </c>
      <c r="B1494" s="97" t="s">
        <v>1922</v>
      </c>
      <c r="C1494" s="163">
        <v>5339</v>
      </c>
      <c r="D1494" s="95" t="s">
        <v>2908</v>
      </c>
      <c r="E1494" s="142">
        <v>0.58520000000000005</v>
      </c>
      <c r="F1494" s="4" t="s">
        <v>2752</v>
      </c>
      <c r="G1494" s="4" t="s">
        <v>2752</v>
      </c>
      <c r="H1494" s="4" t="str">
        <f t="shared" si="26"/>
        <v>No</v>
      </c>
      <c r="I1494" s="56"/>
    </row>
    <row r="1495" spans="1:9">
      <c r="A1495" s="97" t="s">
        <v>2268</v>
      </c>
      <c r="B1495" s="97" t="s">
        <v>71</v>
      </c>
      <c r="C1495" s="163">
        <v>2906</v>
      </c>
      <c r="D1495" s="95" t="s">
        <v>75</v>
      </c>
      <c r="E1495" s="142">
        <v>0.74896666666666667</v>
      </c>
      <c r="F1495" s="4" t="s">
        <v>2752</v>
      </c>
      <c r="G1495" s="4" t="s">
        <v>2752</v>
      </c>
      <c r="H1495" s="4" t="str">
        <f t="shared" si="26"/>
        <v>No</v>
      </c>
      <c r="I1495" s="56"/>
    </row>
    <row r="1496" spans="1:9">
      <c r="A1496" s="97" t="s">
        <v>2268</v>
      </c>
      <c r="B1496" s="97" t="s">
        <v>71</v>
      </c>
      <c r="C1496" s="163">
        <v>2195</v>
      </c>
      <c r="D1496" s="95" t="s">
        <v>72</v>
      </c>
      <c r="E1496" s="142">
        <v>0.71676666666666666</v>
      </c>
      <c r="F1496" s="4" t="s">
        <v>2752</v>
      </c>
      <c r="G1496" s="4" t="s">
        <v>2752</v>
      </c>
      <c r="H1496" s="4" t="str">
        <f t="shared" si="26"/>
        <v>No</v>
      </c>
      <c r="I1496" s="56"/>
    </row>
    <row r="1497" spans="1:9">
      <c r="A1497" s="97" t="s">
        <v>2268</v>
      </c>
      <c r="B1497" s="97" t="s">
        <v>71</v>
      </c>
      <c r="C1497" s="163">
        <v>3316</v>
      </c>
      <c r="D1497" s="95" t="s">
        <v>76</v>
      </c>
      <c r="E1497" s="142">
        <v>0.74943333333333328</v>
      </c>
      <c r="F1497" s="4" t="s">
        <v>2752</v>
      </c>
      <c r="G1497" s="4" t="s">
        <v>2752</v>
      </c>
      <c r="H1497" s="4" t="str">
        <f t="shared" si="26"/>
        <v>No</v>
      </c>
      <c r="I1497" s="56"/>
    </row>
    <row r="1498" spans="1:9">
      <c r="A1498" s="97" t="s">
        <v>2268</v>
      </c>
      <c r="B1498" s="97" t="s">
        <v>71</v>
      </c>
      <c r="C1498" s="163">
        <v>2508</v>
      </c>
      <c r="D1498" s="95" t="s">
        <v>73</v>
      </c>
      <c r="E1498" s="142">
        <v>0.64796666666666658</v>
      </c>
      <c r="F1498" s="4" t="s">
        <v>2752</v>
      </c>
      <c r="G1498" s="4" t="s">
        <v>2752</v>
      </c>
      <c r="H1498" s="4" t="str">
        <f t="shared" si="26"/>
        <v>No</v>
      </c>
      <c r="I1498" s="56"/>
    </row>
    <row r="1499" spans="1:9">
      <c r="A1499" s="97" t="s">
        <v>2268</v>
      </c>
      <c r="B1499" s="97" t="s">
        <v>71</v>
      </c>
      <c r="C1499" s="163">
        <v>5537</v>
      </c>
      <c r="D1499" s="95" t="s">
        <v>2909</v>
      </c>
      <c r="E1499" s="142">
        <v>0.75</v>
      </c>
      <c r="F1499" s="4" t="s">
        <v>2752</v>
      </c>
      <c r="G1499" s="4" t="s">
        <v>2752</v>
      </c>
      <c r="H1499" s="4" t="str">
        <f t="shared" si="26"/>
        <v>No</v>
      </c>
      <c r="I1499" s="56"/>
    </row>
    <row r="1500" spans="1:9">
      <c r="A1500" s="97" t="s">
        <v>2268</v>
      </c>
      <c r="B1500" s="97" t="s">
        <v>71</v>
      </c>
      <c r="C1500" s="163">
        <v>2905</v>
      </c>
      <c r="D1500" s="95" t="s">
        <v>74</v>
      </c>
      <c r="E1500" s="142">
        <v>0.76736666666666664</v>
      </c>
      <c r="F1500" s="4" t="s">
        <v>2752</v>
      </c>
      <c r="G1500" s="4" t="s">
        <v>2752</v>
      </c>
      <c r="H1500" s="4" t="str">
        <f t="shared" si="26"/>
        <v>No</v>
      </c>
      <c r="I1500" s="56"/>
    </row>
    <row r="1501" spans="1:9">
      <c r="A1501" s="97" t="s">
        <v>2951</v>
      </c>
      <c r="B1501" s="97" t="s">
        <v>2952</v>
      </c>
      <c r="C1501" s="163">
        <v>5659</v>
      </c>
      <c r="D1501" s="95" t="s">
        <v>2952</v>
      </c>
      <c r="E1501" s="142">
        <v>0.2278</v>
      </c>
      <c r="F1501" s="4" t="s">
        <v>3065</v>
      </c>
      <c r="G1501" s="4" t="s">
        <v>3065</v>
      </c>
      <c r="H1501" s="4" t="str">
        <f t="shared" si="26"/>
        <v>No</v>
      </c>
      <c r="I1501" s="56"/>
    </row>
    <row r="1502" spans="1:9">
      <c r="A1502" s="97" t="s">
        <v>2543</v>
      </c>
      <c r="B1502" s="97" t="s">
        <v>2138</v>
      </c>
      <c r="C1502" s="163">
        <v>2587</v>
      </c>
      <c r="D1502" s="95" t="s">
        <v>139</v>
      </c>
      <c r="E1502" s="142">
        <v>0.23253333333333334</v>
      </c>
      <c r="F1502" s="4" t="s">
        <v>3065</v>
      </c>
      <c r="G1502" s="4" t="s">
        <v>3065</v>
      </c>
      <c r="H1502" s="4" t="str">
        <f t="shared" si="26"/>
        <v>No</v>
      </c>
      <c r="I1502" s="56"/>
    </row>
    <row r="1503" spans="1:9">
      <c r="A1503" s="97" t="s">
        <v>2543</v>
      </c>
      <c r="B1503" s="97" t="s">
        <v>2138</v>
      </c>
      <c r="C1503" s="163">
        <v>3203</v>
      </c>
      <c r="D1503" s="95" t="s">
        <v>79</v>
      </c>
      <c r="E1503" s="142">
        <v>0.45080000000000003</v>
      </c>
      <c r="F1503" s="4" t="s">
        <v>3065</v>
      </c>
      <c r="G1503" s="4" t="s">
        <v>3065</v>
      </c>
      <c r="H1503" s="4" t="str">
        <f t="shared" si="26"/>
        <v>No</v>
      </c>
      <c r="I1503" s="56"/>
    </row>
    <row r="1504" spans="1:9">
      <c r="A1504" s="97" t="s">
        <v>2543</v>
      </c>
      <c r="B1504" s="97" t="s">
        <v>2138</v>
      </c>
      <c r="C1504" s="163">
        <v>5574</v>
      </c>
      <c r="D1504" s="95" t="s">
        <v>2910</v>
      </c>
      <c r="E1504" s="142">
        <v>0.44229999999999997</v>
      </c>
      <c r="F1504" s="4" t="s">
        <v>3065</v>
      </c>
      <c r="G1504" s="4" t="s">
        <v>3065</v>
      </c>
      <c r="H1504" s="4" t="str">
        <f t="shared" si="26"/>
        <v>No</v>
      </c>
      <c r="I1504" s="56"/>
    </row>
    <row r="1505" spans="1:9">
      <c r="A1505" s="97" t="s">
        <v>2543</v>
      </c>
      <c r="B1505" s="97" t="s">
        <v>2138</v>
      </c>
      <c r="C1505" s="163">
        <v>3419</v>
      </c>
      <c r="D1505" s="95" t="s">
        <v>23</v>
      </c>
      <c r="E1505" s="142">
        <v>0.29189999999999999</v>
      </c>
      <c r="F1505" s="4" t="s">
        <v>3065</v>
      </c>
      <c r="G1505" s="4" t="s">
        <v>3065</v>
      </c>
      <c r="H1505" s="4" t="str">
        <f t="shared" si="26"/>
        <v>No</v>
      </c>
      <c r="I1505" s="56"/>
    </row>
    <row r="1506" spans="1:9">
      <c r="A1506" s="97" t="s">
        <v>2543</v>
      </c>
      <c r="B1506" s="97" t="s">
        <v>2138</v>
      </c>
      <c r="C1506" s="163">
        <v>2499</v>
      </c>
      <c r="D1506" s="95" t="s">
        <v>2139</v>
      </c>
      <c r="E1506" s="142">
        <v>0.25679999999999997</v>
      </c>
      <c r="F1506" s="4" t="s">
        <v>3065</v>
      </c>
      <c r="G1506" s="4" t="s">
        <v>3065</v>
      </c>
      <c r="H1506" s="4" t="str">
        <f t="shared" si="26"/>
        <v>No</v>
      </c>
      <c r="I1506" s="56"/>
    </row>
    <row r="1507" spans="1:9">
      <c r="A1507" s="97" t="s">
        <v>2543</v>
      </c>
      <c r="B1507" s="97" t="s">
        <v>2138</v>
      </c>
      <c r="C1507" s="163">
        <v>3614</v>
      </c>
      <c r="D1507" s="95" t="s">
        <v>1697</v>
      </c>
      <c r="E1507" s="142">
        <v>0.17666666666666667</v>
      </c>
      <c r="F1507" s="4" t="s">
        <v>3065</v>
      </c>
      <c r="G1507" s="4" t="s">
        <v>3065</v>
      </c>
      <c r="H1507" s="4" t="str">
        <f t="shared" si="26"/>
        <v>No</v>
      </c>
      <c r="I1507" s="56"/>
    </row>
    <row r="1508" spans="1:9">
      <c r="A1508" s="97" t="s">
        <v>2439</v>
      </c>
      <c r="B1508" s="97" t="s">
        <v>1299</v>
      </c>
      <c r="C1508" s="163">
        <v>3447</v>
      </c>
      <c r="D1508" s="95" t="s">
        <v>1311</v>
      </c>
      <c r="E1508" s="142">
        <v>0.37709999999999999</v>
      </c>
      <c r="F1508" s="4" t="s">
        <v>3065</v>
      </c>
      <c r="G1508" s="4" t="s">
        <v>3065</v>
      </c>
      <c r="H1508" s="4" t="str">
        <f t="shared" si="26"/>
        <v>No</v>
      </c>
      <c r="I1508" s="56"/>
    </row>
    <row r="1509" spans="1:9">
      <c r="A1509" s="97" t="s">
        <v>2439</v>
      </c>
      <c r="B1509" s="97" t="s">
        <v>1299</v>
      </c>
      <c r="C1509" s="163">
        <v>3750</v>
      </c>
      <c r="D1509" s="95" t="s">
        <v>1316</v>
      </c>
      <c r="E1509" s="142">
        <v>0.41063333333333335</v>
      </c>
      <c r="F1509" s="4" t="s">
        <v>3065</v>
      </c>
      <c r="G1509" s="4" t="s">
        <v>3065</v>
      </c>
      <c r="H1509" s="4" t="str">
        <f t="shared" si="26"/>
        <v>No</v>
      </c>
      <c r="I1509" s="56"/>
    </row>
    <row r="1510" spans="1:9">
      <c r="A1510" s="97" t="s">
        <v>2439</v>
      </c>
      <c r="B1510" s="97" t="s">
        <v>1299</v>
      </c>
      <c r="C1510" s="163">
        <v>4361</v>
      </c>
      <c r="D1510" s="95" t="s">
        <v>1322</v>
      </c>
      <c r="E1510" s="142">
        <v>0.3062333333333333</v>
      </c>
      <c r="F1510" s="4" t="s">
        <v>3065</v>
      </c>
      <c r="G1510" s="4" t="s">
        <v>3065</v>
      </c>
      <c r="H1510" s="4" t="str">
        <f t="shared" si="26"/>
        <v>No</v>
      </c>
      <c r="I1510" s="56"/>
    </row>
    <row r="1511" spans="1:9">
      <c r="A1511" s="97" t="s">
        <v>2439</v>
      </c>
      <c r="B1511" s="97" t="s">
        <v>1299</v>
      </c>
      <c r="C1511" s="163">
        <v>5088</v>
      </c>
      <c r="D1511" s="95" t="s">
        <v>937</v>
      </c>
      <c r="E1511" s="142">
        <v>0.37290000000000001</v>
      </c>
      <c r="F1511" s="4" t="s">
        <v>3065</v>
      </c>
      <c r="G1511" s="4" t="s">
        <v>3065</v>
      </c>
      <c r="H1511" s="4" t="str">
        <f t="shared" si="26"/>
        <v>No</v>
      </c>
      <c r="I1511" s="56"/>
    </row>
    <row r="1512" spans="1:9">
      <c r="A1512" s="97" t="s">
        <v>2439</v>
      </c>
      <c r="B1512" s="97" t="s">
        <v>1299</v>
      </c>
      <c r="C1512" s="163">
        <v>5557</v>
      </c>
      <c r="D1512" s="95" t="s">
        <v>2911</v>
      </c>
      <c r="E1512" s="142">
        <v>0.38413333333333338</v>
      </c>
      <c r="F1512" s="4" t="s">
        <v>3065</v>
      </c>
      <c r="G1512" s="4" t="s">
        <v>3065</v>
      </c>
      <c r="H1512" s="4" t="str">
        <f t="shared" si="26"/>
        <v>No</v>
      </c>
      <c r="I1512" s="56"/>
    </row>
    <row r="1513" spans="1:9">
      <c r="A1513" s="97" t="s">
        <v>2439</v>
      </c>
      <c r="B1513" s="97" t="s">
        <v>1299</v>
      </c>
      <c r="C1513" s="163">
        <v>2575</v>
      </c>
      <c r="D1513" s="95" t="s">
        <v>1308</v>
      </c>
      <c r="E1513" s="142">
        <v>0.32173333333333332</v>
      </c>
      <c r="F1513" s="4" t="s">
        <v>3065</v>
      </c>
      <c r="G1513" s="4" t="s">
        <v>3065</v>
      </c>
      <c r="H1513" s="4" t="str">
        <f t="shared" si="26"/>
        <v>No</v>
      </c>
      <c r="I1513" s="56"/>
    </row>
    <row r="1514" spans="1:9">
      <c r="A1514" s="97" t="s">
        <v>2439</v>
      </c>
      <c r="B1514" s="97" t="s">
        <v>1299</v>
      </c>
      <c r="C1514" s="163">
        <v>5093</v>
      </c>
      <c r="D1514" s="95" t="s">
        <v>1327</v>
      </c>
      <c r="E1514" s="142">
        <v>0.25136666666666668</v>
      </c>
      <c r="F1514" s="4" t="s">
        <v>3065</v>
      </c>
      <c r="G1514" s="4" t="s">
        <v>3065</v>
      </c>
      <c r="H1514" s="4" t="str">
        <f t="shared" si="26"/>
        <v>No</v>
      </c>
      <c r="I1514" s="56"/>
    </row>
    <row r="1515" spans="1:9">
      <c r="A1515" s="97" t="s">
        <v>2439</v>
      </c>
      <c r="B1515" s="97" t="s">
        <v>1299</v>
      </c>
      <c r="C1515" s="163">
        <v>4540</v>
      </c>
      <c r="D1515" s="95" t="s">
        <v>1326</v>
      </c>
      <c r="E1515" s="142">
        <v>0.33426666666666671</v>
      </c>
      <c r="F1515" s="4" t="s">
        <v>3065</v>
      </c>
      <c r="G1515" s="4" t="s">
        <v>3065</v>
      </c>
      <c r="H1515" s="4" t="str">
        <f t="shared" si="26"/>
        <v>No</v>
      </c>
      <c r="I1515" s="56"/>
    </row>
    <row r="1516" spans="1:9">
      <c r="A1516" s="97" t="s">
        <v>2439</v>
      </c>
      <c r="B1516" s="97" t="s">
        <v>1299</v>
      </c>
      <c r="C1516" s="163">
        <v>4183</v>
      </c>
      <c r="D1516" s="95" t="s">
        <v>1321</v>
      </c>
      <c r="E1516" s="142">
        <v>0.45146666666666668</v>
      </c>
      <c r="F1516" s="4" t="s">
        <v>3065</v>
      </c>
      <c r="G1516" s="4" t="s">
        <v>3065</v>
      </c>
      <c r="H1516" s="4" t="str">
        <f t="shared" si="26"/>
        <v>No</v>
      </c>
      <c r="I1516" s="56"/>
    </row>
    <row r="1517" spans="1:9">
      <c r="A1517" s="97" t="s">
        <v>2439</v>
      </c>
      <c r="B1517" s="97" t="s">
        <v>1299</v>
      </c>
      <c r="C1517" s="163">
        <v>2496</v>
      </c>
      <c r="D1517" s="95" t="s">
        <v>1304</v>
      </c>
      <c r="E1517" s="142">
        <v>0.55853333333333322</v>
      </c>
      <c r="F1517" s="4" t="s">
        <v>2752</v>
      </c>
      <c r="G1517" s="4" t="s">
        <v>2752</v>
      </c>
      <c r="H1517" s="4" t="str">
        <f t="shared" si="26"/>
        <v>No</v>
      </c>
      <c r="I1517" s="56"/>
    </row>
    <row r="1518" spans="1:9">
      <c r="A1518" s="97" t="s">
        <v>2439</v>
      </c>
      <c r="B1518" s="97" t="s">
        <v>1299</v>
      </c>
      <c r="C1518" s="163">
        <v>3557</v>
      </c>
      <c r="D1518" s="95" t="s">
        <v>1312</v>
      </c>
      <c r="E1518" s="142">
        <v>0.22923333333333332</v>
      </c>
      <c r="F1518" s="4" t="s">
        <v>3065</v>
      </c>
      <c r="G1518" s="4" t="s">
        <v>3065</v>
      </c>
      <c r="H1518" s="4" t="str">
        <f t="shared" si="26"/>
        <v>No</v>
      </c>
      <c r="I1518" s="56"/>
    </row>
    <row r="1519" spans="1:9">
      <c r="A1519" s="97" t="s">
        <v>2439</v>
      </c>
      <c r="B1519" s="97" t="s">
        <v>1299</v>
      </c>
      <c r="C1519" s="163">
        <v>5142</v>
      </c>
      <c r="D1519" s="95" t="s">
        <v>1328</v>
      </c>
      <c r="E1519" s="142">
        <v>0.33039999999999997</v>
      </c>
      <c r="F1519" s="4" t="s">
        <v>3065</v>
      </c>
      <c r="G1519" s="4" t="s">
        <v>3065</v>
      </c>
      <c r="H1519" s="4" t="str">
        <f t="shared" si="26"/>
        <v>No</v>
      </c>
      <c r="I1519" s="56"/>
    </row>
    <row r="1520" spans="1:9">
      <c r="A1520" s="97" t="s">
        <v>2439</v>
      </c>
      <c r="B1520" s="97" t="s">
        <v>1299</v>
      </c>
      <c r="C1520" s="163">
        <v>4360</v>
      </c>
      <c r="D1520" s="95" t="s">
        <v>2912</v>
      </c>
      <c r="E1520" s="142">
        <v>0.39660000000000001</v>
      </c>
      <c r="F1520" s="4" t="s">
        <v>3065</v>
      </c>
      <c r="G1520" s="4" t="s">
        <v>3065</v>
      </c>
      <c r="H1520" s="4" t="str">
        <f t="shared" si="26"/>
        <v>No</v>
      </c>
      <c r="I1520" s="56"/>
    </row>
    <row r="1521" spans="1:9">
      <c r="A1521" s="97" t="s">
        <v>2439</v>
      </c>
      <c r="B1521" s="97" t="s">
        <v>1299</v>
      </c>
      <c r="C1521" s="163">
        <v>3052</v>
      </c>
      <c r="D1521" s="95" t="s">
        <v>1310</v>
      </c>
      <c r="E1521" s="142">
        <v>0.33310000000000001</v>
      </c>
      <c r="F1521" s="4" t="s">
        <v>3065</v>
      </c>
      <c r="G1521" s="4" t="s">
        <v>3065</v>
      </c>
      <c r="H1521" s="4" t="str">
        <f t="shared" si="26"/>
        <v>No</v>
      </c>
      <c r="I1521" s="56"/>
    </row>
    <row r="1522" spans="1:9">
      <c r="A1522" s="97" t="s">
        <v>2439</v>
      </c>
      <c r="B1522" s="97" t="s">
        <v>1299</v>
      </c>
      <c r="C1522" s="163">
        <v>2870</v>
      </c>
      <c r="D1522" s="95" t="s">
        <v>1309</v>
      </c>
      <c r="E1522" s="142">
        <v>0.48110000000000003</v>
      </c>
      <c r="F1522" s="4" t="s">
        <v>3065</v>
      </c>
      <c r="G1522" s="4" t="s">
        <v>3065</v>
      </c>
      <c r="H1522" s="4" t="str">
        <f t="shared" si="26"/>
        <v>No</v>
      </c>
      <c r="I1522" s="56"/>
    </row>
    <row r="1523" spans="1:9">
      <c r="A1523" s="97" t="s">
        <v>2439</v>
      </c>
      <c r="B1523" s="97" t="s">
        <v>1299</v>
      </c>
      <c r="C1523" s="163">
        <v>2498</v>
      </c>
      <c r="D1523" s="95" t="s">
        <v>1306</v>
      </c>
      <c r="E1523" s="142">
        <v>0.26673333333333332</v>
      </c>
      <c r="F1523" s="4" t="s">
        <v>3065</v>
      </c>
      <c r="G1523" s="4" t="s">
        <v>3065</v>
      </c>
      <c r="H1523" s="4" t="str">
        <f t="shared" si="26"/>
        <v>No</v>
      </c>
      <c r="I1523" s="56"/>
    </row>
    <row r="1524" spans="1:9">
      <c r="A1524" s="97" t="s">
        <v>2439</v>
      </c>
      <c r="B1524" s="97" t="s">
        <v>1299</v>
      </c>
      <c r="C1524" s="163">
        <v>2334</v>
      </c>
      <c r="D1524" s="95" t="s">
        <v>1302</v>
      </c>
      <c r="E1524" s="142">
        <v>0.33149999999999996</v>
      </c>
      <c r="F1524" s="4" t="s">
        <v>3065</v>
      </c>
      <c r="G1524" s="4" t="s">
        <v>3065</v>
      </c>
      <c r="H1524" s="4" t="str">
        <f t="shared" si="26"/>
        <v>No</v>
      </c>
      <c r="I1524" s="56"/>
    </row>
    <row r="1525" spans="1:9">
      <c r="A1525" s="97" t="s">
        <v>2439</v>
      </c>
      <c r="B1525" s="97" t="s">
        <v>1299</v>
      </c>
      <c r="C1525" s="163">
        <v>3572</v>
      </c>
      <c r="D1525" s="95" t="s">
        <v>1314</v>
      </c>
      <c r="E1525" s="142">
        <v>0.33083333333333331</v>
      </c>
      <c r="F1525" s="4" t="s">
        <v>3065</v>
      </c>
      <c r="G1525" s="4" t="s">
        <v>3065</v>
      </c>
      <c r="H1525" s="4" t="str">
        <f t="shared" si="26"/>
        <v>No</v>
      </c>
      <c r="I1525" s="56"/>
    </row>
    <row r="1526" spans="1:9">
      <c r="A1526" s="97" t="s">
        <v>2439</v>
      </c>
      <c r="B1526" s="97" t="s">
        <v>1299</v>
      </c>
      <c r="C1526" s="163">
        <v>3927</v>
      </c>
      <c r="D1526" s="95" t="s">
        <v>1317</v>
      </c>
      <c r="E1526" s="142">
        <v>0.29066666666666668</v>
      </c>
      <c r="F1526" s="4" t="s">
        <v>3065</v>
      </c>
      <c r="G1526" s="4" t="s">
        <v>3065</v>
      </c>
      <c r="H1526" s="4" t="str">
        <f t="shared" si="26"/>
        <v>No</v>
      </c>
      <c r="I1526" s="56"/>
    </row>
    <row r="1527" spans="1:9">
      <c r="A1527" s="97" t="s">
        <v>2439</v>
      </c>
      <c r="B1527" s="97" t="s">
        <v>1299</v>
      </c>
      <c r="C1527" s="163">
        <v>4146</v>
      </c>
      <c r="D1527" s="95" t="s">
        <v>1320</v>
      </c>
      <c r="E1527" s="142">
        <v>0.3738333333333333</v>
      </c>
      <c r="F1527" s="4" t="s">
        <v>3065</v>
      </c>
      <c r="G1527" s="4" t="s">
        <v>3065</v>
      </c>
      <c r="H1527" s="4" t="str">
        <f t="shared" si="26"/>
        <v>No</v>
      </c>
      <c r="I1527" s="56"/>
    </row>
    <row r="1528" spans="1:9">
      <c r="A1528" s="97" t="s">
        <v>2439</v>
      </c>
      <c r="B1528" s="97" t="s">
        <v>1299</v>
      </c>
      <c r="C1528" s="163">
        <v>3951</v>
      </c>
      <c r="D1528" s="95" t="s">
        <v>3039</v>
      </c>
      <c r="E1528" s="142">
        <v>0</v>
      </c>
      <c r="F1528" s="4" t="s">
        <v>3065</v>
      </c>
      <c r="G1528" s="4" t="s">
        <v>3065</v>
      </c>
      <c r="H1528" s="4" t="str">
        <f t="shared" si="26"/>
        <v>No</v>
      </c>
      <c r="I1528" s="56"/>
    </row>
    <row r="1529" spans="1:9">
      <c r="A1529" s="97" t="s">
        <v>2439</v>
      </c>
      <c r="B1529" s="97" t="s">
        <v>1299</v>
      </c>
      <c r="C1529" s="163">
        <v>2125</v>
      </c>
      <c r="D1529" s="95" t="s">
        <v>1300</v>
      </c>
      <c r="E1529" s="142">
        <v>0.29436666666666667</v>
      </c>
      <c r="F1529" s="4" t="s">
        <v>3065</v>
      </c>
      <c r="G1529" s="4" t="s">
        <v>3065</v>
      </c>
      <c r="H1529" s="4" t="str">
        <f t="shared" si="26"/>
        <v>No</v>
      </c>
      <c r="I1529" s="56"/>
    </row>
    <row r="1530" spans="1:9">
      <c r="A1530" s="97" t="s">
        <v>2439</v>
      </c>
      <c r="B1530" s="97" t="s">
        <v>1299</v>
      </c>
      <c r="C1530" s="163">
        <v>1640</v>
      </c>
      <c r="D1530" s="95" t="s">
        <v>2913</v>
      </c>
      <c r="E1530" s="142">
        <v>0.46346666666666669</v>
      </c>
      <c r="F1530" s="4" t="s">
        <v>3065</v>
      </c>
      <c r="G1530" s="4" t="s">
        <v>3065</v>
      </c>
      <c r="H1530" s="4" t="str">
        <f t="shared" si="26"/>
        <v>No</v>
      </c>
      <c r="I1530" s="56"/>
    </row>
    <row r="1531" spans="1:9">
      <c r="A1531" s="97" t="s">
        <v>2439</v>
      </c>
      <c r="B1531" s="97" t="s">
        <v>1299</v>
      </c>
      <c r="C1531" s="163">
        <v>5321</v>
      </c>
      <c r="D1531" s="95" t="s">
        <v>2914</v>
      </c>
      <c r="E1531" s="142">
        <v>0.53739999999999999</v>
      </c>
      <c r="F1531" s="4" t="s">
        <v>2752</v>
      </c>
      <c r="G1531" s="4" t="s">
        <v>2752</v>
      </c>
      <c r="H1531" s="4" t="str">
        <f t="shared" si="26"/>
        <v>No</v>
      </c>
      <c r="I1531" s="56"/>
    </row>
    <row r="1532" spans="1:9">
      <c r="A1532" s="97" t="s">
        <v>2439</v>
      </c>
      <c r="B1532" s="97" t="s">
        <v>1299</v>
      </c>
      <c r="C1532" s="163">
        <v>5322</v>
      </c>
      <c r="D1532" s="95" t="s">
        <v>1329</v>
      </c>
      <c r="E1532" s="142">
        <v>0.28856666666666664</v>
      </c>
      <c r="F1532" s="4" t="s">
        <v>3065</v>
      </c>
      <c r="G1532" s="4" t="s">
        <v>3065</v>
      </c>
      <c r="H1532" s="4" t="str">
        <f t="shared" si="26"/>
        <v>No</v>
      </c>
      <c r="I1532" s="56"/>
    </row>
    <row r="1533" spans="1:9">
      <c r="A1533" s="97" t="s">
        <v>2439</v>
      </c>
      <c r="B1533" s="97" t="s">
        <v>1299</v>
      </c>
      <c r="C1533" s="163">
        <v>4121</v>
      </c>
      <c r="D1533" s="95" t="s">
        <v>876</v>
      </c>
      <c r="E1533" s="142">
        <v>0.40136666666666665</v>
      </c>
      <c r="F1533" s="4" t="s">
        <v>3065</v>
      </c>
      <c r="G1533" s="4" t="s">
        <v>3065</v>
      </c>
      <c r="H1533" s="4" t="str">
        <f t="shared" si="26"/>
        <v>No</v>
      </c>
      <c r="I1533" s="56"/>
    </row>
    <row r="1534" spans="1:9">
      <c r="A1534" s="97" t="s">
        <v>2439</v>
      </c>
      <c r="B1534" s="97" t="s">
        <v>1299</v>
      </c>
      <c r="C1534" s="163">
        <v>3645</v>
      </c>
      <c r="D1534" s="95" t="s">
        <v>1315</v>
      </c>
      <c r="E1534" s="142">
        <v>0.36136666666666661</v>
      </c>
      <c r="F1534" s="4" t="s">
        <v>3065</v>
      </c>
      <c r="G1534" s="4" t="s">
        <v>3065</v>
      </c>
      <c r="H1534" s="4" t="str">
        <f t="shared" si="26"/>
        <v>No</v>
      </c>
      <c r="I1534" s="56"/>
    </row>
    <row r="1535" spans="1:9">
      <c r="A1535" s="97" t="s">
        <v>2439</v>
      </c>
      <c r="B1535" s="97" t="s">
        <v>1299</v>
      </c>
      <c r="C1535" s="163">
        <v>4414</v>
      </c>
      <c r="D1535" s="95" t="s">
        <v>1323</v>
      </c>
      <c r="E1535" s="142">
        <v>0.26163333333333333</v>
      </c>
      <c r="F1535" s="4" t="s">
        <v>3065</v>
      </c>
      <c r="G1535" s="4" t="s">
        <v>3065</v>
      </c>
      <c r="H1535" s="4" t="str">
        <f t="shared" si="26"/>
        <v>No</v>
      </c>
      <c r="I1535" s="56"/>
    </row>
    <row r="1536" spans="1:9">
      <c r="A1536" s="97" t="s">
        <v>2439</v>
      </c>
      <c r="B1536" s="97" t="s">
        <v>1299</v>
      </c>
      <c r="C1536" s="163">
        <v>2497</v>
      </c>
      <c r="D1536" s="95" t="s">
        <v>1305</v>
      </c>
      <c r="E1536" s="142">
        <v>0.49756666666666671</v>
      </c>
      <c r="F1536" s="4" t="s">
        <v>3065</v>
      </c>
      <c r="G1536" s="4" t="s">
        <v>2752</v>
      </c>
      <c r="H1536" s="4" t="str">
        <f t="shared" si="26"/>
        <v>Yes</v>
      </c>
      <c r="I1536" s="56"/>
    </row>
    <row r="1537" spans="1:9">
      <c r="A1537" s="97" t="s">
        <v>2439</v>
      </c>
      <c r="B1537" s="97" t="s">
        <v>1299</v>
      </c>
      <c r="C1537" s="163">
        <v>4443</v>
      </c>
      <c r="D1537" s="95" t="s">
        <v>1324</v>
      </c>
      <c r="E1537" s="142">
        <v>0.38756666666666667</v>
      </c>
      <c r="F1537" s="4" t="s">
        <v>3065</v>
      </c>
      <c r="G1537" s="4" t="s">
        <v>3065</v>
      </c>
      <c r="H1537" s="4" t="str">
        <f t="shared" si="26"/>
        <v>No</v>
      </c>
      <c r="I1537" s="56"/>
    </row>
    <row r="1538" spans="1:9">
      <c r="A1538" s="97" t="s">
        <v>2439</v>
      </c>
      <c r="B1538" s="97" t="s">
        <v>1299</v>
      </c>
      <c r="C1538" s="163">
        <v>2311</v>
      </c>
      <c r="D1538" s="95" t="s">
        <v>1301</v>
      </c>
      <c r="E1538" s="142">
        <v>0.57690000000000008</v>
      </c>
      <c r="F1538" s="4" t="s">
        <v>2752</v>
      </c>
      <c r="G1538" s="4" t="s">
        <v>2752</v>
      </c>
      <c r="H1538" s="4" t="str">
        <f t="shared" si="26"/>
        <v>No</v>
      </c>
      <c r="I1538" s="56"/>
    </row>
    <row r="1539" spans="1:9">
      <c r="A1539" s="97" t="s">
        <v>2439</v>
      </c>
      <c r="B1539" s="97" t="s">
        <v>1299</v>
      </c>
      <c r="C1539" s="163">
        <v>3896</v>
      </c>
      <c r="D1539" s="95" t="s">
        <v>693</v>
      </c>
      <c r="E1539" s="142">
        <v>0.49790000000000001</v>
      </c>
      <c r="F1539" s="4" t="s">
        <v>3065</v>
      </c>
      <c r="G1539" s="4" t="s">
        <v>3065</v>
      </c>
      <c r="H1539" s="4" t="str">
        <f t="shared" ref="H1539:H1602" si="27">IFERROR(IF(AND(G1539="Yes",F1539="No"),"Yes","No"),"No")</f>
        <v>No</v>
      </c>
      <c r="I1539" s="56"/>
    </row>
    <row r="1540" spans="1:9">
      <c r="A1540" s="97" t="s">
        <v>2439</v>
      </c>
      <c r="B1540" s="97" t="s">
        <v>1299</v>
      </c>
      <c r="C1540" s="163">
        <v>3972</v>
      </c>
      <c r="D1540" s="95" t="s">
        <v>1318</v>
      </c>
      <c r="E1540" s="142">
        <v>0.56613333333333338</v>
      </c>
      <c r="F1540" s="4" t="s">
        <v>2752</v>
      </c>
      <c r="G1540" s="4" t="s">
        <v>2752</v>
      </c>
      <c r="H1540" s="4" t="str">
        <f t="shared" si="27"/>
        <v>No</v>
      </c>
      <c r="I1540" s="56"/>
    </row>
    <row r="1541" spans="1:9">
      <c r="A1541" s="97" t="s">
        <v>2439</v>
      </c>
      <c r="B1541" s="97" t="s">
        <v>1299</v>
      </c>
      <c r="C1541" s="163">
        <v>2495</v>
      </c>
      <c r="D1541" s="95" t="s">
        <v>1303</v>
      </c>
      <c r="E1541" s="142">
        <v>0.53703333333333336</v>
      </c>
      <c r="F1541" s="4" t="s">
        <v>2752</v>
      </c>
      <c r="G1541" s="4" t="s">
        <v>2752</v>
      </c>
      <c r="H1541" s="4" t="str">
        <f t="shared" si="27"/>
        <v>No</v>
      </c>
      <c r="I1541" s="56"/>
    </row>
    <row r="1542" spans="1:9">
      <c r="A1542" s="97" t="s">
        <v>2439</v>
      </c>
      <c r="B1542" s="97" t="s">
        <v>1299</v>
      </c>
      <c r="C1542" s="163">
        <v>3558</v>
      </c>
      <c r="D1542" s="95" t="s">
        <v>1313</v>
      </c>
      <c r="E1542" s="142">
        <v>0.54789999999999994</v>
      </c>
      <c r="F1542" s="4" t="s">
        <v>2752</v>
      </c>
      <c r="G1542" s="4" t="s">
        <v>2752</v>
      </c>
      <c r="H1542" s="4" t="str">
        <f t="shared" si="27"/>
        <v>No</v>
      </c>
      <c r="I1542" s="56"/>
    </row>
    <row r="1543" spans="1:9">
      <c r="A1543" s="56" t="s">
        <v>2439</v>
      </c>
      <c r="B1543" s="97" t="s">
        <v>1299</v>
      </c>
      <c r="C1543" s="163">
        <v>2519</v>
      </c>
      <c r="D1543" s="56" t="s">
        <v>1307</v>
      </c>
      <c r="E1543" s="142">
        <v>0.38663333333333333</v>
      </c>
      <c r="F1543" s="4" t="s">
        <v>3065</v>
      </c>
      <c r="G1543" s="4" t="s">
        <v>3065</v>
      </c>
      <c r="H1543" s="4" t="str">
        <f t="shared" si="27"/>
        <v>No</v>
      </c>
      <c r="I1543" s="56"/>
    </row>
    <row r="1544" spans="1:9">
      <c r="A1544" s="97" t="s">
        <v>2439</v>
      </c>
      <c r="B1544" s="97" t="s">
        <v>1299</v>
      </c>
      <c r="C1544" s="163">
        <v>4496</v>
      </c>
      <c r="D1544" s="95" t="s">
        <v>1325</v>
      </c>
      <c r="E1544" s="142">
        <v>0.45296666666666668</v>
      </c>
      <c r="F1544" s="4" t="s">
        <v>3065</v>
      </c>
      <c r="G1544" s="4" t="s">
        <v>3065</v>
      </c>
      <c r="H1544" s="4" t="str">
        <f t="shared" si="27"/>
        <v>No</v>
      </c>
      <c r="I1544" s="56"/>
    </row>
    <row r="1545" spans="1:9">
      <c r="A1545" s="97" t="s">
        <v>2343</v>
      </c>
      <c r="B1545" s="97" t="s">
        <v>532</v>
      </c>
      <c r="C1545" s="163">
        <v>2491</v>
      </c>
      <c r="D1545" s="95" t="s">
        <v>533</v>
      </c>
      <c r="E1545" s="142">
        <v>0.96923333333333339</v>
      </c>
      <c r="F1545" s="4" t="s">
        <v>2752</v>
      </c>
      <c r="G1545" s="4" t="s">
        <v>2752</v>
      </c>
      <c r="H1545" s="4" t="str">
        <f t="shared" si="27"/>
        <v>No</v>
      </c>
      <c r="I1545" s="56"/>
    </row>
    <row r="1546" spans="1:9">
      <c r="A1546" s="97" t="s">
        <v>2345</v>
      </c>
      <c r="B1546" s="97" t="s">
        <v>536</v>
      </c>
      <c r="C1546" s="163">
        <v>5236</v>
      </c>
      <c r="D1546" s="95" t="s">
        <v>538</v>
      </c>
      <c r="E1546" s="142">
        <v>0.21233333333333335</v>
      </c>
      <c r="F1546" s="4" t="s">
        <v>3065</v>
      </c>
      <c r="G1546" s="4" t="s">
        <v>3065</v>
      </c>
      <c r="H1546" s="4" t="str">
        <f t="shared" si="27"/>
        <v>No</v>
      </c>
      <c r="I1546" s="56"/>
    </row>
    <row r="1547" spans="1:9">
      <c r="A1547" s="97" t="s">
        <v>2345</v>
      </c>
      <c r="B1547" s="97" t="s">
        <v>536</v>
      </c>
      <c r="C1547" s="163">
        <v>2474</v>
      </c>
      <c r="D1547" s="95" t="s">
        <v>537</v>
      </c>
      <c r="E1547" s="142">
        <v>0.49823333333333336</v>
      </c>
      <c r="F1547" s="4" t="s">
        <v>3065</v>
      </c>
      <c r="G1547" s="4" t="s">
        <v>3065</v>
      </c>
      <c r="H1547" s="4" t="str">
        <f t="shared" si="27"/>
        <v>No</v>
      </c>
      <c r="I1547" s="56"/>
    </row>
    <row r="1548" spans="1:9">
      <c r="A1548" s="97" t="s">
        <v>2282</v>
      </c>
      <c r="B1548" s="97" t="s">
        <v>162</v>
      </c>
      <c r="C1548" s="163">
        <v>5430</v>
      </c>
      <c r="D1548" s="95" t="s">
        <v>163</v>
      </c>
      <c r="E1548" s="142">
        <v>0.93079999999999996</v>
      </c>
      <c r="F1548" s="4" t="s">
        <v>2752</v>
      </c>
      <c r="G1548" s="4" t="s">
        <v>2752</v>
      </c>
      <c r="H1548" s="4" t="str">
        <f t="shared" si="27"/>
        <v>No</v>
      </c>
      <c r="I1548" s="56"/>
    </row>
    <row r="1549" spans="1:9">
      <c r="A1549" s="97" t="s">
        <v>2281</v>
      </c>
      <c r="B1549" s="97" t="s">
        <v>157</v>
      </c>
      <c r="C1549" s="163">
        <v>1671</v>
      </c>
      <c r="D1549" s="95" t="s">
        <v>158</v>
      </c>
      <c r="E1549" s="142">
        <v>0.5988</v>
      </c>
      <c r="F1549" s="4" t="s">
        <v>2752</v>
      </c>
      <c r="G1549" s="4" t="s">
        <v>2752</v>
      </c>
      <c r="H1549" s="4" t="str">
        <f t="shared" si="27"/>
        <v>No</v>
      </c>
      <c r="I1549" s="56"/>
    </row>
    <row r="1550" spans="1:9">
      <c r="A1550" s="97" t="s">
        <v>2281</v>
      </c>
      <c r="B1550" s="97" t="s">
        <v>157</v>
      </c>
      <c r="C1550" s="163">
        <v>3737</v>
      </c>
      <c r="D1550" s="95" t="s">
        <v>160</v>
      </c>
      <c r="E1550" s="142">
        <v>0.74180000000000001</v>
      </c>
      <c r="F1550" s="4" t="s">
        <v>2752</v>
      </c>
      <c r="G1550" s="4" t="s">
        <v>2752</v>
      </c>
      <c r="H1550" s="4" t="str">
        <f t="shared" si="27"/>
        <v>No</v>
      </c>
      <c r="I1550" s="56"/>
    </row>
    <row r="1551" spans="1:9">
      <c r="A1551" s="97" t="s">
        <v>2281</v>
      </c>
      <c r="B1551" s="97" t="s">
        <v>157</v>
      </c>
      <c r="C1551" s="163">
        <v>2349</v>
      </c>
      <c r="D1551" s="95" t="s">
        <v>159</v>
      </c>
      <c r="E1551" s="142">
        <v>0.63723333333333343</v>
      </c>
      <c r="F1551" s="4" t="s">
        <v>2752</v>
      </c>
      <c r="G1551" s="4" t="s">
        <v>2752</v>
      </c>
      <c r="H1551" s="4" t="str">
        <f t="shared" si="27"/>
        <v>No</v>
      </c>
      <c r="I1551" s="56"/>
    </row>
    <row r="1552" spans="1:9">
      <c r="A1552" s="97" t="s">
        <v>2281</v>
      </c>
      <c r="B1552" s="97" t="s">
        <v>157</v>
      </c>
      <c r="C1552" s="163">
        <v>2609</v>
      </c>
      <c r="D1552" s="95" t="s">
        <v>2915</v>
      </c>
      <c r="E1552" s="142">
        <v>0.69730000000000003</v>
      </c>
      <c r="F1552" s="4" t="s">
        <v>2752</v>
      </c>
      <c r="G1552" s="4" t="s">
        <v>2752</v>
      </c>
      <c r="H1552" s="4" t="str">
        <f t="shared" si="27"/>
        <v>No</v>
      </c>
      <c r="I1552" s="56"/>
    </row>
    <row r="1553" spans="1:9">
      <c r="A1553" s="97" t="s">
        <v>2281</v>
      </c>
      <c r="B1553" s="97" t="s">
        <v>157</v>
      </c>
      <c r="C1553" s="163">
        <v>5529</v>
      </c>
      <c r="D1553" s="95" t="s">
        <v>2807</v>
      </c>
      <c r="E1553" s="142">
        <v>0.51190000000000002</v>
      </c>
      <c r="F1553" s="4" t="s">
        <v>2752</v>
      </c>
      <c r="G1553" s="4" t="s">
        <v>3065</v>
      </c>
      <c r="H1553" s="4" t="str">
        <f t="shared" si="27"/>
        <v>No</v>
      </c>
      <c r="I1553" s="56"/>
    </row>
    <row r="1554" spans="1:9">
      <c r="A1554" s="97" t="s">
        <v>2281</v>
      </c>
      <c r="B1554" s="97" t="s">
        <v>157</v>
      </c>
      <c r="C1554" s="163">
        <v>5071</v>
      </c>
      <c r="D1554" s="95" t="s">
        <v>161</v>
      </c>
      <c r="E1554" s="142">
        <v>0.52466666666666673</v>
      </c>
      <c r="F1554" s="4" t="s">
        <v>2752</v>
      </c>
      <c r="G1554" s="4" t="s">
        <v>3065</v>
      </c>
      <c r="H1554" s="4" t="str">
        <f t="shared" si="27"/>
        <v>No</v>
      </c>
      <c r="I1554" s="56"/>
    </row>
    <row r="1555" spans="1:9">
      <c r="A1555" s="97" t="s">
        <v>2318</v>
      </c>
      <c r="B1555" s="97" t="s">
        <v>415</v>
      </c>
      <c r="C1555" s="163">
        <v>5585</v>
      </c>
      <c r="D1555" s="95" t="s">
        <v>2824</v>
      </c>
      <c r="E1555" s="142">
        <v>0.73063333333333336</v>
      </c>
      <c r="F1555" s="4" t="s">
        <v>2752</v>
      </c>
      <c r="G1555" s="4" t="s">
        <v>2752</v>
      </c>
      <c r="H1555" s="4" t="str">
        <f t="shared" si="27"/>
        <v>No</v>
      </c>
      <c r="I1555" s="56"/>
    </row>
    <row r="1556" spans="1:9">
      <c r="A1556" s="97" t="s">
        <v>2318</v>
      </c>
      <c r="B1556" s="97" t="s">
        <v>415</v>
      </c>
      <c r="C1556" s="163">
        <v>3426</v>
      </c>
      <c r="D1556" s="95" t="s">
        <v>419</v>
      </c>
      <c r="E1556" s="142">
        <v>0.87420000000000009</v>
      </c>
      <c r="F1556" s="4" t="s">
        <v>2752</v>
      </c>
      <c r="G1556" s="4" t="s">
        <v>2752</v>
      </c>
      <c r="H1556" s="4" t="str">
        <f t="shared" si="27"/>
        <v>No</v>
      </c>
      <c r="I1556" s="56"/>
    </row>
    <row r="1557" spans="1:9">
      <c r="A1557" s="97" t="s">
        <v>2318</v>
      </c>
      <c r="B1557" s="97" t="s">
        <v>415</v>
      </c>
      <c r="C1557" s="163">
        <v>4536</v>
      </c>
      <c r="D1557" s="95" t="s">
        <v>420</v>
      </c>
      <c r="E1557" s="142">
        <v>0.71196666666666664</v>
      </c>
      <c r="F1557" s="4" t="s">
        <v>2752</v>
      </c>
      <c r="G1557" s="4" t="s">
        <v>2752</v>
      </c>
      <c r="H1557" s="4" t="str">
        <f t="shared" si="27"/>
        <v>No</v>
      </c>
      <c r="I1557" s="56"/>
    </row>
    <row r="1558" spans="1:9">
      <c r="A1558" s="97" t="s">
        <v>2318</v>
      </c>
      <c r="B1558" s="97" t="s">
        <v>415</v>
      </c>
      <c r="C1558" s="163">
        <v>3020</v>
      </c>
      <c r="D1558" s="95" t="s">
        <v>417</v>
      </c>
      <c r="E1558" s="142">
        <v>0.7954</v>
      </c>
      <c r="F1558" s="4" t="s">
        <v>2752</v>
      </c>
      <c r="G1558" s="4" t="s">
        <v>2752</v>
      </c>
      <c r="H1558" s="4" t="str">
        <f t="shared" si="27"/>
        <v>No</v>
      </c>
      <c r="I1558" s="56"/>
    </row>
    <row r="1559" spans="1:9">
      <c r="A1559" s="97" t="s">
        <v>2318</v>
      </c>
      <c r="B1559" s="97" t="s">
        <v>415</v>
      </c>
      <c r="C1559" s="163">
        <v>2919</v>
      </c>
      <c r="D1559" s="95" t="s">
        <v>416</v>
      </c>
      <c r="E1559" s="142">
        <v>0.84416666666666673</v>
      </c>
      <c r="F1559" s="4" t="s">
        <v>2752</v>
      </c>
      <c r="G1559" s="4" t="s">
        <v>2752</v>
      </c>
      <c r="H1559" s="4" t="str">
        <f t="shared" si="27"/>
        <v>No</v>
      </c>
      <c r="I1559" s="56"/>
    </row>
    <row r="1560" spans="1:9">
      <c r="A1560" s="97" t="s">
        <v>2318</v>
      </c>
      <c r="B1560" s="97" t="s">
        <v>415</v>
      </c>
      <c r="C1560" s="163">
        <v>3088</v>
      </c>
      <c r="D1560" s="95" t="s">
        <v>418</v>
      </c>
      <c r="E1560" s="142">
        <v>0.7936333333333333</v>
      </c>
      <c r="F1560" s="4" t="s">
        <v>2752</v>
      </c>
      <c r="G1560" s="4" t="s">
        <v>2752</v>
      </c>
      <c r="H1560" s="4" t="str">
        <f t="shared" si="27"/>
        <v>No</v>
      </c>
      <c r="I1560" s="56"/>
    </row>
    <row r="1561" spans="1:9">
      <c r="A1561" s="97" t="s">
        <v>2318</v>
      </c>
      <c r="B1561" s="97" t="s">
        <v>415</v>
      </c>
      <c r="C1561" s="163">
        <v>5648</v>
      </c>
      <c r="D1561" s="95" t="s">
        <v>2916</v>
      </c>
      <c r="E1561" s="142">
        <v>0.63405</v>
      </c>
      <c r="F1561" s="4" t="s">
        <v>2752</v>
      </c>
      <c r="G1561" s="4" t="s">
        <v>2752</v>
      </c>
      <c r="H1561" s="4" t="str">
        <f t="shared" si="27"/>
        <v>No</v>
      </c>
      <c r="I1561" s="56"/>
    </row>
    <row r="1562" spans="1:9">
      <c r="A1562" s="97" t="s">
        <v>2318</v>
      </c>
      <c r="B1562" s="97" t="s">
        <v>415</v>
      </c>
      <c r="C1562" s="163">
        <v>5650</v>
      </c>
      <c r="D1562" s="95" t="s">
        <v>2972</v>
      </c>
      <c r="E1562" s="142">
        <v>0.69569999999999999</v>
      </c>
      <c r="F1562" s="4" t="s">
        <v>2752</v>
      </c>
      <c r="G1562" s="4" t="s">
        <v>3065</v>
      </c>
      <c r="H1562" s="4" t="str">
        <f t="shared" si="27"/>
        <v>No</v>
      </c>
      <c r="I1562" s="56"/>
    </row>
    <row r="1563" spans="1:9">
      <c r="A1563" s="97" t="s">
        <v>2318</v>
      </c>
      <c r="B1563" s="97" t="s">
        <v>415</v>
      </c>
      <c r="C1563" s="163">
        <v>2510</v>
      </c>
      <c r="D1563" s="95" t="s">
        <v>2917</v>
      </c>
      <c r="E1563" s="142">
        <v>0.85780000000000012</v>
      </c>
      <c r="F1563" s="4" t="s">
        <v>2752</v>
      </c>
      <c r="G1563" s="4" t="s">
        <v>2752</v>
      </c>
      <c r="H1563" s="4" t="str">
        <f t="shared" si="27"/>
        <v>No</v>
      </c>
      <c r="I1563" s="56"/>
    </row>
    <row r="1564" spans="1:9">
      <c r="A1564" s="97" t="s">
        <v>2369</v>
      </c>
      <c r="B1564" s="97" t="s">
        <v>1014</v>
      </c>
      <c r="C1564" s="163">
        <v>5380</v>
      </c>
      <c r="D1564" s="95" t="s">
        <v>1015</v>
      </c>
      <c r="E1564" s="142">
        <v>0.71749999999999992</v>
      </c>
      <c r="F1564" s="4" t="s">
        <v>2752</v>
      </c>
      <c r="G1564" s="4" t="s">
        <v>2752</v>
      </c>
      <c r="H1564" s="4" t="str">
        <f t="shared" si="27"/>
        <v>No</v>
      </c>
      <c r="I1564" s="56"/>
    </row>
    <row r="1565" spans="1:9">
      <c r="A1565" s="97" t="s">
        <v>2519</v>
      </c>
      <c r="B1565" s="97" t="s">
        <v>2021</v>
      </c>
      <c r="C1565" s="163">
        <v>4486</v>
      </c>
      <c r="D1565" s="95" t="s">
        <v>1440</v>
      </c>
      <c r="E1565" s="142">
        <v>0.38339999999999996</v>
      </c>
      <c r="F1565" s="4" t="s">
        <v>3065</v>
      </c>
      <c r="G1565" s="4" t="s">
        <v>3065</v>
      </c>
      <c r="H1565" s="4" t="str">
        <f t="shared" si="27"/>
        <v>No</v>
      </c>
      <c r="I1565" s="56"/>
    </row>
    <row r="1566" spans="1:9">
      <c r="A1566" s="97" t="s">
        <v>2519</v>
      </c>
      <c r="B1566" s="97" t="s">
        <v>2021</v>
      </c>
      <c r="C1566" s="163">
        <v>2158</v>
      </c>
      <c r="D1566" s="95" t="s">
        <v>819</v>
      </c>
      <c r="E1566" s="142">
        <v>0.47039999999999998</v>
      </c>
      <c r="F1566" s="4" t="s">
        <v>3065</v>
      </c>
      <c r="G1566" s="4" t="s">
        <v>3065</v>
      </c>
      <c r="H1566" s="4" t="str">
        <f t="shared" si="27"/>
        <v>No</v>
      </c>
      <c r="I1566" s="56"/>
    </row>
    <row r="1567" spans="1:9">
      <c r="A1567" s="97" t="s">
        <v>2519</v>
      </c>
      <c r="B1567" s="97" t="s">
        <v>2021</v>
      </c>
      <c r="C1567" s="163">
        <v>2468</v>
      </c>
      <c r="D1567" s="95" t="s">
        <v>2022</v>
      </c>
      <c r="E1567" s="142">
        <v>0.43136666666666662</v>
      </c>
      <c r="F1567" s="4" t="s">
        <v>3065</v>
      </c>
      <c r="G1567" s="4" t="s">
        <v>3065</v>
      </c>
      <c r="H1567" s="4" t="str">
        <f t="shared" si="27"/>
        <v>No</v>
      </c>
      <c r="I1567" s="56"/>
    </row>
    <row r="1568" spans="1:9">
      <c r="A1568" s="97" t="s">
        <v>2587</v>
      </c>
      <c r="B1568" s="97" t="s">
        <v>2959</v>
      </c>
      <c r="C1568" s="163">
        <v>5468</v>
      </c>
      <c r="D1568" s="95" t="s">
        <v>2720</v>
      </c>
      <c r="E1568" s="142">
        <v>0.78229999999999988</v>
      </c>
      <c r="F1568" s="4" t="s">
        <v>2752</v>
      </c>
      <c r="G1568" s="4" t="s">
        <v>2752</v>
      </c>
      <c r="H1568" s="4" t="str">
        <f t="shared" si="27"/>
        <v>No</v>
      </c>
      <c r="I1568" s="56"/>
    </row>
    <row r="1569" spans="1:9">
      <c r="A1569" s="97" t="s">
        <v>2430</v>
      </c>
      <c r="B1569" s="97" t="s">
        <v>1267</v>
      </c>
      <c r="C1569" s="163">
        <v>2803</v>
      </c>
      <c r="D1569" s="95" t="s">
        <v>1269</v>
      </c>
      <c r="E1569" s="142">
        <v>0.71893333333333331</v>
      </c>
      <c r="F1569" s="4" t="s">
        <v>2752</v>
      </c>
      <c r="G1569" s="4" t="s">
        <v>2752</v>
      </c>
      <c r="H1569" s="4" t="str">
        <f t="shared" si="27"/>
        <v>No</v>
      </c>
      <c r="I1569" s="56"/>
    </row>
    <row r="1570" spans="1:9">
      <c r="A1570" s="97" t="s">
        <v>2430</v>
      </c>
      <c r="B1570" s="97" t="s">
        <v>1267</v>
      </c>
      <c r="C1570" s="163">
        <v>2357</v>
      </c>
      <c r="D1570" s="95" t="s">
        <v>1268</v>
      </c>
      <c r="E1570" s="142">
        <v>0.61906666666666654</v>
      </c>
      <c r="F1570" s="4" t="s">
        <v>2752</v>
      </c>
      <c r="G1570" s="4" t="s">
        <v>2752</v>
      </c>
      <c r="H1570" s="4" t="str">
        <f t="shared" si="27"/>
        <v>No</v>
      </c>
      <c r="I1570" s="56"/>
    </row>
    <row r="1571" spans="1:9">
      <c r="A1571" s="97" t="s">
        <v>2407</v>
      </c>
      <c r="B1571" s="97" t="s">
        <v>1184</v>
      </c>
      <c r="C1571" s="163">
        <v>2864</v>
      </c>
      <c r="D1571" s="95" t="s">
        <v>1186</v>
      </c>
      <c r="E1571" s="142">
        <v>0.46943333333333337</v>
      </c>
      <c r="F1571" s="4" t="s">
        <v>3065</v>
      </c>
      <c r="G1571" s="4" t="s">
        <v>3065</v>
      </c>
      <c r="H1571" s="4" t="str">
        <f t="shared" si="27"/>
        <v>No</v>
      </c>
      <c r="I1571" s="56"/>
    </row>
    <row r="1572" spans="1:9">
      <c r="A1572" s="97" t="s">
        <v>2407</v>
      </c>
      <c r="B1572" s="97" t="s">
        <v>1184</v>
      </c>
      <c r="C1572" s="163">
        <v>2478</v>
      </c>
      <c r="D1572" s="95" t="s">
        <v>1185</v>
      </c>
      <c r="E1572" s="142">
        <v>0.36593333333333328</v>
      </c>
      <c r="F1572" s="4" t="s">
        <v>3065</v>
      </c>
      <c r="G1572" s="4" t="s">
        <v>3065</v>
      </c>
      <c r="H1572" s="4" t="str">
        <f t="shared" si="27"/>
        <v>No</v>
      </c>
      <c r="I1572" s="56"/>
    </row>
    <row r="1573" spans="1:9">
      <c r="A1573" s="97" t="s">
        <v>2407</v>
      </c>
      <c r="B1573" s="97" t="s">
        <v>1184</v>
      </c>
      <c r="C1573" s="163">
        <v>5688</v>
      </c>
      <c r="D1573" s="95" t="s">
        <v>3040</v>
      </c>
      <c r="E1573" s="142">
        <v>0.36670000000000003</v>
      </c>
      <c r="F1573" s="4" t="s">
        <v>3065</v>
      </c>
      <c r="G1573" s="4" t="s">
        <v>3065</v>
      </c>
      <c r="H1573" s="4" t="str">
        <f t="shared" si="27"/>
        <v>No</v>
      </c>
      <c r="I1573" s="56"/>
    </row>
    <row r="1574" spans="1:9">
      <c r="A1574" s="97" t="s">
        <v>2354</v>
      </c>
      <c r="B1574" s="97" t="s">
        <v>736</v>
      </c>
      <c r="C1574" s="163">
        <v>3587</v>
      </c>
      <c r="D1574" s="95" t="s">
        <v>750</v>
      </c>
      <c r="E1574" s="142">
        <v>0.44209999999999999</v>
      </c>
      <c r="F1574" s="4" t="s">
        <v>3065</v>
      </c>
      <c r="G1574" s="4" t="s">
        <v>3065</v>
      </c>
      <c r="H1574" s="4" t="str">
        <f t="shared" si="27"/>
        <v>No</v>
      </c>
      <c r="I1574" s="56"/>
    </row>
    <row r="1575" spans="1:9">
      <c r="A1575" s="97" t="s">
        <v>2354</v>
      </c>
      <c r="B1575" s="97" t="s">
        <v>736</v>
      </c>
      <c r="C1575" s="163">
        <v>2439</v>
      </c>
      <c r="D1575" s="95" t="s">
        <v>739</v>
      </c>
      <c r="E1575" s="142">
        <v>0.59393333333333331</v>
      </c>
      <c r="F1575" s="4" t="s">
        <v>2752</v>
      </c>
      <c r="G1575" s="4" t="s">
        <v>2752</v>
      </c>
      <c r="H1575" s="4" t="str">
        <f t="shared" si="27"/>
        <v>No</v>
      </c>
      <c r="I1575" s="56"/>
    </row>
    <row r="1576" spans="1:9">
      <c r="A1576" s="97" t="s">
        <v>2354</v>
      </c>
      <c r="B1576" s="97" t="s">
        <v>736</v>
      </c>
      <c r="C1576" s="163">
        <v>3034</v>
      </c>
      <c r="D1576" s="95" t="s">
        <v>743</v>
      </c>
      <c r="E1576" s="142">
        <v>0.69523333333333337</v>
      </c>
      <c r="F1576" s="4" t="s">
        <v>2752</v>
      </c>
      <c r="G1576" s="4" t="s">
        <v>2752</v>
      </c>
      <c r="H1576" s="4" t="str">
        <f t="shared" si="27"/>
        <v>No</v>
      </c>
      <c r="I1576" s="56"/>
    </row>
    <row r="1577" spans="1:9">
      <c r="A1577" s="97" t="s">
        <v>2354</v>
      </c>
      <c r="B1577" s="97" t="s">
        <v>736</v>
      </c>
      <c r="C1577" s="163">
        <v>3337</v>
      </c>
      <c r="D1577" s="95" t="s">
        <v>51</v>
      </c>
      <c r="E1577" s="142">
        <v>0.59843333333333337</v>
      </c>
      <c r="F1577" s="4" t="s">
        <v>2752</v>
      </c>
      <c r="G1577" s="4" t="s">
        <v>2752</v>
      </c>
      <c r="H1577" s="4" t="str">
        <f t="shared" si="27"/>
        <v>No</v>
      </c>
      <c r="I1577" s="56"/>
    </row>
    <row r="1578" spans="1:9">
      <c r="A1578" s="97" t="s">
        <v>2354</v>
      </c>
      <c r="B1578" s="97" t="s">
        <v>736</v>
      </c>
      <c r="C1578" s="163">
        <v>3280</v>
      </c>
      <c r="D1578" s="95" t="s">
        <v>745</v>
      </c>
      <c r="E1578" s="142">
        <v>0.65813333333333335</v>
      </c>
      <c r="F1578" s="4" t="s">
        <v>2752</v>
      </c>
      <c r="G1578" s="4" t="s">
        <v>2752</v>
      </c>
      <c r="H1578" s="4" t="str">
        <f t="shared" si="27"/>
        <v>No</v>
      </c>
      <c r="I1578" s="56"/>
    </row>
    <row r="1579" spans="1:9">
      <c r="A1579" s="97" t="s">
        <v>2354</v>
      </c>
      <c r="B1579" s="97" t="s">
        <v>736</v>
      </c>
      <c r="C1579" s="163">
        <v>1534</v>
      </c>
      <c r="D1579" s="95" t="s">
        <v>737</v>
      </c>
      <c r="E1579" s="142">
        <v>0.72223333333333339</v>
      </c>
      <c r="F1579" s="4" t="s">
        <v>2752</v>
      </c>
      <c r="G1579" s="4" t="s">
        <v>2752</v>
      </c>
      <c r="H1579" s="4" t="str">
        <f t="shared" si="27"/>
        <v>No</v>
      </c>
      <c r="I1579" s="56"/>
    </row>
    <row r="1580" spans="1:9">
      <c r="A1580" s="97" t="s">
        <v>2354</v>
      </c>
      <c r="B1580" s="97" t="s">
        <v>736</v>
      </c>
      <c r="C1580" s="163">
        <v>1784</v>
      </c>
      <c r="D1580" s="95" t="s">
        <v>2731</v>
      </c>
      <c r="E1580" s="142">
        <v>0.11209999999999999</v>
      </c>
      <c r="F1580" s="4" t="s">
        <v>3065</v>
      </c>
      <c r="G1580" s="4" t="s">
        <v>3065</v>
      </c>
      <c r="H1580" s="4" t="str">
        <f t="shared" si="27"/>
        <v>No</v>
      </c>
      <c r="I1580" s="56"/>
    </row>
    <row r="1581" spans="1:9">
      <c r="A1581" s="97" t="s">
        <v>2354</v>
      </c>
      <c r="B1581" s="97" t="s">
        <v>736</v>
      </c>
      <c r="C1581" s="163">
        <v>3485</v>
      </c>
      <c r="D1581" s="95" t="s">
        <v>747</v>
      </c>
      <c r="E1581" s="142">
        <v>0.18136666666666668</v>
      </c>
      <c r="F1581" s="4" t="s">
        <v>3065</v>
      </c>
      <c r="G1581" s="4" t="s">
        <v>3065</v>
      </c>
      <c r="H1581" s="4" t="str">
        <f t="shared" si="27"/>
        <v>No</v>
      </c>
      <c r="I1581" s="56"/>
    </row>
    <row r="1582" spans="1:9">
      <c r="A1582" s="97" t="s">
        <v>2354</v>
      </c>
      <c r="B1582" s="97" t="s">
        <v>736</v>
      </c>
      <c r="C1582" s="163">
        <v>3630</v>
      </c>
      <c r="D1582" s="95" t="s">
        <v>751</v>
      </c>
      <c r="E1582" s="142">
        <v>0.34696666666666665</v>
      </c>
      <c r="F1582" s="4" t="s">
        <v>3065</v>
      </c>
      <c r="G1582" s="4" t="s">
        <v>3065</v>
      </c>
      <c r="H1582" s="4" t="str">
        <f t="shared" si="27"/>
        <v>No</v>
      </c>
      <c r="I1582" s="56"/>
    </row>
    <row r="1583" spans="1:9">
      <c r="A1583" s="97" t="s">
        <v>2354</v>
      </c>
      <c r="B1583" s="97" t="s">
        <v>736</v>
      </c>
      <c r="C1583" s="163">
        <v>2640</v>
      </c>
      <c r="D1583" s="95" t="s">
        <v>742</v>
      </c>
      <c r="E1583" s="142">
        <v>0.6539666666666667</v>
      </c>
      <c r="F1583" s="4" t="s">
        <v>2752</v>
      </c>
      <c r="G1583" s="4" t="s">
        <v>2752</v>
      </c>
      <c r="H1583" s="4" t="str">
        <f t="shared" si="27"/>
        <v>No</v>
      </c>
      <c r="I1583" s="56"/>
    </row>
    <row r="1584" spans="1:9">
      <c r="A1584" s="97" t="s">
        <v>2354</v>
      </c>
      <c r="B1584" s="97" t="s">
        <v>736</v>
      </c>
      <c r="C1584" s="163">
        <v>5229</v>
      </c>
      <c r="D1584" s="95" t="s">
        <v>757</v>
      </c>
      <c r="E1584" s="142">
        <v>0.60096666666666654</v>
      </c>
      <c r="F1584" s="4" t="s">
        <v>2752</v>
      </c>
      <c r="G1584" s="4" t="s">
        <v>2752</v>
      </c>
      <c r="H1584" s="4" t="str">
        <f t="shared" si="27"/>
        <v>No</v>
      </c>
      <c r="I1584" s="56"/>
    </row>
    <row r="1585" spans="1:9">
      <c r="A1585" s="97" t="s">
        <v>2354</v>
      </c>
      <c r="B1585" s="97" t="s">
        <v>736</v>
      </c>
      <c r="C1585" s="163">
        <v>2597</v>
      </c>
      <c r="D1585" s="95" t="s">
        <v>741</v>
      </c>
      <c r="E1585" s="142">
        <v>0.31949999999999995</v>
      </c>
      <c r="F1585" s="4" t="s">
        <v>3065</v>
      </c>
      <c r="G1585" s="4" t="s">
        <v>3065</v>
      </c>
      <c r="H1585" s="4" t="str">
        <f t="shared" si="27"/>
        <v>No</v>
      </c>
      <c r="I1585" s="56"/>
    </row>
    <row r="1586" spans="1:9">
      <c r="A1586" s="97" t="s">
        <v>2354</v>
      </c>
      <c r="B1586" s="97" t="s">
        <v>736</v>
      </c>
      <c r="C1586" s="163">
        <v>2929</v>
      </c>
      <c r="D1586" s="95" t="s">
        <v>696</v>
      </c>
      <c r="E1586" s="142">
        <v>0.71606666666666652</v>
      </c>
      <c r="F1586" s="4" t="s">
        <v>2752</v>
      </c>
      <c r="G1586" s="4" t="s">
        <v>2752</v>
      </c>
      <c r="H1586" s="4" t="str">
        <f t="shared" si="27"/>
        <v>No</v>
      </c>
      <c r="I1586" s="56"/>
    </row>
    <row r="1587" spans="1:9">
      <c r="A1587" s="97" t="s">
        <v>2354</v>
      </c>
      <c r="B1587" s="97" t="s">
        <v>736</v>
      </c>
      <c r="C1587" s="163">
        <v>3741</v>
      </c>
      <c r="D1587" s="95" t="s">
        <v>755</v>
      </c>
      <c r="E1587" s="142">
        <v>0.51406666666666678</v>
      </c>
      <c r="F1587" s="4" t="s">
        <v>2752</v>
      </c>
      <c r="G1587" s="4" t="s">
        <v>2752</v>
      </c>
      <c r="H1587" s="4" t="str">
        <f t="shared" si="27"/>
        <v>No</v>
      </c>
      <c r="I1587" s="56"/>
    </row>
    <row r="1588" spans="1:9">
      <c r="A1588" s="97" t="s">
        <v>2354</v>
      </c>
      <c r="B1588" s="97" t="s">
        <v>736</v>
      </c>
      <c r="C1588" s="163">
        <v>3586</v>
      </c>
      <c r="D1588" s="95" t="s">
        <v>749</v>
      </c>
      <c r="E1588" s="142">
        <v>0.24183333333333334</v>
      </c>
      <c r="F1588" s="4" t="s">
        <v>3065</v>
      </c>
      <c r="G1588" s="4" t="s">
        <v>3065</v>
      </c>
      <c r="H1588" s="4" t="str">
        <f t="shared" si="27"/>
        <v>No</v>
      </c>
      <c r="I1588" s="56"/>
    </row>
    <row r="1589" spans="1:9">
      <c r="A1589" s="97" t="s">
        <v>2354</v>
      </c>
      <c r="B1589" s="97" t="s">
        <v>736</v>
      </c>
      <c r="C1589" s="163">
        <v>3035</v>
      </c>
      <c r="D1589" s="95" t="s">
        <v>744</v>
      </c>
      <c r="E1589" s="142">
        <v>0.47939999999999999</v>
      </c>
      <c r="F1589" s="4" t="s">
        <v>3065</v>
      </c>
      <c r="G1589" s="4" t="s">
        <v>3065</v>
      </c>
      <c r="H1589" s="4" t="str">
        <f t="shared" si="27"/>
        <v>No</v>
      </c>
      <c r="I1589" s="56"/>
    </row>
    <row r="1590" spans="1:9">
      <c r="A1590" s="97" t="s">
        <v>2354</v>
      </c>
      <c r="B1590" s="97" t="s">
        <v>736</v>
      </c>
      <c r="C1590" s="163">
        <v>3434</v>
      </c>
      <c r="D1590" s="95" t="s">
        <v>746</v>
      </c>
      <c r="E1590" s="142">
        <v>0.55673333333333341</v>
      </c>
      <c r="F1590" s="4" t="s">
        <v>2752</v>
      </c>
      <c r="G1590" s="4" t="s">
        <v>2752</v>
      </c>
      <c r="H1590" s="4" t="str">
        <f t="shared" si="27"/>
        <v>No</v>
      </c>
      <c r="I1590" s="56"/>
    </row>
    <row r="1591" spans="1:9">
      <c r="A1591" s="97" t="s">
        <v>2354</v>
      </c>
      <c r="B1591" s="97" t="s">
        <v>736</v>
      </c>
      <c r="C1591" s="163">
        <v>5335</v>
      </c>
      <c r="D1591" s="95" t="s">
        <v>759</v>
      </c>
      <c r="E1591" s="142">
        <v>0.53123333333333334</v>
      </c>
      <c r="F1591" s="4" t="s">
        <v>2752</v>
      </c>
      <c r="G1591" s="4" t="s">
        <v>2752</v>
      </c>
      <c r="H1591" s="4" t="str">
        <f t="shared" si="27"/>
        <v>No</v>
      </c>
      <c r="I1591" s="56"/>
    </row>
    <row r="1592" spans="1:9">
      <c r="A1592" s="97" t="s">
        <v>2354</v>
      </c>
      <c r="B1592" s="97" t="s">
        <v>736</v>
      </c>
      <c r="C1592" s="163">
        <v>1648</v>
      </c>
      <c r="D1592" s="95" t="s">
        <v>738</v>
      </c>
      <c r="E1592" s="142">
        <v>0.40123333333333333</v>
      </c>
      <c r="F1592" s="4" t="s">
        <v>3065</v>
      </c>
      <c r="G1592" s="4" t="s">
        <v>3065</v>
      </c>
      <c r="H1592" s="4" t="str">
        <f t="shared" si="27"/>
        <v>No</v>
      </c>
      <c r="I1592" s="56"/>
    </row>
    <row r="1593" spans="1:9">
      <c r="A1593" s="97" t="s">
        <v>2354</v>
      </c>
      <c r="B1593" s="97" t="s">
        <v>736</v>
      </c>
      <c r="C1593" s="163">
        <v>5070</v>
      </c>
      <c r="D1593" s="95" t="s">
        <v>756</v>
      </c>
      <c r="E1593" s="142">
        <v>0.77056666666666673</v>
      </c>
      <c r="F1593" s="4" t="s">
        <v>2752</v>
      </c>
      <c r="G1593" s="4" t="s">
        <v>2752</v>
      </c>
      <c r="H1593" s="4" t="str">
        <f t="shared" si="27"/>
        <v>No</v>
      </c>
      <c r="I1593" s="56"/>
    </row>
    <row r="1594" spans="1:9">
      <c r="A1594" s="97" t="s">
        <v>2354</v>
      </c>
      <c r="B1594" s="97" t="s">
        <v>736</v>
      </c>
      <c r="C1594" s="163">
        <v>5638</v>
      </c>
      <c r="D1594" s="95" t="s">
        <v>3041</v>
      </c>
      <c r="E1594" s="142">
        <v>0.46539999999999998</v>
      </c>
      <c r="F1594" s="4" t="s">
        <v>3065</v>
      </c>
      <c r="G1594" s="4" t="s">
        <v>3065</v>
      </c>
      <c r="H1594" s="4" t="str">
        <f t="shared" si="27"/>
        <v>No</v>
      </c>
      <c r="I1594" s="56"/>
    </row>
    <row r="1595" spans="1:9">
      <c r="A1595" s="97" t="s">
        <v>2354</v>
      </c>
      <c r="B1595" s="97" t="s">
        <v>736</v>
      </c>
      <c r="C1595" s="163">
        <v>3521</v>
      </c>
      <c r="D1595" s="95" t="s">
        <v>748</v>
      </c>
      <c r="E1595" s="142">
        <v>0.56866666666666665</v>
      </c>
      <c r="F1595" s="4" t="s">
        <v>2752</v>
      </c>
      <c r="G1595" s="4" t="s">
        <v>2752</v>
      </c>
      <c r="H1595" s="4" t="str">
        <f t="shared" si="27"/>
        <v>No</v>
      </c>
      <c r="I1595" s="56"/>
    </row>
    <row r="1596" spans="1:9">
      <c r="A1596" s="137" t="s">
        <v>2354</v>
      </c>
      <c r="B1596" s="97" t="s">
        <v>736</v>
      </c>
      <c r="C1596" s="164">
        <v>2475</v>
      </c>
      <c r="D1596" s="56" t="s">
        <v>740</v>
      </c>
      <c r="E1596" s="142">
        <v>0.60960000000000003</v>
      </c>
      <c r="F1596" s="4" t="s">
        <v>2752</v>
      </c>
      <c r="G1596" s="4" t="s">
        <v>2752</v>
      </c>
      <c r="H1596" s="4" t="str">
        <f t="shared" si="27"/>
        <v>No</v>
      </c>
      <c r="I1596" s="56"/>
    </row>
    <row r="1597" spans="1:9">
      <c r="A1597" s="97" t="s">
        <v>2354</v>
      </c>
      <c r="B1597" s="97" t="s">
        <v>736</v>
      </c>
      <c r="C1597" s="163">
        <v>5484</v>
      </c>
      <c r="D1597" s="95" t="s">
        <v>2732</v>
      </c>
      <c r="E1597" s="142">
        <v>0.37483333333333335</v>
      </c>
      <c r="F1597" s="4" t="s">
        <v>3065</v>
      </c>
      <c r="G1597" s="4" t="s">
        <v>3065</v>
      </c>
      <c r="H1597" s="4" t="str">
        <f t="shared" si="27"/>
        <v>No</v>
      </c>
      <c r="I1597" s="56"/>
    </row>
    <row r="1598" spans="1:9">
      <c r="A1598" s="97" t="s">
        <v>2354</v>
      </c>
      <c r="B1598" s="97" t="s">
        <v>736</v>
      </c>
      <c r="C1598" s="163">
        <v>5519</v>
      </c>
      <c r="D1598" s="95" t="s">
        <v>2808</v>
      </c>
      <c r="E1598" s="142">
        <v>0.35426666666666667</v>
      </c>
      <c r="F1598" s="4" t="s">
        <v>3065</v>
      </c>
      <c r="G1598" s="4" t="s">
        <v>3065</v>
      </c>
      <c r="H1598" s="4" t="str">
        <f t="shared" si="27"/>
        <v>No</v>
      </c>
      <c r="I1598" s="56"/>
    </row>
    <row r="1599" spans="1:9">
      <c r="A1599" s="97" t="s">
        <v>2354</v>
      </c>
      <c r="B1599" s="97" t="s">
        <v>736</v>
      </c>
      <c r="C1599" s="163">
        <v>3668</v>
      </c>
      <c r="D1599" s="95" t="s">
        <v>752</v>
      </c>
      <c r="E1599" s="142">
        <v>0.4424333333333334</v>
      </c>
      <c r="F1599" s="4" t="s">
        <v>3065</v>
      </c>
      <c r="G1599" s="4" t="s">
        <v>3065</v>
      </c>
      <c r="H1599" s="4" t="str">
        <f t="shared" si="27"/>
        <v>No</v>
      </c>
      <c r="I1599" s="56"/>
    </row>
    <row r="1600" spans="1:9">
      <c r="A1600" s="97" t="s">
        <v>2354</v>
      </c>
      <c r="B1600" s="97" t="s">
        <v>736</v>
      </c>
      <c r="C1600" s="163">
        <v>3740</v>
      </c>
      <c r="D1600" s="95" t="s">
        <v>754</v>
      </c>
      <c r="E1600" s="142">
        <v>0.41289999999999999</v>
      </c>
      <c r="F1600" s="4" t="s">
        <v>3065</v>
      </c>
      <c r="G1600" s="4" t="s">
        <v>3065</v>
      </c>
      <c r="H1600" s="4" t="str">
        <f t="shared" si="27"/>
        <v>No</v>
      </c>
      <c r="I1600" s="56"/>
    </row>
    <row r="1601" spans="1:9">
      <c r="A1601" s="97" t="s">
        <v>2354</v>
      </c>
      <c r="B1601" s="97" t="s">
        <v>736</v>
      </c>
      <c r="C1601" s="163">
        <v>5282</v>
      </c>
      <c r="D1601" s="95" t="s">
        <v>758</v>
      </c>
      <c r="E1601" s="142">
        <v>0.64613333333333334</v>
      </c>
      <c r="F1601" s="4" t="s">
        <v>2752</v>
      </c>
      <c r="G1601" s="4" t="s">
        <v>2752</v>
      </c>
      <c r="H1601" s="4" t="str">
        <f t="shared" si="27"/>
        <v>No</v>
      </c>
      <c r="I1601" s="56"/>
    </row>
    <row r="1602" spans="1:9">
      <c r="A1602" s="97" t="s">
        <v>2354</v>
      </c>
      <c r="B1602" s="97" t="s">
        <v>736</v>
      </c>
      <c r="C1602" s="163">
        <v>3702</v>
      </c>
      <c r="D1602" s="95" t="s">
        <v>753</v>
      </c>
      <c r="E1602" s="142">
        <v>0.50743333333333329</v>
      </c>
      <c r="F1602" s="4" t="s">
        <v>2752</v>
      </c>
      <c r="G1602" s="4" t="s">
        <v>2752</v>
      </c>
      <c r="H1602" s="4" t="str">
        <f t="shared" si="27"/>
        <v>No</v>
      </c>
      <c r="I1602" s="56"/>
    </row>
    <row r="1603" spans="1:9">
      <c r="A1603" s="97" t="s">
        <v>2311</v>
      </c>
      <c r="B1603" s="97" t="s">
        <v>367</v>
      </c>
      <c r="C1603" s="163">
        <v>2789</v>
      </c>
      <c r="D1603" s="95" t="s">
        <v>369</v>
      </c>
      <c r="E1603" s="142">
        <v>0.68153333333333332</v>
      </c>
      <c r="F1603" s="4" t="s">
        <v>2752</v>
      </c>
      <c r="G1603" s="4" t="s">
        <v>2752</v>
      </c>
      <c r="H1603" s="4" t="str">
        <f t="shared" ref="H1603:H1666" si="28">IFERROR(IF(AND(G1603="Yes",F1603="No"),"Yes","No"),"No")</f>
        <v>No</v>
      </c>
      <c r="I1603" s="56"/>
    </row>
    <row r="1604" spans="1:9">
      <c r="A1604" s="97" t="s">
        <v>2311</v>
      </c>
      <c r="B1604" s="97" t="s">
        <v>367</v>
      </c>
      <c r="C1604" s="163">
        <v>3559</v>
      </c>
      <c r="D1604" s="95" t="s">
        <v>370</v>
      </c>
      <c r="E1604" s="142">
        <v>0.72783333333333333</v>
      </c>
      <c r="F1604" s="4" t="s">
        <v>2752</v>
      </c>
      <c r="G1604" s="4" t="s">
        <v>2752</v>
      </c>
      <c r="H1604" s="4" t="str">
        <f t="shared" si="28"/>
        <v>No</v>
      </c>
      <c r="I1604" s="56"/>
    </row>
    <row r="1605" spans="1:9">
      <c r="A1605" s="97" t="s">
        <v>2311</v>
      </c>
      <c r="B1605" s="97" t="s">
        <v>367</v>
      </c>
      <c r="C1605" s="163">
        <v>1898</v>
      </c>
      <c r="D1605" s="95" t="s">
        <v>368</v>
      </c>
      <c r="E1605" s="142">
        <v>0.12613333333333332</v>
      </c>
      <c r="F1605" s="4" t="s">
        <v>3065</v>
      </c>
      <c r="G1605" s="4" t="s">
        <v>3065</v>
      </c>
      <c r="H1605" s="4" t="str">
        <f t="shared" si="28"/>
        <v>No</v>
      </c>
      <c r="I1605" s="56"/>
    </row>
    <row r="1606" spans="1:9">
      <c r="A1606" s="97" t="s">
        <v>2311</v>
      </c>
      <c r="B1606" s="97" t="s">
        <v>367</v>
      </c>
      <c r="C1606" s="163">
        <v>3579</v>
      </c>
      <c r="D1606" s="95" t="s">
        <v>371</v>
      </c>
      <c r="E1606" s="142">
        <v>0.71523333333333328</v>
      </c>
      <c r="F1606" s="4" t="s">
        <v>2752</v>
      </c>
      <c r="G1606" s="4" t="s">
        <v>2752</v>
      </c>
      <c r="H1606" s="4" t="str">
        <f t="shared" si="28"/>
        <v>No</v>
      </c>
      <c r="I1606" s="56"/>
    </row>
    <row r="1607" spans="1:9">
      <c r="A1607" s="97" t="s">
        <v>2269</v>
      </c>
      <c r="B1607" s="97" t="s">
        <v>77</v>
      </c>
      <c r="C1607" s="163">
        <v>4060</v>
      </c>
      <c r="D1607" s="95" t="s">
        <v>90</v>
      </c>
      <c r="E1607" s="142">
        <v>0.23050000000000001</v>
      </c>
      <c r="F1607" s="4" t="s">
        <v>3065</v>
      </c>
      <c r="G1607" s="4" t="s">
        <v>3065</v>
      </c>
      <c r="H1607" s="4" t="str">
        <f t="shared" si="28"/>
        <v>No</v>
      </c>
      <c r="I1607" s="56"/>
    </row>
    <row r="1608" spans="1:9">
      <c r="A1608" s="97" t="s">
        <v>2269</v>
      </c>
      <c r="B1608" s="97" t="s">
        <v>77</v>
      </c>
      <c r="C1608" s="163">
        <v>2721</v>
      </c>
      <c r="D1608" s="95" t="s">
        <v>82</v>
      </c>
      <c r="E1608" s="142">
        <v>0.41010000000000008</v>
      </c>
      <c r="F1608" s="4" t="s">
        <v>3065</v>
      </c>
      <c r="G1608" s="4" t="s">
        <v>3065</v>
      </c>
      <c r="H1608" s="4" t="str">
        <f t="shared" si="28"/>
        <v>No</v>
      </c>
      <c r="I1608" s="56"/>
    </row>
    <row r="1609" spans="1:9">
      <c r="A1609" s="97" t="s">
        <v>2269</v>
      </c>
      <c r="B1609" s="97" t="s">
        <v>77</v>
      </c>
      <c r="C1609" s="163">
        <v>2785</v>
      </c>
      <c r="D1609" s="95" t="s">
        <v>83</v>
      </c>
      <c r="E1609" s="142">
        <v>0.46353333333333335</v>
      </c>
      <c r="F1609" s="4" t="s">
        <v>3065</v>
      </c>
      <c r="G1609" s="4" t="s">
        <v>3065</v>
      </c>
      <c r="H1609" s="4" t="str">
        <f t="shared" si="28"/>
        <v>No</v>
      </c>
      <c r="I1609" s="56"/>
    </row>
    <row r="1610" spans="1:9">
      <c r="A1610" s="97" t="s">
        <v>2269</v>
      </c>
      <c r="B1610" s="97" t="s">
        <v>77</v>
      </c>
      <c r="C1610" s="163">
        <v>3926</v>
      </c>
      <c r="D1610" s="95" t="s">
        <v>88</v>
      </c>
      <c r="E1610" s="142">
        <v>0.23506666666666667</v>
      </c>
      <c r="F1610" s="4" t="s">
        <v>3065</v>
      </c>
      <c r="G1610" s="4" t="s">
        <v>3065</v>
      </c>
      <c r="H1610" s="4" t="str">
        <f t="shared" si="28"/>
        <v>No</v>
      </c>
      <c r="I1610" s="56"/>
    </row>
    <row r="1611" spans="1:9">
      <c r="A1611" s="97" t="s">
        <v>2269</v>
      </c>
      <c r="B1611" s="97" t="s">
        <v>77</v>
      </c>
      <c r="C1611" s="163">
        <v>3833</v>
      </c>
      <c r="D1611" s="95" t="s">
        <v>87</v>
      </c>
      <c r="E1611" s="142">
        <v>0.19316666666666668</v>
      </c>
      <c r="F1611" s="4" t="s">
        <v>3065</v>
      </c>
      <c r="G1611" s="4" t="s">
        <v>3065</v>
      </c>
      <c r="H1611" s="4" t="str">
        <f t="shared" si="28"/>
        <v>No</v>
      </c>
      <c r="I1611" s="56"/>
    </row>
    <row r="1612" spans="1:9">
      <c r="A1612" s="97" t="s">
        <v>2269</v>
      </c>
      <c r="B1612" s="97" t="s">
        <v>77</v>
      </c>
      <c r="C1612" s="163">
        <v>2786</v>
      </c>
      <c r="D1612" s="95" t="s">
        <v>84</v>
      </c>
      <c r="E1612" s="142">
        <v>0.49223333333333336</v>
      </c>
      <c r="F1612" s="4" t="s">
        <v>2752</v>
      </c>
      <c r="G1612" s="4" t="s">
        <v>2752</v>
      </c>
      <c r="H1612" s="4" t="str">
        <f t="shared" si="28"/>
        <v>No</v>
      </c>
      <c r="I1612" s="56"/>
    </row>
    <row r="1613" spans="1:9">
      <c r="A1613" s="97" t="s">
        <v>2269</v>
      </c>
      <c r="B1613" s="97" t="s">
        <v>77</v>
      </c>
      <c r="C1613" s="163">
        <v>2642</v>
      </c>
      <c r="D1613" s="95" t="s">
        <v>79</v>
      </c>
      <c r="E1613" s="142">
        <v>0.40853333333333336</v>
      </c>
      <c r="F1613" s="4" t="s">
        <v>2752</v>
      </c>
      <c r="G1613" s="4" t="s">
        <v>2752</v>
      </c>
      <c r="H1613" s="4" t="str">
        <f t="shared" si="28"/>
        <v>No</v>
      </c>
      <c r="I1613" s="56"/>
    </row>
    <row r="1614" spans="1:9">
      <c r="A1614" s="97" t="s">
        <v>2269</v>
      </c>
      <c r="B1614" s="97" t="s">
        <v>77</v>
      </c>
      <c r="C1614" s="163">
        <v>5493</v>
      </c>
      <c r="D1614" s="95" t="s">
        <v>2733</v>
      </c>
      <c r="E1614" s="142">
        <v>0.11616666666666668</v>
      </c>
      <c r="F1614" s="4" t="s">
        <v>3065</v>
      </c>
      <c r="G1614" s="4" t="s">
        <v>3065</v>
      </c>
      <c r="H1614" s="4" t="str">
        <f t="shared" si="28"/>
        <v>No</v>
      </c>
      <c r="I1614" s="56"/>
    </row>
    <row r="1615" spans="1:9">
      <c r="A1615" s="97" t="s">
        <v>2269</v>
      </c>
      <c r="B1615" s="97" t="s">
        <v>77</v>
      </c>
      <c r="C1615" s="163">
        <v>2657</v>
      </c>
      <c r="D1615" s="95" t="s">
        <v>81</v>
      </c>
      <c r="E1615" s="142">
        <v>0.36893333333333334</v>
      </c>
      <c r="F1615" s="4" t="s">
        <v>2752</v>
      </c>
      <c r="G1615" s="4" t="s">
        <v>2752</v>
      </c>
      <c r="H1615" s="4" t="str">
        <f t="shared" si="28"/>
        <v>No</v>
      </c>
      <c r="I1615" s="56"/>
    </row>
    <row r="1616" spans="1:9">
      <c r="A1616" s="97" t="s">
        <v>2269</v>
      </c>
      <c r="B1616" s="97" t="s">
        <v>77</v>
      </c>
      <c r="C1616" s="163">
        <v>2656</v>
      </c>
      <c r="D1616" s="95" t="s">
        <v>80</v>
      </c>
      <c r="E1616" s="142">
        <v>0.39560000000000001</v>
      </c>
      <c r="F1616" s="4" t="s">
        <v>2752</v>
      </c>
      <c r="G1616" s="4" t="s">
        <v>2752</v>
      </c>
      <c r="H1616" s="4" t="str">
        <f t="shared" si="28"/>
        <v>No</v>
      </c>
      <c r="I1616" s="56"/>
    </row>
    <row r="1617" spans="1:9">
      <c r="A1617" s="97" t="s">
        <v>2269</v>
      </c>
      <c r="B1617" s="97" t="s">
        <v>77</v>
      </c>
      <c r="C1617" s="163">
        <v>5419</v>
      </c>
      <c r="D1617" s="95" t="s">
        <v>95</v>
      </c>
      <c r="E1617" s="142">
        <v>0.13846666666666665</v>
      </c>
      <c r="F1617" s="4" t="s">
        <v>3065</v>
      </c>
      <c r="G1617" s="4" t="s">
        <v>3065</v>
      </c>
      <c r="H1617" s="4" t="str">
        <f t="shared" si="28"/>
        <v>No</v>
      </c>
      <c r="I1617" s="56"/>
    </row>
    <row r="1618" spans="1:9">
      <c r="A1618" s="97" t="s">
        <v>2269</v>
      </c>
      <c r="B1618" s="97" t="s">
        <v>77</v>
      </c>
      <c r="C1618" s="163">
        <v>5689</v>
      </c>
      <c r="D1618" s="95" t="s">
        <v>3042</v>
      </c>
      <c r="E1618" s="142">
        <v>0.51539999999999997</v>
      </c>
      <c r="F1618" s="4" t="s">
        <v>2752</v>
      </c>
      <c r="G1618" s="4" t="s">
        <v>3065</v>
      </c>
      <c r="H1618" s="4" t="str">
        <f t="shared" si="28"/>
        <v>No</v>
      </c>
      <c r="I1618" s="56"/>
    </row>
    <row r="1619" spans="1:9">
      <c r="A1619" s="97" t="s">
        <v>2269</v>
      </c>
      <c r="B1619" s="97" t="s">
        <v>77</v>
      </c>
      <c r="C1619" s="163">
        <v>3511</v>
      </c>
      <c r="D1619" s="95" t="s">
        <v>85</v>
      </c>
      <c r="E1619" s="142">
        <v>0.2311</v>
      </c>
      <c r="F1619" s="4" t="s">
        <v>3065</v>
      </c>
      <c r="G1619" s="4" t="s">
        <v>3065</v>
      </c>
      <c r="H1619" s="4" t="str">
        <f t="shared" si="28"/>
        <v>No</v>
      </c>
      <c r="I1619" s="56"/>
    </row>
    <row r="1620" spans="1:9">
      <c r="A1620" s="97" t="s">
        <v>2269</v>
      </c>
      <c r="B1620" s="97" t="s">
        <v>77</v>
      </c>
      <c r="C1620" s="163">
        <v>4295</v>
      </c>
      <c r="D1620" s="95" t="s">
        <v>91</v>
      </c>
      <c r="E1620" s="142">
        <v>0.42656666666666671</v>
      </c>
      <c r="F1620" s="4" t="s">
        <v>2752</v>
      </c>
      <c r="G1620" s="4" t="s">
        <v>2752</v>
      </c>
      <c r="H1620" s="4" t="str">
        <f t="shared" si="28"/>
        <v>No</v>
      </c>
      <c r="I1620" s="56"/>
    </row>
    <row r="1621" spans="1:9">
      <c r="A1621" s="97" t="s">
        <v>2269</v>
      </c>
      <c r="B1621" s="97" t="s">
        <v>77</v>
      </c>
      <c r="C1621" s="163">
        <v>3732</v>
      </c>
      <c r="D1621" s="95" t="s">
        <v>86</v>
      </c>
      <c r="E1621" s="142">
        <v>0.3257666666666667</v>
      </c>
      <c r="F1621" s="4" t="s">
        <v>3065</v>
      </c>
      <c r="G1621" s="4" t="s">
        <v>3065</v>
      </c>
      <c r="H1621" s="4" t="str">
        <f t="shared" si="28"/>
        <v>No</v>
      </c>
      <c r="I1621" s="56"/>
    </row>
    <row r="1622" spans="1:9">
      <c r="A1622" s="97" t="s">
        <v>2269</v>
      </c>
      <c r="B1622" s="97" t="s">
        <v>77</v>
      </c>
      <c r="C1622" s="163">
        <v>2001</v>
      </c>
      <c r="D1622" s="95" t="s">
        <v>78</v>
      </c>
      <c r="E1622" s="142">
        <v>1.11E-2</v>
      </c>
      <c r="F1622" s="4" t="s">
        <v>3065</v>
      </c>
      <c r="G1622" s="4" t="s">
        <v>3065</v>
      </c>
      <c r="H1622" s="4" t="str">
        <f t="shared" si="28"/>
        <v>No</v>
      </c>
      <c r="I1622" s="56"/>
    </row>
    <row r="1623" spans="1:9">
      <c r="A1623" s="97" t="s">
        <v>2269</v>
      </c>
      <c r="B1623" s="97" t="s">
        <v>77</v>
      </c>
      <c r="C1623" s="163">
        <v>4059</v>
      </c>
      <c r="D1623" s="95" t="s">
        <v>89</v>
      </c>
      <c r="E1623" s="142">
        <v>0.34260000000000002</v>
      </c>
      <c r="F1623" s="4" t="s">
        <v>3065</v>
      </c>
      <c r="G1623" s="4" t="s">
        <v>3065</v>
      </c>
      <c r="H1623" s="4" t="str">
        <f t="shared" si="28"/>
        <v>No</v>
      </c>
      <c r="I1623" s="56"/>
    </row>
    <row r="1624" spans="1:9">
      <c r="A1624" s="97" t="s">
        <v>2269</v>
      </c>
      <c r="B1624" s="97" t="s">
        <v>77</v>
      </c>
      <c r="C1624" s="163">
        <v>5165</v>
      </c>
      <c r="D1624" s="95" t="s">
        <v>94</v>
      </c>
      <c r="E1624" s="142">
        <v>0.12746666666666667</v>
      </c>
      <c r="F1624" s="4" t="s">
        <v>3065</v>
      </c>
      <c r="G1624" s="4" t="s">
        <v>3065</v>
      </c>
      <c r="H1624" s="4" t="str">
        <f t="shared" si="28"/>
        <v>No</v>
      </c>
      <c r="I1624" s="56"/>
    </row>
    <row r="1625" spans="1:9">
      <c r="A1625" s="97" t="s">
        <v>2269</v>
      </c>
      <c r="B1625" s="97" t="s">
        <v>77</v>
      </c>
      <c r="C1625" s="163">
        <v>5092</v>
      </c>
      <c r="D1625" s="95" t="s">
        <v>93</v>
      </c>
      <c r="E1625" s="142">
        <v>0.12069999999999999</v>
      </c>
      <c r="F1625" s="4" t="s">
        <v>3065</v>
      </c>
      <c r="G1625" s="4" t="s">
        <v>3065</v>
      </c>
      <c r="H1625" s="4" t="str">
        <f t="shared" si="28"/>
        <v>No</v>
      </c>
      <c r="I1625" s="56"/>
    </row>
    <row r="1626" spans="1:9">
      <c r="A1626" s="97" t="s">
        <v>2269</v>
      </c>
      <c r="B1626" s="97" t="s">
        <v>77</v>
      </c>
      <c r="C1626" s="163">
        <v>4543</v>
      </c>
      <c r="D1626" s="95" t="s">
        <v>92</v>
      </c>
      <c r="E1626" s="142">
        <v>0.16879999999999998</v>
      </c>
      <c r="F1626" s="4" t="s">
        <v>3065</v>
      </c>
      <c r="G1626" s="4" t="s">
        <v>3065</v>
      </c>
      <c r="H1626" s="4" t="str">
        <f t="shared" si="28"/>
        <v>No</v>
      </c>
      <c r="I1626" s="56"/>
    </row>
    <row r="1627" spans="1:9">
      <c r="A1627" s="97" t="s">
        <v>2291</v>
      </c>
      <c r="B1627" s="97" t="s">
        <v>284</v>
      </c>
      <c r="C1627" s="163">
        <v>2390</v>
      </c>
      <c r="D1627" s="95" t="s">
        <v>285</v>
      </c>
      <c r="E1627" s="142">
        <v>0.2366</v>
      </c>
      <c r="F1627" s="4" t="s">
        <v>3065</v>
      </c>
      <c r="G1627" s="4" t="s">
        <v>3065</v>
      </c>
      <c r="H1627" s="4" t="str">
        <f t="shared" si="28"/>
        <v>No</v>
      </c>
      <c r="I1627" s="56"/>
    </row>
    <row r="1628" spans="1:9">
      <c r="A1628" s="97" t="s">
        <v>2291</v>
      </c>
      <c r="B1628" s="97" t="s">
        <v>284</v>
      </c>
      <c r="C1628" s="163">
        <v>3321</v>
      </c>
      <c r="D1628" s="95" t="s">
        <v>286</v>
      </c>
      <c r="E1628" s="142">
        <v>0.2165</v>
      </c>
      <c r="F1628" s="4" t="s">
        <v>3065</v>
      </c>
      <c r="G1628" s="4" t="s">
        <v>3065</v>
      </c>
      <c r="H1628" s="4" t="str">
        <f t="shared" si="28"/>
        <v>No</v>
      </c>
      <c r="I1628" s="56"/>
    </row>
    <row r="1629" spans="1:9">
      <c r="A1629" s="97" t="s">
        <v>2291</v>
      </c>
      <c r="B1629" s="97" t="s">
        <v>284</v>
      </c>
      <c r="C1629" s="163">
        <v>5518</v>
      </c>
      <c r="D1629" s="95" t="s">
        <v>2809</v>
      </c>
      <c r="E1629" s="142">
        <v>0.23250000000000001</v>
      </c>
      <c r="F1629" s="4" t="s">
        <v>3065</v>
      </c>
      <c r="G1629" s="4" t="s">
        <v>3065</v>
      </c>
      <c r="H1629" s="4" t="str">
        <f t="shared" si="28"/>
        <v>No</v>
      </c>
      <c r="I1629" s="56"/>
    </row>
    <row r="1630" spans="1:9">
      <c r="A1630" s="97" t="s">
        <v>2291</v>
      </c>
      <c r="B1630" s="97" t="s">
        <v>284</v>
      </c>
      <c r="C1630" s="163">
        <v>3786</v>
      </c>
      <c r="D1630" s="95" t="s">
        <v>287</v>
      </c>
      <c r="E1630" s="142">
        <v>0.20293333333333333</v>
      </c>
      <c r="F1630" s="4" t="s">
        <v>3065</v>
      </c>
      <c r="G1630" s="4" t="s">
        <v>3065</v>
      </c>
      <c r="H1630" s="4" t="str">
        <f t="shared" si="28"/>
        <v>No</v>
      </c>
      <c r="I1630" s="56"/>
    </row>
    <row r="1631" spans="1:9">
      <c r="A1631" s="97" t="s">
        <v>2291</v>
      </c>
      <c r="B1631" s="97" t="s">
        <v>284</v>
      </c>
      <c r="C1631" s="163">
        <v>3891</v>
      </c>
      <c r="D1631" s="95" t="s">
        <v>288</v>
      </c>
      <c r="E1631" s="142">
        <v>0.25230000000000002</v>
      </c>
      <c r="F1631" s="4" t="s">
        <v>3065</v>
      </c>
      <c r="G1631" s="4" t="s">
        <v>3065</v>
      </c>
      <c r="H1631" s="4" t="str">
        <f t="shared" si="28"/>
        <v>No</v>
      </c>
      <c r="I1631" s="56"/>
    </row>
    <row r="1632" spans="1:9">
      <c r="A1632" s="97" t="s">
        <v>2291</v>
      </c>
      <c r="B1632" s="97" t="s">
        <v>284</v>
      </c>
      <c r="C1632" s="163">
        <v>5690</v>
      </c>
      <c r="D1632" s="95" t="s">
        <v>3043</v>
      </c>
      <c r="E1632" s="142">
        <v>0.26879999999999998</v>
      </c>
      <c r="F1632" s="4" t="s">
        <v>3065</v>
      </c>
      <c r="G1632" s="4" t="s">
        <v>3065</v>
      </c>
      <c r="H1632" s="4" t="str">
        <f t="shared" si="28"/>
        <v>No</v>
      </c>
      <c r="I1632" s="56"/>
    </row>
    <row r="1633" spans="1:9">
      <c r="A1633" s="97" t="s">
        <v>2261</v>
      </c>
      <c r="B1633" s="97" t="s">
        <v>16</v>
      </c>
      <c r="C1633" s="163">
        <v>5303</v>
      </c>
      <c r="D1633" s="95" t="s">
        <v>19</v>
      </c>
      <c r="E1633" s="142">
        <v>0.47759999999999997</v>
      </c>
      <c r="F1633" s="4" t="s">
        <v>3065</v>
      </c>
      <c r="G1633" s="4" t="s">
        <v>3065</v>
      </c>
      <c r="H1633" s="4" t="str">
        <f t="shared" si="28"/>
        <v>No</v>
      </c>
      <c r="I1633" s="56"/>
    </row>
    <row r="1634" spans="1:9">
      <c r="A1634" s="97" t="s">
        <v>2261</v>
      </c>
      <c r="B1634" s="97" t="s">
        <v>16</v>
      </c>
      <c r="C1634" s="163">
        <v>2719</v>
      </c>
      <c r="D1634" s="95" t="s">
        <v>18</v>
      </c>
      <c r="E1634" s="142">
        <v>0.52856666666666674</v>
      </c>
      <c r="F1634" s="4" t="s">
        <v>2752</v>
      </c>
      <c r="G1634" s="4" t="s">
        <v>2752</v>
      </c>
      <c r="H1634" s="4" t="str">
        <f t="shared" si="28"/>
        <v>No</v>
      </c>
      <c r="I1634" s="56"/>
    </row>
    <row r="1635" spans="1:9">
      <c r="A1635" s="97" t="s">
        <v>2261</v>
      </c>
      <c r="B1635" s="97" t="s">
        <v>16</v>
      </c>
      <c r="C1635" s="163">
        <v>2132</v>
      </c>
      <c r="D1635" s="95" t="s">
        <v>17</v>
      </c>
      <c r="E1635" s="142">
        <v>0.36906666666666665</v>
      </c>
      <c r="F1635" s="4" t="s">
        <v>3065</v>
      </c>
      <c r="G1635" s="4" t="s">
        <v>3065</v>
      </c>
      <c r="H1635" s="4" t="str">
        <f t="shared" si="28"/>
        <v>No</v>
      </c>
      <c r="I1635" s="56"/>
    </row>
    <row r="1636" spans="1:9">
      <c r="A1636" s="97" t="s">
        <v>2499</v>
      </c>
      <c r="B1636" s="97" t="s">
        <v>1914</v>
      </c>
      <c r="C1636" s="163">
        <v>2525</v>
      </c>
      <c r="D1636" s="95" t="s">
        <v>1916</v>
      </c>
      <c r="E1636" s="142">
        <v>0.49279999999999996</v>
      </c>
      <c r="F1636" s="4" t="s">
        <v>3065</v>
      </c>
      <c r="G1636" s="4" t="s">
        <v>3065</v>
      </c>
      <c r="H1636" s="4" t="str">
        <f t="shared" si="28"/>
        <v>No</v>
      </c>
      <c r="I1636" s="56"/>
    </row>
    <row r="1637" spans="1:9">
      <c r="A1637" s="97" t="s">
        <v>2499</v>
      </c>
      <c r="B1637" s="97" t="s">
        <v>1914</v>
      </c>
      <c r="C1637" s="163">
        <v>1919</v>
      </c>
      <c r="D1637" s="95" t="s">
        <v>1915</v>
      </c>
      <c r="E1637" s="142">
        <v>0.46303333333333335</v>
      </c>
      <c r="F1637" s="4" t="s">
        <v>3065</v>
      </c>
      <c r="G1637" s="4" t="s">
        <v>3065</v>
      </c>
      <c r="H1637" s="4" t="str">
        <f t="shared" si="28"/>
        <v>No</v>
      </c>
      <c r="I1637" s="56"/>
    </row>
    <row r="1638" spans="1:9">
      <c r="A1638" s="97" t="s">
        <v>2499</v>
      </c>
      <c r="B1638" s="97" t="s">
        <v>1914</v>
      </c>
      <c r="C1638" s="163">
        <v>4033</v>
      </c>
      <c r="D1638" s="95" t="s">
        <v>1918</v>
      </c>
      <c r="E1638" s="142">
        <v>0.52366666666666661</v>
      </c>
      <c r="F1638" s="4" t="s">
        <v>2752</v>
      </c>
      <c r="G1638" s="4" t="s">
        <v>2752</v>
      </c>
      <c r="H1638" s="4" t="str">
        <f t="shared" si="28"/>
        <v>No</v>
      </c>
      <c r="I1638" s="56"/>
    </row>
    <row r="1639" spans="1:9">
      <c r="A1639" s="97" t="s">
        <v>2499</v>
      </c>
      <c r="B1639" s="97" t="s">
        <v>1914</v>
      </c>
      <c r="C1639" s="163">
        <v>4228</v>
      </c>
      <c r="D1639" s="95" t="s">
        <v>1919</v>
      </c>
      <c r="E1639" s="142">
        <v>0.42880000000000001</v>
      </c>
      <c r="F1639" s="4" t="s">
        <v>3065</v>
      </c>
      <c r="G1639" s="4" t="s">
        <v>3065</v>
      </c>
      <c r="H1639" s="4" t="str">
        <f t="shared" si="28"/>
        <v>No</v>
      </c>
      <c r="I1639" s="56"/>
    </row>
    <row r="1640" spans="1:9">
      <c r="A1640" s="97" t="s">
        <v>2499</v>
      </c>
      <c r="B1640" s="97" t="s">
        <v>1914</v>
      </c>
      <c r="C1640" s="163">
        <v>3466</v>
      </c>
      <c r="D1640" s="95" t="s">
        <v>1917</v>
      </c>
      <c r="E1640" s="142">
        <v>0.46826666666666666</v>
      </c>
      <c r="F1640" s="4" t="s">
        <v>3065</v>
      </c>
      <c r="G1640" s="4" t="s">
        <v>3065</v>
      </c>
      <c r="H1640" s="4" t="str">
        <f t="shared" si="28"/>
        <v>No</v>
      </c>
      <c r="I1640" s="56"/>
    </row>
    <row r="1641" spans="1:9">
      <c r="A1641" s="137" t="s">
        <v>2358</v>
      </c>
      <c r="B1641" s="97" t="s">
        <v>798</v>
      </c>
      <c r="C1641" s="164">
        <v>2485</v>
      </c>
      <c r="D1641" s="56" t="s">
        <v>801</v>
      </c>
      <c r="E1641" s="142">
        <v>0.19509999999999997</v>
      </c>
      <c r="F1641" s="4" t="s">
        <v>3065</v>
      </c>
      <c r="G1641" s="4" t="s">
        <v>3065</v>
      </c>
      <c r="H1641" s="4" t="str">
        <f t="shared" si="28"/>
        <v>No</v>
      </c>
      <c r="I1641" s="56"/>
    </row>
    <row r="1642" spans="1:9">
      <c r="A1642" s="97" t="s">
        <v>2358</v>
      </c>
      <c r="B1642" s="97" t="s">
        <v>798</v>
      </c>
      <c r="C1642" s="163">
        <v>3524</v>
      </c>
      <c r="D1642" s="95" t="s">
        <v>804</v>
      </c>
      <c r="E1642" s="142">
        <v>0.10713333333333334</v>
      </c>
      <c r="F1642" s="4" t="s">
        <v>3065</v>
      </c>
      <c r="G1642" s="4" t="s">
        <v>3065</v>
      </c>
      <c r="H1642" s="4" t="str">
        <f t="shared" si="28"/>
        <v>No</v>
      </c>
      <c r="I1642" s="56"/>
    </row>
    <row r="1643" spans="1:9">
      <c r="A1643" s="97" t="s">
        <v>2358</v>
      </c>
      <c r="B1643" s="97" t="s">
        <v>798</v>
      </c>
      <c r="C1643" s="163">
        <v>3101</v>
      </c>
      <c r="D1643" s="95" t="s">
        <v>803</v>
      </c>
      <c r="E1643" s="142">
        <v>0.10463333333333334</v>
      </c>
      <c r="F1643" s="4" t="s">
        <v>3065</v>
      </c>
      <c r="G1643" s="4" t="s">
        <v>3065</v>
      </c>
      <c r="H1643" s="4" t="str">
        <f t="shared" si="28"/>
        <v>No</v>
      </c>
      <c r="I1643" s="56"/>
    </row>
    <row r="1644" spans="1:9">
      <c r="A1644" s="97" t="s">
        <v>2358</v>
      </c>
      <c r="B1644" s="97" t="s">
        <v>798</v>
      </c>
      <c r="C1644" s="163">
        <v>5244</v>
      </c>
      <c r="D1644" s="95" t="s">
        <v>807</v>
      </c>
      <c r="E1644" s="142">
        <v>0.16363333333333333</v>
      </c>
      <c r="F1644" s="4" t="s">
        <v>3065</v>
      </c>
      <c r="G1644" s="4" t="s">
        <v>3065</v>
      </c>
      <c r="H1644" s="4" t="str">
        <f t="shared" si="28"/>
        <v>No</v>
      </c>
      <c r="I1644" s="56"/>
    </row>
    <row r="1645" spans="1:9">
      <c r="A1645" s="97" t="s">
        <v>2358</v>
      </c>
      <c r="B1645" s="97" t="s">
        <v>798</v>
      </c>
      <c r="C1645" s="163">
        <v>1756</v>
      </c>
      <c r="D1645" s="95" t="s">
        <v>799</v>
      </c>
      <c r="E1645" s="142">
        <v>0.22443333333333335</v>
      </c>
      <c r="F1645" s="4" t="s">
        <v>3065</v>
      </c>
      <c r="G1645" s="4" t="s">
        <v>3065</v>
      </c>
      <c r="H1645" s="4" t="str">
        <f t="shared" si="28"/>
        <v>No</v>
      </c>
      <c r="I1645" s="56"/>
    </row>
    <row r="1646" spans="1:9">
      <c r="A1646" s="97" t="s">
        <v>2358</v>
      </c>
      <c r="B1646" s="97" t="s">
        <v>798</v>
      </c>
      <c r="C1646" s="163">
        <v>3006</v>
      </c>
      <c r="D1646" s="95" t="s">
        <v>802</v>
      </c>
      <c r="E1646" s="142">
        <v>0</v>
      </c>
      <c r="F1646" s="4" t="s">
        <v>3065</v>
      </c>
      <c r="G1646" s="4" t="s">
        <v>3065</v>
      </c>
      <c r="H1646" s="4" t="str">
        <f t="shared" si="28"/>
        <v>No</v>
      </c>
      <c r="I1646" s="56"/>
    </row>
    <row r="1647" spans="1:9">
      <c r="A1647" s="97" t="s">
        <v>2358</v>
      </c>
      <c r="B1647" s="97" t="s">
        <v>798</v>
      </c>
      <c r="C1647" s="163">
        <v>1854</v>
      </c>
      <c r="D1647" s="95" t="s">
        <v>800</v>
      </c>
      <c r="E1647" s="142">
        <v>9.6000000000000016E-2</v>
      </c>
      <c r="F1647" s="4" t="s">
        <v>3065</v>
      </c>
      <c r="G1647" s="4" t="s">
        <v>3065</v>
      </c>
      <c r="H1647" s="4" t="str">
        <f t="shared" si="28"/>
        <v>No</v>
      </c>
      <c r="I1647" s="56"/>
    </row>
    <row r="1648" spans="1:9">
      <c r="A1648" s="97" t="s">
        <v>2358</v>
      </c>
      <c r="B1648" s="97" t="s">
        <v>798</v>
      </c>
      <c r="C1648" s="163">
        <v>4332</v>
      </c>
      <c r="D1648" s="95" t="s">
        <v>806</v>
      </c>
      <c r="E1648" s="142">
        <v>0.12206666666666666</v>
      </c>
      <c r="F1648" s="4" t="s">
        <v>3065</v>
      </c>
      <c r="G1648" s="4" t="s">
        <v>3065</v>
      </c>
      <c r="H1648" s="4" t="str">
        <f t="shared" si="28"/>
        <v>No</v>
      </c>
      <c r="I1648" s="56"/>
    </row>
    <row r="1649" spans="1:9">
      <c r="A1649" s="97" t="s">
        <v>2358</v>
      </c>
      <c r="B1649" s="97" t="s">
        <v>798</v>
      </c>
      <c r="C1649" s="163">
        <v>4318</v>
      </c>
      <c r="D1649" s="95" t="s">
        <v>805</v>
      </c>
      <c r="E1649" s="142">
        <v>0.14700000000000002</v>
      </c>
      <c r="F1649" s="4" t="s">
        <v>3065</v>
      </c>
      <c r="G1649" s="4" t="s">
        <v>3065</v>
      </c>
      <c r="H1649" s="4" t="str">
        <f t="shared" si="28"/>
        <v>No</v>
      </c>
      <c r="I1649" s="56"/>
    </row>
    <row r="1650" spans="1:9">
      <c r="A1650" s="97" t="s">
        <v>2521</v>
      </c>
      <c r="B1650" s="97" t="s">
        <v>2025</v>
      </c>
      <c r="C1650" s="163">
        <v>3801</v>
      </c>
      <c r="D1650" s="95" t="s">
        <v>2029</v>
      </c>
      <c r="E1650" s="142">
        <v>0.52316666666666667</v>
      </c>
      <c r="F1650" s="4" t="s">
        <v>2752</v>
      </c>
      <c r="G1650" s="4" t="s">
        <v>2752</v>
      </c>
      <c r="H1650" s="4" t="str">
        <f t="shared" si="28"/>
        <v>No</v>
      </c>
      <c r="I1650" s="56"/>
    </row>
    <row r="1651" spans="1:9">
      <c r="A1651" s="97" t="s">
        <v>2521</v>
      </c>
      <c r="B1651" s="97" t="s">
        <v>2025</v>
      </c>
      <c r="C1651" s="163">
        <v>1735</v>
      </c>
      <c r="D1651" s="95" t="s">
        <v>2026</v>
      </c>
      <c r="E1651" s="142">
        <v>0.55443333333333333</v>
      </c>
      <c r="F1651" s="4" t="s">
        <v>2752</v>
      </c>
      <c r="G1651" s="4" t="s">
        <v>2752</v>
      </c>
      <c r="H1651" s="4" t="str">
        <f t="shared" si="28"/>
        <v>No</v>
      </c>
      <c r="I1651" s="56"/>
    </row>
    <row r="1652" spans="1:9">
      <c r="A1652" s="97" t="s">
        <v>2521</v>
      </c>
      <c r="B1652" s="97" t="s">
        <v>2025</v>
      </c>
      <c r="C1652" s="163">
        <v>4326</v>
      </c>
      <c r="D1652" s="95" t="s">
        <v>2030</v>
      </c>
      <c r="E1652" s="142">
        <v>0.45379999999999998</v>
      </c>
      <c r="F1652" s="4" t="s">
        <v>3065</v>
      </c>
      <c r="G1652" s="4" t="s">
        <v>3065</v>
      </c>
      <c r="H1652" s="4" t="str">
        <f t="shared" si="28"/>
        <v>No</v>
      </c>
      <c r="I1652" s="56"/>
    </row>
    <row r="1653" spans="1:9">
      <c r="A1653" s="97" t="s">
        <v>2521</v>
      </c>
      <c r="B1653" s="97" t="s">
        <v>2025</v>
      </c>
      <c r="C1653" s="163">
        <v>3067</v>
      </c>
      <c r="D1653" s="95" t="s">
        <v>2028</v>
      </c>
      <c r="E1653" s="142">
        <v>0.52190000000000003</v>
      </c>
      <c r="F1653" s="4" t="s">
        <v>2752</v>
      </c>
      <c r="G1653" s="4" t="s">
        <v>2752</v>
      </c>
      <c r="H1653" s="4" t="str">
        <f t="shared" si="28"/>
        <v>No</v>
      </c>
      <c r="I1653" s="56"/>
    </row>
    <row r="1654" spans="1:9">
      <c r="A1654" s="97" t="s">
        <v>2521</v>
      </c>
      <c r="B1654" s="97" t="s">
        <v>2025</v>
      </c>
      <c r="C1654" s="163">
        <v>2527</v>
      </c>
      <c r="D1654" s="95" t="s">
        <v>2027</v>
      </c>
      <c r="E1654" s="142">
        <v>0.49199999999999999</v>
      </c>
      <c r="F1654" s="4" t="s">
        <v>3065</v>
      </c>
      <c r="G1654" s="4" t="s">
        <v>2752</v>
      </c>
      <c r="H1654" s="4" t="str">
        <f t="shared" si="28"/>
        <v>Yes</v>
      </c>
      <c r="I1654" s="56"/>
    </row>
    <row r="1655" spans="1:9">
      <c r="A1655" s="97" t="s">
        <v>2521</v>
      </c>
      <c r="B1655" s="97" t="s">
        <v>2025</v>
      </c>
      <c r="C1655" s="163">
        <v>5691</v>
      </c>
      <c r="D1655" s="95" t="s">
        <v>3044</v>
      </c>
      <c r="E1655" s="142">
        <v>0.25</v>
      </c>
      <c r="F1655" s="4" t="s">
        <v>3065</v>
      </c>
      <c r="G1655" s="4" t="s">
        <v>3065</v>
      </c>
      <c r="H1655" s="4" t="str">
        <f t="shared" si="28"/>
        <v>No</v>
      </c>
      <c r="I1655" s="56"/>
    </row>
    <row r="1656" spans="1:9">
      <c r="A1656" s="97" t="s">
        <v>2389</v>
      </c>
      <c r="B1656" s="97" t="s">
        <v>1118</v>
      </c>
      <c r="C1656" s="163">
        <v>3530</v>
      </c>
      <c r="D1656" s="95" t="s">
        <v>144</v>
      </c>
      <c r="E1656" s="142">
        <v>0</v>
      </c>
      <c r="F1656" s="4" t="s">
        <v>3065</v>
      </c>
      <c r="G1656" s="4" t="s">
        <v>3065</v>
      </c>
      <c r="H1656" s="4" t="str">
        <f t="shared" si="28"/>
        <v>No</v>
      </c>
      <c r="I1656" s="56"/>
    </row>
    <row r="1657" spans="1:9">
      <c r="A1657" s="97" t="s">
        <v>2550</v>
      </c>
      <c r="B1657" s="97" t="s">
        <v>2156</v>
      </c>
      <c r="C1657" s="163">
        <v>3204</v>
      </c>
      <c r="D1657" s="95" t="s">
        <v>2157</v>
      </c>
      <c r="E1657" s="142">
        <v>0.63446666666666662</v>
      </c>
      <c r="F1657" s="4" t="s">
        <v>2752</v>
      </c>
      <c r="G1657" s="4" t="s">
        <v>2752</v>
      </c>
      <c r="H1657" s="4" t="str">
        <f t="shared" si="28"/>
        <v>No</v>
      </c>
      <c r="I1657" s="56"/>
    </row>
    <row r="1658" spans="1:9">
      <c r="A1658" s="97" t="s">
        <v>2322</v>
      </c>
      <c r="B1658" s="97" t="s">
        <v>431</v>
      </c>
      <c r="C1658" s="163">
        <v>3090</v>
      </c>
      <c r="D1658" s="95" t="s">
        <v>432</v>
      </c>
      <c r="E1658" s="142">
        <v>0.73139999999999994</v>
      </c>
      <c r="F1658" s="4" t="s">
        <v>2752</v>
      </c>
      <c r="G1658" s="4" t="s">
        <v>2752</v>
      </c>
      <c r="H1658" s="4" t="str">
        <f t="shared" si="28"/>
        <v>No</v>
      </c>
      <c r="I1658" s="56"/>
    </row>
    <row r="1659" spans="1:9">
      <c r="A1659" s="97" t="s">
        <v>2322</v>
      </c>
      <c r="B1659" s="97" t="s">
        <v>431</v>
      </c>
      <c r="C1659" s="163">
        <v>3516</v>
      </c>
      <c r="D1659" s="95" t="s">
        <v>433</v>
      </c>
      <c r="E1659" s="142">
        <v>0.66186666666666671</v>
      </c>
      <c r="F1659" s="4" t="s">
        <v>2752</v>
      </c>
      <c r="G1659" s="4" t="s">
        <v>2752</v>
      </c>
      <c r="H1659" s="4" t="str">
        <f t="shared" si="28"/>
        <v>No</v>
      </c>
      <c r="I1659" s="56"/>
    </row>
    <row r="1660" spans="1:9">
      <c r="A1660" s="97" t="s">
        <v>2322</v>
      </c>
      <c r="B1660" s="97" t="s">
        <v>431</v>
      </c>
      <c r="C1660" s="163">
        <v>5388</v>
      </c>
      <c r="D1660" s="95" t="s">
        <v>435</v>
      </c>
      <c r="E1660" s="142">
        <v>0.77533333333333332</v>
      </c>
      <c r="F1660" s="4" t="s">
        <v>2752</v>
      </c>
      <c r="G1660" s="4" t="s">
        <v>2752</v>
      </c>
      <c r="H1660" s="4" t="str">
        <f t="shared" si="28"/>
        <v>No</v>
      </c>
      <c r="I1660" s="56"/>
    </row>
    <row r="1661" spans="1:9">
      <c r="A1661" s="97" t="s">
        <v>2322</v>
      </c>
      <c r="B1661" s="97" t="s">
        <v>431</v>
      </c>
      <c r="C1661" s="163">
        <v>3620</v>
      </c>
      <c r="D1661" s="95" t="s">
        <v>434</v>
      </c>
      <c r="E1661" s="142">
        <v>0.70866666666666678</v>
      </c>
      <c r="F1661" s="4" t="s">
        <v>2752</v>
      </c>
      <c r="G1661" s="4" t="s">
        <v>2752</v>
      </c>
      <c r="H1661" s="4" t="str">
        <f t="shared" si="28"/>
        <v>No</v>
      </c>
      <c r="I1661" s="56"/>
    </row>
    <row r="1662" spans="1:9">
      <c r="A1662" s="97" t="s">
        <v>2459</v>
      </c>
      <c r="B1662" s="97" t="s">
        <v>1537</v>
      </c>
      <c r="C1662" s="163">
        <v>2520</v>
      </c>
      <c r="D1662" s="95" t="s">
        <v>1539</v>
      </c>
      <c r="E1662" s="142">
        <v>0.33790000000000003</v>
      </c>
      <c r="F1662" s="4" t="s">
        <v>3065</v>
      </c>
      <c r="G1662" s="4" t="s">
        <v>3065</v>
      </c>
      <c r="H1662" s="4" t="str">
        <f t="shared" si="28"/>
        <v>No</v>
      </c>
      <c r="I1662" s="56"/>
    </row>
    <row r="1663" spans="1:9">
      <c r="A1663" s="97" t="s">
        <v>2459</v>
      </c>
      <c r="B1663" s="97" t="s">
        <v>1537</v>
      </c>
      <c r="C1663" s="163">
        <v>2879</v>
      </c>
      <c r="D1663" s="95" t="s">
        <v>1540</v>
      </c>
      <c r="E1663" s="142">
        <v>0.36330000000000001</v>
      </c>
      <c r="F1663" s="4" t="s">
        <v>3065</v>
      </c>
      <c r="G1663" s="4" t="s">
        <v>3065</v>
      </c>
      <c r="H1663" s="4" t="str">
        <f t="shared" si="28"/>
        <v>No</v>
      </c>
      <c r="I1663" s="56"/>
    </row>
    <row r="1664" spans="1:9">
      <c r="A1664" s="97" t="s">
        <v>2459</v>
      </c>
      <c r="B1664" s="97" t="s">
        <v>1537</v>
      </c>
      <c r="C1664" s="163">
        <v>3011</v>
      </c>
      <c r="D1664" s="95" t="s">
        <v>1541</v>
      </c>
      <c r="E1664" s="142">
        <v>0.40303333333333335</v>
      </c>
      <c r="F1664" s="4" t="s">
        <v>3065</v>
      </c>
      <c r="G1664" s="4" t="s">
        <v>3065</v>
      </c>
      <c r="H1664" s="4" t="str">
        <f t="shared" si="28"/>
        <v>No</v>
      </c>
      <c r="I1664" s="56"/>
    </row>
    <row r="1665" spans="1:9">
      <c r="A1665" s="97" t="s">
        <v>2459</v>
      </c>
      <c r="B1665" s="97" t="s">
        <v>1537</v>
      </c>
      <c r="C1665" s="163">
        <v>1963</v>
      </c>
      <c r="D1665" s="95" t="s">
        <v>1538</v>
      </c>
      <c r="E1665" s="142">
        <v>0.35499999999999998</v>
      </c>
      <c r="F1665" s="4" t="s">
        <v>3065</v>
      </c>
      <c r="G1665" s="4" t="s">
        <v>3065</v>
      </c>
      <c r="H1665" s="4" t="str">
        <f t="shared" si="28"/>
        <v>No</v>
      </c>
      <c r="I1665" s="56"/>
    </row>
    <row r="1666" spans="1:9">
      <c r="A1666" s="97" t="s">
        <v>2459</v>
      </c>
      <c r="B1666" s="97" t="s">
        <v>1537</v>
      </c>
      <c r="C1666" s="163">
        <v>5559</v>
      </c>
      <c r="D1666" s="95" t="s">
        <v>2918</v>
      </c>
      <c r="E1666" s="142">
        <v>0.2</v>
      </c>
      <c r="F1666" s="4" t="s">
        <v>3065</v>
      </c>
      <c r="G1666" s="4" t="s">
        <v>3065</v>
      </c>
      <c r="H1666" s="4" t="str">
        <f t="shared" si="28"/>
        <v>No</v>
      </c>
      <c r="I1666" s="56"/>
    </row>
    <row r="1667" spans="1:9">
      <c r="A1667" s="97" t="s">
        <v>2336</v>
      </c>
      <c r="B1667" s="97" t="s">
        <v>503</v>
      </c>
      <c r="C1667" s="163">
        <v>2010</v>
      </c>
      <c r="D1667" s="95" t="s">
        <v>504</v>
      </c>
      <c r="E1667" s="142">
        <v>0.54876666666666674</v>
      </c>
      <c r="F1667" s="4" t="s">
        <v>2752</v>
      </c>
      <c r="G1667" s="4" t="s">
        <v>2752</v>
      </c>
      <c r="H1667" s="4" t="str">
        <f t="shared" ref="H1667:H1730" si="29">IFERROR(IF(AND(G1667="Yes",F1667="No"),"Yes","No"),"No")</f>
        <v>No</v>
      </c>
      <c r="I1667" s="56"/>
    </row>
    <row r="1668" spans="1:9">
      <c r="A1668" s="97" t="s">
        <v>2348</v>
      </c>
      <c r="B1668" s="97" t="s">
        <v>547</v>
      </c>
      <c r="C1668" s="163">
        <v>2138</v>
      </c>
      <c r="D1668" s="95" t="s">
        <v>567</v>
      </c>
      <c r="E1668" s="142">
        <v>9.6066666666666675E-2</v>
      </c>
      <c r="F1668" s="4" t="s">
        <v>3065</v>
      </c>
      <c r="G1668" s="4" t="s">
        <v>3065</v>
      </c>
      <c r="H1668" s="4" t="str">
        <f t="shared" si="29"/>
        <v>No</v>
      </c>
      <c r="I1668" s="56"/>
    </row>
    <row r="1669" spans="1:9">
      <c r="A1669" s="97" t="s">
        <v>2348</v>
      </c>
      <c r="B1669" s="97" t="s">
        <v>547</v>
      </c>
      <c r="C1669" s="163">
        <v>3774</v>
      </c>
      <c r="D1669" s="95" t="s">
        <v>625</v>
      </c>
      <c r="E1669" s="142">
        <v>0.69609999999999994</v>
      </c>
      <c r="F1669" s="4" t="s">
        <v>2752</v>
      </c>
      <c r="G1669" s="4" t="s">
        <v>2752</v>
      </c>
      <c r="H1669" s="4" t="str">
        <f t="shared" si="29"/>
        <v>No</v>
      </c>
      <c r="I1669" s="56"/>
    </row>
    <row r="1670" spans="1:9">
      <c r="A1670" s="97" t="s">
        <v>2348</v>
      </c>
      <c r="B1670" s="97" t="s">
        <v>547</v>
      </c>
      <c r="C1670" s="163">
        <v>2181</v>
      </c>
      <c r="D1670" s="95" t="s">
        <v>572</v>
      </c>
      <c r="E1670" s="142">
        <v>9.6133333333333335E-2</v>
      </c>
      <c r="F1670" s="4" t="s">
        <v>3065</v>
      </c>
      <c r="G1670" s="4" t="s">
        <v>3065</v>
      </c>
      <c r="H1670" s="4" t="str">
        <f t="shared" si="29"/>
        <v>No</v>
      </c>
      <c r="I1670" s="56"/>
    </row>
    <row r="1671" spans="1:9">
      <c r="A1671" s="97" t="s">
        <v>2348</v>
      </c>
      <c r="B1671" s="97" t="s">
        <v>547</v>
      </c>
      <c r="C1671" s="163">
        <v>2730</v>
      </c>
      <c r="D1671" s="95" t="s">
        <v>598</v>
      </c>
      <c r="E1671" s="142">
        <v>0.16713333333333336</v>
      </c>
      <c r="F1671" s="4" t="s">
        <v>3065</v>
      </c>
      <c r="G1671" s="4" t="s">
        <v>3065</v>
      </c>
      <c r="H1671" s="4" t="str">
        <f t="shared" si="29"/>
        <v>No</v>
      </c>
      <c r="I1671" s="56"/>
    </row>
    <row r="1672" spans="1:9">
      <c r="A1672" s="97" t="s">
        <v>2348</v>
      </c>
      <c r="B1672" s="97" t="s">
        <v>547</v>
      </c>
      <c r="C1672" s="163">
        <v>3717</v>
      </c>
      <c r="D1672" s="95" t="s">
        <v>624</v>
      </c>
      <c r="E1672" s="142">
        <v>0.14249999999999999</v>
      </c>
      <c r="F1672" s="4" t="s">
        <v>3065</v>
      </c>
      <c r="G1672" s="4" t="s">
        <v>3065</v>
      </c>
      <c r="H1672" s="4" t="str">
        <f t="shared" si="29"/>
        <v>No</v>
      </c>
      <c r="I1672" s="56"/>
    </row>
    <row r="1673" spans="1:9">
      <c r="A1673" s="97" t="s">
        <v>2348</v>
      </c>
      <c r="B1673" s="97" t="s">
        <v>547</v>
      </c>
      <c r="C1673" s="163">
        <v>2307</v>
      </c>
      <c r="D1673" s="95" t="s">
        <v>584</v>
      </c>
      <c r="E1673" s="142">
        <v>0.71326666666666672</v>
      </c>
      <c r="F1673" s="4" t="s">
        <v>2752</v>
      </c>
      <c r="G1673" s="4" t="s">
        <v>2752</v>
      </c>
      <c r="H1673" s="4" t="str">
        <f t="shared" si="29"/>
        <v>No</v>
      </c>
      <c r="I1673" s="56"/>
    </row>
    <row r="1674" spans="1:9">
      <c r="A1674" s="97" t="s">
        <v>2348</v>
      </c>
      <c r="B1674" s="97" t="s">
        <v>547</v>
      </c>
      <c r="C1674" s="163">
        <v>2220</v>
      </c>
      <c r="D1674" s="95" t="s">
        <v>578</v>
      </c>
      <c r="E1674" s="142">
        <v>8.5033333333333336E-2</v>
      </c>
      <c r="F1674" s="4" t="s">
        <v>3065</v>
      </c>
      <c r="G1674" s="4" t="s">
        <v>3065</v>
      </c>
      <c r="H1674" s="4" t="str">
        <f t="shared" si="29"/>
        <v>No</v>
      </c>
      <c r="I1674" s="56"/>
    </row>
    <row r="1675" spans="1:9">
      <c r="A1675" s="97" t="s">
        <v>2348</v>
      </c>
      <c r="B1675" s="97" t="s">
        <v>547</v>
      </c>
      <c r="C1675" s="163">
        <v>2070</v>
      </c>
      <c r="D1675" s="95" t="s">
        <v>559</v>
      </c>
      <c r="E1675" s="142">
        <v>0.48776666666666668</v>
      </c>
      <c r="F1675" s="4" t="s">
        <v>3065</v>
      </c>
      <c r="G1675" s="4" t="s">
        <v>2752</v>
      </c>
      <c r="H1675" s="4" t="str">
        <f t="shared" si="29"/>
        <v>Yes</v>
      </c>
      <c r="I1675" s="56"/>
    </row>
    <row r="1676" spans="1:9">
      <c r="A1676" s="97" t="s">
        <v>2348</v>
      </c>
      <c r="B1676" s="97" t="s">
        <v>547</v>
      </c>
      <c r="C1676" s="163">
        <v>5406</v>
      </c>
      <c r="D1676" s="95" t="s">
        <v>644</v>
      </c>
      <c r="E1676" s="142">
        <v>0.47009999999999996</v>
      </c>
      <c r="F1676" s="4" t="s">
        <v>3065</v>
      </c>
      <c r="G1676" s="4" t="s">
        <v>3065</v>
      </c>
      <c r="H1676" s="4" t="str">
        <f t="shared" si="29"/>
        <v>No</v>
      </c>
      <c r="I1676" s="56"/>
    </row>
    <row r="1677" spans="1:9">
      <c r="A1677" s="97" t="s">
        <v>2348</v>
      </c>
      <c r="B1677" s="97" t="s">
        <v>547</v>
      </c>
      <c r="C1677" s="163">
        <v>2209</v>
      </c>
      <c r="D1677" s="95" t="s">
        <v>577</v>
      </c>
      <c r="E1677" s="142">
        <v>0.5554</v>
      </c>
      <c r="F1677" s="4" t="s">
        <v>2752</v>
      </c>
      <c r="G1677" s="4" t="s">
        <v>2752</v>
      </c>
      <c r="H1677" s="4" t="str">
        <f t="shared" si="29"/>
        <v>No</v>
      </c>
      <c r="I1677" s="56"/>
    </row>
    <row r="1678" spans="1:9">
      <c r="A1678" s="97" t="s">
        <v>2348</v>
      </c>
      <c r="B1678" s="97" t="s">
        <v>547</v>
      </c>
      <c r="C1678" s="163">
        <v>2372</v>
      </c>
      <c r="D1678" s="95" t="s">
        <v>589</v>
      </c>
      <c r="E1678" s="142">
        <v>3.9599999999999996E-2</v>
      </c>
      <c r="F1678" s="4" t="s">
        <v>3065</v>
      </c>
      <c r="G1678" s="4" t="s">
        <v>3065</v>
      </c>
      <c r="H1678" s="4" t="str">
        <f t="shared" si="29"/>
        <v>No</v>
      </c>
      <c r="I1678" s="56"/>
    </row>
    <row r="1679" spans="1:9">
      <c r="A1679" s="97" t="s">
        <v>2348</v>
      </c>
      <c r="B1679" s="97" t="s">
        <v>547</v>
      </c>
      <c r="C1679" s="163">
        <v>5649</v>
      </c>
      <c r="D1679" s="95" t="s">
        <v>553</v>
      </c>
      <c r="E1679" s="142">
        <v>0.15455000000000002</v>
      </c>
      <c r="F1679" s="4" t="s">
        <v>3065</v>
      </c>
      <c r="G1679" s="4" t="s">
        <v>3065</v>
      </c>
      <c r="H1679" s="4" t="str">
        <f t="shared" si="29"/>
        <v>No</v>
      </c>
      <c r="I1679" s="56"/>
    </row>
    <row r="1680" spans="1:9">
      <c r="A1680" s="97" t="s">
        <v>2348</v>
      </c>
      <c r="B1680" s="97" t="s">
        <v>547</v>
      </c>
      <c r="C1680" s="163">
        <v>5292</v>
      </c>
      <c r="D1680" s="95" t="s">
        <v>641</v>
      </c>
      <c r="E1680" s="142">
        <v>3.8666666666666662E-2</v>
      </c>
      <c r="F1680" s="4" t="s">
        <v>3065</v>
      </c>
      <c r="G1680" s="4" t="s">
        <v>3065</v>
      </c>
      <c r="H1680" s="4" t="str">
        <f t="shared" si="29"/>
        <v>No</v>
      </c>
      <c r="I1680" s="56"/>
    </row>
    <row r="1681" spans="1:9">
      <c r="A1681" s="97" t="s">
        <v>2348</v>
      </c>
      <c r="B1681" s="97" t="s">
        <v>547</v>
      </c>
      <c r="C1681" s="163">
        <v>2838</v>
      </c>
      <c r="D1681" s="95" t="s">
        <v>600</v>
      </c>
      <c r="E1681" s="142">
        <v>3.7666666666666661E-2</v>
      </c>
      <c r="F1681" s="4" t="s">
        <v>3065</v>
      </c>
      <c r="G1681" s="4" t="s">
        <v>3065</v>
      </c>
      <c r="H1681" s="4" t="str">
        <f t="shared" si="29"/>
        <v>No</v>
      </c>
      <c r="I1681" s="56"/>
    </row>
    <row r="1682" spans="1:9">
      <c r="A1682" s="97" t="s">
        <v>2348</v>
      </c>
      <c r="B1682" s="97" t="s">
        <v>547</v>
      </c>
      <c r="C1682" s="163">
        <v>5487</v>
      </c>
      <c r="D1682" s="95" t="s">
        <v>2734</v>
      </c>
      <c r="E1682" s="142">
        <v>0.16479999999999997</v>
      </c>
      <c r="F1682" s="4" t="s">
        <v>3065</v>
      </c>
      <c r="G1682" s="4" t="s">
        <v>3065</v>
      </c>
      <c r="H1682" s="4" t="str">
        <f t="shared" si="29"/>
        <v>No</v>
      </c>
      <c r="I1682" s="56"/>
    </row>
    <row r="1683" spans="1:9">
      <c r="A1683" s="97" t="s">
        <v>2348</v>
      </c>
      <c r="B1683" s="97" t="s">
        <v>547</v>
      </c>
      <c r="C1683" s="163">
        <v>3096</v>
      </c>
      <c r="D1683" s="95" t="s">
        <v>608</v>
      </c>
      <c r="E1683" s="142">
        <v>0.61280000000000001</v>
      </c>
      <c r="F1683" s="4" t="s">
        <v>2752</v>
      </c>
      <c r="G1683" s="4" t="s">
        <v>2752</v>
      </c>
      <c r="H1683" s="4" t="str">
        <f t="shared" si="29"/>
        <v>No</v>
      </c>
      <c r="I1683" s="56"/>
    </row>
    <row r="1684" spans="1:9">
      <c r="A1684" s="97" t="s">
        <v>2348</v>
      </c>
      <c r="B1684" s="97" t="s">
        <v>547</v>
      </c>
      <c r="C1684" s="163">
        <v>2392</v>
      </c>
      <c r="D1684" s="95" t="s">
        <v>590</v>
      </c>
      <c r="E1684" s="142">
        <v>0.53336666666666666</v>
      </c>
      <c r="F1684" s="4" t="s">
        <v>2752</v>
      </c>
      <c r="G1684" s="4" t="s">
        <v>2752</v>
      </c>
      <c r="H1684" s="4" t="str">
        <f t="shared" si="29"/>
        <v>No</v>
      </c>
      <c r="I1684" s="56"/>
    </row>
    <row r="1685" spans="1:9">
      <c r="A1685" s="97" t="s">
        <v>2348</v>
      </c>
      <c r="B1685" s="97" t="s">
        <v>547</v>
      </c>
      <c r="C1685" s="163">
        <v>2199</v>
      </c>
      <c r="D1685" s="95" t="s">
        <v>575</v>
      </c>
      <c r="E1685" s="142">
        <v>0.64026666666666665</v>
      </c>
      <c r="F1685" s="4" t="s">
        <v>2752</v>
      </c>
      <c r="G1685" s="4" t="s">
        <v>2752</v>
      </c>
      <c r="H1685" s="4" t="str">
        <f t="shared" si="29"/>
        <v>No</v>
      </c>
      <c r="I1685" s="56"/>
    </row>
    <row r="1686" spans="1:9">
      <c r="A1686" s="97" t="s">
        <v>2348</v>
      </c>
      <c r="B1686" s="97" t="s">
        <v>547</v>
      </c>
      <c r="C1686" s="163">
        <v>2450</v>
      </c>
      <c r="D1686" s="95" t="s">
        <v>593</v>
      </c>
      <c r="E1686" s="142">
        <v>0.12113333333333333</v>
      </c>
      <c r="F1686" s="4" t="s">
        <v>3065</v>
      </c>
      <c r="G1686" s="4" t="s">
        <v>3065</v>
      </c>
      <c r="H1686" s="4" t="str">
        <f t="shared" si="29"/>
        <v>No</v>
      </c>
      <c r="I1686" s="56"/>
    </row>
    <row r="1687" spans="1:9">
      <c r="A1687" s="97" t="s">
        <v>2348</v>
      </c>
      <c r="B1687" s="97" t="s">
        <v>547</v>
      </c>
      <c r="C1687" s="163">
        <v>2839</v>
      </c>
      <c r="D1687" s="95" t="s">
        <v>601</v>
      </c>
      <c r="E1687" s="142">
        <v>0.61699999999999999</v>
      </c>
      <c r="F1687" s="4" t="s">
        <v>2752</v>
      </c>
      <c r="G1687" s="4" t="s">
        <v>2752</v>
      </c>
      <c r="H1687" s="4" t="str">
        <f t="shared" si="29"/>
        <v>No</v>
      </c>
      <c r="I1687" s="56"/>
    </row>
    <row r="1688" spans="1:9">
      <c r="A1688" s="97" t="s">
        <v>2348</v>
      </c>
      <c r="B1688" s="97" t="s">
        <v>547</v>
      </c>
      <c r="C1688" s="163">
        <v>3803</v>
      </c>
      <c r="D1688" s="95" t="s">
        <v>627</v>
      </c>
      <c r="E1688" s="142">
        <v>0.53083333333333338</v>
      </c>
      <c r="F1688" s="4" t="s">
        <v>2752</v>
      </c>
      <c r="G1688" s="4" t="s">
        <v>2752</v>
      </c>
      <c r="H1688" s="4" t="str">
        <f t="shared" si="29"/>
        <v>No</v>
      </c>
      <c r="I1688" s="56"/>
    </row>
    <row r="1689" spans="1:9">
      <c r="A1689" s="97" t="s">
        <v>2348</v>
      </c>
      <c r="B1689" s="97" t="s">
        <v>547</v>
      </c>
      <c r="C1689" s="163">
        <v>5488</v>
      </c>
      <c r="D1689" s="95" t="s">
        <v>2735</v>
      </c>
      <c r="E1689" s="142">
        <v>2.3099999999999999E-2</v>
      </c>
      <c r="F1689" s="4" t="s">
        <v>3065</v>
      </c>
      <c r="G1689" s="4" t="s">
        <v>3065</v>
      </c>
      <c r="H1689" s="4" t="str">
        <f t="shared" si="29"/>
        <v>No</v>
      </c>
      <c r="I1689" s="56"/>
    </row>
    <row r="1690" spans="1:9">
      <c r="A1690" s="97" t="s">
        <v>2348</v>
      </c>
      <c r="B1690" s="97" t="s">
        <v>547</v>
      </c>
      <c r="C1690" s="163">
        <v>2321</v>
      </c>
      <c r="D1690" s="95" t="s">
        <v>585</v>
      </c>
      <c r="E1690" s="142">
        <v>0.59829999999999994</v>
      </c>
      <c r="F1690" s="4" t="s">
        <v>2752</v>
      </c>
      <c r="G1690" s="4" t="s">
        <v>2752</v>
      </c>
      <c r="H1690" s="4" t="str">
        <f t="shared" si="29"/>
        <v>No</v>
      </c>
      <c r="I1690" s="56"/>
    </row>
    <row r="1691" spans="1:9">
      <c r="A1691" s="97" t="s">
        <v>2348</v>
      </c>
      <c r="B1691" s="97" t="s">
        <v>547</v>
      </c>
      <c r="C1691" s="163">
        <v>2729</v>
      </c>
      <c r="D1691" s="95" t="s">
        <v>597</v>
      </c>
      <c r="E1691" s="142">
        <v>0.14319999999999999</v>
      </c>
      <c r="F1691" s="4" t="s">
        <v>3065</v>
      </c>
      <c r="G1691" s="4" t="s">
        <v>3065</v>
      </c>
      <c r="H1691" s="4" t="str">
        <f t="shared" si="29"/>
        <v>No</v>
      </c>
      <c r="I1691" s="56"/>
    </row>
    <row r="1692" spans="1:9">
      <c r="A1692" s="97" t="s">
        <v>2348</v>
      </c>
      <c r="B1692" s="97" t="s">
        <v>547</v>
      </c>
      <c r="C1692" s="163">
        <v>2118</v>
      </c>
      <c r="D1692" s="95" t="s">
        <v>564</v>
      </c>
      <c r="E1692" s="142">
        <v>0.64296666666666669</v>
      </c>
      <c r="F1692" s="4" t="s">
        <v>2752</v>
      </c>
      <c r="G1692" s="4" t="s">
        <v>2752</v>
      </c>
      <c r="H1692" s="4" t="str">
        <f t="shared" si="29"/>
        <v>No</v>
      </c>
      <c r="I1692" s="56"/>
    </row>
    <row r="1693" spans="1:9">
      <c r="A1693" s="97" t="s">
        <v>2348</v>
      </c>
      <c r="B1693" s="97" t="s">
        <v>547</v>
      </c>
      <c r="C1693" s="163">
        <v>3518</v>
      </c>
      <c r="D1693" s="95" t="s">
        <v>620</v>
      </c>
      <c r="E1693" s="142">
        <v>0.14566666666666664</v>
      </c>
      <c r="F1693" s="4" t="s">
        <v>3065</v>
      </c>
      <c r="G1693" s="4" t="s">
        <v>3065</v>
      </c>
      <c r="H1693" s="4" t="str">
        <f t="shared" si="29"/>
        <v>No</v>
      </c>
      <c r="I1693" s="56"/>
    </row>
    <row r="1694" spans="1:9">
      <c r="A1694" s="97" t="s">
        <v>2348</v>
      </c>
      <c r="B1694" s="97" t="s">
        <v>547</v>
      </c>
      <c r="C1694" s="163">
        <v>2182</v>
      </c>
      <c r="D1694" s="95" t="s">
        <v>573</v>
      </c>
      <c r="E1694" s="142">
        <v>0.62556666666666672</v>
      </c>
      <c r="F1694" s="4" t="s">
        <v>2752</v>
      </c>
      <c r="G1694" s="4" t="s">
        <v>2752</v>
      </c>
      <c r="H1694" s="4" t="str">
        <f t="shared" si="29"/>
        <v>No</v>
      </c>
      <c r="I1694" s="56"/>
    </row>
    <row r="1695" spans="1:9">
      <c r="A1695" s="97" t="s">
        <v>2348</v>
      </c>
      <c r="B1695" s="97" t="s">
        <v>547</v>
      </c>
      <c r="C1695" s="163">
        <v>2090</v>
      </c>
      <c r="D1695" s="95" t="s">
        <v>562</v>
      </c>
      <c r="E1695" s="142">
        <v>4.7366666666666668E-2</v>
      </c>
      <c r="F1695" s="4" t="s">
        <v>3065</v>
      </c>
      <c r="G1695" s="4" t="s">
        <v>3065</v>
      </c>
      <c r="H1695" s="4" t="str">
        <f t="shared" si="29"/>
        <v>No</v>
      </c>
      <c r="I1695" s="56"/>
    </row>
    <row r="1696" spans="1:9">
      <c r="A1696" s="97" t="s">
        <v>2348</v>
      </c>
      <c r="B1696" s="97" t="s">
        <v>547</v>
      </c>
      <c r="C1696" s="163">
        <v>2306</v>
      </c>
      <c r="D1696" s="95" t="s">
        <v>583</v>
      </c>
      <c r="E1696" s="142">
        <v>0.31279999999999997</v>
      </c>
      <c r="F1696" s="4" t="s">
        <v>3065</v>
      </c>
      <c r="G1696" s="4" t="s">
        <v>3065</v>
      </c>
      <c r="H1696" s="4" t="str">
        <f t="shared" si="29"/>
        <v>No</v>
      </c>
      <c r="I1696" s="56"/>
    </row>
    <row r="1697" spans="1:9">
      <c r="A1697" s="97" t="s">
        <v>2348</v>
      </c>
      <c r="B1697" s="97" t="s">
        <v>547</v>
      </c>
      <c r="C1697" s="163">
        <v>2139</v>
      </c>
      <c r="D1697" s="95" t="s">
        <v>568</v>
      </c>
      <c r="E1697" s="142">
        <v>0.12873333333333334</v>
      </c>
      <c r="F1697" s="4" t="s">
        <v>3065</v>
      </c>
      <c r="G1697" s="4" t="s">
        <v>3065</v>
      </c>
      <c r="H1697" s="4" t="str">
        <f t="shared" si="29"/>
        <v>No</v>
      </c>
      <c r="I1697" s="56"/>
    </row>
    <row r="1698" spans="1:9">
      <c r="A1698" s="97" t="s">
        <v>2348</v>
      </c>
      <c r="B1698" s="97" t="s">
        <v>547</v>
      </c>
      <c r="C1698" s="163">
        <v>3429</v>
      </c>
      <c r="D1698" s="95" t="s">
        <v>616</v>
      </c>
      <c r="E1698" s="142">
        <v>7.5466666666666668E-2</v>
      </c>
      <c r="F1698" s="4" t="s">
        <v>3065</v>
      </c>
      <c r="G1698" s="4" t="s">
        <v>3065</v>
      </c>
      <c r="H1698" s="4" t="str">
        <f t="shared" si="29"/>
        <v>No</v>
      </c>
      <c r="I1698" s="56"/>
    </row>
    <row r="1699" spans="1:9">
      <c r="A1699" s="97" t="s">
        <v>2348</v>
      </c>
      <c r="B1699" s="97" t="s">
        <v>547</v>
      </c>
      <c r="C1699" s="163">
        <v>3378</v>
      </c>
      <c r="D1699" s="95" t="s">
        <v>614</v>
      </c>
      <c r="E1699" s="142">
        <v>0.51456666666666673</v>
      </c>
      <c r="F1699" s="4" t="s">
        <v>2752</v>
      </c>
      <c r="G1699" s="4" t="s">
        <v>2752</v>
      </c>
      <c r="H1699" s="4" t="str">
        <f t="shared" si="29"/>
        <v>No</v>
      </c>
      <c r="I1699" s="56"/>
    </row>
    <row r="1700" spans="1:9">
      <c r="A1700" s="97" t="s">
        <v>2348</v>
      </c>
      <c r="B1700" s="97" t="s">
        <v>547</v>
      </c>
      <c r="C1700" s="163">
        <v>2061</v>
      </c>
      <c r="D1700" s="95" t="s">
        <v>556</v>
      </c>
      <c r="E1700" s="142">
        <v>9.976666666666667E-2</v>
      </c>
      <c r="F1700" s="4" t="s">
        <v>3065</v>
      </c>
      <c r="G1700" s="4" t="s">
        <v>3065</v>
      </c>
      <c r="H1700" s="4" t="str">
        <f t="shared" si="29"/>
        <v>No</v>
      </c>
      <c r="I1700" s="56"/>
    </row>
    <row r="1701" spans="1:9">
      <c r="A1701" s="97" t="s">
        <v>2348</v>
      </c>
      <c r="B1701" s="97" t="s">
        <v>547</v>
      </c>
      <c r="C1701" s="163">
        <v>2123</v>
      </c>
      <c r="D1701" s="95" t="s">
        <v>566</v>
      </c>
      <c r="E1701" s="142">
        <v>9.9966666666666662E-2</v>
      </c>
      <c r="F1701" s="4" t="s">
        <v>3065</v>
      </c>
      <c r="G1701" s="4" t="s">
        <v>3065</v>
      </c>
      <c r="H1701" s="4" t="str">
        <f t="shared" si="29"/>
        <v>No</v>
      </c>
      <c r="I1701" s="56"/>
    </row>
    <row r="1702" spans="1:9">
      <c r="A1702" s="97" t="s">
        <v>2348</v>
      </c>
      <c r="B1702" s="97" t="s">
        <v>547</v>
      </c>
      <c r="C1702" s="163">
        <v>2371</v>
      </c>
      <c r="D1702" s="95" t="s">
        <v>588</v>
      </c>
      <c r="E1702" s="142">
        <v>8.4600000000000009E-2</v>
      </c>
      <c r="F1702" s="4" t="s">
        <v>3065</v>
      </c>
      <c r="G1702" s="4" t="s">
        <v>3065</v>
      </c>
      <c r="H1702" s="4" t="str">
        <f t="shared" si="29"/>
        <v>No</v>
      </c>
      <c r="I1702" s="56"/>
    </row>
    <row r="1703" spans="1:9">
      <c r="A1703" s="97" t="s">
        <v>2348</v>
      </c>
      <c r="B1703" s="97" t="s">
        <v>547</v>
      </c>
      <c r="C1703" s="163">
        <v>4248</v>
      </c>
      <c r="D1703" s="95" t="s">
        <v>634</v>
      </c>
      <c r="E1703" s="142">
        <v>0.34439999999999998</v>
      </c>
      <c r="F1703" s="4" t="s">
        <v>3065</v>
      </c>
      <c r="G1703" s="4" t="s">
        <v>3065</v>
      </c>
      <c r="H1703" s="4" t="str">
        <f t="shared" si="29"/>
        <v>No</v>
      </c>
      <c r="I1703" s="56"/>
    </row>
    <row r="1704" spans="1:9">
      <c r="A1704" s="97" t="s">
        <v>2348</v>
      </c>
      <c r="B1704" s="97" t="s">
        <v>547</v>
      </c>
      <c r="C1704" s="163">
        <v>5175</v>
      </c>
      <c r="D1704" s="95" t="s">
        <v>636</v>
      </c>
      <c r="E1704" s="142">
        <v>0.16453333333333334</v>
      </c>
      <c r="F1704" s="4" t="s">
        <v>3065</v>
      </c>
      <c r="G1704" s="4" t="s">
        <v>3065</v>
      </c>
      <c r="H1704" s="4" t="str">
        <f t="shared" si="29"/>
        <v>No</v>
      </c>
      <c r="I1704" s="56"/>
    </row>
    <row r="1705" spans="1:9">
      <c r="A1705" s="97" t="s">
        <v>2348</v>
      </c>
      <c r="B1705" s="97" t="s">
        <v>547</v>
      </c>
      <c r="C1705" s="163">
        <v>2269</v>
      </c>
      <c r="D1705" s="95" t="s">
        <v>581</v>
      </c>
      <c r="E1705" s="142">
        <v>0.59186666666666665</v>
      </c>
      <c r="F1705" s="4" t="s">
        <v>2752</v>
      </c>
      <c r="G1705" s="4" t="s">
        <v>2752</v>
      </c>
      <c r="H1705" s="4" t="str">
        <f t="shared" si="29"/>
        <v>No</v>
      </c>
      <c r="I1705" s="56"/>
    </row>
    <row r="1706" spans="1:9">
      <c r="A1706" s="97" t="s">
        <v>2348</v>
      </c>
      <c r="B1706" s="97" t="s">
        <v>547</v>
      </c>
      <c r="C1706" s="163">
        <v>3276</v>
      </c>
      <c r="D1706" s="95" t="s">
        <v>611</v>
      </c>
      <c r="E1706" s="142">
        <v>0.27136666666666664</v>
      </c>
      <c r="F1706" s="4" t="s">
        <v>3065</v>
      </c>
      <c r="G1706" s="4" t="s">
        <v>3065</v>
      </c>
      <c r="H1706" s="4" t="str">
        <f t="shared" si="29"/>
        <v>No</v>
      </c>
      <c r="I1706" s="56"/>
    </row>
    <row r="1707" spans="1:9">
      <c r="A1707" s="97" t="s">
        <v>2348</v>
      </c>
      <c r="B1707" s="97" t="s">
        <v>547</v>
      </c>
      <c r="C1707" s="163">
        <v>5405</v>
      </c>
      <c r="D1707" s="95" t="s">
        <v>643</v>
      </c>
      <c r="E1707" s="142">
        <v>0.5203000000000001</v>
      </c>
      <c r="F1707" s="4" t="s">
        <v>2752</v>
      </c>
      <c r="G1707" s="4" t="s">
        <v>2752</v>
      </c>
      <c r="H1707" s="4" t="str">
        <f t="shared" si="29"/>
        <v>No</v>
      </c>
      <c r="I1707" s="56"/>
    </row>
    <row r="1708" spans="1:9">
      <c r="A1708" s="97" t="s">
        <v>2348</v>
      </c>
      <c r="B1708" s="97" t="s">
        <v>547</v>
      </c>
      <c r="C1708" s="163">
        <v>1635</v>
      </c>
      <c r="D1708" s="95" t="s">
        <v>552</v>
      </c>
      <c r="E1708" s="142">
        <v>0.69169999999999998</v>
      </c>
      <c r="F1708" s="4" t="s">
        <v>2752</v>
      </c>
      <c r="G1708" s="4" t="s">
        <v>2752</v>
      </c>
      <c r="H1708" s="4" t="str">
        <f t="shared" si="29"/>
        <v>No</v>
      </c>
      <c r="I1708" s="56"/>
    </row>
    <row r="1709" spans="1:9">
      <c r="A1709" s="97" t="s">
        <v>2348</v>
      </c>
      <c r="B1709" s="97" t="s">
        <v>547</v>
      </c>
      <c r="C1709" s="163">
        <v>5351</v>
      </c>
      <c r="D1709" s="95" t="s">
        <v>642</v>
      </c>
      <c r="E1709" s="142">
        <v>0.29003333333333337</v>
      </c>
      <c r="F1709" s="4" t="s">
        <v>3065</v>
      </c>
      <c r="G1709" s="4" t="s">
        <v>3065</v>
      </c>
      <c r="H1709" s="4" t="str">
        <f t="shared" si="29"/>
        <v>No</v>
      </c>
      <c r="I1709" s="56"/>
    </row>
    <row r="1710" spans="1:9">
      <c r="A1710" s="97" t="s">
        <v>2348</v>
      </c>
      <c r="B1710" s="97" t="s">
        <v>547</v>
      </c>
      <c r="C1710" s="163">
        <v>2063</v>
      </c>
      <c r="D1710" s="95" t="s">
        <v>557</v>
      </c>
      <c r="E1710" s="142">
        <v>0.11596666666666666</v>
      </c>
      <c r="F1710" s="4" t="s">
        <v>3065</v>
      </c>
      <c r="G1710" s="4" t="s">
        <v>3065</v>
      </c>
      <c r="H1710" s="4" t="str">
        <f t="shared" si="29"/>
        <v>No</v>
      </c>
      <c r="I1710" s="56"/>
    </row>
    <row r="1711" spans="1:9">
      <c r="A1711" s="97" t="s">
        <v>2348</v>
      </c>
      <c r="B1711" s="97" t="s">
        <v>547</v>
      </c>
      <c r="C1711" s="163">
        <v>2143</v>
      </c>
      <c r="D1711" s="95" t="s">
        <v>571</v>
      </c>
      <c r="E1711" s="142">
        <v>0.5623999999999999</v>
      </c>
      <c r="F1711" s="4" t="s">
        <v>2752</v>
      </c>
      <c r="G1711" s="4" t="s">
        <v>2752</v>
      </c>
      <c r="H1711" s="4" t="str">
        <f t="shared" si="29"/>
        <v>No</v>
      </c>
      <c r="I1711" s="56"/>
    </row>
    <row r="1712" spans="1:9">
      <c r="A1712" s="97" t="s">
        <v>2348</v>
      </c>
      <c r="B1712" s="97" t="s">
        <v>547</v>
      </c>
      <c r="C1712" s="163">
        <v>2975</v>
      </c>
      <c r="D1712" s="95" t="s">
        <v>602</v>
      </c>
      <c r="E1712" s="142">
        <v>0.37253333333333333</v>
      </c>
      <c r="F1712" s="4" t="s">
        <v>3065</v>
      </c>
      <c r="G1712" s="4" t="s">
        <v>3065</v>
      </c>
      <c r="H1712" s="4" t="str">
        <f t="shared" si="29"/>
        <v>No</v>
      </c>
      <c r="I1712" s="56"/>
    </row>
    <row r="1713" spans="1:9">
      <c r="A1713" s="97" t="s">
        <v>2348</v>
      </c>
      <c r="B1713" s="97" t="s">
        <v>547</v>
      </c>
      <c r="C1713" s="163">
        <v>2081</v>
      </c>
      <c r="D1713" s="95" t="s">
        <v>560</v>
      </c>
      <c r="E1713" s="142">
        <v>6.5666666666666665E-2</v>
      </c>
      <c r="F1713" s="4" t="s">
        <v>3065</v>
      </c>
      <c r="G1713" s="4" t="s">
        <v>3065</v>
      </c>
      <c r="H1713" s="4" t="str">
        <f t="shared" si="29"/>
        <v>No</v>
      </c>
      <c r="I1713" s="56"/>
    </row>
    <row r="1714" spans="1:9">
      <c r="A1714" s="97" t="s">
        <v>2348</v>
      </c>
      <c r="B1714" s="97" t="s">
        <v>547</v>
      </c>
      <c r="C1714" s="163">
        <v>3478</v>
      </c>
      <c r="D1714" s="95" t="s">
        <v>617</v>
      </c>
      <c r="E1714" s="142">
        <v>0.40873333333333334</v>
      </c>
      <c r="F1714" s="4" t="s">
        <v>3065</v>
      </c>
      <c r="G1714" s="4" t="s">
        <v>3065</v>
      </c>
      <c r="H1714" s="4" t="str">
        <f t="shared" si="29"/>
        <v>No</v>
      </c>
      <c r="I1714" s="56"/>
    </row>
    <row r="1715" spans="1:9">
      <c r="A1715" s="97" t="s">
        <v>2348</v>
      </c>
      <c r="B1715" s="97" t="s">
        <v>547</v>
      </c>
      <c r="C1715" s="163">
        <v>2733</v>
      </c>
      <c r="D1715" s="95" t="s">
        <v>599</v>
      </c>
      <c r="E1715" s="142">
        <v>0.13546666666666665</v>
      </c>
      <c r="F1715" s="4" t="s">
        <v>3065</v>
      </c>
      <c r="G1715" s="4" t="s">
        <v>3065</v>
      </c>
      <c r="H1715" s="4" t="str">
        <f t="shared" si="29"/>
        <v>No</v>
      </c>
      <c r="I1715" s="56"/>
    </row>
    <row r="1716" spans="1:9">
      <c r="A1716" s="97" t="s">
        <v>2348</v>
      </c>
      <c r="B1716" s="97" t="s">
        <v>547</v>
      </c>
      <c r="C1716" s="163">
        <v>2437</v>
      </c>
      <c r="D1716" s="95" t="s">
        <v>592</v>
      </c>
      <c r="E1716" s="142">
        <v>0.25940000000000002</v>
      </c>
      <c r="F1716" s="4" t="s">
        <v>3065</v>
      </c>
      <c r="G1716" s="4" t="s">
        <v>3065</v>
      </c>
      <c r="H1716" s="4" t="str">
        <f t="shared" si="29"/>
        <v>No</v>
      </c>
      <c r="I1716" s="56"/>
    </row>
    <row r="1717" spans="1:9">
      <c r="A1717" s="97" t="s">
        <v>2348</v>
      </c>
      <c r="B1717" s="97" t="s">
        <v>547</v>
      </c>
      <c r="C1717" s="163">
        <v>2183</v>
      </c>
      <c r="D1717" s="95" t="s">
        <v>574</v>
      </c>
      <c r="E1717" s="142">
        <v>5.8766666666666668E-2</v>
      </c>
      <c r="F1717" s="4" t="s">
        <v>3065</v>
      </c>
      <c r="G1717" s="4" t="s">
        <v>3065</v>
      </c>
      <c r="H1717" s="4" t="str">
        <f t="shared" si="29"/>
        <v>No</v>
      </c>
      <c r="I1717" s="56"/>
    </row>
    <row r="1718" spans="1:9">
      <c r="A1718" s="97" t="s">
        <v>2348</v>
      </c>
      <c r="B1718" s="97" t="s">
        <v>547</v>
      </c>
      <c r="C1718" s="163">
        <v>2121</v>
      </c>
      <c r="D1718" s="95" t="s">
        <v>565</v>
      </c>
      <c r="E1718" s="142">
        <v>0.43283333333333335</v>
      </c>
      <c r="F1718" s="4" t="s">
        <v>3065</v>
      </c>
      <c r="G1718" s="4" t="s">
        <v>3065</v>
      </c>
      <c r="H1718" s="4" t="str">
        <f t="shared" si="29"/>
        <v>No</v>
      </c>
      <c r="I1718" s="56"/>
    </row>
    <row r="1719" spans="1:9">
      <c r="A1719" s="97" t="s">
        <v>2348</v>
      </c>
      <c r="B1719" s="97" t="s">
        <v>547</v>
      </c>
      <c r="C1719" s="163">
        <v>3874</v>
      </c>
      <c r="D1719" s="95" t="s">
        <v>629</v>
      </c>
      <c r="E1719" s="142">
        <v>0.54526666666666668</v>
      </c>
      <c r="F1719" s="4" t="s">
        <v>2752</v>
      </c>
      <c r="G1719" s="4" t="s">
        <v>2752</v>
      </c>
      <c r="H1719" s="4" t="str">
        <f t="shared" si="29"/>
        <v>No</v>
      </c>
      <c r="I1719" s="56"/>
    </row>
    <row r="1720" spans="1:9">
      <c r="A1720" s="97" t="s">
        <v>2348</v>
      </c>
      <c r="B1720" s="97" t="s">
        <v>547</v>
      </c>
      <c r="C1720" s="163">
        <v>5566</v>
      </c>
      <c r="D1720" s="95" t="s">
        <v>142</v>
      </c>
      <c r="E1720" s="142">
        <v>7.8699999999999992E-2</v>
      </c>
      <c r="F1720" s="4" t="s">
        <v>3065</v>
      </c>
      <c r="G1720" s="4" t="s">
        <v>3065</v>
      </c>
      <c r="H1720" s="4" t="str">
        <f t="shared" si="29"/>
        <v>No</v>
      </c>
      <c r="I1720" s="56"/>
    </row>
    <row r="1721" spans="1:9">
      <c r="A1721" s="97" t="s">
        <v>2348</v>
      </c>
      <c r="B1721" s="97" t="s">
        <v>547</v>
      </c>
      <c r="C1721" s="163">
        <v>5276</v>
      </c>
      <c r="D1721" s="95" t="s">
        <v>640</v>
      </c>
      <c r="E1721" s="142">
        <v>0.31383333333333335</v>
      </c>
      <c r="F1721" s="4" t="s">
        <v>3065</v>
      </c>
      <c r="G1721" s="4" t="s">
        <v>3065</v>
      </c>
      <c r="H1721" s="4" t="str">
        <f t="shared" si="29"/>
        <v>No</v>
      </c>
      <c r="I1721" s="56"/>
    </row>
    <row r="1722" spans="1:9">
      <c r="A1722" s="97" t="s">
        <v>2348</v>
      </c>
      <c r="B1722" s="97" t="s">
        <v>547</v>
      </c>
      <c r="C1722" s="163">
        <v>3714</v>
      </c>
      <c r="D1722" s="95" t="s">
        <v>623</v>
      </c>
      <c r="E1722" s="142">
        <v>0.57950000000000002</v>
      </c>
      <c r="F1722" s="4" t="s">
        <v>2752</v>
      </c>
      <c r="G1722" s="4" t="s">
        <v>2752</v>
      </c>
      <c r="H1722" s="4" t="str">
        <f t="shared" si="29"/>
        <v>No</v>
      </c>
      <c r="I1722" s="56"/>
    </row>
    <row r="1723" spans="1:9">
      <c r="A1723" s="97" t="s">
        <v>2348</v>
      </c>
      <c r="B1723" s="97" t="s">
        <v>547</v>
      </c>
      <c r="C1723" s="163">
        <v>2462</v>
      </c>
      <c r="D1723" s="95" t="s">
        <v>594</v>
      </c>
      <c r="E1723" s="142">
        <v>7.0899999999999991E-2</v>
      </c>
      <c r="F1723" s="4" t="s">
        <v>3065</v>
      </c>
      <c r="G1723" s="4" t="s">
        <v>3065</v>
      </c>
      <c r="H1723" s="4" t="str">
        <f t="shared" si="29"/>
        <v>No</v>
      </c>
      <c r="I1723" s="56"/>
    </row>
    <row r="1724" spans="1:9">
      <c r="A1724" s="97" t="s">
        <v>2348</v>
      </c>
      <c r="B1724" s="97" t="s">
        <v>547</v>
      </c>
      <c r="C1724" s="163">
        <v>2435</v>
      </c>
      <c r="D1724" s="95" t="s">
        <v>591</v>
      </c>
      <c r="E1724" s="142">
        <v>0.15609999999999999</v>
      </c>
      <c r="F1724" s="4" t="s">
        <v>3065</v>
      </c>
      <c r="G1724" s="4" t="s">
        <v>3065</v>
      </c>
      <c r="H1724" s="4" t="str">
        <f t="shared" si="29"/>
        <v>No</v>
      </c>
      <c r="I1724" s="56"/>
    </row>
    <row r="1725" spans="1:9">
      <c r="A1725" s="97" t="s">
        <v>2348</v>
      </c>
      <c r="B1725" s="97" t="s">
        <v>547</v>
      </c>
      <c r="C1725" s="163">
        <v>2069</v>
      </c>
      <c r="D1725" s="95" t="s">
        <v>558</v>
      </c>
      <c r="E1725" s="142">
        <v>0.40756666666666663</v>
      </c>
      <c r="F1725" s="4" t="s">
        <v>3065</v>
      </c>
      <c r="G1725" s="4" t="s">
        <v>3065</v>
      </c>
      <c r="H1725" s="4" t="str">
        <f t="shared" si="29"/>
        <v>No</v>
      </c>
      <c r="I1725" s="56"/>
    </row>
    <row r="1726" spans="1:9">
      <c r="A1726" s="97" t="s">
        <v>2348</v>
      </c>
      <c r="B1726" s="97" t="s">
        <v>547</v>
      </c>
      <c r="C1726" s="163">
        <v>5565</v>
      </c>
      <c r="D1726" s="95" t="s">
        <v>2919</v>
      </c>
      <c r="E1726" s="142">
        <v>9.853333333333332E-2</v>
      </c>
      <c r="F1726" s="4" t="s">
        <v>3065</v>
      </c>
      <c r="G1726" s="4" t="s">
        <v>3065</v>
      </c>
      <c r="H1726" s="4" t="str">
        <f t="shared" si="29"/>
        <v>No</v>
      </c>
      <c r="I1726" s="56"/>
    </row>
    <row r="1727" spans="1:9">
      <c r="A1727" s="97" t="s">
        <v>2348</v>
      </c>
      <c r="B1727" s="97" t="s">
        <v>547</v>
      </c>
      <c r="C1727" s="163">
        <v>2353</v>
      </c>
      <c r="D1727" s="95" t="s">
        <v>587</v>
      </c>
      <c r="E1727" s="142">
        <v>0.49709999999999993</v>
      </c>
      <c r="F1727" s="4" t="s">
        <v>3065</v>
      </c>
      <c r="G1727" s="4" t="s">
        <v>2752</v>
      </c>
      <c r="H1727" s="4" t="str">
        <f t="shared" si="29"/>
        <v>Yes</v>
      </c>
      <c r="I1727" s="56"/>
    </row>
    <row r="1728" spans="1:9">
      <c r="A1728" s="97" t="s">
        <v>2348</v>
      </c>
      <c r="B1728" s="97" t="s">
        <v>547</v>
      </c>
      <c r="C1728" s="163">
        <v>2089</v>
      </c>
      <c r="D1728" s="95" t="s">
        <v>561</v>
      </c>
      <c r="E1728" s="142">
        <v>0.67663333333333331</v>
      </c>
      <c r="F1728" s="4" t="s">
        <v>2752</v>
      </c>
      <c r="G1728" s="4" t="s">
        <v>2752</v>
      </c>
      <c r="H1728" s="4" t="str">
        <f t="shared" si="29"/>
        <v>No</v>
      </c>
      <c r="I1728" s="56"/>
    </row>
    <row r="1729" spans="1:9">
      <c r="A1729" s="97" t="s">
        <v>2348</v>
      </c>
      <c r="B1729" s="97" t="s">
        <v>547</v>
      </c>
      <c r="C1729" s="163">
        <v>3517</v>
      </c>
      <c r="D1729" s="95" t="s">
        <v>619</v>
      </c>
      <c r="E1729" s="142">
        <v>0.15680000000000002</v>
      </c>
      <c r="F1729" s="4" t="s">
        <v>3065</v>
      </c>
      <c r="G1729" s="4" t="s">
        <v>3065</v>
      </c>
      <c r="H1729" s="4" t="str">
        <f t="shared" si="29"/>
        <v>No</v>
      </c>
      <c r="I1729" s="56"/>
    </row>
    <row r="1730" spans="1:9">
      <c r="A1730" s="97" t="s">
        <v>2348</v>
      </c>
      <c r="B1730" s="97" t="s">
        <v>547</v>
      </c>
      <c r="C1730" s="163">
        <v>5203</v>
      </c>
      <c r="D1730" s="95" t="s">
        <v>637</v>
      </c>
      <c r="E1730" s="142">
        <v>1.7233333333333333E-2</v>
      </c>
      <c r="F1730" s="4" t="s">
        <v>3065</v>
      </c>
      <c r="G1730" s="4" t="s">
        <v>3065</v>
      </c>
      <c r="H1730" s="4" t="str">
        <f t="shared" si="29"/>
        <v>No</v>
      </c>
      <c r="I1730" s="56"/>
    </row>
    <row r="1731" spans="1:9">
      <c r="A1731" s="97" t="s">
        <v>2348</v>
      </c>
      <c r="B1731" s="97" t="s">
        <v>547</v>
      </c>
      <c r="C1731" s="163">
        <v>2201</v>
      </c>
      <c r="D1731" s="95" t="s">
        <v>576</v>
      </c>
      <c r="E1731" s="142">
        <v>6.9766666666666657E-2</v>
      </c>
      <c r="F1731" s="4" t="s">
        <v>3065</v>
      </c>
      <c r="G1731" s="4" t="s">
        <v>3065</v>
      </c>
      <c r="H1731" s="4" t="str">
        <f t="shared" ref="H1731:H1794" si="30">IFERROR(IF(AND(G1731="Yes",F1731="No"),"Yes","No"),"No")</f>
        <v>No</v>
      </c>
      <c r="I1731" s="56"/>
    </row>
    <row r="1732" spans="1:9">
      <c r="A1732" s="97" t="s">
        <v>2348</v>
      </c>
      <c r="B1732" s="97" t="s">
        <v>547</v>
      </c>
      <c r="C1732" s="163">
        <v>5485</v>
      </c>
      <c r="D1732" s="95" t="s">
        <v>2736</v>
      </c>
      <c r="E1732" s="142">
        <v>0.45723333333333338</v>
      </c>
      <c r="F1732" s="4" t="s">
        <v>3065</v>
      </c>
      <c r="G1732" s="4" t="s">
        <v>3065</v>
      </c>
      <c r="H1732" s="4" t="str">
        <f t="shared" si="30"/>
        <v>No</v>
      </c>
      <c r="I1732" s="56"/>
    </row>
    <row r="1733" spans="1:9">
      <c r="A1733" s="97" t="s">
        <v>2348</v>
      </c>
      <c r="B1733" s="97" t="s">
        <v>547</v>
      </c>
      <c r="C1733" s="163">
        <v>3095</v>
      </c>
      <c r="D1733" s="95" t="s">
        <v>607</v>
      </c>
      <c r="E1733" s="142">
        <v>0.58633333333333326</v>
      </c>
      <c r="F1733" s="4" t="s">
        <v>2752</v>
      </c>
      <c r="G1733" s="4" t="s">
        <v>2752</v>
      </c>
      <c r="H1733" s="4" t="str">
        <f t="shared" si="30"/>
        <v>No</v>
      </c>
      <c r="I1733" s="56"/>
    </row>
    <row r="1734" spans="1:9">
      <c r="A1734" s="97" t="s">
        <v>2348</v>
      </c>
      <c r="B1734" s="97" t="s">
        <v>547</v>
      </c>
      <c r="C1734" s="163">
        <v>1547</v>
      </c>
      <c r="D1734" s="95" t="s">
        <v>548</v>
      </c>
      <c r="E1734" s="142">
        <v>0.37176666666666663</v>
      </c>
      <c r="F1734" s="4" t="s">
        <v>3065</v>
      </c>
      <c r="G1734" s="4" t="s">
        <v>3065</v>
      </c>
      <c r="H1734" s="4" t="str">
        <f t="shared" si="30"/>
        <v>No</v>
      </c>
      <c r="I1734" s="56"/>
    </row>
    <row r="1735" spans="1:9">
      <c r="A1735" s="97" t="s">
        <v>2348</v>
      </c>
      <c r="B1735" s="97" t="s">
        <v>547</v>
      </c>
      <c r="C1735" s="163">
        <v>2322</v>
      </c>
      <c r="D1735" s="95" t="s">
        <v>586</v>
      </c>
      <c r="E1735" s="142">
        <v>4.6766666666666658E-2</v>
      </c>
      <c r="F1735" s="4" t="s">
        <v>3065</v>
      </c>
      <c r="G1735" s="4" t="s">
        <v>3065</v>
      </c>
      <c r="H1735" s="4" t="str">
        <f t="shared" si="30"/>
        <v>No</v>
      </c>
      <c r="I1735" s="56"/>
    </row>
    <row r="1736" spans="1:9">
      <c r="A1736" s="97" t="s">
        <v>2348</v>
      </c>
      <c r="B1736" s="97" t="s">
        <v>547</v>
      </c>
      <c r="C1736" s="163">
        <v>3479</v>
      </c>
      <c r="D1736" s="95" t="s">
        <v>618</v>
      </c>
      <c r="E1736" s="142">
        <v>0.3029</v>
      </c>
      <c r="F1736" s="4" t="s">
        <v>3065</v>
      </c>
      <c r="G1736" s="4" t="s">
        <v>3065</v>
      </c>
      <c r="H1736" s="4" t="str">
        <f t="shared" si="30"/>
        <v>No</v>
      </c>
      <c r="I1736" s="56"/>
    </row>
    <row r="1737" spans="1:9">
      <c r="A1737" s="97" t="s">
        <v>2348</v>
      </c>
      <c r="B1737" s="97" t="s">
        <v>547</v>
      </c>
      <c r="C1737" s="163">
        <v>3218</v>
      </c>
      <c r="D1737" s="95" t="s">
        <v>610</v>
      </c>
      <c r="E1737" s="142">
        <v>7.9866666666666669E-2</v>
      </c>
      <c r="F1737" s="4" t="s">
        <v>3065</v>
      </c>
      <c r="G1737" s="4" t="s">
        <v>3065</v>
      </c>
      <c r="H1737" s="4" t="str">
        <f t="shared" si="30"/>
        <v>No</v>
      </c>
      <c r="I1737" s="56"/>
    </row>
    <row r="1738" spans="1:9">
      <c r="A1738" s="97" t="s">
        <v>2348</v>
      </c>
      <c r="B1738" s="97" t="s">
        <v>547</v>
      </c>
      <c r="C1738" s="163">
        <v>3027</v>
      </c>
      <c r="D1738" s="95" t="s">
        <v>606</v>
      </c>
      <c r="E1738" s="142">
        <v>0.64196666666666669</v>
      </c>
      <c r="F1738" s="4" t="s">
        <v>2752</v>
      </c>
      <c r="G1738" s="4" t="s">
        <v>2752</v>
      </c>
      <c r="H1738" s="4" t="str">
        <f t="shared" si="30"/>
        <v>No</v>
      </c>
      <c r="I1738" s="56"/>
    </row>
    <row r="1739" spans="1:9">
      <c r="A1739" s="97" t="s">
        <v>2348</v>
      </c>
      <c r="B1739" s="97" t="s">
        <v>547</v>
      </c>
      <c r="C1739" s="163">
        <v>3868</v>
      </c>
      <c r="D1739" s="95" t="s">
        <v>628</v>
      </c>
      <c r="E1739" s="142">
        <v>0.28483333333333333</v>
      </c>
      <c r="F1739" s="4" t="s">
        <v>3065</v>
      </c>
      <c r="G1739" s="4" t="s">
        <v>3065</v>
      </c>
      <c r="H1739" s="4" t="str">
        <f t="shared" si="30"/>
        <v>No</v>
      </c>
      <c r="I1739" s="56"/>
    </row>
    <row r="1740" spans="1:9">
      <c r="A1740" s="97" t="s">
        <v>2348</v>
      </c>
      <c r="B1740" s="97" t="s">
        <v>547</v>
      </c>
      <c r="C1740" s="163">
        <v>2976</v>
      </c>
      <c r="D1740" s="95" t="s">
        <v>603</v>
      </c>
      <c r="E1740" s="142">
        <v>0.53639999999999999</v>
      </c>
      <c r="F1740" s="4" t="s">
        <v>2752</v>
      </c>
      <c r="G1740" s="4" t="s">
        <v>2752</v>
      </c>
      <c r="H1740" s="4" t="str">
        <f t="shared" si="30"/>
        <v>No</v>
      </c>
      <c r="I1740" s="56"/>
    </row>
    <row r="1741" spans="1:9">
      <c r="A1741" s="97" t="s">
        <v>2348</v>
      </c>
      <c r="B1741" s="97" t="s">
        <v>547</v>
      </c>
      <c r="C1741" s="163">
        <v>2256</v>
      </c>
      <c r="D1741" s="95" t="s">
        <v>580</v>
      </c>
      <c r="E1741" s="142">
        <v>0.34569999999999995</v>
      </c>
      <c r="F1741" s="4" t="s">
        <v>3065</v>
      </c>
      <c r="G1741" s="4" t="s">
        <v>3065</v>
      </c>
      <c r="H1741" s="4" t="str">
        <f t="shared" si="30"/>
        <v>No</v>
      </c>
      <c r="I1741" s="56"/>
    </row>
    <row r="1742" spans="1:9">
      <c r="A1742" s="97" t="s">
        <v>2348</v>
      </c>
      <c r="B1742" s="97" t="s">
        <v>547</v>
      </c>
      <c r="C1742" s="163">
        <v>4065</v>
      </c>
      <c r="D1742" s="95" t="s">
        <v>632</v>
      </c>
      <c r="E1742" s="142">
        <v>0.30590000000000001</v>
      </c>
      <c r="F1742" s="4" t="s">
        <v>3065</v>
      </c>
      <c r="G1742" s="4" t="s">
        <v>3065</v>
      </c>
      <c r="H1742" s="4" t="str">
        <f t="shared" si="30"/>
        <v>No</v>
      </c>
      <c r="I1742" s="56"/>
    </row>
    <row r="1743" spans="1:9">
      <c r="A1743" s="97" t="s">
        <v>2348</v>
      </c>
      <c r="B1743" s="97" t="s">
        <v>547</v>
      </c>
      <c r="C1743" s="163">
        <v>1620</v>
      </c>
      <c r="D1743" s="95" t="s">
        <v>551</v>
      </c>
      <c r="E1743" s="142">
        <v>0.11053333333333333</v>
      </c>
      <c r="F1743" s="4" t="s">
        <v>3065</v>
      </c>
      <c r="G1743" s="4" t="s">
        <v>3065</v>
      </c>
      <c r="H1743" s="4" t="str">
        <f t="shared" si="30"/>
        <v>No</v>
      </c>
      <c r="I1743" s="56"/>
    </row>
    <row r="1744" spans="1:9">
      <c r="A1744" s="97" t="s">
        <v>2348</v>
      </c>
      <c r="B1744" s="97" t="s">
        <v>547</v>
      </c>
      <c r="C1744" s="163">
        <v>5046</v>
      </c>
      <c r="D1744" s="95" t="s">
        <v>635</v>
      </c>
      <c r="E1744" s="142">
        <v>0.14936666666666668</v>
      </c>
      <c r="F1744" s="4" t="s">
        <v>3065</v>
      </c>
      <c r="G1744" s="4" t="s">
        <v>3065</v>
      </c>
      <c r="H1744" s="4" t="str">
        <f t="shared" si="30"/>
        <v>No</v>
      </c>
      <c r="I1744" s="56"/>
    </row>
    <row r="1745" spans="1:9">
      <c r="A1745" s="97" t="s">
        <v>2348</v>
      </c>
      <c r="B1745" s="97" t="s">
        <v>547</v>
      </c>
      <c r="C1745" s="163">
        <v>5204</v>
      </c>
      <c r="D1745" s="95" t="s">
        <v>638</v>
      </c>
      <c r="E1745" s="142">
        <v>0.14456666666666665</v>
      </c>
      <c r="F1745" s="4" t="s">
        <v>3065</v>
      </c>
      <c r="G1745" s="4" t="s">
        <v>3065</v>
      </c>
      <c r="H1745" s="4" t="str">
        <f t="shared" si="30"/>
        <v>No</v>
      </c>
      <c r="I1745" s="56"/>
    </row>
    <row r="1746" spans="1:9">
      <c r="A1746" s="97" t="s">
        <v>2348</v>
      </c>
      <c r="B1746" s="97" t="s">
        <v>547</v>
      </c>
      <c r="C1746" s="163">
        <v>3327</v>
      </c>
      <c r="D1746" s="95" t="s">
        <v>613</v>
      </c>
      <c r="E1746" s="142">
        <v>0.71919999999999995</v>
      </c>
      <c r="F1746" s="4" t="s">
        <v>2752</v>
      </c>
      <c r="G1746" s="4" t="s">
        <v>2752</v>
      </c>
      <c r="H1746" s="4" t="str">
        <f t="shared" si="30"/>
        <v>No</v>
      </c>
      <c r="I1746" s="56"/>
    </row>
    <row r="1747" spans="1:9">
      <c r="A1747" s="97" t="s">
        <v>2348</v>
      </c>
      <c r="B1747" s="97" t="s">
        <v>547</v>
      </c>
      <c r="C1747" s="163">
        <v>3380</v>
      </c>
      <c r="D1747" s="95" t="s">
        <v>615</v>
      </c>
      <c r="E1747" s="142">
        <v>0.6212333333333333</v>
      </c>
      <c r="F1747" s="4" t="s">
        <v>2752</v>
      </c>
      <c r="G1747" s="4" t="s">
        <v>2752</v>
      </c>
      <c r="H1747" s="4" t="str">
        <f t="shared" si="30"/>
        <v>No</v>
      </c>
      <c r="I1747" s="56"/>
    </row>
    <row r="1748" spans="1:9">
      <c r="A1748" s="97" t="s">
        <v>2348</v>
      </c>
      <c r="B1748" s="97" t="s">
        <v>547</v>
      </c>
      <c r="C1748" s="163">
        <v>2120</v>
      </c>
      <c r="D1748" s="95" t="s">
        <v>2920</v>
      </c>
      <c r="E1748" s="142">
        <v>0.73226666666666673</v>
      </c>
      <c r="F1748" s="4" t="s">
        <v>2752</v>
      </c>
      <c r="G1748" s="4" t="s">
        <v>2752</v>
      </c>
      <c r="H1748" s="4" t="str">
        <f t="shared" si="30"/>
        <v>No</v>
      </c>
      <c r="I1748" s="56"/>
    </row>
    <row r="1749" spans="1:9">
      <c r="A1749" s="56" t="s">
        <v>2348</v>
      </c>
      <c r="B1749" s="97" t="s">
        <v>547</v>
      </c>
      <c r="C1749" s="163">
        <v>5486</v>
      </c>
      <c r="D1749" s="56" t="s">
        <v>2737</v>
      </c>
      <c r="E1749" s="142">
        <v>0.24833333333333338</v>
      </c>
      <c r="F1749" s="4" t="s">
        <v>3065</v>
      </c>
      <c r="G1749" s="4" t="s">
        <v>3065</v>
      </c>
      <c r="H1749" s="4" t="str">
        <f t="shared" si="30"/>
        <v>No</v>
      </c>
      <c r="I1749" s="56"/>
    </row>
    <row r="1750" spans="1:9">
      <c r="A1750" s="97" t="s">
        <v>2348</v>
      </c>
      <c r="B1750" s="97" t="s">
        <v>547</v>
      </c>
      <c r="C1750" s="163">
        <v>2285</v>
      </c>
      <c r="D1750" s="95" t="s">
        <v>582</v>
      </c>
      <c r="E1750" s="142">
        <v>9.7533333333333319E-2</v>
      </c>
      <c r="F1750" s="4" t="s">
        <v>3065</v>
      </c>
      <c r="G1750" s="4" t="s">
        <v>3065</v>
      </c>
      <c r="H1750" s="4" t="str">
        <f t="shared" si="30"/>
        <v>No</v>
      </c>
      <c r="I1750" s="56"/>
    </row>
    <row r="1751" spans="1:9">
      <c r="A1751" s="97" t="s">
        <v>2348</v>
      </c>
      <c r="B1751" s="97" t="s">
        <v>547</v>
      </c>
      <c r="C1751" s="163">
        <v>3157</v>
      </c>
      <c r="D1751" s="95" t="s">
        <v>609</v>
      </c>
      <c r="E1751" s="142">
        <v>0.56396666666666673</v>
      </c>
      <c r="F1751" s="4" t="s">
        <v>2752</v>
      </c>
      <c r="G1751" s="4" t="s">
        <v>2752</v>
      </c>
      <c r="H1751" s="4" t="str">
        <f t="shared" si="30"/>
        <v>No</v>
      </c>
      <c r="I1751" s="56"/>
    </row>
    <row r="1752" spans="1:9">
      <c r="A1752" s="97" t="s">
        <v>2348</v>
      </c>
      <c r="B1752" s="97" t="s">
        <v>547</v>
      </c>
      <c r="C1752" s="163">
        <v>3028</v>
      </c>
      <c r="D1752" s="95" t="s">
        <v>192</v>
      </c>
      <c r="E1752" s="142">
        <v>0.23336666666666664</v>
      </c>
      <c r="F1752" s="4" t="s">
        <v>3065</v>
      </c>
      <c r="G1752" s="4" t="s">
        <v>3065</v>
      </c>
      <c r="H1752" s="4" t="str">
        <f t="shared" si="30"/>
        <v>No</v>
      </c>
      <c r="I1752" s="56"/>
    </row>
    <row r="1753" spans="1:9">
      <c r="A1753" s="97" t="s">
        <v>2348</v>
      </c>
      <c r="B1753" s="97" t="s">
        <v>547</v>
      </c>
      <c r="C1753" s="163">
        <v>1796</v>
      </c>
      <c r="D1753" s="95" t="s">
        <v>554</v>
      </c>
      <c r="E1753" s="142">
        <v>9.4466666666666657E-2</v>
      </c>
      <c r="F1753" s="4" t="s">
        <v>3065</v>
      </c>
      <c r="G1753" s="4" t="s">
        <v>3065</v>
      </c>
      <c r="H1753" s="4" t="str">
        <f t="shared" si="30"/>
        <v>No</v>
      </c>
      <c r="I1753" s="56"/>
    </row>
    <row r="1754" spans="1:9">
      <c r="A1754" s="97" t="s">
        <v>2348</v>
      </c>
      <c r="B1754" s="97" t="s">
        <v>547</v>
      </c>
      <c r="C1754" s="163">
        <v>5205</v>
      </c>
      <c r="D1754" s="95" t="s">
        <v>639</v>
      </c>
      <c r="E1754" s="142">
        <v>0.42563333333333331</v>
      </c>
      <c r="F1754" s="4" t="s">
        <v>3065</v>
      </c>
      <c r="G1754" s="4" t="s">
        <v>3065</v>
      </c>
      <c r="H1754" s="4" t="str">
        <f t="shared" si="30"/>
        <v>No</v>
      </c>
      <c r="I1754" s="56"/>
    </row>
    <row r="1755" spans="1:9">
      <c r="A1755" s="97" t="s">
        <v>2348</v>
      </c>
      <c r="B1755" s="97" t="s">
        <v>547</v>
      </c>
      <c r="C1755" s="163">
        <v>3665</v>
      </c>
      <c r="D1755" s="95" t="s">
        <v>622</v>
      </c>
      <c r="E1755" s="142">
        <v>0.53183333333333327</v>
      </c>
      <c r="F1755" s="4" t="s">
        <v>2752</v>
      </c>
      <c r="G1755" s="4" t="s">
        <v>2752</v>
      </c>
      <c r="H1755" s="4" t="str">
        <f t="shared" si="30"/>
        <v>No</v>
      </c>
      <c r="I1755" s="56"/>
    </row>
    <row r="1756" spans="1:9">
      <c r="A1756" s="97" t="s">
        <v>2348</v>
      </c>
      <c r="B1756" s="97" t="s">
        <v>547</v>
      </c>
      <c r="C1756" s="163">
        <v>1596</v>
      </c>
      <c r="D1756" s="95" t="s">
        <v>550</v>
      </c>
      <c r="E1756" s="142">
        <v>0.80506666666666671</v>
      </c>
      <c r="F1756" s="4" t="s">
        <v>2752</v>
      </c>
      <c r="G1756" s="4" t="s">
        <v>2752</v>
      </c>
      <c r="H1756" s="4" t="str">
        <f t="shared" si="30"/>
        <v>No</v>
      </c>
      <c r="I1756" s="56"/>
    </row>
    <row r="1757" spans="1:9">
      <c r="A1757" s="97" t="s">
        <v>2348</v>
      </c>
      <c r="B1757" s="97" t="s">
        <v>547</v>
      </c>
      <c r="C1757" s="163">
        <v>3778</v>
      </c>
      <c r="D1757" s="95" t="s">
        <v>626</v>
      </c>
      <c r="E1757" s="142">
        <v>0.74196666666666677</v>
      </c>
      <c r="F1757" s="4" t="s">
        <v>2752</v>
      </c>
      <c r="G1757" s="4" t="s">
        <v>2752</v>
      </c>
      <c r="H1757" s="4" t="str">
        <f t="shared" si="30"/>
        <v>No</v>
      </c>
      <c r="I1757" s="56"/>
    </row>
    <row r="1758" spans="1:9">
      <c r="A1758" s="97" t="s">
        <v>2348</v>
      </c>
      <c r="B1758" s="97" t="s">
        <v>547</v>
      </c>
      <c r="C1758" s="163">
        <v>4218</v>
      </c>
      <c r="D1758" s="95" t="s">
        <v>633</v>
      </c>
      <c r="E1758" s="142">
        <v>0.62906666666666666</v>
      </c>
      <c r="F1758" s="4" t="s">
        <v>2752</v>
      </c>
      <c r="G1758" s="4" t="s">
        <v>2752</v>
      </c>
      <c r="H1758" s="4" t="str">
        <f t="shared" si="30"/>
        <v>No</v>
      </c>
      <c r="I1758" s="56"/>
    </row>
    <row r="1759" spans="1:9">
      <c r="A1759" s="97" t="s">
        <v>2348</v>
      </c>
      <c r="B1759" s="97" t="s">
        <v>547</v>
      </c>
      <c r="C1759" s="163">
        <v>2080</v>
      </c>
      <c r="D1759" s="95" t="s">
        <v>469</v>
      </c>
      <c r="E1759" s="142">
        <v>0.29076666666666667</v>
      </c>
      <c r="F1759" s="4" t="s">
        <v>3065</v>
      </c>
      <c r="G1759" s="4" t="s">
        <v>3065</v>
      </c>
      <c r="H1759" s="4" t="str">
        <f t="shared" si="30"/>
        <v>No</v>
      </c>
      <c r="I1759" s="56"/>
    </row>
    <row r="1760" spans="1:9">
      <c r="A1760" s="56" t="s">
        <v>2348</v>
      </c>
      <c r="B1760" s="97" t="s">
        <v>547</v>
      </c>
      <c r="C1760" s="163">
        <v>1856</v>
      </c>
      <c r="D1760" s="56" t="s">
        <v>555</v>
      </c>
      <c r="E1760" s="142">
        <v>0.15603333333333333</v>
      </c>
      <c r="F1760" s="4" t="s">
        <v>3065</v>
      </c>
      <c r="G1760" s="4" t="s">
        <v>3065</v>
      </c>
      <c r="H1760" s="4" t="str">
        <f t="shared" si="30"/>
        <v>No</v>
      </c>
      <c r="I1760" s="56"/>
    </row>
    <row r="1761" spans="1:9">
      <c r="A1761" s="97" t="s">
        <v>2348</v>
      </c>
      <c r="B1761" s="97" t="s">
        <v>547</v>
      </c>
      <c r="C1761" s="163">
        <v>3974</v>
      </c>
      <c r="D1761" s="95" t="s">
        <v>630</v>
      </c>
      <c r="E1761" s="142">
        <v>6.6566666666666663E-2</v>
      </c>
      <c r="F1761" s="4" t="s">
        <v>3065</v>
      </c>
      <c r="G1761" s="4" t="s">
        <v>3065</v>
      </c>
      <c r="H1761" s="4" t="str">
        <f t="shared" si="30"/>
        <v>No</v>
      </c>
      <c r="I1761" s="56"/>
    </row>
    <row r="1762" spans="1:9">
      <c r="A1762" s="97" t="s">
        <v>2348</v>
      </c>
      <c r="B1762" s="97" t="s">
        <v>547</v>
      </c>
      <c r="C1762" s="163">
        <v>2141</v>
      </c>
      <c r="D1762" s="95" t="s">
        <v>569</v>
      </c>
      <c r="E1762" s="142">
        <v>0.34913333333333335</v>
      </c>
      <c r="F1762" s="4" t="s">
        <v>3065</v>
      </c>
      <c r="G1762" s="4" t="s">
        <v>3065</v>
      </c>
      <c r="H1762" s="4" t="str">
        <f t="shared" si="30"/>
        <v>No</v>
      </c>
      <c r="I1762" s="56"/>
    </row>
    <row r="1763" spans="1:9">
      <c r="A1763" s="97" t="s">
        <v>2348</v>
      </c>
      <c r="B1763" s="97" t="s">
        <v>547</v>
      </c>
      <c r="C1763" s="163">
        <v>1579</v>
      </c>
      <c r="D1763" s="95" t="s">
        <v>549</v>
      </c>
      <c r="E1763" s="142">
        <v>0.24996666666666667</v>
      </c>
      <c r="F1763" s="4" t="s">
        <v>3065</v>
      </c>
      <c r="G1763" s="4" t="s">
        <v>3065</v>
      </c>
      <c r="H1763" s="4" t="str">
        <f t="shared" si="30"/>
        <v>No</v>
      </c>
      <c r="I1763" s="56"/>
    </row>
    <row r="1764" spans="1:9">
      <c r="A1764" s="97" t="s">
        <v>2348</v>
      </c>
      <c r="B1764" s="97" t="s">
        <v>547</v>
      </c>
      <c r="C1764" s="163">
        <v>2667</v>
      </c>
      <c r="D1764" s="95" t="s">
        <v>596</v>
      </c>
      <c r="E1764" s="142">
        <v>8.72E-2</v>
      </c>
      <c r="F1764" s="4" t="s">
        <v>3065</v>
      </c>
      <c r="G1764" s="4" t="s">
        <v>3065</v>
      </c>
      <c r="H1764" s="4" t="str">
        <f t="shared" si="30"/>
        <v>No</v>
      </c>
      <c r="I1764" s="56"/>
    </row>
    <row r="1765" spans="1:9">
      <c r="A1765" s="97" t="s">
        <v>2348</v>
      </c>
      <c r="B1765" s="97" t="s">
        <v>547</v>
      </c>
      <c r="C1765" s="163">
        <v>2977</v>
      </c>
      <c r="D1765" s="95" t="s">
        <v>604</v>
      </c>
      <c r="E1765" s="142">
        <v>0.31560000000000005</v>
      </c>
      <c r="F1765" s="4" t="s">
        <v>3065</v>
      </c>
      <c r="G1765" s="4" t="s">
        <v>3065</v>
      </c>
      <c r="H1765" s="4" t="str">
        <f t="shared" si="30"/>
        <v>No</v>
      </c>
      <c r="I1765" s="56"/>
    </row>
    <row r="1766" spans="1:9">
      <c r="A1766" s="97" t="s">
        <v>2348</v>
      </c>
      <c r="B1766" s="97" t="s">
        <v>547</v>
      </c>
      <c r="C1766" s="163">
        <v>4064</v>
      </c>
      <c r="D1766" s="95" t="s">
        <v>631</v>
      </c>
      <c r="E1766" s="142">
        <v>0.46480000000000005</v>
      </c>
      <c r="F1766" s="4" t="s">
        <v>3065</v>
      </c>
      <c r="G1766" s="4" t="s">
        <v>3065</v>
      </c>
      <c r="H1766" s="4" t="str">
        <f t="shared" si="30"/>
        <v>No</v>
      </c>
      <c r="I1766" s="56"/>
    </row>
    <row r="1767" spans="1:9">
      <c r="A1767" s="97" t="s">
        <v>2348</v>
      </c>
      <c r="B1767" s="97" t="s">
        <v>547</v>
      </c>
      <c r="C1767" s="163">
        <v>3026</v>
      </c>
      <c r="D1767" s="95" t="s">
        <v>605</v>
      </c>
      <c r="E1767" s="142">
        <v>5.843333333333333E-2</v>
      </c>
      <c r="F1767" s="4" t="s">
        <v>3065</v>
      </c>
      <c r="G1767" s="4" t="s">
        <v>3065</v>
      </c>
      <c r="H1767" s="4" t="str">
        <f t="shared" si="30"/>
        <v>No</v>
      </c>
      <c r="I1767" s="56"/>
    </row>
    <row r="1768" spans="1:9">
      <c r="A1768" s="97" t="s">
        <v>2348</v>
      </c>
      <c r="B1768" s="97" t="s">
        <v>547</v>
      </c>
      <c r="C1768" s="163">
        <v>2645</v>
      </c>
      <c r="D1768" s="95" t="s">
        <v>595</v>
      </c>
      <c r="E1768" s="142">
        <v>0.78436666666666666</v>
      </c>
      <c r="F1768" s="4" t="s">
        <v>2752</v>
      </c>
      <c r="G1768" s="4" t="s">
        <v>2752</v>
      </c>
      <c r="H1768" s="4" t="str">
        <f t="shared" si="30"/>
        <v>No</v>
      </c>
      <c r="I1768" s="56"/>
    </row>
    <row r="1769" spans="1:9">
      <c r="A1769" s="97" t="s">
        <v>2348</v>
      </c>
      <c r="B1769" s="97" t="s">
        <v>547</v>
      </c>
      <c r="C1769" s="163">
        <v>2234</v>
      </c>
      <c r="D1769" s="95" t="s">
        <v>579</v>
      </c>
      <c r="E1769" s="142">
        <v>0.16996666666666668</v>
      </c>
      <c r="F1769" s="4" t="s">
        <v>3065</v>
      </c>
      <c r="G1769" s="4" t="s">
        <v>3065</v>
      </c>
      <c r="H1769" s="4" t="str">
        <f t="shared" si="30"/>
        <v>No</v>
      </c>
      <c r="I1769" s="56"/>
    </row>
    <row r="1770" spans="1:9">
      <c r="A1770" s="97" t="s">
        <v>2348</v>
      </c>
      <c r="B1770" s="97" t="s">
        <v>547</v>
      </c>
      <c r="C1770" s="163">
        <v>2142</v>
      </c>
      <c r="D1770" s="95" t="s">
        <v>570</v>
      </c>
      <c r="E1770" s="142">
        <v>5.8299999999999998E-2</v>
      </c>
      <c r="F1770" s="4" t="s">
        <v>3065</v>
      </c>
      <c r="G1770" s="4" t="s">
        <v>3065</v>
      </c>
      <c r="H1770" s="4" t="str">
        <f t="shared" si="30"/>
        <v>No</v>
      </c>
      <c r="I1770" s="56"/>
    </row>
    <row r="1771" spans="1:9">
      <c r="A1771" s="97" t="s">
        <v>2348</v>
      </c>
      <c r="B1771" s="97" t="s">
        <v>547</v>
      </c>
      <c r="C1771" s="163">
        <v>3277</v>
      </c>
      <c r="D1771" s="95" t="s">
        <v>612</v>
      </c>
      <c r="E1771" s="142">
        <v>0.14130000000000001</v>
      </c>
      <c r="F1771" s="4" t="s">
        <v>3065</v>
      </c>
      <c r="G1771" s="4" t="s">
        <v>3065</v>
      </c>
      <c r="H1771" s="4" t="str">
        <f t="shared" si="30"/>
        <v>No</v>
      </c>
      <c r="I1771" s="56"/>
    </row>
    <row r="1772" spans="1:9">
      <c r="A1772" s="97" t="s">
        <v>2348</v>
      </c>
      <c r="B1772" s="97" t="s">
        <v>547</v>
      </c>
      <c r="C1772" s="163">
        <v>2092</v>
      </c>
      <c r="D1772" s="95" t="s">
        <v>563</v>
      </c>
      <c r="E1772" s="142">
        <v>6.9466666666666677E-2</v>
      </c>
      <c r="F1772" s="4" t="s">
        <v>3065</v>
      </c>
      <c r="G1772" s="4" t="s">
        <v>3065</v>
      </c>
      <c r="H1772" s="4" t="str">
        <f t="shared" si="30"/>
        <v>No</v>
      </c>
      <c r="I1772" s="56"/>
    </row>
    <row r="1773" spans="1:9">
      <c r="A1773" s="97" t="s">
        <v>2348</v>
      </c>
      <c r="B1773" s="97" t="s">
        <v>547</v>
      </c>
      <c r="C1773" s="163">
        <v>3581</v>
      </c>
      <c r="D1773" s="95" t="s">
        <v>621</v>
      </c>
      <c r="E1773" s="142">
        <v>0.68070000000000019</v>
      </c>
      <c r="F1773" s="4" t="s">
        <v>2752</v>
      </c>
      <c r="G1773" s="4" t="s">
        <v>2752</v>
      </c>
      <c r="H1773" s="4" t="str">
        <f t="shared" si="30"/>
        <v>No</v>
      </c>
      <c r="I1773" s="56"/>
    </row>
    <row r="1774" spans="1:9">
      <c r="A1774" s="97" t="s">
        <v>2462</v>
      </c>
      <c r="B1774" s="97" t="s">
        <v>1554</v>
      </c>
      <c r="C1774" s="163">
        <v>2521</v>
      </c>
      <c r="D1774" s="95" t="s">
        <v>1557</v>
      </c>
      <c r="E1774" s="142">
        <v>0.21709999999999999</v>
      </c>
      <c r="F1774" s="4" t="s">
        <v>3065</v>
      </c>
      <c r="G1774" s="4" t="s">
        <v>3065</v>
      </c>
      <c r="H1774" s="4" t="str">
        <f t="shared" si="30"/>
        <v>No</v>
      </c>
      <c r="I1774" s="56"/>
    </row>
    <row r="1775" spans="1:9">
      <c r="A1775" s="97" t="s">
        <v>2462</v>
      </c>
      <c r="B1775" s="97" t="s">
        <v>1554</v>
      </c>
      <c r="C1775" s="163">
        <v>3181</v>
      </c>
      <c r="D1775" s="95" t="s">
        <v>231</v>
      </c>
      <c r="E1775" s="142">
        <v>0.52780000000000005</v>
      </c>
      <c r="F1775" s="4" t="s">
        <v>2752</v>
      </c>
      <c r="G1775" s="4" t="s">
        <v>2752</v>
      </c>
      <c r="H1775" s="4" t="str">
        <f t="shared" si="30"/>
        <v>No</v>
      </c>
      <c r="I1775" s="56"/>
    </row>
    <row r="1776" spans="1:9">
      <c r="A1776" s="97" t="s">
        <v>2462</v>
      </c>
      <c r="B1776" s="97" t="s">
        <v>1554</v>
      </c>
      <c r="C1776" s="163">
        <v>2380</v>
      </c>
      <c r="D1776" s="95" t="s">
        <v>476</v>
      </c>
      <c r="E1776" s="142">
        <v>0.56530000000000002</v>
      </c>
      <c r="F1776" s="4" t="s">
        <v>2752</v>
      </c>
      <c r="G1776" s="4" t="s">
        <v>2752</v>
      </c>
      <c r="H1776" s="4" t="str">
        <f t="shared" si="30"/>
        <v>No</v>
      </c>
      <c r="I1776" s="56"/>
    </row>
    <row r="1777" spans="1:9">
      <c r="A1777" s="97" t="s">
        <v>2462</v>
      </c>
      <c r="B1777" s="97" t="s">
        <v>1554</v>
      </c>
      <c r="C1777" s="163">
        <v>3403</v>
      </c>
      <c r="D1777" s="95" t="s">
        <v>1561</v>
      </c>
      <c r="E1777" s="142">
        <v>0.37316666666666665</v>
      </c>
      <c r="F1777" s="4" t="s">
        <v>3065</v>
      </c>
      <c r="G1777" s="4" t="s">
        <v>3065</v>
      </c>
      <c r="H1777" s="4" t="str">
        <f t="shared" si="30"/>
        <v>No</v>
      </c>
      <c r="I1777" s="56"/>
    </row>
    <row r="1778" spans="1:9">
      <c r="A1778" s="97" t="s">
        <v>2462</v>
      </c>
      <c r="B1778" s="97" t="s">
        <v>1554</v>
      </c>
      <c r="C1778" s="163">
        <v>3942</v>
      </c>
      <c r="D1778" s="95" t="s">
        <v>1209</v>
      </c>
      <c r="E1778" s="142">
        <v>0.62506666666666666</v>
      </c>
      <c r="F1778" s="4" t="s">
        <v>2752</v>
      </c>
      <c r="G1778" s="4" t="s">
        <v>2752</v>
      </c>
      <c r="H1778" s="4" t="str">
        <f t="shared" si="30"/>
        <v>No</v>
      </c>
      <c r="I1778" s="56"/>
    </row>
    <row r="1779" spans="1:9">
      <c r="A1779" s="97" t="s">
        <v>2462</v>
      </c>
      <c r="B1779" s="97" t="s">
        <v>1554</v>
      </c>
      <c r="C1779" s="163">
        <v>5058</v>
      </c>
      <c r="D1779" s="95" t="s">
        <v>3045</v>
      </c>
      <c r="E1779" s="142">
        <v>0.33329999999999999</v>
      </c>
      <c r="F1779" s="4" t="s">
        <v>3065</v>
      </c>
      <c r="G1779" s="4" t="s">
        <v>3065</v>
      </c>
      <c r="H1779" s="4" t="str">
        <f t="shared" si="30"/>
        <v>No</v>
      </c>
      <c r="I1779" s="56"/>
    </row>
    <row r="1780" spans="1:9">
      <c r="A1780" s="97" t="s">
        <v>2462</v>
      </c>
      <c r="B1780" s="97" t="s">
        <v>1554</v>
      </c>
      <c r="C1780" s="163">
        <v>2620</v>
      </c>
      <c r="D1780" s="95" t="s">
        <v>1558</v>
      </c>
      <c r="E1780" s="142">
        <v>0.44443333333333329</v>
      </c>
      <c r="F1780" s="4" t="s">
        <v>3065</v>
      </c>
      <c r="G1780" s="4" t="s">
        <v>3065</v>
      </c>
      <c r="H1780" s="4" t="str">
        <f t="shared" si="30"/>
        <v>No</v>
      </c>
      <c r="I1780" s="56"/>
    </row>
    <row r="1781" spans="1:9">
      <c r="A1781" s="97" t="s">
        <v>2462</v>
      </c>
      <c r="B1781" s="97" t="s">
        <v>1554</v>
      </c>
      <c r="C1781" s="163">
        <v>2774</v>
      </c>
      <c r="D1781" s="95" t="s">
        <v>1559</v>
      </c>
      <c r="E1781" s="142">
        <v>0.66353333333333342</v>
      </c>
      <c r="F1781" s="4" t="s">
        <v>2752</v>
      </c>
      <c r="G1781" s="4" t="s">
        <v>2752</v>
      </c>
      <c r="H1781" s="4" t="str">
        <f t="shared" si="30"/>
        <v>No</v>
      </c>
      <c r="I1781" s="56"/>
    </row>
    <row r="1782" spans="1:9">
      <c r="A1782" s="97" t="s">
        <v>2462</v>
      </c>
      <c r="B1782" s="97" t="s">
        <v>1554</v>
      </c>
      <c r="C1782" s="163">
        <v>3402</v>
      </c>
      <c r="D1782" s="95" t="s">
        <v>1560</v>
      </c>
      <c r="E1782" s="142">
        <v>0.39093333333333335</v>
      </c>
      <c r="F1782" s="4" t="s">
        <v>3065</v>
      </c>
      <c r="G1782" s="4" t="s">
        <v>3065</v>
      </c>
      <c r="H1782" s="4" t="str">
        <f t="shared" si="30"/>
        <v>No</v>
      </c>
      <c r="I1782" s="56"/>
    </row>
    <row r="1783" spans="1:9">
      <c r="A1783" s="97" t="s">
        <v>2462</v>
      </c>
      <c r="B1783" s="97" t="s">
        <v>1554</v>
      </c>
      <c r="C1783" s="163">
        <v>2150</v>
      </c>
      <c r="D1783" s="95" t="s">
        <v>1556</v>
      </c>
      <c r="E1783" s="142">
        <v>0.4800666666666667</v>
      </c>
      <c r="F1783" s="4" t="s">
        <v>3065</v>
      </c>
      <c r="G1783" s="4" t="s">
        <v>3065</v>
      </c>
      <c r="H1783" s="4" t="str">
        <f t="shared" si="30"/>
        <v>No</v>
      </c>
      <c r="I1783" s="56"/>
    </row>
    <row r="1784" spans="1:9">
      <c r="A1784" s="97" t="s">
        <v>2462</v>
      </c>
      <c r="B1784" s="97" t="s">
        <v>1554</v>
      </c>
      <c r="C1784" s="163">
        <v>5692</v>
      </c>
      <c r="D1784" s="95" t="s">
        <v>3046</v>
      </c>
      <c r="E1784" s="142">
        <v>0.48599999999999999</v>
      </c>
      <c r="F1784" s="4" t="s">
        <v>3065</v>
      </c>
      <c r="G1784" s="4" t="s">
        <v>3065</v>
      </c>
      <c r="H1784" s="4" t="str">
        <f t="shared" si="30"/>
        <v>No</v>
      </c>
      <c r="I1784" s="56"/>
    </row>
    <row r="1785" spans="1:9">
      <c r="A1785" s="97" t="s">
        <v>2462</v>
      </c>
      <c r="B1785" s="97" t="s">
        <v>1554</v>
      </c>
      <c r="C1785" s="163">
        <v>1537</v>
      </c>
      <c r="D1785" s="95" t="s">
        <v>1555</v>
      </c>
      <c r="E1785" s="142">
        <v>0.60866666666666669</v>
      </c>
      <c r="F1785" s="4" t="s">
        <v>2752</v>
      </c>
      <c r="G1785" s="4" t="s">
        <v>2752</v>
      </c>
      <c r="H1785" s="4" t="str">
        <f t="shared" si="30"/>
        <v>No</v>
      </c>
      <c r="I1785" s="56"/>
    </row>
    <row r="1786" spans="1:9">
      <c r="A1786" s="97" t="s">
        <v>2557</v>
      </c>
      <c r="B1786" s="97" t="s">
        <v>2195</v>
      </c>
      <c r="C1786" s="163">
        <v>5383</v>
      </c>
      <c r="D1786" s="95" t="s">
        <v>2198</v>
      </c>
      <c r="E1786" s="142">
        <v>0.54260000000000008</v>
      </c>
      <c r="F1786" s="4" t="s">
        <v>2752</v>
      </c>
      <c r="G1786" s="4" t="s">
        <v>2752</v>
      </c>
      <c r="H1786" s="4" t="str">
        <f t="shared" si="30"/>
        <v>No</v>
      </c>
      <c r="I1786" s="56"/>
    </row>
    <row r="1787" spans="1:9">
      <c r="A1787" s="97" t="s">
        <v>2557</v>
      </c>
      <c r="B1787" s="97" t="s">
        <v>2195</v>
      </c>
      <c r="C1787" s="163">
        <v>5232</v>
      </c>
      <c r="D1787" s="95" t="s">
        <v>2921</v>
      </c>
      <c r="E1787" s="142">
        <v>0.53889999999999993</v>
      </c>
      <c r="F1787" s="4" t="s">
        <v>2752</v>
      </c>
      <c r="G1787" s="4" t="s">
        <v>2752</v>
      </c>
      <c r="H1787" s="4" t="str">
        <f t="shared" si="30"/>
        <v>No</v>
      </c>
      <c r="I1787" s="56"/>
    </row>
    <row r="1788" spans="1:9">
      <c r="A1788" s="97" t="s">
        <v>2557</v>
      </c>
      <c r="B1788" s="97" t="s">
        <v>2195</v>
      </c>
      <c r="C1788" s="163">
        <v>5560</v>
      </c>
      <c r="D1788" s="95" t="s">
        <v>2839</v>
      </c>
      <c r="E1788" s="142">
        <v>0.2238</v>
      </c>
      <c r="F1788" s="4" t="s">
        <v>3065</v>
      </c>
      <c r="G1788" s="4" t="s">
        <v>3065</v>
      </c>
      <c r="H1788" s="4" t="str">
        <f t="shared" si="30"/>
        <v>No</v>
      </c>
      <c r="I1788" s="56"/>
    </row>
    <row r="1789" spans="1:9">
      <c r="A1789" s="97" t="s">
        <v>2557</v>
      </c>
      <c r="B1789" s="97" t="s">
        <v>2195</v>
      </c>
      <c r="C1789" s="163">
        <v>5561</v>
      </c>
      <c r="D1789" s="95" t="s">
        <v>2840</v>
      </c>
      <c r="E1789" s="142">
        <v>0.52723333333333333</v>
      </c>
      <c r="F1789" s="4" t="s">
        <v>2752</v>
      </c>
      <c r="G1789" s="4" t="s">
        <v>3065</v>
      </c>
      <c r="H1789" s="4" t="str">
        <f t="shared" si="30"/>
        <v>No</v>
      </c>
      <c r="I1789" s="56"/>
    </row>
    <row r="1790" spans="1:9">
      <c r="A1790" s="97" t="s">
        <v>2557</v>
      </c>
      <c r="B1790" s="97" t="s">
        <v>2195</v>
      </c>
      <c r="C1790" s="163">
        <v>4272</v>
      </c>
      <c r="D1790" s="95" t="s">
        <v>2922</v>
      </c>
      <c r="E1790" s="142">
        <v>0.56669999999999998</v>
      </c>
      <c r="F1790" s="4" t="s">
        <v>2752</v>
      </c>
      <c r="G1790" s="4" t="s">
        <v>3065</v>
      </c>
      <c r="H1790" s="4" t="str">
        <f t="shared" si="30"/>
        <v>No</v>
      </c>
      <c r="I1790" s="56"/>
    </row>
    <row r="1791" spans="1:9">
      <c r="A1791" s="97" t="s">
        <v>2557</v>
      </c>
      <c r="B1791" s="97" t="s">
        <v>2195</v>
      </c>
      <c r="C1791" s="163">
        <v>2388</v>
      </c>
      <c r="D1791" s="95" t="s">
        <v>2196</v>
      </c>
      <c r="E1791" s="142">
        <v>0.48449999999999999</v>
      </c>
      <c r="F1791" s="4" t="s">
        <v>3065</v>
      </c>
      <c r="G1791" s="4" t="s">
        <v>3065</v>
      </c>
      <c r="H1791" s="4" t="str">
        <f t="shared" si="30"/>
        <v>No</v>
      </c>
      <c r="I1791" s="56"/>
    </row>
    <row r="1792" spans="1:9">
      <c r="A1792" s="97" t="s">
        <v>2557</v>
      </c>
      <c r="B1792" s="97" t="s">
        <v>2195</v>
      </c>
      <c r="C1792" s="163">
        <v>5231</v>
      </c>
      <c r="D1792" s="95" t="s">
        <v>2197</v>
      </c>
      <c r="E1792" s="142">
        <v>0.41436666666666661</v>
      </c>
      <c r="F1792" s="4" t="s">
        <v>3065</v>
      </c>
      <c r="G1792" s="4" t="s">
        <v>3065</v>
      </c>
      <c r="H1792" s="4" t="str">
        <f t="shared" si="30"/>
        <v>No</v>
      </c>
      <c r="I1792" s="56"/>
    </row>
    <row r="1793" spans="1:9">
      <c r="A1793" s="97" t="s">
        <v>2557</v>
      </c>
      <c r="B1793" s="97" t="s">
        <v>2195</v>
      </c>
      <c r="C1793" s="163">
        <v>5384</v>
      </c>
      <c r="D1793" s="95" t="s">
        <v>2199</v>
      </c>
      <c r="E1793" s="142">
        <v>0.5571666666666667</v>
      </c>
      <c r="F1793" s="4" t="s">
        <v>2752</v>
      </c>
      <c r="G1793" s="4" t="s">
        <v>2752</v>
      </c>
      <c r="H1793" s="4" t="str">
        <f t="shared" si="30"/>
        <v>No</v>
      </c>
      <c r="I1793" s="56"/>
    </row>
    <row r="1794" spans="1:9">
      <c r="A1794" s="97" t="s">
        <v>2557</v>
      </c>
      <c r="B1794" s="97" t="s">
        <v>2195</v>
      </c>
      <c r="C1794" s="165">
        <v>5385</v>
      </c>
      <c r="D1794" s="56" t="s">
        <v>2200</v>
      </c>
      <c r="E1794" s="142">
        <v>0.55786666666666662</v>
      </c>
      <c r="F1794" s="4" t="s">
        <v>2752</v>
      </c>
      <c r="G1794" s="4" t="s">
        <v>2752</v>
      </c>
      <c r="H1794" s="4" t="str">
        <f t="shared" si="30"/>
        <v>No</v>
      </c>
      <c r="I1794" s="56"/>
    </row>
    <row r="1795" spans="1:9">
      <c r="A1795" s="97" t="s">
        <v>2437</v>
      </c>
      <c r="B1795" s="97" t="s">
        <v>1288</v>
      </c>
      <c r="C1795" s="163">
        <v>5075</v>
      </c>
      <c r="D1795" s="95" t="s">
        <v>1289</v>
      </c>
      <c r="E1795" s="142">
        <v>0.62363333333333337</v>
      </c>
      <c r="F1795" s="4" t="s">
        <v>2752</v>
      </c>
      <c r="G1795" s="4" t="s">
        <v>2752</v>
      </c>
      <c r="H1795" s="4" t="str">
        <f t="shared" ref="H1795:H1858" si="31">IFERROR(IF(AND(G1795="Yes",F1795="No"),"Yes","No"),"No")</f>
        <v>No</v>
      </c>
      <c r="I1795" s="56"/>
    </row>
    <row r="1796" spans="1:9">
      <c r="A1796" s="97" t="s">
        <v>2437</v>
      </c>
      <c r="B1796" s="97" t="s">
        <v>1288</v>
      </c>
      <c r="C1796" s="163">
        <v>5226</v>
      </c>
      <c r="D1796" s="95" t="s">
        <v>1291</v>
      </c>
      <c r="E1796" s="142">
        <v>0.43146666666666667</v>
      </c>
      <c r="F1796" s="4" t="s">
        <v>3065</v>
      </c>
      <c r="G1796" s="4" t="s">
        <v>3065</v>
      </c>
      <c r="H1796" s="4" t="str">
        <f t="shared" si="31"/>
        <v>No</v>
      </c>
      <c r="I1796" s="56"/>
    </row>
    <row r="1797" spans="1:9">
      <c r="A1797" s="97" t="s">
        <v>2437</v>
      </c>
      <c r="B1797" s="97" t="s">
        <v>1288</v>
      </c>
      <c r="C1797" s="163">
        <v>5225</v>
      </c>
      <c r="D1797" s="95" t="s">
        <v>1290</v>
      </c>
      <c r="E1797" s="142">
        <v>0.55546666666666666</v>
      </c>
      <c r="F1797" s="4" t="s">
        <v>2752</v>
      </c>
      <c r="G1797" s="4" t="s">
        <v>2752</v>
      </c>
      <c r="H1797" s="4" t="str">
        <f t="shared" si="31"/>
        <v>No</v>
      </c>
      <c r="I1797" s="56"/>
    </row>
    <row r="1798" spans="1:9">
      <c r="A1798" s="97" t="s">
        <v>2279</v>
      </c>
      <c r="B1798" s="97" t="s">
        <v>148</v>
      </c>
      <c r="C1798" s="163">
        <v>5613</v>
      </c>
      <c r="D1798" s="95" t="s">
        <v>2923</v>
      </c>
      <c r="E1798" s="142">
        <v>0.4602</v>
      </c>
      <c r="F1798" s="4" t="s">
        <v>3065</v>
      </c>
      <c r="G1798" s="4" t="s">
        <v>3065</v>
      </c>
      <c r="H1798" s="4" t="str">
        <f t="shared" si="31"/>
        <v>No</v>
      </c>
      <c r="I1798" s="56"/>
    </row>
    <row r="1799" spans="1:9">
      <c r="A1799" s="97" t="s">
        <v>2279</v>
      </c>
      <c r="B1799" s="97" t="s">
        <v>148</v>
      </c>
      <c r="C1799" s="163">
        <v>4378</v>
      </c>
      <c r="D1799" s="95" t="s">
        <v>151</v>
      </c>
      <c r="E1799" s="142">
        <v>0.45986666666666665</v>
      </c>
      <c r="F1799" s="4" t="s">
        <v>3065</v>
      </c>
      <c r="G1799" s="4" t="s">
        <v>3065</v>
      </c>
      <c r="H1799" s="4" t="str">
        <f t="shared" si="31"/>
        <v>No</v>
      </c>
      <c r="I1799" s="56"/>
    </row>
    <row r="1800" spans="1:9">
      <c r="A1800" s="97" t="s">
        <v>2279</v>
      </c>
      <c r="B1800" s="97" t="s">
        <v>148</v>
      </c>
      <c r="C1800" s="163">
        <v>2722</v>
      </c>
      <c r="D1800" s="95" t="s">
        <v>150</v>
      </c>
      <c r="E1800" s="142">
        <v>0.48913333333333336</v>
      </c>
      <c r="F1800" s="4" t="s">
        <v>3065</v>
      </c>
      <c r="G1800" s="4" t="s">
        <v>3065</v>
      </c>
      <c r="H1800" s="4" t="str">
        <f t="shared" si="31"/>
        <v>No</v>
      </c>
      <c r="I1800" s="56"/>
    </row>
    <row r="1801" spans="1:9">
      <c r="A1801" s="97" t="s">
        <v>2279</v>
      </c>
      <c r="B1801" s="97" t="s">
        <v>148</v>
      </c>
      <c r="C1801" s="163">
        <v>1708</v>
      </c>
      <c r="D1801" s="95" t="s">
        <v>2924</v>
      </c>
      <c r="E1801" s="142">
        <v>0.34816666666666668</v>
      </c>
      <c r="F1801" s="4" t="s">
        <v>3065</v>
      </c>
      <c r="G1801" s="4" t="s">
        <v>3065</v>
      </c>
      <c r="H1801" s="4" t="str">
        <f t="shared" si="31"/>
        <v>No</v>
      </c>
      <c r="I1801" s="56"/>
    </row>
    <row r="1802" spans="1:9">
      <c r="A1802" s="97" t="s">
        <v>2279</v>
      </c>
      <c r="B1802" s="97" t="s">
        <v>148</v>
      </c>
      <c r="C1802" s="163">
        <v>4519</v>
      </c>
      <c r="D1802" s="95" t="s">
        <v>152</v>
      </c>
      <c r="E1802" s="142">
        <v>0.4427666666666667</v>
      </c>
      <c r="F1802" s="4" t="s">
        <v>3065</v>
      </c>
      <c r="G1802" s="4" t="s">
        <v>3065</v>
      </c>
      <c r="H1802" s="4" t="str">
        <f t="shared" si="31"/>
        <v>No</v>
      </c>
      <c r="I1802" s="56"/>
    </row>
    <row r="1803" spans="1:9">
      <c r="A1803" s="97" t="s">
        <v>2279</v>
      </c>
      <c r="B1803" s="97" t="s">
        <v>148</v>
      </c>
      <c r="C1803" s="163">
        <v>2471</v>
      </c>
      <c r="D1803" s="95" t="s">
        <v>149</v>
      </c>
      <c r="E1803" s="142">
        <v>0.3831</v>
      </c>
      <c r="F1803" s="4" t="s">
        <v>3065</v>
      </c>
      <c r="G1803" s="4" t="s">
        <v>3065</v>
      </c>
      <c r="H1803" s="4" t="str">
        <f t="shared" si="31"/>
        <v>No</v>
      </c>
      <c r="I1803" s="56"/>
    </row>
    <row r="1804" spans="1:9">
      <c r="A1804" s="97" t="s">
        <v>2456</v>
      </c>
      <c r="B1804" s="97" t="s">
        <v>1525</v>
      </c>
      <c r="C1804" s="163">
        <v>3725</v>
      </c>
      <c r="D1804" s="95" t="s">
        <v>1526</v>
      </c>
      <c r="E1804" s="142">
        <v>0</v>
      </c>
      <c r="F1804" s="4" t="s">
        <v>3065</v>
      </c>
      <c r="G1804" s="4" t="s">
        <v>3065</v>
      </c>
      <c r="H1804" s="4" t="str">
        <f t="shared" si="31"/>
        <v>No</v>
      </c>
      <c r="I1804" s="56"/>
    </row>
    <row r="1805" spans="1:9">
      <c r="A1805" s="97" t="s">
        <v>2416</v>
      </c>
      <c r="B1805" s="97" t="s">
        <v>1208</v>
      </c>
      <c r="C1805" s="163">
        <v>3291</v>
      </c>
      <c r="D1805" s="95" t="s">
        <v>1211</v>
      </c>
      <c r="E1805" s="142">
        <v>0.64170000000000005</v>
      </c>
      <c r="F1805" s="4" t="s">
        <v>2752</v>
      </c>
      <c r="G1805" s="4" t="s">
        <v>2752</v>
      </c>
      <c r="H1805" s="4" t="str">
        <f t="shared" si="31"/>
        <v>No</v>
      </c>
      <c r="I1805" s="56"/>
    </row>
    <row r="1806" spans="1:9">
      <c r="A1806" s="97" t="s">
        <v>2416</v>
      </c>
      <c r="B1806" s="97" t="s">
        <v>1208</v>
      </c>
      <c r="C1806" s="163">
        <v>5621</v>
      </c>
      <c r="D1806" s="95" t="s">
        <v>2925</v>
      </c>
      <c r="E1806" s="142">
        <v>0.68864999999999998</v>
      </c>
      <c r="F1806" s="4" t="s">
        <v>2752</v>
      </c>
      <c r="G1806" s="4" t="s">
        <v>2752</v>
      </c>
      <c r="H1806" s="4" t="str">
        <f t="shared" si="31"/>
        <v>No</v>
      </c>
      <c r="I1806" s="56"/>
    </row>
    <row r="1807" spans="1:9">
      <c r="A1807" s="97" t="s">
        <v>2416</v>
      </c>
      <c r="B1807" s="97" t="s">
        <v>1208</v>
      </c>
      <c r="C1807" s="163">
        <v>4288</v>
      </c>
      <c r="D1807" s="95" t="s">
        <v>2926</v>
      </c>
      <c r="E1807" s="142">
        <v>0.68410000000000004</v>
      </c>
      <c r="F1807" s="4" t="s">
        <v>2752</v>
      </c>
      <c r="G1807" s="4" t="s">
        <v>2752</v>
      </c>
      <c r="H1807" s="4" t="str">
        <f t="shared" si="31"/>
        <v>No</v>
      </c>
      <c r="I1807" s="56"/>
    </row>
    <row r="1808" spans="1:9">
      <c r="A1808" s="97" t="s">
        <v>2416</v>
      </c>
      <c r="B1808" s="97" t="s">
        <v>1208</v>
      </c>
      <c r="C1808" s="163">
        <v>2745</v>
      </c>
      <c r="D1808" s="95" t="s">
        <v>1209</v>
      </c>
      <c r="E1808" s="142">
        <v>0.85946666666666671</v>
      </c>
      <c r="F1808" s="4" t="s">
        <v>2752</v>
      </c>
      <c r="G1808" s="4" t="s">
        <v>2752</v>
      </c>
      <c r="H1808" s="4" t="str">
        <f t="shared" si="31"/>
        <v>No</v>
      </c>
      <c r="I1808" s="56"/>
    </row>
    <row r="1809" spans="1:9">
      <c r="A1809" s="97" t="s">
        <v>2416</v>
      </c>
      <c r="B1809" s="97" t="s">
        <v>1208</v>
      </c>
      <c r="C1809" s="163">
        <v>3292</v>
      </c>
      <c r="D1809" s="95" t="s">
        <v>417</v>
      </c>
      <c r="E1809" s="142">
        <v>0.66566666666666663</v>
      </c>
      <c r="F1809" s="4" t="s">
        <v>2752</v>
      </c>
      <c r="G1809" s="4" t="s">
        <v>2752</v>
      </c>
      <c r="H1809" s="4" t="str">
        <f t="shared" si="31"/>
        <v>No</v>
      </c>
      <c r="I1809" s="56"/>
    </row>
    <row r="1810" spans="1:9">
      <c r="A1810" s="97" t="s">
        <v>2416</v>
      </c>
      <c r="B1810" s="97" t="s">
        <v>1208</v>
      </c>
      <c r="C1810" s="163">
        <v>4363</v>
      </c>
      <c r="D1810" s="95" t="s">
        <v>1212</v>
      </c>
      <c r="E1810" s="142">
        <v>0.67220000000000002</v>
      </c>
      <c r="F1810" s="4" t="s">
        <v>2752</v>
      </c>
      <c r="G1810" s="4" t="s">
        <v>2752</v>
      </c>
      <c r="H1810" s="4" t="str">
        <f t="shared" si="31"/>
        <v>No</v>
      </c>
      <c r="I1810" s="56"/>
    </row>
    <row r="1811" spans="1:9">
      <c r="A1811" s="97" t="s">
        <v>2416</v>
      </c>
      <c r="B1811" s="97" t="s">
        <v>1208</v>
      </c>
      <c r="C1811" s="163">
        <v>4586</v>
      </c>
      <c r="D1811" s="95" t="s">
        <v>813</v>
      </c>
      <c r="E1811" s="142">
        <v>0.7203666666666666</v>
      </c>
      <c r="F1811" s="4" t="s">
        <v>2752</v>
      </c>
      <c r="G1811" s="4" t="s">
        <v>2752</v>
      </c>
      <c r="H1811" s="4" t="str">
        <f t="shared" si="31"/>
        <v>No</v>
      </c>
      <c r="I1811" s="56"/>
    </row>
    <row r="1812" spans="1:9">
      <c r="A1812" s="97" t="s">
        <v>2416</v>
      </c>
      <c r="B1812" s="97" t="s">
        <v>1208</v>
      </c>
      <c r="C1812" s="163">
        <v>3241</v>
      </c>
      <c r="D1812" s="95" t="s">
        <v>1210</v>
      </c>
      <c r="E1812" s="142">
        <v>0.57856666666666667</v>
      </c>
      <c r="F1812" s="4" t="s">
        <v>2752</v>
      </c>
      <c r="G1812" s="4" t="s">
        <v>2752</v>
      </c>
      <c r="H1812" s="4" t="str">
        <f t="shared" si="31"/>
        <v>No</v>
      </c>
      <c r="I1812" s="56"/>
    </row>
    <row r="1813" spans="1:9">
      <c r="A1813" s="97" t="s">
        <v>2416</v>
      </c>
      <c r="B1813" s="97" t="s">
        <v>1208</v>
      </c>
      <c r="C1813" s="163">
        <v>5548</v>
      </c>
      <c r="D1813" s="95" t="s">
        <v>2810</v>
      </c>
      <c r="E1813" s="142">
        <v>0.54323333333333335</v>
      </c>
      <c r="F1813" s="4" t="s">
        <v>2752</v>
      </c>
      <c r="G1813" s="4" t="s">
        <v>2752</v>
      </c>
      <c r="H1813" s="4" t="str">
        <f t="shared" si="31"/>
        <v>No</v>
      </c>
      <c r="I1813" s="56"/>
    </row>
    <row r="1814" spans="1:9">
      <c r="A1814" s="97" t="s">
        <v>2363</v>
      </c>
      <c r="B1814" s="97" t="s">
        <v>871</v>
      </c>
      <c r="C1814" s="163">
        <v>3674</v>
      </c>
      <c r="D1814" s="95" t="s">
        <v>885</v>
      </c>
      <c r="E1814" s="142">
        <v>0.25716666666666665</v>
      </c>
      <c r="F1814" s="4" t="s">
        <v>3065</v>
      </c>
      <c r="G1814" s="4" t="s">
        <v>3065</v>
      </c>
      <c r="H1814" s="4" t="str">
        <f t="shared" si="31"/>
        <v>No</v>
      </c>
      <c r="I1814" s="56"/>
    </row>
    <row r="1815" spans="1:9">
      <c r="A1815" s="97" t="s">
        <v>2363</v>
      </c>
      <c r="B1815" s="97" t="s">
        <v>871</v>
      </c>
      <c r="C1815" s="163">
        <v>2990</v>
      </c>
      <c r="D1815" s="95" t="s">
        <v>877</v>
      </c>
      <c r="E1815" s="142">
        <v>0.32006666666666667</v>
      </c>
      <c r="F1815" s="4" t="s">
        <v>3065</v>
      </c>
      <c r="G1815" s="4" t="s">
        <v>3065</v>
      </c>
      <c r="H1815" s="4" t="str">
        <f t="shared" si="31"/>
        <v>No</v>
      </c>
      <c r="I1815" s="56"/>
    </row>
    <row r="1816" spans="1:9">
      <c r="A1816" s="97" t="s">
        <v>2363</v>
      </c>
      <c r="B1816" s="97" t="s">
        <v>871</v>
      </c>
      <c r="C1816" s="163">
        <v>3230</v>
      </c>
      <c r="D1816" s="95" t="s">
        <v>879</v>
      </c>
      <c r="E1816" s="142">
        <v>0.14503333333333335</v>
      </c>
      <c r="F1816" s="4" t="s">
        <v>3065</v>
      </c>
      <c r="G1816" s="4" t="s">
        <v>3065</v>
      </c>
      <c r="H1816" s="4" t="str">
        <f t="shared" si="31"/>
        <v>No</v>
      </c>
      <c r="I1816" s="56"/>
    </row>
    <row r="1817" spans="1:9">
      <c r="A1817" s="97" t="s">
        <v>2363</v>
      </c>
      <c r="B1817" s="97" t="s">
        <v>871</v>
      </c>
      <c r="C1817" s="163">
        <v>1942</v>
      </c>
      <c r="D1817" s="95" t="s">
        <v>874</v>
      </c>
      <c r="E1817" s="142">
        <v>0.2132333333333333</v>
      </c>
      <c r="F1817" s="4" t="s">
        <v>3065</v>
      </c>
      <c r="G1817" s="4" t="s">
        <v>3065</v>
      </c>
      <c r="H1817" s="4" t="str">
        <f t="shared" si="31"/>
        <v>No</v>
      </c>
      <c r="I1817" s="56"/>
    </row>
    <row r="1818" spans="1:9">
      <c r="A1818" s="97" t="s">
        <v>2363</v>
      </c>
      <c r="B1818" s="97" t="s">
        <v>871</v>
      </c>
      <c r="C1818" s="163">
        <v>3104</v>
      </c>
      <c r="D1818" s="95" t="s">
        <v>878</v>
      </c>
      <c r="E1818" s="142">
        <v>0.35693333333333332</v>
      </c>
      <c r="F1818" s="4" t="s">
        <v>3065</v>
      </c>
      <c r="G1818" s="4" t="s">
        <v>3065</v>
      </c>
      <c r="H1818" s="4" t="str">
        <f t="shared" si="31"/>
        <v>No</v>
      </c>
      <c r="I1818" s="56"/>
    </row>
    <row r="1819" spans="1:9">
      <c r="A1819" s="97" t="s">
        <v>2363</v>
      </c>
      <c r="B1819" s="97" t="s">
        <v>871</v>
      </c>
      <c r="C1819" s="163">
        <v>1667</v>
      </c>
      <c r="D1819" s="95" t="s">
        <v>872</v>
      </c>
      <c r="E1819" s="142">
        <v>0.19286666666666666</v>
      </c>
      <c r="F1819" s="4" t="s">
        <v>3065</v>
      </c>
      <c r="G1819" s="4" t="s">
        <v>3065</v>
      </c>
      <c r="H1819" s="4" t="str">
        <f t="shared" si="31"/>
        <v>No</v>
      </c>
      <c r="I1819" s="56"/>
    </row>
    <row r="1820" spans="1:9">
      <c r="A1820" s="97" t="s">
        <v>2363</v>
      </c>
      <c r="B1820" s="97" t="s">
        <v>871</v>
      </c>
      <c r="C1820" s="163">
        <v>3231</v>
      </c>
      <c r="D1820" s="95" t="s">
        <v>880</v>
      </c>
      <c r="E1820" s="142">
        <v>0.12369999999999999</v>
      </c>
      <c r="F1820" s="4" t="s">
        <v>3065</v>
      </c>
      <c r="G1820" s="4" t="s">
        <v>3065</v>
      </c>
      <c r="H1820" s="4" t="str">
        <f t="shared" si="31"/>
        <v>No</v>
      </c>
      <c r="I1820" s="56"/>
    </row>
    <row r="1821" spans="1:9">
      <c r="A1821" s="97" t="s">
        <v>2363</v>
      </c>
      <c r="B1821" s="97" t="s">
        <v>871</v>
      </c>
      <c r="C1821" s="163">
        <v>1771</v>
      </c>
      <c r="D1821" s="95" t="s">
        <v>873</v>
      </c>
      <c r="E1821" s="142">
        <v>7.0733333333333329E-2</v>
      </c>
      <c r="F1821" s="4" t="s">
        <v>3065</v>
      </c>
      <c r="G1821" s="4" t="s">
        <v>3065</v>
      </c>
      <c r="H1821" s="4" t="str">
        <f t="shared" si="31"/>
        <v>No</v>
      </c>
      <c r="I1821" s="56"/>
    </row>
    <row r="1822" spans="1:9">
      <c r="A1822" s="97" t="s">
        <v>2363</v>
      </c>
      <c r="B1822" s="97" t="s">
        <v>871</v>
      </c>
      <c r="C1822" s="163">
        <v>3387</v>
      </c>
      <c r="D1822" s="95" t="s">
        <v>882</v>
      </c>
      <c r="E1822" s="142">
        <v>0.28200000000000003</v>
      </c>
      <c r="F1822" s="4" t="s">
        <v>3065</v>
      </c>
      <c r="G1822" s="4" t="s">
        <v>3065</v>
      </c>
      <c r="H1822" s="4" t="str">
        <f t="shared" si="31"/>
        <v>No</v>
      </c>
      <c r="I1822" s="56"/>
    </row>
    <row r="1823" spans="1:9">
      <c r="A1823" s="97" t="s">
        <v>2363</v>
      </c>
      <c r="B1823" s="97" t="s">
        <v>871</v>
      </c>
      <c r="C1823" s="163">
        <v>2185</v>
      </c>
      <c r="D1823" s="95" t="s">
        <v>875</v>
      </c>
      <c r="E1823" s="142">
        <v>0.2351</v>
      </c>
      <c r="F1823" s="4" t="s">
        <v>3065</v>
      </c>
      <c r="G1823" s="4" t="s">
        <v>3065</v>
      </c>
      <c r="H1823" s="4" t="str">
        <f t="shared" si="31"/>
        <v>No</v>
      </c>
      <c r="I1823" s="56"/>
    </row>
    <row r="1824" spans="1:9">
      <c r="A1824" s="97" t="s">
        <v>2363</v>
      </c>
      <c r="B1824" s="97" t="s">
        <v>871</v>
      </c>
      <c r="C1824" s="163">
        <v>3527</v>
      </c>
      <c r="D1824" s="95" t="s">
        <v>884</v>
      </c>
      <c r="E1824" s="142">
        <v>0.14456666666666665</v>
      </c>
      <c r="F1824" s="4" t="s">
        <v>3065</v>
      </c>
      <c r="G1824" s="4" t="s">
        <v>3065</v>
      </c>
      <c r="H1824" s="4" t="str">
        <f t="shared" si="31"/>
        <v>No</v>
      </c>
      <c r="I1824" s="56"/>
    </row>
    <row r="1825" spans="1:9">
      <c r="A1825" s="97" t="s">
        <v>2363</v>
      </c>
      <c r="B1825" s="97" t="s">
        <v>871</v>
      </c>
      <c r="C1825" s="163">
        <v>3958</v>
      </c>
      <c r="D1825" s="95" t="s">
        <v>887</v>
      </c>
      <c r="E1825" s="142">
        <v>0.28426666666666667</v>
      </c>
      <c r="F1825" s="4" t="s">
        <v>3065</v>
      </c>
      <c r="G1825" s="4" t="s">
        <v>3065</v>
      </c>
      <c r="H1825" s="4" t="str">
        <f t="shared" si="31"/>
        <v>No</v>
      </c>
      <c r="I1825" s="56"/>
    </row>
    <row r="1826" spans="1:9">
      <c r="A1826" s="97" t="s">
        <v>2363</v>
      </c>
      <c r="B1826" s="97" t="s">
        <v>871</v>
      </c>
      <c r="C1826" s="163">
        <v>3489</v>
      </c>
      <c r="D1826" s="95" t="s">
        <v>883</v>
      </c>
      <c r="E1826" s="142">
        <v>0.31853333333333333</v>
      </c>
      <c r="F1826" s="4" t="s">
        <v>3065</v>
      </c>
      <c r="G1826" s="4" t="s">
        <v>3065</v>
      </c>
      <c r="H1826" s="4" t="str">
        <f t="shared" si="31"/>
        <v>No</v>
      </c>
      <c r="I1826" s="56"/>
    </row>
    <row r="1827" spans="1:9">
      <c r="A1827" s="97" t="s">
        <v>2363</v>
      </c>
      <c r="B1827" s="97" t="s">
        <v>871</v>
      </c>
      <c r="C1827" s="163">
        <v>2703</v>
      </c>
      <c r="D1827" s="95" t="s">
        <v>876</v>
      </c>
      <c r="E1827" s="142">
        <v>0.29380000000000001</v>
      </c>
      <c r="F1827" s="4" t="s">
        <v>3065</v>
      </c>
      <c r="G1827" s="4" t="s">
        <v>3065</v>
      </c>
      <c r="H1827" s="4" t="str">
        <f t="shared" si="31"/>
        <v>No</v>
      </c>
      <c r="I1827" s="56"/>
    </row>
    <row r="1828" spans="1:9">
      <c r="A1828" s="97" t="s">
        <v>2363</v>
      </c>
      <c r="B1828" s="97" t="s">
        <v>871</v>
      </c>
      <c r="C1828" s="163">
        <v>3343</v>
      </c>
      <c r="D1828" s="95" t="s">
        <v>881</v>
      </c>
      <c r="E1828" s="142">
        <v>0.27216666666666667</v>
      </c>
      <c r="F1828" s="4" t="s">
        <v>3065</v>
      </c>
      <c r="G1828" s="4" t="s">
        <v>3065</v>
      </c>
      <c r="H1828" s="4" t="str">
        <f t="shared" si="31"/>
        <v>No</v>
      </c>
      <c r="I1828" s="56"/>
    </row>
    <row r="1829" spans="1:9">
      <c r="A1829" s="97" t="s">
        <v>2363</v>
      </c>
      <c r="B1829" s="97" t="s">
        <v>871</v>
      </c>
      <c r="C1829" s="163">
        <v>3921</v>
      </c>
      <c r="D1829" s="95" t="s">
        <v>886</v>
      </c>
      <c r="E1829" s="142">
        <v>0.25433333333333336</v>
      </c>
      <c r="F1829" s="4" t="s">
        <v>3065</v>
      </c>
      <c r="G1829" s="4" t="s">
        <v>3065</v>
      </c>
      <c r="H1829" s="4" t="str">
        <f t="shared" si="31"/>
        <v>No</v>
      </c>
      <c r="I1829" s="56"/>
    </row>
    <row r="1830" spans="1:9">
      <c r="A1830" s="97" t="s">
        <v>2468</v>
      </c>
      <c r="B1830" s="97" t="s">
        <v>1585</v>
      </c>
      <c r="C1830" s="163">
        <v>3405</v>
      </c>
      <c r="D1830" s="95" t="s">
        <v>1586</v>
      </c>
      <c r="E1830" s="142">
        <v>0.42919999999999997</v>
      </c>
      <c r="F1830" s="4" t="s">
        <v>3065</v>
      </c>
      <c r="G1830" s="4" t="s">
        <v>2752</v>
      </c>
      <c r="H1830" s="4" t="str">
        <f t="shared" si="31"/>
        <v>Yes</v>
      </c>
      <c r="I1830" s="56"/>
    </row>
    <row r="1831" spans="1:9">
      <c r="A1831" s="97" t="s">
        <v>2355</v>
      </c>
      <c r="B1831" s="97" t="s">
        <v>760</v>
      </c>
      <c r="C1831" s="163">
        <v>2512</v>
      </c>
      <c r="D1831" s="95" t="s">
        <v>761</v>
      </c>
      <c r="E1831" s="142">
        <v>0.69913333333333327</v>
      </c>
      <c r="F1831" s="4" t="s">
        <v>2752</v>
      </c>
      <c r="G1831" s="4" t="s">
        <v>2752</v>
      </c>
      <c r="H1831" s="4" t="str">
        <f t="shared" si="31"/>
        <v>No</v>
      </c>
      <c r="I1831" s="56"/>
    </row>
    <row r="1832" spans="1:9">
      <c r="A1832" s="97" t="s">
        <v>2355</v>
      </c>
      <c r="B1832" s="97" t="s">
        <v>760</v>
      </c>
      <c r="C1832" s="163">
        <v>2513</v>
      </c>
      <c r="D1832" s="95" t="s">
        <v>762</v>
      </c>
      <c r="E1832" s="142">
        <v>0.63106666666666666</v>
      </c>
      <c r="F1832" s="4" t="s">
        <v>2752</v>
      </c>
      <c r="G1832" s="4" t="s">
        <v>2752</v>
      </c>
      <c r="H1832" s="4" t="str">
        <f t="shared" si="31"/>
        <v>No</v>
      </c>
      <c r="I1832" s="56"/>
    </row>
    <row r="1833" spans="1:9">
      <c r="A1833" s="97" t="s">
        <v>2480</v>
      </c>
      <c r="B1833" s="97" t="s">
        <v>1724</v>
      </c>
      <c r="C1833" s="163">
        <v>4265</v>
      </c>
      <c r="D1833" s="95" t="s">
        <v>1735</v>
      </c>
      <c r="E1833" s="142">
        <v>0.29786666666666667</v>
      </c>
      <c r="F1833" s="4" t="s">
        <v>3065</v>
      </c>
      <c r="G1833" s="4" t="s">
        <v>3065</v>
      </c>
      <c r="H1833" s="4" t="str">
        <f t="shared" si="31"/>
        <v>No</v>
      </c>
      <c r="I1833" s="56"/>
    </row>
    <row r="1834" spans="1:9">
      <c r="A1834" s="97" t="s">
        <v>2480</v>
      </c>
      <c r="B1834" s="97" t="s">
        <v>1724</v>
      </c>
      <c r="C1834" s="163">
        <v>4366</v>
      </c>
      <c r="D1834" s="95" t="s">
        <v>795</v>
      </c>
      <c r="E1834" s="142">
        <v>0.2359</v>
      </c>
      <c r="F1834" s="4" t="s">
        <v>3065</v>
      </c>
      <c r="G1834" s="4" t="s">
        <v>3065</v>
      </c>
      <c r="H1834" s="4" t="str">
        <f t="shared" si="31"/>
        <v>No</v>
      </c>
      <c r="I1834" s="56"/>
    </row>
    <row r="1835" spans="1:9">
      <c r="A1835" s="97" t="s">
        <v>2480</v>
      </c>
      <c r="B1835" s="97" t="s">
        <v>1724</v>
      </c>
      <c r="C1835" s="163">
        <v>3305</v>
      </c>
      <c r="D1835" s="95" t="s">
        <v>1729</v>
      </c>
      <c r="E1835" s="142">
        <v>0.25899999999999995</v>
      </c>
      <c r="F1835" s="4" t="s">
        <v>3065</v>
      </c>
      <c r="G1835" s="4" t="s">
        <v>3065</v>
      </c>
      <c r="H1835" s="4" t="str">
        <f t="shared" si="31"/>
        <v>No</v>
      </c>
      <c r="I1835" s="56"/>
    </row>
    <row r="1836" spans="1:9">
      <c r="A1836" s="97" t="s">
        <v>2480</v>
      </c>
      <c r="B1836" s="97" t="s">
        <v>1724</v>
      </c>
      <c r="C1836" s="163">
        <v>4395</v>
      </c>
      <c r="D1836" s="95" t="s">
        <v>1737</v>
      </c>
      <c r="E1836" s="142">
        <v>0.24046666666666663</v>
      </c>
      <c r="F1836" s="4" t="s">
        <v>3065</v>
      </c>
      <c r="G1836" s="4" t="s">
        <v>3065</v>
      </c>
      <c r="H1836" s="4" t="str">
        <f t="shared" si="31"/>
        <v>No</v>
      </c>
      <c r="I1836" s="56"/>
    </row>
    <row r="1837" spans="1:9">
      <c r="A1837" s="97" t="s">
        <v>2480</v>
      </c>
      <c r="B1837" s="97" t="s">
        <v>1724</v>
      </c>
      <c r="C1837" s="163">
        <v>2446</v>
      </c>
      <c r="D1837" s="95" t="s">
        <v>1728</v>
      </c>
      <c r="E1837" s="142">
        <v>0.45283333333333337</v>
      </c>
      <c r="F1837" s="4" t="s">
        <v>3065</v>
      </c>
      <c r="G1837" s="4" t="s">
        <v>3065</v>
      </c>
      <c r="H1837" s="4" t="str">
        <f t="shared" si="31"/>
        <v>No</v>
      </c>
      <c r="I1837" s="56"/>
    </row>
    <row r="1838" spans="1:9">
      <c r="A1838" s="97" t="s">
        <v>2480</v>
      </c>
      <c r="B1838" s="97" t="s">
        <v>1724</v>
      </c>
      <c r="C1838" s="163">
        <v>4241</v>
      </c>
      <c r="D1838" s="95" t="s">
        <v>1734</v>
      </c>
      <c r="E1838" s="142">
        <v>0.13393333333333332</v>
      </c>
      <c r="F1838" s="4" t="s">
        <v>3065</v>
      </c>
      <c r="G1838" s="4" t="s">
        <v>3065</v>
      </c>
      <c r="H1838" s="4" t="str">
        <f t="shared" si="31"/>
        <v>No</v>
      </c>
      <c r="I1838" s="56"/>
    </row>
    <row r="1839" spans="1:9">
      <c r="A1839" s="97" t="s">
        <v>2480</v>
      </c>
      <c r="B1839" s="97" t="s">
        <v>1724</v>
      </c>
      <c r="C1839" s="163">
        <v>3005</v>
      </c>
      <c r="D1839" s="95" t="s">
        <v>375</v>
      </c>
      <c r="E1839" s="142">
        <v>0.45046666666666663</v>
      </c>
      <c r="F1839" s="4" t="s">
        <v>3065</v>
      </c>
      <c r="G1839" s="4" t="s">
        <v>3065</v>
      </c>
      <c r="H1839" s="4" t="str">
        <f t="shared" si="31"/>
        <v>No</v>
      </c>
      <c r="I1839" s="56"/>
    </row>
    <row r="1840" spans="1:9">
      <c r="A1840" s="97" t="s">
        <v>2480</v>
      </c>
      <c r="B1840" s="97" t="s">
        <v>1724</v>
      </c>
      <c r="C1840" s="163">
        <v>5128</v>
      </c>
      <c r="D1840" s="95" t="s">
        <v>1739</v>
      </c>
      <c r="E1840" s="142">
        <v>0.11569999999999998</v>
      </c>
      <c r="F1840" s="4" t="s">
        <v>3065</v>
      </c>
      <c r="G1840" s="4" t="s">
        <v>3065</v>
      </c>
      <c r="H1840" s="4" t="str">
        <f t="shared" si="31"/>
        <v>No</v>
      </c>
      <c r="I1840" s="56"/>
    </row>
    <row r="1841" spans="1:9">
      <c r="A1841" s="97" t="s">
        <v>2480</v>
      </c>
      <c r="B1841" s="97" t="s">
        <v>1724</v>
      </c>
      <c r="C1841" s="163">
        <v>3981</v>
      </c>
      <c r="D1841" s="95" t="s">
        <v>1731</v>
      </c>
      <c r="E1841" s="142">
        <v>0.11109999999999999</v>
      </c>
      <c r="F1841" s="4" t="s">
        <v>3065</v>
      </c>
      <c r="G1841" s="4" t="s">
        <v>3065</v>
      </c>
      <c r="H1841" s="4" t="str">
        <f t="shared" si="31"/>
        <v>No</v>
      </c>
      <c r="I1841" s="56"/>
    </row>
    <row r="1842" spans="1:9">
      <c r="A1842" s="97" t="s">
        <v>2480</v>
      </c>
      <c r="B1842" s="97" t="s">
        <v>1724</v>
      </c>
      <c r="C1842" s="163">
        <v>5100</v>
      </c>
      <c r="D1842" s="95" t="s">
        <v>1738</v>
      </c>
      <c r="E1842" s="142">
        <v>0.10316666666666667</v>
      </c>
      <c r="F1842" s="4" t="s">
        <v>3065</v>
      </c>
      <c r="G1842" s="4" t="s">
        <v>3065</v>
      </c>
      <c r="H1842" s="4" t="str">
        <f t="shared" si="31"/>
        <v>No</v>
      </c>
      <c r="I1842" s="56"/>
    </row>
    <row r="1843" spans="1:9">
      <c r="A1843" s="97" t="s">
        <v>2480</v>
      </c>
      <c r="B1843" s="97" t="s">
        <v>1724</v>
      </c>
      <c r="C1843" s="163">
        <v>2073</v>
      </c>
      <c r="D1843" s="95" t="s">
        <v>1726</v>
      </c>
      <c r="E1843" s="142">
        <v>0.1482</v>
      </c>
      <c r="F1843" s="4" t="s">
        <v>3065</v>
      </c>
      <c r="G1843" s="4" t="s">
        <v>3065</v>
      </c>
      <c r="H1843" s="4" t="str">
        <f t="shared" si="31"/>
        <v>No</v>
      </c>
      <c r="I1843" s="56"/>
    </row>
    <row r="1844" spans="1:9">
      <c r="A1844" s="97" t="s">
        <v>2480</v>
      </c>
      <c r="B1844" s="97" t="s">
        <v>1724</v>
      </c>
      <c r="C1844" s="163">
        <v>1904</v>
      </c>
      <c r="D1844" s="95" t="s">
        <v>2927</v>
      </c>
      <c r="E1844" s="142">
        <v>0.15240000000000001</v>
      </c>
      <c r="F1844" s="4" t="s">
        <v>3065</v>
      </c>
      <c r="G1844" s="4" t="s">
        <v>3065</v>
      </c>
      <c r="H1844" s="4" t="str">
        <f t="shared" si="31"/>
        <v>No</v>
      </c>
      <c r="I1844" s="56"/>
    </row>
    <row r="1845" spans="1:9">
      <c r="A1845" s="97" t="s">
        <v>2480</v>
      </c>
      <c r="B1845" s="97" t="s">
        <v>1724</v>
      </c>
      <c r="C1845" s="163">
        <v>3561</v>
      </c>
      <c r="D1845" s="95" t="s">
        <v>1730</v>
      </c>
      <c r="E1845" s="142">
        <v>0.22656666666666669</v>
      </c>
      <c r="F1845" s="4" t="s">
        <v>3065</v>
      </c>
      <c r="G1845" s="4" t="s">
        <v>3065</v>
      </c>
      <c r="H1845" s="4" t="str">
        <f t="shared" si="31"/>
        <v>No</v>
      </c>
      <c r="I1845" s="56"/>
    </row>
    <row r="1846" spans="1:9">
      <c r="A1846" s="97" t="s">
        <v>2480</v>
      </c>
      <c r="B1846" s="97" t="s">
        <v>1724</v>
      </c>
      <c r="C1846" s="163">
        <v>4184</v>
      </c>
      <c r="D1846" s="95" t="s">
        <v>1733</v>
      </c>
      <c r="E1846" s="142">
        <v>0.15049999999999999</v>
      </c>
      <c r="F1846" s="4" t="s">
        <v>3065</v>
      </c>
      <c r="G1846" s="4" t="s">
        <v>3065</v>
      </c>
      <c r="H1846" s="4" t="str">
        <f t="shared" si="31"/>
        <v>No</v>
      </c>
      <c r="I1846" s="56"/>
    </row>
    <row r="1847" spans="1:9">
      <c r="A1847" s="97" t="s">
        <v>2480</v>
      </c>
      <c r="B1847" s="97" t="s">
        <v>1724</v>
      </c>
      <c r="C1847" s="163">
        <v>1730</v>
      </c>
      <c r="D1847" s="95" t="s">
        <v>1725</v>
      </c>
      <c r="E1847" s="142">
        <v>0.24596666666666667</v>
      </c>
      <c r="F1847" s="4" t="s">
        <v>3065</v>
      </c>
      <c r="G1847" s="4" t="s">
        <v>3065</v>
      </c>
      <c r="H1847" s="4" t="str">
        <f t="shared" si="31"/>
        <v>No</v>
      </c>
      <c r="I1847" s="56"/>
    </row>
    <row r="1848" spans="1:9">
      <c r="A1848" s="97" t="s">
        <v>2480</v>
      </c>
      <c r="B1848" s="97" t="s">
        <v>1724</v>
      </c>
      <c r="C1848" s="163">
        <v>2428</v>
      </c>
      <c r="D1848" s="95" t="s">
        <v>1727</v>
      </c>
      <c r="E1848" s="142">
        <v>0.20713333333333331</v>
      </c>
      <c r="F1848" s="4" t="s">
        <v>3065</v>
      </c>
      <c r="G1848" s="4" t="s">
        <v>3065</v>
      </c>
      <c r="H1848" s="4" t="str">
        <f t="shared" si="31"/>
        <v>No</v>
      </c>
      <c r="I1848" s="56"/>
    </row>
    <row r="1849" spans="1:9">
      <c r="A1849" s="97" t="s">
        <v>2480</v>
      </c>
      <c r="B1849" s="97" t="s">
        <v>1724</v>
      </c>
      <c r="C1849" s="163">
        <v>4383</v>
      </c>
      <c r="D1849" s="95" t="s">
        <v>1736</v>
      </c>
      <c r="E1849" s="142">
        <v>8.6000000000000007E-2</v>
      </c>
      <c r="F1849" s="4" t="s">
        <v>3065</v>
      </c>
      <c r="G1849" s="4" t="s">
        <v>3065</v>
      </c>
      <c r="H1849" s="4" t="str">
        <f t="shared" si="31"/>
        <v>No</v>
      </c>
      <c r="I1849" s="56"/>
    </row>
    <row r="1850" spans="1:9">
      <c r="A1850" s="97" t="s">
        <v>2480</v>
      </c>
      <c r="B1850" s="97" t="s">
        <v>1724</v>
      </c>
      <c r="C1850" s="163">
        <v>4145</v>
      </c>
      <c r="D1850" s="95" t="s">
        <v>1732</v>
      </c>
      <c r="E1850" s="142">
        <v>0.15743333333333331</v>
      </c>
      <c r="F1850" s="4" t="s">
        <v>3065</v>
      </c>
      <c r="G1850" s="4" t="s">
        <v>3065</v>
      </c>
      <c r="H1850" s="4" t="str">
        <f t="shared" si="31"/>
        <v>No</v>
      </c>
      <c r="I1850" s="56"/>
    </row>
    <row r="1851" spans="1:9">
      <c r="A1851" s="97" t="s">
        <v>2361</v>
      </c>
      <c r="B1851" s="97" t="s">
        <v>832</v>
      </c>
      <c r="C1851" s="163">
        <v>5015</v>
      </c>
      <c r="D1851" s="95" t="s">
        <v>840</v>
      </c>
      <c r="E1851" s="142">
        <v>2.4966666666666665E-2</v>
      </c>
      <c r="F1851" s="4" t="s">
        <v>3065</v>
      </c>
      <c r="G1851" s="4" t="s">
        <v>3065</v>
      </c>
      <c r="H1851" s="4" t="str">
        <f t="shared" si="31"/>
        <v>No</v>
      </c>
      <c r="I1851" s="56"/>
    </row>
    <row r="1852" spans="1:9">
      <c r="A1852" s="97" t="s">
        <v>2361</v>
      </c>
      <c r="B1852" s="97" t="s">
        <v>832</v>
      </c>
      <c r="C1852" s="163">
        <v>4397</v>
      </c>
      <c r="D1852" s="95" t="s">
        <v>839</v>
      </c>
      <c r="E1852" s="142">
        <v>7.3033333333333339E-2</v>
      </c>
      <c r="F1852" s="4" t="s">
        <v>3065</v>
      </c>
      <c r="G1852" s="4" t="s">
        <v>3065</v>
      </c>
      <c r="H1852" s="4" t="str">
        <f t="shared" si="31"/>
        <v>No</v>
      </c>
      <c r="I1852" s="56"/>
    </row>
    <row r="1853" spans="1:9">
      <c r="A1853" s="97" t="s">
        <v>2361</v>
      </c>
      <c r="B1853" s="97" t="s">
        <v>832</v>
      </c>
      <c r="C1853" s="163">
        <v>4308</v>
      </c>
      <c r="D1853" s="95" t="s">
        <v>838</v>
      </c>
      <c r="E1853" s="142">
        <v>0.10476666666666667</v>
      </c>
      <c r="F1853" s="4" t="s">
        <v>3065</v>
      </c>
      <c r="G1853" s="4" t="s">
        <v>3065</v>
      </c>
      <c r="H1853" s="4" t="str">
        <f t="shared" si="31"/>
        <v>No</v>
      </c>
      <c r="I1853" s="56"/>
    </row>
    <row r="1854" spans="1:9">
      <c r="A1854" s="97" t="s">
        <v>2361</v>
      </c>
      <c r="B1854" s="97" t="s">
        <v>832</v>
      </c>
      <c r="C1854" s="163">
        <v>2222</v>
      </c>
      <c r="D1854" s="95" t="s">
        <v>834</v>
      </c>
      <c r="E1854" s="142">
        <v>9.3266666666666664E-2</v>
      </c>
      <c r="F1854" s="4" t="s">
        <v>3065</v>
      </c>
      <c r="G1854" s="4" t="s">
        <v>3065</v>
      </c>
      <c r="H1854" s="4" t="str">
        <f t="shared" si="31"/>
        <v>No</v>
      </c>
      <c r="I1854" s="56"/>
    </row>
    <row r="1855" spans="1:9">
      <c r="A1855" s="97" t="s">
        <v>2361</v>
      </c>
      <c r="B1855" s="97" t="s">
        <v>832</v>
      </c>
      <c r="C1855" s="163">
        <v>2850</v>
      </c>
      <c r="D1855" s="95" t="s">
        <v>837</v>
      </c>
      <c r="E1855" s="142">
        <v>9.6700000000000008E-2</v>
      </c>
      <c r="F1855" s="4" t="s">
        <v>3065</v>
      </c>
      <c r="G1855" s="4" t="s">
        <v>3065</v>
      </c>
      <c r="H1855" s="4" t="str">
        <f t="shared" si="31"/>
        <v>No</v>
      </c>
      <c r="I1855" s="56"/>
    </row>
    <row r="1856" spans="1:9">
      <c r="A1856" s="97" t="s">
        <v>2361</v>
      </c>
      <c r="B1856" s="97" t="s">
        <v>832</v>
      </c>
      <c r="C1856" s="163">
        <v>2287</v>
      </c>
      <c r="D1856" s="95" t="s">
        <v>835</v>
      </c>
      <c r="E1856" s="142">
        <v>0.14643333333333333</v>
      </c>
      <c r="F1856" s="4" t="s">
        <v>3065</v>
      </c>
      <c r="G1856" s="4" t="s">
        <v>3065</v>
      </c>
      <c r="H1856" s="4" t="str">
        <f t="shared" si="31"/>
        <v>No</v>
      </c>
      <c r="I1856" s="56"/>
    </row>
    <row r="1857" spans="1:9">
      <c r="A1857" s="97" t="s">
        <v>2361</v>
      </c>
      <c r="B1857" s="97" t="s">
        <v>832</v>
      </c>
      <c r="C1857" s="163">
        <v>5181</v>
      </c>
      <c r="D1857" s="95" t="s">
        <v>842</v>
      </c>
      <c r="E1857" s="142">
        <v>0</v>
      </c>
      <c r="F1857" s="4" t="s">
        <v>3065</v>
      </c>
      <c r="G1857" s="4" t="s">
        <v>3065</v>
      </c>
      <c r="H1857" s="4" t="str">
        <f t="shared" si="31"/>
        <v>No</v>
      </c>
      <c r="I1857" s="56"/>
    </row>
    <row r="1858" spans="1:9">
      <c r="A1858" s="97" t="s">
        <v>2361</v>
      </c>
      <c r="B1858" s="97" t="s">
        <v>832</v>
      </c>
      <c r="C1858" s="163">
        <v>2288</v>
      </c>
      <c r="D1858" s="95" t="s">
        <v>836</v>
      </c>
      <c r="E1858" s="142">
        <v>0.12906666666666666</v>
      </c>
      <c r="F1858" s="4" t="s">
        <v>3065</v>
      </c>
      <c r="G1858" s="4" t="s">
        <v>3065</v>
      </c>
      <c r="H1858" s="4" t="str">
        <f t="shared" si="31"/>
        <v>No</v>
      </c>
      <c r="I1858" s="56"/>
    </row>
    <row r="1859" spans="1:9">
      <c r="A1859" s="97" t="s">
        <v>2361</v>
      </c>
      <c r="B1859" s="97" t="s">
        <v>832</v>
      </c>
      <c r="C1859" s="163">
        <v>2124</v>
      </c>
      <c r="D1859" s="95" t="s">
        <v>2827</v>
      </c>
      <c r="E1859" s="142">
        <v>8.9099999999999999E-2</v>
      </c>
      <c r="F1859" s="4" t="s">
        <v>3065</v>
      </c>
      <c r="G1859" s="4" t="s">
        <v>3065</v>
      </c>
      <c r="H1859" s="4" t="str">
        <f t="shared" ref="H1859:H1922" si="32">IFERROR(IF(AND(G1859="Yes",F1859="No"),"Yes","No"),"No")</f>
        <v>No</v>
      </c>
      <c r="I1859" s="56"/>
    </row>
    <row r="1860" spans="1:9">
      <c r="A1860" s="97" t="s">
        <v>2361</v>
      </c>
      <c r="B1860" s="97" t="s">
        <v>832</v>
      </c>
      <c r="C1860" s="163">
        <v>5296</v>
      </c>
      <c r="D1860" s="95" t="s">
        <v>843</v>
      </c>
      <c r="E1860" s="142">
        <v>5.4699999999999992E-2</v>
      </c>
      <c r="F1860" s="4" t="s">
        <v>3065</v>
      </c>
      <c r="G1860" s="4" t="s">
        <v>3065</v>
      </c>
      <c r="H1860" s="4" t="str">
        <f t="shared" si="32"/>
        <v>No</v>
      </c>
      <c r="I1860" s="56"/>
    </row>
    <row r="1861" spans="1:9">
      <c r="A1861" s="97" t="s">
        <v>2361</v>
      </c>
      <c r="B1861" s="97" t="s">
        <v>832</v>
      </c>
      <c r="C1861" s="163">
        <v>5374</v>
      </c>
      <c r="D1861" s="95" t="s">
        <v>844</v>
      </c>
      <c r="E1861" s="142">
        <v>0.35196666666666671</v>
      </c>
      <c r="F1861" s="4" t="s">
        <v>3065</v>
      </c>
      <c r="G1861" s="4" t="s">
        <v>3065</v>
      </c>
      <c r="H1861" s="4" t="str">
        <f t="shared" si="32"/>
        <v>No</v>
      </c>
      <c r="I1861" s="56"/>
    </row>
    <row r="1862" spans="1:9">
      <c r="A1862" s="97" t="s">
        <v>2361</v>
      </c>
      <c r="B1862" s="97" t="s">
        <v>832</v>
      </c>
      <c r="C1862" s="163">
        <v>5457</v>
      </c>
      <c r="D1862" s="95" t="s">
        <v>845</v>
      </c>
      <c r="E1862" s="142">
        <v>6.1400000000000003E-2</v>
      </c>
      <c r="F1862" s="4" t="s">
        <v>3065</v>
      </c>
      <c r="G1862" s="4" t="s">
        <v>3065</v>
      </c>
      <c r="H1862" s="4" t="str">
        <f t="shared" si="32"/>
        <v>No</v>
      </c>
      <c r="I1862" s="56"/>
    </row>
    <row r="1863" spans="1:9">
      <c r="A1863" s="97" t="s">
        <v>2361</v>
      </c>
      <c r="B1863" s="97" t="s">
        <v>832</v>
      </c>
      <c r="C1863" s="163">
        <v>5135</v>
      </c>
      <c r="D1863" s="95" t="s">
        <v>841</v>
      </c>
      <c r="E1863" s="142">
        <v>0.15806666666666666</v>
      </c>
      <c r="F1863" s="4" t="s">
        <v>3065</v>
      </c>
      <c r="G1863" s="4" t="s">
        <v>3065</v>
      </c>
      <c r="H1863" s="4" t="str">
        <f t="shared" si="32"/>
        <v>No</v>
      </c>
      <c r="I1863" s="56"/>
    </row>
    <row r="1864" spans="1:9">
      <c r="A1864" s="97" t="s">
        <v>2361</v>
      </c>
      <c r="B1864" s="97" t="s">
        <v>832</v>
      </c>
      <c r="C1864" s="163">
        <v>1502</v>
      </c>
      <c r="D1864" s="95" t="s">
        <v>833</v>
      </c>
      <c r="E1864" s="142">
        <v>0.13133333333333333</v>
      </c>
      <c r="F1864" s="4" t="s">
        <v>3065</v>
      </c>
      <c r="G1864" s="4" t="s">
        <v>3065</v>
      </c>
      <c r="H1864" s="4" t="str">
        <f t="shared" si="32"/>
        <v>No</v>
      </c>
      <c r="I1864" s="56"/>
    </row>
    <row r="1865" spans="1:9">
      <c r="A1865" s="97" t="s">
        <v>2321</v>
      </c>
      <c r="B1865" s="97" t="s">
        <v>428</v>
      </c>
      <c r="C1865" s="163">
        <v>1518</v>
      </c>
      <c r="D1865" s="95" t="s">
        <v>2928</v>
      </c>
      <c r="E1865" s="142">
        <v>0.67659999999999998</v>
      </c>
      <c r="F1865" s="4" t="s">
        <v>2752</v>
      </c>
      <c r="G1865" s="4" t="s">
        <v>2752</v>
      </c>
      <c r="H1865" s="4" t="str">
        <f t="shared" si="32"/>
        <v>No</v>
      </c>
      <c r="I1865" s="56"/>
    </row>
    <row r="1866" spans="1:9">
      <c r="A1866" s="97" t="s">
        <v>2321</v>
      </c>
      <c r="B1866" s="97" t="s">
        <v>428</v>
      </c>
      <c r="C1866" s="163">
        <v>2694</v>
      </c>
      <c r="D1866" s="95" t="s">
        <v>429</v>
      </c>
      <c r="E1866" s="142">
        <v>0.88719999999999999</v>
      </c>
      <c r="F1866" s="4" t="s">
        <v>2752</v>
      </c>
      <c r="G1866" s="4" t="s">
        <v>2752</v>
      </c>
      <c r="H1866" s="4" t="str">
        <f t="shared" si="32"/>
        <v>No</v>
      </c>
      <c r="I1866" s="56"/>
    </row>
    <row r="1867" spans="1:9">
      <c r="A1867" s="97" t="s">
        <v>2321</v>
      </c>
      <c r="B1867" s="97" t="s">
        <v>428</v>
      </c>
      <c r="C1867" s="163">
        <v>3089</v>
      </c>
      <c r="D1867" s="95" t="s">
        <v>430</v>
      </c>
      <c r="E1867" s="142">
        <v>0.85049999999999992</v>
      </c>
      <c r="F1867" s="4" t="s">
        <v>2752</v>
      </c>
      <c r="G1867" s="4" t="s">
        <v>2752</v>
      </c>
      <c r="H1867" s="4" t="str">
        <f t="shared" si="32"/>
        <v>No</v>
      </c>
      <c r="I1867" s="56"/>
    </row>
    <row r="1868" spans="1:9">
      <c r="A1868" s="97" t="s">
        <v>2431</v>
      </c>
      <c r="B1868" s="97" t="s">
        <v>1270</v>
      </c>
      <c r="C1868" s="163">
        <v>2804</v>
      </c>
      <c r="D1868" s="95" t="s">
        <v>2929</v>
      </c>
      <c r="E1868" s="142">
        <v>0.75363333333333327</v>
      </c>
      <c r="F1868" s="4" t="s">
        <v>2752</v>
      </c>
      <c r="G1868" s="4" t="s">
        <v>2752</v>
      </c>
      <c r="H1868" s="4" t="str">
        <f t="shared" si="32"/>
        <v>No</v>
      </c>
      <c r="I1868" s="56"/>
    </row>
    <row r="1869" spans="1:9">
      <c r="A1869" s="97" t="s">
        <v>2431</v>
      </c>
      <c r="B1869" s="97" t="s">
        <v>1270</v>
      </c>
      <c r="C1869" s="163">
        <v>5243</v>
      </c>
      <c r="D1869" s="95" t="s">
        <v>2930</v>
      </c>
      <c r="E1869" s="142">
        <v>0.30303333333333332</v>
      </c>
      <c r="F1869" s="4" t="s">
        <v>3065</v>
      </c>
      <c r="G1869" s="4" t="s">
        <v>3065</v>
      </c>
      <c r="H1869" s="4" t="str">
        <f t="shared" si="32"/>
        <v>No</v>
      </c>
      <c r="I1869" s="56"/>
    </row>
    <row r="1870" spans="1:9">
      <c r="A1870" s="97" t="s">
        <v>2431</v>
      </c>
      <c r="B1870" s="97" t="s">
        <v>1270</v>
      </c>
      <c r="C1870" s="163">
        <v>2214</v>
      </c>
      <c r="D1870" s="95" t="s">
        <v>1271</v>
      </c>
      <c r="E1870" s="142">
        <v>0.69186666666666652</v>
      </c>
      <c r="F1870" s="4" t="s">
        <v>2752</v>
      </c>
      <c r="G1870" s="4" t="s">
        <v>2752</v>
      </c>
      <c r="H1870" s="4" t="str">
        <f t="shared" si="32"/>
        <v>No</v>
      </c>
      <c r="I1870" s="56"/>
    </row>
    <row r="1871" spans="1:9">
      <c r="A1871" s="97" t="s">
        <v>2375</v>
      </c>
      <c r="B1871" s="97" t="s">
        <v>1068</v>
      </c>
      <c r="C1871" s="163">
        <v>4029</v>
      </c>
      <c r="D1871" s="95" t="s">
        <v>1076</v>
      </c>
      <c r="E1871" s="142">
        <v>0.32073333333333337</v>
      </c>
      <c r="F1871" s="4" t="s">
        <v>3065</v>
      </c>
      <c r="G1871" s="4" t="s">
        <v>3065</v>
      </c>
      <c r="H1871" s="4" t="str">
        <f t="shared" si="32"/>
        <v>No</v>
      </c>
      <c r="I1871" s="56"/>
    </row>
    <row r="1872" spans="1:9">
      <c r="A1872" s="97" t="s">
        <v>2375</v>
      </c>
      <c r="B1872" s="97" t="s">
        <v>1068</v>
      </c>
      <c r="C1872" s="163">
        <v>3680</v>
      </c>
      <c r="D1872" s="95" t="s">
        <v>967</v>
      </c>
      <c r="E1872" s="142">
        <v>0.39460000000000001</v>
      </c>
      <c r="F1872" s="4" t="s">
        <v>3065</v>
      </c>
      <c r="G1872" s="4" t="s">
        <v>3065</v>
      </c>
      <c r="H1872" s="4" t="str">
        <f t="shared" si="32"/>
        <v>No</v>
      </c>
      <c r="I1872" s="56"/>
    </row>
    <row r="1873" spans="1:9">
      <c r="A1873" s="97" t="s">
        <v>2375</v>
      </c>
      <c r="B1873" s="97" t="s">
        <v>1068</v>
      </c>
      <c r="C1873" s="163">
        <v>3899</v>
      </c>
      <c r="D1873" s="95" t="s">
        <v>1075</v>
      </c>
      <c r="E1873" s="142">
        <v>0.62629999999999997</v>
      </c>
      <c r="F1873" s="4" t="s">
        <v>2752</v>
      </c>
      <c r="G1873" s="4" t="s">
        <v>2752</v>
      </c>
      <c r="H1873" s="4" t="str">
        <f t="shared" si="32"/>
        <v>No</v>
      </c>
      <c r="I1873" s="56"/>
    </row>
    <row r="1874" spans="1:9">
      <c r="A1874" s="97" t="s">
        <v>2375</v>
      </c>
      <c r="B1874" s="97" t="s">
        <v>1068</v>
      </c>
      <c r="C1874" s="163">
        <v>2641</v>
      </c>
      <c r="D1874" s="95" t="s">
        <v>1071</v>
      </c>
      <c r="E1874" s="142">
        <v>0.53313333333333335</v>
      </c>
      <c r="F1874" s="4" t="s">
        <v>2752</v>
      </c>
      <c r="G1874" s="4" t="s">
        <v>2752</v>
      </c>
      <c r="H1874" s="4" t="str">
        <f t="shared" si="32"/>
        <v>No</v>
      </c>
      <c r="I1874" s="56"/>
    </row>
    <row r="1875" spans="1:9">
      <c r="A1875" s="97" t="s">
        <v>2375</v>
      </c>
      <c r="B1875" s="97" t="s">
        <v>1068</v>
      </c>
      <c r="C1875" s="163">
        <v>1718</v>
      </c>
      <c r="D1875" s="95" t="s">
        <v>1069</v>
      </c>
      <c r="E1875" s="142">
        <v>0.2964</v>
      </c>
      <c r="F1875" s="4" t="s">
        <v>3065</v>
      </c>
      <c r="G1875" s="4" t="s">
        <v>3065</v>
      </c>
      <c r="H1875" s="4" t="str">
        <f t="shared" si="32"/>
        <v>No</v>
      </c>
      <c r="I1875" s="56"/>
    </row>
    <row r="1876" spans="1:9">
      <c r="A1876" s="97" t="s">
        <v>2375</v>
      </c>
      <c r="B1876" s="97" t="s">
        <v>1068</v>
      </c>
      <c r="C1876" s="163">
        <v>4348</v>
      </c>
      <c r="D1876" s="95" t="s">
        <v>1078</v>
      </c>
      <c r="E1876" s="142">
        <v>0.36513333333333337</v>
      </c>
      <c r="F1876" s="4" t="s">
        <v>3065</v>
      </c>
      <c r="G1876" s="4" t="s">
        <v>3065</v>
      </c>
      <c r="H1876" s="4" t="str">
        <f t="shared" si="32"/>
        <v>No</v>
      </c>
      <c r="I1876" s="56"/>
    </row>
    <row r="1877" spans="1:9">
      <c r="A1877" s="97" t="s">
        <v>2375</v>
      </c>
      <c r="B1877" s="97" t="s">
        <v>1068</v>
      </c>
      <c r="C1877" s="163">
        <v>4142</v>
      </c>
      <c r="D1877" s="95" t="s">
        <v>2931</v>
      </c>
      <c r="E1877" s="142">
        <v>0.3004</v>
      </c>
      <c r="F1877" s="4" t="s">
        <v>3065</v>
      </c>
      <c r="G1877" s="4" t="s">
        <v>3065</v>
      </c>
      <c r="H1877" s="4" t="str">
        <f t="shared" si="32"/>
        <v>No</v>
      </c>
      <c r="I1877" s="56"/>
    </row>
    <row r="1878" spans="1:9">
      <c r="A1878" s="97" t="s">
        <v>2375</v>
      </c>
      <c r="B1878" s="97" t="s">
        <v>1068</v>
      </c>
      <c r="C1878" s="163">
        <v>4079</v>
      </c>
      <c r="D1878" s="95" t="s">
        <v>1077</v>
      </c>
      <c r="E1878" s="142">
        <v>0.33583333333333337</v>
      </c>
      <c r="F1878" s="4" t="s">
        <v>3065</v>
      </c>
      <c r="G1878" s="4" t="s">
        <v>3065</v>
      </c>
      <c r="H1878" s="4" t="str">
        <f t="shared" si="32"/>
        <v>No</v>
      </c>
      <c r="I1878" s="56"/>
    </row>
    <row r="1879" spans="1:9">
      <c r="A1879" s="97" t="s">
        <v>2375</v>
      </c>
      <c r="B1879" s="97" t="s">
        <v>1068</v>
      </c>
      <c r="C1879" s="163">
        <v>3046</v>
      </c>
      <c r="D1879" s="95" t="s">
        <v>2932</v>
      </c>
      <c r="E1879" s="142">
        <v>0.4719666666666667</v>
      </c>
      <c r="F1879" s="4" t="s">
        <v>3065</v>
      </c>
      <c r="G1879" s="4" t="s">
        <v>3065</v>
      </c>
      <c r="H1879" s="4" t="str">
        <f t="shared" si="32"/>
        <v>No</v>
      </c>
      <c r="I1879" s="56"/>
    </row>
    <row r="1880" spans="1:9">
      <c r="A1880" s="97" t="s">
        <v>2375</v>
      </c>
      <c r="B1880" s="97" t="s">
        <v>1068</v>
      </c>
      <c r="C1880" s="163">
        <v>4350</v>
      </c>
      <c r="D1880" s="95" t="s">
        <v>1080</v>
      </c>
      <c r="E1880" s="142">
        <v>0.26006666666666667</v>
      </c>
      <c r="F1880" s="4" t="s">
        <v>3065</v>
      </c>
      <c r="G1880" s="4" t="s">
        <v>3065</v>
      </c>
      <c r="H1880" s="4" t="str">
        <f t="shared" si="32"/>
        <v>No</v>
      </c>
      <c r="I1880" s="56"/>
    </row>
    <row r="1881" spans="1:9">
      <c r="A1881" s="97" t="s">
        <v>2375</v>
      </c>
      <c r="B1881" s="97" t="s">
        <v>1068</v>
      </c>
      <c r="C1881" s="163">
        <v>2995</v>
      </c>
      <c r="D1881" s="95" t="s">
        <v>1073</v>
      </c>
      <c r="E1881" s="142">
        <v>0.32580000000000003</v>
      </c>
      <c r="F1881" s="4" t="s">
        <v>3065</v>
      </c>
      <c r="G1881" s="4" t="s">
        <v>3065</v>
      </c>
      <c r="H1881" s="4" t="str">
        <f t="shared" si="32"/>
        <v>No</v>
      </c>
      <c r="I1881" s="56"/>
    </row>
    <row r="1882" spans="1:9">
      <c r="A1882" s="97" t="s">
        <v>2375</v>
      </c>
      <c r="B1882" s="97" t="s">
        <v>1068</v>
      </c>
      <c r="C1882" s="163">
        <v>2650</v>
      </c>
      <c r="D1882" s="95" t="s">
        <v>1072</v>
      </c>
      <c r="E1882" s="142">
        <v>0.42709999999999998</v>
      </c>
      <c r="F1882" s="4" t="s">
        <v>3065</v>
      </c>
      <c r="G1882" s="4" t="s">
        <v>3065</v>
      </c>
      <c r="H1882" s="4" t="str">
        <f t="shared" si="32"/>
        <v>No</v>
      </c>
      <c r="I1882" s="56"/>
    </row>
    <row r="1883" spans="1:9">
      <c r="A1883" s="97" t="s">
        <v>2375</v>
      </c>
      <c r="B1883" s="97" t="s">
        <v>1068</v>
      </c>
      <c r="C1883" s="163">
        <v>5562</v>
      </c>
      <c r="D1883" s="95" t="s">
        <v>2830</v>
      </c>
      <c r="E1883" s="142">
        <v>6.2666666666666669E-3</v>
      </c>
      <c r="F1883" s="4" t="s">
        <v>3065</v>
      </c>
      <c r="G1883" s="4" t="s">
        <v>3065</v>
      </c>
      <c r="H1883" s="4" t="str">
        <f t="shared" si="32"/>
        <v>No</v>
      </c>
      <c r="I1883" s="56"/>
    </row>
    <row r="1884" spans="1:9">
      <c r="A1884" s="97" t="s">
        <v>2375</v>
      </c>
      <c r="B1884" s="97" t="s">
        <v>1068</v>
      </c>
      <c r="C1884" s="163">
        <v>4349</v>
      </c>
      <c r="D1884" s="95" t="s">
        <v>1079</v>
      </c>
      <c r="E1884" s="142">
        <v>0.40529999999999999</v>
      </c>
      <c r="F1884" s="4" t="s">
        <v>3065</v>
      </c>
      <c r="G1884" s="4" t="s">
        <v>3065</v>
      </c>
      <c r="H1884" s="4" t="str">
        <f t="shared" si="32"/>
        <v>No</v>
      </c>
      <c r="I1884" s="56"/>
    </row>
    <row r="1885" spans="1:9">
      <c r="A1885" s="97" t="s">
        <v>2375</v>
      </c>
      <c r="B1885" s="97" t="s">
        <v>1068</v>
      </c>
      <c r="C1885" s="163">
        <v>3110</v>
      </c>
      <c r="D1885" s="95" t="s">
        <v>1074</v>
      </c>
      <c r="E1885" s="142">
        <v>0.23339999999999997</v>
      </c>
      <c r="F1885" s="4" t="s">
        <v>3065</v>
      </c>
      <c r="G1885" s="4" t="s">
        <v>3065</v>
      </c>
      <c r="H1885" s="4" t="str">
        <f t="shared" si="32"/>
        <v>No</v>
      </c>
      <c r="I1885" s="56"/>
    </row>
    <row r="1886" spans="1:9">
      <c r="A1886" s="97" t="s">
        <v>2375</v>
      </c>
      <c r="B1886" s="97" t="s">
        <v>1068</v>
      </c>
      <c r="C1886" s="163">
        <v>2272</v>
      </c>
      <c r="D1886" s="95" t="s">
        <v>1070</v>
      </c>
      <c r="E1886" s="142">
        <v>0.33383333333333337</v>
      </c>
      <c r="F1886" s="4" t="s">
        <v>3065</v>
      </c>
      <c r="G1886" s="4" t="s">
        <v>3065</v>
      </c>
      <c r="H1886" s="4" t="str">
        <f t="shared" si="32"/>
        <v>No</v>
      </c>
      <c r="I1886" s="56"/>
    </row>
    <row r="1887" spans="1:9">
      <c r="A1887" s="97" t="s">
        <v>2375</v>
      </c>
      <c r="B1887" s="97" t="s">
        <v>1068</v>
      </c>
      <c r="C1887" s="163">
        <v>4141</v>
      </c>
      <c r="D1887" s="95" t="s">
        <v>128</v>
      </c>
      <c r="E1887" s="142">
        <v>0.27726666666666661</v>
      </c>
      <c r="F1887" s="4" t="s">
        <v>3065</v>
      </c>
      <c r="G1887" s="4" t="s">
        <v>3065</v>
      </c>
      <c r="H1887" s="4" t="str">
        <f t="shared" si="32"/>
        <v>No</v>
      </c>
      <c r="I1887" s="56"/>
    </row>
    <row r="1888" spans="1:9">
      <c r="A1888" s="97" t="s">
        <v>2342</v>
      </c>
      <c r="B1888" s="97" t="s">
        <v>527</v>
      </c>
      <c r="C1888" s="163">
        <v>1682</v>
      </c>
      <c r="D1888" s="95" t="s">
        <v>528</v>
      </c>
      <c r="E1888" s="142">
        <v>0.5528333333333334</v>
      </c>
      <c r="F1888" s="4" t="s">
        <v>2752</v>
      </c>
      <c r="G1888" s="4" t="s">
        <v>2752</v>
      </c>
      <c r="H1888" s="4" t="str">
        <f t="shared" si="32"/>
        <v>No</v>
      </c>
      <c r="I1888" s="56"/>
    </row>
    <row r="1889" spans="1:9">
      <c r="A1889" s="97" t="s">
        <v>2342</v>
      </c>
      <c r="B1889" s="97" t="s">
        <v>527</v>
      </c>
      <c r="C1889" s="163">
        <v>4321</v>
      </c>
      <c r="D1889" s="95" t="s">
        <v>531</v>
      </c>
      <c r="E1889" s="142">
        <v>0.28453333333333336</v>
      </c>
      <c r="F1889" s="4" t="s">
        <v>3065</v>
      </c>
      <c r="G1889" s="4" t="s">
        <v>3065</v>
      </c>
      <c r="H1889" s="4" t="str">
        <f t="shared" si="32"/>
        <v>No</v>
      </c>
      <c r="I1889" s="56"/>
    </row>
    <row r="1890" spans="1:9">
      <c r="A1890" s="97" t="s">
        <v>2342</v>
      </c>
      <c r="B1890" s="97" t="s">
        <v>527</v>
      </c>
      <c r="C1890" s="163">
        <v>4149</v>
      </c>
      <c r="D1890" s="95" t="s">
        <v>530</v>
      </c>
      <c r="E1890" s="142">
        <v>0.22823333333333332</v>
      </c>
      <c r="F1890" s="4" t="s">
        <v>3065</v>
      </c>
      <c r="G1890" s="4" t="s">
        <v>3065</v>
      </c>
      <c r="H1890" s="4" t="str">
        <f t="shared" si="32"/>
        <v>No</v>
      </c>
      <c r="I1890" s="56"/>
    </row>
    <row r="1891" spans="1:9">
      <c r="A1891" s="97" t="s">
        <v>2342</v>
      </c>
      <c r="B1891" s="97" t="s">
        <v>527</v>
      </c>
      <c r="C1891" s="163">
        <v>2511</v>
      </c>
      <c r="D1891" s="95" t="s">
        <v>529</v>
      </c>
      <c r="E1891" s="142">
        <v>0.28509999999999996</v>
      </c>
      <c r="F1891" s="4" t="s">
        <v>3065</v>
      </c>
      <c r="G1891" s="4" t="s">
        <v>3065</v>
      </c>
      <c r="H1891" s="4" t="str">
        <f t="shared" si="32"/>
        <v>No</v>
      </c>
      <c r="I1891" s="56"/>
    </row>
    <row r="1892" spans="1:9">
      <c r="A1892" s="97" t="s">
        <v>2342</v>
      </c>
      <c r="B1892" s="97" t="s">
        <v>527</v>
      </c>
      <c r="C1892" s="163">
        <v>1683</v>
      </c>
      <c r="D1892" s="95" t="s">
        <v>3047</v>
      </c>
      <c r="E1892" s="142">
        <v>0</v>
      </c>
      <c r="F1892" s="4" t="s">
        <v>3065</v>
      </c>
      <c r="G1892" s="4" t="s">
        <v>3065</v>
      </c>
      <c r="H1892" s="4" t="str">
        <f t="shared" si="32"/>
        <v>No</v>
      </c>
      <c r="I1892" s="56"/>
    </row>
    <row r="1893" spans="1:9">
      <c r="A1893" s="97" t="s">
        <v>2414</v>
      </c>
      <c r="B1893" s="97" t="s">
        <v>1204</v>
      </c>
      <c r="C1893" s="163">
        <v>2744</v>
      </c>
      <c r="D1893" s="95" t="s">
        <v>1205</v>
      </c>
      <c r="E1893" s="142">
        <v>0.40516666666666667</v>
      </c>
      <c r="F1893" s="4" t="s">
        <v>3065</v>
      </c>
      <c r="G1893" s="4" t="s">
        <v>3065</v>
      </c>
      <c r="H1893" s="4" t="str">
        <f t="shared" si="32"/>
        <v>No</v>
      </c>
      <c r="I1893" s="56"/>
    </row>
    <row r="1894" spans="1:9">
      <c r="A1894" s="97" t="s">
        <v>2501</v>
      </c>
      <c r="B1894" s="97" t="s">
        <v>1921</v>
      </c>
      <c r="C1894" s="163">
        <v>5381</v>
      </c>
      <c r="D1894" s="95" t="s">
        <v>1921</v>
      </c>
      <c r="E1894" s="142">
        <v>0.47473333333333328</v>
      </c>
      <c r="F1894" s="4" t="s">
        <v>3065</v>
      </c>
      <c r="G1894" s="4" t="s">
        <v>3065</v>
      </c>
      <c r="H1894" s="4" t="str">
        <f t="shared" si="32"/>
        <v>No</v>
      </c>
      <c r="I1894" s="56"/>
    </row>
    <row r="1895" spans="1:9">
      <c r="A1895" s="97" t="s">
        <v>2486</v>
      </c>
      <c r="B1895" s="97" t="s">
        <v>1773</v>
      </c>
      <c r="C1895" s="163">
        <v>1533</v>
      </c>
      <c r="D1895" s="95" t="s">
        <v>1774</v>
      </c>
      <c r="E1895" s="142">
        <v>0.78359999999999996</v>
      </c>
      <c r="F1895" s="4" t="s">
        <v>2752</v>
      </c>
      <c r="G1895" s="4" t="s">
        <v>2752</v>
      </c>
      <c r="H1895" s="4" t="str">
        <f t="shared" si="32"/>
        <v>No</v>
      </c>
      <c r="I1895" s="56"/>
    </row>
    <row r="1896" spans="1:9">
      <c r="A1896" s="97" t="s">
        <v>2486</v>
      </c>
      <c r="B1896" s="97" t="s">
        <v>1773</v>
      </c>
      <c r="C1896" s="163">
        <v>2156</v>
      </c>
      <c r="D1896" s="95" t="s">
        <v>1788</v>
      </c>
      <c r="E1896" s="142">
        <v>0.68230000000000002</v>
      </c>
      <c r="F1896" s="4" t="s">
        <v>2752</v>
      </c>
      <c r="G1896" s="4" t="s">
        <v>2752</v>
      </c>
      <c r="H1896" s="4" t="str">
        <f t="shared" si="32"/>
        <v>No</v>
      </c>
      <c r="I1896" s="56"/>
    </row>
    <row r="1897" spans="1:9">
      <c r="A1897" s="97" t="s">
        <v>2486</v>
      </c>
      <c r="B1897" s="97" t="s">
        <v>1773</v>
      </c>
      <c r="C1897" s="163">
        <v>1604</v>
      </c>
      <c r="D1897" s="95" t="s">
        <v>1776</v>
      </c>
      <c r="E1897" s="142">
        <v>0.36509999999999998</v>
      </c>
      <c r="F1897" s="4" t="s">
        <v>3065</v>
      </c>
      <c r="G1897" s="4" t="s">
        <v>2752</v>
      </c>
      <c r="H1897" s="4" t="str">
        <f t="shared" si="32"/>
        <v>Yes</v>
      </c>
      <c r="I1897" s="56"/>
    </row>
    <row r="1898" spans="1:9">
      <c r="A1898" s="97" t="s">
        <v>2486</v>
      </c>
      <c r="B1898" s="97" t="s">
        <v>1773</v>
      </c>
      <c r="C1898" s="163">
        <v>2381</v>
      </c>
      <c r="D1898" s="95" t="s">
        <v>1795</v>
      </c>
      <c r="E1898" s="142">
        <v>0.78149999999999997</v>
      </c>
      <c r="F1898" s="4" t="s">
        <v>2752</v>
      </c>
      <c r="G1898" s="4" t="s">
        <v>2752</v>
      </c>
      <c r="H1898" s="4" t="str">
        <f t="shared" si="32"/>
        <v>No</v>
      </c>
      <c r="I1898" s="56"/>
    </row>
    <row r="1899" spans="1:9">
      <c r="A1899" s="97" t="s">
        <v>2486</v>
      </c>
      <c r="B1899" s="97" t="s">
        <v>1773</v>
      </c>
      <c r="C1899" s="163">
        <v>2128</v>
      </c>
      <c r="D1899" s="95" t="s">
        <v>908</v>
      </c>
      <c r="E1899" s="142">
        <v>0.86076666666666668</v>
      </c>
      <c r="F1899" s="4" t="s">
        <v>2752</v>
      </c>
      <c r="G1899" s="4" t="s">
        <v>2752</v>
      </c>
      <c r="H1899" s="4" t="str">
        <f t="shared" si="32"/>
        <v>No</v>
      </c>
      <c r="I1899" s="56"/>
    </row>
    <row r="1900" spans="1:9">
      <c r="A1900" s="97" t="s">
        <v>2486</v>
      </c>
      <c r="B1900" s="97" t="s">
        <v>1773</v>
      </c>
      <c r="C1900" s="163">
        <v>3357</v>
      </c>
      <c r="D1900" s="95" t="s">
        <v>1807</v>
      </c>
      <c r="E1900" s="142">
        <v>0.42626666666666663</v>
      </c>
      <c r="F1900" s="4" t="s">
        <v>3065</v>
      </c>
      <c r="G1900" s="4" t="s">
        <v>3065</v>
      </c>
      <c r="H1900" s="4" t="str">
        <f t="shared" si="32"/>
        <v>No</v>
      </c>
      <c r="I1900" s="56"/>
    </row>
    <row r="1901" spans="1:9">
      <c r="A1901" s="97" t="s">
        <v>2486</v>
      </c>
      <c r="B1901" s="97" t="s">
        <v>1773</v>
      </c>
      <c r="C1901" s="163">
        <v>2155</v>
      </c>
      <c r="D1901" s="95" t="s">
        <v>1787</v>
      </c>
      <c r="E1901" s="142">
        <v>0.87063333333333326</v>
      </c>
      <c r="F1901" s="4" t="s">
        <v>2752</v>
      </c>
      <c r="G1901" s="4" t="s">
        <v>2752</v>
      </c>
      <c r="H1901" s="4" t="str">
        <f t="shared" si="32"/>
        <v>No</v>
      </c>
      <c r="I1901" s="56"/>
    </row>
    <row r="1902" spans="1:9">
      <c r="A1902" s="97" t="s">
        <v>2486</v>
      </c>
      <c r="B1902" s="97" t="s">
        <v>1773</v>
      </c>
      <c r="C1902" s="163">
        <v>2218</v>
      </c>
      <c r="D1902" s="95" t="s">
        <v>1791</v>
      </c>
      <c r="E1902" s="142">
        <v>0.62219999999999998</v>
      </c>
      <c r="F1902" s="4" t="s">
        <v>2752</v>
      </c>
      <c r="G1902" s="4" t="s">
        <v>2752</v>
      </c>
      <c r="H1902" s="4" t="str">
        <f t="shared" si="32"/>
        <v>No</v>
      </c>
      <c r="I1902" s="56"/>
    </row>
    <row r="1903" spans="1:9">
      <c r="A1903" s="97" t="s">
        <v>2486</v>
      </c>
      <c r="B1903" s="97" t="s">
        <v>1773</v>
      </c>
      <c r="C1903" s="163">
        <v>3008</v>
      </c>
      <c r="D1903" s="95" t="s">
        <v>1801</v>
      </c>
      <c r="E1903" s="142">
        <v>0.2629333333333333</v>
      </c>
      <c r="F1903" s="4" t="s">
        <v>3065</v>
      </c>
      <c r="G1903" s="4" t="s">
        <v>3065</v>
      </c>
      <c r="H1903" s="4" t="str">
        <f t="shared" si="32"/>
        <v>No</v>
      </c>
      <c r="I1903" s="56"/>
    </row>
    <row r="1904" spans="1:9">
      <c r="A1904" s="97" t="s">
        <v>2486</v>
      </c>
      <c r="B1904" s="97" t="s">
        <v>1773</v>
      </c>
      <c r="C1904" s="163">
        <v>4457</v>
      </c>
      <c r="D1904" s="95" t="s">
        <v>1817</v>
      </c>
      <c r="E1904" s="142">
        <v>0.53666666666666663</v>
      </c>
      <c r="F1904" s="4" t="s">
        <v>2752</v>
      </c>
      <c r="G1904" s="4" t="s">
        <v>2752</v>
      </c>
      <c r="H1904" s="4" t="str">
        <f t="shared" si="32"/>
        <v>No</v>
      </c>
      <c r="I1904" s="56"/>
    </row>
    <row r="1905" spans="1:9">
      <c r="A1905" s="97" t="s">
        <v>2486</v>
      </c>
      <c r="B1905" s="97" t="s">
        <v>1773</v>
      </c>
      <c r="C1905" s="163">
        <v>2129</v>
      </c>
      <c r="D1905" s="95" t="s">
        <v>1786</v>
      </c>
      <c r="E1905" s="142">
        <v>0.74529999999999996</v>
      </c>
      <c r="F1905" s="4" t="s">
        <v>2752</v>
      </c>
      <c r="G1905" s="4" t="s">
        <v>2752</v>
      </c>
      <c r="H1905" s="4" t="str">
        <f t="shared" si="32"/>
        <v>No</v>
      </c>
      <c r="I1905" s="56"/>
    </row>
    <row r="1906" spans="1:9">
      <c r="A1906" s="97" t="s">
        <v>2486</v>
      </c>
      <c r="B1906" s="97" t="s">
        <v>1773</v>
      </c>
      <c r="C1906" s="163">
        <v>1603</v>
      </c>
      <c r="D1906" s="95" t="s">
        <v>1775</v>
      </c>
      <c r="E1906" s="142">
        <v>9.5233333333333337E-2</v>
      </c>
      <c r="F1906" s="4" t="s">
        <v>3065</v>
      </c>
      <c r="G1906" s="4" t="s">
        <v>3065</v>
      </c>
      <c r="H1906" s="4" t="str">
        <f t="shared" si="32"/>
        <v>No</v>
      </c>
      <c r="I1906" s="56"/>
    </row>
    <row r="1907" spans="1:9">
      <c r="A1907" s="97" t="s">
        <v>2486</v>
      </c>
      <c r="B1907" s="97" t="s">
        <v>1773</v>
      </c>
      <c r="C1907" s="163">
        <v>3412</v>
      </c>
      <c r="D1907" s="95" t="s">
        <v>1808</v>
      </c>
      <c r="E1907" s="142">
        <v>0.42723333333333335</v>
      </c>
      <c r="F1907" s="4" t="s">
        <v>3065</v>
      </c>
      <c r="G1907" s="4" t="s">
        <v>3065</v>
      </c>
      <c r="H1907" s="4" t="str">
        <f t="shared" si="32"/>
        <v>No</v>
      </c>
      <c r="I1907" s="56"/>
    </row>
    <row r="1908" spans="1:9">
      <c r="A1908" s="97" t="s">
        <v>2486</v>
      </c>
      <c r="B1908" s="97" t="s">
        <v>1773</v>
      </c>
      <c r="C1908" s="163">
        <v>2312</v>
      </c>
      <c r="D1908" s="95" t="s">
        <v>1794</v>
      </c>
      <c r="E1908" s="142">
        <v>0.48943333333333339</v>
      </c>
      <c r="F1908" s="4" t="s">
        <v>3065</v>
      </c>
      <c r="G1908" s="4" t="s">
        <v>2752</v>
      </c>
      <c r="H1908" s="4" t="str">
        <f t="shared" si="32"/>
        <v>Yes</v>
      </c>
      <c r="I1908" s="56"/>
    </row>
    <row r="1909" spans="1:9">
      <c r="A1909" s="97" t="s">
        <v>2486</v>
      </c>
      <c r="B1909" s="97" t="s">
        <v>1773</v>
      </c>
      <c r="C1909" s="163">
        <v>2127</v>
      </c>
      <c r="D1909" s="95" t="s">
        <v>139</v>
      </c>
      <c r="E1909" s="142">
        <v>0.45693333333333336</v>
      </c>
      <c r="F1909" s="4" t="s">
        <v>3065</v>
      </c>
      <c r="G1909" s="4" t="s">
        <v>3065</v>
      </c>
      <c r="H1909" s="4" t="str">
        <f t="shared" si="32"/>
        <v>No</v>
      </c>
      <c r="I1909" s="56"/>
    </row>
    <row r="1910" spans="1:9">
      <c r="A1910" s="97" t="s">
        <v>2486</v>
      </c>
      <c r="B1910" s="97" t="s">
        <v>1773</v>
      </c>
      <c r="C1910" s="163">
        <v>3727</v>
      </c>
      <c r="D1910" s="95" t="s">
        <v>1812</v>
      </c>
      <c r="E1910" s="142">
        <v>0.72710000000000008</v>
      </c>
      <c r="F1910" s="4" t="s">
        <v>2752</v>
      </c>
      <c r="G1910" s="4" t="s">
        <v>2752</v>
      </c>
      <c r="H1910" s="4" t="str">
        <f t="shared" si="32"/>
        <v>No</v>
      </c>
      <c r="I1910" s="56"/>
    </row>
    <row r="1911" spans="1:9">
      <c r="A1911" s="97" t="s">
        <v>2486</v>
      </c>
      <c r="B1911" s="97" t="s">
        <v>1773</v>
      </c>
      <c r="C1911" s="163">
        <v>3758</v>
      </c>
      <c r="D1911" s="95" t="s">
        <v>1813</v>
      </c>
      <c r="E1911" s="142">
        <v>0.86286666666666667</v>
      </c>
      <c r="F1911" s="4" t="s">
        <v>2752</v>
      </c>
      <c r="G1911" s="4" t="s">
        <v>2752</v>
      </c>
      <c r="H1911" s="4" t="str">
        <f t="shared" si="32"/>
        <v>No</v>
      </c>
      <c r="I1911" s="56"/>
    </row>
    <row r="1912" spans="1:9">
      <c r="A1912" s="97" t="s">
        <v>2486</v>
      </c>
      <c r="B1912" s="97" t="s">
        <v>1773</v>
      </c>
      <c r="C1912" s="163">
        <v>3258</v>
      </c>
      <c r="D1912" s="95" t="s">
        <v>1806</v>
      </c>
      <c r="E1912" s="142">
        <v>0.7641</v>
      </c>
      <c r="F1912" s="4" t="s">
        <v>2752</v>
      </c>
      <c r="G1912" s="4" t="s">
        <v>2752</v>
      </c>
      <c r="H1912" s="4" t="str">
        <f t="shared" si="32"/>
        <v>No</v>
      </c>
      <c r="I1912" s="56"/>
    </row>
    <row r="1913" spans="1:9">
      <c r="A1913" s="97" t="s">
        <v>2486</v>
      </c>
      <c r="B1913" s="97" t="s">
        <v>1773</v>
      </c>
      <c r="C1913" s="163">
        <v>3729</v>
      </c>
      <c r="D1913" s="95" t="s">
        <v>456</v>
      </c>
      <c r="E1913" s="142">
        <v>0.87709999999999999</v>
      </c>
      <c r="F1913" s="4" t="s">
        <v>2752</v>
      </c>
      <c r="G1913" s="4" t="s">
        <v>2752</v>
      </c>
      <c r="H1913" s="4" t="str">
        <f t="shared" si="32"/>
        <v>No</v>
      </c>
      <c r="I1913" s="56"/>
    </row>
    <row r="1914" spans="1:9">
      <c r="A1914" s="97" t="s">
        <v>2486</v>
      </c>
      <c r="B1914" s="97" t="s">
        <v>1773</v>
      </c>
      <c r="C1914" s="163">
        <v>3007</v>
      </c>
      <c r="D1914" s="95" t="s">
        <v>1800</v>
      </c>
      <c r="E1914" s="142">
        <v>0.33823333333333333</v>
      </c>
      <c r="F1914" s="4" t="s">
        <v>3065</v>
      </c>
      <c r="G1914" s="4" t="s">
        <v>3065</v>
      </c>
      <c r="H1914" s="4" t="str">
        <f t="shared" si="32"/>
        <v>No</v>
      </c>
      <c r="I1914" s="56"/>
    </row>
    <row r="1915" spans="1:9">
      <c r="A1915" s="97" t="s">
        <v>2486</v>
      </c>
      <c r="B1915" s="97" t="s">
        <v>1773</v>
      </c>
      <c r="C1915" s="163">
        <v>2056</v>
      </c>
      <c r="D1915" s="95" t="s">
        <v>1779</v>
      </c>
      <c r="E1915" s="142">
        <v>0.90133333333333321</v>
      </c>
      <c r="F1915" s="4" t="s">
        <v>2752</v>
      </c>
      <c r="G1915" s="4" t="s">
        <v>2752</v>
      </c>
      <c r="H1915" s="4" t="str">
        <f t="shared" si="32"/>
        <v>No</v>
      </c>
      <c r="I1915" s="56"/>
    </row>
    <row r="1916" spans="1:9">
      <c r="A1916" s="97" t="s">
        <v>2486</v>
      </c>
      <c r="B1916" s="97" t="s">
        <v>1773</v>
      </c>
      <c r="C1916" s="163">
        <v>2258</v>
      </c>
      <c r="D1916" s="95" t="s">
        <v>1792</v>
      </c>
      <c r="E1916" s="142">
        <v>0.21830000000000002</v>
      </c>
      <c r="F1916" s="4" t="s">
        <v>3065</v>
      </c>
      <c r="G1916" s="4" t="s">
        <v>3065</v>
      </c>
      <c r="H1916" s="4" t="str">
        <f t="shared" si="32"/>
        <v>No</v>
      </c>
      <c r="I1916" s="56"/>
    </row>
    <row r="1917" spans="1:9">
      <c r="A1917" s="97" t="s">
        <v>2486</v>
      </c>
      <c r="B1917" s="97" t="s">
        <v>1773</v>
      </c>
      <c r="C1917" s="163">
        <v>3506</v>
      </c>
      <c r="D1917" s="95" t="s">
        <v>1810</v>
      </c>
      <c r="E1917" s="142">
        <v>0.3658333333333334</v>
      </c>
      <c r="F1917" s="4" t="s">
        <v>3065</v>
      </c>
      <c r="G1917" s="4" t="s">
        <v>3065</v>
      </c>
      <c r="H1917" s="4" t="str">
        <f t="shared" si="32"/>
        <v>No</v>
      </c>
      <c r="I1917" s="56"/>
    </row>
    <row r="1918" spans="1:9">
      <c r="A1918" s="97" t="s">
        <v>2486</v>
      </c>
      <c r="B1918" s="97" t="s">
        <v>1773</v>
      </c>
      <c r="C1918" s="163">
        <v>2111</v>
      </c>
      <c r="D1918" s="95" t="s">
        <v>79</v>
      </c>
      <c r="E1918" s="142">
        <v>0.32790000000000002</v>
      </c>
      <c r="F1918" s="4" t="s">
        <v>3065</v>
      </c>
      <c r="G1918" s="4" t="s">
        <v>3065</v>
      </c>
      <c r="H1918" s="4" t="str">
        <f t="shared" si="32"/>
        <v>No</v>
      </c>
      <c r="I1918" s="56"/>
    </row>
    <row r="1919" spans="1:9">
      <c r="A1919" s="137" t="s">
        <v>2486</v>
      </c>
      <c r="B1919" s="97" t="s">
        <v>1773</v>
      </c>
      <c r="C1919" s="164">
        <v>2172</v>
      </c>
      <c r="D1919" s="56" t="s">
        <v>1789</v>
      </c>
      <c r="E1919" s="142">
        <v>0.37476666666666669</v>
      </c>
      <c r="F1919" s="4" t="s">
        <v>3065</v>
      </c>
      <c r="G1919" s="4" t="s">
        <v>3065</v>
      </c>
      <c r="H1919" s="4" t="str">
        <f t="shared" si="32"/>
        <v>No</v>
      </c>
      <c r="I1919" s="56"/>
    </row>
    <row r="1920" spans="1:9">
      <c r="A1920" s="97" t="s">
        <v>2486</v>
      </c>
      <c r="B1920" s="97" t="s">
        <v>1773</v>
      </c>
      <c r="C1920" s="163">
        <v>2401</v>
      </c>
      <c r="D1920" s="95" t="s">
        <v>1796</v>
      </c>
      <c r="E1920" s="142">
        <v>0.24363333333333334</v>
      </c>
      <c r="F1920" s="4" t="s">
        <v>3065</v>
      </c>
      <c r="G1920" s="4" t="s">
        <v>3065</v>
      </c>
      <c r="H1920" s="4" t="str">
        <f t="shared" si="32"/>
        <v>No</v>
      </c>
      <c r="I1920" s="56"/>
    </row>
    <row r="1921" spans="1:9">
      <c r="A1921" s="97" t="s">
        <v>2486</v>
      </c>
      <c r="B1921" s="97" t="s">
        <v>1773</v>
      </c>
      <c r="C1921" s="163">
        <v>2952</v>
      </c>
      <c r="D1921" s="95" t="s">
        <v>1799</v>
      </c>
      <c r="E1921" s="142">
        <v>0.88890000000000002</v>
      </c>
      <c r="F1921" s="4" t="s">
        <v>2752</v>
      </c>
      <c r="G1921" s="4" t="s">
        <v>2752</v>
      </c>
      <c r="H1921" s="4" t="str">
        <f t="shared" si="32"/>
        <v>No</v>
      </c>
      <c r="I1921" s="56"/>
    </row>
    <row r="1922" spans="1:9">
      <c r="A1922" s="97" t="s">
        <v>2486</v>
      </c>
      <c r="B1922" s="97" t="s">
        <v>1773</v>
      </c>
      <c r="C1922" s="163">
        <v>2951</v>
      </c>
      <c r="D1922" s="95" t="s">
        <v>1798</v>
      </c>
      <c r="E1922" s="142">
        <v>0.54146666666666665</v>
      </c>
      <c r="F1922" s="4" t="s">
        <v>2752</v>
      </c>
      <c r="G1922" s="4" t="s">
        <v>2752</v>
      </c>
      <c r="H1922" s="4" t="str">
        <f t="shared" si="32"/>
        <v>No</v>
      </c>
      <c r="I1922" s="56"/>
    </row>
    <row r="1923" spans="1:9">
      <c r="A1923" s="97" t="s">
        <v>2486</v>
      </c>
      <c r="B1923" s="97" t="s">
        <v>1773</v>
      </c>
      <c r="C1923" s="163">
        <v>3190</v>
      </c>
      <c r="D1923" s="95" t="s">
        <v>1804</v>
      </c>
      <c r="E1923" s="142">
        <v>0.73050000000000004</v>
      </c>
      <c r="F1923" s="4" t="s">
        <v>2752</v>
      </c>
      <c r="G1923" s="4" t="s">
        <v>2752</v>
      </c>
      <c r="H1923" s="4" t="str">
        <f t="shared" ref="H1923:H1986" si="33">IFERROR(IF(AND(G1923="Yes",F1923="No"),"Yes","No"),"No")</f>
        <v>No</v>
      </c>
      <c r="I1923" s="56"/>
    </row>
    <row r="1924" spans="1:9">
      <c r="A1924" s="97" t="s">
        <v>2486</v>
      </c>
      <c r="B1924" s="97" t="s">
        <v>1773</v>
      </c>
      <c r="C1924" s="163">
        <v>3719</v>
      </c>
      <c r="D1924" s="95" t="s">
        <v>1811</v>
      </c>
      <c r="E1924" s="142">
        <v>0.9075333333333333</v>
      </c>
      <c r="F1924" s="4" t="s">
        <v>2752</v>
      </c>
      <c r="G1924" s="4" t="s">
        <v>2752</v>
      </c>
      <c r="H1924" s="4" t="str">
        <f t="shared" si="33"/>
        <v>No</v>
      </c>
      <c r="I1924" s="56"/>
    </row>
    <row r="1925" spans="1:9">
      <c r="A1925" s="97" t="s">
        <v>2486</v>
      </c>
      <c r="B1925" s="97" t="s">
        <v>1773</v>
      </c>
      <c r="C1925" s="163">
        <v>3718</v>
      </c>
      <c r="D1925" s="95" t="s">
        <v>373</v>
      </c>
      <c r="E1925" s="142">
        <v>0.84249999999999992</v>
      </c>
      <c r="F1925" s="4" t="s">
        <v>2752</v>
      </c>
      <c r="G1925" s="4" t="s">
        <v>2752</v>
      </c>
      <c r="H1925" s="4" t="str">
        <f t="shared" si="33"/>
        <v>No</v>
      </c>
      <c r="I1925" s="56"/>
    </row>
    <row r="1926" spans="1:9">
      <c r="A1926" s="97" t="s">
        <v>2486</v>
      </c>
      <c r="B1926" s="97" t="s">
        <v>1773</v>
      </c>
      <c r="C1926" s="163">
        <v>2708</v>
      </c>
      <c r="D1926" s="95" t="s">
        <v>1577</v>
      </c>
      <c r="E1926" s="142">
        <v>0.69530000000000003</v>
      </c>
      <c r="F1926" s="4" t="s">
        <v>2752</v>
      </c>
      <c r="G1926" s="4" t="s">
        <v>2752</v>
      </c>
      <c r="H1926" s="4" t="str">
        <f t="shared" si="33"/>
        <v>No</v>
      </c>
      <c r="I1926" s="56"/>
    </row>
    <row r="1927" spans="1:9">
      <c r="A1927" s="97" t="s">
        <v>2486</v>
      </c>
      <c r="B1927" s="97" t="s">
        <v>1773</v>
      </c>
      <c r="C1927" s="163">
        <v>4389</v>
      </c>
      <c r="D1927" s="95" t="s">
        <v>1816</v>
      </c>
      <c r="E1927" s="142">
        <v>0.25973333333333332</v>
      </c>
      <c r="F1927" s="4" t="s">
        <v>3065</v>
      </c>
      <c r="G1927" s="4" t="s">
        <v>3065</v>
      </c>
      <c r="H1927" s="4" t="str">
        <f t="shared" si="33"/>
        <v>No</v>
      </c>
      <c r="I1927" s="56"/>
    </row>
    <row r="1928" spans="1:9">
      <c r="A1928" s="97" t="s">
        <v>2486</v>
      </c>
      <c r="B1928" s="97" t="s">
        <v>1773</v>
      </c>
      <c r="C1928" s="163">
        <v>4035</v>
      </c>
      <c r="D1928" s="95" t="s">
        <v>1814</v>
      </c>
      <c r="E1928" s="142">
        <v>0.34243333333333337</v>
      </c>
      <c r="F1928" s="4" t="s">
        <v>3065</v>
      </c>
      <c r="G1928" s="4" t="s">
        <v>3065</v>
      </c>
      <c r="H1928" s="4" t="str">
        <f t="shared" si="33"/>
        <v>No</v>
      </c>
      <c r="I1928" s="56"/>
    </row>
    <row r="1929" spans="1:9">
      <c r="A1929" s="97" t="s">
        <v>2486</v>
      </c>
      <c r="B1929" s="97" t="s">
        <v>1773</v>
      </c>
      <c r="C1929" s="163">
        <v>2106</v>
      </c>
      <c r="D1929" s="95" t="s">
        <v>1782</v>
      </c>
      <c r="E1929" s="142">
        <v>0.56243333333333334</v>
      </c>
      <c r="F1929" s="4" t="s">
        <v>2752</v>
      </c>
      <c r="G1929" s="4" t="s">
        <v>2752</v>
      </c>
      <c r="H1929" s="4" t="str">
        <f t="shared" si="33"/>
        <v>No</v>
      </c>
      <c r="I1929" s="56"/>
    </row>
    <row r="1930" spans="1:9">
      <c r="A1930" s="97" t="s">
        <v>2486</v>
      </c>
      <c r="B1930" s="97" t="s">
        <v>1773</v>
      </c>
      <c r="C1930" s="163">
        <v>5250</v>
      </c>
      <c r="D1930" s="95" t="s">
        <v>1818</v>
      </c>
      <c r="E1930" s="142">
        <v>0.70816666666666672</v>
      </c>
      <c r="F1930" s="4" t="s">
        <v>2752</v>
      </c>
      <c r="G1930" s="4" t="s">
        <v>2752</v>
      </c>
      <c r="H1930" s="4" t="str">
        <f t="shared" si="33"/>
        <v>No</v>
      </c>
      <c r="I1930" s="56"/>
    </row>
    <row r="1931" spans="1:9">
      <c r="A1931" s="97" t="s">
        <v>2486</v>
      </c>
      <c r="B1931" s="97" t="s">
        <v>1773</v>
      </c>
      <c r="C1931" s="163">
        <v>5344</v>
      </c>
      <c r="D1931" s="95" t="s">
        <v>1820</v>
      </c>
      <c r="E1931" s="142">
        <v>0.58306666666666673</v>
      </c>
      <c r="F1931" s="4" t="s">
        <v>2752</v>
      </c>
      <c r="G1931" s="4" t="s">
        <v>2752</v>
      </c>
      <c r="H1931" s="4" t="str">
        <f t="shared" si="33"/>
        <v>No</v>
      </c>
      <c r="I1931" s="56"/>
    </row>
    <row r="1932" spans="1:9">
      <c r="A1932" s="97" t="s">
        <v>2486</v>
      </c>
      <c r="B1932" s="97" t="s">
        <v>1773</v>
      </c>
      <c r="C1932" s="163">
        <v>1567</v>
      </c>
      <c r="D1932" s="95" t="s">
        <v>2933</v>
      </c>
      <c r="E1932" s="142">
        <v>0.81830000000000014</v>
      </c>
      <c r="F1932" s="4" t="s">
        <v>2752</v>
      </c>
      <c r="G1932" s="4" t="s">
        <v>2752</v>
      </c>
      <c r="H1932" s="4" t="str">
        <f t="shared" si="33"/>
        <v>No</v>
      </c>
      <c r="I1932" s="56"/>
    </row>
    <row r="1933" spans="1:9">
      <c r="A1933" s="97" t="s">
        <v>2486</v>
      </c>
      <c r="B1933" s="97" t="s">
        <v>1773</v>
      </c>
      <c r="C1933" s="163">
        <v>2096</v>
      </c>
      <c r="D1933" s="95" t="s">
        <v>1781</v>
      </c>
      <c r="E1933" s="142">
        <v>0.89869999999999994</v>
      </c>
      <c r="F1933" s="4" t="s">
        <v>2752</v>
      </c>
      <c r="G1933" s="4" t="s">
        <v>2752</v>
      </c>
      <c r="H1933" s="4" t="str">
        <f t="shared" si="33"/>
        <v>No</v>
      </c>
      <c r="I1933" s="56"/>
    </row>
    <row r="1934" spans="1:9">
      <c r="A1934" s="97" t="s">
        <v>2486</v>
      </c>
      <c r="B1934" s="97" t="s">
        <v>1773</v>
      </c>
      <c r="C1934" s="163">
        <v>2950</v>
      </c>
      <c r="D1934" s="95" t="s">
        <v>1797</v>
      </c>
      <c r="E1934" s="142">
        <v>0.62783333333333335</v>
      </c>
      <c r="F1934" s="4" t="s">
        <v>2752</v>
      </c>
      <c r="G1934" s="4" t="s">
        <v>2752</v>
      </c>
      <c r="H1934" s="4" t="str">
        <f t="shared" si="33"/>
        <v>No</v>
      </c>
      <c r="I1934" s="56"/>
    </row>
    <row r="1935" spans="1:9">
      <c r="A1935" s="97" t="s">
        <v>2486</v>
      </c>
      <c r="B1935" s="97" t="s">
        <v>1773</v>
      </c>
      <c r="C1935" s="163">
        <v>2479</v>
      </c>
      <c r="D1935" s="95" t="s">
        <v>1315</v>
      </c>
      <c r="E1935" s="142">
        <v>0.79879999999999995</v>
      </c>
      <c r="F1935" s="4" t="s">
        <v>2752</v>
      </c>
      <c r="G1935" s="4" t="s">
        <v>2752</v>
      </c>
      <c r="H1935" s="4" t="str">
        <f t="shared" si="33"/>
        <v>No</v>
      </c>
      <c r="I1935" s="56"/>
    </row>
    <row r="1936" spans="1:9">
      <c r="A1936" s="97" t="s">
        <v>2486</v>
      </c>
      <c r="B1936" s="97" t="s">
        <v>1773</v>
      </c>
      <c r="C1936" s="163">
        <v>2086</v>
      </c>
      <c r="D1936" s="95" t="s">
        <v>1780</v>
      </c>
      <c r="E1936" s="142">
        <v>0.55633333333333335</v>
      </c>
      <c r="F1936" s="4" t="s">
        <v>2752</v>
      </c>
      <c r="G1936" s="4" t="s">
        <v>2752</v>
      </c>
      <c r="H1936" s="4" t="str">
        <f t="shared" si="33"/>
        <v>No</v>
      </c>
      <c r="I1936" s="56"/>
    </row>
    <row r="1937" spans="1:9">
      <c r="A1937" s="97" t="s">
        <v>2486</v>
      </c>
      <c r="B1937" s="97" t="s">
        <v>1773</v>
      </c>
      <c r="C1937" s="163">
        <v>3356</v>
      </c>
      <c r="D1937" s="95" t="s">
        <v>666</v>
      </c>
      <c r="E1937" s="142">
        <v>0.35660000000000003</v>
      </c>
      <c r="F1937" s="4" t="s">
        <v>3065</v>
      </c>
      <c r="G1937" s="4" t="s">
        <v>3065</v>
      </c>
      <c r="H1937" s="4" t="str">
        <f t="shared" si="33"/>
        <v>No</v>
      </c>
      <c r="I1937" s="56"/>
    </row>
    <row r="1938" spans="1:9">
      <c r="A1938" s="97" t="s">
        <v>2486</v>
      </c>
      <c r="B1938" s="97" t="s">
        <v>1773</v>
      </c>
      <c r="C1938" s="163">
        <v>4286</v>
      </c>
      <c r="D1938" s="95" t="s">
        <v>1815</v>
      </c>
      <c r="E1938" s="142">
        <v>0.58335000000000004</v>
      </c>
      <c r="F1938" s="4" t="s">
        <v>2752</v>
      </c>
      <c r="G1938" s="4" t="s">
        <v>3065</v>
      </c>
      <c r="H1938" s="4" t="str">
        <f t="shared" si="33"/>
        <v>No</v>
      </c>
      <c r="I1938" s="56"/>
    </row>
    <row r="1939" spans="1:9">
      <c r="A1939" s="97" t="s">
        <v>2486</v>
      </c>
      <c r="B1939" s="97" t="s">
        <v>1773</v>
      </c>
      <c r="C1939" s="163">
        <v>3413</v>
      </c>
      <c r="D1939" s="95" t="s">
        <v>1809</v>
      </c>
      <c r="E1939" s="142">
        <v>0.53706666666666669</v>
      </c>
      <c r="F1939" s="4" t="s">
        <v>2752</v>
      </c>
      <c r="G1939" s="4" t="s">
        <v>2752</v>
      </c>
      <c r="H1939" s="4" t="str">
        <f t="shared" si="33"/>
        <v>No</v>
      </c>
      <c r="I1939" s="56"/>
    </row>
    <row r="1940" spans="1:9">
      <c r="A1940" s="97" t="s">
        <v>2486</v>
      </c>
      <c r="B1940" s="97" t="s">
        <v>1773</v>
      </c>
      <c r="C1940" s="163">
        <v>1698</v>
      </c>
      <c r="D1940" s="95" t="s">
        <v>1777</v>
      </c>
      <c r="E1940" s="142">
        <v>0.55033333333333323</v>
      </c>
      <c r="F1940" s="4" t="s">
        <v>2752</v>
      </c>
      <c r="G1940" s="4" t="s">
        <v>2752</v>
      </c>
      <c r="H1940" s="4" t="str">
        <f t="shared" si="33"/>
        <v>No</v>
      </c>
      <c r="I1940" s="56"/>
    </row>
    <row r="1941" spans="1:9">
      <c r="A1941" s="97" t="s">
        <v>2486</v>
      </c>
      <c r="B1941" s="97" t="s">
        <v>1773</v>
      </c>
      <c r="C1941" s="163">
        <v>3189</v>
      </c>
      <c r="D1941" s="95" t="s">
        <v>1803</v>
      </c>
      <c r="E1941" s="142">
        <v>0.52869999999999995</v>
      </c>
      <c r="F1941" s="4" t="s">
        <v>2752</v>
      </c>
      <c r="G1941" s="4" t="s">
        <v>2752</v>
      </c>
      <c r="H1941" s="4" t="str">
        <f t="shared" si="33"/>
        <v>No</v>
      </c>
      <c r="I1941" s="56"/>
    </row>
    <row r="1942" spans="1:9">
      <c r="A1942" s="97" t="s">
        <v>2486</v>
      </c>
      <c r="B1942" s="97" t="s">
        <v>1773</v>
      </c>
      <c r="C1942" s="163">
        <v>3257</v>
      </c>
      <c r="D1942" s="95" t="s">
        <v>1805</v>
      </c>
      <c r="E1942" s="142">
        <v>0.85293333333333343</v>
      </c>
      <c r="F1942" s="4" t="s">
        <v>2752</v>
      </c>
      <c r="G1942" s="4" t="s">
        <v>2752</v>
      </c>
      <c r="H1942" s="4" t="str">
        <f t="shared" si="33"/>
        <v>No</v>
      </c>
      <c r="I1942" s="56"/>
    </row>
    <row r="1943" spans="1:9">
      <c r="A1943" s="97" t="s">
        <v>2486</v>
      </c>
      <c r="B1943" s="97" t="s">
        <v>1773</v>
      </c>
      <c r="C1943" s="163">
        <v>2110</v>
      </c>
      <c r="D1943" s="95" t="s">
        <v>1785</v>
      </c>
      <c r="E1943" s="142">
        <v>0.86603333333333332</v>
      </c>
      <c r="F1943" s="4" t="s">
        <v>2752</v>
      </c>
      <c r="G1943" s="4" t="s">
        <v>2752</v>
      </c>
      <c r="H1943" s="4" t="str">
        <f t="shared" si="33"/>
        <v>No</v>
      </c>
      <c r="I1943" s="56"/>
    </row>
    <row r="1944" spans="1:9">
      <c r="A1944" s="97" t="s">
        <v>2486</v>
      </c>
      <c r="B1944" s="97" t="s">
        <v>1773</v>
      </c>
      <c r="C1944" s="163">
        <v>4191</v>
      </c>
      <c r="D1944" s="95" t="s">
        <v>2792</v>
      </c>
      <c r="E1944" s="142">
        <v>0.21209999999999998</v>
      </c>
      <c r="F1944" s="4" t="s">
        <v>3065</v>
      </c>
      <c r="G1944" s="4" t="s">
        <v>3065</v>
      </c>
      <c r="H1944" s="4" t="str">
        <f t="shared" si="33"/>
        <v>No</v>
      </c>
      <c r="I1944" s="56"/>
    </row>
    <row r="1945" spans="1:9">
      <c r="A1945" s="97" t="s">
        <v>2486</v>
      </c>
      <c r="B1945" s="97" t="s">
        <v>1773</v>
      </c>
      <c r="C1945" s="163">
        <v>5361</v>
      </c>
      <c r="D1945" s="95" t="s">
        <v>1821</v>
      </c>
      <c r="E1945" s="142">
        <v>0.24783333333333335</v>
      </c>
      <c r="F1945" s="4" t="s">
        <v>3065</v>
      </c>
      <c r="G1945" s="4" t="s">
        <v>3065</v>
      </c>
      <c r="H1945" s="4" t="str">
        <f t="shared" si="33"/>
        <v>No</v>
      </c>
      <c r="I1945" s="56"/>
    </row>
    <row r="1946" spans="1:9">
      <c r="A1946" s="97" t="s">
        <v>2486</v>
      </c>
      <c r="B1946" s="97" t="s">
        <v>1773</v>
      </c>
      <c r="C1946" s="163">
        <v>5694</v>
      </c>
      <c r="D1946" s="95" t="s">
        <v>3048</v>
      </c>
      <c r="E1946" s="142">
        <v>0.66549999999999998</v>
      </c>
      <c r="F1946" s="4" t="s">
        <v>2752</v>
      </c>
      <c r="G1946" s="4" t="s">
        <v>3065</v>
      </c>
      <c r="H1946" s="4" t="str">
        <f t="shared" si="33"/>
        <v>No</v>
      </c>
      <c r="I1946" s="56"/>
    </row>
    <row r="1947" spans="1:9">
      <c r="A1947" s="97" t="s">
        <v>2486</v>
      </c>
      <c r="B1947" s="97" t="s">
        <v>1773</v>
      </c>
      <c r="C1947" s="163">
        <v>2108</v>
      </c>
      <c r="D1947" s="95" t="s">
        <v>1783</v>
      </c>
      <c r="E1947" s="142">
        <v>0.91170000000000007</v>
      </c>
      <c r="F1947" s="4" t="s">
        <v>2752</v>
      </c>
      <c r="G1947" s="4" t="s">
        <v>2752</v>
      </c>
      <c r="H1947" s="4" t="str">
        <f t="shared" si="33"/>
        <v>No</v>
      </c>
      <c r="I1947" s="56"/>
    </row>
    <row r="1948" spans="1:9">
      <c r="A1948" s="97" t="s">
        <v>2486</v>
      </c>
      <c r="B1948" s="97" t="s">
        <v>1773</v>
      </c>
      <c r="C1948" s="163">
        <v>5301</v>
      </c>
      <c r="D1948" s="95" t="s">
        <v>1819</v>
      </c>
      <c r="E1948" s="142">
        <v>0.44663333333333338</v>
      </c>
      <c r="F1948" s="4" t="s">
        <v>3065</v>
      </c>
      <c r="G1948" s="4" t="s">
        <v>3065</v>
      </c>
      <c r="H1948" s="4" t="str">
        <f t="shared" si="33"/>
        <v>No</v>
      </c>
      <c r="I1948" s="56"/>
    </row>
    <row r="1949" spans="1:9">
      <c r="A1949" s="97" t="s">
        <v>2486</v>
      </c>
      <c r="B1949" s="97" t="s">
        <v>1773</v>
      </c>
      <c r="C1949" s="163">
        <v>1767</v>
      </c>
      <c r="D1949" s="95" t="s">
        <v>1778</v>
      </c>
      <c r="E1949" s="142">
        <v>0.59366666666666668</v>
      </c>
      <c r="F1949" s="4" t="s">
        <v>2752</v>
      </c>
      <c r="G1949" s="4" t="s">
        <v>3065</v>
      </c>
      <c r="H1949" s="4" t="str">
        <f t="shared" si="33"/>
        <v>No</v>
      </c>
      <c r="I1949" s="56"/>
    </row>
    <row r="1950" spans="1:9">
      <c r="A1950" s="97" t="s">
        <v>2486</v>
      </c>
      <c r="B1950" s="97" t="s">
        <v>1773</v>
      </c>
      <c r="C1950" s="163">
        <v>3063</v>
      </c>
      <c r="D1950" s="95" t="s">
        <v>1802</v>
      </c>
      <c r="E1950" s="142">
        <v>0.64976666666666671</v>
      </c>
      <c r="F1950" s="4" t="s">
        <v>2752</v>
      </c>
      <c r="G1950" s="4" t="s">
        <v>2752</v>
      </c>
      <c r="H1950" s="4" t="str">
        <f t="shared" si="33"/>
        <v>No</v>
      </c>
      <c r="I1950" s="56"/>
    </row>
    <row r="1951" spans="1:9">
      <c r="A1951" s="97" t="s">
        <v>2486</v>
      </c>
      <c r="B1951" s="97" t="s">
        <v>1773</v>
      </c>
      <c r="C1951" s="163">
        <v>2191</v>
      </c>
      <c r="D1951" s="95" t="s">
        <v>1790</v>
      </c>
      <c r="E1951" s="142">
        <v>0.86676666666666657</v>
      </c>
      <c r="F1951" s="4" t="s">
        <v>2752</v>
      </c>
      <c r="G1951" s="4" t="s">
        <v>2752</v>
      </c>
      <c r="H1951" s="4" t="str">
        <f t="shared" si="33"/>
        <v>No</v>
      </c>
      <c r="I1951" s="56"/>
    </row>
    <row r="1952" spans="1:9">
      <c r="A1952" s="97" t="s">
        <v>2486</v>
      </c>
      <c r="B1952" s="97" t="s">
        <v>1773</v>
      </c>
      <c r="C1952" s="163">
        <v>2109</v>
      </c>
      <c r="D1952" s="95" t="s">
        <v>1784</v>
      </c>
      <c r="E1952" s="142">
        <v>0.7631</v>
      </c>
      <c r="F1952" s="4" t="s">
        <v>2752</v>
      </c>
      <c r="G1952" s="4" t="s">
        <v>2752</v>
      </c>
      <c r="H1952" s="4" t="str">
        <f t="shared" si="33"/>
        <v>No</v>
      </c>
      <c r="I1952" s="56"/>
    </row>
    <row r="1953" spans="1:9">
      <c r="A1953" s="97" t="s">
        <v>2486</v>
      </c>
      <c r="B1953" s="97" t="s">
        <v>1773</v>
      </c>
      <c r="C1953" s="163">
        <v>2296</v>
      </c>
      <c r="D1953" s="95" t="s">
        <v>1793</v>
      </c>
      <c r="E1953" s="142">
        <v>0.19863333333333333</v>
      </c>
      <c r="F1953" s="4" t="s">
        <v>3065</v>
      </c>
      <c r="G1953" s="4" t="s">
        <v>3065</v>
      </c>
      <c r="H1953" s="4" t="str">
        <f t="shared" si="33"/>
        <v>No</v>
      </c>
      <c r="I1953" s="56"/>
    </row>
    <row r="1954" spans="1:9">
      <c r="A1954" s="97" t="s">
        <v>2486</v>
      </c>
      <c r="B1954" s="97" t="s">
        <v>1773</v>
      </c>
      <c r="C1954" s="163">
        <v>4192</v>
      </c>
      <c r="D1954" s="95" t="s">
        <v>769</v>
      </c>
      <c r="E1954" s="142">
        <v>0.31513333333333332</v>
      </c>
      <c r="F1954" s="4" t="s">
        <v>3065</v>
      </c>
      <c r="G1954" s="4" t="s">
        <v>3065</v>
      </c>
      <c r="H1954" s="4" t="str">
        <f t="shared" si="33"/>
        <v>No</v>
      </c>
      <c r="I1954" s="56"/>
    </row>
    <row r="1955" spans="1:9">
      <c r="A1955" s="97" t="s">
        <v>2406</v>
      </c>
      <c r="B1955" s="97" t="s">
        <v>1181</v>
      </c>
      <c r="C1955" s="163">
        <v>3050</v>
      </c>
      <c r="D1955" s="95" t="s">
        <v>1183</v>
      </c>
      <c r="E1955" s="142">
        <v>0.61746666666666672</v>
      </c>
      <c r="F1955" s="4" t="s">
        <v>2752</v>
      </c>
      <c r="G1955" s="4" t="s">
        <v>2752</v>
      </c>
      <c r="H1955" s="4" t="str">
        <f t="shared" si="33"/>
        <v>No</v>
      </c>
      <c r="I1955" s="56"/>
    </row>
    <row r="1956" spans="1:9">
      <c r="A1956" s="97" t="s">
        <v>2406</v>
      </c>
      <c r="B1956" s="97" t="s">
        <v>1181</v>
      </c>
      <c r="C1956" s="163">
        <v>2186</v>
      </c>
      <c r="D1956" s="95" t="s">
        <v>1182</v>
      </c>
      <c r="E1956" s="142">
        <v>0.41606666666666675</v>
      </c>
      <c r="F1956" s="4" t="s">
        <v>3065</v>
      </c>
      <c r="G1956" s="4" t="s">
        <v>3065</v>
      </c>
      <c r="H1956" s="4" t="str">
        <f t="shared" si="33"/>
        <v>No</v>
      </c>
      <c r="I1956" s="56"/>
    </row>
    <row r="1957" spans="1:9">
      <c r="A1957" s="97" t="s">
        <v>2551</v>
      </c>
      <c r="B1957" s="97" t="s">
        <v>2158</v>
      </c>
      <c r="C1957" s="163">
        <v>3069</v>
      </c>
      <c r="D1957" s="95" t="s">
        <v>2160</v>
      </c>
      <c r="E1957" s="142">
        <v>0.38106666666666666</v>
      </c>
      <c r="F1957" s="4" t="s">
        <v>3065</v>
      </c>
      <c r="G1957" s="4" t="s">
        <v>3065</v>
      </c>
      <c r="H1957" s="4" t="str">
        <f t="shared" si="33"/>
        <v>No</v>
      </c>
      <c r="I1957" s="56"/>
    </row>
    <row r="1958" spans="1:9">
      <c r="A1958" s="97" t="s">
        <v>2551</v>
      </c>
      <c r="B1958" s="97" t="s">
        <v>2158</v>
      </c>
      <c r="C1958" s="163">
        <v>3068</v>
      </c>
      <c r="D1958" s="95" t="s">
        <v>2159</v>
      </c>
      <c r="E1958" s="142">
        <v>0.51136666666666664</v>
      </c>
      <c r="F1958" s="4" t="s">
        <v>2752</v>
      </c>
      <c r="G1958" s="4" t="s">
        <v>3065</v>
      </c>
      <c r="H1958" s="4" t="str">
        <f t="shared" si="33"/>
        <v>No</v>
      </c>
      <c r="I1958" s="56"/>
    </row>
    <row r="1959" spans="1:9">
      <c r="A1959" s="97" t="s">
        <v>2485</v>
      </c>
      <c r="B1959" s="97" t="s">
        <v>1761</v>
      </c>
      <c r="C1959" s="163">
        <v>4513</v>
      </c>
      <c r="D1959" s="95" t="s">
        <v>1768</v>
      </c>
      <c r="E1959" s="142">
        <v>0.2503333333333333</v>
      </c>
      <c r="F1959" s="4" t="s">
        <v>3065</v>
      </c>
      <c r="G1959" s="4" t="s">
        <v>3065</v>
      </c>
      <c r="H1959" s="4" t="str">
        <f t="shared" si="33"/>
        <v>No</v>
      </c>
      <c r="I1959" s="56"/>
    </row>
    <row r="1960" spans="1:9">
      <c r="A1960" s="97" t="s">
        <v>2485</v>
      </c>
      <c r="B1960" s="97" t="s">
        <v>1761</v>
      </c>
      <c r="C1960" s="163">
        <v>4553</v>
      </c>
      <c r="D1960" s="95" t="s">
        <v>1770</v>
      </c>
      <c r="E1960" s="142">
        <v>0.34329999999999999</v>
      </c>
      <c r="F1960" s="4" t="s">
        <v>3065</v>
      </c>
      <c r="G1960" s="4" t="s">
        <v>3065</v>
      </c>
      <c r="H1960" s="4" t="str">
        <f t="shared" si="33"/>
        <v>No</v>
      </c>
      <c r="I1960" s="56"/>
    </row>
    <row r="1961" spans="1:9">
      <c r="A1961" s="97" t="s">
        <v>2485</v>
      </c>
      <c r="B1961" s="97" t="s">
        <v>1761</v>
      </c>
      <c r="C1961" s="163">
        <v>5108</v>
      </c>
      <c r="D1961" s="95" t="s">
        <v>1772</v>
      </c>
      <c r="E1961" s="142">
        <v>0.64639999999999997</v>
      </c>
      <c r="F1961" s="4" t="s">
        <v>2752</v>
      </c>
      <c r="G1961" s="4" t="s">
        <v>2752</v>
      </c>
      <c r="H1961" s="4" t="str">
        <f t="shared" si="33"/>
        <v>No</v>
      </c>
      <c r="I1961" s="56"/>
    </row>
    <row r="1962" spans="1:9">
      <c r="A1962" s="97" t="s">
        <v>2485</v>
      </c>
      <c r="B1962" s="97" t="s">
        <v>1761</v>
      </c>
      <c r="C1962" s="163">
        <v>1707</v>
      </c>
      <c r="D1962" s="95" t="s">
        <v>1762</v>
      </c>
      <c r="E1962" s="142">
        <v>0.41076666666666667</v>
      </c>
      <c r="F1962" s="4" t="s">
        <v>3065</v>
      </c>
      <c r="G1962" s="4" t="s">
        <v>3065</v>
      </c>
      <c r="H1962" s="4" t="str">
        <f t="shared" si="33"/>
        <v>No</v>
      </c>
      <c r="I1962" s="56"/>
    </row>
    <row r="1963" spans="1:9">
      <c r="A1963" s="97" t="s">
        <v>2485</v>
      </c>
      <c r="B1963" s="97" t="s">
        <v>1761</v>
      </c>
      <c r="C1963" s="163">
        <v>4512</v>
      </c>
      <c r="D1963" s="95" t="s">
        <v>1767</v>
      </c>
      <c r="E1963" s="142">
        <v>0.314</v>
      </c>
      <c r="F1963" s="4" t="s">
        <v>3065</v>
      </c>
      <c r="G1963" s="4" t="s">
        <v>3065</v>
      </c>
      <c r="H1963" s="4" t="str">
        <f t="shared" si="33"/>
        <v>No</v>
      </c>
      <c r="I1963" s="56"/>
    </row>
    <row r="1964" spans="1:9">
      <c r="A1964" s="97" t="s">
        <v>2485</v>
      </c>
      <c r="B1964" s="97" t="s">
        <v>1761</v>
      </c>
      <c r="C1964" s="163">
        <v>5004</v>
      </c>
      <c r="D1964" s="95" t="s">
        <v>1771</v>
      </c>
      <c r="E1964" s="142">
        <v>0.16416666666666666</v>
      </c>
      <c r="F1964" s="4" t="s">
        <v>3065</v>
      </c>
      <c r="G1964" s="4" t="s">
        <v>3065</v>
      </c>
      <c r="H1964" s="4" t="str">
        <f t="shared" si="33"/>
        <v>No</v>
      </c>
      <c r="I1964" s="56"/>
    </row>
    <row r="1965" spans="1:9">
      <c r="A1965" s="97" t="s">
        <v>2485</v>
      </c>
      <c r="B1965" s="97" t="s">
        <v>1761</v>
      </c>
      <c r="C1965" s="163">
        <v>3125</v>
      </c>
      <c r="D1965" s="95" t="s">
        <v>1765</v>
      </c>
      <c r="E1965" s="142">
        <v>0.32666666666666666</v>
      </c>
      <c r="F1965" s="4" t="s">
        <v>3065</v>
      </c>
      <c r="G1965" s="4" t="s">
        <v>3065</v>
      </c>
      <c r="H1965" s="4" t="str">
        <f t="shared" si="33"/>
        <v>No</v>
      </c>
      <c r="I1965" s="56"/>
    </row>
    <row r="1966" spans="1:9">
      <c r="A1966" s="97" t="s">
        <v>2485</v>
      </c>
      <c r="B1966" s="97" t="s">
        <v>1761</v>
      </c>
      <c r="C1966" s="163">
        <v>2581</v>
      </c>
      <c r="D1966" s="95" t="s">
        <v>1764</v>
      </c>
      <c r="E1966" s="142">
        <v>0.2492</v>
      </c>
      <c r="F1966" s="4" t="s">
        <v>3065</v>
      </c>
      <c r="G1966" s="4" t="s">
        <v>3065</v>
      </c>
      <c r="H1966" s="4" t="str">
        <f t="shared" si="33"/>
        <v>No</v>
      </c>
      <c r="I1966" s="56"/>
    </row>
    <row r="1967" spans="1:9">
      <c r="A1967" s="97" t="s">
        <v>2485</v>
      </c>
      <c r="B1967" s="97" t="s">
        <v>1761</v>
      </c>
      <c r="C1967" s="163">
        <v>2400</v>
      </c>
      <c r="D1967" s="95" t="s">
        <v>1763</v>
      </c>
      <c r="E1967" s="142">
        <v>0.34326666666666666</v>
      </c>
      <c r="F1967" s="4" t="s">
        <v>3065</v>
      </c>
      <c r="G1967" s="4" t="s">
        <v>3065</v>
      </c>
      <c r="H1967" s="4" t="str">
        <f t="shared" si="33"/>
        <v>No</v>
      </c>
      <c r="I1967" s="56"/>
    </row>
    <row r="1968" spans="1:9">
      <c r="A1968" s="97" t="s">
        <v>2485</v>
      </c>
      <c r="B1968" s="97" t="s">
        <v>1761</v>
      </c>
      <c r="C1968" s="163">
        <v>4364</v>
      </c>
      <c r="D1968" s="95" t="s">
        <v>1766</v>
      </c>
      <c r="E1968" s="142">
        <v>0.34129999999999999</v>
      </c>
      <c r="F1968" s="4" t="s">
        <v>3065</v>
      </c>
      <c r="G1968" s="4" t="s">
        <v>3065</v>
      </c>
      <c r="H1968" s="4" t="str">
        <f t="shared" si="33"/>
        <v>No</v>
      </c>
      <c r="I1968" s="56"/>
    </row>
    <row r="1969" spans="1:9">
      <c r="A1969" s="97" t="s">
        <v>2485</v>
      </c>
      <c r="B1969" s="97" t="s">
        <v>1761</v>
      </c>
      <c r="C1969" s="163">
        <v>4551</v>
      </c>
      <c r="D1969" s="95" t="s">
        <v>1769</v>
      </c>
      <c r="E1969" s="142">
        <v>0.25023333333333331</v>
      </c>
      <c r="F1969" s="4" t="s">
        <v>3065</v>
      </c>
      <c r="G1969" s="4" t="s">
        <v>3065</v>
      </c>
      <c r="H1969" s="4" t="str">
        <f t="shared" si="33"/>
        <v>No</v>
      </c>
      <c r="I1969" s="56"/>
    </row>
    <row r="1970" spans="1:9">
      <c r="A1970" s="97" t="s">
        <v>2314</v>
      </c>
      <c r="B1970" s="97" t="s">
        <v>401</v>
      </c>
      <c r="C1970" s="163">
        <v>2007</v>
      </c>
      <c r="D1970" s="95" t="s">
        <v>402</v>
      </c>
      <c r="E1970" s="142">
        <v>0</v>
      </c>
      <c r="F1970" s="4" t="s">
        <v>3065</v>
      </c>
      <c r="G1970" s="4" t="s">
        <v>3065</v>
      </c>
      <c r="H1970" s="4" t="str">
        <f t="shared" si="33"/>
        <v>No</v>
      </c>
      <c r="I1970" s="56"/>
    </row>
    <row r="1971" spans="1:9">
      <c r="A1971" s="97" t="s">
        <v>2294</v>
      </c>
      <c r="B1971" s="97" t="s">
        <v>294</v>
      </c>
      <c r="C1971" s="163">
        <v>2135</v>
      </c>
      <c r="D1971" s="95" t="s">
        <v>295</v>
      </c>
      <c r="E1971" s="142">
        <v>0.54606666666666659</v>
      </c>
      <c r="F1971" s="4" t="s">
        <v>2752</v>
      </c>
      <c r="G1971" s="4" t="s">
        <v>3065</v>
      </c>
      <c r="H1971" s="4" t="str">
        <f t="shared" si="33"/>
        <v>No</v>
      </c>
      <c r="I1971" s="56"/>
    </row>
    <row r="1972" spans="1:9">
      <c r="A1972" s="97" t="s">
        <v>2271</v>
      </c>
      <c r="B1972" s="97" t="s">
        <v>100</v>
      </c>
      <c r="C1972" s="163">
        <v>2265</v>
      </c>
      <c r="D1972" s="95" t="s">
        <v>101</v>
      </c>
      <c r="E1972" s="142">
        <v>0</v>
      </c>
      <c r="F1972" s="4" t="s">
        <v>3065</v>
      </c>
      <c r="G1972" s="4" t="s">
        <v>3065</v>
      </c>
      <c r="H1972" s="4" t="str">
        <f t="shared" si="33"/>
        <v>No</v>
      </c>
      <c r="I1972" s="56"/>
    </row>
    <row r="1973" spans="1:9">
      <c r="A1973" s="97" t="s">
        <v>2438</v>
      </c>
      <c r="B1973" s="97" t="s">
        <v>1292</v>
      </c>
      <c r="C1973" s="163">
        <v>2040</v>
      </c>
      <c r="D1973" s="95" t="s">
        <v>1293</v>
      </c>
      <c r="E1973" s="142">
        <v>0.39773333333333333</v>
      </c>
      <c r="F1973" s="4" t="s">
        <v>3065</v>
      </c>
      <c r="G1973" s="4" t="s">
        <v>2752</v>
      </c>
      <c r="H1973" s="4" t="str">
        <f t="shared" si="33"/>
        <v>Yes</v>
      </c>
      <c r="I1973" s="56"/>
    </row>
    <row r="1974" spans="1:9">
      <c r="A1974" s="97" t="s">
        <v>2438</v>
      </c>
      <c r="B1974" s="97" t="s">
        <v>1292</v>
      </c>
      <c r="C1974" s="163">
        <v>3446</v>
      </c>
      <c r="D1974" s="95" t="s">
        <v>1295</v>
      </c>
      <c r="E1974" s="142">
        <v>0.31783333333333336</v>
      </c>
      <c r="F1974" s="4" t="s">
        <v>3065</v>
      </c>
      <c r="G1974" s="4" t="s">
        <v>3065</v>
      </c>
      <c r="H1974" s="4" t="str">
        <f t="shared" si="33"/>
        <v>No</v>
      </c>
      <c r="I1974" s="56"/>
    </row>
    <row r="1975" spans="1:9">
      <c r="A1975" s="97" t="s">
        <v>2438</v>
      </c>
      <c r="B1975" s="97" t="s">
        <v>1292</v>
      </c>
      <c r="C1975" s="163">
        <v>4562</v>
      </c>
      <c r="D1975" s="95" t="s">
        <v>1298</v>
      </c>
      <c r="E1975" s="142">
        <v>0.16839999999999999</v>
      </c>
      <c r="F1975" s="4" t="s">
        <v>3065</v>
      </c>
      <c r="G1975" s="4" t="s">
        <v>3065</v>
      </c>
      <c r="H1975" s="4" t="str">
        <f t="shared" si="33"/>
        <v>No</v>
      </c>
      <c r="I1975" s="56"/>
    </row>
    <row r="1976" spans="1:9">
      <c r="A1976" s="97" t="s">
        <v>2438</v>
      </c>
      <c r="B1976" s="97" t="s">
        <v>1292</v>
      </c>
      <c r="C1976" s="163">
        <v>2237</v>
      </c>
      <c r="D1976" s="95" t="s">
        <v>1294</v>
      </c>
      <c r="E1976" s="142">
        <v>0.24296666666666666</v>
      </c>
      <c r="F1976" s="4" t="s">
        <v>3065</v>
      </c>
      <c r="G1976" s="4" t="s">
        <v>3065</v>
      </c>
      <c r="H1976" s="4" t="str">
        <f t="shared" si="33"/>
        <v>No</v>
      </c>
      <c r="I1976" s="56"/>
    </row>
    <row r="1977" spans="1:9">
      <c r="A1977" s="97" t="s">
        <v>2438</v>
      </c>
      <c r="B1977" s="97" t="s">
        <v>1292</v>
      </c>
      <c r="C1977" s="163">
        <v>5709</v>
      </c>
      <c r="D1977" s="95" t="s">
        <v>3049</v>
      </c>
      <c r="E1977" s="142">
        <v>0.32350000000000001</v>
      </c>
      <c r="F1977" s="4" t="s">
        <v>3065</v>
      </c>
      <c r="G1977" s="4" t="s">
        <v>3065</v>
      </c>
      <c r="H1977" s="4" t="str">
        <f t="shared" si="33"/>
        <v>No</v>
      </c>
      <c r="I1977" s="56"/>
    </row>
    <row r="1978" spans="1:9">
      <c r="A1978" s="97" t="s">
        <v>2438</v>
      </c>
      <c r="B1978" s="97" t="s">
        <v>1292</v>
      </c>
      <c r="C1978" s="163">
        <v>3827</v>
      </c>
      <c r="D1978" s="95" t="s">
        <v>1296</v>
      </c>
      <c r="E1978" s="142">
        <v>0.2659333333333333</v>
      </c>
      <c r="F1978" s="4" t="s">
        <v>3065</v>
      </c>
      <c r="G1978" s="4" t="s">
        <v>3065</v>
      </c>
      <c r="H1978" s="4" t="str">
        <f t="shared" si="33"/>
        <v>No</v>
      </c>
      <c r="I1978" s="56"/>
    </row>
    <row r="1979" spans="1:9">
      <c r="A1979" s="97" t="s">
        <v>2438</v>
      </c>
      <c r="B1979" s="97" t="s">
        <v>1292</v>
      </c>
      <c r="C1979" s="163">
        <v>4131</v>
      </c>
      <c r="D1979" s="95" t="s">
        <v>1297</v>
      </c>
      <c r="E1979" s="142">
        <v>0.2135</v>
      </c>
      <c r="F1979" s="4" t="s">
        <v>3065</v>
      </c>
      <c r="G1979" s="4" t="s">
        <v>3065</v>
      </c>
      <c r="H1979" s="4" t="str">
        <f t="shared" si="33"/>
        <v>No</v>
      </c>
      <c r="I1979" s="56"/>
    </row>
    <row r="1980" spans="1:9">
      <c r="A1980" s="97" t="s">
        <v>2438</v>
      </c>
      <c r="B1980" s="97" t="s">
        <v>1292</v>
      </c>
      <c r="C1980" s="163">
        <v>5527</v>
      </c>
      <c r="D1980" s="95" t="s">
        <v>2811</v>
      </c>
      <c r="E1980" s="142">
        <v>0.58946666666666669</v>
      </c>
      <c r="F1980" s="4" t="s">
        <v>2752</v>
      </c>
      <c r="G1980" s="4" t="s">
        <v>2752</v>
      </c>
      <c r="H1980" s="4" t="str">
        <f t="shared" si="33"/>
        <v>No</v>
      </c>
      <c r="I1980" s="56"/>
    </row>
    <row r="1981" spans="1:9">
      <c r="A1981" s="97" t="s">
        <v>2547</v>
      </c>
      <c r="B1981" s="97" t="s">
        <v>2150</v>
      </c>
      <c r="C1981" s="163">
        <v>2115</v>
      </c>
      <c r="D1981" s="95" t="s">
        <v>2151</v>
      </c>
      <c r="E1981" s="142">
        <v>0</v>
      </c>
      <c r="F1981" s="4" t="s">
        <v>3065</v>
      </c>
      <c r="G1981" s="4" t="s">
        <v>3065</v>
      </c>
      <c r="H1981" s="4" t="str">
        <f t="shared" si="33"/>
        <v>No</v>
      </c>
      <c r="I1981" s="56"/>
    </row>
    <row r="1982" spans="1:9">
      <c r="A1982" s="97" t="s">
        <v>2471</v>
      </c>
      <c r="B1982" s="97" t="s">
        <v>1591</v>
      </c>
      <c r="C1982" s="163">
        <v>2882</v>
      </c>
      <c r="D1982" s="95" t="s">
        <v>937</v>
      </c>
      <c r="E1982" s="142">
        <v>0.51993333333333325</v>
      </c>
      <c r="F1982" s="4" t="s">
        <v>2752</v>
      </c>
      <c r="G1982" s="4" t="s">
        <v>2752</v>
      </c>
      <c r="H1982" s="4" t="str">
        <f t="shared" si="33"/>
        <v>No</v>
      </c>
      <c r="I1982" s="56"/>
    </row>
    <row r="1983" spans="1:9">
      <c r="A1983" s="97" t="s">
        <v>2471</v>
      </c>
      <c r="B1983" s="97" t="s">
        <v>1591</v>
      </c>
      <c r="C1983" s="163">
        <v>2682</v>
      </c>
      <c r="D1983" s="95" t="s">
        <v>767</v>
      </c>
      <c r="E1983" s="142">
        <v>0.52879999999999994</v>
      </c>
      <c r="F1983" s="4" t="s">
        <v>2752</v>
      </c>
      <c r="G1983" s="4" t="s">
        <v>2752</v>
      </c>
      <c r="H1983" s="4" t="str">
        <f t="shared" si="33"/>
        <v>No</v>
      </c>
      <c r="I1983" s="56"/>
    </row>
    <row r="1984" spans="1:9">
      <c r="A1984" s="97" t="s">
        <v>2471</v>
      </c>
      <c r="B1984" s="97" t="s">
        <v>1591</v>
      </c>
      <c r="C1984" s="163">
        <v>3119</v>
      </c>
      <c r="D1984" s="95" t="s">
        <v>1592</v>
      </c>
      <c r="E1984" s="142">
        <v>0.50206666666666666</v>
      </c>
      <c r="F1984" s="4" t="s">
        <v>2752</v>
      </c>
      <c r="G1984" s="4" t="s">
        <v>3065</v>
      </c>
      <c r="H1984" s="4" t="str">
        <f t="shared" si="33"/>
        <v>No</v>
      </c>
      <c r="I1984" s="56"/>
    </row>
    <row r="1985" spans="1:9">
      <c r="A1985" s="97" t="s">
        <v>2471</v>
      </c>
      <c r="B1985" s="97" t="s">
        <v>1591</v>
      </c>
      <c r="C1985" s="163">
        <v>3800</v>
      </c>
      <c r="D1985" s="95" t="s">
        <v>1593</v>
      </c>
      <c r="E1985" s="142">
        <v>0.53159999999999996</v>
      </c>
      <c r="F1985" s="4" t="s">
        <v>2752</v>
      </c>
      <c r="G1985" s="4" t="s">
        <v>2752</v>
      </c>
      <c r="H1985" s="4" t="str">
        <f t="shared" si="33"/>
        <v>No</v>
      </c>
      <c r="I1985" s="56"/>
    </row>
    <row r="1986" spans="1:9">
      <c r="A1986" s="97" t="s">
        <v>2482</v>
      </c>
      <c r="B1986" s="97" t="s">
        <v>1746</v>
      </c>
      <c r="C1986" s="163">
        <v>4399</v>
      </c>
      <c r="D1986" s="95" t="s">
        <v>1750</v>
      </c>
      <c r="E1986" s="142">
        <v>0.63200000000000001</v>
      </c>
      <c r="F1986" s="4" t="s">
        <v>2752</v>
      </c>
      <c r="G1986" s="4" t="s">
        <v>2752</v>
      </c>
      <c r="H1986" s="4" t="str">
        <f t="shared" si="33"/>
        <v>No</v>
      </c>
      <c r="I1986" s="56"/>
    </row>
    <row r="1987" spans="1:9">
      <c r="A1987" s="97" t="s">
        <v>2482</v>
      </c>
      <c r="B1987" s="97" t="s">
        <v>1746</v>
      </c>
      <c r="C1987" s="163">
        <v>5329</v>
      </c>
      <c r="D1987" s="95" t="s">
        <v>1751</v>
      </c>
      <c r="E1987" s="142">
        <v>0.36310000000000003</v>
      </c>
      <c r="F1987" s="4" t="s">
        <v>3065</v>
      </c>
      <c r="G1987" s="4" t="s">
        <v>3065</v>
      </c>
      <c r="H1987" s="4" t="str">
        <f t="shared" ref="H1987:H2050" si="34">IFERROR(IF(AND(G1987="Yes",F1987="No"),"Yes","No"),"No")</f>
        <v>No</v>
      </c>
      <c r="I1987" s="56"/>
    </row>
    <row r="1988" spans="1:9">
      <c r="A1988" s="97" t="s">
        <v>2482</v>
      </c>
      <c r="B1988" s="97" t="s">
        <v>1746</v>
      </c>
      <c r="C1988" s="163">
        <v>5114</v>
      </c>
      <c r="D1988" s="95" t="s">
        <v>2738</v>
      </c>
      <c r="E1988" s="142">
        <v>0.33766666666666673</v>
      </c>
      <c r="F1988" s="4" t="s">
        <v>3065</v>
      </c>
      <c r="G1988" s="4" t="s">
        <v>3065</v>
      </c>
      <c r="H1988" s="4" t="str">
        <f t="shared" si="34"/>
        <v>No</v>
      </c>
      <c r="I1988" s="56"/>
    </row>
    <row r="1989" spans="1:9">
      <c r="A1989" s="97" t="s">
        <v>2482</v>
      </c>
      <c r="B1989" s="97" t="s">
        <v>1746</v>
      </c>
      <c r="C1989" s="163">
        <v>2229</v>
      </c>
      <c r="D1989" s="95" t="s">
        <v>1748</v>
      </c>
      <c r="E1989" s="142">
        <v>0.52823333333333344</v>
      </c>
      <c r="F1989" s="4" t="s">
        <v>2752</v>
      </c>
      <c r="G1989" s="4" t="s">
        <v>2752</v>
      </c>
      <c r="H1989" s="4" t="str">
        <f t="shared" si="34"/>
        <v>No</v>
      </c>
      <c r="I1989" s="56"/>
    </row>
    <row r="1990" spans="1:9">
      <c r="A1990" s="97" t="s">
        <v>2482</v>
      </c>
      <c r="B1990" s="97" t="s">
        <v>1746</v>
      </c>
      <c r="C1990" s="163">
        <v>2105</v>
      </c>
      <c r="D1990" s="95" t="s">
        <v>1747</v>
      </c>
      <c r="E1990" s="142">
        <v>0.5583999999999999</v>
      </c>
      <c r="F1990" s="4" t="s">
        <v>2752</v>
      </c>
      <c r="G1990" s="4" t="s">
        <v>2752</v>
      </c>
      <c r="H1990" s="4" t="str">
        <f t="shared" si="34"/>
        <v>No</v>
      </c>
      <c r="I1990" s="56"/>
    </row>
    <row r="1991" spans="1:9">
      <c r="A1991" s="97" t="s">
        <v>2482</v>
      </c>
      <c r="B1991" s="97" t="s">
        <v>1746</v>
      </c>
      <c r="C1991" s="163">
        <v>5641</v>
      </c>
      <c r="D1991" s="95" t="s">
        <v>2934</v>
      </c>
      <c r="E1991" s="142">
        <v>0.51575000000000004</v>
      </c>
      <c r="F1991" s="4" t="s">
        <v>2752</v>
      </c>
      <c r="G1991" s="4" t="s">
        <v>3065</v>
      </c>
      <c r="H1991" s="4" t="str">
        <f t="shared" si="34"/>
        <v>No</v>
      </c>
      <c r="I1991" s="56"/>
    </row>
    <row r="1992" spans="1:9">
      <c r="A1992" s="97" t="s">
        <v>2482</v>
      </c>
      <c r="B1992" s="97" t="s">
        <v>1746</v>
      </c>
      <c r="C1992" s="163">
        <v>4274</v>
      </c>
      <c r="D1992" s="95" t="s">
        <v>1749</v>
      </c>
      <c r="E1992" s="142">
        <v>0.50396666666666667</v>
      </c>
      <c r="F1992" s="4" t="s">
        <v>2752</v>
      </c>
      <c r="G1992" s="4" t="s">
        <v>3065</v>
      </c>
      <c r="H1992" s="4" t="str">
        <f t="shared" si="34"/>
        <v>No</v>
      </c>
      <c r="I1992" s="56"/>
    </row>
    <row r="1993" spans="1:9">
      <c r="A1993" s="97" t="s">
        <v>2482</v>
      </c>
      <c r="B1993" s="97" t="s">
        <v>1746</v>
      </c>
      <c r="C1993" s="163">
        <v>5642</v>
      </c>
      <c r="D1993" s="95" t="s">
        <v>2935</v>
      </c>
      <c r="E1993" s="142">
        <v>0.50350000000000006</v>
      </c>
      <c r="F1993" s="4" t="s">
        <v>2752</v>
      </c>
      <c r="G1993" s="4" t="s">
        <v>3065</v>
      </c>
      <c r="H1993" s="4" t="str">
        <f t="shared" si="34"/>
        <v>No</v>
      </c>
      <c r="I1993" s="56"/>
    </row>
    <row r="1994" spans="1:9">
      <c r="A1994" s="97" t="s">
        <v>2586</v>
      </c>
      <c r="B1994" s="97" t="s">
        <v>2709</v>
      </c>
      <c r="C1994" s="163">
        <v>5469</v>
      </c>
      <c r="D1994" s="95" t="s">
        <v>2709</v>
      </c>
      <c r="E1994" s="142">
        <v>0.45423333333333332</v>
      </c>
      <c r="F1994" s="4" t="s">
        <v>3065</v>
      </c>
      <c r="G1994" s="4" t="s">
        <v>2752</v>
      </c>
      <c r="H1994" s="4" t="str">
        <f t="shared" si="34"/>
        <v>Yes</v>
      </c>
      <c r="I1994" s="56"/>
    </row>
    <row r="1995" spans="1:9">
      <c r="A1995" s="97" t="s">
        <v>2453</v>
      </c>
      <c r="B1995" s="97" t="s">
        <v>1522</v>
      </c>
      <c r="C1995" s="163">
        <v>5376</v>
      </c>
      <c r="D1995" s="95" t="s">
        <v>1522</v>
      </c>
      <c r="E1995" s="142">
        <v>0.61599999999999999</v>
      </c>
      <c r="F1995" s="4" t="s">
        <v>2752</v>
      </c>
      <c r="G1995" s="4" t="s">
        <v>2752</v>
      </c>
      <c r="H1995" s="4" t="str">
        <f t="shared" si="34"/>
        <v>No</v>
      </c>
      <c r="I1995" s="56"/>
    </row>
    <row r="1996" spans="1:9">
      <c r="A1996" s="97" t="s">
        <v>2367</v>
      </c>
      <c r="B1996" s="97" t="s">
        <v>1011</v>
      </c>
      <c r="C1996" s="163">
        <v>5375</v>
      </c>
      <c r="D1996" s="95" t="s">
        <v>1011</v>
      </c>
      <c r="E1996" s="142">
        <v>0.32493333333333335</v>
      </c>
      <c r="F1996" s="4" t="s">
        <v>3065</v>
      </c>
      <c r="G1996" s="4" t="s">
        <v>3065</v>
      </c>
      <c r="H1996" s="4" t="str">
        <f t="shared" si="34"/>
        <v>No</v>
      </c>
      <c r="I1996" s="56"/>
    </row>
    <row r="1997" spans="1:9">
      <c r="A1997" s="97" t="s">
        <v>2509</v>
      </c>
      <c r="B1997" s="97" t="s">
        <v>1945</v>
      </c>
      <c r="C1997" s="163">
        <v>4394</v>
      </c>
      <c r="D1997" s="95" t="s">
        <v>1946</v>
      </c>
      <c r="E1997" s="142">
        <v>0.7782</v>
      </c>
      <c r="F1997" s="4" t="s">
        <v>2752</v>
      </c>
      <c r="G1997" s="4" t="s">
        <v>2752</v>
      </c>
      <c r="H1997" s="4" t="str">
        <f t="shared" si="34"/>
        <v>No</v>
      </c>
      <c r="I1997" s="56"/>
    </row>
    <row r="1998" spans="1:9">
      <c r="A1998" s="97" t="s">
        <v>2443</v>
      </c>
      <c r="B1998" s="97" t="s">
        <v>1396</v>
      </c>
      <c r="C1998" s="163">
        <v>3349</v>
      </c>
      <c r="D1998" s="95" t="s">
        <v>1399</v>
      </c>
      <c r="E1998" s="142">
        <v>0.27289999999999998</v>
      </c>
      <c r="F1998" s="4" t="s">
        <v>3065</v>
      </c>
      <c r="G1998" s="4" t="s">
        <v>3065</v>
      </c>
      <c r="H1998" s="4" t="str">
        <f t="shared" si="34"/>
        <v>No</v>
      </c>
      <c r="I1998" s="56"/>
    </row>
    <row r="1999" spans="1:9">
      <c r="A1999" s="97" t="s">
        <v>2443</v>
      </c>
      <c r="B1999" s="97" t="s">
        <v>1396</v>
      </c>
      <c r="C1999" s="163">
        <v>4585</v>
      </c>
      <c r="D1999" s="95" t="s">
        <v>1408</v>
      </c>
      <c r="E1999" s="142">
        <v>0.27246666666666669</v>
      </c>
      <c r="F1999" s="4" t="s">
        <v>3065</v>
      </c>
      <c r="G1999" s="4" t="s">
        <v>3065</v>
      </c>
      <c r="H1999" s="4" t="str">
        <f t="shared" si="34"/>
        <v>No</v>
      </c>
      <c r="I1999" s="56"/>
    </row>
    <row r="2000" spans="1:9">
      <c r="A2000" s="97" t="s">
        <v>2443</v>
      </c>
      <c r="B2000" s="97" t="s">
        <v>1396</v>
      </c>
      <c r="C2000" s="163">
        <v>4435</v>
      </c>
      <c r="D2000" s="95" t="s">
        <v>1406</v>
      </c>
      <c r="E2000" s="142">
        <v>0.30269999999999997</v>
      </c>
      <c r="F2000" s="4" t="s">
        <v>3065</v>
      </c>
      <c r="G2000" s="4" t="s">
        <v>3065</v>
      </c>
      <c r="H2000" s="4" t="str">
        <f t="shared" si="34"/>
        <v>No</v>
      </c>
      <c r="I2000" s="56"/>
    </row>
    <row r="2001" spans="1:9">
      <c r="A2001" s="97" t="s">
        <v>2443</v>
      </c>
      <c r="B2001" s="97" t="s">
        <v>1396</v>
      </c>
      <c r="C2001" s="163">
        <v>4541</v>
      </c>
      <c r="D2001" s="95" t="s">
        <v>1407</v>
      </c>
      <c r="E2001" s="142">
        <v>0.54336666666666666</v>
      </c>
      <c r="F2001" s="4" t="s">
        <v>2752</v>
      </c>
      <c r="G2001" s="4" t="s">
        <v>2752</v>
      </c>
      <c r="H2001" s="4" t="str">
        <f t="shared" si="34"/>
        <v>No</v>
      </c>
      <c r="I2001" s="56"/>
    </row>
    <row r="2002" spans="1:9">
      <c r="A2002" s="97" t="s">
        <v>2443</v>
      </c>
      <c r="B2002" s="97" t="s">
        <v>1396</v>
      </c>
      <c r="C2002" s="163">
        <v>3399</v>
      </c>
      <c r="D2002" s="95" t="s">
        <v>1400</v>
      </c>
      <c r="E2002" s="142">
        <v>0.15523333333333333</v>
      </c>
      <c r="F2002" s="4" t="s">
        <v>3065</v>
      </c>
      <c r="G2002" s="4" t="s">
        <v>3065</v>
      </c>
      <c r="H2002" s="4" t="str">
        <f t="shared" si="34"/>
        <v>No</v>
      </c>
      <c r="I2002" s="56"/>
    </row>
    <row r="2003" spans="1:9">
      <c r="A2003" s="97" t="s">
        <v>2443</v>
      </c>
      <c r="B2003" s="97" t="s">
        <v>1396</v>
      </c>
      <c r="C2003" s="163">
        <v>4250</v>
      </c>
      <c r="D2003" s="95" t="s">
        <v>1404</v>
      </c>
      <c r="E2003" s="142">
        <v>0.2825333333333333</v>
      </c>
      <c r="F2003" s="4" t="s">
        <v>3065</v>
      </c>
      <c r="G2003" s="4" t="s">
        <v>3065</v>
      </c>
      <c r="H2003" s="4" t="str">
        <f t="shared" si="34"/>
        <v>No</v>
      </c>
      <c r="I2003" s="56"/>
    </row>
    <row r="2004" spans="1:9">
      <c r="A2004" s="97" t="s">
        <v>2443</v>
      </c>
      <c r="B2004" s="97" t="s">
        <v>1396</v>
      </c>
      <c r="C2004" s="163">
        <v>4132</v>
      </c>
      <c r="D2004" s="95" t="s">
        <v>1402</v>
      </c>
      <c r="E2004" s="142">
        <v>0.31126666666666664</v>
      </c>
      <c r="F2004" s="4" t="s">
        <v>3065</v>
      </c>
      <c r="G2004" s="4" t="s">
        <v>3065</v>
      </c>
      <c r="H2004" s="4" t="str">
        <f t="shared" si="34"/>
        <v>No</v>
      </c>
      <c r="I2004" s="56"/>
    </row>
    <row r="2005" spans="1:9">
      <c r="A2005" s="97" t="s">
        <v>2443</v>
      </c>
      <c r="B2005" s="97" t="s">
        <v>1396</v>
      </c>
      <c r="C2005" s="163">
        <v>4402</v>
      </c>
      <c r="D2005" s="95" t="s">
        <v>1405</v>
      </c>
      <c r="E2005" s="142">
        <v>0.42943333333333333</v>
      </c>
      <c r="F2005" s="4" t="s">
        <v>3065</v>
      </c>
      <c r="G2005" s="4" t="s">
        <v>3065</v>
      </c>
      <c r="H2005" s="4" t="str">
        <f t="shared" si="34"/>
        <v>No</v>
      </c>
      <c r="I2005" s="56"/>
    </row>
    <row r="2006" spans="1:9">
      <c r="A2006" s="97" t="s">
        <v>2443</v>
      </c>
      <c r="B2006" s="97" t="s">
        <v>1396</v>
      </c>
      <c r="C2006" s="163">
        <v>2875</v>
      </c>
      <c r="D2006" s="95" t="s">
        <v>1397</v>
      </c>
      <c r="E2006" s="142">
        <v>0.26573333333333332</v>
      </c>
      <c r="F2006" s="4" t="s">
        <v>3065</v>
      </c>
      <c r="G2006" s="4" t="s">
        <v>3065</v>
      </c>
      <c r="H2006" s="4" t="str">
        <f t="shared" si="34"/>
        <v>No</v>
      </c>
      <c r="I2006" s="56"/>
    </row>
    <row r="2007" spans="1:9">
      <c r="A2007" s="97" t="s">
        <v>2443</v>
      </c>
      <c r="B2007" s="97" t="s">
        <v>1396</v>
      </c>
      <c r="C2007" s="163">
        <v>4502</v>
      </c>
      <c r="D2007" s="95" t="s">
        <v>1026</v>
      </c>
      <c r="E2007" s="142">
        <v>0.26186666666666669</v>
      </c>
      <c r="F2007" s="4" t="s">
        <v>3065</v>
      </c>
      <c r="G2007" s="4" t="s">
        <v>3065</v>
      </c>
      <c r="H2007" s="4" t="str">
        <f t="shared" si="34"/>
        <v>No</v>
      </c>
      <c r="I2007" s="56"/>
    </row>
    <row r="2008" spans="1:9">
      <c r="A2008" s="97" t="s">
        <v>2443</v>
      </c>
      <c r="B2008" s="97" t="s">
        <v>1396</v>
      </c>
      <c r="C2008" s="163">
        <v>3247</v>
      </c>
      <c r="D2008" s="95" t="s">
        <v>1398</v>
      </c>
      <c r="E2008" s="142">
        <v>0.27489999999999998</v>
      </c>
      <c r="F2008" s="4" t="s">
        <v>3065</v>
      </c>
      <c r="G2008" s="4" t="s">
        <v>3065</v>
      </c>
      <c r="H2008" s="4" t="str">
        <f t="shared" si="34"/>
        <v>No</v>
      </c>
      <c r="I2008" s="56"/>
    </row>
    <row r="2009" spans="1:9">
      <c r="A2009" s="97" t="s">
        <v>2443</v>
      </c>
      <c r="B2009" s="97" t="s">
        <v>1396</v>
      </c>
      <c r="C2009" s="163">
        <v>3499</v>
      </c>
      <c r="D2009" s="95" t="s">
        <v>1401</v>
      </c>
      <c r="E2009" s="142">
        <v>0.40093333333333331</v>
      </c>
      <c r="F2009" s="4" t="s">
        <v>3065</v>
      </c>
      <c r="G2009" s="4" t="s">
        <v>3065</v>
      </c>
      <c r="H2009" s="4" t="str">
        <f t="shared" si="34"/>
        <v>No</v>
      </c>
      <c r="I2009" s="56"/>
    </row>
    <row r="2010" spans="1:9">
      <c r="A2010" s="97" t="s">
        <v>2443</v>
      </c>
      <c r="B2010" s="97" t="s">
        <v>1396</v>
      </c>
      <c r="C2010" s="163">
        <v>5524</v>
      </c>
      <c r="D2010" s="95" t="s">
        <v>2936</v>
      </c>
      <c r="E2010" s="142">
        <v>7.5999999999999998E-2</v>
      </c>
      <c r="F2010" s="4" t="s">
        <v>3065</v>
      </c>
      <c r="G2010" s="4" t="s">
        <v>3065</v>
      </c>
      <c r="H2010" s="4" t="str">
        <f t="shared" si="34"/>
        <v>No</v>
      </c>
      <c r="I2010" s="56"/>
    </row>
    <row r="2011" spans="1:9">
      <c r="A2011" s="97" t="s">
        <v>2443</v>
      </c>
      <c r="B2011" s="97" t="s">
        <v>1396</v>
      </c>
      <c r="C2011" s="163">
        <v>4166</v>
      </c>
      <c r="D2011" s="95" t="s">
        <v>1403</v>
      </c>
      <c r="E2011" s="142">
        <v>0.21246666666666666</v>
      </c>
      <c r="F2011" s="4" t="s">
        <v>3065</v>
      </c>
      <c r="G2011" s="4" t="s">
        <v>3065</v>
      </c>
      <c r="H2011" s="4" t="str">
        <f t="shared" si="34"/>
        <v>No</v>
      </c>
      <c r="I2011" s="56"/>
    </row>
    <row r="2012" spans="1:9">
      <c r="A2012" s="97" t="s">
        <v>2560</v>
      </c>
      <c r="B2012" s="97" t="s">
        <v>2212</v>
      </c>
      <c r="C2012" s="163">
        <v>4000</v>
      </c>
      <c r="D2012" s="95" t="s">
        <v>2216</v>
      </c>
      <c r="E2012" s="142">
        <v>0.79030000000000011</v>
      </c>
      <c r="F2012" s="4" t="s">
        <v>2752</v>
      </c>
      <c r="G2012" s="4" t="s">
        <v>2752</v>
      </c>
      <c r="H2012" s="4" t="str">
        <f t="shared" si="34"/>
        <v>No</v>
      </c>
      <c r="I2012" s="56"/>
    </row>
    <row r="2013" spans="1:9">
      <c r="A2013" s="97" t="s">
        <v>2560</v>
      </c>
      <c r="B2013" s="97" t="s">
        <v>2212</v>
      </c>
      <c r="C2013" s="163">
        <v>3313</v>
      </c>
      <c r="D2013" s="95" t="s">
        <v>2215</v>
      </c>
      <c r="E2013" s="142">
        <v>0.75236666666666663</v>
      </c>
      <c r="F2013" s="4" t="s">
        <v>2752</v>
      </c>
      <c r="G2013" s="4" t="s">
        <v>2752</v>
      </c>
      <c r="H2013" s="4" t="str">
        <f t="shared" si="34"/>
        <v>No</v>
      </c>
      <c r="I2013" s="56"/>
    </row>
    <row r="2014" spans="1:9">
      <c r="A2014" s="97" t="s">
        <v>2560</v>
      </c>
      <c r="B2014" s="97" t="s">
        <v>2212</v>
      </c>
      <c r="C2014" s="163">
        <v>2469</v>
      </c>
      <c r="D2014" s="95" t="s">
        <v>2213</v>
      </c>
      <c r="E2014" s="142">
        <v>0.77033333333333331</v>
      </c>
      <c r="F2014" s="4" t="s">
        <v>2752</v>
      </c>
      <c r="G2014" s="4" t="s">
        <v>2752</v>
      </c>
      <c r="H2014" s="4" t="str">
        <f t="shared" si="34"/>
        <v>No</v>
      </c>
      <c r="I2014" s="56"/>
    </row>
    <row r="2015" spans="1:9">
      <c r="A2015" s="97" t="s">
        <v>2560</v>
      </c>
      <c r="B2015" s="97" t="s">
        <v>2212</v>
      </c>
      <c r="C2015" s="163">
        <v>4497</v>
      </c>
      <c r="D2015" s="95" t="s">
        <v>244</v>
      </c>
      <c r="E2015" s="142">
        <v>0.77366666666666661</v>
      </c>
      <c r="F2015" s="4" t="s">
        <v>2752</v>
      </c>
      <c r="G2015" s="4" t="s">
        <v>2752</v>
      </c>
      <c r="H2015" s="4" t="str">
        <f t="shared" si="34"/>
        <v>No</v>
      </c>
      <c r="I2015" s="56"/>
    </row>
    <row r="2016" spans="1:9">
      <c r="A2016" s="97" t="s">
        <v>2560</v>
      </c>
      <c r="B2016" s="97" t="s">
        <v>2212</v>
      </c>
      <c r="C2016" s="163">
        <v>5352</v>
      </c>
      <c r="D2016" s="95" t="s">
        <v>2219</v>
      </c>
      <c r="E2016" s="142">
        <v>0.79126666666666667</v>
      </c>
      <c r="F2016" s="4" t="s">
        <v>2752</v>
      </c>
      <c r="G2016" s="4" t="s">
        <v>2752</v>
      </c>
      <c r="H2016" s="4" t="str">
        <f t="shared" si="34"/>
        <v>No</v>
      </c>
      <c r="I2016" s="56"/>
    </row>
    <row r="2017" spans="1:9">
      <c r="A2017" s="97" t="s">
        <v>2560</v>
      </c>
      <c r="B2017" s="97" t="s">
        <v>2212</v>
      </c>
      <c r="C2017" s="163">
        <v>5049</v>
      </c>
      <c r="D2017" s="95" t="s">
        <v>2217</v>
      </c>
      <c r="E2017" s="142">
        <v>0.78806666666666658</v>
      </c>
      <c r="F2017" s="4" t="s">
        <v>2752</v>
      </c>
      <c r="G2017" s="4" t="s">
        <v>2752</v>
      </c>
      <c r="H2017" s="4" t="str">
        <f t="shared" si="34"/>
        <v>No</v>
      </c>
      <c r="I2017" s="56"/>
    </row>
    <row r="2018" spans="1:9">
      <c r="A2018" s="97" t="s">
        <v>2560</v>
      </c>
      <c r="B2018" s="97" t="s">
        <v>2212</v>
      </c>
      <c r="C2018" s="163">
        <v>5137</v>
      </c>
      <c r="D2018" s="95" t="s">
        <v>2218</v>
      </c>
      <c r="E2018" s="142">
        <v>0.79979999999999996</v>
      </c>
      <c r="F2018" s="4" t="s">
        <v>2752</v>
      </c>
      <c r="G2018" s="4" t="s">
        <v>2752</v>
      </c>
      <c r="H2018" s="4" t="str">
        <f t="shared" si="34"/>
        <v>No</v>
      </c>
      <c r="I2018" s="56"/>
    </row>
    <row r="2019" spans="1:9">
      <c r="A2019" s="97" t="s">
        <v>2560</v>
      </c>
      <c r="B2019" s="97" t="s">
        <v>2212</v>
      </c>
      <c r="C2019" s="163">
        <v>2959</v>
      </c>
      <c r="D2019" s="95" t="s">
        <v>2214</v>
      </c>
      <c r="E2019" s="142">
        <v>0.72483333333333333</v>
      </c>
      <c r="F2019" s="4" t="s">
        <v>2752</v>
      </c>
      <c r="G2019" s="4" t="s">
        <v>2752</v>
      </c>
      <c r="H2019" s="4" t="str">
        <f t="shared" si="34"/>
        <v>No</v>
      </c>
      <c r="I2019" s="56"/>
    </row>
    <row r="2020" spans="1:9">
      <c r="A2020" s="97" t="s">
        <v>2560</v>
      </c>
      <c r="B2020" s="97" t="s">
        <v>2212</v>
      </c>
      <c r="C2020" s="163">
        <v>2717</v>
      </c>
      <c r="D2020" s="95" t="s">
        <v>186</v>
      </c>
      <c r="E2020" s="142">
        <v>0.79543333333333333</v>
      </c>
      <c r="F2020" s="4" t="s">
        <v>2752</v>
      </c>
      <c r="G2020" s="4" t="s">
        <v>2752</v>
      </c>
      <c r="H2020" s="4" t="str">
        <f t="shared" si="34"/>
        <v>No</v>
      </c>
      <c r="I2020" s="56"/>
    </row>
    <row r="2021" spans="1:9">
      <c r="A2021" s="97" t="s">
        <v>2376</v>
      </c>
      <c r="B2021" s="97" t="s">
        <v>1081</v>
      </c>
      <c r="C2021" s="163">
        <v>5319</v>
      </c>
      <c r="D2021" s="95" t="s">
        <v>1082</v>
      </c>
      <c r="E2021" s="142">
        <v>0.63726666666666665</v>
      </c>
      <c r="F2021" s="4" t="s">
        <v>2752</v>
      </c>
      <c r="G2021" s="4" t="s">
        <v>2752</v>
      </c>
      <c r="H2021" s="4" t="str">
        <f t="shared" si="34"/>
        <v>No</v>
      </c>
      <c r="I2021" s="56"/>
    </row>
    <row r="2022" spans="1:9">
      <c r="A2022" s="97" t="s">
        <v>2440</v>
      </c>
      <c r="B2022" s="97" t="s">
        <v>1330</v>
      </c>
      <c r="C2022" s="163">
        <v>4575</v>
      </c>
      <c r="D2022" s="95" t="s">
        <v>1380</v>
      </c>
      <c r="E2022" s="142">
        <v>0.75436666666666674</v>
      </c>
      <c r="F2022" s="4" t="s">
        <v>2752</v>
      </c>
      <c r="G2022" s="4" t="s">
        <v>2752</v>
      </c>
      <c r="H2022" s="4" t="str">
        <f t="shared" si="34"/>
        <v>No</v>
      </c>
      <c r="I2022" s="56"/>
    </row>
    <row r="2023" spans="1:9">
      <c r="A2023" s="97" t="s">
        <v>2440</v>
      </c>
      <c r="B2023" s="97" t="s">
        <v>1330</v>
      </c>
      <c r="C2023" s="163">
        <v>2940</v>
      </c>
      <c r="D2023" s="95" t="s">
        <v>1361</v>
      </c>
      <c r="E2023" s="142">
        <v>0.71826666666666672</v>
      </c>
      <c r="F2023" s="4" t="s">
        <v>2752</v>
      </c>
      <c r="G2023" s="4" t="s">
        <v>2752</v>
      </c>
      <c r="H2023" s="4" t="str">
        <f t="shared" si="34"/>
        <v>No</v>
      </c>
      <c r="I2023" s="56"/>
    </row>
    <row r="2024" spans="1:9">
      <c r="A2024" s="97" t="s">
        <v>2440</v>
      </c>
      <c r="B2024" s="97" t="s">
        <v>1330</v>
      </c>
      <c r="C2024" s="163">
        <v>3054</v>
      </c>
      <c r="D2024" s="95" t="s">
        <v>1364</v>
      </c>
      <c r="E2024" s="142">
        <v>0.72473333333333334</v>
      </c>
      <c r="F2024" s="4" t="s">
        <v>2752</v>
      </c>
      <c r="G2024" s="4" t="s">
        <v>2752</v>
      </c>
      <c r="H2024" s="4" t="str">
        <f t="shared" si="34"/>
        <v>No</v>
      </c>
      <c r="I2024" s="56"/>
    </row>
    <row r="2025" spans="1:9">
      <c r="A2025" s="97" t="s">
        <v>2440</v>
      </c>
      <c r="B2025" s="97" t="s">
        <v>1330</v>
      </c>
      <c r="C2025" s="163">
        <v>3449</v>
      </c>
      <c r="D2025" s="95" t="s">
        <v>1371</v>
      </c>
      <c r="E2025" s="142">
        <v>0.71626666666666672</v>
      </c>
      <c r="F2025" s="4" t="s">
        <v>2752</v>
      </c>
      <c r="G2025" s="4" t="s">
        <v>2752</v>
      </c>
      <c r="H2025" s="4" t="str">
        <f t="shared" si="34"/>
        <v>No</v>
      </c>
      <c r="I2025" s="56"/>
    </row>
    <row r="2026" spans="1:9">
      <c r="A2026" s="97" t="s">
        <v>2440</v>
      </c>
      <c r="B2026" s="97" t="s">
        <v>1330</v>
      </c>
      <c r="C2026" s="163">
        <v>2094</v>
      </c>
      <c r="D2026" s="95" t="s">
        <v>1334</v>
      </c>
      <c r="E2026" s="142">
        <v>0.71196666666666675</v>
      </c>
      <c r="F2026" s="4" t="s">
        <v>2752</v>
      </c>
      <c r="G2026" s="4" t="s">
        <v>2752</v>
      </c>
      <c r="H2026" s="4" t="str">
        <f t="shared" si="34"/>
        <v>No</v>
      </c>
      <c r="I2026" s="56"/>
    </row>
    <row r="2027" spans="1:9">
      <c r="A2027" s="97" t="s">
        <v>2440</v>
      </c>
      <c r="B2027" s="97" t="s">
        <v>1330</v>
      </c>
      <c r="C2027" s="163">
        <v>3646</v>
      </c>
      <c r="D2027" s="95" t="s">
        <v>1375</v>
      </c>
      <c r="E2027" s="142">
        <v>0.69799999999999995</v>
      </c>
      <c r="F2027" s="4" t="s">
        <v>2752</v>
      </c>
      <c r="G2027" s="4" t="s">
        <v>2752</v>
      </c>
      <c r="H2027" s="4" t="str">
        <f t="shared" si="34"/>
        <v>No</v>
      </c>
      <c r="I2027" s="56"/>
    </row>
    <row r="2028" spans="1:9">
      <c r="A2028" s="97" t="s">
        <v>2440</v>
      </c>
      <c r="B2028" s="97" t="s">
        <v>1330</v>
      </c>
      <c r="C2028" s="163">
        <v>2872</v>
      </c>
      <c r="D2028" s="95" t="s">
        <v>1357</v>
      </c>
      <c r="E2028" s="142">
        <v>0.17166666666666666</v>
      </c>
      <c r="F2028" s="4" t="s">
        <v>3065</v>
      </c>
      <c r="G2028" s="4" t="s">
        <v>3065</v>
      </c>
      <c r="H2028" s="4" t="str">
        <f t="shared" si="34"/>
        <v>No</v>
      </c>
      <c r="I2028" s="56"/>
    </row>
    <row r="2029" spans="1:9">
      <c r="A2029" s="97" t="s">
        <v>2440</v>
      </c>
      <c r="B2029" s="97" t="s">
        <v>1330</v>
      </c>
      <c r="C2029" s="163">
        <v>3397</v>
      </c>
      <c r="D2029" s="95" t="s">
        <v>1368</v>
      </c>
      <c r="E2029" s="142">
        <v>0.44203333333333333</v>
      </c>
      <c r="F2029" s="4" t="s">
        <v>3065</v>
      </c>
      <c r="G2029" s="4" t="s">
        <v>3065</v>
      </c>
      <c r="H2029" s="4" t="str">
        <f t="shared" si="34"/>
        <v>No</v>
      </c>
      <c r="I2029" s="56"/>
    </row>
    <row r="2030" spans="1:9">
      <c r="A2030" s="97" t="s">
        <v>2440</v>
      </c>
      <c r="B2030" s="97" t="s">
        <v>1330</v>
      </c>
      <c r="C2030" s="163">
        <v>5627</v>
      </c>
      <c r="D2030" s="95" t="s">
        <v>2937</v>
      </c>
      <c r="E2030" s="142">
        <v>0.42025000000000001</v>
      </c>
      <c r="F2030" s="4" t="s">
        <v>3065</v>
      </c>
      <c r="G2030" s="4" t="s">
        <v>3065</v>
      </c>
      <c r="H2030" s="4" t="str">
        <f t="shared" si="34"/>
        <v>No</v>
      </c>
      <c r="I2030" s="56"/>
    </row>
    <row r="2031" spans="1:9">
      <c r="A2031" s="97" t="s">
        <v>2440</v>
      </c>
      <c r="B2031" s="97" t="s">
        <v>1330</v>
      </c>
      <c r="C2031" s="163">
        <v>1585</v>
      </c>
      <c r="D2031" s="95" t="s">
        <v>2739</v>
      </c>
      <c r="E2031" s="142">
        <v>0.61293333333333333</v>
      </c>
      <c r="F2031" s="4" t="s">
        <v>2752</v>
      </c>
      <c r="G2031" s="4" t="s">
        <v>2752</v>
      </c>
      <c r="H2031" s="4" t="str">
        <f t="shared" si="34"/>
        <v>No</v>
      </c>
      <c r="I2031" s="56"/>
    </row>
    <row r="2032" spans="1:9">
      <c r="A2032" s="97" t="s">
        <v>2440</v>
      </c>
      <c r="B2032" s="97" t="s">
        <v>1330</v>
      </c>
      <c r="C2032" s="163">
        <v>4537</v>
      </c>
      <c r="D2032" s="95" t="s">
        <v>1379</v>
      </c>
      <c r="E2032" s="142">
        <v>0.35003333333333336</v>
      </c>
      <c r="F2032" s="4" t="s">
        <v>3065</v>
      </c>
      <c r="G2032" s="4" t="s">
        <v>3065</v>
      </c>
      <c r="H2032" s="4" t="str">
        <f t="shared" si="34"/>
        <v>No</v>
      </c>
      <c r="I2032" s="56"/>
    </row>
    <row r="2033" spans="1:9">
      <c r="A2033" s="97" t="s">
        <v>2440</v>
      </c>
      <c r="B2033" s="97" t="s">
        <v>1330</v>
      </c>
      <c r="C2033" s="163">
        <v>2939</v>
      </c>
      <c r="D2033" s="95" t="s">
        <v>1360</v>
      </c>
      <c r="E2033" s="142">
        <v>0.63103333333333333</v>
      </c>
      <c r="F2033" s="4" t="s">
        <v>2752</v>
      </c>
      <c r="G2033" s="4" t="s">
        <v>2752</v>
      </c>
      <c r="H2033" s="4" t="str">
        <f t="shared" si="34"/>
        <v>No</v>
      </c>
      <c r="I2033" s="56"/>
    </row>
    <row r="2034" spans="1:9">
      <c r="A2034" s="97" t="s">
        <v>2440</v>
      </c>
      <c r="B2034" s="97" t="s">
        <v>1330</v>
      </c>
      <c r="C2034" s="163">
        <v>2747</v>
      </c>
      <c r="D2034" s="95" t="s">
        <v>1351</v>
      </c>
      <c r="E2034" s="142">
        <v>0.4239</v>
      </c>
      <c r="F2034" s="4" t="s">
        <v>3065</v>
      </c>
      <c r="G2034" s="4" t="s">
        <v>3065</v>
      </c>
      <c r="H2034" s="4" t="str">
        <f t="shared" si="34"/>
        <v>No</v>
      </c>
      <c r="I2034" s="56"/>
    </row>
    <row r="2035" spans="1:9">
      <c r="A2035" s="97" t="s">
        <v>2440</v>
      </c>
      <c r="B2035" s="97" t="s">
        <v>1330</v>
      </c>
      <c r="C2035" s="163">
        <v>2871</v>
      </c>
      <c r="D2035" s="95" t="s">
        <v>1356</v>
      </c>
      <c r="E2035" s="142">
        <v>0.71966666666666679</v>
      </c>
      <c r="F2035" s="4" t="s">
        <v>2752</v>
      </c>
      <c r="G2035" s="4" t="s">
        <v>2752</v>
      </c>
      <c r="H2035" s="4" t="str">
        <f t="shared" si="34"/>
        <v>No</v>
      </c>
      <c r="I2035" s="56"/>
    </row>
    <row r="2036" spans="1:9">
      <c r="A2036" s="97" t="s">
        <v>2440</v>
      </c>
      <c r="B2036" s="97" t="s">
        <v>1330</v>
      </c>
      <c r="C2036" s="163">
        <v>2772</v>
      </c>
      <c r="D2036" s="95" t="s">
        <v>1353</v>
      </c>
      <c r="E2036" s="142">
        <v>0.61886666666666668</v>
      </c>
      <c r="F2036" s="4" t="s">
        <v>2752</v>
      </c>
      <c r="G2036" s="4" t="s">
        <v>2752</v>
      </c>
      <c r="H2036" s="4" t="str">
        <f t="shared" si="34"/>
        <v>No</v>
      </c>
      <c r="I2036" s="56"/>
    </row>
    <row r="2037" spans="1:9">
      <c r="A2037" s="97" t="s">
        <v>2440</v>
      </c>
      <c r="B2037" s="97" t="s">
        <v>1330</v>
      </c>
      <c r="C2037" s="163">
        <v>2167</v>
      </c>
      <c r="D2037" s="95" t="s">
        <v>1337</v>
      </c>
      <c r="E2037" s="142">
        <v>0.67249999999999999</v>
      </c>
      <c r="F2037" s="4" t="s">
        <v>2752</v>
      </c>
      <c r="G2037" s="4" t="s">
        <v>2752</v>
      </c>
      <c r="H2037" s="4" t="str">
        <f t="shared" si="34"/>
        <v>No</v>
      </c>
      <c r="I2037" s="56"/>
    </row>
    <row r="2038" spans="1:9">
      <c r="A2038" s="97" t="s">
        <v>2440</v>
      </c>
      <c r="B2038" s="97" t="s">
        <v>1330</v>
      </c>
      <c r="C2038" s="163">
        <v>5170</v>
      </c>
      <c r="D2038" s="95" t="s">
        <v>1383</v>
      </c>
      <c r="E2038" s="142">
        <v>0.82333333333333325</v>
      </c>
      <c r="F2038" s="4" t="s">
        <v>2752</v>
      </c>
      <c r="G2038" s="4" t="s">
        <v>2752</v>
      </c>
      <c r="H2038" s="4" t="str">
        <f t="shared" si="34"/>
        <v>No</v>
      </c>
      <c r="I2038" s="56"/>
    </row>
    <row r="2039" spans="1:9">
      <c r="A2039" s="97" t="s">
        <v>2440</v>
      </c>
      <c r="B2039" s="97" t="s">
        <v>1330</v>
      </c>
      <c r="C2039" s="163">
        <v>3880</v>
      </c>
      <c r="D2039" s="95" t="s">
        <v>1376</v>
      </c>
      <c r="E2039" s="142">
        <v>0.70913333333333328</v>
      </c>
      <c r="F2039" s="4" t="s">
        <v>2752</v>
      </c>
      <c r="G2039" s="4" t="s">
        <v>2752</v>
      </c>
      <c r="H2039" s="4" t="str">
        <f t="shared" si="34"/>
        <v>No</v>
      </c>
      <c r="I2039" s="56"/>
    </row>
    <row r="2040" spans="1:9">
      <c r="A2040" s="97" t="s">
        <v>2440</v>
      </c>
      <c r="B2040" s="97" t="s">
        <v>1330</v>
      </c>
      <c r="C2040" s="163">
        <v>2148</v>
      </c>
      <c r="D2040" s="95" t="s">
        <v>1336</v>
      </c>
      <c r="E2040" s="142">
        <v>0.69476666666666664</v>
      </c>
      <c r="F2040" s="4" t="s">
        <v>2752</v>
      </c>
      <c r="G2040" s="4" t="s">
        <v>2752</v>
      </c>
      <c r="H2040" s="4" t="str">
        <f t="shared" si="34"/>
        <v>No</v>
      </c>
      <c r="I2040" s="56"/>
    </row>
    <row r="2041" spans="1:9">
      <c r="A2041" s="97" t="s">
        <v>2440</v>
      </c>
      <c r="B2041" s="97" t="s">
        <v>1330</v>
      </c>
      <c r="C2041" s="163">
        <v>2746</v>
      </c>
      <c r="D2041" s="95" t="s">
        <v>1350</v>
      </c>
      <c r="E2041" s="142">
        <v>0.37623333333333336</v>
      </c>
      <c r="F2041" s="4" t="s">
        <v>3065</v>
      </c>
      <c r="G2041" s="4" t="s">
        <v>3065</v>
      </c>
      <c r="H2041" s="4" t="str">
        <f t="shared" si="34"/>
        <v>No</v>
      </c>
      <c r="I2041" s="56"/>
    </row>
    <row r="2042" spans="1:9">
      <c r="A2042" s="97" t="s">
        <v>2440</v>
      </c>
      <c r="B2042" s="97" t="s">
        <v>1330</v>
      </c>
      <c r="C2042" s="163">
        <v>3053</v>
      </c>
      <c r="D2042" s="95" t="s">
        <v>1363</v>
      </c>
      <c r="E2042" s="142">
        <v>0.30236666666666667</v>
      </c>
      <c r="F2042" s="4" t="s">
        <v>3065</v>
      </c>
      <c r="G2042" s="4" t="s">
        <v>3065</v>
      </c>
      <c r="H2042" s="4" t="str">
        <f t="shared" si="34"/>
        <v>No</v>
      </c>
      <c r="I2042" s="56"/>
    </row>
    <row r="2043" spans="1:9">
      <c r="A2043" s="97" t="s">
        <v>2440</v>
      </c>
      <c r="B2043" s="97" t="s">
        <v>1330</v>
      </c>
      <c r="C2043" s="163">
        <v>2377</v>
      </c>
      <c r="D2043" s="95" t="s">
        <v>1349</v>
      </c>
      <c r="E2043" s="142">
        <v>0.78286666666666671</v>
      </c>
      <c r="F2043" s="4" t="s">
        <v>2752</v>
      </c>
      <c r="G2043" s="4" t="s">
        <v>2752</v>
      </c>
      <c r="H2043" s="4" t="str">
        <f t="shared" si="34"/>
        <v>No</v>
      </c>
      <c r="I2043" s="56"/>
    </row>
    <row r="2044" spans="1:9">
      <c r="A2044" s="97" t="s">
        <v>2440</v>
      </c>
      <c r="B2044" s="97" t="s">
        <v>1330</v>
      </c>
      <c r="C2044" s="163">
        <v>5066</v>
      </c>
      <c r="D2044" s="95" t="s">
        <v>1381</v>
      </c>
      <c r="E2044" s="142">
        <v>0.69373333333333331</v>
      </c>
      <c r="F2044" s="4" t="s">
        <v>2752</v>
      </c>
      <c r="G2044" s="4" t="s">
        <v>2752</v>
      </c>
      <c r="H2044" s="4" t="str">
        <f t="shared" si="34"/>
        <v>No</v>
      </c>
      <c r="I2044" s="56"/>
    </row>
    <row r="2045" spans="1:9">
      <c r="A2045" s="97" t="s">
        <v>2440</v>
      </c>
      <c r="B2045" s="97" t="s">
        <v>1330</v>
      </c>
      <c r="C2045" s="163">
        <v>5697</v>
      </c>
      <c r="D2045" s="95" t="s">
        <v>3050</v>
      </c>
      <c r="E2045" s="142">
        <v>0.64190000000000003</v>
      </c>
      <c r="F2045" s="4" t="s">
        <v>2752</v>
      </c>
      <c r="G2045" s="4" t="s">
        <v>3065</v>
      </c>
      <c r="H2045" s="4" t="str">
        <f t="shared" si="34"/>
        <v>No</v>
      </c>
      <c r="I2045" s="56"/>
    </row>
    <row r="2046" spans="1:9">
      <c r="A2046" s="97" t="s">
        <v>2440</v>
      </c>
      <c r="B2046" s="97" t="s">
        <v>1330</v>
      </c>
      <c r="C2046" s="163">
        <v>5458</v>
      </c>
      <c r="D2046" s="95" t="s">
        <v>1384</v>
      </c>
      <c r="E2046" s="142">
        <v>0.4012</v>
      </c>
      <c r="F2046" s="4" t="s">
        <v>3065</v>
      </c>
      <c r="G2046" s="4" t="s">
        <v>3065</v>
      </c>
      <c r="H2046" s="4" t="str">
        <f t="shared" si="34"/>
        <v>No</v>
      </c>
      <c r="I2046" s="56"/>
    </row>
    <row r="2047" spans="1:9">
      <c r="A2047" s="97" t="s">
        <v>2440</v>
      </c>
      <c r="B2047" s="97" t="s">
        <v>1330</v>
      </c>
      <c r="C2047" s="163">
        <v>2338</v>
      </c>
      <c r="D2047" s="95" t="s">
        <v>1345</v>
      </c>
      <c r="E2047" s="142">
        <v>0.6277666666666667</v>
      </c>
      <c r="F2047" s="4" t="s">
        <v>2752</v>
      </c>
      <c r="G2047" s="4" t="s">
        <v>2752</v>
      </c>
      <c r="H2047" s="4" t="str">
        <f t="shared" si="34"/>
        <v>No</v>
      </c>
      <c r="I2047" s="56"/>
    </row>
    <row r="2048" spans="1:9">
      <c r="A2048" s="97" t="s">
        <v>2440</v>
      </c>
      <c r="B2048" s="97" t="s">
        <v>1330</v>
      </c>
      <c r="C2048" s="163">
        <v>2103</v>
      </c>
      <c r="D2048" s="95" t="s">
        <v>1335</v>
      </c>
      <c r="E2048" s="142">
        <v>0.40160000000000001</v>
      </c>
      <c r="F2048" s="4" t="s">
        <v>3065</v>
      </c>
      <c r="G2048" s="4" t="s">
        <v>3065</v>
      </c>
      <c r="H2048" s="4" t="str">
        <f t="shared" si="34"/>
        <v>No</v>
      </c>
      <c r="I2048" s="56"/>
    </row>
    <row r="2049" spans="1:9">
      <c r="A2049" s="97" t="s">
        <v>2440</v>
      </c>
      <c r="B2049" s="97" t="s">
        <v>1330</v>
      </c>
      <c r="C2049" s="163">
        <v>2036</v>
      </c>
      <c r="D2049" s="95" t="s">
        <v>1332</v>
      </c>
      <c r="E2049" s="142">
        <v>0.69853333333333334</v>
      </c>
      <c r="F2049" s="4" t="s">
        <v>2752</v>
      </c>
      <c r="G2049" s="4" t="s">
        <v>2752</v>
      </c>
      <c r="H2049" s="4" t="str">
        <f t="shared" si="34"/>
        <v>No</v>
      </c>
      <c r="I2049" s="56"/>
    </row>
    <row r="2050" spans="1:9">
      <c r="A2050" s="97" t="s">
        <v>2440</v>
      </c>
      <c r="B2050" s="97" t="s">
        <v>1330</v>
      </c>
      <c r="C2050" s="163">
        <v>2215</v>
      </c>
      <c r="D2050" s="95" t="s">
        <v>1340</v>
      </c>
      <c r="E2050" s="142">
        <v>0.73669999999999991</v>
      </c>
      <c r="F2050" s="4" t="s">
        <v>2752</v>
      </c>
      <c r="G2050" s="4" t="s">
        <v>2752</v>
      </c>
      <c r="H2050" s="4" t="str">
        <f t="shared" si="34"/>
        <v>No</v>
      </c>
      <c r="I2050" s="56"/>
    </row>
    <row r="2051" spans="1:9">
      <c r="A2051" s="97" t="s">
        <v>2440</v>
      </c>
      <c r="B2051" s="97" t="s">
        <v>1330</v>
      </c>
      <c r="C2051" s="163">
        <v>2771</v>
      </c>
      <c r="D2051" s="95" t="s">
        <v>1352</v>
      </c>
      <c r="E2051" s="142">
        <v>0.82043333333333335</v>
      </c>
      <c r="F2051" s="4" t="s">
        <v>2752</v>
      </c>
      <c r="G2051" s="4" t="s">
        <v>2752</v>
      </c>
      <c r="H2051" s="4" t="str">
        <f t="shared" ref="H2051:H2114" si="35">IFERROR(IF(AND(G2051="Yes",F2051="No"),"Yes","No"),"No")</f>
        <v>No</v>
      </c>
      <c r="I2051" s="56"/>
    </row>
    <row r="2052" spans="1:9">
      <c r="A2052" s="97" t="s">
        <v>2440</v>
      </c>
      <c r="B2052" s="97" t="s">
        <v>1330</v>
      </c>
      <c r="C2052" s="163">
        <v>2805</v>
      </c>
      <c r="D2052" s="95" t="s">
        <v>1354</v>
      </c>
      <c r="E2052" s="142">
        <v>0.19566666666666666</v>
      </c>
      <c r="F2052" s="4" t="s">
        <v>3065</v>
      </c>
      <c r="G2052" s="4" t="s">
        <v>3065</v>
      </c>
      <c r="H2052" s="4" t="str">
        <f t="shared" si="35"/>
        <v>No</v>
      </c>
      <c r="I2052" s="56"/>
    </row>
    <row r="2053" spans="1:9">
      <c r="A2053" s="97" t="s">
        <v>2440</v>
      </c>
      <c r="B2053" s="97" t="s">
        <v>1330</v>
      </c>
      <c r="C2053" s="163">
        <v>2336</v>
      </c>
      <c r="D2053" s="95" t="s">
        <v>1344</v>
      </c>
      <c r="E2053" s="142">
        <v>0.65963333333333329</v>
      </c>
      <c r="F2053" s="4" t="s">
        <v>2752</v>
      </c>
      <c r="G2053" s="4" t="s">
        <v>2752</v>
      </c>
      <c r="H2053" s="4" t="str">
        <f t="shared" si="35"/>
        <v>No</v>
      </c>
      <c r="I2053" s="56"/>
    </row>
    <row r="2054" spans="1:9">
      <c r="A2054" s="97" t="s">
        <v>2440</v>
      </c>
      <c r="B2054" s="97" t="s">
        <v>1330</v>
      </c>
      <c r="C2054" s="163">
        <v>2252</v>
      </c>
      <c r="D2054" s="95" t="s">
        <v>1342</v>
      </c>
      <c r="E2054" s="142">
        <v>0.71283333333333332</v>
      </c>
      <c r="F2054" s="4" t="s">
        <v>2752</v>
      </c>
      <c r="G2054" s="4" t="s">
        <v>2752</v>
      </c>
      <c r="H2054" s="4" t="str">
        <f t="shared" si="35"/>
        <v>No</v>
      </c>
      <c r="I2054" s="56"/>
    </row>
    <row r="2055" spans="1:9">
      <c r="A2055" s="97" t="s">
        <v>2440</v>
      </c>
      <c r="B2055" s="97" t="s">
        <v>1330</v>
      </c>
      <c r="C2055" s="163">
        <v>2941</v>
      </c>
      <c r="D2055" s="95" t="s">
        <v>1362</v>
      </c>
      <c r="E2055" s="142">
        <v>0.65249999999999997</v>
      </c>
      <c r="F2055" s="4" t="s">
        <v>2752</v>
      </c>
      <c r="G2055" s="4" t="s">
        <v>2752</v>
      </c>
      <c r="H2055" s="4" t="str">
        <f t="shared" si="35"/>
        <v>No</v>
      </c>
      <c r="I2055" s="56"/>
    </row>
    <row r="2056" spans="1:9">
      <c r="A2056" s="97" t="s">
        <v>2440</v>
      </c>
      <c r="B2056" s="97" t="s">
        <v>1330</v>
      </c>
      <c r="C2056" s="163">
        <v>2376</v>
      </c>
      <c r="D2056" s="95" t="s">
        <v>1348</v>
      </c>
      <c r="E2056" s="142">
        <v>0.27579999999999999</v>
      </c>
      <c r="F2056" s="4" t="s">
        <v>3065</v>
      </c>
      <c r="G2056" s="4" t="s">
        <v>3065</v>
      </c>
      <c r="H2056" s="4" t="str">
        <f t="shared" si="35"/>
        <v>No</v>
      </c>
      <c r="I2056" s="56"/>
    </row>
    <row r="2057" spans="1:9">
      <c r="A2057" s="97" t="s">
        <v>2440</v>
      </c>
      <c r="B2057" s="97" t="s">
        <v>1330</v>
      </c>
      <c r="C2057" s="163">
        <v>3453</v>
      </c>
      <c r="D2057" s="95" t="s">
        <v>1373</v>
      </c>
      <c r="E2057" s="142">
        <v>0.83253333333333324</v>
      </c>
      <c r="F2057" s="4" t="s">
        <v>2752</v>
      </c>
      <c r="G2057" s="4" t="s">
        <v>2752</v>
      </c>
      <c r="H2057" s="4" t="str">
        <f t="shared" si="35"/>
        <v>No</v>
      </c>
      <c r="I2057" s="56"/>
    </row>
    <row r="2058" spans="1:9">
      <c r="A2058" s="97" t="s">
        <v>2440</v>
      </c>
      <c r="B2058" s="97" t="s">
        <v>1330</v>
      </c>
      <c r="C2058" s="163">
        <v>3244</v>
      </c>
      <c r="D2058" s="95" t="s">
        <v>1366</v>
      </c>
      <c r="E2058" s="142">
        <v>0.35923333333333335</v>
      </c>
      <c r="F2058" s="4" t="s">
        <v>3065</v>
      </c>
      <c r="G2058" s="4" t="s">
        <v>3065</v>
      </c>
      <c r="H2058" s="4" t="str">
        <f t="shared" si="35"/>
        <v>No</v>
      </c>
      <c r="I2058" s="56"/>
    </row>
    <row r="2059" spans="1:9">
      <c r="A2059" s="97" t="s">
        <v>2440</v>
      </c>
      <c r="B2059" s="97" t="s">
        <v>1330</v>
      </c>
      <c r="C2059" s="163">
        <v>3398</v>
      </c>
      <c r="D2059" s="95" t="s">
        <v>1369</v>
      </c>
      <c r="E2059" s="142">
        <v>0.67886666666666662</v>
      </c>
      <c r="F2059" s="4" t="s">
        <v>2752</v>
      </c>
      <c r="G2059" s="4" t="s">
        <v>2752</v>
      </c>
      <c r="H2059" s="4" t="str">
        <f t="shared" si="35"/>
        <v>No</v>
      </c>
      <c r="I2059" s="56"/>
    </row>
    <row r="2060" spans="1:9">
      <c r="A2060" s="97" t="s">
        <v>2440</v>
      </c>
      <c r="B2060" s="97" t="s">
        <v>1330</v>
      </c>
      <c r="C2060" s="163">
        <v>2247</v>
      </c>
      <c r="D2060" s="95" t="s">
        <v>1341</v>
      </c>
      <c r="E2060" s="142">
        <v>0.49793333333333334</v>
      </c>
      <c r="F2060" s="4" t="s">
        <v>2752</v>
      </c>
      <c r="G2060" s="4" t="s">
        <v>2752</v>
      </c>
      <c r="H2060" s="4" t="str">
        <f t="shared" si="35"/>
        <v>No</v>
      </c>
      <c r="I2060" s="56"/>
    </row>
    <row r="2061" spans="1:9">
      <c r="A2061" s="97" t="s">
        <v>2440</v>
      </c>
      <c r="B2061" s="97" t="s">
        <v>1330</v>
      </c>
      <c r="C2061" s="163">
        <v>4109</v>
      </c>
      <c r="D2061" s="95" t="s">
        <v>1377</v>
      </c>
      <c r="E2061" s="142">
        <v>0.81510000000000005</v>
      </c>
      <c r="F2061" s="4" t="s">
        <v>2752</v>
      </c>
      <c r="G2061" s="4" t="s">
        <v>2752</v>
      </c>
      <c r="H2061" s="4" t="str">
        <f t="shared" si="35"/>
        <v>No</v>
      </c>
      <c r="I2061" s="56"/>
    </row>
    <row r="2062" spans="1:9">
      <c r="A2062" s="97" t="s">
        <v>2440</v>
      </c>
      <c r="B2062" s="97" t="s">
        <v>1330</v>
      </c>
      <c r="C2062" s="163">
        <v>4283</v>
      </c>
      <c r="D2062" s="95" t="s">
        <v>1378</v>
      </c>
      <c r="E2062" s="142">
        <v>0.74266666666666659</v>
      </c>
      <c r="F2062" s="4" t="s">
        <v>2752</v>
      </c>
      <c r="G2062" s="4" t="s">
        <v>2752</v>
      </c>
      <c r="H2062" s="4" t="str">
        <f t="shared" si="35"/>
        <v>No</v>
      </c>
      <c r="I2062" s="56"/>
    </row>
    <row r="2063" spans="1:9">
      <c r="A2063" s="97" t="s">
        <v>2440</v>
      </c>
      <c r="B2063" s="97" t="s">
        <v>1330</v>
      </c>
      <c r="C2063" s="163">
        <v>2169</v>
      </c>
      <c r="D2063" s="95" t="s">
        <v>1339</v>
      </c>
      <c r="E2063" s="142">
        <v>0.30696666666666667</v>
      </c>
      <c r="F2063" s="4" t="s">
        <v>3065</v>
      </c>
      <c r="G2063" s="4" t="s">
        <v>3065</v>
      </c>
      <c r="H2063" s="4" t="str">
        <f t="shared" si="35"/>
        <v>No</v>
      </c>
      <c r="I2063" s="56"/>
    </row>
    <row r="2064" spans="1:9">
      <c r="A2064" s="97" t="s">
        <v>2440</v>
      </c>
      <c r="B2064" s="97" t="s">
        <v>1330</v>
      </c>
      <c r="C2064" s="163">
        <v>2806</v>
      </c>
      <c r="D2064" s="95" t="s">
        <v>1355</v>
      </c>
      <c r="E2064" s="142">
        <v>0.7651</v>
      </c>
      <c r="F2064" s="4" t="s">
        <v>2752</v>
      </c>
      <c r="G2064" s="4" t="s">
        <v>2752</v>
      </c>
      <c r="H2064" s="4" t="str">
        <f t="shared" si="35"/>
        <v>No</v>
      </c>
      <c r="I2064" s="56"/>
    </row>
    <row r="2065" spans="1:9">
      <c r="A2065" s="97" t="s">
        <v>2440</v>
      </c>
      <c r="B2065" s="97" t="s">
        <v>1330</v>
      </c>
      <c r="C2065" s="163">
        <v>2275</v>
      </c>
      <c r="D2065" s="95" t="s">
        <v>1343</v>
      </c>
      <c r="E2065" s="142">
        <v>0.8042666666666668</v>
      </c>
      <c r="F2065" s="4" t="s">
        <v>2752</v>
      </c>
      <c r="G2065" s="4" t="s">
        <v>2752</v>
      </c>
      <c r="H2065" s="4" t="str">
        <f t="shared" si="35"/>
        <v>No</v>
      </c>
      <c r="I2065" s="56"/>
    </row>
    <row r="2066" spans="1:9">
      <c r="A2066" s="56" t="s">
        <v>2440</v>
      </c>
      <c r="B2066" s="97" t="s">
        <v>1330</v>
      </c>
      <c r="C2066" s="163">
        <v>5169</v>
      </c>
      <c r="D2066" s="56" t="s">
        <v>1382</v>
      </c>
      <c r="E2066" s="142">
        <v>0.36610000000000004</v>
      </c>
      <c r="F2066" s="4" t="s">
        <v>3065</v>
      </c>
      <c r="G2066" s="4" t="s">
        <v>3065</v>
      </c>
      <c r="H2066" s="4" t="str">
        <f t="shared" si="35"/>
        <v>No</v>
      </c>
      <c r="I2066" s="56"/>
    </row>
    <row r="2067" spans="1:9">
      <c r="A2067" s="97" t="s">
        <v>2440</v>
      </c>
      <c r="B2067" s="97" t="s">
        <v>1330</v>
      </c>
      <c r="C2067" s="163">
        <v>2168</v>
      </c>
      <c r="D2067" s="95" t="s">
        <v>1338</v>
      </c>
      <c r="E2067" s="142">
        <v>0.7019333333333333</v>
      </c>
      <c r="F2067" s="4" t="s">
        <v>2752</v>
      </c>
      <c r="G2067" s="4" t="s">
        <v>2752</v>
      </c>
      <c r="H2067" s="4" t="str">
        <f t="shared" si="35"/>
        <v>No</v>
      </c>
      <c r="I2067" s="56"/>
    </row>
    <row r="2068" spans="1:9">
      <c r="A2068" s="97" t="s">
        <v>2440</v>
      </c>
      <c r="B2068" s="97" t="s">
        <v>1330</v>
      </c>
      <c r="C2068" s="163">
        <v>2938</v>
      </c>
      <c r="D2068" s="95" t="s">
        <v>1359</v>
      </c>
      <c r="E2068" s="142">
        <v>0.12243333333333332</v>
      </c>
      <c r="F2068" s="4" t="s">
        <v>3065</v>
      </c>
      <c r="G2068" s="4" t="s">
        <v>3065</v>
      </c>
      <c r="H2068" s="4" t="str">
        <f t="shared" si="35"/>
        <v>No</v>
      </c>
      <c r="I2068" s="56"/>
    </row>
    <row r="2069" spans="1:9">
      <c r="A2069" s="97" t="s">
        <v>2440</v>
      </c>
      <c r="B2069" s="97" t="s">
        <v>1330</v>
      </c>
      <c r="C2069" s="163">
        <v>3498</v>
      </c>
      <c r="D2069" s="95" t="s">
        <v>1374</v>
      </c>
      <c r="E2069" s="142">
        <v>0.53563333333333329</v>
      </c>
      <c r="F2069" s="4" t="s">
        <v>2752</v>
      </c>
      <c r="G2069" s="4" t="s">
        <v>2752</v>
      </c>
      <c r="H2069" s="4" t="str">
        <f t="shared" si="35"/>
        <v>No</v>
      </c>
      <c r="I2069" s="56"/>
    </row>
    <row r="2070" spans="1:9">
      <c r="A2070" s="97" t="s">
        <v>2440</v>
      </c>
      <c r="B2070" s="97" t="s">
        <v>1330</v>
      </c>
      <c r="C2070" s="163">
        <v>5192</v>
      </c>
      <c r="D2070" s="95" t="s">
        <v>27</v>
      </c>
      <c r="E2070" s="142">
        <v>0.55873333333333342</v>
      </c>
      <c r="F2070" s="4" t="s">
        <v>2752</v>
      </c>
      <c r="G2070" s="4" t="s">
        <v>2752</v>
      </c>
      <c r="H2070" s="4" t="str">
        <f t="shared" si="35"/>
        <v>No</v>
      </c>
      <c r="I2070" s="56"/>
    </row>
    <row r="2071" spans="1:9">
      <c r="A2071" s="97" t="s">
        <v>2440</v>
      </c>
      <c r="B2071" s="97" t="s">
        <v>1330</v>
      </c>
      <c r="C2071" s="163">
        <v>2084</v>
      </c>
      <c r="D2071" s="95" t="s">
        <v>1333</v>
      </c>
      <c r="E2071" s="142">
        <v>0.32540000000000002</v>
      </c>
      <c r="F2071" s="4" t="s">
        <v>3065</v>
      </c>
      <c r="G2071" s="4" t="s">
        <v>3065</v>
      </c>
      <c r="H2071" s="4" t="str">
        <f t="shared" si="35"/>
        <v>No</v>
      </c>
      <c r="I2071" s="56"/>
    </row>
    <row r="2072" spans="1:9">
      <c r="A2072" s="97" t="s">
        <v>2440</v>
      </c>
      <c r="B2072" s="97" t="s">
        <v>1330</v>
      </c>
      <c r="C2072" s="163">
        <v>2358</v>
      </c>
      <c r="D2072" s="95" t="s">
        <v>1346</v>
      </c>
      <c r="E2072" s="142">
        <v>0.66576666666666662</v>
      </c>
      <c r="F2072" s="4" t="s">
        <v>2752</v>
      </c>
      <c r="G2072" s="4" t="s">
        <v>2752</v>
      </c>
      <c r="H2072" s="4" t="str">
        <f t="shared" si="35"/>
        <v>No</v>
      </c>
      <c r="I2072" s="56"/>
    </row>
    <row r="2073" spans="1:9">
      <c r="A2073" s="97" t="s">
        <v>2440</v>
      </c>
      <c r="B2073" s="97" t="s">
        <v>1330</v>
      </c>
      <c r="C2073" s="163">
        <v>2359</v>
      </c>
      <c r="D2073" s="95" t="s">
        <v>1347</v>
      </c>
      <c r="E2073" s="142">
        <v>0.71363333333333323</v>
      </c>
      <c r="F2073" s="4" t="s">
        <v>2752</v>
      </c>
      <c r="G2073" s="4" t="s">
        <v>2752</v>
      </c>
      <c r="H2073" s="4" t="str">
        <f t="shared" si="35"/>
        <v>No</v>
      </c>
      <c r="I2073" s="56"/>
    </row>
    <row r="2074" spans="1:9">
      <c r="A2074" s="97" t="s">
        <v>2440</v>
      </c>
      <c r="B2074" s="97" t="s">
        <v>1330</v>
      </c>
      <c r="C2074" s="163">
        <v>5628</v>
      </c>
      <c r="D2074" s="95" t="s">
        <v>3051</v>
      </c>
      <c r="E2074" s="142">
        <v>0.67789999999999995</v>
      </c>
      <c r="F2074" s="4" t="s">
        <v>2752</v>
      </c>
      <c r="G2074" s="4" t="s">
        <v>3065</v>
      </c>
      <c r="H2074" s="4" t="str">
        <f t="shared" si="35"/>
        <v>No</v>
      </c>
      <c r="I2074" s="56"/>
    </row>
    <row r="2075" spans="1:9">
      <c r="A2075" s="97" t="s">
        <v>2440</v>
      </c>
      <c r="B2075" s="97" t="s">
        <v>1330</v>
      </c>
      <c r="C2075" s="163">
        <v>5307</v>
      </c>
      <c r="D2075" s="95" t="s">
        <v>2938</v>
      </c>
      <c r="E2075" s="142">
        <v>0.43576666666666669</v>
      </c>
      <c r="F2075" s="4" t="s">
        <v>3065</v>
      </c>
      <c r="G2075" s="4" t="s">
        <v>3065</v>
      </c>
      <c r="H2075" s="4" t="str">
        <f t="shared" si="35"/>
        <v>No</v>
      </c>
      <c r="I2075" s="56"/>
    </row>
    <row r="2076" spans="1:9">
      <c r="A2076" s="97" t="s">
        <v>2440</v>
      </c>
      <c r="B2076" s="97" t="s">
        <v>1330</v>
      </c>
      <c r="C2076" s="163">
        <v>1860</v>
      </c>
      <c r="D2076" s="95" t="s">
        <v>1331</v>
      </c>
      <c r="E2076" s="142">
        <v>0.42020000000000007</v>
      </c>
      <c r="F2076" s="4" t="s">
        <v>3065</v>
      </c>
      <c r="G2076" s="4" t="s">
        <v>3065</v>
      </c>
      <c r="H2076" s="4" t="str">
        <f t="shared" si="35"/>
        <v>No</v>
      </c>
      <c r="I2076" s="56"/>
    </row>
    <row r="2077" spans="1:9">
      <c r="A2077" s="97" t="s">
        <v>2440</v>
      </c>
      <c r="B2077" s="97" t="s">
        <v>1330</v>
      </c>
      <c r="C2077" s="163">
        <v>3448</v>
      </c>
      <c r="D2077" s="95" t="s">
        <v>1370</v>
      </c>
      <c r="E2077" s="142">
        <v>0.51919999999999999</v>
      </c>
      <c r="F2077" s="4" t="s">
        <v>2752</v>
      </c>
      <c r="G2077" s="4" t="s">
        <v>2752</v>
      </c>
      <c r="H2077" s="4" t="str">
        <f t="shared" si="35"/>
        <v>No</v>
      </c>
      <c r="I2077" s="56"/>
    </row>
    <row r="2078" spans="1:9">
      <c r="A2078" s="97" t="s">
        <v>2440</v>
      </c>
      <c r="B2078" s="97" t="s">
        <v>1330</v>
      </c>
      <c r="C2078" s="163">
        <v>3116</v>
      </c>
      <c r="D2078" s="95" t="s">
        <v>1365</v>
      </c>
      <c r="E2078" s="142">
        <v>0.52426666666666666</v>
      </c>
      <c r="F2078" s="4" t="s">
        <v>2752</v>
      </c>
      <c r="G2078" s="4" t="s">
        <v>2752</v>
      </c>
      <c r="H2078" s="4" t="str">
        <f t="shared" si="35"/>
        <v>No</v>
      </c>
      <c r="I2078" s="56"/>
    </row>
    <row r="2079" spans="1:9">
      <c r="A2079" s="97" t="s">
        <v>2440</v>
      </c>
      <c r="B2079" s="97" t="s">
        <v>1330</v>
      </c>
      <c r="C2079" s="163">
        <v>2083</v>
      </c>
      <c r="D2079" s="95" t="s">
        <v>186</v>
      </c>
      <c r="E2079" s="142">
        <v>0.18733333333333335</v>
      </c>
      <c r="F2079" s="4" t="s">
        <v>3065</v>
      </c>
      <c r="G2079" s="4" t="s">
        <v>3065</v>
      </c>
      <c r="H2079" s="4" t="str">
        <f t="shared" si="35"/>
        <v>No</v>
      </c>
      <c r="I2079" s="56"/>
    </row>
    <row r="2080" spans="1:9">
      <c r="A2080" s="97" t="s">
        <v>2440</v>
      </c>
      <c r="B2080" s="97" t="s">
        <v>1330</v>
      </c>
      <c r="C2080" s="163">
        <v>2874</v>
      </c>
      <c r="D2080" s="95" t="s">
        <v>1358</v>
      </c>
      <c r="E2080" s="142">
        <v>0.71609999999999996</v>
      </c>
      <c r="F2080" s="4" t="s">
        <v>2752</v>
      </c>
      <c r="G2080" s="4" t="s">
        <v>2752</v>
      </c>
      <c r="H2080" s="4" t="str">
        <f t="shared" si="35"/>
        <v>No</v>
      </c>
      <c r="I2080" s="56"/>
    </row>
    <row r="2081" spans="1:9">
      <c r="A2081" s="97" t="s">
        <v>2440</v>
      </c>
      <c r="B2081" s="97" t="s">
        <v>1330</v>
      </c>
      <c r="C2081" s="163">
        <v>3452</v>
      </c>
      <c r="D2081" s="95" t="s">
        <v>1372</v>
      </c>
      <c r="E2081" s="142">
        <v>0.50026666666666664</v>
      </c>
      <c r="F2081" s="4" t="s">
        <v>2752</v>
      </c>
      <c r="G2081" s="4" t="s">
        <v>3065</v>
      </c>
      <c r="H2081" s="4" t="str">
        <f t="shared" si="35"/>
        <v>No</v>
      </c>
      <c r="I2081" s="56"/>
    </row>
    <row r="2082" spans="1:9">
      <c r="A2082" s="97" t="s">
        <v>2440</v>
      </c>
      <c r="B2082" s="97" t="s">
        <v>1330</v>
      </c>
      <c r="C2082" s="163">
        <v>3246</v>
      </c>
      <c r="D2082" s="95" t="s">
        <v>1367</v>
      </c>
      <c r="E2082" s="142">
        <v>0.4173</v>
      </c>
      <c r="F2082" s="4" t="s">
        <v>3065</v>
      </c>
      <c r="G2082" s="4" t="s">
        <v>3065</v>
      </c>
      <c r="H2082" s="4" t="str">
        <f t="shared" si="35"/>
        <v>No</v>
      </c>
      <c r="I2082" s="56"/>
    </row>
    <row r="2083" spans="1:9">
      <c r="A2083" s="97" t="s">
        <v>2333</v>
      </c>
      <c r="B2083" s="97" t="s">
        <v>497</v>
      </c>
      <c r="C2083" s="163">
        <v>5032</v>
      </c>
      <c r="D2083" s="95" t="s">
        <v>499</v>
      </c>
      <c r="E2083" s="142">
        <v>0.65700000000000003</v>
      </c>
      <c r="F2083" s="4" t="s">
        <v>2752</v>
      </c>
      <c r="G2083" s="4" t="s">
        <v>2752</v>
      </c>
      <c r="H2083" s="4" t="str">
        <f t="shared" si="35"/>
        <v>No</v>
      </c>
      <c r="I2083" s="56"/>
    </row>
    <row r="2084" spans="1:9">
      <c r="A2084" s="97" t="s">
        <v>2333</v>
      </c>
      <c r="B2084" s="97" t="s">
        <v>497</v>
      </c>
      <c r="C2084" s="163">
        <v>3580</v>
      </c>
      <c r="D2084" s="95" t="s">
        <v>498</v>
      </c>
      <c r="E2084" s="142">
        <v>0.71323333333333327</v>
      </c>
      <c r="F2084" s="4" t="s">
        <v>2752</v>
      </c>
      <c r="G2084" s="4" t="s">
        <v>2752</v>
      </c>
      <c r="H2084" s="4" t="str">
        <f t="shared" si="35"/>
        <v>No</v>
      </c>
      <c r="I2084" s="56"/>
    </row>
    <row r="2085" spans="1:9">
      <c r="A2085" s="97" t="s">
        <v>2360</v>
      </c>
      <c r="B2085" s="97" t="s">
        <v>826</v>
      </c>
      <c r="C2085" s="163">
        <v>5489</v>
      </c>
      <c r="D2085" s="95" t="s">
        <v>2740</v>
      </c>
      <c r="E2085" s="142">
        <v>9.6499999999999989E-2</v>
      </c>
      <c r="F2085" s="4" t="s">
        <v>3065</v>
      </c>
      <c r="G2085" s="4" t="s">
        <v>3065</v>
      </c>
      <c r="H2085" s="4" t="str">
        <f t="shared" si="35"/>
        <v>No</v>
      </c>
      <c r="I2085" s="56"/>
    </row>
    <row r="2086" spans="1:9">
      <c r="A2086" s="97" t="s">
        <v>2360</v>
      </c>
      <c r="B2086" s="97" t="s">
        <v>826</v>
      </c>
      <c r="C2086" s="163">
        <v>4453</v>
      </c>
      <c r="D2086" s="95" t="s">
        <v>831</v>
      </c>
      <c r="E2086" s="142">
        <v>0.12786666666666668</v>
      </c>
      <c r="F2086" s="4" t="s">
        <v>3065</v>
      </c>
      <c r="G2086" s="4" t="s">
        <v>3065</v>
      </c>
      <c r="H2086" s="4" t="str">
        <f t="shared" si="35"/>
        <v>No</v>
      </c>
      <c r="I2086" s="56"/>
    </row>
    <row r="2087" spans="1:9">
      <c r="A2087" s="97" t="s">
        <v>2360</v>
      </c>
      <c r="B2087" s="97" t="s">
        <v>826</v>
      </c>
      <c r="C2087" s="163">
        <v>3286</v>
      </c>
      <c r="D2087" s="95" t="s">
        <v>828</v>
      </c>
      <c r="E2087" s="142">
        <v>0.1255</v>
      </c>
      <c r="F2087" s="4" t="s">
        <v>3065</v>
      </c>
      <c r="G2087" s="4" t="s">
        <v>3065</v>
      </c>
      <c r="H2087" s="4" t="str">
        <f t="shared" si="35"/>
        <v>No</v>
      </c>
      <c r="I2087" s="56"/>
    </row>
    <row r="2088" spans="1:9">
      <c r="A2088" s="97" t="s">
        <v>2360</v>
      </c>
      <c r="B2088" s="97" t="s">
        <v>826</v>
      </c>
      <c r="C2088" s="163">
        <v>3937</v>
      </c>
      <c r="D2088" s="95" t="s">
        <v>2741</v>
      </c>
      <c r="E2088" s="142">
        <v>0.17166666666666666</v>
      </c>
      <c r="F2088" s="4" t="s">
        <v>3065</v>
      </c>
      <c r="G2088" s="4" t="s">
        <v>3065</v>
      </c>
      <c r="H2088" s="4" t="str">
        <f t="shared" si="35"/>
        <v>No</v>
      </c>
      <c r="I2088" s="56"/>
    </row>
    <row r="2089" spans="1:9">
      <c r="A2089" s="97" t="s">
        <v>2360</v>
      </c>
      <c r="B2089" s="97" t="s">
        <v>826</v>
      </c>
      <c r="C2089" s="163">
        <v>4415</v>
      </c>
      <c r="D2089" s="95" t="s">
        <v>830</v>
      </c>
      <c r="E2089" s="142">
        <v>9.6633333333333335E-2</v>
      </c>
      <c r="F2089" s="4" t="s">
        <v>3065</v>
      </c>
      <c r="G2089" s="4" t="s">
        <v>3065</v>
      </c>
      <c r="H2089" s="4" t="str">
        <f t="shared" si="35"/>
        <v>No</v>
      </c>
      <c r="I2089" s="56"/>
    </row>
    <row r="2090" spans="1:9">
      <c r="A2090" s="97" t="s">
        <v>2360</v>
      </c>
      <c r="B2090" s="97" t="s">
        <v>826</v>
      </c>
      <c r="C2090" s="163">
        <v>3589</v>
      </c>
      <c r="D2090" s="95" t="s">
        <v>829</v>
      </c>
      <c r="E2090" s="142">
        <v>0.2698666666666667</v>
      </c>
      <c r="F2090" s="4" t="s">
        <v>3065</v>
      </c>
      <c r="G2090" s="4" t="s">
        <v>3065</v>
      </c>
      <c r="H2090" s="4" t="str">
        <f t="shared" si="35"/>
        <v>No</v>
      </c>
      <c r="I2090" s="56"/>
    </row>
    <row r="2091" spans="1:9">
      <c r="A2091" s="97" t="s">
        <v>2360</v>
      </c>
      <c r="B2091" s="97" t="s">
        <v>826</v>
      </c>
      <c r="C2091" s="163">
        <v>3341</v>
      </c>
      <c r="D2091" s="95" t="s">
        <v>2742</v>
      </c>
      <c r="E2091" s="142">
        <v>0.1087</v>
      </c>
      <c r="F2091" s="4" t="s">
        <v>3065</v>
      </c>
      <c r="G2091" s="4" t="s">
        <v>3065</v>
      </c>
      <c r="H2091" s="4" t="str">
        <f t="shared" si="35"/>
        <v>No</v>
      </c>
      <c r="I2091" s="56"/>
    </row>
    <row r="2092" spans="1:9">
      <c r="A2092" s="97" t="s">
        <v>2360</v>
      </c>
      <c r="B2092" s="97" t="s">
        <v>826</v>
      </c>
      <c r="C2092" s="163">
        <v>5490</v>
      </c>
      <c r="D2092" s="95" t="s">
        <v>2743</v>
      </c>
      <c r="E2092" s="142">
        <v>9.9100000000000008E-2</v>
      </c>
      <c r="F2092" s="4" t="s">
        <v>3065</v>
      </c>
      <c r="G2092" s="4" t="s">
        <v>3065</v>
      </c>
      <c r="H2092" s="4" t="str">
        <f t="shared" si="35"/>
        <v>No</v>
      </c>
      <c r="I2092" s="56"/>
    </row>
    <row r="2093" spans="1:9">
      <c r="A2093" s="97" t="s">
        <v>2360</v>
      </c>
      <c r="B2093" s="97" t="s">
        <v>826</v>
      </c>
      <c r="C2093" s="163">
        <v>5563</v>
      </c>
      <c r="D2093" s="95" t="s">
        <v>2841</v>
      </c>
      <c r="E2093" s="142">
        <v>0.34620000000000001</v>
      </c>
      <c r="F2093" s="4" t="s">
        <v>3065</v>
      </c>
      <c r="G2093" s="4" t="s">
        <v>3065</v>
      </c>
      <c r="H2093" s="4" t="str">
        <f t="shared" si="35"/>
        <v>No</v>
      </c>
      <c r="I2093" s="56"/>
    </row>
    <row r="2094" spans="1:9">
      <c r="A2094" s="97" t="s">
        <v>2360</v>
      </c>
      <c r="B2094" s="97" t="s">
        <v>826</v>
      </c>
      <c r="C2094" s="163">
        <v>2849</v>
      </c>
      <c r="D2094" s="95" t="s">
        <v>827</v>
      </c>
      <c r="E2094" s="142">
        <v>0.13133333333333333</v>
      </c>
      <c r="F2094" s="4" t="s">
        <v>3065</v>
      </c>
      <c r="G2094" s="4" t="s">
        <v>3065</v>
      </c>
      <c r="H2094" s="4" t="str">
        <f t="shared" si="35"/>
        <v>No</v>
      </c>
      <c r="I2094" s="56"/>
    </row>
    <row r="2095" spans="1:9">
      <c r="A2095" s="97" t="s">
        <v>2542</v>
      </c>
      <c r="B2095" s="97" t="s">
        <v>2135</v>
      </c>
      <c r="C2095" s="163">
        <v>2052</v>
      </c>
      <c r="D2095" s="95" t="s">
        <v>2136</v>
      </c>
      <c r="E2095" s="142">
        <v>0.62273333333333325</v>
      </c>
      <c r="F2095" s="4" t="s">
        <v>2752</v>
      </c>
      <c r="G2095" s="4" t="s">
        <v>2752</v>
      </c>
      <c r="H2095" s="4" t="str">
        <f t="shared" si="35"/>
        <v>No</v>
      </c>
      <c r="I2095" s="56"/>
    </row>
    <row r="2096" spans="1:9">
      <c r="A2096" s="97" t="s">
        <v>2542</v>
      </c>
      <c r="B2096" s="97" t="s">
        <v>2135</v>
      </c>
      <c r="C2096" s="163">
        <v>3418</v>
      </c>
      <c r="D2096" s="95" t="s">
        <v>2137</v>
      </c>
      <c r="E2096" s="142">
        <v>0.67580000000000007</v>
      </c>
      <c r="F2096" s="4" t="s">
        <v>2752</v>
      </c>
      <c r="G2096" s="4" t="s">
        <v>2752</v>
      </c>
      <c r="H2096" s="4" t="str">
        <f t="shared" si="35"/>
        <v>No</v>
      </c>
      <c r="I2096" s="56"/>
    </row>
    <row r="2097" spans="1:9">
      <c r="A2097" s="97" t="s">
        <v>2522</v>
      </c>
      <c r="B2097" s="97" t="s">
        <v>2031</v>
      </c>
      <c r="C2097" s="163">
        <v>2457</v>
      </c>
      <c r="D2097" s="95" t="s">
        <v>723</v>
      </c>
      <c r="E2097" s="142">
        <v>0.49843333333333334</v>
      </c>
      <c r="F2097" s="4" t="s">
        <v>3065</v>
      </c>
      <c r="G2097" s="4" t="s">
        <v>2752</v>
      </c>
      <c r="H2097" s="4" t="str">
        <f t="shared" si="35"/>
        <v>Yes</v>
      </c>
      <c r="I2097" s="56"/>
    </row>
    <row r="2098" spans="1:9">
      <c r="A2098" s="97" t="s">
        <v>2522</v>
      </c>
      <c r="B2098" s="97" t="s">
        <v>2031</v>
      </c>
      <c r="C2098" s="163">
        <v>4238</v>
      </c>
      <c r="D2098" s="95" t="s">
        <v>2034</v>
      </c>
      <c r="E2098" s="142">
        <v>0.50326666666666664</v>
      </c>
      <c r="F2098" s="4" t="s">
        <v>2752</v>
      </c>
      <c r="G2098" s="4" t="s">
        <v>3065</v>
      </c>
      <c r="H2098" s="4" t="str">
        <f t="shared" si="35"/>
        <v>No</v>
      </c>
      <c r="I2098" s="56"/>
    </row>
    <row r="2099" spans="1:9">
      <c r="A2099" s="97" t="s">
        <v>2522</v>
      </c>
      <c r="B2099" s="97" t="s">
        <v>2031</v>
      </c>
      <c r="C2099" s="163">
        <v>3509</v>
      </c>
      <c r="D2099" s="95" t="s">
        <v>2032</v>
      </c>
      <c r="E2099" s="142">
        <v>0.42516666666666669</v>
      </c>
      <c r="F2099" s="4" t="s">
        <v>3065</v>
      </c>
      <c r="G2099" s="4" t="s">
        <v>3065</v>
      </c>
      <c r="H2099" s="4" t="str">
        <f t="shared" si="35"/>
        <v>No</v>
      </c>
      <c r="I2099" s="56"/>
    </row>
    <row r="2100" spans="1:9">
      <c r="A2100" s="97" t="s">
        <v>2522</v>
      </c>
      <c r="B2100" s="97" t="s">
        <v>2031</v>
      </c>
      <c r="C2100" s="163">
        <v>3795</v>
      </c>
      <c r="D2100" s="95" t="s">
        <v>2033</v>
      </c>
      <c r="E2100" s="142">
        <v>0.50163333333333338</v>
      </c>
      <c r="F2100" s="4" t="s">
        <v>2752</v>
      </c>
      <c r="G2100" s="4" t="s">
        <v>2752</v>
      </c>
      <c r="H2100" s="4" t="str">
        <f t="shared" si="35"/>
        <v>No</v>
      </c>
      <c r="I2100" s="56"/>
    </row>
    <row r="2101" spans="1:9">
      <c r="A2101" s="97" t="s">
        <v>2379</v>
      </c>
      <c r="B2101" s="97" t="s">
        <v>1087</v>
      </c>
      <c r="C2101" s="163">
        <v>2514</v>
      </c>
      <c r="D2101" s="95" t="s">
        <v>1088</v>
      </c>
      <c r="E2101" s="142">
        <v>0.41343333333333332</v>
      </c>
      <c r="F2101" s="4" t="s">
        <v>3065</v>
      </c>
      <c r="G2101" s="4" t="s">
        <v>3065</v>
      </c>
      <c r="H2101" s="4" t="str">
        <f t="shared" si="35"/>
        <v>No</v>
      </c>
      <c r="I2101" s="56"/>
    </row>
    <row r="2102" spans="1:9">
      <c r="A2102" s="56" t="s">
        <v>2400</v>
      </c>
      <c r="B2102" s="97" t="s">
        <v>1155</v>
      </c>
      <c r="C2102" s="163">
        <v>5190</v>
      </c>
      <c r="D2102" s="56" t="s">
        <v>1159</v>
      </c>
      <c r="E2102" s="142">
        <v>0.60196666666666665</v>
      </c>
      <c r="F2102" s="4" t="s">
        <v>2752</v>
      </c>
      <c r="G2102" s="4" t="s">
        <v>2752</v>
      </c>
      <c r="H2102" s="4" t="str">
        <f t="shared" si="35"/>
        <v>No</v>
      </c>
      <c r="I2102" s="56"/>
    </row>
    <row r="2103" spans="1:9">
      <c r="A2103" s="97" t="s">
        <v>2400</v>
      </c>
      <c r="B2103" s="97" t="s">
        <v>1155</v>
      </c>
      <c r="C2103" s="163">
        <v>2998</v>
      </c>
      <c r="D2103" s="95" t="s">
        <v>1157</v>
      </c>
      <c r="E2103" s="142">
        <v>0.46209999999999996</v>
      </c>
      <c r="F2103" s="4" t="s">
        <v>3065</v>
      </c>
      <c r="G2103" s="4" t="s">
        <v>2752</v>
      </c>
      <c r="H2103" s="4" t="str">
        <f t="shared" si="35"/>
        <v>Yes</v>
      </c>
      <c r="I2103" s="56"/>
    </row>
    <row r="2104" spans="1:9">
      <c r="A2104" s="97" t="s">
        <v>2400</v>
      </c>
      <c r="B2104" s="97" t="s">
        <v>1155</v>
      </c>
      <c r="C2104" s="163">
        <v>2616</v>
      </c>
      <c r="D2104" s="95" t="s">
        <v>1156</v>
      </c>
      <c r="E2104" s="142">
        <v>0.47539999999999999</v>
      </c>
      <c r="F2104" s="4" t="s">
        <v>3065</v>
      </c>
      <c r="G2104" s="4" t="s">
        <v>3065</v>
      </c>
      <c r="H2104" s="4" t="str">
        <f t="shared" si="35"/>
        <v>No</v>
      </c>
      <c r="I2104" s="56"/>
    </row>
    <row r="2105" spans="1:9">
      <c r="A2105" s="97" t="s">
        <v>2400</v>
      </c>
      <c r="B2105" s="97" t="s">
        <v>1155</v>
      </c>
      <c r="C2105" s="163">
        <v>3977</v>
      </c>
      <c r="D2105" s="95" t="s">
        <v>1158</v>
      </c>
      <c r="E2105" s="142">
        <v>0.54206666666666659</v>
      </c>
      <c r="F2105" s="4" t="s">
        <v>2752</v>
      </c>
      <c r="G2105" s="4" t="s">
        <v>2752</v>
      </c>
      <c r="H2105" s="4" t="str">
        <f t="shared" si="35"/>
        <v>No</v>
      </c>
      <c r="I2105" s="56"/>
    </row>
    <row r="2106" spans="1:9">
      <c r="A2106" s="97" t="s">
        <v>2427</v>
      </c>
      <c r="B2106" s="97" t="s">
        <v>1254</v>
      </c>
      <c r="C2106" s="163">
        <v>5586</v>
      </c>
      <c r="D2106" s="95" t="s">
        <v>2831</v>
      </c>
      <c r="E2106" s="142">
        <v>0.70020000000000004</v>
      </c>
      <c r="F2106" s="4" t="s">
        <v>2752</v>
      </c>
      <c r="G2106" s="4" t="s">
        <v>2752</v>
      </c>
      <c r="H2106" s="4" t="str">
        <f t="shared" si="35"/>
        <v>No</v>
      </c>
      <c r="I2106" s="56"/>
    </row>
    <row r="2107" spans="1:9">
      <c r="A2107" s="97" t="s">
        <v>2427</v>
      </c>
      <c r="B2107" s="97" t="s">
        <v>1254</v>
      </c>
      <c r="C2107" s="163">
        <v>3176</v>
      </c>
      <c r="D2107" s="95" t="s">
        <v>1256</v>
      </c>
      <c r="E2107" s="142">
        <v>0.73513333333333331</v>
      </c>
      <c r="F2107" s="4" t="s">
        <v>2752</v>
      </c>
      <c r="G2107" s="4" t="s">
        <v>2752</v>
      </c>
      <c r="H2107" s="4" t="str">
        <f t="shared" si="35"/>
        <v>No</v>
      </c>
      <c r="I2107" s="56"/>
    </row>
    <row r="2108" spans="1:9">
      <c r="A2108" s="97" t="s">
        <v>2427</v>
      </c>
      <c r="B2108" s="97" t="s">
        <v>1254</v>
      </c>
      <c r="C2108" s="163">
        <v>2679</v>
      </c>
      <c r="D2108" s="95" t="s">
        <v>1255</v>
      </c>
      <c r="E2108" s="142">
        <v>0.73709999999999987</v>
      </c>
      <c r="F2108" s="4" t="s">
        <v>2752</v>
      </c>
      <c r="G2108" s="4" t="s">
        <v>2752</v>
      </c>
      <c r="H2108" s="4" t="str">
        <f t="shared" si="35"/>
        <v>No</v>
      </c>
      <c r="I2108" s="56"/>
    </row>
    <row r="2109" spans="1:9">
      <c r="A2109" s="97" t="s">
        <v>2427</v>
      </c>
      <c r="B2109" s="97" t="s">
        <v>1254</v>
      </c>
      <c r="C2109" s="163">
        <v>4196</v>
      </c>
      <c r="D2109" s="95" t="s">
        <v>1257</v>
      </c>
      <c r="E2109" s="142">
        <v>0.75783333333333325</v>
      </c>
      <c r="F2109" s="4" t="s">
        <v>2752</v>
      </c>
      <c r="G2109" s="4" t="s">
        <v>2752</v>
      </c>
      <c r="H2109" s="4" t="str">
        <f t="shared" si="35"/>
        <v>No</v>
      </c>
      <c r="I2109" s="56"/>
    </row>
    <row r="2110" spans="1:9">
      <c r="A2110" s="97" t="s">
        <v>2427</v>
      </c>
      <c r="B2110" s="97" t="s">
        <v>1254</v>
      </c>
      <c r="C2110" s="163">
        <v>5587</v>
      </c>
      <c r="D2110" s="95" t="s">
        <v>2832</v>
      </c>
      <c r="E2110" s="142">
        <v>0.6545333333333333</v>
      </c>
      <c r="F2110" s="4" t="s">
        <v>2752</v>
      </c>
      <c r="G2110" s="4" t="s">
        <v>2752</v>
      </c>
      <c r="H2110" s="4" t="str">
        <f t="shared" si="35"/>
        <v>No</v>
      </c>
      <c r="I2110" s="56"/>
    </row>
    <row r="2111" spans="1:9">
      <c r="A2111" s="97" t="s">
        <v>2561</v>
      </c>
      <c r="B2111" s="97" t="s">
        <v>2220</v>
      </c>
      <c r="C2111" s="163">
        <v>1508</v>
      </c>
      <c r="D2111" s="95" t="s">
        <v>2221</v>
      </c>
      <c r="E2111" s="142">
        <v>0.90693333333333337</v>
      </c>
      <c r="F2111" s="4" t="s">
        <v>2752</v>
      </c>
      <c r="G2111" s="4" t="s">
        <v>2752</v>
      </c>
      <c r="H2111" s="4" t="str">
        <f t="shared" si="35"/>
        <v>No</v>
      </c>
      <c r="I2111" s="56"/>
    </row>
    <row r="2112" spans="1:9">
      <c r="A2112" s="97" t="s">
        <v>2561</v>
      </c>
      <c r="B2112" s="97" t="s">
        <v>2220</v>
      </c>
      <c r="C2112" s="163">
        <v>2608</v>
      </c>
      <c r="D2112" s="95" t="s">
        <v>1597</v>
      </c>
      <c r="E2112" s="142">
        <v>0.89496666666666658</v>
      </c>
      <c r="F2112" s="4" t="s">
        <v>2752</v>
      </c>
      <c r="G2112" s="4" t="s">
        <v>2752</v>
      </c>
      <c r="H2112" s="4" t="str">
        <f t="shared" si="35"/>
        <v>No</v>
      </c>
      <c r="I2112" s="56"/>
    </row>
    <row r="2113" spans="1:9">
      <c r="A2113" s="97" t="s">
        <v>2561</v>
      </c>
      <c r="B2113" s="97" t="s">
        <v>2220</v>
      </c>
      <c r="C2113" s="163">
        <v>4106</v>
      </c>
      <c r="D2113" s="95" t="s">
        <v>2224</v>
      </c>
      <c r="E2113" s="142">
        <v>0.88616666666666666</v>
      </c>
      <c r="F2113" s="4" t="s">
        <v>2752</v>
      </c>
      <c r="G2113" s="4" t="s">
        <v>2752</v>
      </c>
      <c r="H2113" s="4" t="str">
        <f t="shared" si="35"/>
        <v>No</v>
      </c>
      <c r="I2113" s="56"/>
    </row>
    <row r="2114" spans="1:9">
      <c r="A2114" s="97" t="s">
        <v>2561</v>
      </c>
      <c r="B2114" s="97" t="s">
        <v>2220</v>
      </c>
      <c r="C2114" s="163">
        <v>2635</v>
      </c>
      <c r="D2114" s="95" t="s">
        <v>50</v>
      </c>
      <c r="E2114" s="142">
        <v>0.89740000000000009</v>
      </c>
      <c r="F2114" s="4" t="s">
        <v>2752</v>
      </c>
      <c r="G2114" s="4" t="s">
        <v>2752</v>
      </c>
      <c r="H2114" s="4" t="str">
        <f t="shared" si="35"/>
        <v>No</v>
      </c>
      <c r="I2114" s="56"/>
    </row>
    <row r="2115" spans="1:9">
      <c r="A2115" s="97" t="s">
        <v>2561</v>
      </c>
      <c r="B2115" s="97" t="s">
        <v>2220</v>
      </c>
      <c r="C2115" s="163">
        <v>5262</v>
      </c>
      <c r="D2115" s="95" t="s">
        <v>2226</v>
      </c>
      <c r="E2115" s="142">
        <v>0.41323333333333334</v>
      </c>
      <c r="F2115" s="4" t="s">
        <v>3065</v>
      </c>
      <c r="G2115" s="4" t="s">
        <v>3065</v>
      </c>
      <c r="H2115" s="4" t="str">
        <f t="shared" ref="H2115:H2178" si="36">IFERROR(IF(AND(G2115="Yes",F2115="No"),"Yes","No"),"No")</f>
        <v>No</v>
      </c>
      <c r="I2115" s="56"/>
    </row>
    <row r="2116" spans="1:9">
      <c r="A2116" s="97" t="s">
        <v>2561</v>
      </c>
      <c r="B2116" s="97" t="s">
        <v>2220</v>
      </c>
      <c r="C2116" s="163">
        <v>2900</v>
      </c>
      <c r="D2116" s="95" t="s">
        <v>2223</v>
      </c>
      <c r="E2116" s="142">
        <v>0.84249999999999992</v>
      </c>
      <c r="F2116" s="4" t="s">
        <v>2752</v>
      </c>
      <c r="G2116" s="4" t="s">
        <v>2752</v>
      </c>
      <c r="H2116" s="4" t="str">
        <f t="shared" si="36"/>
        <v>No</v>
      </c>
      <c r="I2116" s="56"/>
    </row>
    <row r="2117" spans="1:9">
      <c r="A2117" s="97" t="s">
        <v>2561</v>
      </c>
      <c r="B2117" s="97" t="s">
        <v>2220</v>
      </c>
      <c r="C2117" s="163">
        <v>2264</v>
      </c>
      <c r="D2117" s="95" t="s">
        <v>2222</v>
      </c>
      <c r="E2117" s="142">
        <v>0.90180000000000005</v>
      </c>
      <c r="F2117" s="4" t="s">
        <v>2752</v>
      </c>
      <c r="G2117" s="4" t="s">
        <v>2752</v>
      </c>
      <c r="H2117" s="4" t="str">
        <f t="shared" si="36"/>
        <v>No</v>
      </c>
      <c r="I2117" s="56"/>
    </row>
    <row r="2118" spans="1:9">
      <c r="A2118" s="97" t="s">
        <v>2561</v>
      </c>
      <c r="B2118" s="97" t="s">
        <v>2220</v>
      </c>
      <c r="C2118" s="163">
        <v>4588</v>
      </c>
      <c r="D2118" s="95" t="s">
        <v>2225</v>
      </c>
      <c r="E2118" s="142">
        <v>0.88553333333333339</v>
      </c>
      <c r="F2118" s="4" t="s">
        <v>2752</v>
      </c>
      <c r="G2118" s="4" t="s">
        <v>2752</v>
      </c>
      <c r="H2118" s="4" t="str">
        <f t="shared" si="36"/>
        <v>No</v>
      </c>
      <c r="I2118" s="56"/>
    </row>
    <row r="2119" spans="1:9">
      <c r="A2119" s="97" t="s">
        <v>2528</v>
      </c>
      <c r="B2119" s="97" t="s">
        <v>2053</v>
      </c>
      <c r="C2119" s="163">
        <v>2160</v>
      </c>
      <c r="D2119" s="95" t="s">
        <v>2054</v>
      </c>
      <c r="E2119" s="142">
        <v>0.51969999999999994</v>
      </c>
      <c r="F2119" s="4" t="s">
        <v>2752</v>
      </c>
      <c r="G2119" s="4" t="s">
        <v>2752</v>
      </c>
      <c r="H2119" s="4" t="str">
        <f t="shared" si="36"/>
        <v>No</v>
      </c>
      <c r="I2119" s="56"/>
    </row>
    <row r="2120" spans="1:9">
      <c r="A2120" s="97" t="s">
        <v>2296</v>
      </c>
      <c r="B2120" s="97" t="s">
        <v>311</v>
      </c>
      <c r="C2120" s="163">
        <v>4264</v>
      </c>
      <c r="D2120" s="95" t="s">
        <v>313</v>
      </c>
      <c r="E2120" s="142">
        <v>0.4294</v>
      </c>
      <c r="F2120" s="4" t="s">
        <v>3065</v>
      </c>
      <c r="G2120" s="4" t="s">
        <v>3065</v>
      </c>
      <c r="H2120" s="4" t="str">
        <f t="shared" si="36"/>
        <v>No</v>
      </c>
      <c r="I2120" s="56"/>
    </row>
    <row r="2121" spans="1:9">
      <c r="A2121" s="97" t="s">
        <v>2296</v>
      </c>
      <c r="B2121" s="97" t="s">
        <v>311</v>
      </c>
      <c r="C2121" s="163">
        <v>2560</v>
      </c>
      <c r="D2121" s="95" t="s">
        <v>312</v>
      </c>
      <c r="E2121" s="142">
        <v>0.3479666666666667</v>
      </c>
      <c r="F2121" s="4" t="s">
        <v>3065</v>
      </c>
      <c r="G2121" s="4" t="s">
        <v>3065</v>
      </c>
      <c r="H2121" s="4" t="str">
        <f t="shared" si="36"/>
        <v>No</v>
      </c>
      <c r="I2121" s="56"/>
    </row>
    <row r="2122" spans="1:9">
      <c r="A2122" s="97" t="s">
        <v>2386</v>
      </c>
      <c r="B2122" s="97" t="s">
        <v>1110</v>
      </c>
      <c r="C2122" s="163">
        <v>3062</v>
      </c>
      <c r="D2122" s="95" t="s">
        <v>1112</v>
      </c>
      <c r="E2122" s="142">
        <v>0</v>
      </c>
      <c r="F2122" s="4" t="s">
        <v>3065</v>
      </c>
      <c r="G2122" s="4" t="s">
        <v>3065</v>
      </c>
      <c r="H2122" s="4" t="str">
        <f t="shared" si="36"/>
        <v>No</v>
      </c>
      <c r="I2122" s="56"/>
    </row>
    <row r="2123" spans="1:9">
      <c r="A2123" s="97" t="s">
        <v>2386</v>
      </c>
      <c r="B2123" s="97" t="s">
        <v>1110</v>
      </c>
      <c r="C2123" s="163">
        <v>2676</v>
      </c>
      <c r="D2123" s="95" t="s">
        <v>1111</v>
      </c>
      <c r="E2123" s="142">
        <v>0</v>
      </c>
      <c r="F2123" s="4" t="s">
        <v>3065</v>
      </c>
      <c r="G2123" s="4" t="s">
        <v>3065</v>
      </c>
      <c r="H2123" s="4" t="str">
        <f t="shared" si="36"/>
        <v>No</v>
      </c>
      <c r="I2123" s="56"/>
    </row>
    <row r="2124" spans="1:9">
      <c r="A2124" s="97" t="s">
        <v>2357</v>
      </c>
      <c r="B2124" s="97" t="s">
        <v>792</v>
      </c>
      <c r="C2124" s="163">
        <v>3226</v>
      </c>
      <c r="D2124" s="95" t="s">
        <v>795</v>
      </c>
      <c r="E2124" s="142">
        <v>0.80799999999999994</v>
      </c>
      <c r="F2124" s="4" t="s">
        <v>2752</v>
      </c>
      <c r="G2124" s="4" t="s">
        <v>2752</v>
      </c>
      <c r="H2124" s="4" t="str">
        <f t="shared" si="36"/>
        <v>No</v>
      </c>
      <c r="I2124" s="56"/>
    </row>
    <row r="2125" spans="1:9">
      <c r="A2125" s="97" t="s">
        <v>2357</v>
      </c>
      <c r="B2125" s="97" t="s">
        <v>792</v>
      </c>
      <c r="C2125" s="163">
        <v>2848</v>
      </c>
      <c r="D2125" s="95" t="s">
        <v>794</v>
      </c>
      <c r="E2125" s="142">
        <v>0.67896666666666672</v>
      </c>
      <c r="F2125" s="4" t="s">
        <v>2752</v>
      </c>
      <c r="G2125" s="4" t="s">
        <v>2752</v>
      </c>
      <c r="H2125" s="4" t="str">
        <f t="shared" si="36"/>
        <v>No</v>
      </c>
      <c r="I2125" s="56"/>
    </row>
    <row r="2126" spans="1:9">
      <c r="A2126" s="97" t="s">
        <v>2357</v>
      </c>
      <c r="B2126" s="97" t="s">
        <v>792</v>
      </c>
      <c r="C2126" s="163">
        <v>2564</v>
      </c>
      <c r="D2126" s="95" t="s">
        <v>793</v>
      </c>
      <c r="E2126" s="142">
        <v>0.75446666666666662</v>
      </c>
      <c r="F2126" s="4" t="s">
        <v>2752</v>
      </c>
      <c r="G2126" s="4" t="s">
        <v>2752</v>
      </c>
      <c r="H2126" s="4" t="str">
        <f t="shared" si="36"/>
        <v>No</v>
      </c>
      <c r="I2126" s="56"/>
    </row>
    <row r="2127" spans="1:9">
      <c r="A2127" s="97" t="s">
        <v>2357</v>
      </c>
      <c r="B2127" s="97" t="s">
        <v>792</v>
      </c>
      <c r="C2127" s="163">
        <v>3635</v>
      </c>
      <c r="D2127" s="95" t="s">
        <v>797</v>
      </c>
      <c r="E2127" s="142">
        <v>0.81953333333333334</v>
      </c>
      <c r="F2127" s="4" t="s">
        <v>2752</v>
      </c>
      <c r="G2127" s="4" t="s">
        <v>2752</v>
      </c>
      <c r="H2127" s="4" t="str">
        <f t="shared" si="36"/>
        <v>No</v>
      </c>
      <c r="I2127" s="56"/>
    </row>
    <row r="2128" spans="1:9">
      <c r="A2128" s="97" t="s">
        <v>2357</v>
      </c>
      <c r="B2128" s="97" t="s">
        <v>792</v>
      </c>
      <c r="C2128" s="163">
        <v>3488</v>
      </c>
      <c r="D2128" s="95" t="s">
        <v>796</v>
      </c>
      <c r="E2128" s="142">
        <v>0.64143333333333341</v>
      </c>
      <c r="F2128" s="4" t="s">
        <v>2752</v>
      </c>
      <c r="G2128" s="4" t="s">
        <v>2752</v>
      </c>
      <c r="H2128" s="4" t="str">
        <f t="shared" si="36"/>
        <v>No</v>
      </c>
      <c r="I2128" s="56"/>
    </row>
    <row r="2129" spans="1:9">
      <c r="A2129" s="97" t="s">
        <v>2357</v>
      </c>
      <c r="B2129" s="97" t="s">
        <v>792</v>
      </c>
      <c r="C2129" s="163">
        <v>5536</v>
      </c>
      <c r="D2129" s="95" t="s">
        <v>2812</v>
      </c>
      <c r="E2129" s="142">
        <v>0.52329999999999999</v>
      </c>
      <c r="F2129" s="4" t="s">
        <v>2752</v>
      </c>
      <c r="G2129" s="4" t="s">
        <v>3065</v>
      </c>
      <c r="H2129" s="4" t="str">
        <f t="shared" si="36"/>
        <v>No</v>
      </c>
      <c r="I2129" s="56"/>
    </row>
    <row r="2130" spans="1:9">
      <c r="A2130" s="97" t="s">
        <v>2357</v>
      </c>
      <c r="B2130" s="97" t="s">
        <v>792</v>
      </c>
      <c r="C2130" s="163">
        <v>5315</v>
      </c>
      <c r="D2130" s="95" t="s">
        <v>2813</v>
      </c>
      <c r="E2130" s="142">
        <v>1</v>
      </c>
      <c r="F2130" s="4" t="s">
        <v>2752</v>
      </c>
      <c r="G2130" s="4" t="s">
        <v>3065</v>
      </c>
      <c r="H2130" s="4" t="str">
        <f t="shared" si="36"/>
        <v>No</v>
      </c>
      <c r="I2130" s="56"/>
    </row>
    <row r="2131" spans="1:9">
      <c r="A2131" s="97" t="s">
        <v>2517</v>
      </c>
      <c r="B2131" s="97" t="s">
        <v>1995</v>
      </c>
      <c r="C2131" s="163">
        <v>4500</v>
      </c>
      <c r="D2131" s="95" t="s">
        <v>2005</v>
      </c>
      <c r="E2131" s="142">
        <v>0.27639999999999998</v>
      </c>
      <c r="F2131" s="4" t="s">
        <v>3065</v>
      </c>
      <c r="G2131" s="4" t="s">
        <v>3065</v>
      </c>
      <c r="H2131" s="4" t="str">
        <f t="shared" si="36"/>
        <v>No</v>
      </c>
      <c r="I2131" s="56"/>
    </row>
    <row r="2132" spans="1:9">
      <c r="A2132" s="97" t="s">
        <v>2517</v>
      </c>
      <c r="B2132" s="97" t="s">
        <v>1995</v>
      </c>
      <c r="C2132" s="163">
        <v>4205</v>
      </c>
      <c r="D2132" s="95" t="s">
        <v>2001</v>
      </c>
      <c r="E2132" s="142">
        <v>0.26909999999999995</v>
      </c>
      <c r="F2132" s="4" t="s">
        <v>3065</v>
      </c>
      <c r="G2132" s="4" t="s">
        <v>3065</v>
      </c>
      <c r="H2132" s="4" t="str">
        <f t="shared" si="36"/>
        <v>No</v>
      </c>
      <c r="I2132" s="56"/>
    </row>
    <row r="2133" spans="1:9">
      <c r="A2133" s="97" t="s">
        <v>2517</v>
      </c>
      <c r="B2133" s="97" t="s">
        <v>1995</v>
      </c>
      <c r="C2133" s="163">
        <v>1713</v>
      </c>
      <c r="D2133" s="95" t="s">
        <v>2939</v>
      </c>
      <c r="E2133" s="142">
        <v>0.48336666666666667</v>
      </c>
      <c r="F2133" s="4" t="s">
        <v>3065</v>
      </c>
      <c r="G2133" s="4" t="s">
        <v>3065</v>
      </c>
      <c r="H2133" s="4" t="str">
        <f t="shared" si="36"/>
        <v>No</v>
      </c>
      <c r="I2133" s="56"/>
    </row>
    <row r="2134" spans="1:9">
      <c r="A2134" s="97" t="s">
        <v>2517</v>
      </c>
      <c r="B2134" s="97" t="s">
        <v>1995</v>
      </c>
      <c r="C2134" s="163">
        <v>4365</v>
      </c>
      <c r="D2134" s="95" t="s">
        <v>2002</v>
      </c>
      <c r="E2134" s="142">
        <v>0.28183333333333332</v>
      </c>
      <c r="F2134" s="4" t="s">
        <v>3065</v>
      </c>
      <c r="G2134" s="4" t="s">
        <v>3065</v>
      </c>
      <c r="H2134" s="4" t="str">
        <f t="shared" si="36"/>
        <v>No</v>
      </c>
      <c r="I2134" s="56"/>
    </row>
    <row r="2135" spans="1:9">
      <c r="A2135" s="97" t="s">
        <v>2517</v>
      </c>
      <c r="B2135" s="97" t="s">
        <v>1995</v>
      </c>
      <c r="C2135" s="163">
        <v>4452</v>
      </c>
      <c r="D2135" s="95" t="s">
        <v>2004</v>
      </c>
      <c r="E2135" s="142">
        <v>0.36020000000000002</v>
      </c>
      <c r="F2135" s="4" t="s">
        <v>3065</v>
      </c>
      <c r="G2135" s="4" t="s">
        <v>3065</v>
      </c>
      <c r="H2135" s="4" t="str">
        <f t="shared" si="36"/>
        <v>No</v>
      </c>
      <c r="I2135" s="56"/>
    </row>
    <row r="2136" spans="1:9">
      <c r="A2136" s="97" t="s">
        <v>2517</v>
      </c>
      <c r="B2136" s="97" t="s">
        <v>1995</v>
      </c>
      <c r="C2136" s="163">
        <v>2816</v>
      </c>
      <c r="D2136" s="95" t="s">
        <v>1997</v>
      </c>
      <c r="E2136" s="142">
        <v>0.32969999999999999</v>
      </c>
      <c r="F2136" s="4" t="s">
        <v>3065</v>
      </c>
      <c r="G2136" s="4" t="s">
        <v>3065</v>
      </c>
      <c r="H2136" s="4" t="str">
        <f t="shared" si="36"/>
        <v>No</v>
      </c>
      <c r="I2136" s="56"/>
    </row>
    <row r="2137" spans="1:9">
      <c r="A2137" s="97" t="s">
        <v>2517</v>
      </c>
      <c r="B2137" s="97" t="s">
        <v>1995</v>
      </c>
      <c r="C2137" s="163">
        <v>2552</v>
      </c>
      <c r="D2137" s="95" t="s">
        <v>1996</v>
      </c>
      <c r="E2137" s="142">
        <v>0.35503333333333331</v>
      </c>
      <c r="F2137" s="4" t="s">
        <v>3065</v>
      </c>
      <c r="G2137" s="4" t="s">
        <v>3065</v>
      </c>
      <c r="H2137" s="4" t="str">
        <f t="shared" si="36"/>
        <v>No</v>
      </c>
      <c r="I2137" s="56"/>
    </row>
    <row r="2138" spans="1:9">
      <c r="A2138" s="97" t="s">
        <v>2517</v>
      </c>
      <c r="B2138" s="97" t="s">
        <v>1995</v>
      </c>
      <c r="C2138" s="163">
        <v>5014</v>
      </c>
      <c r="D2138" s="95" t="s">
        <v>2006</v>
      </c>
      <c r="E2138" s="142">
        <v>0.40156666666666668</v>
      </c>
      <c r="F2138" s="4" t="s">
        <v>3065</v>
      </c>
      <c r="G2138" s="4" t="s">
        <v>3065</v>
      </c>
      <c r="H2138" s="4" t="str">
        <f t="shared" si="36"/>
        <v>No</v>
      </c>
      <c r="I2138" s="56"/>
    </row>
    <row r="2139" spans="1:9">
      <c r="A2139" s="97" t="s">
        <v>2517</v>
      </c>
      <c r="B2139" s="97" t="s">
        <v>1995</v>
      </c>
      <c r="C2139" s="163">
        <v>4225</v>
      </c>
      <c r="D2139" s="95" t="s">
        <v>2744</v>
      </c>
      <c r="E2139" s="142">
        <v>0.19643333333333332</v>
      </c>
      <c r="F2139" s="4" t="s">
        <v>3065</v>
      </c>
      <c r="G2139" s="4" t="s">
        <v>3065</v>
      </c>
      <c r="H2139" s="4" t="str">
        <f t="shared" si="36"/>
        <v>No</v>
      </c>
      <c r="I2139" s="56"/>
    </row>
    <row r="2140" spans="1:9">
      <c r="A2140" s="97" t="s">
        <v>2517</v>
      </c>
      <c r="B2140" s="97" t="s">
        <v>1995</v>
      </c>
      <c r="C2140" s="163">
        <v>3199</v>
      </c>
      <c r="D2140" s="95" t="s">
        <v>1998</v>
      </c>
      <c r="E2140" s="142">
        <v>0.38373333333333332</v>
      </c>
      <c r="F2140" s="4" t="s">
        <v>3065</v>
      </c>
      <c r="G2140" s="4" t="s">
        <v>3065</v>
      </c>
      <c r="H2140" s="4" t="str">
        <f t="shared" si="36"/>
        <v>No</v>
      </c>
      <c r="I2140" s="56"/>
    </row>
    <row r="2141" spans="1:9">
      <c r="A2141" s="97" t="s">
        <v>2517</v>
      </c>
      <c r="B2141" s="97" t="s">
        <v>1995</v>
      </c>
      <c r="C2141" s="163">
        <v>3362</v>
      </c>
      <c r="D2141" s="95" t="s">
        <v>1999</v>
      </c>
      <c r="E2141" s="142">
        <v>0.26283333333333331</v>
      </c>
      <c r="F2141" s="4" t="s">
        <v>3065</v>
      </c>
      <c r="G2141" s="4" t="s">
        <v>3065</v>
      </c>
      <c r="H2141" s="4" t="str">
        <f t="shared" si="36"/>
        <v>No</v>
      </c>
      <c r="I2141" s="56"/>
    </row>
    <row r="2142" spans="1:9">
      <c r="A2142" s="97" t="s">
        <v>2517</v>
      </c>
      <c r="B2142" s="97" t="s">
        <v>1995</v>
      </c>
      <c r="C2142" s="163">
        <v>4373</v>
      </c>
      <c r="D2142" s="95" t="s">
        <v>2003</v>
      </c>
      <c r="E2142" s="142">
        <v>0.2891333333333333</v>
      </c>
      <c r="F2142" s="4" t="s">
        <v>3065</v>
      </c>
      <c r="G2142" s="4" t="s">
        <v>3065</v>
      </c>
      <c r="H2142" s="4" t="str">
        <f t="shared" si="36"/>
        <v>No</v>
      </c>
      <c r="I2142" s="56"/>
    </row>
    <row r="2143" spans="1:9">
      <c r="A2143" s="97" t="s">
        <v>2517</v>
      </c>
      <c r="B2143" s="97" t="s">
        <v>1995</v>
      </c>
      <c r="C2143" s="163">
        <v>3612</v>
      </c>
      <c r="D2143" s="95" t="s">
        <v>2000</v>
      </c>
      <c r="E2143" s="142">
        <v>0.32593333333333335</v>
      </c>
      <c r="F2143" s="4" t="s">
        <v>3065</v>
      </c>
      <c r="G2143" s="4" t="s">
        <v>3065</v>
      </c>
      <c r="H2143" s="4" t="str">
        <f t="shared" si="36"/>
        <v>No</v>
      </c>
      <c r="I2143" s="56"/>
    </row>
    <row r="2144" spans="1:9">
      <c r="A2144" s="97" t="s">
        <v>2517</v>
      </c>
      <c r="B2144" s="97" t="s">
        <v>1995</v>
      </c>
      <c r="C2144" s="163">
        <v>5629</v>
      </c>
      <c r="D2144" s="95" t="s">
        <v>2940</v>
      </c>
      <c r="E2144" s="142">
        <v>0.31789999999999996</v>
      </c>
      <c r="F2144" s="4" t="s">
        <v>3065</v>
      </c>
      <c r="G2144" s="4" t="s">
        <v>3065</v>
      </c>
      <c r="H2144" s="4" t="str">
        <f t="shared" si="36"/>
        <v>No</v>
      </c>
      <c r="I2144" s="56"/>
    </row>
    <row r="2145" spans="1:9">
      <c r="A2145" s="97" t="s">
        <v>2553</v>
      </c>
      <c r="B2145" s="97" t="s">
        <v>2164</v>
      </c>
      <c r="C2145" s="163">
        <v>2714</v>
      </c>
      <c r="D2145" s="95" t="s">
        <v>2165</v>
      </c>
      <c r="E2145" s="142">
        <v>0.92356666666666654</v>
      </c>
      <c r="F2145" s="4" t="s">
        <v>2752</v>
      </c>
      <c r="G2145" s="4" t="s">
        <v>2752</v>
      </c>
      <c r="H2145" s="4" t="str">
        <f t="shared" si="36"/>
        <v>No</v>
      </c>
      <c r="I2145" s="56"/>
    </row>
    <row r="2146" spans="1:9">
      <c r="A2146" s="97" t="s">
        <v>2442</v>
      </c>
      <c r="B2146" s="97" t="s">
        <v>1387</v>
      </c>
      <c r="C2146" s="163">
        <v>3792</v>
      </c>
      <c r="D2146" s="95" t="s">
        <v>1393</v>
      </c>
      <c r="E2146" s="142">
        <v>0.37396666666666672</v>
      </c>
      <c r="F2146" s="4" t="s">
        <v>3065</v>
      </c>
      <c r="G2146" s="4" t="s">
        <v>3065</v>
      </c>
      <c r="H2146" s="4" t="str">
        <f t="shared" si="36"/>
        <v>No</v>
      </c>
      <c r="I2146" s="56"/>
    </row>
    <row r="2147" spans="1:9">
      <c r="A2147" s="97" t="s">
        <v>2442</v>
      </c>
      <c r="B2147" s="97" t="s">
        <v>1387</v>
      </c>
      <c r="C2147" s="163">
        <v>3179</v>
      </c>
      <c r="D2147" s="95" t="s">
        <v>1389</v>
      </c>
      <c r="E2147" s="142">
        <v>0.35143333333333332</v>
      </c>
      <c r="F2147" s="4" t="s">
        <v>3065</v>
      </c>
      <c r="G2147" s="4" t="s">
        <v>3065</v>
      </c>
      <c r="H2147" s="4" t="str">
        <f t="shared" si="36"/>
        <v>No</v>
      </c>
      <c r="I2147" s="56"/>
    </row>
    <row r="2148" spans="1:9">
      <c r="A2148" s="97" t="s">
        <v>2442</v>
      </c>
      <c r="B2148" s="97" t="s">
        <v>1387</v>
      </c>
      <c r="C2148" s="163">
        <v>3600</v>
      </c>
      <c r="D2148" s="95" t="s">
        <v>1391</v>
      </c>
      <c r="E2148" s="142">
        <v>0.31263333333333332</v>
      </c>
      <c r="F2148" s="4" t="s">
        <v>3065</v>
      </c>
      <c r="G2148" s="4" t="s">
        <v>3065</v>
      </c>
      <c r="H2148" s="4" t="str">
        <f t="shared" si="36"/>
        <v>No</v>
      </c>
      <c r="I2148" s="56"/>
    </row>
    <row r="2149" spans="1:9">
      <c r="A2149" s="97" t="s">
        <v>2442</v>
      </c>
      <c r="B2149" s="97" t="s">
        <v>1387</v>
      </c>
      <c r="C2149" s="163">
        <v>4325</v>
      </c>
      <c r="D2149" s="95" t="s">
        <v>1394</v>
      </c>
      <c r="E2149" s="142">
        <v>0.39860000000000001</v>
      </c>
      <c r="F2149" s="4" t="s">
        <v>3065</v>
      </c>
      <c r="G2149" s="4" t="s">
        <v>3065</v>
      </c>
      <c r="H2149" s="4" t="str">
        <f t="shared" si="36"/>
        <v>No</v>
      </c>
      <c r="I2149" s="56"/>
    </row>
    <row r="2150" spans="1:9">
      <c r="A2150" s="97" t="s">
        <v>2442</v>
      </c>
      <c r="B2150" s="97" t="s">
        <v>1387</v>
      </c>
      <c r="C2150" s="163">
        <v>4447</v>
      </c>
      <c r="D2150" s="95" t="s">
        <v>1395</v>
      </c>
      <c r="E2150" s="142">
        <v>0.36680000000000001</v>
      </c>
      <c r="F2150" s="4" t="s">
        <v>3065</v>
      </c>
      <c r="G2150" s="4" t="s">
        <v>3065</v>
      </c>
      <c r="H2150" s="4" t="str">
        <f t="shared" si="36"/>
        <v>No</v>
      </c>
      <c r="I2150" s="56"/>
    </row>
    <row r="2151" spans="1:9">
      <c r="A2151" s="97" t="s">
        <v>2442</v>
      </c>
      <c r="B2151" s="97" t="s">
        <v>1387</v>
      </c>
      <c r="C2151" s="163">
        <v>3296</v>
      </c>
      <c r="D2151" s="95" t="s">
        <v>1390</v>
      </c>
      <c r="E2151" s="142">
        <v>0.36600000000000005</v>
      </c>
      <c r="F2151" s="4" t="s">
        <v>3065</v>
      </c>
      <c r="G2151" s="4" t="s">
        <v>3065</v>
      </c>
      <c r="H2151" s="4" t="str">
        <f t="shared" si="36"/>
        <v>No</v>
      </c>
      <c r="I2151" s="56"/>
    </row>
    <row r="2152" spans="1:9">
      <c r="A2152" s="97" t="s">
        <v>2442</v>
      </c>
      <c r="B2152" s="97" t="s">
        <v>1387</v>
      </c>
      <c r="C2152" s="163">
        <v>3601</v>
      </c>
      <c r="D2152" s="95" t="s">
        <v>1392</v>
      </c>
      <c r="E2152" s="142">
        <v>0.34329999999999999</v>
      </c>
      <c r="F2152" s="4" t="s">
        <v>3065</v>
      </c>
      <c r="G2152" s="4" t="s">
        <v>3065</v>
      </c>
      <c r="H2152" s="4" t="str">
        <f t="shared" si="36"/>
        <v>No</v>
      </c>
      <c r="I2152" s="56"/>
    </row>
    <row r="2153" spans="1:9">
      <c r="A2153" s="97" t="s">
        <v>2442</v>
      </c>
      <c r="B2153" s="97" t="s">
        <v>1387</v>
      </c>
      <c r="C2153" s="163">
        <v>2223</v>
      </c>
      <c r="D2153" s="95" t="s">
        <v>1388</v>
      </c>
      <c r="E2153" s="142">
        <v>0.39233333333333337</v>
      </c>
      <c r="F2153" s="4" t="s">
        <v>3065</v>
      </c>
      <c r="G2153" s="4" t="s">
        <v>3065</v>
      </c>
      <c r="H2153" s="4" t="str">
        <f t="shared" si="36"/>
        <v>No</v>
      </c>
      <c r="I2153" s="56"/>
    </row>
    <row r="2154" spans="1:9">
      <c r="A2154" s="97" t="s">
        <v>2506</v>
      </c>
      <c r="B2154" s="97" t="s">
        <v>1932</v>
      </c>
      <c r="C2154" s="163">
        <v>1932</v>
      </c>
      <c r="D2154" s="95" t="s">
        <v>1933</v>
      </c>
      <c r="E2154" s="142">
        <v>7.3999999999999996E-2</v>
      </c>
      <c r="F2154" s="4" t="s">
        <v>3065</v>
      </c>
      <c r="G2154" s="4" t="s">
        <v>3065</v>
      </c>
      <c r="H2154" s="4" t="str">
        <f t="shared" si="36"/>
        <v>No</v>
      </c>
      <c r="I2154" s="56"/>
    </row>
    <row r="2155" spans="1:9">
      <c r="A2155" s="97" t="s">
        <v>2506</v>
      </c>
      <c r="B2155" s="97" t="s">
        <v>1932</v>
      </c>
      <c r="C2155" s="163">
        <v>5223</v>
      </c>
      <c r="D2155" s="95" t="s">
        <v>1935</v>
      </c>
      <c r="E2155" s="142">
        <v>0.63870000000000005</v>
      </c>
      <c r="F2155" s="4" t="s">
        <v>2752</v>
      </c>
      <c r="G2155" s="4" t="s">
        <v>2752</v>
      </c>
      <c r="H2155" s="4" t="str">
        <f t="shared" si="36"/>
        <v>No</v>
      </c>
      <c r="I2155" s="56"/>
    </row>
    <row r="2156" spans="1:9">
      <c r="A2156" s="97" t="s">
        <v>2506</v>
      </c>
      <c r="B2156" s="97" t="s">
        <v>1932</v>
      </c>
      <c r="C2156" s="163">
        <v>2405</v>
      </c>
      <c r="D2156" s="95" t="s">
        <v>1934</v>
      </c>
      <c r="E2156" s="142">
        <v>0.74960000000000004</v>
      </c>
      <c r="F2156" s="4" t="s">
        <v>2752</v>
      </c>
      <c r="G2156" s="4" t="s">
        <v>2752</v>
      </c>
      <c r="H2156" s="4" t="str">
        <f t="shared" si="36"/>
        <v>No</v>
      </c>
      <c r="I2156" s="56"/>
    </row>
    <row r="2157" spans="1:9">
      <c r="A2157" s="97" t="s">
        <v>2283</v>
      </c>
      <c r="B2157" s="97" t="s">
        <v>164</v>
      </c>
      <c r="C2157" s="163">
        <v>4406</v>
      </c>
      <c r="D2157" s="95" t="s">
        <v>195</v>
      </c>
      <c r="E2157" s="142">
        <v>0.25316666666666671</v>
      </c>
      <c r="F2157" s="4" t="s">
        <v>3065</v>
      </c>
      <c r="G2157" s="4" t="s">
        <v>3065</v>
      </c>
      <c r="H2157" s="4" t="str">
        <f t="shared" si="36"/>
        <v>No</v>
      </c>
      <c r="I2157" s="56"/>
    </row>
    <row r="2158" spans="1:9">
      <c r="A2158" s="97" t="s">
        <v>2283</v>
      </c>
      <c r="B2158" s="97" t="s">
        <v>164</v>
      </c>
      <c r="C2158" s="163">
        <v>3080</v>
      </c>
      <c r="D2158" s="95" t="s">
        <v>179</v>
      </c>
      <c r="E2158" s="142">
        <v>0.17250000000000001</v>
      </c>
      <c r="F2158" s="4" t="s">
        <v>3065</v>
      </c>
      <c r="G2158" s="4" t="s">
        <v>3065</v>
      </c>
      <c r="H2158" s="4" t="str">
        <f t="shared" si="36"/>
        <v>No</v>
      </c>
      <c r="I2158" s="56"/>
    </row>
    <row r="2159" spans="1:9">
      <c r="A2159" s="97" t="s">
        <v>2283</v>
      </c>
      <c r="B2159" s="97" t="s">
        <v>164</v>
      </c>
      <c r="C2159" s="163">
        <v>4405</v>
      </c>
      <c r="D2159" s="95" t="s">
        <v>194</v>
      </c>
      <c r="E2159" s="142">
        <v>0.24103333333333335</v>
      </c>
      <c r="F2159" s="4" t="s">
        <v>3065</v>
      </c>
      <c r="G2159" s="4" t="s">
        <v>3065</v>
      </c>
      <c r="H2159" s="4" t="str">
        <f t="shared" si="36"/>
        <v>No</v>
      </c>
      <c r="I2159" s="56"/>
    </row>
    <row r="2160" spans="1:9">
      <c r="A2160" s="97" t="s">
        <v>2283</v>
      </c>
      <c r="B2160" s="97" t="s">
        <v>164</v>
      </c>
      <c r="C2160" s="163">
        <v>3423</v>
      </c>
      <c r="D2160" s="95" t="s">
        <v>182</v>
      </c>
      <c r="E2160" s="142">
        <v>0.23563333333333333</v>
      </c>
      <c r="F2160" s="4" t="s">
        <v>3065</v>
      </c>
      <c r="G2160" s="4" t="s">
        <v>3065</v>
      </c>
      <c r="H2160" s="4" t="str">
        <f t="shared" si="36"/>
        <v>No</v>
      </c>
      <c r="I2160" s="56"/>
    </row>
    <row r="2161" spans="1:9">
      <c r="A2161" s="97" t="s">
        <v>2283</v>
      </c>
      <c r="B2161" s="97" t="s">
        <v>164</v>
      </c>
      <c r="C2161" s="163">
        <v>4503</v>
      </c>
      <c r="D2161" s="95" t="s">
        <v>196</v>
      </c>
      <c r="E2161" s="142">
        <v>0.70650000000000002</v>
      </c>
      <c r="F2161" s="4" t="s">
        <v>2752</v>
      </c>
      <c r="G2161" s="4" t="s">
        <v>2752</v>
      </c>
      <c r="H2161" s="4" t="str">
        <f t="shared" si="36"/>
        <v>No</v>
      </c>
      <c r="I2161" s="56"/>
    </row>
    <row r="2162" spans="1:9">
      <c r="A2162" s="97" t="s">
        <v>2283</v>
      </c>
      <c r="B2162" s="97" t="s">
        <v>164</v>
      </c>
      <c r="C2162" s="163">
        <v>3733</v>
      </c>
      <c r="D2162" s="95" t="s">
        <v>187</v>
      </c>
      <c r="E2162" s="142">
        <v>0.41399999999999998</v>
      </c>
      <c r="F2162" s="4" t="s">
        <v>3065</v>
      </c>
      <c r="G2162" s="4" t="s">
        <v>3065</v>
      </c>
      <c r="H2162" s="4" t="str">
        <f t="shared" si="36"/>
        <v>No</v>
      </c>
      <c r="I2162" s="56"/>
    </row>
    <row r="2163" spans="1:9">
      <c r="A2163" s="97" t="s">
        <v>2283</v>
      </c>
      <c r="B2163" s="97" t="s">
        <v>164</v>
      </c>
      <c r="C2163" s="163">
        <v>4075</v>
      </c>
      <c r="D2163" s="95" t="s">
        <v>193</v>
      </c>
      <c r="E2163" s="142">
        <v>0.10953333333333333</v>
      </c>
      <c r="F2163" s="4" t="s">
        <v>3065</v>
      </c>
      <c r="G2163" s="4" t="s">
        <v>3065</v>
      </c>
      <c r="H2163" s="4" t="str">
        <f t="shared" si="36"/>
        <v>No</v>
      </c>
      <c r="I2163" s="56"/>
    </row>
    <row r="2164" spans="1:9">
      <c r="A2164" s="97" t="s">
        <v>2283</v>
      </c>
      <c r="B2164" s="97" t="s">
        <v>164</v>
      </c>
      <c r="C2164" s="163">
        <v>1574</v>
      </c>
      <c r="D2164" s="95" t="s">
        <v>165</v>
      </c>
      <c r="E2164" s="142">
        <v>0.80776666666666663</v>
      </c>
      <c r="F2164" s="4" t="s">
        <v>2752</v>
      </c>
      <c r="G2164" s="4" t="s">
        <v>2752</v>
      </c>
      <c r="H2164" s="4" t="str">
        <f t="shared" si="36"/>
        <v>No</v>
      </c>
      <c r="I2164" s="56"/>
    </row>
    <row r="2165" spans="1:9">
      <c r="A2165" s="97" t="s">
        <v>2283</v>
      </c>
      <c r="B2165" s="97" t="s">
        <v>164</v>
      </c>
      <c r="C2165" s="163">
        <v>2179</v>
      </c>
      <c r="D2165" s="95" t="s">
        <v>168</v>
      </c>
      <c r="E2165" s="142">
        <v>0.69209999999999994</v>
      </c>
      <c r="F2165" s="4" t="s">
        <v>2752</v>
      </c>
      <c r="G2165" s="4" t="s">
        <v>2752</v>
      </c>
      <c r="H2165" s="4" t="str">
        <f t="shared" si="36"/>
        <v>No</v>
      </c>
      <c r="I2165" s="56"/>
    </row>
    <row r="2166" spans="1:9">
      <c r="A2166" s="97" t="s">
        <v>2283</v>
      </c>
      <c r="B2166" s="97" t="s">
        <v>164</v>
      </c>
      <c r="C2166" s="163">
        <v>2637</v>
      </c>
      <c r="D2166" s="95" t="s">
        <v>170</v>
      </c>
      <c r="E2166" s="142">
        <v>0.79570000000000007</v>
      </c>
      <c r="F2166" s="4" t="s">
        <v>2752</v>
      </c>
      <c r="G2166" s="4" t="s">
        <v>2752</v>
      </c>
      <c r="H2166" s="4" t="str">
        <f t="shared" si="36"/>
        <v>No</v>
      </c>
      <c r="I2166" s="56"/>
    </row>
    <row r="2167" spans="1:9">
      <c r="A2167" s="97" t="s">
        <v>2283</v>
      </c>
      <c r="B2167" s="97" t="s">
        <v>164</v>
      </c>
      <c r="C2167" s="163">
        <v>3902</v>
      </c>
      <c r="D2167" s="95" t="s">
        <v>190</v>
      </c>
      <c r="E2167" s="142">
        <v>0.6122333333333333</v>
      </c>
      <c r="F2167" s="4" t="s">
        <v>2752</v>
      </c>
      <c r="G2167" s="4" t="s">
        <v>2752</v>
      </c>
      <c r="H2167" s="4" t="str">
        <f t="shared" si="36"/>
        <v>No</v>
      </c>
      <c r="I2167" s="56"/>
    </row>
    <row r="2168" spans="1:9">
      <c r="A2168" s="97" t="s">
        <v>2283</v>
      </c>
      <c r="B2168" s="97" t="s">
        <v>164</v>
      </c>
      <c r="C2168" s="163">
        <v>1738</v>
      </c>
      <c r="D2168" s="95" t="s">
        <v>167</v>
      </c>
      <c r="E2168" s="142">
        <v>0.55356666666666665</v>
      </c>
      <c r="F2168" s="4" t="s">
        <v>2752</v>
      </c>
      <c r="G2168" s="4" t="s">
        <v>3065</v>
      </c>
      <c r="H2168" s="4" t="str">
        <f t="shared" si="36"/>
        <v>No</v>
      </c>
      <c r="I2168" s="56"/>
    </row>
    <row r="2169" spans="1:9">
      <c r="A2169" s="97" t="s">
        <v>2283</v>
      </c>
      <c r="B2169" s="97" t="s">
        <v>164</v>
      </c>
      <c r="C2169" s="163">
        <v>3424</v>
      </c>
      <c r="D2169" s="95" t="s">
        <v>183</v>
      </c>
      <c r="E2169" s="142">
        <v>0.66320000000000001</v>
      </c>
      <c r="F2169" s="4" t="s">
        <v>2752</v>
      </c>
      <c r="G2169" s="4" t="s">
        <v>2752</v>
      </c>
      <c r="H2169" s="4" t="str">
        <f t="shared" si="36"/>
        <v>No</v>
      </c>
      <c r="I2169" s="56"/>
    </row>
    <row r="2170" spans="1:9">
      <c r="A2170" s="97" t="s">
        <v>2283</v>
      </c>
      <c r="B2170" s="97" t="s">
        <v>164</v>
      </c>
      <c r="C2170" s="163">
        <v>2643</v>
      </c>
      <c r="D2170" s="95" t="s">
        <v>171</v>
      </c>
      <c r="E2170" s="142">
        <v>0.55549999999999999</v>
      </c>
      <c r="F2170" s="4" t="s">
        <v>2752</v>
      </c>
      <c r="G2170" s="4" t="s">
        <v>2752</v>
      </c>
      <c r="H2170" s="4" t="str">
        <f t="shared" si="36"/>
        <v>No</v>
      </c>
      <c r="I2170" s="56"/>
    </row>
    <row r="2171" spans="1:9">
      <c r="A2171" s="97" t="s">
        <v>2283</v>
      </c>
      <c r="B2171" s="97" t="s">
        <v>164</v>
      </c>
      <c r="C2171" s="163">
        <v>3735</v>
      </c>
      <c r="D2171" s="95" t="s">
        <v>189</v>
      </c>
      <c r="E2171" s="142">
        <v>0.58820000000000006</v>
      </c>
      <c r="F2171" s="4" t="s">
        <v>2752</v>
      </c>
      <c r="G2171" s="4" t="s">
        <v>2752</v>
      </c>
      <c r="H2171" s="4" t="str">
        <f t="shared" si="36"/>
        <v>No</v>
      </c>
      <c r="I2171" s="56"/>
    </row>
    <row r="2172" spans="1:9">
      <c r="A2172" s="97" t="s">
        <v>2283</v>
      </c>
      <c r="B2172" s="97" t="s">
        <v>164</v>
      </c>
      <c r="C2172" s="163">
        <v>2690</v>
      </c>
      <c r="D2172" s="95" t="s">
        <v>173</v>
      </c>
      <c r="E2172" s="142">
        <v>0.58353333333333335</v>
      </c>
      <c r="F2172" s="4" t="s">
        <v>2752</v>
      </c>
      <c r="G2172" s="4" t="s">
        <v>2752</v>
      </c>
      <c r="H2172" s="4" t="str">
        <f t="shared" si="36"/>
        <v>No</v>
      </c>
      <c r="I2172" s="56"/>
    </row>
    <row r="2173" spans="1:9">
      <c r="A2173" s="97" t="s">
        <v>2283</v>
      </c>
      <c r="B2173" s="97" t="s">
        <v>164</v>
      </c>
      <c r="C2173" s="163">
        <v>2610</v>
      </c>
      <c r="D2173" s="95" t="s">
        <v>169</v>
      </c>
      <c r="E2173" s="142">
        <v>0.49856666666666666</v>
      </c>
      <c r="F2173" s="4" t="s">
        <v>3065</v>
      </c>
      <c r="G2173" s="4" t="s">
        <v>3065</v>
      </c>
      <c r="H2173" s="4" t="str">
        <f t="shared" si="36"/>
        <v>No</v>
      </c>
      <c r="I2173" s="56"/>
    </row>
    <row r="2174" spans="1:9">
      <c r="A2174" s="97" t="s">
        <v>2283</v>
      </c>
      <c r="B2174" s="97" t="s">
        <v>164</v>
      </c>
      <c r="C2174" s="163">
        <v>3081</v>
      </c>
      <c r="D2174" s="95" t="s">
        <v>180</v>
      </c>
      <c r="E2174" s="142">
        <v>0.61996666666666667</v>
      </c>
      <c r="F2174" s="4" t="s">
        <v>2752</v>
      </c>
      <c r="G2174" s="4" t="s">
        <v>2752</v>
      </c>
      <c r="H2174" s="4" t="str">
        <f t="shared" si="36"/>
        <v>No</v>
      </c>
      <c r="I2174" s="56"/>
    </row>
    <row r="2175" spans="1:9">
      <c r="A2175" s="97" t="s">
        <v>2283</v>
      </c>
      <c r="B2175" s="97" t="s">
        <v>164</v>
      </c>
      <c r="C2175" s="163">
        <v>3543</v>
      </c>
      <c r="D2175" s="95" t="s">
        <v>184</v>
      </c>
      <c r="E2175" s="142">
        <v>0.50183333333333335</v>
      </c>
      <c r="F2175" s="4" t="s">
        <v>2752</v>
      </c>
      <c r="G2175" s="4" t="s">
        <v>3065</v>
      </c>
      <c r="H2175" s="4" t="str">
        <f t="shared" si="36"/>
        <v>No</v>
      </c>
      <c r="I2175" s="56"/>
    </row>
    <row r="2176" spans="1:9">
      <c r="A2176" s="97" t="s">
        <v>2283</v>
      </c>
      <c r="B2176" s="97" t="s">
        <v>164</v>
      </c>
      <c r="C2176" s="163">
        <v>4591</v>
      </c>
      <c r="D2176" s="95" t="s">
        <v>198</v>
      </c>
      <c r="E2176" s="142">
        <v>0.28256666666666669</v>
      </c>
      <c r="F2176" s="4" t="s">
        <v>3065</v>
      </c>
      <c r="G2176" s="4" t="s">
        <v>3065</v>
      </c>
      <c r="H2176" s="4" t="str">
        <f t="shared" si="36"/>
        <v>No</v>
      </c>
      <c r="I2176" s="56"/>
    </row>
    <row r="2177" spans="1:9">
      <c r="A2177" s="97" t="s">
        <v>2283</v>
      </c>
      <c r="B2177" s="97" t="s">
        <v>164</v>
      </c>
      <c r="C2177" s="163">
        <v>3017</v>
      </c>
      <c r="D2177" s="95" t="s">
        <v>178</v>
      </c>
      <c r="E2177" s="142">
        <v>0.27286666666666665</v>
      </c>
      <c r="F2177" s="4" t="s">
        <v>3065</v>
      </c>
      <c r="G2177" s="4" t="s">
        <v>3065</v>
      </c>
      <c r="H2177" s="4" t="str">
        <f t="shared" si="36"/>
        <v>No</v>
      </c>
      <c r="I2177" s="56"/>
    </row>
    <row r="2178" spans="1:9">
      <c r="A2178" s="97" t="s">
        <v>2283</v>
      </c>
      <c r="B2178" s="97" t="s">
        <v>164</v>
      </c>
      <c r="C2178" s="163">
        <v>3932</v>
      </c>
      <c r="D2178" s="95" t="s">
        <v>191</v>
      </c>
      <c r="E2178" s="142">
        <v>0.46163333333333334</v>
      </c>
      <c r="F2178" s="4" t="s">
        <v>3065</v>
      </c>
      <c r="G2178" s="4" t="s">
        <v>3065</v>
      </c>
      <c r="H2178" s="4" t="str">
        <f t="shared" si="36"/>
        <v>No</v>
      </c>
      <c r="I2178" s="56"/>
    </row>
    <row r="2179" spans="1:9">
      <c r="A2179" s="97" t="s">
        <v>2283</v>
      </c>
      <c r="B2179" s="97" t="s">
        <v>164</v>
      </c>
      <c r="C2179" s="163">
        <v>2318</v>
      </c>
      <c r="D2179" s="95" t="s">
        <v>50</v>
      </c>
      <c r="E2179" s="142">
        <v>0.52633333333333332</v>
      </c>
      <c r="F2179" s="4" t="s">
        <v>2752</v>
      </c>
      <c r="G2179" s="4" t="s">
        <v>2752</v>
      </c>
      <c r="H2179" s="4" t="str">
        <f t="shared" ref="H2179:H2242" si="37">IFERROR(IF(AND(G2179="Yes",F2179="No"),"Yes","No"),"No")</f>
        <v>No</v>
      </c>
      <c r="I2179" s="56"/>
    </row>
    <row r="2180" spans="1:9">
      <c r="A2180" s="97" t="s">
        <v>2283</v>
      </c>
      <c r="B2180" s="97" t="s">
        <v>164</v>
      </c>
      <c r="C2180" s="163">
        <v>3734</v>
      </c>
      <c r="D2180" s="95" t="s">
        <v>188</v>
      </c>
      <c r="E2180" s="142">
        <v>0.74793333333333345</v>
      </c>
      <c r="F2180" s="4" t="s">
        <v>2752</v>
      </c>
      <c r="G2180" s="4" t="s">
        <v>2752</v>
      </c>
      <c r="H2180" s="4" t="str">
        <f t="shared" si="37"/>
        <v>No</v>
      </c>
      <c r="I2180" s="56"/>
    </row>
    <row r="2181" spans="1:9">
      <c r="A2181" s="97" t="s">
        <v>2283</v>
      </c>
      <c r="B2181" s="97" t="s">
        <v>164</v>
      </c>
      <c r="C2181" s="163">
        <v>3146</v>
      </c>
      <c r="D2181" s="95" t="s">
        <v>181</v>
      </c>
      <c r="E2181" s="142">
        <v>0.77190000000000003</v>
      </c>
      <c r="F2181" s="4" t="s">
        <v>2752</v>
      </c>
      <c r="G2181" s="4" t="s">
        <v>2752</v>
      </c>
      <c r="H2181" s="4" t="str">
        <f t="shared" si="37"/>
        <v>No</v>
      </c>
      <c r="I2181" s="56"/>
    </row>
    <row r="2182" spans="1:9">
      <c r="A2182" s="97" t="s">
        <v>2283</v>
      </c>
      <c r="B2182" s="97" t="s">
        <v>164</v>
      </c>
      <c r="C2182" s="163">
        <v>2723</v>
      </c>
      <c r="D2182" s="95" t="s">
        <v>174</v>
      </c>
      <c r="E2182" s="142">
        <v>0.51553333333333329</v>
      </c>
      <c r="F2182" s="4" t="s">
        <v>2752</v>
      </c>
      <c r="G2182" s="4" t="s">
        <v>2752</v>
      </c>
      <c r="H2182" s="4" t="str">
        <f t="shared" si="37"/>
        <v>No</v>
      </c>
      <c r="I2182" s="56"/>
    </row>
    <row r="2183" spans="1:9">
      <c r="A2183" s="97" t="s">
        <v>2283</v>
      </c>
      <c r="B2183" s="97" t="s">
        <v>164</v>
      </c>
      <c r="C2183" s="163">
        <v>5342</v>
      </c>
      <c r="D2183" s="95" t="s">
        <v>201</v>
      </c>
      <c r="E2183" s="142">
        <v>0.64126666666666665</v>
      </c>
      <c r="F2183" s="4" t="s">
        <v>2752</v>
      </c>
      <c r="G2183" s="4" t="s">
        <v>2752</v>
      </c>
      <c r="H2183" s="4" t="str">
        <f t="shared" si="37"/>
        <v>No</v>
      </c>
      <c r="I2183" s="56"/>
    </row>
    <row r="2184" spans="1:9">
      <c r="A2184" s="97" t="s">
        <v>2283</v>
      </c>
      <c r="B2184" s="97" t="s">
        <v>164</v>
      </c>
      <c r="C2184" s="163">
        <v>2644</v>
      </c>
      <c r="D2184" s="95" t="s">
        <v>172</v>
      </c>
      <c r="E2184" s="142">
        <v>0.68900000000000006</v>
      </c>
      <c r="F2184" s="4" t="s">
        <v>2752</v>
      </c>
      <c r="G2184" s="4" t="s">
        <v>2752</v>
      </c>
      <c r="H2184" s="4" t="str">
        <f t="shared" si="37"/>
        <v>No</v>
      </c>
      <c r="I2184" s="56"/>
    </row>
    <row r="2185" spans="1:9">
      <c r="A2185" s="97" t="s">
        <v>2283</v>
      </c>
      <c r="B2185" s="97" t="s">
        <v>164</v>
      </c>
      <c r="C2185" s="163">
        <v>4410</v>
      </c>
      <c r="D2185" s="95" t="s">
        <v>144</v>
      </c>
      <c r="E2185" s="142">
        <v>0.78116666666666668</v>
      </c>
      <c r="F2185" s="4" t="s">
        <v>2752</v>
      </c>
      <c r="G2185" s="4" t="s">
        <v>2752</v>
      </c>
      <c r="H2185" s="4" t="str">
        <f t="shared" si="37"/>
        <v>No</v>
      </c>
      <c r="I2185" s="56"/>
    </row>
    <row r="2186" spans="1:9">
      <c r="A2186" s="97" t="s">
        <v>2283</v>
      </c>
      <c r="B2186" s="97" t="s">
        <v>164</v>
      </c>
      <c r="C2186" s="163">
        <v>4034</v>
      </c>
      <c r="D2186" s="95" t="s">
        <v>192</v>
      </c>
      <c r="E2186" s="142">
        <v>0.40116666666666667</v>
      </c>
      <c r="F2186" s="4" t="s">
        <v>3065</v>
      </c>
      <c r="G2186" s="4" t="s">
        <v>3065</v>
      </c>
      <c r="H2186" s="4" t="str">
        <f t="shared" si="37"/>
        <v>No</v>
      </c>
      <c r="I2186" s="56"/>
    </row>
    <row r="2187" spans="1:9">
      <c r="A2187" s="97" t="s">
        <v>2283</v>
      </c>
      <c r="B2187" s="97" t="s">
        <v>164</v>
      </c>
      <c r="C2187" s="163">
        <v>2964</v>
      </c>
      <c r="D2187" s="95" t="s">
        <v>176</v>
      </c>
      <c r="E2187" s="142">
        <v>0.30196666666666666</v>
      </c>
      <c r="F2187" s="4" t="s">
        <v>3065</v>
      </c>
      <c r="G2187" s="4" t="s">
        <v>3065</v>
      </c>
      <c r="H2187" s="4" t="str">
        <f t="shared" si="37"/>
        <v>No</v>
      </c>
      <c r="I2187" s="56"/>
    </row>
    <row r="2188" spans="1:9">
      <c r="A2188" s="97" t="s">
        <v>2283</v>
      </c>
      <c r="B2188" s="97" t="s">
        <v>164</v>
      </c>
      <c r="C2188" s="163">
        <v>3016</v>
      </c>
      <c r="D2188" s="95" t="s">
        <v>177</v>
      </c>
      <c r="E2188" s="142">
        <v>0.51313333333333333</v>
      </c>
      <c r="F2188" s="4" t="s">
        <v>2752</v>
      </c>
      <c r="G2188" s="4" t="s">
        <v>2752</v>
      </c>
      <c r="H2188" s="4" t="str">
        <f t="shared" si="37"/>
        <v>No</v>
      </c>
      <c r="I2188" s="56"/>
    </row>
    <row r="2189" spans="1:9">
      <c r="A2189" s="97" t="s">
        <v>2283</v>
      </c>
      <c r="B2189" s="97" t="s">
        <v>164</v>
      </c>
      <c r="C2189" s="163">
        <v>4504</v>
      </c>
      <c r="D2189" s="95" t="s">
        <v>197</v>
      </c>
      <c r="E2189" s="142">
        <v>0.25336666666666668</v>
      </c>
      <c r="F2189" s="4" t="s">
        <v>3065</v>
      </c>
      <c r="G2189" s="4" t="s">
        <v>3065</v>
      </c>
      <c r="H2189" s="4" t="str">
        <f t="shared" si="37"/>
        <v>No</v>
      </c>
      <c r="I2189" s="56"/>
    </row>
    <row r="2190" spans="1:9">
      <c r="A2190" s="97" t="s">
        <v>2283</v>
      </c>
      <c r="B2190" s="97" t="s">
        <v>164</v>
      </c>
      <c r="C2190" s="163">
        <v>3556</v>
      </c>
      <c r="D2190" s="95" t="s">
        <v>185</v>
      </c>
      <c r="E2190" s="142">
        <v>0.44883333333333336</v>
      </c>
      <c r="F2190" s="4" t="s">
        <v>3065</v>
      </c>
      <c r="G2190" s="4" t="s">
        <v>3065</v>
      </c>
      <c r="H2190" s="4" t="str">
        <f t="shared" si="37"/>
        <v>No</v>
      </c>
      <c r="I2190" s="56"/>
    </row>
    <row r="2191" spans="1:9">
      <c r="A2191" s="97" t="s">
        <v>2283</v>
      </c>
      <c r="B2191" s="97" t="s">
        <v>164</v>
      </c>
      <c r="C2191" s="163">
        <v>5271</v>
      </c>
      <c r="D2191" s="95" t="s">
        <v>200</v>
      </c>
      <c r="E2191" s="142">
        <v>0.28106666666666669</v>
      </c>
      <c r="F2191" s="4" t="s">
        <v>3065</v>
      </c>
      <c r="G2191" s="4" t="s">
        <v>3065</v>
      </c>
      <c r="H2191" s="4" t="str">
        <f t="shared" si="37"/>
        <v>No</v>
      </c>
      <c r="I2191" s="56"/>
    </row>
    <row r="2192" spans="1:9">
      <c r="A2192" s="97" t="s">
        <v>2283</v>
      </c>
      <c r="B2192" s="97" t="s">
        <v>164</v>
      </c>
      <c r="C2192" s="163">
        <v>1689</v>
      </c>
      <c r="D2192" s="95" t="s">
        <v>166</v>
      </c>
      <c r="E2192" s="142">
        <v>0.22923333333333332</v>
      </c>
      <c r="F2192" s="4" t="s">
        <v>3065</v>
      </c>
      <c r="G2192" s="4" t="s">
        <v>3065</v>
      </c>
      <c r="H2192" s="4" t="str">
        <f t="shared" si="37"/>
        <v>No</v>
      </c>
      <c r="I2192" s="56"/>
    </row>
    <row r="2193" spans="1:9">
      <c r="A2193" s="97" t="s">
        <v>2283</v>
      </c>
      <c r="B2193" s="97" t="s">
        <v>164</v>
      </c>
      <c r="C2193" s="163">
        <v>5149</v>
      </c>
      <c r="D2193" s="95" t="s">
        <v>199</v>
      </c>
      <c r="E2193" s="142">
        <v>0.58689999999999998</v>
      </c>
      <c r="F2193" s="4" t="s">
        <v>2752</v>
      </c>
      <c r="G2193" s="4" t="s">
        <v>2752</v>
      </c>
      <c r="H2193" s="4" t="str">
        <f t="shared" si="37"/>
        <v>No</v>
      </c>
      <c r="I2193" s="56"/>
    </row>
    <row r="2194" spans="1:9">
      <c r="A2194" s="97" t="s">
        <v>2283</v>
      </c>
      <c r="B2194" s="97" t="s">
        <v>164</v>
      </c>
      <c r="C2194" s="163">
        <v>2828</v>
      </c>
      <c r="D2194" s="95" t="s">
        <v>175</v>
      </c>
      <c r="E2194" s="142">
        <v>0.56386666666666674</v>
      </c>
      <c r="F2194" s="4" t="s">
        <v>2752</v>
      </c>
      <c r="G2194" s="4" t="s">
        <v>2752</v>
      </c>
      <c r="H2194" s="4" t="str">
        <f t="shared" si="37"/>
        <v>No</v>
      </c>
      <c r="I2194" s="56"/>
    </row>
    <row r="2195" spans="1:9">
      <c r="A2195" s="97" t="s">
        <v>2283</v>
      </c>
      <c r="B2195" s="97" t="s">
        <v>164</v>
      </c>
      <c r="C2195" s="163">
        <v>3565</v>
      </c>
      <c r="D2195" s="95" t="s">
        <v>186</v>
      </c>
      <c r="E2195" s="142">
        <v>0.76016666666666666</v>
      </c>
      <c r="F2195" s="4" t="s">
        <v>2752</v>
      </c>
      <c r="G2195" s="4" t="s">
        <v>2752</v>
      </c>
      <c r="H2195" s="4" t="str">
        <f t="shared" si="37"/>
        <v>No</v>
      </c>
      <c r="I2195" s="56"/>
    </row>
    <row r="2196" spans="1:9">
      <c r="A2196" s="97" t="s">
        <v>2353</v>
      </c>
      <c r="B2196" s="97" t="s">
        <v>730</v>
      </c>
      <c r="C2196" s="163">
        <v>4468</v>
      </c>
      <c r="D2196" s="95" t="s">
        <v>735</v>
      </c>
      <c r="E2196" s="142">
        <v>0.22906666666666667</v>
      </c>
      <c r="F2196" s="4" t="s">
        <v>3065</v>
      </c>
      <c r="G2196" s="4" t="s">
        <v>3065</v>
      </c>
      <c r="H2196" s="4" t="str">
        <f t="shared" si="37"/>
        <v>No</v>
      </c>
      <c r="I2196" s="56"/>
    </row>
    <row r="2197" spans="1:9">
      <c r="A2197" s="97" t="s">
        <v>2353</v>
      </c>
      <c r="B2197" s="97" t="s">
        <v>730</v>
      </c>
      <c r="C2197" s="163">
        <v>1822</v>
      </c>
      <c r="D2197" s="95" t="s">
        <v>731</v>
      </c>
      <c r="E2197" s="142">
        <v>0.2079</v>
      </c>
      <c r="F2197" s="4" t="s">
        <v>3065</v>
      </c>
      <c r="G2197" s="4" t="s">
        <v>3065</v>
      </c>
      <c r="H2197" s="4" t="str">
        <f t="shared" si="37"/>
        <v>No</v>
      </c>
      <c r="I2197" s="56"/>
    </row>
    <row r="2198" spans="1:9">
      <c r="A2198" s="97" t="s">
        <v>2353</v>
      </c>
      <c r="B2198" s="97" t="s">
        <v>730</v>
      </c>
      <c r="C2198" s="163">
        <v>3667</v>
      </c>
      <c r="D2198" s="95" t="s">
        <v>734</v>
      </c>
      <c r="E2198" s="142">
        <v>0.22413333333333332</v>
      </c>
      <c r="F2198" s="4" t="s">
        <v>3065</v>
      </c>
      <c r="G2198" s="4" t="s">
        <v>3065</v>
      </c>
      <c r="H2198" s="4" t="str">
        <f t="shared" si="37"/>
        <v>No</v>
      </c>
      <c r="I2198" s="56"/>
    </row>
    <row r="2199" spans="1:9">
      <c r="A2199" s="97" t="s">
        <v>2353</v>
      </c>
      <c r="B2199" s="97" t="s">
        <v>730</v>
      </c>
      <c r="C2199" s="163">
        <v>1938</v>
      </c>
      <c r="D2199" s="95" t="s">
        <v>732</v>
      </c>
      <c r="E2199" s="142">
        <v>0.55189999999999995</v>
      </c>
      <c r="F2199" s="4" t="s">
        <v>2752</v>
      </c>
      <c r="G2199" s="4" t="s">
        <v>2752</v>
      </c>
      <c r="H2199" s="4" t="str">
        <f t="shared" si="37"/>
        <v>No</v>
      </c>
      <c r="I2199" s="56"/>
    </row>
    <row r="2200" spans="1:9">
      <c r="A2200" s="97" t="s">
        <v>2353</v>
      </c>
      <c r="B2200" s="97" t="s">
        <v>730</v>
      </c>
      <c r="C2200" s="163">
        <v>2419</v>
      </c>
      <c r="D2200" s="95" t="s">
        <v>733</v>
      </c>
      <c r="E2200" s="142">
        <v>0.19569999999999999</v>
      </c>
      <c r="F2200" s="4" t="s">
        <v>3065</v>
      </c>
      <c r="G2200" s="4" t="s">
        <v>3065</v>
      </c>
      <c r="H2200" s="4" t="str">
        <f t="shared" si="37"/>
        <v>No</v>
      </c>
      <c r="I2200" s="56"/>
    </row>
    <row r="2201" spans="1:9">
      <c r="A2201" s="97" t="s">
        <v>2710</v>
      </c>
      <c r="B2201" s="97" t="s">
        <v>2711</v>
      </c>
      <c r="C2201" s="163">
        <v>5496</v>
      </c>
      <c r="D2201" s="95" t="s">
        <v>1994</v>
      </c>
      <c r="E2201" s="142">
        <v>0.89060000000000006</v>
      </c>
      <c r="F2201" s="4" t="s">
        <v>2752</v>
      </c>
      <c r="G2201" s="4" t="s">
        <v>2752</v>
      </c>
      <c r="H2201" s="4" t="str">
        <f t="shared" si="37"/>
        <v>No</v>
      </c>
      <c r="I2201" s="56"/>
    </row>
    <row r="2202" spans="1:9">
      <c r="A2202" s="97" t="s">
        <v>2524</v>
      </c>
      <c r="B2202" s="97" t="s">
        <v>2036</v>
      </c>
      <c r="C2202" s="163">
        <v>2893</v>
      </c>
      <c r="D2202" s="95" t="s">
        <v>2037</v>
      </c>
      <c r="E2202" s="142">
        <v>0.58469999999999989</v>
      </c>
      <c r="F2202" s="4" t="s">
        <v>2752</v>
      </c>
      <c r="G2202" s="4" t="s">
        <v>2752</v>
      </c>
      <c r="H2202" s="4" t="str">
        <f t="shared" si="37"/>
        <v>No</v>
      </c>
      <c r="I2202" s="56"/>
    </row>
    <row r="2203" spans="1:9">
      <c r="A2203" s="97" t="s">
        <v>2524</v>
      </c>
      <c r="B2203" s="97" t="s">
        <v>2036</v>
      </c>
      <c r="C2203" s="163">
        <v>3467</v>
      </c>
      <c r="D2203" s="95" t="s">
        <v>2038</v>
      </c>
      <c r="E2203" s="142">
        <v>0.57503333333333329</v>
      </c>
      <c r="F2203" s="4" t="s">
        <v>2752</v>
      </c>
      <c r="G2203" s="4" t="s">
        <v>2752</v>
      </c>
      <c r="H2203" s="4" t="str">
        <f t="shared" si="37"/>
        <v>No</v>
      </c>
      <c r="I2203" s="56"/>
    </row>
    <row r="2204" spans="1:9">
      <c r="A2204" s="97" t="s">
        <v>2317</v>
      </c>
      <c r="B2204" s="97" t="s">
        <v>408</v>
      </c>
      <c r="C2204" s="163">
        <v>3152</v>
      </c>
      <c r="D2204" s="95" t="s">
        <v>410</v>
      </c>
      <c r="E2204" s="142">
        <v>0.93929999999999991</v>
      </c>
      <c r="F2204" s="4" t="s">
        <v>2752</v>
      </c>
      <c r="G2204" s="4" t="s">
        <v>2752</v>
      </c>
      <c r="H2204" s="4" t="str">
        <f t="shared" si="37"/>
        <v>No</v>
      </c>
      <c r="I2204" s="56"/>
    </row>
    <row r="2205" spans="1:9">
      <c r="A2205" s="56" t="s">
        <v>2317</v>
      </c>
      <c r="B2205" s="97" t="s">
        <v>408</v>
      </c>
      <c r="C2205" s="163">
        <v>4222</v>
      </c>
      <c r="D2205" s="56" t="s">
        <v>411</v>
      </c>
      <c r="E2205" s="142">
        <v>0.9706999999999999</v>
      </c>
      <c r="F2205" s="4" t="s">
        <v>2752</v>
      </c>
      <c r="G2205" s="4" t="s">
        <v>2752</v>
      </c>
      <c r="H2205" s="4" t="str">
        <f t="shared" si="37"/>
        <v>No</v>
      </c>
      <c r="I2205" s="56"/>
    </row>
    <row r="2206" spans="1:9">
      <c r="A2206" s="97" t="s">
        <v>2317</v>
      </c>
      <c r="B2206" s="97" t="s">
        <v>408</v>
      </c>
      <c r="C2206" s="163">
        <v>4490</v>
      </c>
      <c r="D2206" s="95" t="s">
        <v>413</v>
      </c>
      <c r="E2206" s="142">
        <v>0.96566666666666656</v>
      </c>
      <c r="F2206" s="4" t="s">
        <v>2752</v>
      </c>
      <c r="G2206" s="4" t="s">
        <v>2752</v>
      </c>
      <c r="H2206" s="4" t="str">
        <f t="shared" si="37"/>
        <v>No</v>
      </c>
      <c r="I2206" s="56"/>
    </row>
    <row r="2207" spans="1:9">
      <c r="A2207" s="97" t="s">
        <v>2317</v>
      </c>
      <c r="B2207" s="97" t="s">
        <v>408</v>
      </c>
      <c r="C2207" s="163">
        <v>1835</v>
      </c>
      <c r="D2207" s="95" t="s">
        <v>409</v>
      </c>
      <c r="E2207" s="142">
        <v>0.94600000000000006</v>
      </c>
      <c r="F2207" s="4" t="s">
        <v>2752</v>
      </c>
      <c r="G2207" s="4" t="s">
        <v>2752</v>
      </c>
      <c r="H2207" s="4" t="str">
        <f t="shared" si="37"/>
        <v>No</v>
      </c>
      <c r="I2207" s="56"/>
    </row>
    <row r="2208" spans="1:9">
      <c r="A2208" s="97" t="s">
        <v>2317</v>
      </c>
      <c r="B2208" s="97" t="s">
        <v>408</v>
      </c>
      <c r="C2208" s="163">
        <v>4254</v>
      </c>
      <c r="D2208" s="95" t="s">
        <v>412</v>
      </c>
      <c r="E2208" s="142">
        <v>0.94956666666666667</v>
      </c>
      <c r="F2208" s="4" t="s">
        <v>2752</v>
      </c>
      <c r="G2208" s="4" t="s">
        <v>2752</v>
      </c>
      <c r="H2208" s="4" t="str">
        <f t="shared" si="37"/>
        <v>No</v>
      </c>
      <c r="I2208" s="56"/>
    </row>
    <row r="2209" spans="1:9">
      <c r="A2209" s="97" t="s">
        <v>2317</v>
      </c>
      <c r="B2209" s="97" t="s">
        <v>408</v>
      </c>
      <c r="C2209" s="163">
        <v>5144</v>
      </c>
      <c r="D2209" s="95" t="s">
        <v>414</v>
      </c>
      <c r="E2209" s="142">
        <v>0.95389999999999997</v>
      </c>
      <c r="F2209" s="4" t="s">
        <v>2752</v>
      </c>
      <c r="G2209" s="4" t="s">
        <v>2752</v>
      </c>
      <c r="H2209" s="4" t="str">
        <f t="shared" si="37"/>
        <v>No</v>
      </c>
      <c r="I2209" s="56"/>
    </row>
    <row r="2210" spans="1:9">
      <c r="A2210" s="97" t="s">
        <v>2530</v>
      </c>
      <c r="B2210" s="97" t="s">
        <v>2057</v>
      </c>
      <c r="C2210" s="163">
        <v>2174</v>
      </c>
      <c r="D2210" s="95" t="s">
        <v>2058</v>
      </c>
      <c r="E2210" s="142">
        <v>0.51636666666666664</v>
      </c>
      <c r="F2210" s="4" t="s">
        <v>2752</v>
      </c>
      <c r="G2210" s="4" t="s">
        <v>2752</v>
      </c>
      <c r="H2210" s="4" t="str">
        <f t="shared" si="37"/>
        <v>No</v>
      </c>
      <c r="I2210" s="56"/>
    </row>
    <row r="2211" spans="1:9">
      <c r="A2211" s="97" t="s">
        <v>2530</v>
      </c>
      <c r="B2211" s="97" t="s">
        <v>2057</v>
      </c>
      <c r="C2211" s="163">
        <v>2712</v>
      </c>
      <c r="D2211" s="95" t="s">
        <v>2060</v>
      </c>
      <c r="E2211" s="142">
        <v>0.45793333333333336</v>
      </c>
      <c r="F2211" s="4" t="s">
        <v>2752</v>
      </c>
      <c r="G2211" s="4" t="s">
        <v>2752</v>
      </c>
      <c r="H2211" s="4" t="str">
        <f t="shared" si="37"/>
        <v>No</v>
      </c>
      <c r="I2211" s="56"/>
    </row>
    <row r="2212" spans="1:9">
      <c r="A2212" s="97" t="s">
        <v>2530</v>
      </c>
      <c r="B2212" s="97" t="s">
        <v>2057</v>
      </c>
      <c r="C2212" s="163">
        <v>2386</v>
      </c>
      <c r="D2212" s="95" t="s">
        <v>2059</v>
      </c>
      <c r="E2212" s="142">
        <v>0.5056666666666666</v>
      </c>
      <c r="F2212" s="4" t="s">
        <v>2752</v>
      </c>
      <c r="G2212" s="4" t="s">
        <v>2752</v>
      </c>
      <c r="H2212" s="4" t="str">
        <f t="shared" si="37"/>
        <v>No</v>
      </c>
      <c r="I2212" s="56"/>
    </row>
    <row r="2213" spans="1:9">
      <c r="A2213" s="97" t="s">
        <v>2526</v>
      </c>
      <c r="B2213" s="97" t="s">
        <v>2041</v>
      </c>
      <c r="C2213" s="163">
        <v>2074</v>
      </c>
      <c r="D2213" s="95" t="s">
        <v>2042</v>
      </c>
      <c r="E2213" s="142">
        <v>0.44409999999999999</v>
      </c>
      <c r="F2213" s="4" t="s">
        <v>3065</v>
      </c>
      <c r="G2213" s="4" t="s">
        <v>3065</v>
      </c>
      <c r="H2213" s="4" t="str">
        <f t="shared" si="37"/>
        <v>No</v>
      </c>
      <c r="I2213" s="56"/>
    </row>
    <row r="2214" spans="1:9">
      <c r="A2214" s="97" t="s">
        <v>2526</v>
      </c>
      <c r="B2214" s="97" t="s">
        <v>2041</v>
      </c>
      <c r="C2214" s="163">
        <v>2528</v>
      </c>
      <c r="D2214" s="95" t="s">
        <v>2045</v>
      </c>
      <c r="E2214" s="142">
        <v>0.67423333333333335</v>
      </c>
      <c r="F2214" s="4" t="s">
        <v>2752</v>
      </c>
      <c r="G2214" s="4" t="s">
        <v>2752</v>
      </c>
      <c r="H2214" s="4" t="str">
        <f t="shared" si="37"/>
        <v>No</v>
      </c>
      <c r="I2214" s="56"/>
    </row>
    <row r="2215" spans="1:9">
      <c r="A2215" s="97" t="s">
        <v>2526</v>
      </c>
      <c r="B2215" s="97" t="s">
        <v>2041</v>
      </c>
      <c r="C2215" s="163">
        <v>3510</v>
      </c>
      <c r="D2215" s="95" t="s">
        <v>2047</v>
      </c>
      <c r="E2215" s="142">
        <v>0.52779999999999994</v>
      </c>
      <c r="F2215" s="4" t="s">
        <v>2752</v>
      </c>
      <c r="G2215" s="4" t="s">
        <v>2752</v>
      </c>
      <c r="H2215" s="4" t="str">
        <f t="shared" si="37"/>
        <v>No</v>
      </c>
      <c r="I2215" s="56"/>
    </row>
    <row r="2216" spans="1:9">
      <c r="A2216" s="97" t="s">
        <v>2526</v>
      </c>
      <c r="B2216" s="97" t="s">
        <v>2041</v>
      </c>
      <c r="C2216" s="163">
        <v>2078</v>
      </c>
      <c r="D2216" s="95" t="s">
        <v>2043</v>
      </c>
      <c r="E2216" s="142">
        <v>0.71230000000000004</v>
      </c>
      <c r="F2216" s="4" t="s">
        <v>2752</v>
      </c>
      <c r="G2216" s="4" t="s">
        <v>2752</v>
      </c>
      <c r="H2216" s="4" t="str">
        <f t="shared" si="37"/>
        <v>No</v>
      </c>
      <c r="I2216" s="56"/>
    </row>
    <row r="2217" spans="1:9">
      <c r="A2217" s="97" t="s">
        <v>2526</v>
      </c>
      <c r="B2217" s="97" t="s">
        <v>2041</v>
      </c>
      <c r="C2217" s="163">
        <v>4071</v>
      </c>
      <c r="D2217" s="95" t="s">
        <v>142</v>
      </c>
      <c r="E2217" s="142">
        <v>0.80439999999999989</v>
      </c>
      <c r="F2217" s="4" t="s">
        <v>2752</v>
      </c>
      <c r="G2217" s="4" t="s">
        <v>2752</v>
      </c>
      <c r="H2217" s="4" t="str">
        <f t="shared" si="37"/>
        <v>No</v>
      </c>
      <c r="I2217" s="56"/>
    </row>
    <row r="2218" spans="1:9">
      <c r="A2218" s="97" t="s">
        <v>2526</v>
      </c>
      <c r="B2218" s="97" t="s">
        <v>2041</v>
      </c>
      <c r="C2218" s="163">
        <v>2780</v>
      </c>
      <c r="D2218" s="95" t="s">
        <v>130</v>
      </c>
      <c r="E2218" s="142">
        <v>0.60706666666666653</v>
      </c>
      <c r="F2218" s="4" t="s">
        <v>2752</v>
      </c>
      <c r="G2218" s="4" t="s">
        <v>2752</v>
      </c>
      <c r="H2218" s="4" t="str">
        <f t="shared" si="37"/>
        <v>No</v>
      </c>
      <c r="I2218" s="56"/>
    </row>
    <row r="2219" spans="1:9">
      <c r="A2219" s="97" t="s">
        <v>2526</v>
      </c>
      <c r="B2219" s="97" t="s">
        <v>2041</v>
      </c>
      <c r="C2219" s="163">
        <v>2159</v>
      </c>
      <c r="D2219" s="95" t="s">
        <v>2044</v>
      </c>
      <c r="E2219" s="142">
        <v>0.37776666666666664</v>
      </c>
      <c r="F2219" s="4" t="s">
        <v>3065</v>
      </c>
      <c r="G2219" s="4" t="s">
        <v>3065</v>
      </c>
      <c r="H2219" s="4" t="str">
        <f t="shared" si="37"/>
        <v>No</v>
      </c>
      <c r="I2219" s="56"/>
    </row>
    <row r="2220" spans="1:9">
      <c r="A2220" s="97" t="s">
        <v>2526</v>
      </c>
      <c r="B2220" s="97" t="s">
        <v>2041</v>
      </c>
      <c r="C2220" s="163">
        <v>5337</v>
      </c>
      <c r="D2220" s="95" t="s">
        <v>2745</v>
      </c>
      <c r="E2220" s="142">
        <v>4.7633333333333333E-2</v>
      </c>
      <c r="F2220" s="4" t="s">
        <v>3065</v>
      </c>
      <c r="G2220" s="4" t="s">
        <v>3065</v>
      </c>
      <c r="H2220" s="4" t="str">
        <f t="shared" si="37"/>
        <v>No</v>
      </c>
      <c r="I2220" s="56"/>
    </row>
    <row r="2221" spans="1:9">
      <c r="A2221" s="97" t="s">
        <v>2526</v>
      </c>
      <c r="B2221" s="97" t="s">
        <v>2041</v>
      </c>
      <c r="C2221" s="163">
        <v>3728</v>
      </c>
      <c r="D2221" s="95" t="s">
        <v>2048</v>
      </c>
      <c r="E2221" s="142">
        <v>0.71733333333333338</v>
      </c>
      <c r="F2221" s="4" t="s">
        <v>2752</v>
      </c>
      <c r="G2221" s="4" t="s">
        <v>2752</v>
      </c>
      <c r="H2221" s="4" t="str">
        <f t="shared" si="37"/>
        <v>No</v>
      </c>
      <c r="I2221" s="56"/>
    </row>
    <row r="2222" spans="1:9">
      <c r="A2222" s="97" t="s">
        <v>2526</v>
      </c>
      <c r="B2222" s="97" t="s">
        <v>2041</v>
      </c>
      <c r="C2222" s="163">
        <v>5616</v>
      </c>
      <c r="D2222" s="95" t="s">
        <v>2941</v>
      </c>
      <c r="E2222" s="142">
        <v>0.27844999999999998</v>
      </c>
      <c r="F2222" s="4" t="s">
        <v>3065</v>
      </c>
      <c r="G2222" s="4" t="s">
        <v>3065</v>
      </c>
      <c r="H2222" s="4" t="str">
        <f t="shared" si="37"/>
        <v>No</v>
      </c>
      <c r="I2222" s="56"/>
    </row>
    <row r="2223" spans="1:9">
      <c r="A2223" s="97" t="s">
        <v>2526</v>
      </c>
      <c r="B2223" s="97" t="s">
        <v>2041</v>
      </c>
      <c r="C2223" s="163">
        <v>3468</v>
      </c>
      <c r="D2223" s="95" t="s">
        <v>2046</v>
      </c>
      <c r="E2223" s="142">
        <v>0.47870000000000007</v>
      </c>
      <c r="F2223" s="4" t="s">
        <v>3065</v>
      </c>
      <c r="G2223" s="4" t="s">
        <v>3065</v>
      </c>
      <c r="H2223" s="4" t="str">
        <f t="shared" si="37"/>
        <v>No</v>
      </c>
      <c r="I2223" s="56"/>
    </row>
    <row r="2224" spans="1:9">
      <c r="A2224" s="97" t="s">
        <v>2526</v>
      </c>
      <c r="B2224" s="97" t="s">
        <v>2041</v>
      </c>
      <c r="C2224" s="163">
        <v>5636</v>
      </c>
      <c r="D2224" s="95" t="s">
        <v>2942</v>
      </c>
      <c r="E2224" s="142">
        <v>0.43635000000000002</v>
      </c>
      <c r="F2224" s="4" t="s">
        <v>3065</v>
      </c>
      <c r="G2224" s="4" t="s">
        <v>3065</v>
      </c>
      <c r="H2224" s="4" t="str">
        <f t="shared" si="37"/>
        <v>No</v>
      </c>
      <c r="I2224" s="56"/>
    </row>
    <row r="2225" spans="1:9">
      <c r="A2225" s="97" t="s">
        <v>2526</v>
      </c>
      <c r="B2225" s="97" t="s">
        <v>2041</v>
      </c>
      <c r="C2225" s="163">
        <v>5460</v>
      </c>
      <c r="D2225" s="95" t="s">
        <v>2943</v>
      </c>
      <c r="E2225" s="142">
        <v>0.75309999999999988</v>
      </c>
      <c r="F2225" s="4" t="s">
        <v>2752</v>
      </c>
      <c r="G2225" s="4" t="s">
        <v>2752</v>
      </c>
      <c r="H2225" s="4" t="str">
        <f t="shared" si="37"/>
        <v>No</v>
      </c>
      <c r="I2225" s="56"/>
    </row>
    <row r="2226" spans="1:9">
      <c r="A2226" s="97" t="s">
        <v>2565</v>
      </c>
      <c r="B2226" s="97" t="s">
        <v>2240</v>
      </c>
      <c r="C2226" s="163">
        <v>4518</v>
      </c>
      <c r="D2226" s="95" t="s">
        <v>1788</v>
      </c>
      <c r="E2226" s="142">
        <v>0.93920000000000003</v>
      </c>
      <c r="F2226" s="4" t="s">
        <v>2752</v>
      </c>
      <c r="G2226" s="4" t="s">
        <v>2752</v>
      </c>
      <c r="H2226" s="4" t="str">
        <f t="shared" si="37"/>
        <v>No</v>
      </c>
      <c r="I2226" s="56"/>
    </row>
    <row r="2227" spans="1:9">
      <c r="A2227" s="97" t="s">
        <v>2565</v>
      </c>
      <c r="B2227" s="97" t="s">
        <v>2240</v>
      </c>
      <c r="C2227" s="163">
        <v>5544</v>
      </c>
      <c r="D2227" s="95" t="s">
        <v>2243</v>
      </c>
      <c r="E2227" s="142">
        <v>0.86629999999999996</v>
      </c>
      <c r="F2227" s="4" t="s">
        <v>2752</v>
      </c>
      <c r="G2227" s="4" t="s">
        <v>2752</v>
      </c>
      <c r="H2227" s="4" t="str">
        <f t="shared" si="37"/>
        <v>No</v>
      </c>
      <c r="I2227" s="56"/>
    </row>
    <row r="2228" spans="1:9">
      <c r="A2228" s="97" t="s">
        <v>2565</v>
      </c>
      <c r="B2228" s="97" t="s">
        <v>2240</v>
      </c>
      <c r="C2228" s="163">
        <v>4022</v>
      </c>
      <c r="D2228" s="95" t="s">
        <v>2245</v>
      </c>
      <c r="E2228" s="142">
        <v>0.93579999999999997</v>
      </c>
      <c r="F2228" s="4" t="s">
        <v>2752</v>
      </c>
      <c r="G2228" s="4" t="s">
        <v>2752</v>
      </c>
      <c r="H2228" s="4" t="str">
        <f t="shared" si="37"/>
        <v>No</v>
      </c>
      <c r="I2228" s="56"/>
    </row>
    <row r="2229" spans="1:9">
      <c r="A2229" s="97" t="s">
        <v>2565</v>
      </c>
      <c r="B2229" s="97" t="s">
        <v>2240</v>
      </c>
      <c r="C2229" s="163">
        <v>2757</v>
      </c>
      <c r="D2229" s="95" t="s">
        <v>2242</v>
      </c>
      <c r="E2229" s="142">
        <v>0.91416666666666668</v>
      </c>
      <c r="F2229" s="4" t="s">
        <v>2752</v>
      </c>
      <c r="G2229" s="4" t="s">
        <v>2752</v>
      </c>
      <c r="H2229" s="4" t="str">
        <f t="shared" si="37"/>
        <v>No</v>
      </c>
      <c r="I2229" s="56"/>
    </row>
    <row r="2230" spans="1:9">
      <c r="A2230" s="97" t="s">
        <v>2565</v>
      </c>
      <c r="B2230" s="97" t="s">
        <v>2240</v>
      </c>
      <c r="C2230" s="163">
        <v>5543</v>
      </c>
      <c r="D2230" s="95" t="s">
        <v>2944</v>
      </c>
      <c r="E2230" s="142">
        <v>0.87953333333333328</v>
      </c>
      <c r="F2230" s="4" t="s">
        <v>2752</v>
      </c>
      <c r="G2230" s="4" t="s">
        <v>2752</v>
      </c>
      <c r="H2230" s="4" t="str">
        <f t="shared" si="37"/>
        <v>No</v>
      </c>
      <c r="I2230" s="56"/>
    </row>
    <row r="2231" spans="1:9">
      <c r="A2231" s="97" t="s">
        <v>2565</v>
      </c>
      <c r="B2231" s="97" t="s">
        <v>2240</v>
      </c>
      <c r="C2231" s="163">
        <v>3141</v>
      </c>
      <c r="D2231" s="95" t="s">
        <v>2244</v>
      </c>
      <c r="E2231" s="142">
        <v>0.86453333333333326</v>
      </c>
      <c r="F2231" s="4" t="s">
        <v>2752</v>
      </c>
      <c r="G2231" s="4" t="s">
        <v>2752</v>
      </c>
      <c r="H2231" s="4" t="str">
        <f t="shared" si="37"/>
        <v>No</v>
      </c>
      <c r="I2231" s="56"/>
    </row>
    <row r="2232" spans="1:9">
      <c r="A2232" s="97" t="s">
        <v>2565</v>
      </c>
      <c r="B2232" s="97" t="s">
        <v>2240</v>
      </c>
      <c r="C2232" s="163">
        <v>2131</v>
      </c>
      <c r="D2232" s="95" t="s">
        <v>2241</v>
      </c>
      <c r="E2232" s="142">
        <v>0.90936666666666666</v>
      </c>
      <c r="F2232" s="4" t="s">
        <v>2752</v>
      </c>
      <c r="G2232" s="4" t="s">
        <v>2752</v>
      </c>
      <c r="H2232" s="4" t="str">
        <f t="shared" si="37"/>
        <v>No</v>
      </c>
      <c r="I2232" s="56"/>
    </row>
    <row r="2233" spans="1:9">
      <c r="A2233" s="97" t="s">
        <v>2319</v>
      </c>
      <c r="B2233" s="97" t="s">
        <v>421</v>
      </c>
      <c r="C2233" s="163">
        <v>2792</v>
      </c>
      <c r="D2233" s="95" t="s">
        <v>422</v>
      </c>
      <c r="E2233" s="142">
        <v>0.84019999999999995</v>
      </c>
      <c r="F2233" s="4" t="s">
        <v>2752</v>
      </c>
      <c r="G2233" s="4" t="s">
        <v>2752</v>
      </c>
      <c r="H2233" s="4" t="str">
        <f t="shared" si="37"/>
        <v>No</v>
      </c>
      <c r="I2233" s="56"/>
    </row>
    <row r="2234" spans="1:9">
      <c r="A2234" s="97" t="s">
        <v>2319</v>
      </c>
      <c r="B2234" s="97" t="s">
        <v>421</v>
      </c>
      <c r="C2234" s="163">
        <v>3273</v>
      </c>
      <c r="D2234" s="95" t="s">
        <v>423</v>
      </c>
      <c r="E2234" s="142">
        <v>0.7883</v>
      </c>
      <c r="F2234" s="4" t="s">
        <v>2752</v>
      </c>
      <c r="G2234" s="4" t="s">
        <v>2752</v>
      </c>
      <c r="H2234" s="4" t="str">
        <f t="shared" si="37"/>
        <v>No</v>
      </c>
      <c r="I2234" s="56"/>
    </row>
    <row r="2235" spans="1:9">
      <c r="A2235" s="97" t="s">
        <v>2319</v>
      </c>
      <c r="B2235" s="97" t="s">
        <v>421</v>
      </c>
      <c r="C2235" s="163">
        <v>3909</v>
      </c>
      <c r="D2235" s="95" t="s">
        <v>424</v>
      </c>
      <c r="E2235" s="142">
        <v>0.86973333333333336</v>
      </c>
      <c r="F2235" s="4" t="s">
        <v>2752</v>
      </c>
      <c r="G2235" s="4" t="s">
        <v>2752</v>
      </c>
      <c r="H2235" s="4" t="str">
        <f t="shared" si="37"/>
        <v>No</v>
      </c>
      <c r="I2235" s="56"/>
    </row>
    <row r="2236" spans="1:9">
      <c r="A2236" s="97" t="s">
        <v>2287</v>
      </c>
      <c r="B2236" s="97" t="s">
        <v>213</v>
      </c>
      <c r="C2236" s="163">
        <v>4549</v>
      </c>
      <c r="D2236" s="95" t="s">
        <v>219</v>
      </c>
      <c r="E2236" s="142">
        <v>0.22209999999999999</v>
      </c>
      <c r="F2236" s="4" t="s">
        <v>3065</v>
      </c>
      <c r="G2236" s="4" t="s">
        <v>3065</v>
      </c>
      <c r="H2236" s="4" t="str">
        <f t="shared" si="37"/>
        <v>No</v>
      </c>
      <c r="I2236" s="56"/>
    </row>
    <row r="2237" spans="1:9">
      <c r="A2237" s="97" t="s">
        <v>2287</v>
      </c>
      <c r="B2237" s="97" t="s">
        <v>213</v>
      </c>
      <c r="C2237" s="163">
        <v>3270</v>
      </c>
      <c r="D2237" s="95" t="s">
        <v>217</v>
      </c>
      <c r="E2237" s="142">
        <v>0.30460000000000004</v>
      </c>
      <c r="F2237" s="4" t="s">
        <v>3065</v>
      </c>
      <c r="G2237" s="4" t="s">
        <v>3065</v>
      </c>
      <c r="H2237" s="4" t="str">
        <f t="shared" si="37"/>
        <v>No</v>
      </c>
      <c r="I2237" s="56"/>
    </row>
    <row r="2238" spans="1:9">
      <c r="A2238" s="97" t="s">
        <v>2287</v>
      </c>
      <c r="B2238" s="97" t="s">
        <v>213</v>
      </c>
      <c r="C2238" s="163">
        <v>5494</v>
      </c>
      <c r="D2238" s="95" t="s">
        <v>2746</v>
      </c>
      <c r="E2238" s="142">
        <v>0.36809999999999993</v>
      </c>
      <c r="F2238" s="4" t="s">
        <v>3065</v>
      </c>
      <c r="G2238" s="4" t="s">
        <v>3065</v>
      </c>
      <c r="H2238" s="4" t="str">
        <f t="shared" si="37"/>
        <v>No</v>
      </c>
      <c r="I2238" s="56"/>
    </row>
    <row r="2239" spans="1:9">
      <c r="A2239" s="97" t="s">
        <v>2287</v>
      </c>
      <c r="B2239" s="97" t="s">
        <v>213</v>
      </c>
      <c r="C2239" s="163">
        <v>2911</v>
      </c>
      <c r="D2239" s="95" t="s">
        <v>215</v>
      </c>
      <c r="E2239" s="142">
        <v>0.36663333333333331</v>
      </c>
      <c r="F2239" s="4" t="s">
        <v>3065</v>
      </c>
      <c r="G2239" s="4" t="s">
        <v>3065</v>
      </c>
      <c r="H2239" s="4" t="str">
        <f t="shared" si="37"/>
        <v>No</v>
      </c>
      <c r="I2239" s="56"/>
    </row>
    <row r="2240" spans="1:9">
      <c r="A2240" s="97" t="s">
        <v>2287</v>
      </c>
      <c r="B2240" s="97" t="s">
        <v>213</v>
      </c>
      <c r="C2240" s="163">
        <v>2509</v>
      </c>
      <c r="D2240" s="95" t="s">
        <v>214</v>
      </c>
      <c r="E2240" s="142">
        <v>0.42986666666666667</v>
      </c>
      <c r="F2240" s="4" t="s">
        <v>3065</v>
      </c>
      <c r="G2240" s="4" t="s">
        <v>3065</v>
      </c>
      <c r="H2240" s="4" t="str">
        <f t="shared" si="37"/>
        <v>No</v>
      </c>
      <c r="I2240" s="56"/>
    </row>
    <row r="2241" spans="1:9">
      <c r="A2241" s="56" t="s">
        <v>2287</v>
      </c>
      <c r="B2241" s="97" t="s">
        <v>213</v>
      </c>
      <c r="C2241" s="163">
        <v>4207</v>
      </c>
      <c r="D2241" s="56" t="s">
        <v>218</v>
      </c>
      <c r="E2241" s="142">
        <v>0.44309999999999999</v>
      </c>
      <c r="F2241" s="4" t="s">
        <v>3065</v>
      </c>
      <c r="G2241" s="4" t="s">
        <v>3065</v>
      </c>
      <c r="H2241" s="4" t="str">
        <f t="shared" si="37"/>
        <v>No</v>
      </c>
      <c r="I2241" s="56"/>
    </row>
    <row r="2242" spans="1:9">
      <c r="A2242" s="97" t="s">
        <v>2287</v>
      </c>
      <c r="B2242" s="97" t="s">
        <v>213</v>
      </c>
      <c r="C2242" s="163">
        <v>3147</v>
      </c>
      <c r="D2242" s="95" t="s">
        <v>216</v>
      </c>
      <c r="E2242" s="142">
        <v>0.32396666666666668</v>
      </c>
      <c r="F2242" s="4" t="s">
        <v>3065</v>
      </c>
      <c r="G2242" s="4" t="s">
        <v>3065</v>
      </c>
      <c r="H2242" s="4" t="str">
        <f t="shared" si="37"/>
        <v>No</v>
      </c>
      <c r="I2242" s="56"/>
    </row>
    <row r="2243" spans="1:9">
      <c r="A2243" s="97" t="s">
        <v>2287</v>
      </c>
      <c r="B2243" s="97" t="s">
        <v>213</v>
      </c>
      <c r="C2243" s="163">
        <v>5615</v>
      </c>
      <c r="D2243" s="95" t="s">
        <v>2945</v>
      </c>
      <c r="E2243" s="142">
        <v>0.31909999999999999</v>
      </c>
      <c r="F2243" s="4" t="s">
        <v>3065</v>
      </c>
      <c r="G2243" s="4" t="s">
        <v>3065</v>
      </c>
      <c r="H2243" s="4" t="str">
        <f t="shared" ref="H2243:H2306" si="38">IFERROR(IF(AND(G2243="Yes",F2243="No"),"Yes","No"),"No")</f>
        <v>No</v>
      </c>
      <c r="I2243" s="56"/>
    </row>
    <row r="2244" spans="1:9">
      <c r="A2244" s="97" t="s">
        <v>2257</v>
      </c>
      <c r="B2244" s="97" t="s">
        <v>0</v>
      </c>
      <c r="C2244" s="163">
        <v>3075</v>
      </c>
      <c r="D2244" s="95" t="s">
        <v>1</v>
      </c>
      <c r="E2244" s="142">
        <v>0.71816666666666651</v>
      </c>
      <c r="F2244" s="4" t="s">
        <v>2752</v>
      </c>
      <c r="G2244" s="4" t="s">
        <v>2752</v>
      </c>
      <c r="H2244" s="4" t="str">
        <f t="shared" si="38"/>
        <v>No</v>
      </c>
      <c r="I2244" s="56"/>
    </row>
    <row r="2245" spans="1:9">
      <c r="A2245" s="97" t="s">
        <v>2306</v>
      </c>
      <c r="B2245" s="97" t="s">
        <v>355</v>
      </c>
      <c r="C2245" s="163">
        <v>2161</v>
      </c>
      <c r="D2245" s="95" t="s">
        <v>356</v>
      </c>
      <c r="E2245" s="142">
        <v>0.44806666666666667</v>
      </c>
      <c r="F2245" s="4" t="s">
        <v>3065</v>
      </c>
      <c r="G2245" s="4" t="s">
        <v>2752</v>
      </c>
      <c r="H2245" s="4" t="str">
        <f t="shared" si="38"/>
        <v>Yes</v>
      </c>
      <c r="I2245" s="56"/>
    </row>
    <row r="2246" spans="1:9">
      <c r="A2246" s="97" t="s">
        <v>2306</v>
      </c>
      <c r="B2246" s="97" t="s">
        <v>355</v>
      </c>
      <c r="C2246" s="163">
        <v>2162</v>
      </c>
      <c r="D2246" s="95" t="s">
        <v>357</v>
      </c>
      <c r="E2246" s="142">
        <v>0.53776666666666662</v>
      </c>
      <c r="F2246" s="4" t="s">
        <v>2752</v>
      </c>
      <c r="G2246" s="4" t="s">
        <v>2752</v>
      </c>
      <c r="H2246" s="4" t="str">
        <f t="shared" si="38"/>
        <v>No</v>
      </c>
      <c r="I2246" s="56"/>
    </row>
    <row r="2247" spans="1:9">
      <c r="A2247" s="97" t="s">
        <v>2505</v>
      </c>
      <c r="B2247" s="97" t="s">
        <v>1928</v>
      </c>
      <c r="C2247" s="163">
        <v>2549</v>
      </c>
      <c r="D2247" s="95" t="s">
        <v>1929</v>
      </c>
      <c r="E2247" s="142">
        <v>0.89206666666666667</v>
      </c>
      <c r="F2247" s="4" t="s">
        <v>2752</v>
      </c>
      <c r="G2247" s="4" t="s">
        <v>2752</v>
      </c>
      <c r="H2247" s="4" t="str">
        <f t="shared" si="38"/>
        <v>No</v>
      </c>
      <c r="I2247" s="56"/>
    </row>
    <row r="2248" spans="1:9">
      <c r="A2248" s="97" t="s">
        <v>2505</v>
      </c>
      <c r="B2248" s="97" t="s">
        <v>1928</v>
      </c>
      <c r="C2248" s="163">
        <v>5461</v>
      </c>
      <c r="D2248" s="95" t="s">
        <v>2747</v>
      </c>
      <c r="E2248" s="142">
        <v>0.55759999999999998</v>
      </c>
      <c r="F2248" s="4" t="s">
        <v>2752</v>
      </c>
      <c r="G2248" s="4" t="s">
        <v>3065</v>
      </c>
      <c r="H2248" s="4" t="str">
        <f t="shared" si="38"/>
        <v>No</v>
      </c>
      <c r="I2248" s="56"/>
    </row>
    <row r="2249" spans="1:9">
      <c r="A2249" s="97" t="s">
        <v>2505</v>
      </c>
      <c r="B2249" s="97" t="s">
        <v>1928</v>
      </c>
      <c r="C2249" s="163">
        <v>2550</v>
      </c>
      <c r="D2249" s="95" t="s">
        <v>1930</v>
      </c>
      <c r="E2249" s="142">
        <v>0.8337</v>
      </c>
      <c r="F2249" s="4" t="s">
        <v>2752</v>
      </c>
      <c r="G2249" s="4" t="s">
        <v>2752</v>
      </c>
      <c r="H2249" s="4" t="str">
        <f t="shared" si="38"/>
        <v>No</v>
      </c>
      <c r="I2249" s="56"/>
    </row>
    <row r="2250" spans="1:9">
      <c r="A2250" s="97" t="s">
        <v>2505</v>
      </c>
      <c r="B2250" s="97" t="s">
        <v>1928</v>
      </c>
      <c r="C2250" s="163">
        <v>4232</v>
      </c>
      <c r="D2250" s="95" t="s">
        <v>1931</v>
      </c>
      <c r="E2250" s="142">
        <v>0.9247333333333333</v>
      </c>
      <c r="F2250" s="4" t="s">
        <v>2752</v>
      </c>
      <c r="G2250" s="4" t="s">
        <v>2752</v>
      </c>
      <c r="H2250" s="4" t="str">
        <f t="shared" si="38"/>
        <v>No</v>
      </c>
      <c r="I2250" s="56"/>
    </row>
    <row r="2251" spans="1:9">
      <c r="A2251" s="97" t="s">
        <v>2276</v>
      </c>
      <c r="B2251" s="97" t="s">
        <v>121</v>
      </c>
      <c r="C2251" s="163">
        <v>3209</v>
      </c>
      <c r="D2251" s="95" t="s">
        <v>129</v>
      </c>
      <c r="E2251" s="142">
        <v>0.65096666666666669</v>
      </c>
      <c r="F2251" s="4" t="s">
        <v>2752</v>
      </c>
      <c r="G2251" s="4" t="s">
        <v>2752</v>
      </c>
      <c r="H2251" s="4" t="str">
        <f t="shared" si="38"/>
        <v>No</v>
      </c>
      <c r="I2251" s="56"/>
    </row>
    <row r="2252" spans="1:9">
      <c r="A2252" s="56" t="s">
        <v>2276</v>
      </c>
      <c r="B2252" s="97" t="s">
        <v>121</v>
      </c>
      <c r="C2252" s="163">
        <v>3269</v>
      </c>
      <c r="D2252" s="56" t="s">
        <v>2946</v>
      </c>
      <c r="E2252" s="142">
        <v>0.18206666666666668</v>
      </c>
      <c r="F2252" s="4" t="s">
        <v>3065</v>
      </c>
      <c r="G2252" s="4" t="s">
        <v>3065</v>
      </c>
      <c r="H2252" s="4" t="str">
        <f t="shared" si="38"/>
        <v>No</v>
      </c>
      <c r="I2252" s="56"/>
    </row>
    <row r="2253" spans="1:9">
      <c r="A2253" s="97" t="s">
        <v>2276</v>
      </c>
      <c r="B2253" s="97" t="s">
        <v>121</v>
      </c>
      <c r="C2253" s="163">
        <v>2301</v>
      </c>
      <c r="D2253" s="95" t="s">
        <v>126</v>
      </c>
      <c r="E2253" s="142">
        <v>0.66213333333333335</v>
      </c>
      <c r="F2253" s="4" t="s">
        <v>2752</v>
      </c>
      <c r="G2253" s="4" t="s">
        <v>2752</v>
      </c>
      <c r="H2253" s="4" t="str">
        <f t="shared" si="38"/>
        <v>No</v>
      </c>
      <c r="I2253" s="56"/>
    </row>
    <row r="2254" spans="1:9">
      <c r="A2254" s="97" t="s">
        <v>2276</v>
      </c>
      <c r="B2254" s="97" t="s">
        <v>121</v>
      </c>
      <c r="C2254" s="163">
        <v>4432</v>
      </c>
      <c r="D2254" s="95" t="s">
        <v>134</v>
      </c>
      <c r="E2254" s="142">
        <v>0.49730000000000002</v>
      </c>
      <c r="F2254" s="4" t="s">
        <v>3065</v>
      </c>
      <c r="G2254" s="4" t="s">
        <v>2752</v>
      </c>
      <c r="H2254" s="4" t="str">
        <f t="shared" si="38"/>
        <v>Yes</v>
      </c>
      <c r="I2254" s="56"/>
    </row>
    <row r="2255" spans="1:9">
      <c r="A2255" s="97" t="s">
        <v>2276</v>
      </c>
      <c r="B2255" s="97" t="s">
        <v>121</v>
      </c>
      <c r="C2255" s="163">
        <v>4423</v>
      </c>
      <c r="D2255" s="95" t="s">
        <v>133</v>
      </c>
      <c r="E2255" s="142">
        <v>0.53053333333333341</v>
      </c>
      <c r="F2255" s="4" t="s">
        <v>2752</v>
      </c>
      <c r="G2255" s="4" t="s">
        <v>2752</v>
      </c>
      <c r="H2255" s="4" t="str">
        <f t="shared" si="38"/>
        <v>No</v>
      </c>
      <c r="I2255" s="56"/>
    </row>
    <row r="2256" spans="1:9">
      <c r="A2256" s="97" t="s">
        <v>2276</v>
      </c>
      <c r="B2256" s="97" t="s">
        <v>121</v>
      </c>
      <c r="C2256" s="163">
        <v>2279</v>
      </c>
      <c r="D2256" s="95" t="s">
        <v>125</v>
      </c>
      <c r="E2256" s="142">
        <v>0.60886666666666667</v>
      </c>
      <c r="F2256" s="4" t="s">
        <v>2752</v>
      </c>
      <c r="G2256" s="4" t="s">
        <v>2752</v>
      </c>
      <c r="H2256" s="4" t="str">
        <f t="shared" si="38"/>
        <v>No</v>
      </c>
      <c r="I2256" s="56"/>
    </row>
    <row r="2257" spans="1:9">
      <c r="A2257" s="97" t="s">
        <v>2276</v>
      </c>
      <c r="B2257" s="97" t="s">
        <v>121</v>
      </c>
      <c r="C2257" s="163">
        <v>2347</v>
      </c>
      <c r="D2257" s="95" t="s">
        <v>127</v>
      </c>
      <c r="E2257" s="142">
        <v>0.62796666666666667</v>
      </c>
      <c r="F2257" s="4" t="s">
        <v>2752</v>
      </c>
      <c r="G2257" s="4" t="s">
        <v>2752</v>
      </c>
      <c r="H2257" s="4" t="str">
        <f t="shared" si="38"/>
        <v>No</v>
      </c>
      <c r="I2257" s="56"/>
    </row>
    <row r="2258" spans="1:9">
      <c r="A2258" s="97" t="s">
        <v>2276</v>
      </c>
      <c r="B2258" s="97" t="s">
        <v>121</v>
      </c>
      <c r="C2258" s="163">
        <v>5316</v>
      </c>
      <c r="D2258" s="95" t="s">
        <v>135</v>
      </c>
      <c r="E2258" s="142">
        <v>0.70450000000000002</v>
      </c>
      <c r="F2258" s="4" t="s">
        <v>2752</v>
      </c>
      <c r="G2258" s="4" t="s">
        <v>2752</v>
      </c>
      <c r="H2258" s="4" t="str">
        <f t="shared" si="38"/>
        <v>No</v>
      </c>
      <c r="I2258" s="56"/>
    </row>
    <row r="2259" spans="1:9">
      <c r="A2259" s="97" t="s">
        <v>2276</v>
      </c>
      <c r="B2259" s="97" t="s">
        <v>121</v>
      </c>
      <c r="C2259" s="163">
        <v>3370</v>
      </c>
      <c r="D2259" s="95" t="s">
        <v>131</v>
      </c>
      <c r="E2259" s="142">
        <v>0.6673</v>
      </c>
      <c r="F2259" s="4" t="s">
        <v>2752</v>
      </c>
      <c r="G2259" s="4" t="s">
        <v>2752</v>
      </c>
      <c r="H2259" s="4" t="str">
        <f t="shared" si="38"/>
        <v>No</v>
      </c>
      <c r="I2259" s="56"/>
    </row>
    <row r="2260" spans="1:9">
      <c r="A2260" s="97" t="s">
        <v>2276</v>
      </c>
      <c r="B2260" s="97" t="s">
        <v>121</v>
      </c>
      <c r="C2260" s="163">
        <v>3210</v>
      </c>
      <c r="D2260" s="95" t="s">
        <v>130</v>
      </c>
      <c r="E2260" s="142">
        <v>0.58566666666666667</v>
      </c>
      <c r="F2260" s="4" t="s">
        <v>2752</v>
      </c>
      <c r="G2260" s="4" t="s">
        <v>2752</v>
      </c>
      <c r="H2260" s="4" t="str">
        <f t="shared" si="38"/>
        <v>No</v>
      </c>
      <c r="I2260" s="56"/>
    </row>
    <row r="2261" spans="1:9">
      <c r="A2261" s="97" t="s">
        <v>2276</v>
      </c>
      <c r="B2261" s="97" t="s">
        <v>121</v>
      </c>
      <c r="C2261" s="163">
        <v>3208</v>
      </c>
      <c r="D2261" s="95" t="s">
        <v>128</v>
      </c>
      <c r="E2261" s="142">
        <v>0.20663333333333334</v>
      </c>
      <c r="F2261" s="4" t="s">
        <v>3065</v>
      </c>
      <c r="G2261" s="4" t="s">
        <v>3065</v>
      </c>
      <c r="H2261" s="4" t="str">
        <f t="shared" si="38"/>
        <v>No</v>
      </c>
      <c r="I2261" s="56"/>
    </row>
    <row r="2262" spans="1:9">
      <c r="A2262" s="137" t="s">
        <v>2276</v>
      </c>
      <c r="B2262" s="97" t="s">
        <v>121</v>
      </c>
      <c r="C2262" s="164">
        <v>5569</v>
      </c>
      <c r="D2262" s="56" t="s">
        <v>2821</v>
      </c>
      <c r="E2262" s="142">
        <v>0.10823333333333333</v>
      </c>
      <c r="F2262" s="4" t="s">
        <v>3065</v>
      </c>
      <c r="G2262" s="4" t="s">
        <v>3065</v>
      </c>
      <c r="H2262" s="4" t="str">
        <f t="shared" si="38"/>
        <v>No</v>
      </c>
      <c r="I2262" s="56"/>
    </row>
    <row r="2263" spans="1:9">
      <c r="A2263" s="97" t="s">
        <v>2276</v>
      </c>
      <c r="B2263" s="97" t="s">
        <v>121</v>
      </c>
      <c r="C2263" s="163">
        <v>2907</v>
      </c>
      <c r="D2263" s="95" t="s">
        <v>40</v>
      </c>
      <c r="E2263" s="142">
        <v>0.39803333333333329</v>
      </c>
      <c r="F2263" s="4" t="s">
        <v>3065</v>
      </c>
      <c r="G2263" s="4" t="s">
        <v>3065</v>
      </c>
      <c r="H2263" s="4" t="str">
        <f t="shared" si="38"/>
        <v>No</v>
      </c>
      <c r="I2263" s="56"/>
    </row>
    <row r="2264" spans="1:9">
      <c r="A2264" s="97" t="s">
        <v>2276</v>
      </c>
      <c r="B2264" s="97" t="s">
        <v>121</v>
      </c>
      <c r="C2264" s="163">
        <v>2134</v>
      </c>
      <c r="D2264" s="95" t="s">
        <v>124</v>
      </c>
      <c r="E2264" s="142">
        <v>0.5404000000000001</v>
      </c>
      <c r="F2264" s="4" t="s">
        <v>2752</v>
      </c>
      <c r="G2264" s="4" t="s">
        <v>2752</v>
      </c>
      <c r="H2264" s="4" t="str">
        <f t="shared" si="38"/>
        <v>No</v>
      </c>
      <c r="I2264" s="56"/>
    </row>
    <row r="2265" spans="1:9">
      <c r="A2265" s="97" t="s">
        <v>2276</v>
      </c>
      <c r="B2265" s="97" t="s">
        <v>121</v>
      </c>
      <c r="C2265" s="163">
        <v>5637</v>
      </c>
      <c r="D2265" s="95" t="s">
        <v>2947</v>
      </c>
      <c r="E2265" s="142">
        <v>0.53769999999999996</v>
      </c>
      <c r="F2265" s="4" t="s">
        <v>2752</v>
      </c>
      <c r="G2265" s="4" t="s">
        <v>3065</v>
      </c>
      <c r="H2265" s="4" t="str">
        <f t="shared" si="38"/>
        <v>No</v>
      </c>
      <c r="I2265" s="56"/>
    </row>
    <row r="2266" spans="1:9">
      <c r="A2266" s="97" t="s">
        <v>2276</v>
      </c>
      <c r="B2266" s="97" t="s">
        <v>121</v>
      </c>
      <c r="C2266" s="163">
        <v>4105</v>
      </c>
      <c r="D2266" s="95" t="s">
        <v>132</v>
      </c>
      <c r="E2266" s="142">
        <v>0.22136666666666663</v>
      </c>
      <c r="F2266" s="4" t="s">
        <v>3065</v>
      </c>
      <c r="G2266" s="4" t="s">
        <v>3065</v>
      </c>
      <c r="H2266" s="4" t="str">
        <f t="shared" si="38"/>
        <v>No</v>
      </c>
      <c r="I2266" s="56"/>
    </row>
    <row r="2267" spans="1:9">
      <c r="A2267" s="56" t="s">
        <v>2276</v>
      </c>
      <c r="B2267" s="97" t="s">
        <v>121</v>
      </c>
      <c r="C2267" s="163">
        <v>1613</v>
      </c>
      <c r="D2267" s="56" t="s">
        <v>123</v>
      </c>
      <c r="E2267" s="142">
        <v>0.59343333333333337</v>
      </c>
      <c r="F2267" s="4" t="s">
        <v>2752</v>
      </c>
      <c r="G2267" s="4" t="s">
        <v>2752</v>
      </c>
      <c r="H2267" s="4" t="str">
        <f t="shared" si="38"/>
        <v>No</v>
      </c>
      <c r="I2267" s="56"/>
    </row>
    <row r="2268" spans="1:9">
      <c r="A2268" s="97" t="s">
        <v>2497</v>
      </c>
      <c r="B2268" s="97" t="s">
        <v>1898</v>
      </c>
      <c r="C2268" s="163">
        <v>3538</v>
      </c>
      <c r="D2268" s="95" t="s">
        <v>1737</v>
      </c>
      <c r="E2268" s="142">
        <v>0.52559999999999996</v>
      </c>
      <c r="F2268" s="4" t="s">
        <v>2752</v>
      </c>
      <c r="G2268" s="4" t="s">
        <v>2752</v>
      </c>
      <c r="H2268" s="4" t="str">
        <f t="shared" si="38"/>
        <v>No</v>
      </c>
      <c r="I2268" s="56"/>
    </row>
    <row r="2269" spans="1:9">
      <c r="A2269" s="97" t="s">
        <v>2497</v>
      </c>
      <c r="B2269" s="97" t="s">
        <v>1898</v>
      </c>
      <c r="C2269" s="163">
        <v>1628</v>
      </c>
      <c r="D2269" s="95" t="s">
        <v>1899</v>
      </c>
      <c r="E2269" s="142">
        <v>0.94300000000000006</v>
      </c>
      <c r="F2269" s="4" t="s">
        <v>2752</v>
      </c>
      <c r="G2269" s="4" t="s">
        <v>2752</v>
      </c>
      <c r="H2269" s="4" t="str">
        <f t="shared" si="38"/>
        <v>No</v>
      </c>
      <c r="I2269" s="56"/>
    </row>
    <row r="2270" spans="1:9">
      <c r="A2270" s="97" t="s">
        <v>2497</v>
      </c>
      <c r="B2270" s="97" t="s">
        <v>1898</v>
      </c>
      <c r="C2270" s="163">
        <v>2711</v>
      </c>
      <c r="D2270" s="95" t="s">
        <v>1902</v>
      </c>
      <c r="E2270" s="142">
        <v>0.43293333333333334</v>
      </c>
      <c r="F2270" s="4" t="s">
        <v>3065</v>
      </c>
      <c r="G2270" s="4" t="s">
        <v>3065</v>
      </c>
      <c r="H2270" s="4" t="str">
        <f t="shared" si="38"/>
        <v>No</v>
      </c>
      <c r="I2270" s="56"/>
    </row>
    <row r="2271" spans="1:9">
      <c r="A2271" s="97" t="s">
        <v>2497</v>
      </c>
      <c r="B2271" s="97" t="s">
        <v>1898</v>
      </c>
      <c r="C2271" s="163">
        <v>3196</v>
      </c>
      <c r="D2271" s="95" t="s">
        <v>1907</v>
      </c>
      <c r="E2271" s="142">
        <v>0.66183333333333338</v>
      </c>
      <c r="F2271" s="4" t="s">
        <v>2752</v>
      </c>
      <c r="G2271" s="4" t="s">
        <v>2752</v>
      </c>
      <c r="H2271" s="4" t="str">
        <f t="shared" si="38"/>
        <v>No</v>
      </c>
      <c r="I2271" s="56"/>
    </row>
    <row r="2272" spans="1:9">
      <c r="A2272" s="97" t="s">
        <v>2497</v>
      </c>
      <c r="B2272" s="97" t="s">
        <v>1898</v>
      </c>
      <c r="C2272" s="163">
        <v>3129</v>
      </c>
      <c r="D2272" s="95" t="s">
        <v>1904</v>
      </c>
      <c r="E2272" s="142">
        <v>0.58616666666666661</v>
      </c>
      <c r="F2272" s="4" t="s">
        <v>2752</v>
      </c>
      <c r="G2272" s="4" t="s">
        <v>2752</v>
      </c>
      <c r="H2272" s="4" t="str">
        <f t="shared" si="38"/>
        <v>No</v>
      </c>
      <c r="I2272" s="56"/>
    </row>
    <row r="2273" spans="1:9">
      <c r="A2273" s="97" t="s">
        <v>2497</v>
      </c>
      <c r="B2273" s="97" t="s">
        <v>1898</v>
      </c>
      <c r="C2273" s="163">
        <v>3194</v>
      </c>
      <c r="D2273" s="95" t="s">
        <v>1905</v>
      </c>
      <c r="E2273" s="142">
        <v>0.31559999999999999</v>
      </c>
      <c r="F2273" s="4" t="s">
        <v>3065</v>
      </c>
      <c r="G2273" s="4" t="s">
        <v>3065</v>
      </c>
      <c r="H2273" s="4" t="str">
        <f t="shared" si="38"/>
        <v>No</v>
      </c>
      <c r="I2273" s="56"/>
    </row>
    <row r="2274" spans="1:9">
      <c r="A2274" s="97" t="s">
        <v>2497</v>
      </c>
      <c r="B2274" s="97" t="s">
        <v>1898</v>
      </c>
      <c r="C2274" s="163">
        <v>5356</v>
      </c>
      <c r="D2274" s="95" t="s">
        <v>2748</v>
      </c>
      <c r="E2274" s="142">
        <v>0.66669999999999996</v>
      </c>
      <c r="F2274" s="4" t="s">
        <v>2752</v>
      </c>
      <c r="G2274" s="4" t="s">
        <v>3065</v>
      </c>
      <c r="H2274" s="4" t="str">
        <f t="shared" si="38"/>
        <v>No</v>
      </c>
      <c r="I2274" s="56"/>
    </row>
    <row r="2275" spans="1:9">
      <c r="A2275" s="97" t="s">
        <v>2497</v>
      </c>
      <c r="B2275" s="97" t="s">
        <v>1898</v>
      </c>
      <c r="C2275" s="163">
        <v>2956</v>
      </c>
      <c r="D2275" s="95" t="s">
        <v>1903</v>
      </c>
      <c r="E2275" s="142">
        <v>0.56330000000000002</v>
      </c>
      <c r="F2275" s="4" t="s">
        <v>2752</v>
      </c>
      <c r="G2275" s="4" t="s">
        <v>2752</v>
      </c>
      <c r="H2275" s="4" t="str">
        <f t="shared" si="38"/>
        <v>No</v>
      </c>
      <c r="I2275" s="56"/>
    </row>
    <row r="2276" spans="1:9">
      <c r="A2276" s="97" t="s">
        <v>2497</v>
      </c>
      <c r="B2276" s="97" t="s">
        <v>1898</v>
      </c>
      <c r="C2276" s="163">
        <v>5645</v>
      </c>
      <c r="D2276" s="95" t="s">
        <v>1901</v>
      </c>
      <c r="E2276" s="142">
        <v>0.56925000000000003</v>
      </c>
      <c r="F2276" s="4" t="s">
        <v>2752</v>
      </c>
      <c r="G2276" s="4" t="s">
        <v>2752</v>
      </c>
      <c r="H2276" s="4" t="str">
        <f t="shared" si="38"/>
        <v>No</v>
      </c>
      <c r="I2276" s="56"/>
    </row>
    <row r="2277" spans="1:9">
      <c r="A2277" s="97" t="s">
        <v>2497</v>
      </c>
      <c r="B2277" s="97" t="s">
        <v>1898</v>
      </c>
      <c r="C2277" s="163">
        <v>1755</v>
      </c>
      <c r="D2277" s="95" t="s">
        <v>1900</v>
      </c>
      <c r="E2277" s="142">
        <v>0.44113333333333338</v>
      </c>
      <c r="F2277" s="4" t="s">
        <v>3065</v>
      </c>
      <c r="G2277" s="4" t="s">
        <v>3065</v>
      </c>
      <c r="H2277" s="4" t="str">
        <f t="shared" si="38"/>
        <v>No</v>
      </c>
      <c r="I2277" s="56"/>
    </row>
    <row r="2278" spans="1:9">
      <c r="A2278" s="97" t="s">
        <v>2497</v>
      </c>
      <c r="B2278" s="97" t="s">
        <v>1898</v>
      </c>
      <c r="C2278" s="163">
        <v>3195</v>
      </c>
      <c r="D2278" s="95" t="s">
        <v>1906</v>
      </c>
      <c r="E2278" s="142">
        <v>0.4190666666666667</v>
      </c>
      <c r="F2278" s="4" t="s">
        <v>3065</v>
      </c>
      <c r="G2278" s="4" t="s">
        <v>3065</v>
      </c>
      <c r="H2278" s="4" t="str">
        <f t="shared" si="38"/>
        <v>No</v>
      </c>
      <c r="I2278" s="56"/>
    </row>
    <row r="2279" spans="1:9">
      <c r="A2279" s="97" t="s">
        <v>2497</v>
      </c>
      <c r="B2279" s="97" t="s">
        <v>1898</v>
      </c>
      <c r="C2279" s="163">
        <v>5698</v>
      </c>
      <c r="D2279" s="95" t="s">
        <v>3052</v>
      </c>
      <c r="E2279" s="142">
        <v>0.71150000000000002</v>
      </c>
      <c r="F2279" s="4" t="s">
        <v>2752</v>
      </c>
      <c r="G2279" s="4" t="s">
        <v>3065</v>
      </c>
      <c r="H2279" s="4" t="str">
        <f t="shared" si="38"/>
        <v>No</v>
      </c>
      <c r="I2279" s="56"/>
    </row>
    <row r="2280" spans="1:9">
      <c r="A2280" s="97" t="s">
        <v>2566</v>
      </c>
      <c r="B2280" s="97" t="s">
        <v>2246</v>
      </c>
      <c r="C2280" s="163">
        <v>2822</v>
      </c>
      <c r="D2280" s="95" t="s">
        <v>2249</v>
      </c>
      <c r="E2280" s="142">
        <v>0.59773333333333334</v>
      </c>
      <c r="F2280" s="4" t="s">
        <v>2752</v>
      </c>
      <c r="G2280" s="4" t="s">
        <v>2752</v>
      </c>
      <c r="H2280" s="4" t="str">
        <f t="shared" si="38"/>
        <v>No</v>
      </c>
      <c r="I2280" s="56"/>
    </row>
    <row r="2281" spans="1:9">
      <c r="A2281" s="97" t="s">
        <v>2566</v>
      </c>
      <c r="B2281" s="97" t="s">
        <v>2246</v>
      </c>
      <c r="C2281" s="163">
        <v>3699</v>
      </c>
      <c r="D2281" s="95" t="s">
        <v>2251</v>
      </c>
      <c r="E2281" s="142">
        <v>0.36749999999999999</v>
      </c>
      <c r="F2281" s="4" t="s">
        <v>3065</v>
      </c>
      <c r="G2281" s="4" t="s">
        <v>3065</v>
      </c>
      <c r="H2281" s="4" t="str">
        <f t="shared" si="38"/>
        <v>No</v>
      </c>
      <c r="I2281" s="56"/>
    </row>
    <row r="2282" spans="1:9">
      <c r="A2282" s="97" t="s">
        <v>2566</v>
      </c>
      <c r="B2282" s="97" t="s">
        <v>2246</v>
      </c>
      <c r="C2282" s="163">
        <v>4448</v>
      </c>
      <c r="D2282" s="95" t="s">
        <v>1055</v>
      </c>
      <c r="E2282" s="142">
        <v>0.31396666666666667</v>
      </c>
      <c r="F2282" s="4" t="s">
        <v>3065</v>
      </c>
      <c r="G2282" s="4" t="s">
        <v>3065</v>
      </c>
      <c r="H2282" s="4" t="str">
        <f t="shared" si="38"/>
        <v>No</v>
      </c>
      <c r="I2282" s="56"/>
    </row>
    <row r="2283" spans="1:9">
      <c r="A2283" s="97" t="s">
        <v>2566</v>
      </c>
      <c r="B2283" s="97" t="s">
        <v>2246</v>
      </c>
      <c r="C2283" s="163">
        <v>2758</v>
      </c>
      <c r="D2283" s="95" t="s">
        <v>2248</v>
      </c>
      <c r="E2283" s="142">
        <v>0.50896666666666668</v>
      </c>
      <c r="F2283" s="4" t="s">
        <v>2752</v>
      </c>
      <c r="G2283" s="4" t="s">
        <v>2752</v>
      </c>
      <c r="H2283" s="4" t="str">
        <f t="shared" si="38"/>
        <v>No</v>
      </c>
      <c r="I2283" s="56"/>
    </row>
    <row r="2284" spans="1:9">
      <c r="A2284" s="97" t="s">
        <v>2566</v>
      </c>
      <c r="B2284" s="97" t="s">
        <v>2246</v>
      </c>
      <c r="C2284" s="163">
        <v>3207</v>
      </c>
      <c r="D2284" s="95" t="s">
        <v>2250</v>
      </c>
      <c r="E2284" s="142">
        <v>0.53003333333333325</v>
      </c>
      <c r="F2284" s="4" t="s">
        <v>2752</v>
      </c>
      <c r="G2284" s="4" t="s">
        <v>2752</v>
      </c>
      <c r="H2284" s="4" t="str">
        <f t="shared" si="38"/>
        <v>No</v>
      </c>
      <c r="I2284" s="56"/>
    </row>
    <row r="2285" spans="1:9">
      <c r="A2285" s="97" t="s">
        <v>2566</v>
      </c>
      <c r="B2285" s="97" t="s">
        <v>2246</v>
      </c>
      <c r="C2285" s="163">
        <v>3074</v>
      </c>
      <c r="D2285" s="95" t="s">
        <v>1906</v>
      </c>
      <c r="E2285" s="142">
        <v>0.41756666666666664</v>
      </c>
      <c r="F2285" s="4" t="s">
        <v>3065</v>
      </c>
      <c r="G2285" s="4" t="s">
        <v>3065</v>
      </c>
      <c r="H2285" s="4" t="str">
        <f t="shared" si="38"/>
        <v>No</v>
      </c>
      <c r="I2285" s="56"/>
    </row>
    <row r="2286" spans="1:9">
      <c r="A2286" s="97" t="s">
        <v>2566</v>
      </c>
      <c r="B2286" s="97" t="s">
        <v>2246</v>
      </c>
      <c r="C2286" s="163">
        <v>5699</v>
      </c>
      <c r="D2286" s="95" t="s">
        <v>3053</v>
      </c>
      <c r="E2286" s="142">
        <v>0.48809999999999998</v>
      </c>
      <c r="F2286" s="4" t="s">
        <v>3065</v>
      </c>
      <c r="G2286" s="4" t="s">
        <v>3065</v>
      </c>
      <c r="H2286" s="4" t="str">
        <f t="shared" si="38"/>
        <v>No</v>
      </c>
      <c r="I2286" s="56"/>
    </row>
    <row r="2287" spans="1:9">
      <c r="A2287" s="97" t="s">
        <v>2566</v>
      </c>
      <c r="B2287" s="97" t="s">
        <v>2246</v>
      </c>
      <c r="C2287" s="163">
        <v>4040</v>
      </c>
      <c r="D2287" s="95" t="s">
        <v>2252</v>
      </c>
      <c r="E2287" s="142">
        <v>0.48730000000000001</v>
      </c>
      <c r="F2287" s="4" t="s">
        <v>3065</v>
      </c>
      <c r="G2287" s="4" t="s">
        <v>3065</v>
      </c>
      <c r="H2287" s="4" t="str">
        <f t="shared" si="38"/>
        <v>No</v>
      </c>
      <c r="I2287" s="56"/>
    </row>
    <row r="2288" spans="1:9">
      <c r="A2288" s="97" t="s">
        <v>2566</v>
      </c>
      <c r="B2288" s="97" t="s">
        <v>2246</v>
      </c>
      <c r="C2288" s="163">
        <v>5540</v>
      </c>
      <c r="D2288" s="95" t="s">
        <v>2847</v>
      </c>
      <c r="E2288" s="142">
        <v>0.58973333333333333</v>
      </c>
      <c r="F2288" s="4" t="s">
        <v>2752</v>
      </c>
      <c r="G2288" s="4" t="s">
        <v>2752</v>
      </c>
      <c r="H2288" s="4" t="str">
        <f t="shared" si="38"/>
        <v>No</v>
      </c>
      <c r="I2288" s="56"/>
    </row>
    <row r="2289" spans="1:9">
      <c r="A2289" s="97" t="s">
        <v>2566</v>
      </c>
      <c r="B2289" s="97" t="s">
        <v>2246</v>
      </c>
      <c r="C2289" s="163">
        <v>5505</v>
      </c>
      <c r="D2289" s="95" t="s">
        <v>2749</v>
      </c>
      <c r="E2289" s="142">
        <v>0.33863333333333334</v>
      </c>
      <c r="F2289" s="4" t="s">
        <v>3065</v>
      </c>
      <c r="G2289" s="4" t="s">
        <v>3065</v>
      </c>
      <c r="H2289" s="4" t="str">
        <f t="shared" si="38"/>
        <v>No</v>
      </c>
      <c r="I2289" s="56"/>
    </row>
    <row r="2290" spans="1:9">
      <c r="A2290" s="97" t="s">
        <v>2566</v>
      </c>
      <c r="B2290" s="97" t="s">
        <v>2246</v>
      </c>
      <c r="C2290" s="163">
        <v>5506</v>
      </c>
      <c r="D2290" s="95" t="s">
        <v>2750</v>
      </c>
      <c r="E2290" s="142">
        <v>0.24283333333333332</v>
      </c>
      <c r="F2290" s="4" t="s">
        <v>3065</v>
      </c>
      <c r="G2290" s="4" t="s">
        <v>3065</v>
      </c>
      <c r="H2290" s="4" t="str">
        <f t="shared" si="38"/>
        <v>No</v>
      </c>
      <c r="I2290" s="56"/>
    </row>
    <row r="2291" spans="1:9">
      <c r="A2291" s="97" t="s">
        <v>2566</v>
      </c>
      <c r="B2291" s="97" t="s">
        <v>2246</v>
      </c>
      <c r="C2291" s="163">
        <v>5504</v>
      </c>
      <c r="D2291" s="95" t="s">
        <v>2751</v>
      </c>
      <c r="E2291" s="142">
        <v>0.39103333333333334</v>
      </c>
      <c r="F2291" s="4" t="s">
        <v>3065</v>
      </c>
      <c r="G2291" s="4" t="s">
        <v>3065</v>
      </c>
      <c r="H2291" s="4" t="str">
        <f t="shared" si="38"/>
        <v>No</v>
      </c>
      <c r="I2291" s="56"/>
    </row>
    <row r="2292" spans="1:9">
      <c r="A2292" s="97" t="s">
        <v>2566</v>
      </c>
      <c r="B2292" s="97" t="s">
        <v>2246</v>
      </c>
      <c r="C2292" s="163">
        <v>5620</v>
      </c>
      <c r="D2292" s="95" t="s">
        <v>2973</v>
      </c>
      <c r="E2292" s="142">
        <v>0</v>
      </c>
      <c r="F2292" s="4" t="s">
        <v>3065</v>
      </c>
      <c r="G2292" s="4" t="s">
        <v>3065</v>
      </c>
      <c r="H2292" s="4" t="str">
        <f t="shared" si="38"/>
        <v>No</v>
      </c>
      <c r="I2292" s="56"/>
    </row>
    <row r="2293" spans="1:9">
      <c r="A2293" s="97" t="s">
        <v>2566</v>
      </c>
      <c r="B2293" s="97" t="s">
        <v>2246</v>
      </c>
      <c r="C2293" s="163">
        <v>2505</v>
      </c>
      <c r="D2293" s="95" t="s">
        <v>2247</v>
      </c>
      <c r="E2293" s="142">
        <v>0.56740000000000002</v>
      </c>
      <c r="F2293" s="4" t="s">
        <v>2752</v>
      </c>
      <c r="G2293" s="4" t="s">
        <v>2752</v>
      </c>
      <c r="H2293" s="4" t="str">
        <f t="shared" si="38"/>
        <v>No</v>
      </c>
      <c r="I2293" s="56"/>
    </row>
    <row r="2294" spans="1:9">
      <c r="A2294" s="97" t="s">
        <v>2858</v>
      </c>
      <c r="B2294" s="97" t="s">
        <v>2968</v>
      </c>
      <c r="C2294" s="163">
        <v>5710</v>
      </c>
      <c r="D2294" s="95" t="s">
        <v>2968</v>
      </c>
      <c r="E2294" s="142">
        <v>0.60419999999999996</v>
      </c>
      <c r="F2294" s="4" t="s">
        <v>2752</v>
      </c>
      <c r="G2294" s="4" t="s">
        <v>3065</v>
      </c>
      <c r="H2294" s="4" t="str">
        <f t="shared" si="38"/>
        <v>No</v>
      </c>
      <c r="I2294" s="56"/>
    </row>
    <row r="2295" spans="1:9">
      <c r="A2295" s="97" t="s">
        <v>2404</v>
      </c>
      <c r="B2295" s="97" t="s">
        <v>1170</v>
      </c>
      <c r="C2295" s="163">
        <v>3555</v>
      </c>
      <c r="D2295" s="95" t="s">
        <v>1172</v>
      </c>
      <c r="E2295" s="142">
        <v>0.80133333333333334</v>
      </c>
      <c r="F2295" s="4" t="s">
        <v>2752</v>
      </c>
      <c r="G2295" s="4" t="s">
        <v>2752</v>
      </c>
      <c r="H2295" s="4" t="str">
        <f t="shared" si="38"/>
        <v>No</v>
      </c>
      <c r="I2295" s="56"/>
    </row>
    <row r="2296" spans="1:9">
      <c r="A2296" s="97" t="s">
        <v>2404</v>
      </c>
      <c r="B2296" s="97" t="s">
        <v>1170</v>
      </c>
      <c r="C2296" s="163">
        <v>2859</v>
      </c>
      <c r="D2296" s="95" t="s">
        <v>1171</v>
      </c>
      <c r="E2296" s="142">
        <v>0.63009999999999999</v>
      </c>
      <c r="F2296" s="4" t="s">
        <v>2752</v>
      </c>
      <c r="G2296" s="4" t="s">
        <v>2752</v>
      </c>
      <c r="H2296" s="4" t="str">
        <f t="shared" si="38"/>
        <v>No</v>
      </c>
      <c r="I2296" s="56"/>
    </row>
    <row r="2297" spans="1:9">
      <c r="A2297" s="97" t="s">
        <v>2451</v>
      </c>
      <c r="B2297" s="97" t="s">
        <v>1508</v>
      </c>
      <c r="C2297" s="163">
        <v>2190</v>
      </c>
      <c r="D2297" s="95" t="s">
        <v>1509</v>
      </c>
      <c r="E2297" s="142">
        <v>0.25946666666666668</v>
      </c>
      <c r="F2297" s="4" t="s">
        <v>3065</v>
      </c>
      <c r="G2297" s="4" t="s">
        <v>3065</v>
      </c>
      <c r="H2297" s="4" t="str">
        <f t="shared" si="38"/>
        <v>No</v>
      </c>
      <c r="I2297" s="56"/>
    </row>
    <row r="2298" spans="1:9">
      <c r="A2298" s="97" t="s">
        <v>2451</v>
      </c>
      <c r="B2298" s="97" t="s">
        <v>1508</v>
      </c>
      <c r="C2298" s="163">
        <v>4309</v>
      </c>
      <c r="D2298" s="95" t="s">
        <v>1512</v>
      </c>
      <c r="E2298" s="142">
        <v>0.38553333333333334</v>
      </c>
      <c r="F2298" s="4" t="s">
        <v>3065</v>
      </c>
      <c r="G2298" s="4" t="s">
        <v>3065</v>
      </c>
      <c r="H2298" s="4" t="str">
        <f t="shared" si="38"/>
        <v>No</v>
      </c>
      <c r="I2298" s="56"/>
    </row>
    <row r="2299" spans="1:9">
      <c r="A2299" s="97" t="s">
        <v>2451</v>
      </c>
      <c r="B2299" s="97" t="s">
        <v>1508</v>
      </c>
      <c r="C2299" s="163">
        <v>3458</v>
      </c>
      <c r="D2299" s="95" t="s">
        <v>1510</v>
      </c>
      <c r="E2299" s="142">
        <v>0.32796666666666668</v>
      </c>
      <c r="F2299" s="4" t="s">
        <v>3065</v>
      </c>
      <c r="G2299" s="4" t="s">
        <v>3065</v>
      </c>
      <c r="H2299" s="4" t="str">
        <f t="shared" si="38"/>
        <v>No</v>
      </c>
      <c r="I2299" s="56"/>
    </row>
    <row r="2300" spans="1:9">
      <c r="A2300" s="97" t="s">
        <v>2451</v>
      </c>
      <c r="B2300" s="97" t="s">
        <v>1508</v>
      </c>
      <c r="C2300" s="163">
        <v>4471</v>
      </c>
      <c r="D2300" s="95" t="s">
        <v>1513</v>
      </c>
      <c r="E2300" s="142">
        <v>0.20176666666666665</v>
      </c>
      <c r="F2300" s="4" t="s">
        <v>3065</v>
      </c>
      <c r="G2300" s="4" t="s">
        <v>3065</v>
      </c>
      <c r="H2300" s="4" t="str">
        <f t="shared" si="38"/>
        <v>No</v>
      </c>
      <c r="I2300" s="56"/>
    </row>
    <row r="2301" spans="1:9">
      <c r="A2301" s="97" t="s">
        <v>2451</v>
      </c>
      <c r="B2301" s="97" t="s">
        <v>1508</v>
      </c>
      <c r="C2301" s="163">
        <v>5564</v>
      </c>
      <c r="D2301" s="95" t="s">
        <v>2833</v>
      </c>
      <c r="E2301" s="142">
        <v>0.1822</v>
      </c>
      <c r="F2301" s="4" t="s">
        <v>3065</v>
      </c>
      <c r="G2301" s="4" t="s">
        <v>3065</v>
      </c>
      <c r="H2301" s="4" t="str">
        <f t="shared" si="38"/>
        <v>No</v>
      </c>
      <c r="I2301" s="56"/>
    </row>
    <row r="2302" spans="1:9">
      <c r="A2302" s="97" t="s">
        <v>2451</v>
      </c>
      <c r="B2302" s="97" t="s">
        <v>1508</v>
      </c>
      <c r="C2302" s="163">
        <v>4569</v>
      </c>
      <c r="D2302" s="98" t="s">
        <v>1514</v>
      </c>
      <c r="E2302" s="142">
        <v>0.24876666666666666</v>
      </c>
      <c r="F2302" s="4" t="s">
        <v>3065</v>
      </c>
      <c r="G2302" s="4" t="s">
        <v>3065</v>
      </c>
      <c r="H2302" s="4" t="str">
        <f t="shared" si="38"/>
        <v>No</v>
      </c>
      <c r="I2302" s="56"/>
    </row>
    <row r="2303" spans="1:9">
      <c r="A2303" s="97" t="s">
        <v>2451</v>
      </c>
      <c r="B2303" s="97" t="s">
        <v>1508</v>
      </c>
      <c r="C2303" s="163">
        <v>5338</v>
      </c>
      <c r="D2303" s="95" t="s">
        <v>1515</v>
      </c>
      <c r="E2303" s="142">
        <v>0.55556666666666665</v>
      </c>
      <c r="F2303" s="4" t="s">
        <v>2752</v>
      </c>
      <c r="G2303" s="4" t="s">
        <v>2752</v>
      </c>
      <c r="H2303" s="4" t="str">
        <f t="shared" si="38"/>
        <v>No</v>
      </c>
      <c r="I2303" s="56"/>
    </row>
    <row r="2304" spans="1:9">
      <c r="A2304" s="97" t="s">
        <v>2451</v>
      </c>
      <c r="B2304" s="97" t="s">
        <v>1508</v>
      </c>
      <c r="C2304" s="163">
        <v>4170</v>
      </c>
      <c r="D2304" s="95" t="s">
        <v>1511</v>
      </c>
      <c r="E2304" s="142">
        <v>0.25613333333333332</v>
      </c>
      <c r="F2304" s="4" t="s">
        <v>3065</v>
      </c>
      <c r="G2304" s="4" t="s">
        <v>3065</v>
      </c>
      <c r="H2304" s="4" t="str">
        <f t="shared" si="38"/>
        <v>No</v>
      </c>
      <c r="I2304" s="56"/>
    </row>
    <row r="2305" spans="1:9">
      <c r="A2305" s="97" t="s">
        <v>2391</v>
      </c>
      <c r="B2305" s="97" t="s">
        <v>1123</v>
      </c>
      <c r="C2305" s="163">
        <v>2330</v>
      </c>
      <c r="D2305" s="95" t="s">
        <v>1124</v>
      </c>
      <c r="E2305" s="142">
        <v>0.39183333333333331</v>
      </c>
      <c r="F2305" s="4" t="s">
        <v>3065</v>
      </c>
      <c r="G2305" s="4" t="s">
        <v>3065</v>
      </c>
      <c r="H2305" s="4" t="str">
        <f t="shared" si="38"/>
        <v>No</v>
      </c>
      <c r="I2305" s="56"/>
    </row>
    <row r="2306" spans="1:9">
      <c r="A2306" s="97" t="s">
        <v>2391</v>
      </c>
      <c r="B2306" s="97" t="s">
        <v>1123</v>
      </c>
      <c r="C2306" s="163">
        <v>2997</v>
      </c>
      <c r="D2306" s="95" t="s">
        <v>1125</v>
      </c>
      <c r="E2306" s="142">
        <v>0.43273333333333336</v>
      </c>
      <c r="F2306" s="4" t="s">
        <v>3065</v>
      </c>
      <c r="G2306" s="4" t="s">
        <v>3065</v>
      </c>
      <c r="H2306" s="4" t="str">
        <f t="shared" si="38"/>
        <v>No</v>
      </c>
      <c r="I2306" s="56"/>
    </row>
    <row r="2307" spans="1:9">
      <c r="A2307" s="97" t="s">
        <v>2391</v>
      </c>
      <c r="B2307" s="97" t="s">
        <v>1123</v>
      </c>
      <c r="C2307" s="163">
        <v>5368</v>
      </c>
      <c r="D2307" s="95" t="s">
        <v>1128</v>
      </c>
      <c r="E2307" s="142">
        <v>0.41843333333333338</v>
      </c>
      <c r="F2307" s="4" t="s">
        <v>3065</v>
      </c>
      <c r="G2307" s="4" t="s">
        <v>3065</v>
      </c>
      <c r="H2307" s="4" t="str">
        <f t="shared" ref="H2307:H2368" si="39">IFERROR(IF(AND(G2307="Yes",F2307="No"),"Yes","No"),"No")</f>
        <v>No</v>
      </c>
      <c r="I2307" s="56"/>
    </row>
    <row r="2308" spans="1:9">
      <c r="A2308" s="97" t="s">
        <v>2391</v>
      </c>
      <c r="B2308" s="97" t="s">
        <v>1123</v>
      </c>
      <c r="C2308" s="163">
        <v>3394</v>
      </c>
      <c r="D2308" s="95" t="s">
        <v>1126</v>
      </c>
      <c r="E2308" s="142">
        <v>0.45153333333333334</v>
      </c>
      <c r="F2308" s="4" t="s">
        <v>3065</v>
      </c>
      <c r="G2308" s="4" t="s">
        <v>3065</v>
      </c>
      <c r="H2308" s="4" t="str">
        <f t="shared" si="39"/>
        <v>No</v>
      </c>
      <c r="I2308" s="56"/>
    </row>
    <row r="2309" spans="1:9">
      <c r="A2309" s="97" t="s">
        <v>2391</v>
      </c>
      <c r="B2309" s="97" t="s">
        <v>1123</v>
      </c>
      <c r="C2309" s="163">
        <v>5077</v>
      </c>
      <c r="D2309" s="95" t="s">
        <v>1127</v>
      </c>
      <c r="E2309" s="142">
        <v>0.58090000000000008</v>
      </c>
      <c r="F2309" s="4" t="s">
        <v>2752</v>
      </c>
      <c r="G2309" s="4" t="s">
        <v>2752</v>
      </c>
      <c r="H2309" s="4" t="str">
        <f t="shared" si="39"/>
        <v>No</v>
      </c>
      <c r="I2309" s="56"/>
    </row>
    <row r="2310" spans="1:9">
      <c r="A2310" s="97" t="s">
        <v>2855</v>
      </c>
      <c r="B2310" s="97" t="s">
        <v>3061</v>
      </c>
      <c r="C2310" s="163">
        <v>5662</v>
      </c>
      <c r="D2310" s="95" t="s">
        <v>3054</v>
      </c>
      <c r="E2310" s="142">
        <v>0.68630000000000002</v>
      </c>
      <c r="F2310" s="4" t="s">
        <v>2752</v>
      </c>
      <c r="G2310" s="4" t="s">
        <v>3065</v>
      </c>
      <c r="H2310" s="4" t="str">
        <f t="shared" si="39"/>
        <v>No</v>
      </c>
      <c r="I2310" s="56"/>
    </row>
    <row r="2311" spans="1:9">
      <c r="A2311" s="97" t="s">
        <v>2411</v>
      </c>
      <c r="B2311" s="97" t="s">
        <v>1195</v>
      </c>
      <c r="C2311" s="163">
        <v>3290</v>
      </c>
      <c r="D2311" s="95" t="s">
        <v>1197</v>
      </c>
      <c r="E2311" s="142">
        <v>0.40770000000000001</v>
      </c>
      <c r="F2311" s="4" t="s">
        <v>3065</v>
      </c>
      <c r="G2311" s="4" t="s">
        <v>3065</v>
      </c>
      <c r="H2311" s="4" t="str">
        <f t="shared" si="39"/>
        <v>No</v>
      </c>
      <c r="I2311" s="56"/>
    </row>
    <row r="2312" spans="1:9">
      <c r="A2312" s="97" t="s">
        <v>2411</v>
      </c>
      <c r="B2312" s="97" t="s">
        <v>1195</v>
      </c>
      <c r="C2312" s="163">
        <v>3289</v>
      </c>
      <c r="D2312" s="95" t="s">
        <v>1196</v>
      </c>
      <c r="E2312" s="142">
        <v>0.41100000000000003</v>
      </c>
      <c r="F2312" s="4" t="s">
        <v>3065</v>
      </c>
      <c r="G2312" s="4" t="s">
        <v>3065</v>
      </c>
      <c r="H2312" s="4" t="str">
        <f t="shared" si="39"/>
        <v>No</v>
      </c>
      <c r="I2312" s="56"/>
    </row>
    <row r="2313" spans="1:9">
      <c r="A2313" s="97" t="s">
        <v>2433</v>
      </c>
      <c r="B2313" s="97" t="s">
        <v>1275</v>
      </c>
      <c r="C2313" s="163">
        <v>3444</v>
      </c>
      <c r="D2313" s="95" t="s">
        <v>1277</v>
      </c>
      <c r="E2313" s="142">
        <v>0.41493333333333332</v>
      </c>
      <c r="F2313" s="4" t="s">
        <v>3065</v>
      </c>
      <c r="G2313" s="4" t="s">
        <v>3065</v>
      </c>
      <c r="H2313" s="4" t="str">
        <f t="shared" si="39"/>
        <v>No</v>
      </c>
      <c r="I2313" s="56"/>
    </row>
    <row r="2314" spans="1:9">
      <c r="A2314" s="97" t="s">
        <v>2433</v>
      </c>
      <c r="B2314" s="97" t="s">
        <v>1275</v>
      </c>
      <c r="C2314" s="163">
        <v>2542</v>
      </c>
      <c r="D2314" s="95" t="s">
        <v>1276</v>
      </c>
      <c r="E2314" s="142">
        <v>0.3934333333333333</v>
      </c>
      <c r="F2314" s="4" t="s">
        <v>3065</v>
      </c>
      <c r="G2314" s="4" t="s">
        <v>3065</v>
      </c>
      <c r="H2314" s="4" t="str">
        <f t="shared" si="39"/>
        <v>No</v>
      </c>
      <c r="I2314" s="56"/>
    </row>
    <row r="2315" spans="1:9">
      <c r="A2315" s="97" t="s">
        <v>2325</v>
      </c>
      <c r="B2315" s="97" t="s">
        <v>459</v>
      </c>
      <c r="C2315" s="163">
        <v>2472</v>
      </c>
      <c r="D2315" s="95" t="s">
        <v>460</v>
      </c>
      <c r="E2315" s="142">
        <v>0.5960333333333333</v>
      </c>
      <c r="F2315" s="4" t="s">
        <v>2752</v>
      </c>
      <c r="G2315" s="4" t="s">
        <v>2752</v>
      </c>
      <c r="H2315" s="4" t="str">
        <f t="shared" si="39"/>
        <v>No</v>
      </c>
      <c r="I2315" s="56"/>
    </row>
    <row r="2316" spans="1:9">
      <c r="A2316" s="97" t="s">
        <v>2325</v>
      </c>
      <c r="B2316" s="97" t="s">
        <v>459</v>
      </c>
      <c r="C2316" s="163">
        <v>2473</v>
      </c>
      <c r="D2316" s="95" t="s">
        <v>461</v>
      </c>
      <c r="E2316" s="142">
        <v>0.54743333333333333</v>
      </c>
      <c r="F2316" s="4" t="s">
        <v>2752</v>
      </c>
      <c r="G2316" s="4" t="s">
        <v>2752</v>
      </c>
      <c r="H2316" s="4" t="str">
        <f t="shared" si="39"/>
        <v>No</v>
      </c>
      <c r="I2316" s="56"/>
    </row>
    <row r="2317" spans="1:9">
      <c r="A2317" s="97" t="s">
        <v>2398</v>
      </c>
      <c r="B2317" s="97" t="s">
        <v>1148</v>
      </c>
      <c r="C2317" s="163">
        <v>4369</v>
      </c>
      <c r="D2317" s="95" t="s">
        <v>1152</v>
      </c>
      <c r="E2317" s="142">
        <v>0.86196666666666655</v>
      </c>
      <c r="F2317" s="4" t="s">
        <v>2752</v>
      </c>
      <c r="G2317" s="4" t="s">
        <v>2752</v>
      </c>
      <c r="H2317" s="4" t="str">
        <f t="shared" si="39"/>
        <v>No</v>
      </c>
      <c r="I2317" s="56"/>
    </row>
    <row r="2318" spans="1:9" s="56" customFormat="1">
      <c r="A2318" s="97" t="s">
        <v>2398</v>
      </c>
      <c r="B2318" s="97" t="s">
        <v>1148</v>
      </c>
      <c r="C2318" s="163">
        <v>2290</v>
      </c>
      <c r="D2318" s="95" t="s">
        <v>1150</v>
      </c>
      <c r="E2318" s="142">
        <v>0.81876666666666675</v>
      </c>
      <c r="F2318" s="4" t="s">
        <v>2752</v>
      </c>
      <c r="G2318" s="4" t="s">
        <v>2752</v>
      </c>
      <c r="H2318" s="4" t="str">
        <f t="shared" si="39"/>
        <v>No</v>
      </c>
    </row>
    <row r="2319" spans="1:9">
      <c r="A2319" s="97" t="s">
        <v>2398</v>
      </c>
      <c r="B2319" s="97" t="s">
        <v>1148</v>
      </c>
      <c r="C2319" s="163">
        <v>3597</v>
      </c>
      <c r="D2319" s="95" t="s">
        <v>1151</v>
      </c>
      <c r="E2319" s="142">
        <v>0.80016666666666669</v>
      </c>
      <c r="F2319" s="4" t="s">
        <v>2752</v>
      </c>
      <c r="G2319" s="4" t="s">
        <v>2752</v>
      </c>
      <c r="H2319" s="4" t="str">
        <f t="shared" si="39"/>
        <v>No</v>
      </c>
      <c r="I2319" s="56"/>
    </row>
    <row r="2320" spans="1:9">
      <c r="A2320" s="97" t="s">
        <v>2398</v>
      </c>
      <c r="B2320" s="97" t="s">
        <v>1148</v>
      </c>
      <c r="C2320" s="163">
        <v>1829</v>
      </c>
      <c r="D2320" s="95" t="s">
        <v>1149</v>
      </c>
      <c r="E2320" s="142">
        <v>0.46703333333333336</v>
      </c>
      <c r="F2320" s="4" t="s">
        <v>3065</v>
      </c>
      <c r="G2320" s="4" t="s">
        <v>2752</v>
      </c>
      <c r="H2320" s="4" t="str">
        <f t="shared" si="39"/>
        <v>Yes</v>
      </c>
      <c r="I2320" s="56"/>
    </row>
    <row r="2321" spans="1:9">
      <c r="A2321" s="97" t="s">
        <v>2337</v>
      </c>
      <c r="B2321" s="97" t="s">
        <v>505</v>
      </c>
      <c r="C2321" s="163">
        <v>3375</v>
      </c>
      <c r="D2321" s="95" t="s">
        <v>506</v>
      </c>
      <c r="E2321" s="142">
        <v>0.62919999999999998</v>
      </c>
      <c r="F2321" s="4" t="s">
        <v>2752</v>
      </c>
      <c r="G2321" s="4" t="s">
        <v>2752</v>
      </c>
      <c r="H2321" s="4" t="str">
        <f t="shared" si="39"/>
        <v>No</v>
      </c>
      <c r="I2321" s="56"/>
    </row>
    <row r="2322" spans="1:9">
      <c r="A2322" s="97" t="s">
        <v>2383</v>
      </c>
      <c r="B2322" s="97" t="s">
        <v>1104</v>
      </c>
      <c r="C2322" s="163">
        <v>2605</v>
      </c>
      <c r="D2322" s="95" t="s">
        <v>1105</v>
      </c>
      <c r="E2322" s="142">
        <v>0.85683333333333334</v>
      </c>
      <c r="F2322" s="4" t="s">
        <v>2752</v>
      </c>
      <c r="G2322" s="4" t="s">
        <v>2752</v>
      </c>
      <c r="H2322" s="4" t="str">
        <f t="shared" si="39"/>
        <v>No</v>
      </c>
      <c r="I2322" s="56"/>
    </row>
    <row r="2323" spans="1:9">
      <c r="A2323" s="97" t="s">
        <v>2299</v>
      </c>
      <c r="B2323" s="97" t="s">
        <v>320</v>
      </c>
      <c r="C2323" s="163">
        <v>5599</v>
      </c>
      <c r="D2323" s="95" t="s">
        <v>1637</v>
      </c>
      <c r="E2323" s="142">
        <v>0.52806666666666668</v>
      </c>
      <c r="F2323" s="4" t="s">
        <v>2752</v>
      </c>
      <c r="G2323" s="4" t="s">
        <v>2752</v>
      </c>
      <c r="H2323" s="4" t="str">
        <f t="shared" si="39"/>
        <v>No</v>
      </c>
      <c r="I2323" s="56"/>
    </row>
    <row r="2324" spans="1:9">
      <c r="A2324" s="97" t="s">
        <v>2299</v>
      </c>
      <c r="B2324" s="97" t="s">
        <v>320</v>
      </c>
      <c r="C2324" s="163">
        <v>5246</v>
      </c>
      <c r="D2324" s="95" t="s">
        <v>324</v>
      </c>
      <c r="E2324" s="142">
        <v>0.29580000000000001</v>
      </c>
      <c r="F2324" s="4" t="s">
        <v>3065</v>
      </c>
      <c r="G2324" s="4" t="s">
        <v>3065</v>
      </c>
      <c r="H2324" s="4" t="str">
        <f t="shared" si="39"/>
        <v>No</v>
      </c>
      <c r="I2324" s="56"/>
    </row>
    <row r="2325" spans="1:9">
      <c r="A2325" s="97" t="s">
        <v>2299</v>
      </c>
      <c r="B2325" s="97" t="s">
        <v>320</v>
      </c>
      <c r="C2325" s="163">
        <v>5600</v>
      </c>
      <c r="D2325" s="95" t="s">
        <v>2948</v>
      </c>
      <c r="E2325" s="142">
        <v>0.34979999999999994</v>
      </c>
      <c r="F2325" s="4" t="s">
        <v>3065</v>
      </c>
      <c r="G2325" s="4" t="s">
        <v>3065</v>
      </c>
      <c r="H2325" s="4" t="str">
        <f t="shared" si="39"/>
        <v>No</v>
      </c>
      <c r="I2325" s="56"/>
    </row>
    <row r="2326" spans="1:9">
      <c r="A2326" s="97" t="s">
        <v>2299</v>
      </c>
      <c r="B2326" s="97" t="s">
        <v>320</v>
      </c>
      <c r="C2326" s="163">
        <v>1795</v>
      </c>
      <c r="D2326" s="95" t="s">
        <v>321</v>
      </c>
      <c r="E2326" s="142">
        <v>0.53903333333333336</v>
      </c>
      <c r="F2326" s="4" t="s">
        <v>2752</v>
      </c>
      <c r="G2326" s="4" t="s">
        <v>2752</v>
      </c>
      <c r="H2326" s="4" t="str">
        <f t="shared" si="39"/>
        <v>No</v>
      </c>
      <c r="I2326" s="56"/>
    </row>
    <row r="2327" spans="1:9">
      <c r="A2327" s="97" t="s">
        <v>2299</v>
      </c>
      <c r="B2327" s="97" t="s">
        <v>320</v>
      </c>
      <c r="C2327" s="163">
        <v>3546</v>
      </c>
      <c r="D2327" s="95" t="s">
        <v>323</v>
      </c>
      <c r="E2327" s="142">
        <v>0.42709999999999998</v>
      </c>
      <c r="F2327" s="4" t="s">
        <v>3065</v>
      </c>
      <c r="G2327" s="4" t="s">
        <v>3065</v>
      </c>
      <c r="H2327" s="4" t="str">
        <f t="shared" si="39"/>
        <v>No</v>
      </c>
      <c r="I2327" s="56"/>
    </row>
    <row r="2328" spans="1:9">
      <c r="A2328" s="56" t="s">
        <v>2299</v>
      </c>
      <c r="B2328" s="97" t="s">
        <v>320</v>
      </c>
      <c r="C2328" s="163">
        <v>5409</v>
      </c>
      <c r="D2328" s="56" t="s">
        <v>325</v>
      </c>
      <c r="E2328" s="142">
        <v>0.44453333333333328</v>
      </c>
      <c r="F2328" s="4" t="s">
        <v>3065</v>
      </c>
      <c r="G2328" s="4" t="s">
        <v>3065</v>
      </c>
      <c r="H2328" s="4" t="str">
        <f t="shared" si="39"/>
        <v>No</v>
      </c>
      <c r="I2328" s="56"/>
    </row>
    <row r="2329" spans="1:9">
      <c r="A2329" s="97" t="s">
        <v>2299</v>
      </c>
      <c r="B2329" s="97" t="s">
        <v>320</v>
      </c>
      <c r="C2329" s="163">
        <v>3513</v>
      </c>
      <c r="D2329" s="95" t="s">
        <v>322</v>
      </c>
      <c r="E2329" s="142">
        <v>0.33529999999999999</v>
      </c>
      <c r="F2329" s="4" t="s">
        <v>3065</v>
      </c>
      <c r="G2329" s="4" t="s">
        <v>3065</v>
      </c>
      <c r="H2329" s="4" t="str">
        <f t="shared" si="39"/>
        <v>No</v>
      </c>
      <c r="I2329" s="56"/>
    </row>
    <row r="2330" spans="1:9">
      <c r="A2330" s="56" t="s">
        <v>2763</v>
      </c>
      <c r="B2330" s="56" t="s">
        <v>2766</v>
      </c>
      <c r="C2330" s="163">
        <v>5550</v>
      </c>
      <c r="D2330" s="56" t="s">
        <v>2766</v>
      </c>
      <c r="E2330" s="142">
        <v>0</v>
      </c>
      <c r="F2330" s="4" t="s">
        <v>3065</v>
      </c>
      <c r="G2330" s="4" t="s">
        <v>3065</v>
      </c>
      <c r="H2330" s="4" t="str">
        <f>IFERROR(IF(AND(G2330="Yes",F2330="No"),"Yes","No"),"No")</f>
        <v>No</v>
      </c>
      <c r="I2330" s="56"/>
    </row>
    <row r="2331" spans="1:9">
      <c r="A2331" s="97" t="s">
        <v>2555</v>
      </c>
      <c r="B2331" s="97" t="s">
        <v>2170</v>
      </c>
      <c r="C2331" s="163">
        <v>2592</v>
      </c>
      <c r="D2331" s="95" t="s">
        <v>567</v>
      </c>
      <c r="E2331" s="142">
        <v>0.90700000000000003</v>
      </c>
      <c r="F2331" s="4" t="s">
        <v>2752</v>
      </c>
      <c r="G2331" s="4" t="s">
        <v>2752</v>
      </c>
      <c r="H2331" s="4" t="str">
        <f t="shared" si="39"/>
        <v>No</v>
      </c>
      <c r="I2331" s="56"/>
    </row>
    <row r="2332" spans="1:9">
      <c r="A2332" s="97" t="s">
        <v>2555</v>
      </c>
      <c r="B2332" s="97" t="s">
        <v>2170</v>
      </c>
      <c r="C2332" s="163">
        <v>3138</v>
      </c>
      <c r="D2332" s="95" t="s">
        <v>2179</v>
      </c>
      <c r="E2332" s="142">
        <v>0.91299999999999992</v>
      </c>
      <c r="F2332" s="4" t="s">
        <v>2752</v>
      </c>
      <c r="G2332" s="4" t="s">
        <v>2752</v>
      </c>
      <c r="H2332" s="4" t="str">
        <f t="shared" si="39"/>
        <v>No</v>
      </c>
      <c r="I2332" s="56"/>
    </row>
    <row r="2333" spans="1:9">
      <c r="A2333" s="97" t="s">
        <v>2555</v>
      </c>
      <c r="B2333" s="97" t="s">
        <v>2170</v>
      </c>
      <c r="C2333" s="163">
        <v>2116</v>
      </c>
      <c r="D2333" s="95" t="s">
        <v>2171</v>
      </c>
      <c r="E2333" s="142">
        <v>0.77413333333333334</v>
      </c>
      <c r="F2333" s="4" t="s">
        <v>2752</v>
      </c>
      <c r="G2333" s="4" t="s">
        <v>2752</v>
      </c>
      <c r="H2333" s="4" t="str">
        <f t="shared" si="39"/>
        <v>No</v>
      </c>
      <c r="I2333" s="56"/>
    </row>
    <row r="2334" spans="1:9">
      <c r="A2334" s="97" t="s">
        <v>2555</v>
      </c>
      <c r="B2334" s="97" t="s">
        <v>2170</v>
      </c>
      <c r="C2334" s="163">
        <v>3023</v>
      </c>
      <c r="D2334" s="95" t="s">
        <v>2178</v>
      </c>
      <c r="E2334" s="142">
        <v>0.59710000000000008</v>
      </c>
      <c r="F2334" s="4" t="s">
        <v>2752</v>
      </c>
      <c r="G2334" s="4" t="s">
        <v>2752</v>
      </c>
      <c r="H2334" s="4" t="str">
        <f t="shared" si="39"/>
        <v>No</v>
      </c>
      <c r="I2334" s="56"/>
    </row>
    <row r="2335" spans="1:9">
      <c r="A2335" s="97" t="s">
        <v>2555</v>
      </c>
      <c r="B2335" s="97" t="s">
        <v>2170</v>
      </c>
      <c r="C2335" s="163">
        <v>3206</v>
      </c>
      <c r="D2335" s="95" t="s">
        <v>2180</v>
      </c>
      <c r="E2335" s="142">
        <v>0.72286666666666666</v>
      </c>
      <c r="F2335" s="4" t="s">
        <v>2752</v>
      </c>
      <c r="G2335" s="4" t="s">
        <v>2752</v>
      </c>
      <c r="H2335" s="4" t="str">
        <f t="shared" si="39"/>
        <v>No</v>
      </c>
      <c r="I2335" s="56"/>
    </row>
    <row r="2336" spans="1:9">
      <c r="A2336" s="97" t="s">
        <v>2555</v>
      </c>
      <c r="B2336" s="97" t="s">
        <v>2170</v>
      </c>
      <c r="C2336" s="163">
        <v>2410</v>
      </c>
      <c r="D2336" s="95" t="s">
        <v>2173</v>
      </c>
      <c r="E2336" s="142">
        <v>0.81126666666666669</v>
      </c>
      <c r="F2336" s="4" t="s">
        <v>2752</v>
      </c>
      <c r="G2336" s="4" t="s">
        <v>2752</v>
      </c>
      <c r="H2336" s="4" t="str">
        <f t="shared" si="39"/>
        <v>No</v>
      </c>
      <c r="I2336" s="56"/>
    </row>
    <row r="2337" spans="1:9">
      <c r="A2337" s="97" t="s">
        <v>2555</v>
      </c>
      <c r="B2337" s="97" t="s">
        <v>2170</v>
      </c>
      <c r="C2337" s="163">
        <v>2176</v>
      </c>
      <c r="D2337" s="95" t="s">
        <v>1597</v>
      </c>
      <c r="E2337" s="142">
        <v>0.8973000000000001</v>
      </c>
      <c r="F2337" s="4" t="s">
        <v>2752</v>
      </c>
      <c r="G2337" s="4" t="s">
        <v>2752</v>
      </c>
      <c r="H2337" s="4" t="str">
        <f t="shared" si="39"/>
        <v>No</v>
      </c>
      <c r="I2337" s="56"/>
    </row>
    <row r="2338" spans="1:9">
      <c r="A2338" s="97" t="s">
        <v>2555</v>
      </c>
      <c r="B2338" s="97" t="s">
        <v>2170</v>
      </c>
      <c r="C2338" s="163">
        <v>2818</v>
      </c>
      <c r="D2338" s="95" t="s">
        <v>2175</v>
      </c>
      <c r="E2338" s="142">
        <v>0.70046666666666668</v>
      </c>
      <c r="F2338" s="4" t="s">
        <v>2752</v>
      </c>
      <c r="G2338" s="4" t="s">
        <v>2752</v>
      </c>
      <c r="H2338" s="4" t="str">
        <f t="shared" si="39"/>
        <v>No</v>
      </c>
      <c r="I2338" s="56"/>
    </row>
    <row r="2339" spans="1:9">
      <c r="A2339" s="97" t="s">
        <v>2555</v>
      </c>
      <c r="B2339" s="97" t="s">
        <v>2170</v>
      </c>
      <c r="C2339" s="163">
        <v>2715</v>
      </c>
      <c r="D2339" s="95" t="s">
        <v>2174</v>
      </c>
      <c r="E2339" s="142">
        <v>0.85350000000000004</v>
      </c>
      <c r="F2339" s="4" t="s">
        <v>2752</v>
      </c>
      <c r="G2339" s="4" t="s">
        <v>2752</v>
      </c>
      <c r="H2339" s="4" t="str">
        <f t="shared" si="39"/>
        <v>No</v>
      </c>
      <c r="I2339" s="56"/>
    </row>
    <row r="2340" spans="1:9">
      <c r="A2340" s="97" t="s">
        <v>2555</v>
      </c>
      <c r="B2340" s="97" t="s">
        <v>2170</v>
      </c>
      <c r="C2340" s="163">
        <v>3615</v>
      </c>
      <c r="D2340" s="95" t="s">
        <v>2184</v>
      </c>
      <c r="E2340" s="142">
        <v>0.87036666666666662</v>
      </c>
      <c r="F2340" s="4" t="s">
        <v>2752</v>
      </c>
      <c r="G2340" s="4" t="s">
        <v>2752</v>
      </c>
      <c r="H2340" s="4" t="str">
        <f t="shared" si="39"/>
        <v>No</v>
      </c>
      <c r="I2340" s="56"/>
    </row>
    <row r="2341" spans="1:9">
      <c r="A2341" s="97" t="s">
        <v>2555</v>
      </c>
      <c r="B2341" s="97" t="s">
        <v>2170</v>
      </c>
      <c r="C2341" s="163">
        <v>3817</v>
      </c>
      <c r="D2341" s="95" t="s">
        <v>2185</v>
      </c>
      <c r="E2341" s="142">
        <v>0.90513333333333323</v>
      </c>
      <c r="F2341" s="4" t="s">
        <v>2752</v>
      </c>
      <c r="G2341" s="4" t="s">
        <v>2752</v>
      </c>
      <c r="H2341" s="4" t="str">
        <f t="shared" si="39"/>
        <v>No</v>
      </c>
      <c r="I2341" s="56"/>
    </row>
    <row r="2342" spans="1:9">
      <c r="A2342" s="97" t="s">
        <v>2555</v>
      </c>
      <c r="B2342" s="97" t="s">
        <v>2170</v>
      </c>
      <c r="C2342" s="163">
        <v>2899</v>
      </c>
      <c r="D2342" s="95" t="s">
        <v>2177</v>
      </c>
      <c r="E2342" s="142">
        <v>0.74153333333333338</v>
      </c>
      <c r="F2342" s="4" t="s">
        <v>2752</v>
      </c>
      <c r="G2342" s="4" t="s">
        <v>2752</v>
      </c>
      <c r="H2342" s="4" t="str">
        <f t="shared" si="39"/>
        <v>No</v>
      </c>
      <c r="I2342" s="56"/>
    </row>
    <row r="2343" spans="1:9">
      <c r="A2343" s="97" t="s">
        <v>2555</v>
      </c>
      <c r="B2343" s="97" t="s">
        <v>2170</v>
      </c>
      <c r="C2343" s="163">
        <v>2177</v>
      </c>
      <c r="D2343" s="95" t="s">
        <v>2172</v>
      </c>
      <c r="E2343" s="142">
        <v>0.84329999999999983</v>
      </c>
      <c r="F2343" s="4" t="s">
        <v>2752</v>
      </c>
      <c r="G2343" s="4" t="s">
        <v>2752</v>
      </c>
      <c r="H2343" s="4" t="str">
        <f t="shared" si="39"/>
        <v>No</v>
      </c>
      <c r="I2343" s="56"/>
    </row>
    <row r="2344" spans="1:9">
      <c r="A2344" s="56" t="s">
        <v>2555</v>
      </c>
      <c r="B2344" s="97" t="s">
        <v>2170</v>
      </c>
      <c r="C2344" s="163">
        <v>2819</v>
      </c>
      <c r="D2344" s="56" t="s">
        <v>2176</v>
      </c>
      <c r="E2344" s="142">
        <v>0.60733333333333328</v>
      </c>
      <c r="F2344" s="4" t="s">
        <v>2752</v>
      </c>
      <c r="G2344" s="4" t="s">
        <v>2752</v>
      </c>
      <c r="H2344" s="4" t="str">
        <f t="shared" si="39"/>
        <v>No</v>
      </c>
      <c r="I2344" s="56"/>
    </row>
    <row r="2345" spans="1:9">
      <c r="A2345" s="56" t="s">
        <v>2555</v>
      </c>
      <c r="B2345" s="97" t="s">
        <v>2170</v>
      </c>
      <c r="C2345" s="163">
        <v>2433</v>
      </c>
      <c r="D2345" s="56" t="s">
        <v>1797</v>
      </c>
      <c r="E2345" s="142">
        <v>0.85246666666666659</v>
      </c>
      <c r="F2345" s="4" t="s">
        <v>2752</v>
      </c>
      <c r="G2345" s="4" t="s">
        <v>2752</v>
      </c>
      <c r="H2345" s="4" t="str">
        <f t="shared" si="39"/>
        <v>No</v>
      </c>
      <c r="I2345" s="56"/>
    </row>
    <row r="2346" spans="1:9">
      <c r="A2346" s="56" t="s">
        <v>2555</v>
      </c>
      <c r="B2346" s="97" t="s">
        <v>2170</v>
      </c>
      <c r="C2346" s="163">
        <v>3264</v>
      </c>
      <c r="D2346" s="56" t="s">
        <v>2181</v>
      </c>
      <c r="E2346" s="142">
        <v>0.76249999999999984</v>
      </c>
      <c r="F2346" s="4" t="s">
        <v>2752</v>
      </c>
      <c r="G2346" s="4" t="s">
        <v>2752</v>
      </c>
      <c r="H2346" s="4" t="str">
        <f t="shared" si="39"/>
        <v>No</v>
      </c>
      <c r="I2346" s="56"/>
    </row>
    <row r="2347" spans="1:9">
      <c r="A2347" s="56" t="s">
        <v>2555</v>
      </c>
      <c r="B2347" s="97" t="s">
        <v>2170</v>
      </c>
      <c r="C2347" s="163">
        <v>2529</v>
      </c>
      <c r="D2347" s="56" t="s">
        <v>144</v>
      </c>
      <c r="E2347" s="142">
        <v>0.80483333333333329</v>
      </c>
      <c r="F2347" s="4" t="s">
        <v>2752</v>
      </c>
      <c r="G2347" s="4" t="s">
        <v>2752</v>
      </c>
      <c r="H2347" s="4" t="str">
        <f t="shared" si="39"/>
        <v>No</v>
      </c>
      <c r="I2347" s="56"/>
    </row>
    <row r="2348" spans="1:9">
      <c r="A2348" s="56" t="s">
        <v>2555</v>
      </c>
      <c r="B2348" s="97" t="s">
        <v>2170</v>
      </c>
      <c r="C2348" s="163">
        <v>4093</v>
      </c>
      <c r="D2348" s="56" t="s">
        <v>2186</v>
      </c>
      <c r="E2348" s="142">
        <v>0.91930000000000012</v>
      </c>
      <c r="F2348" s="4" t="s">
        <v>2752</v>
      </c>
      <c r="G2348" s="4" t="s">
        <v>2752</v>
      </c>
      <c r="H2348" s="4" t="str">
        <f t="shared" si="39"/>
        <v>No</v>
      </c>
      <c r="I2348" s="56"/>
    </row>
    <row r="2349" spans="1:9">
      <c r="A2349" s="56" t="s">
        <v>2555</v>
      </c>
      <c r="B2349" s="97" t="s">
        <v>2170</v>
      </c>
      <c r="C2349" s="163">
        <v>2314</v>
      </c>
      <c r="D2349" s="56" t="s">
        <v>631</v>
      </c>
      <c r="E2349" s="142">
        <v>0.92230000000000001</v>
      </c>
      <c r="F2349" s="4" t="s">
        <v>2752</v>
      </c>
      <c r="G2349" s="4" t="s">
        <v>2752</v>
      </c>
      <c r="H2349" s="4" t="str">
        <f t="shared" si="39"/>
        <v>No</v>
      </c>
      <c r="I2349" s="56"/>
    </row>
    <row r="2350" spans="1:9">
      <c r="A2350" s="56" t="s">
        <v>2555</v>
      </c>
      <c r="B2350" s="97" t="s">
        <v>2170</v>
      </c>
      <c r="C2350" s="163">
        <v>3312</v>
      </c>
      <c r="D2350" s="56" t="s">
        <v>2182</v>
      </c>
      <c r="E2350" s="142">
        <v>0.64826666666666666</v>
      </c>
      <c r="F2350" s="4" t="s">
        <v>2752</v>
      </c>
      <c r="G2350" s="4" t="s">
        <v>2752</v>
      </c>
      <c r="H2350" s="4" t="str">
        <f t="shared" si="39"/>
        <v>No</v>
      </c>
      <c r="I2350" s="56"/>
    </row>
    <row r="2351" spans="1:9">
      <c r="A2351" s="56" t="s">
        <v>2555</v>
      </c>
      <c r="B2351" s="97" t="s">
        <v>2170</v>
      </c>
      <c r="C2351" s="163">
        <v>3368</v>
      </c>
      <c r="D2351" s="56" t="s">
        <v>2183</v>
      </c>
      <c r="E2351" s="142">
        <v>0.69906666666666661</v>
      </c>
      <c r="F2351" s="4" t="s">
        <v>2752</v>
      </c>
      <c r="G2351" s="4" t="s">
        <v>2752</v>
      </c>
      <c r="H2351" s="4" t="str">
        <f t="shared" si="39"/>
        <v>No</v>
      </c>
      <c r="I2351" s="56"/>
    </row>
    <row r="2352" spans="1:9">
      <c r="A2352" s="56" t="s">
        <v>2555</v>
      </c>
      <c r="B2352" s="97" t="s">
        <v>2170</v>
      </c>
      <c r="C2352" s="163">
        <v>5153</v>
      </c>
      <c r="D2352" s="56" t="s">
        <v>2187</v>
      </c>
      <c r="E2352" s="142">
        <v>0.68973333333333331</v>
      </c>
      <c r="F2352" s="4" t="s">
        <v>2752</v>
      </c>
      <c r="G2352" s="4" t="s">
        <v>2752</v>
      </c>
      <c r="H2352" s="4" t="str">
        <f t="shared" si="39"/>
        <v>No</v>
      </c>
      <c r="I2352" s="56"/>
    </row>
    <row r="2353" spans="1:9">
      <c r="A2353" s="56" t="s">
        <v>2555</v>
      </c>
      <c r="B2353" s="97" t="s">
        <v>2170</v>
      </c>
      <c r="C2353" s="163">
        <v>5355</v>
      </c>
      <c r="D2353" s="56" t="s">
        <v>2189</v>
      </c>
      <c r="E2353" s="142">
        <v>0.81786666666666663</v>
      </c>
      <c r="F2353" s="4" t="s">
        <v>2752</v>
      </c>
      <c r="G2353" s="4" t="s">
        <v>2752</v>
      </c>
      <c r="H2353" s="4" t="str">
        <f t="shared" si="39"/>
        <v>No</v>
      </c>
      <c r="I2353" s="56"/>
    </row>
    <row r="2354" spans="1:9">
      <c r="A2354" s="56" t="s">
        <v>2555</v>
      </c>
      <c r="B2354" s="97" t="s">
        <v>2170</v>
      </c>
      <c r="C2354" s="163">
        <v>5224</v>
      </c>
      <c r="D2354" s="56" t="s">
        <v>2188</v>
      </c>
      <c r="E2354" s="142">
        <v>0.60239999999999994</v>
      </c>
      <c r="F2354" s="4" t="s">
        <v>2752</v>
      </c>
      <c r="G2354" s="4" t="s">
        <v>2752</v>
      </c>
      <c r="H2354" s="4" t="str">
        <f t="shared" si="39"/>
        <v>No</v>
      </c>
      <c r="I2354" s="56"/>
    </row>
    <row r="2355" spans="1:9">
      <c r="A2355" s="56" t="s">
        <v>2515</v>
      </c>
      <c r="B2355" s="97" t="s">
        <v>1964</v>
      </c>
      <c r="C2355" s="163">
        <v>4346</v>
      </c>
      <c r="D2355" s="56" t="s">
        <v>1971</v>
      </c>
      <c r="E2355" s="142">
        <v>0.60653333333333337</v>
      </c>
      <c r="F2355" s="4" t="s">
        <v>2752</v>
      </c>
      <c r="G2355" s="4" t="s">
        <v>2752</v>
      </c>
      <c r="H2355" s="4" t="str">
        <f t="shared" si="39"/>
        <v>No</v>
      </c>
      <c r="I2355" s="56"/>
    </row>
    <row r="2356" spans="1:9">
      <c r="A2356" s="56" t="s">
        <v>2515</v>
      </c>
      <c r="B2356" s="97" t="s">
        <v>1964</v>
      </c>
      <c r="C2356" s="163">
        <v>5018</v>
      </c>
      <c r="D2356" s="56" t="s">
        <v>1973</v>
      </c>
      <c r="E2356" s="142">
        <v>0.46483333333333327</v>
      </c>
      <c r="F2356" s="4" t="s">
        <v>3065</v>
      </c>
      <c r="G2356" s="4" t="s">
        <v>3065</v>
      </c>
      <c r="H2356" s="4" t="str">
        <f t="shared" si="39"/>
        <v>No</v>
      </c>
      <c r="I2356" s="56"/>
    </row>
    <row r="2357" spans="1:9">
      <c r="A2357" s="56" t="s">
        <v>2515</v>
      </c>
      <c r="B2357" s="97" t="s">
        <v>1964</v>
      </c>
      <c r="C2357" s="163">
        <v>2260</v>
      </c>
      <c r="D2357" s="56" t="s">
        <v>1966</v>
      </c>
      <c r="E2357" s="142">
        <v>0.49886666666666662</v>
      </c>
      <c r="F2357" s="4" t="s">
        <v>3065</v>
      </c>
      <c r="G2357" s="4" t="s">
        <v>3065</v>
      </c>
      <c r="H2357" s="4" t="str">
        <f t="shared" si="39"/>
        <v>No</v>
      </c>
      <c r="I2357" s="56"/>
    </row>
    <row r="2358" spans="1:9">
      <c r="A2358" s="56" t="s">
        <v>2515</v>
      </c>
      <c r="B2358" s="97" t="s">
        <v>1964</v>
      </c>
      <c r="C2358" s="163">
        <v>4451</v>
      </c>
      <c r="D2358" s="56" t="s">
        <v>1972</v>
      </c>
      <c r="E2358" s="142">
        <v>0.4336666666666667</v>
      </c>
      <c r="F2358" s="4" t="s">
        <v>3065</v>
      </c>
      <c r="G2358" s="4" t="s">
        <v>3065</v>
      </c>
      <c r="H2358" s="4" t="str">
        <f t="shared" si="39"/>
        <v>No</v>
      </c>
      <c r="I2358" s="56"/>
    </row>
    <row r="2359" spans="1:9">
      <c r="A2359" s="56" t="s">
        <v>2515</v>
      </c>
      <c r="B2359" s="97" t="s">
        <v>1964</v>
      </c>
      <c r="C2359" s="163">
        <v>5052</v>
      </c>
      <c r="D2359" s="56" t="s">
        <v>1974</v>
      </c>
      <c r="E2359" s="142">
        <v>0.45540000000000003</v>
      </c>
      <c r="F2359" s="4" t="s">
        <v>3065</v>
      </c>
      <c r="G2359" s="4" t="s">
        <v>3065</v>
      </c>
      <c r="H2359" s="4" t="str">
        <f t="shared" si="39"/>
        <v>No</v>
      </c>
      <c r="I2359" s="56"/>
    </row>
    <row r="2360" spans="1:9">
      <c r="A2360" s="56" t="s">
        <v>2515</v>
      </c>
      <c r="B2360" s="97" t="s">
        <v>1964</v>
      </c>
      <c r="C2360" s="163">
        <v>3848</v>
      </c>
      <c r="D2360" s="56" t="s">
        <v>1969</v>
      </c>
      <c r="E2360" s="142">
        <v>0.40126666666666666</v>
      </c>
      <c r="F2360" s="4" t="s">
        <v>3065</v>
      </c>
      <c r="G2360" s="4" t="s">
        <v>3065</v>
      </c>
      <c r="H2360" s="4" t="str">
        <f t="shared" si="39"/>
        <v>No</v>
      </c>
      <c r="I2360" s="56"/>
    </row>
    <row r="2361" spans="1:9">
      <c r="A2361" s="56" t="s">
        <v>2515</v>
      </c>
      <c r="B2361" s="97" t="s">
        <v>1964</v>
      </c>
      <c r="C2361" s="163">
        <v>1627</v>
      </c>
      <c r="D2361" s="56" t="s">
        <v>1965</v>
      </c>
      <c r="E2361" s="142">
        <v>0.57240000000000002</v>
      </c>
      <c r="F2361" s="4" t="s">
        <v>2752</v>
      </c>
      <c r="G2361" s="4" t="s">
        <v>2752</v>
      </c>
      <c r="H2361" s="4" t="str">
        <f t="shared" si="39"/>
        <v>No</v>
      </c>
      <c r="I2361" s="56"/>
    </row>
    <row r="2362" spans="1:9">
      <c r="A2362" s="56" t="s">
        <v>2515</v>
      </c>
      <c r="B2362" s="97" t="s">
        <v>1964</v>
      </c>
      <c r="C2362" s="163">
        <v>2633</v>
      </c>
      <c r="D2362" s="56" t="s">
        <v>1968</v>
      </c>
      <c r="E2362" s="142">
        <v>0.40549999999999997</v>
      </c>
      <c r="F2362" s="4" t="s">
        <v>3065</v>
      </c>
      <c r="G2362" s="4" t="s">
        <v>3065</v>
      </c>
      <c r="H2362" s="4" t="str">
        <f t="shared" si="39"/>
        <v>No</v>
      </c>
      <c r="I2362" s="56"/>
    </row>
    <row r="2363" spans="1:9">
      <c r="A2363" s="56" t="s">
        <v>2515</v>
      </c>
      <c r="B2363" s="97" t="s">
        <v>1964</v>
      </c>
      <c r="C2363" s="163">
        <v>2481</v>
      </c>
      <c r="D2363" s="56" t="s">
        <v>1967</v>
      </c>
      <c r="E2363" s="142">
        <v>0.49103333333333338</v>
      </c>
      <c r="F2363" s="4" t="s">
        <v>3065</v>
      </c>
      <c r="G2363" s="4" t="s">
        <v>3065</v>
      </c>
      <c r="H2363" s="4" t="str">
        <f t="shared" si="39"/>
        <v>No</v>
      </c>
      <c r="I2363" s="56"/>
    </row>
    <row r="2364" spans="1:9">
      <c r="A2364" s="56" t="s">
        <v>2515</v>
      </c>
      <c r="B2364" s="97" t="s">
        <v>1964</v>
      </c>
      <c r="C2364" s="163">
        <v>4224</v>
      </c>
      <c r="D2364" s="56" t="s">
        <v>1970</v>
      </c>
      <c r="E2364" s="142">
        <v>0.44989999999999997</v>
      </c>
      <c r="F2364" s="4" t="s">
        <v>3065</v>
      </c>
      <c r="G2364" s="4" t="s">
        <v>3065</v>
      </c>
      <c r="H2364" s="4" t="str">
        <f t="shared" si="39"/>
        <v>No</v>
      </c>
      <c r="I2364" s="56"/>
    </row>
    <row r="2365" spans="1:9">
      <c r="A2365" s="56" t="s">
        <v>2564</v>
      </c>
      <c r="B2365" s="97" t="s">
        <v>2235</v>
      </c>
      <c r="C2365" s="163">
        <v>2783</v>
      </c>
      <c r="D2365" s="56" t="s">
        <v>2237</v>
      </c>
      <c r="E2365" s="142">
        <v>0.56753333333333333</v>
      </c>
      <c r="F2365" s="4" t="s">
        <v>2752</v>
      </c>
      <c r="G2365" s="4" t="s">
        <v>2752</v>
      </c>
      <c r="H2365" s="4" t="str">
        <f t="shared" si="39"/>
        <v>No</v>
      </c>
      <c r="I2365" s="56"/>
    </row>
    <row r="2366" spans="1:9">
      <c r="A2366" s="56" t="s">
        <v>2564</v>
      </c>
      <c r="B2366" s="97" t="s">
        <v>2235</v>
      </c>
      <c r="C2366" s="163">
        <v>2240</v>
      </c>
      <c r="D2366" s="56" t="s">
        <v>2236</v>
      </c>
      <c r="E2366" s="142">
        <v>0.53539999999999999</v>
      </c>
      <c r="F2366" s="4" t="s">
        <v>2752</v>
      </c>
      <c r="G2366" s="4" t="s">
        <v>2752</v>
      </c>
      <c r="H2366" s="4" t="str">
        <f t="shared" si="39"/>
        <v>No</v>
      </c>
      <c r="I2366" s="56"/>
    </row>
    <row r="2367" spans="1:9">
      <c r="A2367" s="56" t="s">
        <v>2564</v>
      </c>
      <c r="B2367" s="97" t="s">
        <v>2235</v>
      </c>
      <c r="C2367" s="163">
        <v>4221</v>
      </c>
      <c r="D2367" s="56" t="s">
        <v>2238</v>
      </c>
      <c r="E2367" s="142">
        <v>0.62539999999999996</v>
      </c>
      <c r="F2367" s="4" t="s">
        <v>2752</v>
      </c>
      <c r="G2367" s="4" t="s">
        <v>2752</v>
      </c>
      <c r="H2367" s="4" t="str">
        <f t="shared" si="39"/>
        <v>No</v>
      </c>
      <c r="I2367" s="56"/>
    </row>
    <row r="2368" spans="1:9">
      <c r="A2368" t="s">
        <v>2564</v>
      </c>
      <c r="B2368" s="97" t="s">
        <v>2235</v>
      </c>
      <c r="C2368" s="163">
        <v>4481</v>
      </c>
      <c r="D2368" s="56" t="s">
        <v>2239</v>
      </c>
      <c r="E2368" s="142">
        <v>0.60106666666666664</v>
      </c>
      <c r="F2368" s="4" t="s">
        <v>2752</v>
      </c>
      <c r="G2368" s="4" t="s">
        <v>2752</v>
      </c>
      <c r="H2368" s="4" t="str">
        <f t="shared" si="39"/>
        <v>No</v>
      </c>
    </row>
  </sheetData>
  <autoFilter ref="A3:H2368" xr:uid="{00000000-0009-0000-0000-000006000000}">
    <sortState xmlns:xlrd2="http://schemas.microsoft.com/office/spreadsheetml/2017/richdata2" ref="A4:H2369">
      <sortCondition ref="B4:B2369"/>
      <sortCondition ref="D4:D2369"/>
    </sortState>
  </autoFilter>
  <sortState xmlns:xlrd2="http://schemas.microsoft.com/office/spreadsheetml/2017/richdata2" ref="A4:G2343">
    <sortCondition ref="B4:B2343"/>
  </sortState>
  <conditionalFormatting sqref="F4:H2368">
    <cfRule type="containsText" dxfId="1" priority="22" operator="containsText" text="Yes">
      <formula>NOT(ISERROR(SEARCH("Yes",F4)))</formula>
    </cfRule>
    <cfRule type="containsText" dxfId="0" priority="23" operator="containsText" text="No">
      <formula>NOT(ISERROR(SEARCH("No",F4)))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F320"/>
  <sheetViews>
    <sheetView zoomScale="90" zoomScaleNormal="90" workbookViewId="0">
      <pane ySplit="2" topLeftCell="A3" activePane="bottomLeft" state="frozen"/>
      <selection activeCell="C8" sqref="C8"/>
      <selection pane="bottomLeft" activeCell="B2" sqref="B2"/>
    </sheetView>
  </sheetViews>
  <sheetFormatPr defaultColWidth="9.109375" defaultRowHeight="14.4"/>
  <cols>
    <col min="2" max="2" width="24.109375" bestFit="1" customWidth="1"/>
    <col min="3" max="3" width="20" style="4" customWidth="1"/>
    <col min="4" max="4" width="19.109375" style="4" customWidth="1"/>
    <col min="5" max="5" width="12.33203125" style="4" customWidth="1"/>
    <col min="6" max="6" width="10.44140625" style="30" bestFit="1" customWidth="1"/>
    <col min="7" max="16384" width="9.109375" style="30"/>
  </cols>
  <sheetData>
    <row r="1" spans="1:6" ht="15" thickBot="1">
      <c r="A1" s="158">
        <v>1</v>
      </c>
      <c r="B1" s="159">
        <f>1+A1</f>
        <v>2</v>
      </c>
      <c r="C1" s="160">
        <f t="shared" ref="C1:F1" si="0">1+B1</f>
        <v>3</v>
      </c>
      <c r="D1" s="160">
        <f t="shared" si="0"/>
        <v>4</v>
      </c>
      <c r="E1" s="160">
        <f t="shared" si="0"/>
        <v>5</v>
      </c>
      <c r="F1" s="159">
        <f t="shared" si="0"/>
        <v>6</v>
      </c>
    </row>
    <row r="2" spans="1:6" ht="43.8" thickBot="1">
      <c r="A2" s="175" t="s">
        <v>2707</v>
      </c>
      <c r="B2" s="176" t="s">
        <v>2571</v>
      </c>
      <c r="C2" s="172" t="s">
        <v>2996</v>
      </c>
      <c r="D2" s="173" t="s">
        <v>3080</v>
      </c>
      <c r="E2" s="174" t="s">
        <v>3079</v>
      </c>
      <c r="F2" s="177" t="s">
        <v>2997</v>
      </c>
    </row>
    <row r="3" spans="1:6">
      <c r="A3" s="9" t="s">
        <v>2257</v>
      </c>
      <c r="B3" s="9" t="s">
        <v>0</v>
      </c>
      <c r="C3" s="118">
        <v>0.74390000000000001</v>
      </c>
      <c r="D3" s="118">
        <v>0.72550000000000003</v>
      </c>
      <c r="E3" s="118">
        <f>MAX(D3,C3)</f>
        <v>0.74390000000000001</v>
      </c>
      <c r="F3" s="118">
        <f>E3-C3</f>
        <v>0</v>
      </c>
    </row>
    <row r="4" spans="1:6">
      <c r="A4" s="9" t="s">
        <v>2258</v>
      </c>
      <c r="B4" s="9" t="s">
        <v>2</v>
      </c>
      <c r="C4" s="118">
        <v>0.16669999999999999</v>
      </c>
      <c r="D4" s="118">
        <v>0.21429999999999999</v>
      </c>
      <c r="E4" s="118">
        <f t="shared" ref="E4:E67" si="1">MAX(D4,C4)</f>
        <v>0.21429999999999999</v>
      </c>
      <c r="F4" s="118">
        <f t="shared" ref="F4:F67" si="2">E4-C4</f>
        <v>4.7600000000000003E-2</v>
      </c>
    </row>
    <row r="5" spans="1:6">
      <c r="A5" s="9" t="s">
        <v>2259</v>
      </c>
      <c r="B5" s="9" t="s">
        <v>4</v>
      </c>
      <c r="C5" s="118">
        <v>0.81510000000000005</v>
      </c>
      <c r="D5" s="118">
        <v>0.81569999999999998</v>
      </c>
      <c r="E5" s="118">
        <f t="shared" si="1"/>
        <v>0.81569999999999998</v>
      </c>
      <c r="F5" s="118">
        <f t="shared" si="2"/>
        <v>5.9999999999993392E-4</v>
      </c>
    </row>
    <row r="6" spans="1:6">
      <c r="A6" s="9" t="s">
        <v>2260</v>
      </c>
      <c r="B6" s="9" t="s">
        <v>12</v>
      </c>
      <c r="C6" s="118">
        <v>0.65949999999999998</v>
      </c>
      <c r="D6" s="118">
        <v>0.70589999999999997</v>
      </c>
      <c r="E6" s="118">
        <f t="shared" si="1"/>
        <v>0.70589999999999997</v>
      </c>
      <c r="F6" s="118">
        <f t="shared" si="2"/>
        <v>4.6399999999999997E-2</v>
      </c>
    </row>
    <row r="7" spans="1:6">
      <c r="A7" s="9" t="s">
        <v>2261</v>
      </c>
      <c r="B7" s="9" t="s">
        <v>16</v>
      </c>
      <c r="C7" s="118">
        <v>0.46010000000000001</v>
      </c>
      <c r="D7" s="118">
        <v>0.4551</v>
      </c>
      <c r="E7" s="118">
        <f t="shared" si="1"/>
        <v>0.46010000000000001</v>
      </c>
      <c r="F7" s="118">
        <f t="shared" si="2"/>
        <v>0</v>
      </c>
    </row>
    <row r="8" spans="1:6">
      <c r="A8" s="9" t="s">
        <v>2262</v>
      </c>
      <c r="B8" s="9" t="s">
        <v>20</v>
      </c>
      <c r="C8" s="118">
        <v>0.5544</v>
      </c>
      <c r="D8" s="118">
        <v>0.57350000000000001</v>
      </c>
      <c r="E8" s="118">
        <f t="shared" si="1"/>
        <v>0.57350000000000001</v>
      </c>
      <c r="F8" s="118">
        <f t="shared" si="2"/>
        <v>1.9100000000000006E-2</v>
      </c>
    </row>
    <row r="9" spans="1:6">
      <c r="A9" s="9" t="s">
        <v>2263</v>
      </c>
      <c r="B9" s="9" t="s">
        <v>30</v>
      </c>
      <c r="C9" s="118">
        <v>0.2616</v>
      </c>
      <c r="D9" s="118">
        <v>0.31240000000000001</v>
      </c>
      <c r="E9" s="118">
        <f t="shared" si="1"/>
        <v>0.31240000000000001</v>
      </c>
      <c r="F9" s="118">
        <f t="shared" si="2"/>
        <v>5.0800000000000012E-2</v>
      </c>
    </row>
    <row r="10" spans="1:6">
      <c r="A10" s="9" t="s">
        <v>2264</v>
      </c>
      <c r="B10" s="9" t="s">
        <v>33</v>
      </c>
      <c r="C10" s="118">
        <v>0.58799999999999997</v>
      </c>
      <c r="D10" s="118">
        <v>0.58450000000000002</v>
      </c>
      <c r="E10" s="118">
        <f t="shared" si="1"/>
        <v>0.58799999999999997</v>
      </c>
      <c r="F10" s="118">
        <f t="shared" si="2"/>
        <v>0</v>
      </c>
    </row>
    <row r="11" spans="1:6">
      <c r="A11" s="9" t="s">
        <v>2265</v>
      </c>
      <c r="B11" s="9" t="s">
        <v>60</v>
      </c>
      <c r="C11" s="118">
        <v>1</v>
      </c>
      <c r="D11" s="118">
        <v>0.73109999999999997</v>
      </c>
      <c r="E11" s="118">
        <f t="shared" si="1"/>
        <v>1</v>
      </c>
      <c r="F11" s="118">
        <f t="shared" si="2"/>
        <v>0</v>
      </c>
    </row>
    <row r="12" spans="1:6">
      <c r="A12" s="9" t="s">
        <v>2266</v>
      </c>
      <c r="B12" s="9" t="s">
        <v>62</v>
      </c>
      <c r="C12" s="118">
        <v>0.70530000000000004</v>
      </c>
      <c r="D12" s="118">
        <v>0.70530000000000004</v>
      </c>
      <c r="E12" s="118">
        <f t="shared" si="1"/>
        <v>0.70530000000000004</v>
      </c>
      <c r="F12" s="118">
        <f t="shared" si="2"/>
        <v>0</v>
      </c>
    </row>
    <row r="13" spans="1:6">
      <c r="A13" s="9" t="s">
        <v>2267</v>
      </c>
      <c r="B13" s="9" t="s">
        <v>67</v>
      </c>
      <c r="C13" s="118">
        <v>0.79310000000000003</v>
      </c>
      <c r="D13" s="118">
        <v>0.72050000000000003</v>
      </c>
      <c r="E13" s="118">
        <f t="shared" si="1"/>
        <v>0.79310000000000003</v>
      </c>
      <c r="F13" s="118">
        <f t="shared" si="2"/>
        <v>0</v>
      </c>
    </row>
    <row r="14" spans="1:6">
      <c r="A14" s="9" t="s">
        <v>2268</v>
      </c>
      <c r="B14" s="9" t="s">
        <v>71</v>
      </c>
      <c r="C14" s="118">
        <v>0.71989999999999998</v>
      </c>
      <c r="D14" s="118">
        <v>0.68530000000000002</v>
      </c>
      <c r="E14" s="118">
        <f t="shared" si="1"/>
        <v>0.71989999999999998</v>
      </c>
      <c r="F14" s="118">
        <f t="shared" si="2"/>
        <v>0</v>
      </c>
    </row>
    <row r="15" spans="1:6">
      <c r="A15" s="9" t="s">
        <v>2269</v>
      </c>
      <c r="B15" s="9" t="s">
        <v>77</v>
      </c>
      <c r="C15" s="118">
        <v>0.37980000000000003</v>
      </c>
      <c r="D15" s="118">
        <v>0.38919999999999999</v>
      </c>
      <c r="E15" s="118">
        <f t="shared" si="1"/>
        <v>0.38919999999999999</v>
      </c>
      <c r="F15" s="118">
        <f t="shared" si="2"/>
        <v>9.3999999999999639E-3</v>
      </c>
    </row>
    <row r="16" spans="1:6">
      <c r="A16" s="9" t="s">
        <v>2270</v>
      </c>
      <c r="B16" s="9" t="s">
        <v>96</v>
      </c>
      <c r="C16" s="118">
        <v>0.65839999999999999</v>
      </c>
      <c r="D16" s="118">
        <v>0.70520000000000005</v>
      </c>
      <c r="E16" s="118">
        <f t="shared" si="1"/>
        <v>0.70520000000000005</v>
      </c>
      <c r="F16" s="118">
        <f t="shared" si="2"/>
        <v>4.6800000000000064E-2</v>
      </c>
    </row>
    <row r="17" spans="1:6">
      <c r="A17" s="9" t="s">
        <v>2271</v>
      </c>
      <c r="B17" s="9" t="s">
        <v>100</v>
      </c>
      <c r="C17" s="118">
        <v>0</v>
      </c>
      <c r="D17" s="118">
        <v>0</v>
      </c>
      <c r="E17" s="118">
        <f t="shared" si="1"/>
        <v>0</v>
      </c>
      <c r="F17" s="118">
        <f t="shared" si="2"/>
        <v>0</v>
      </c>
    </row>
    <row r="18" spans="1:6">
      <c r="A18" s="9" t="s">
        <v>2272</v>
      </c>
      <c r="B18" s="9" t="s">
        <v>102</v>
      </c>
      <c r="C18" s="118">
        <v>0.64759999999999995</v>
      </c>
      <c r="D18" s="118">
        <v>0.60819999999999996</v>
      </c>
      <c r="E18" s="118">
        <f t="shared" si="1"/>
        <v>0.64759999999999995</v>
      </c>
      <c r="F18" s="118">
        <f t="shared" si="2"/>
        <v>0</v>
      </c>
    </row>
    <row r="19" spans="1:6">
      <c r="A19" s="9" t="s">
        <v>2273</v>
      </c>
      <c r="B19" s="9" t="s">
        <v>105</v>
      </c>
      <c r="C19" s="118">
        <v>0.53990000000000005</v>
      </c>
      <c r="D19" s="118">
        <v>0.61150000000000004</v>
      </c>
      <c r="E19" s="118">
        <f t="shared" si="1"/>
        <v>0.61150000000000004</v>
      </c>
      <c r="F19" s="118">
        <f t="shared" si="2"/>
        <v>7.1599999999999997E-2</v>
      </c>
    </row>
    <row r="20" spans="1:6">
      <c r="A20" s="9" t="s">
        <v>2274</v>
      </c>
      <c r="B20" s="9" t="s">
        <v>2585</v>
      </c>
      <c r="C20" s="118">
        <v>0.42109999999999997</v>
      </c>
      <c r="D20" s="118">
        <v>0.4365</v>
      </c>
      <c r="E20" s="118">
        <f t="shared" si="1"/>
        <v>0.4365</v>
      </c>
      <c r="F20" s="118">
        <f t="shared" si="2"/>
        <v>1.5400000000000025E-2</v>
      </c>
    </row>
    <row r="21" spans="1:6">
      <c r="A21" s="9" t="s">
        <v>2275</v>
      </c>
      <c r="B21" s="9" t="s">
        <v>115</v>
      </c>
      <c r="C21" s="118">
        <v>0.38240000000000002</v>
      </c>
      <c r="D21" s="118">
        <v>0.40339999999999998</v>
      </c>
      <c r="E21" s="118">
        <f t="shared" si="1"/>
        <v>0.40339999999999998</v>
      </c>
      <c r="F21" s="118">
        <f t="shared" si="2"/>
        <v>2.0999999999999963E-2</v>
      </c>
    </row>
    <row r="22" spans="1:6">
      <c r="A22" s="9" t="s">
        <v>2276</v>
      </c>
      <c r="B22" s="9" t="s">
        <v>121</v>
      </c>
      <c r="C22" s="118">
        <v>0.58399999999999996</v>
      </c>
      <c r="D22" s="118">
        <v>0.58699999999999997</v>
      </c>
      <c r="E22" s="118">
        <f t="shared" si="1"/>
        <v>0.58699999999999997</v>
      </c>
      <c r="F22" s="118">
        <f t="shared" si="2"/>
        <v>3.0000000000000027E-3</v>
      </c>
    </row>
    <row r="23" spans="1:6">
      <c r="A23" s="9" t="s">
        <v>2277</v>
      </c>
      <c r="B23" s="9" t="s">
        <v>136</v>
      </c>
      <c r="C23" s="118">
        <v>0.52559999999999996</v>
      </c>
      <c r="D23" s="118">
        <v>0.52</v>
      </c>
      <c r="E23" s="118">
        <f t="shared" si="1"/>
        <v>0.52559999999999996</v>
      </c>
      <c r="F23" s="118">
        <f t="shared" si="2"/>
        <v>0</v>
      </c>
    </row>
    <row r="24" spans="1:6">
      <c r="A24" s="9" t="s">
        <v>2278</v>
      </c>
      <c r="B24" s="9" t="s">
        <v>145</v>
      </c>
      <c r="C24" s="118">
        <v>0.59550000000000003</v>
      </c>
      <c r="D24" s="118">
        <v>0.50149999999999995</v>
      </c>
      <c r="E24" s="118">
        <f t="shared" si="1"/>
        <v>0.59550000000000003</v>
      </c>
      <c r="F24" s="118">
        <f t="shared" si="2"/>
        <v>0</v>
      </c>
    </row>
    <row r="25" spans="1:6">
      <c r="A25" s="9" t="s">
        <v>2279</v>
      </c>
      <c r="B25" s="9" t="s">
        <v>148</v>
      </c>
      <c r="C25" s="118">
        <v>0.44390000000000002</v>
      </c>
      <c r="D25" s="118">
        <v>0.43640000000000001</v>
      </c>
      <c r="E25" s="118">
        <f t="shared" si="1"/>
        <v>0.44390000000000002</v>
      </c>
      <c r="F25" s="118">
        <f t="shared" si="2"/>
        <v>0</v>
      </c>
    </row>
    <row r="26" spans="1:6">
      <c r="A26" s="9" t="s">
        <v>2280</v>
      </c>
      <c r="B26" s="9" t="s">
        <v>153</v>
      </c>
      <c r="C26" s="118">
        <v>0.66469999999999996</v>
      </c>
      <c r="D26" s="118">
        <v>0.72089999999999999</v>
      </c>
      <c r="E26" s="118">
        <f t="shared" si="1"/>
        <v>0.72089999999999999</v>
      </c>
      <c r="F26" s="118">
        <f t="shared" si="2"/>
        <v>5.6200000000000028E-2</v>
      </c>
    </row>
    <row r="27" spans="1:6">
      <c r="A27" s="9" t="s">
        <v>2281</v>
      </c>
      <c r="B27" s="9" t="s">
        <v>157</v>
      </c>
      <c r="C27" s="118">
        <v>0.63009999999999999</v>
      </c>
      <c r="D27" s="118">
        <v>0.53159999999999996</v>
      </c>
      <c r="E27" s="118">
        <f t="shared" si="1"/>
        <v>0.63009999999999999</v>
      </c>
      <c r="F27" s="118">
        <f t="shared" si="2"/>
        <v>0</v>
      </c>
    </row>
    <row r="28" spans="1:6">
      <c r="A28" s="9" t="s">
        <v>2282</v>
      </c>
      <c r="B28" s="9" t="s">
        <v>162</v>
      </c>
      <c r="C28" s="118">
        <v>0.93910000000000005</v>
      </c>
      <c r="D28" s="118">
        <v>0.71</v>
      </c>
      <c r="E28" s="118">
        <f t="shared" si="1"/>
        <v>0.93910000000000005</v>
      </c>
      <c r="F28" s="118">
        <f t="shared" si="2"/>
        <v>0</v>
      </c>
    </row>
    <row r="29" spans="1:6">
      <c r="A29" s="9" t="s">
        <v>2283</v>
      </c>
      <c r="B29" s="9" t="s">
        <v>164</v>
      </c>
      <c r="C29" s="118">
        <v>0.48480000000000001</v>
      </c>
      <c r="D29" s="118">
        <v>0.47489999999999999</v>
      </c>
      <c r="E29" s="118">
        <f t="shared" si="1"/>
        <v>0.48480000000000001</v>
      </c>
      <c r="F29" s="118">
        <f t="shared" si="2"/>
        <v>0</v>
      </c>
    </row>
    <row r="30" spans="1:6">
      <c r="A30" s="9" t="s">
        <v>2284</v>
      </c>
      <c r="B30" s="9" t="s">
        <v>202</v>
      </c>
      <c r="C30" s="118">
        <v>0.18140000000000001</v>
      </c>
      <c r="D30" s="118">
        <v>0.18160000000000001</v>
      </c>
      <c r="E30" s="118">
        <f t="shared" si="1"/>
        <v>0.18160000000000001</v>
      </c>
      <c r="F30" s="118">
        <f t="shared" si="2"/>
        <v>2.0000000000000573E-4</v>
      </c>
    </row>
    <row r="31" spans="1:6">
      <c r="A31" s="9" t="s">
        <v>2285</v>
      </c>
      <c r="B31" s="9" t="s">
        <v>206</v>
      </c>
      <c r="C31" s="118">
        <v>0.25490000000000002</v>
      </c>
      <c r="D31" s="118">
        <v>0.2271</v>
      </c>
      <c r="E31" s="118">
        <f t="shared" si="1"/>
        <v>0.25490000000000002</v>
      </c>
      <c r="F31" s="118">
        <f t="shared" si="2"/>
        <v>0</v>
      </c>
    </row>
    <row r="32" spans="1:6">
      <c r="A32" s="9" t="s">
        <v>2286</v>
      </c>
      <c r="B32" s="9" t="s">
        <v>211</v>
      </c>
      <c r="C32" s="118">
        <v>0.31580000000000003</v>
      </c>
      <c r="D32" s="118">
        <v>0.50919999999999999</v>
      </c>
      <c r="E32" s="118">
        <f t="shared" si="1"/>
        <v>0.50919999999999999</v>
      </c>
      <c r="F32" s="118">
        <f t="shared" si="2"/>
        <v>0.19339999999999996</v>
      </c>
    </row>
    <row r="33" spans="1:6">
      <c r="A33" s="9" t="s">
        <v>2287</v>
      </c>
      <c r="B33" s="9" t="s">
        <v>213</v>
      </c>
      <c r="C33" s="118">
        <v>0.34189999999999998</v>
      </c>
      <c r="D33" s="118">
        <v>0.34239999999999998</v>
      </c>
      <c r="E33" s="118">
        <f t="shared" si="1"/>
        <v>0.34239999999999998</v>
      </c>
      <c r="F33" s="118">
        <f t="shared" si="2"/>
        <v>5.0000000000000044E-4</v>
      </c>
    </row>
    <row r="34" spans="1:6">
      <c r="A34" s="9" t="s">
        <v>2288</v>
      </c>
      <c r="B34" s="9" t="s">
        <v>220</v>
      </c>
      <c r="C34" s="118">
        <v>0.53939999999999999</v>
      </c>
      <c r="D34" s="118">
        <v>0.4945</v>
      </c>
      <c r="E34" s="118">
        <f t="shared" si="1"/>
        <v>0.53939999999999999</v>
      </c>
      <c r="F34" s="118">
        <f t="shared" si="2"/>
        <v>0</v>
      </c>
    </row>
    <row r="35" spans="1:6">
      <c r="A35" s="9" t="s">
        <v>2289</v>
      </c>
      <c r="B35" s="9" t="s">
        <v>255</v>
      </c>
      <c r="C35" s="118">
        <v>0.15210000000000001</v>
      </c>
      <c r="D35" s="118">
        <v>0.1384</v>
      </c>
      <c r="E35" s="118">
        <f t="shared" si="1"/>
        <v>0.15210000000000001</v>
      </c>
      <c r="F35" s="118">
        <f t="shared" si="2"/>
        <v>0</v>
      </c>
    </row>
    <row r="36" spans="1:6">
      <c r="A36" s="9" t="s">
        <v>2290</v>
      </c>
      <c r="B36" s="9" t="s">
        <v>265</v>
      </c>
      <c r="C36" s="118">
        <v>0.34350000000000003</v>
      </c>
      <c r="D36" s="118">
        <v>0.3196</v>
      </c>
      <c r="E36" s="118">
        <f t="shared" si="1"/>
        <v>0.34350000000000003</v>
      </c>
      <c r="F36" s="118">
        <f t="shared" si="2"/>
        <v>0</v>
      </c>
    </row>
    <row r="37" spans="1:6">
      <c r="A37" s="9" t="s">
        <v>2291</v>
      </c>
      <c r="B37" s="9" t="s">
        <v>284</v>
      </c>
      <c r="C37" s="118">
        <v>0.2389</v>
      </c>
      <c r="D37" s="118">
        <v>0.22620000000000001</v>
      </c>
      <c r="E37" s="118">
        <f t="shared" si="1"/>
        <v>0.2389</v>
      </c>
      <c r="F37" s="118">
        <f t="shared" si="2"/>
        <v>0</v>
      </c>
    </row>
    <row r="38" spans="1:6">
      <c r="A38" s="9" t="s">
        <v>2293</v>
      </c>
      <c r="B38" s="9" t="s">
        <v>290</v>
      </c>
      <c r="C38" s="118">
        <v>0.53320000000000001</v>
      </c>
      <c r="D38" s="118">
        <v>0.53320000000000001</v>
      </c>
      <c r="E38" s="118">
        <f t="shared" si="1"/>
        <v>0.53320000000000001</v>
      </c>
      <c r="F38" s="118">
        <f t="shared" si="2"/>
        <v>0</v>
      </c>
    </row>
    <row r="39" spans="1:6">
      <c r="A39" s="9" t="s">
        <v>2294</v>
      </c>
      <c r="B39" s="9" t="s">
        <v>294</v>
      </c>
      <c r="C39" s="118">
        <v>0.79169999999999996</v>
      </c>
      <c r="D39" s="118">
        <v>0</v>
      </c>
      <c r="E39" s="118">
        <f t="shared" si="1"/>
        <v>0.79169999999999996</v>
      </c>
      <c r="F39" s="118">
        <f t="shared" si="2"/>
        <v>0</v>
      </c>
    </row>
    <row r="40" spans="1:6">
      <c r="A40" s="9" t="s">
        <v>2295</v>
      </c>
      <c r="B40" s="9" t="s">
        <v>296</v>
      </c>
      <c r="C40" s="118">
        <v>0.63149999999999995</v>
      </c>
      <c r="D40" s="118">
        <v>0.61619999999999997</v>
      </c>
      <c r="E40" s="118">
        <f t="shared" si="1"/>
        <v>0.63149999999999995</v>
      </c>
      <c r="F40" s="118">
        <f t="shared" si="2"/>
        <v>0</v>
      </c>
    </row>
    <row r="41" spans="1:6">
      <c r="A41" s="9" t="s">
        <v>2296</v>
      </c>
      <c r="B41" s="9" t="s">
        <v>311</v>
      </c>
      <c r="C41" s="118">
        <v>0.37730000000000002</v>
      </c>
      <c r="D41" s="118">
        <v>0.41170000000000001</v>
      </c>
      <c r="E41" s="118">
        <f t="shared" si="1"/>
        <v>0.41170000000000001</v>
      </c>
      <c r="F41" s="118">
        <f t="shared" si="2"/>
        <v>3.4399999999999986E-2</v>
      </c>
    </row>
    <row r="42" spans="1:6">
      <c r="A42" s="9" t="s">
        <v>2297</v>
      </c>
      <c r="B42" s="9" t="s">
        <v>314</v>
      </c>
      <c r="C42" s="118">
        <v>0.51829999999999998</v>
      </c>
      <c r="D42" s="118">
        <v>0.52590000000000003</v>
      </c>
      <c r="E42" s="118">
        <f t="shared" si="1"/>
        <v>0.52590000000000003</v>
      </c>
      <c r="F42" s="118">
        <f t="shared" si="2"/>
        <v>7.6000000000000512E-3</v>
      </c>
    </row>
    <row r="43" spans="1:6">
      <c r="A43" s="9" t="s">
        <v>2298</v>
      </c>
      <c r="B43" s="9" t="s">
        <v>318</v>
      </c>
      <c r="C43" s="118">
        <v>0.30449999999999999</v>
      </c>
      <c r="D43" s="118">
        <v>0.32329999999999998</v>
      </c>
      <c r="E43" s="118">
        <f t="shared" si="1"/>
        <v>0.32329999999999998</v>
      </c>
      <c r="F43" s="118">
        <f t="shared" si="2"/>
        <v>1.8799999999999983E-2</v>
      </c>
    </row>
    <row r="44" spans="1:6">
      <c r="A44" s="9" t="s">
        <v>2299</v>
      </c>
      <c r="B44" s="9" t="s">
        <v>320</v>
      </c>
      <c r="C44" s="118">
        <v>0.40860000000000002</v>
      </c>
      <c r="D44" s="118">
        <v>0.47249999999999998</v>
      </c>
      <c r="E44" s="118">
        <f t="shared" si="1"/>
        <v>0.47249999999999998</v>
      </c>
      <c r="F44" s="118">
        <f t="shared" si="2"/>
        <v>6.3899999999999957E-2</v>
      </c>
    </row>
    <row r="45" spans="1:6">
      <c r="A45" s="9" t="s">
        <v>2300</v>
      </c>
      <c r="B45" s="9" t="s">
        <v>326</v>
      </c>
      <c r="C45" s="118">
        <v>0.61299999999999999</v>
      </c>
      <c r="D45" s="118">
        <v>0.58030000000000004</v>
      </c>
      <c r="E45" s="118">
        <f t="shared" si="1"/>
        <v>0.61299999999999999</v>
      </c>
      <c r="F45" s="118">
        <f t="shared" si="2"/>
        <v>0</v>
      </c>
    </row>
    <row r="46" spans="1:6">
      <c r="A46" s="9" t="s">
        <v>2301</v>
      </c>
      <c r="B46" s="9" t="s">
        <v>337</v>
      </c>
      <c r="C46" s="118">
        <v>0.89300000000000002</v>
      </c>
      <c r="D46" s="118">
        <v>0.81010000000000004</v>
      </c>
      <c r="E46" s="118">
        <f t="shared" si="1"/>
        <v>0.89300000000000002</v>
      </c>
      <c r="F46" s="118">
        <f t="shared" si="2"/>
        <v>0</v>
      </c>
    </row>
    <row r="47" spans="1:6">
      <c r="A47" s="9" t="s">
        <v>2302</v>
      </c>
      <c r="B47" s="9" t="s">
        <v>339</v>
      </c>
      <c r="C47" s="118">
        <v>0.95469999999999999</v>
      </c>
      <c r="D47" s="118">
        <v>0.94869999999999999</v>
      </c>
      <c r="E47" s="118">
        <f t="shared" si="1"/>
        <v>0.95469999999999999</v>
      </c>
      <c r="F47" s="118">
        <f t="shared" si="2"/>
        <v>0</v>
      </c>
    </row>
    <row r="48" spans="1:6">
      <c r="A48" s="9" t="s">
        <v>2303</v>
      </c>
      <c r="B48" s="9" t="s">
        <v>344</v>
      </c>
      <c r="C48" s="118">
        <v>0.91300000000000003</v>
      </c>
      <c r="D48" s="118">
        <v>0.8</v>
      </c>
      <c r="E48" s="118">
        <f t="shared" si="1"/>
        <v>0.91300000000000003</v>
      </c>
      <c r="F48" s="118">
        <f t="shared" si="2"/>
        <v>0</v>
      </c>
    </row>
    <row r="49" spans="1:6">
      <c r="A49" s="9" t="s">
        <v>2304</v>
      </c>
      <c r="B49" s="9" t="s">
        <v>346</v>
      </c>
      <c r="C49" s="118">
        <v>0.57989999999999997</v>
      </c>
      <c r="D49" s="118">
        <v>0.58520000000000005</v>
      </c>
      <c r="E49" s="118">
        <f t="shared" si="1"/>
        <v>0.58520000000000005</v>
      </c>
      <c r="F49" s="118">
        <f t="shared" si="2"/>
        <v>5.3000000000000824E-3</v>
      </c>
    </row>
    <row r="50" spans="1:6">
      <c r="A50" s="9" t="s">
        <v>2305</v>
      </c>
      <c r="B50" s="9" t="s">
        <v>353</v>
      </c>
      <c r="C50" s="118">
        <v>0.65590000000000004</v>
      </c>
      <c r="D50" s="118">
        <v>0.73629999999999995</v>
      </c>
      <c r="E50" s="118">
        <f t="shared" si="1"/>
        <v>0.73629999999999995</v>
      </c>
      <c r="F50" s="118">
        <f t="shared" si="2"/>
        <v>8.0399999999999916E-2</v>
      </c>
    </row>
    <row r="51" spans="1:6">
      <c r="A51" s="9" t="s">
        <v>2306</v>
      </c>
      <c r="B51" s="9" t="s">
        <v>355</v>
      </c>
      <c r="C51" s="118">
        <v>0.4824</v>
      </c>
      <c r="D51" s="118">
        <v>0.55989999999999995</v>
      </c>
      <c r="E51" s="118">
        <f t="shared" si="1"/>
        <v>0.55989999999999995</v>
      </c>
      <c r="F51" s="118">
        <f t="shared" si="2"/>
        <v>7.7499999999999958E-2</v>
      </c>
    </row>
    <row r="52" spans="1:6">
      <c r="A52" s="9" t="s">
        <v>2307</v>
      </c>
      <c r="B52" s="9" t="s">
        <v>358</v>
      </c>
      <c r="C52" s="118">
        <v>0.93940000000000001</v>
      </c>
      <c r="D52" s="118">
        <v>0.5</v>
      </c>
      <c r="E52" s="118">
        <f t="shared" si="1"/>
        <v>0.93940000000000001</v>
      </c>
      <c r="F52" s="118">
        <f t="shared" si="2"/>
        <v>0</v>
      </c>
    </row>
    <row r="53" spans="1:6">
      <c r="A53" s="9" t="s">
        <v>2308</v>
      </c>
      <c r="B53" s="9" t="s">
        <v>360</v>
      </c>
      <c r="C53" s="118">
        <v>0.53210000000000002</v>
      </c>
      <c r="D53" s="118">
        <v>0.53210000000000002</v>
      </c>
      <c r="E53" s="118">
        <f t="shared" si="1"/>
        <v>0.53210000000000002</v>
      </c>
      <c r="F53" s="118">
        <f t="shared" si="2"/>
        <v>0</v>
      </c>
    </row>
    <row r="54" spans="1:6">
      <c r="A54" s="9" t="s">
        <v>2309</v>
      </c>
      <c r="B54" s="9" t="s">
        <v>362</v>
      </c>
      <c r="C54" s="118">
        <v>0.71879999999999999</v>
      </c>
      <c r="D54" s="118">
        <v>0.61699999999999999</v>
      </c>
      <c r="E54" s="118">
        <f t="shared" si="1"/>
        <v>0.71879999999999999</v>
      </c>
      <c r="F54" s="118">
        <f t="shared" si="2"/>
        <v>0</v>
      </c>
    </row>
    <row r="55" spans="1:6">
      <c r="A55" s="9" t="s">
        <v>2310</v>
      </c>
      <c r="B55" s="9" t="s">
        <v>363</v>
      </c>
      <c r="C55" s="118">
        <v>0.82379999999999998</v>
      </c>
      <c r="D55" s="118">
        <v>0.7661</v>
      </c>
      <c r="E55" s="118">
        <f t="shared" si="1"/>
        <v>0.82379999999999998</v>
      </c>
      <c r="F55" s="118">
        <f t="shared" si="2"/>
        <v>0</v>
      </c>
    </row>
    <row r="56" spans="1:6">
      <c r="A56" s="9" t="s">
        <v>2311</v>
      </c>
      <c r="B56" s="9" t="s">
        <v>367</v>
      </c>
      <c r="C56" s="118">
        <v>0.7147</v>
      </c>
      <c r="D56" s="118">
        <v>0.54190000000000005</v>
      </c>
      <c r="E56" s="118">
        <f t="shared" si="1"/>
        <v>0.7147</v>
      </c>
      <c r="F56" s="118">
        <f t="shared" si="2"/>
        <v>0</v>
      </c>
    </row>
    <row r="57" spans="1:6">
      <c r="A57" s="9" t="s">
        <v>2312</v>
      </c>
      <c r="B57" s="9" t="s">
        <v>372</v>
      </c>
      <c r="C57" s="118">
        <v>0.73440000000000005</v>
      </c>
      <c r="D57" s="118">
        <v>0.71130000000000004</v>
      </c>
      <c r="E57" s="118">
        <f t="shared" si="1"/>
        <v>0.73440000000000005</v>
      </c>
      <c r="F57" s="118">
        <f t="shared" si="2"/>
        <v>0</v>
      </c>
    </row>
    <row r="58" spans="1:6">
      <c r="A58" s="9" t="s">
        <v>2313</v>
      </c>
      <c r="B58" s="9" t="s">
        <v>393</v>
      </c>
      <c r="C58" s="118">
        <v>0.75470000000000004</v>
      </c>
      <c r="D58" s="118">
        <v>0.7409</v>
      </c>
      <c r="E58" s="118">
        <f t="shared" si="1"/>
        <v>0.75470000000000004</v>
      </c>
      <c r="F58" s="118">
        <f t="shared" si="2"/>
        <v>0</v>
      </c>
    </row>
    <row r="59" spans="1:6">
      <c r="A59" s="9" t="s">
        <v>2314</v>
      </c>
      <c r="B59" s="9" t="s">
        <v>401</v>
      </c>
      <c r="C59" s="118">
        <v>0</v>
      </c>
      <c r="D59" s="118">
        <v>0</v>
      </c>
      <c r="E59" s="118">
        <f t="shared" si="1"/>
        <v>0</v>
      </c>
      <c r="F59" s="118">
        <f t="shared" si="2"/>
        <v>0</v>
      </c>
    </row>
    <row r="60" spans="1:6">
      <c r="A60" s="9" t="s">
        <v>2315</v>
      </c>
      <c r="B60" s="9" t="s">
        <v>403</v>
      </c>
      <c r="C60" s="118">
        <v>0.68179999999999996</v>
      </c>
      <c r="D60" s="118">
        <v>0.68179999999999996</v>
      </c>
      <c r="E60" s="118">
        <f t="shared" si="1"/>
        <v>0.68179999999999996</v>
      </c>
      <c r="F60" s="118">
        <f t="shared" si="2"/>
        <v>0</v>
      </c>
    </row>
    <row r="61" spans="1:6">
      <c r="A61" s="9" t="s">
        <v>2316</v>
      </c>
      <c r="B61" s="9" t="s">
        <v>405</v>
      </c>
      <c r="C61" s="118">
        <v>0.50829999999999997</v>
      </c>
      <c r="D61" s="118">
        <v>0.51839999999999997</v>
      </c>
      <c r="E61" s="118">
        <f t="shared" si="1"/>
        <v>0.51839999999999997</v>
      </c>
      <c r="F61" s="118">
        <f t="shared" si="2"/>
        <v>1.0099999999999998E-2</v>
      </c>
    </row>
    <row r="62" spans="1:6">
      <c r="A62" s="9" t="s">
        <v>2317</v>
      </c>
      <c r="B62" s="9" t="s">
        <v>408</v>
      </c>
      <c r="C62" s="118">
        <v>0.96860000000000002</v>
      </c>
      <c r="D62" s="118">
        <v>0.92300000000000004</v>
      </c>
      <c r="E62" s="118">
        <f t="shared" si="1"/>
        <v>0.96860000000000002</v>
      </c>
      <c r="F62" s="118">
        <f t="shared" si="2"/>
        <v>0</v>
      </c>
    </row>
    <row r="63" spans="1:6">
      <c r="A63" s="9" t="s">
        <v>2318</v>
      </c>
      <c r="B63" s="9" t="s">
        <v>415</v>
      </c>
      <c r="C63" s="118">
        <v>0.80900000000000005</v>
      </c>
      <c r="D63" s="118">
        <v>0.82869999999999999</v>
      </c>
      <c r="E63" s="118">
        <f t="shared" si="1"/>
        <v>0.82869999999999999</v>
      </c>
      <c r="F63" s="118">
        <f t="shared" si="2"/>
        <v>1.969999999999994E-2</v>
      </c>
    </row>
    <row r="64" spans="1:6">
      <c r="A64" s="9" t="s">
        <v>2319</v>
      </c>
      <c r="B64" s="9" t="s">
        <v>421</v>
      </c>
      <c r="C64" s="118">
        <v>0.82379999999999998</v>
      </c>
      <c r="D64" s="118">
        <v>0.85399999999999998</v>
      </c>
      <c r="E64" s="118">
        <f t="shared" si="1"/>
        <v>0.85399999999999998</v>
      </c>
      <c r="F64" s="118">
        <f t="shared" si="2"/>
        <v>3.0200000000000005E-2</v>
      </c>
    </row>
    <row r="65" spans="1:6">
      <c r="A65" s="9" t="s">
        <v>2320</v>
      </c>
      <c r="B65" s="9" t="s">
        <v>425</v>
      </c>
      <c r="C65" s="118">
        <v>0.4098</v>
      </c>
      <c r="D65" s="118">
        <v>0.38369999999999999</v>
      </c>
      <c r="E65" s="118">
        <f t="shared" si="1"/>
        <v>0.4098</v>
      </c>
      <c r="F65" s="118">
        <f t="shared" si="2"/>
        <v>0</v>
      </c>
    </row>
    <row r="66" spans="1:6">
      <c r="A66" s="9" t="s">
        <v>2321</v>
      </c>
      <c r="B66" s="9" t="s">
        <v>428</v>
      </c>
      <c r="C66" s="118">
        <v>0.79569999999999996</v>
      </c>
      <c r="D66" s="118">
        <v>0.74009999999999998</v>
      </c>
      <c r="E66" s="118">
        <f t="shared" si="1"/>
        <v>0.79569999999999996</v>
      </c>
      <c r="F66" s="118">
        <f t="shared" si="2"/>
        <v>0</v>
      </c>
    </row>
    <row r="67" spans="1:6">
      <c r="A67" s="9" t="s">
        <v>2322</v>
      </c>
      <c r="B67" s="9" t="s">
        <v>431</v>
      </c>
      <c r="C67" s="118">
        <v>0.76980000000000004</v>
      </c>
      <c r="D67" s="118">
        <v>0.78449999999999998</v>
      </c>
      <c r="E67" s="118">
        <f t="shared" si="1"/>
        <v>0.78449999999999998</v>
      </c>
      <c r="F67" s="118">
        <f t="shared" si="2"/>
        <v>1.4699999999999935E-2</v>
      </c>
    </row>
    <row r="68" spans="1:6">
      <c r="A68" s="9" t="s">
        <v>2323</v>
      </c>
      <c r="B68" s="9" t="s">
        <v>436</v>
      </c>
      <c r="C68" s="118">
        <v>0.63390000000000002</v>
      </c>
      <c r="D68" s="118">
        <v>0.63880000000000003</v>
      </c>
      <c r="E68" s="118">
        <f t="shared" ref="E68:E131" si="3">MAX(D68,C68)</f>
        <v>0.63880000000000003</v>
      </c>
      <c r="F68" s="118">
        <f t="shared" ref="F68:F131" si="4">E68-C68</f>
        <v>4.9000000000000155E-3</v>
      </c>
    </row>
    <row r="69" spans="1:6">
      <c r="A69" s="9" t="s">
        <v>2324</v>
      </c>
      <c r="B69" s="9" t="s">
        <v>452</v>
      </c>
      <c r="C69" s="118">
        <v>0.56030000000000002</v>
      </c>
      <c r="D69" s="118">
        <v>0.55989999999999995</v>
      </c>
      <c r="E69" s="118">
        <f t="shared" si="3"/>
        <v>0.56030000000000002</v>
      </c>
      <c r="F69" s="118">
        <f t="shared" si="4"/>
        <v>0</v>
      </c>
    </row>
    <row r="70" spans="1:6">
      <c r="A70" s="9" t="s">
        <v>2325</v>
      </c>
      <c r="B70" s="9" t="s">
        <v>459</v>
      </c>
      <c r="C70" s="118">
        <v>0.53390000000000004</v>
      </c>
      <c r="D70" s="118">
        <v>0.66439999999999999</v>
      </c>
      <c r="E70" s="118">
        <f t="shared" si="3"/>
        <v>0.66439999999999999</v>
      </c>
      <c r="F70" s="118">
        <f t="shared" si="4"/>
        <v>0.13049999999999995</v>
      </c>
    </row>
    <row r="71" spans="1:6">
      <c r="A71" s="9" t="s">
        <v>2326</v>
      </c>
      <c r="B71" s="9" t="s">
        <v>462</v>
      </c>
      <c r="C71" s="118">
        <v>0.73499999999999999</v>
      </c>
      <c r="D71" s="118">
        <v>0.71060000000000001</v>
      </c>
      <c r="E71" s="118">
        <f t="shared" si="3"/>
        <v>0.73499999999999999</v>
      </c>
      <c r="F71" s="118">
        <f t="shared" si="4"/>
        <v>0</v>
      </c>
    </row>
    <row r="72" spans="1:6">
      <c r="A72" s="9" t="s">
        <v>2327</v>
      </c>
      <c r="B72" s="9" t="s">
        <v>465</v>
      </c>
      <c r="C72" s="118">
        <v>0.72529999999999994</v>
      </c>
      <c r="D72" s="118">
        <v>0.67930000000000001</v>
      </c>
      <c r="E72" s="118">
        <f t="shared" si="3"/>
        <v>0.72529999999999994</v>
      </c>
      <c r="F72" s="118">
        <f t="shared" si="4"/>
        <v>0</v>
      </c>
    </row>
    <row r="73" spans="1:6">
      <c r="A73" s="9" t="s">
        <v>2328</v>
      </c>
      <c r="B73" s="9" t="s">
        <v>474</v>
      </c>
      <c r="C73" s="118">
        <v>0.76549999999999996</v>
      </c>
      <c r="D73" s="118">
        <v>0.62619999999999998</v>
      </c>
      <c r="E73" s="118">
        <f t="shared" si="3"/>
        <v>0.76549999999999996</v>
      </c>
      <c r="F73" s="118">
        <f t="shared" si="4"/>
        <v>0</v>
      </c>
    </row>
    <row r="74" spans="1:6">
      <c r="A74" s="9" t="s">
        <v>2329</v>
      </c>
      <c r="B74" s="9" t="s">
        <v>480</v>
      </c>
      <c r="C74" s="118">
        <v>0.75539999999999996</v>
      </c>
      <c r="D74" s="118">
        <v>0.71189999999999998</v>
      </c>
      <c r="E74" s="118">
        <f t="shared" si="3"/>
        <v>0.75539999999999996</v>
      </c>
      <c r="F74" s="118">
        <f t="shared" si="4"/>
        <v>0</v>
      </c>
    </row>
    <row r="75" spans="1:6">
      <c r="A75" s="9" t="s">
        <v>2330</v>
      </c>
      <c r="B75" s="9" t="s">
        <v>485</v>
      </c>
      <c r="C75" s="118">
        <v>0.52580000000000005</v>
      </c>
      <c r="D75" s="118">
        <v>0.60860000000000003</v>
      </c>
      <c r="E75" s="118">
        <f t="shared" si="3"/>
        <v>0.60860000000000003</v>
      </c>
      <c r="F75" s="118">
        <f t="shared" si="4"/>
        <v>8.2799999999999985E-2</v>
      </c>
    </row>
    <row r="76" spans="1:6">
      <c r="A76" s="9" t="s">
        <v>2331</v>
      </c>
      <c r="B76" s="9" t="s">
        <v>487</v>
      </c>
      <c r="C76" s="118">
        <v>0.34499999999999997</v>
      </c>
      <c r="D76" s="118">
        <v>0.3649</v>
      </c>
      <c r="E76" s="118">
        <f t="shared" si="3"/>
        <v>0.3649</v>
      </c>
      <c r="F76" s="118">
        <f t="shared" si="4"/>
        <v>1.9900000000000029E-2</v>
      </c>
    </row>
    <row r="77" spans="1:6">
      <c r="A77" s="9" t="s">
        <v>2332</v>
      </c>
      <c r="B77" s="9" t="s">
        <v>491</v>
      </c>
      <c r="C77" s="118">
        <v>0.77259999999999995</v>
      </c>
      <c r="D77" s="118">
        <v>0.74550000000000005</v>
      </c>
      <c r="E77" s="118">
        <f t="shared" si="3"/>
        <v>0.77259999999999995</v>
      </c>
      <c r="F77" s="118">
        <f t="shared" si="4"/>
        <v>0</v>
      </c>
    </row>
    <row r="78" spans="1:6">
      <c r="A78" s="9" t="s">
        <v>2333</v>
      </c>
      <c r="B78" s="9" t="s">
        <v>497</v>
      </c>
      <c r="C78" s="118">
        <v>0.77329999999999999</v>
      </c>
      <c r="D78" s="118">
        <v>0.77329999999999999</v>
      </c>
      <c r="E78" s="118">
        <f t="shared" si="3"/>
        <v>0.77329999999999999</v>
      </c>
      <c r="F78" s="118">
        <f t="shared" si="4"/>
        <v>0</v>
      </c>
    </row>
    <row r="79" spans="1:6">
      <c r="A79" s="9" t="s">
        <v>2334</v>
      </c>
      <c r="B79" s="9" t="s">
        <v>500</v>
      </c>
      <c r="C79" s="118">
        <v>1</v>
      </c>
      <c r="D79" s="118">
        <v>0.99439999999999995</v>
      </c>
      <c r="E79" s="118">
        <f t="shared" si="3"/>
        <v>1</v>
      </c>
      <c r="F79" s="118">
        <f t="shared" si="4"/>
        <v>0</v>
      </c>
    </row>
    <row r="80" spans="1:6">
      <c r="A80" s="9" t="s">
        <v>2335</v>
      </c>
      <c r="B80" s="9" t="s">
        <v>501</v>
      </c>
      <c r="C80" s="118">
        <v>0.41920000000000002</v>
      </c>
      <c r="D80" s="118">
        <v>0.50329999999999997</v>
      </c>
      <c r="E80" s="118">
        <f t="shared" si="3"/>
        <v>0.50329999999999997</v>
      </c>
      <c r="F80" s="118">
        <f t="shared" si="4"/>
        <v>8.4099999999999953E-2</v>
      </c>
    </row>
    <row r="81" spans="1:6">
      <c r="A81" s="9" t="s">
        <v>2336</v>
      </c>
      <c r="B81" s="9" t="s">
        <v>503</v>
      </c>
      <c r="C81" s="118">
        <v>0.62960000000000005</v>
      </c>
      <c r="D81" s="118">
        <v>0.52729999999999999</v>
      </c>
      <c r="E81" s="118">
        <f t="shared" si="3"/>
        <v>0.62960000000000005</v>
      </c>
      <c r="F81" s="118">
        <f t="shared" si="4"/>
        <v>0</v>
      </c>
    </row>
    <row r="82" spans="1:6">
      <c r="A82" s="9" t="s">
        <v>2337</v>
      </c>
      <c r="B82" s="9" t="s">
        <v>505</v>
      </c>
      <c r="C82" s="118">
        <v>0.6774</v>
      </c>
      <c r="D82" s="118">
        <v>0.55100000000000005</v>
      </c>
      <c r="E82" s="118">
        <f t="shared" si="3"/>
        <v>0.6774</v>
      </c>
      <c r="F82" s="118">
        <f t="shared" si="4"/>
        <v>0</v>
      </c>
    </row>
    <row r="83" spans="1:6">
      <c r="A83" s="9" t="s">
        <v>2338</v>
      </c>
      <c r="B83" s="9" t="s">
        <v>507</v>
      </c>
      <c r="C83" s="118">
        <v>0.73680000000000001</v>
      </c>
      <c r="D83" s="118">
        <v>0.76590000000000003</v>
      </c>
      <c r="E83" s="118">
        <f t="shared" si="3"/>
        <v>0.76590000000000003</v>
      </c>
      <c r="F83" s="118">
        <f t="shared" si="4"/>
        <v>2.9100000000000015E-2</v>
      </c>
    </row>
    <row r="84" spans="1:6">
      <c r="A84" s="9" t="s">
        <v>2339</v>
      </c>
      <c r="B84" s="9" t="s">
        <v>510</v>
      </c>
      <c r="C84" s="118">
        <v>0.749</v>
      </c>
      <c r="D84" s="118">
        <v>0.63639999999999997</v>
      </c>
      <c r="E84" s="118">
        <f t="shared" si="3"/>
        <v>0.749</v>
      </c>
      <c r="F84" s="118">
        <f t="shared" si="4"/>
        <v>0</v>
      </c>
    </row>
    <row r="85" spans="1:6">
      <c r="A85" s="9" t="s">
        <v>2340</v>
      </c>
      <c r="B85" s="9" t="s">
        <v>513</v>
      </c>
      <c r="C85" s="118">
        <v>0.38140000000000002</v>
      </c>
      <c r="D85" s="118">
        <v>0.3856</v>
      </c>
      <c r="E85" s="118">
        <f t="shared" si="3"/>
        <v>0.3856</v>
      </c>
      <c r="F85" s="118">
        <f t="shared" si="4"/>
        <v>4.1999999999999815E-3</v>
      </c>
    </row>
    <row r="86" spans="1:6">
      <c r="A86" s="9" t="s">
        <v>2341</v>
      </c>
      <c r="B86" s="9" t="s">
        <v>522</v>
      </c>
      <c r="C86" s="118">
        <v>0.33189999999999997</v>
      </c>
      <c r="D86" s="118">
        <v>0.3422</v>
      </c>
      <c r="E86" s="118">
        <f t="shared" si="3"/>
        <v>0.3422</v>
      </c>
      <c r="F86" s="118">
        <f t="shared" si="4"/>
        <v>1.0300000000000031E-2</v>
      </c>
    </row>
    <row r="87" spans="1:6">
      <c r="A87" s="9" t="s">
        <v>2342</v>
      </c>
      <c r="B87" s="9" t="s">
        <v>527</v>
      </c>
      <c r="C87" s="118">
        <v>0.28489999999999999</v>
      </c>
      <c r="D87" s="118">
        <v>0.29339999999999999</v>
      </c>
      <c r="E87" s="118">
        <f t="shared" si="3"/>
        <v>0.29339999999999999</v>
      </c>
      <c r="F87" s="118">
        <f t="shared" si="4"/>
        <v>8.5000000000000075E-3</v>
      </c>
    </row>
    <row r="88" spans="1:6">
      <c r="A88" s="9" t="s">
        <v>2343</v>
      </c>
      <c r="B88" s="9" t="s">
        <v>532</v>
      </c>
      <c r="C88" s="118">
        <v>1</v>
      </c>
      <c r="D88" s="118">
        <v>1</v>
      </c>
      <c r="E88" s="118">
        <f t="shared" si="3"/>
        <v>1</v>
      </c>
      <c r="F88" s="118">
        <f t="shared" si="4"/>
        <v>0</v>
      </c>
    </row>
    <row r="89" spans="1:6">
      <c r="A89" s="9" t="s">
        <v>2344</v>
      </c>
      <c r="B89" s="9" t="s">
        <v>534</v>
      </c>
      <c r="C89" s="118">
        <v>0.76119999999999999</v>
      </c>
      <c r="D89" s="118">
        <v>0.78210000000000002</v>
      </c>
      <c r="E89" s="118">
        <f t="shared" si="3"/>
        <v>0.78210000000000002</v>
      </c>
      <c r="F89" s="118">
        <f t="shared" si="4"/>
        <v>2.090000000000003E-2</v>
      </c>
    </row>
    <row r="90" spans="1:6">
      <c r="A90" s="9" t="s">
        <v>2345</v>
      </c>
      <c r="B90" s="9" t="s">
        <v>536</v>
      </c>
      <c r="C90" s="118">
        <v>0.31059999999999999</v>
      </c>
      <c r="D90" s="118">
        <v>0.1898</v>
      </c>
      <c r="E90" s="118">
        <f t="shared" si="3"/>
        <v>0.31059999999999999</v>
      </c>
      <c r="F90" s="118">
        <f t="shared" si="4"/>
        <v>0</v>
      </c>
    </row>
    <row r="91" spans="1:6">
      <c r="A91" s="9" t="s">
        <v>2346</v>
      </c>
      <c r="B91" s="9" t="s">
        <v>539</v>
      </c>
      <c r="C91" s="118">
        <v>0.51580000000000004</v>
      </c>
      <c r="D91" s="118">
        <v>0.49070000000000003</v>
      </c>
      <c r="E91" s="118">
        <f t="shared" si="3"/>
        <v>0.51580000000000004</v>
      </c>
      <c r="F91" s="118">
        <f t="shared" si="4"/>
        <v>0</v>
      </c>
    </row>
    <row r="92" spans="1:6">
      <c r="A92" s="9" t="s">
        <v>2347</v>
      </c>
      <c r="B92" s="9" t="s">
        <v>543</v>
      </c>
      <c r="C92" s="118">
        <v>0.43959999999999999</v>
      </c>
      <c r="D92" s="118">
        <v>0.51739999999999997</v>
      </c>
      <c r="E92" s="118">
        <f t="shared" si="3"/>
        <v>0.51739999999999997</v>
      </c>
      <c r="F92" s="118">
        <f t="shared" si="4"/>
        <v>7.779999999999998E-2</v>
      </c>
    </row>
    <row r="93" spans="1:6">
      <c r="A93" s="9" t="s">
        <v>2348</v>
      </c>
      <c r="B93" s="9" t="s">
        <v>547</v>
      </c>
      <c r="C93" s="118">
        <v>0.40450000000000003</v>
      </c>
      <c r="D93" s="118">
        <v>0.31380000000000002</v>
      </c>
      <c r="E93" s="118">
        <f t="shared" si="3"/>
        <v>0.40450000000000003</v>
      </c>
      <c r="F93" s="118">
        <f t="shared" si="4"/>
        <v>0</v>
      </c>
    </row>
    <row r="94" spans="1:6">
      <c r="A94" s="9" t="s">
        <v>2349</v>
      </c>
      <c r="B94" s="9" t="s">
        <v>645</v>
      </c>
      <c r="C94" s="118">
        <v>0.65649999999999997</v>
      </c>
      <c r="D94" s="118">
        <v>0.62490000000000001</v>
      </c>
      <c r="E94" s="118">
        <f t="shared" si="3"/>
        <v>0.65649999999999997</v>
      </c>
      <c r="F94" s="118">
        <f t="shared" si="4"/>
        <v>0</v>
      </c>
    </row>
    <row r="95" spans="1:6">
      <c r="A95" s="9" t="s">
        <v>2350</v>
      </c>
      <c r="B95" s="9" t="s">
        <v>685</v>
      </c>
      <c r="C95" s="118">
        <v>0.29330000000000001</v>
      </c>
      <c r="D95" s="118">
        <v>0.29820000000000002</v>
      </c>
      <c r="E95" s="118">
        <f t="shared" si="3"/>
        <v>0.29820000000000002</v>
      </c>
      <c r="F95" s="118">
        <f t="shared" si="4"/>
        <v>4.9000000000000155E-3</v>
      </c>
    </row>
    <row r="96" spans="1:6">
      <c r="A96" s="9" t="s">
        <v>2351</v>
      </c>
      <c r="B96" s="9" t="s">
        <v>695</v>
      </c>
      <c r="C96" s="118">
        <v>3.1699999999999999E-2</v>
      </c>
      <c r="D96" s="118">
        <v>3.4500000000000003E-2</v>
      </c>
      <c r="E96" s="118">
        <f t="shared" si="3"/>
        <v>3.4500000000000003E-2</v>
      </c>
      <c r="F96" s="118">
        <f t="shared" si="4"/>
        <v>2.8000000000000039E-3</v>
      </c>
    </row>
    <row r="97" spans="1:6">
      <c r="A97" s="9" t="s">
        <v>2352</v>
      </c>
      <c r="B97" s="9" t="s">
        <v>702</v>
      </c>
      <c r="C97" s="118">
        <v>0.70820000000000005</v>
      </c>
      <c r="D97" s="118">
        <v>0.66579999999999995</v>
      </c>
      <c r="E97" s="118">
        <f t="shared" si="3"/>
        <v>0.70820000000000005</v>
      </c>
      <c r="F97" s="118">
        <f t="shared" si="4"/>
        <v>0</v>
      </c>
    </row>
    <row r="98" spans="1:6">
      <c r="A98" s="9" t="s">
        <v>2353</v>
      </c>
      <c r="B98" s="9" t="s">
        <v>730</v>
      </c>
      <c r="C98" s="118">
        <v>0.2329</v>
      </c>
      <c r="D98" s="118">
        <v>0.21740000000000001</v>
      </c>
      <c r="E98" s="118">
        <f t="shared" si="3"/>
        <v>0.2329</v>
      </c>
      <c r="F98" s="118">
        <f t="shared" si="4"/>
        <v>0</v>
      </c>
    </row>
    <row r="99" spans="1:6">
      <c r="A99" s="9" t="s">
        <v>2354</v>
      </c>
      <c r="B99" s="9" t="s">
        <v>736</v>
      </c>
      <c r="C99" s="118">
        <v>0.53410000000000002</v>
      </c>
      <c r="D99" s="118">
        <v>0.49120000000000003</v>
      </c>
      <c r="E99" s="118">
        <f t="shared" si="3"/>
        <v>0.53410000000000002</v>
      </c>
      <c r="F99" s="118">
        <f t="shared" si="4"/>
        <v>0</v>
      </c>
    </row>
    <row r="100" spans="1:6">
      <c r="A100" s="9" t="s">
        <v>2355</v>
      </c>
      <c r="B100" s="9" t="s">
        <v>760</v>
      </c>
      <c r="C100" s="118">
        <v>0.76190000000000002</v>
      </c>
      <c r="D100" s="118">
        <v>0.87760000000000005</v>
      </c>
      <c r="E100" s="118">
        <f t="shared" si="3"/>
        <v>0.87760000000000005</v>
      </c>
      <c r="F100" s="118">
        <f t="shared" si="4"/>
        <v>0.11570000000000003</v>
      </c>
    </row>
    <row r="101" spans="1:6">
      <c r="A101" s="9" t="s">
        <v>2356</v>
      </c>
      <c r="B101" s="9" t="s">
        <v>763</v>
      </c>
      <c r="C101" s="118">
        <v>0.1701</v>
      </c>
      <c r="D101" s="118">
        <v>0.1741</v>
      </c>
      <c r="E101" s="118">
        <f t="shared" si="3"/>
        <v>0.1741</v>
      </c>
      <c r="F101" s="118">
        <f t="shared" si="4"/>
        <v>4.0000000000000036E-3</v>
      </c>
    </row>
    <row r="102" spans="1:6">
      <c r="A102" s="9" t="s">
        <v>2357</v>
      </c>
      <c r="B102" s="9" t="s">
        <v>792</v>
      </c>
      <c r="C102" s="118">
        <v>0.749</v>
      </c>
      <c r="D102" s="118">
        <v>0.70950000000000002</v>
      </c>
      <c r="E102" s="118">
        <f t="shared" si="3"/>
        <v>0.749</v>
      </c>
      <c r="F102" s="118">
        <f t="shared" si="4"/>
        <v>0</v>
      </c>
    </row>
    <row r="103" spans="1:6">
      <c r="A103" s="9" t="s">
        <v>2358</v>
      </c>
      <c r="B103" s="9" t="s">
        <v>798</v>
      </c>
      <c r="C103" s="118">
        <v>0.1249</v>
      </c>
      <c r="D103" s="118">
        <v>0.1303</v>
      </c>
      <c r="E103" s="118">
        <f t="shared" si="3"/>
        <v>0.1303</v>
      </c>
      <c r="F103" s="118">
        <f t="shared" si="4"/>
        <v>5.400000000000002E-3</v>
      </c>
    </row>
    <row r="104" spans="1:6">
      <c r="A104" s="9" t="s">
        <v>2359</v>
      </c>
      <c r="B104" s="9" t="s">
        <v>808</v>
      </c>
      <c r="C104" s="118">
        <v>0.56840000000000002</v>
      </c>
      <c r="D104" s="118">
        <v>0.54979999999999996</v>
      </c>
      <c r="E104" s="118">
        <f t="shared" si="3"/>
        <v>0.56840000000000002</v>
      </c>
      <c r="F104" s="118">
        <f t="shared" si="4"/>
        <v>0</v>
      </c>
    </row>
    <row r="105" spans="1:6">
      <c r="A105" s="9" t="s">
        <v>2360</v>
      </c>
      <c r="B105" s="9" t="s">
        <v>826</v>
      </c>
      <c r="C105" s="118">
        <v>0.13159999999999999</v>
      </c>
      <c r="D105" s="118">
        <v>0.12939999999999999</v>
      </c>
      <c r="E105" s="118">
        <f t="shared" si="3"/>
        <v>0.13159999999999999</v>
      </c>
      <c r="F105" s="118">
        <f t="shared" si="4"/>
        <v>0</v>
      </c>
    </row>
    <row r="106" spans="1:6">
      <c r="A106" s="9" t="s">
        <v>2361</v>
      </c>
      <c r="B106" s="9" t="s">
        <v>832</v>
      </c>
      <c r="C106" s="118">
        <v>0.10589999999999999</v>
      </c>
      <c r="D106" s="118">
        <v>9.5100000000000004E-2</v>
      </c>
      <c r="E106" s="118">
        <f t="shared" si="3"/>
        <v>0.10589999999999999</v>
      </c>
      <c r="F106" s="118">
        <f t="shared" si="4"/>
        <v>0</v>
      </c>
    </row>
    <row r="107" spans="1:6">
      <c r="A107" s="9" t="s">
        <v>2362</v>
      </c>
      <c r="B107" s="9" t="s">
        <v>846</v>
      </c>
      <c r="C107" s="118">
        <v>0.10150000000000001</v>
      </c>
      <c r="D107" s="118">
        <v>8.3400000000000002E-2</v>
      </c>
      <c r="E107" s="118">
        <f t="shared" si="3"/>
        <v>0.10150000000000001</v>
      </c>
      <c r="F107" s="118">
        <f t="shared" si="4"/>
        <v>0</v>
      </c>
    </row>
    <row r="108" spans="1:6">
      <c r="A108" s="9" t="s">
        <v>2363</v>
      </c>
      <c r="B108" s="9" t="s">
        <v>871</v>
      </c>
      <c r="C108" s="118">
        <v>0.25690000000000002</v>
      </c>
      <c r="D108" s="118">
        <v>0.2676</v>
      </c>
      <c r="E108" s="118">
        <f t="shared" si="3"/>
        <v>0.2676</v>
      </c>
      <c r="F108" s="118">
        <f t="shared" si="4"/>
        <v>1.0699999999999987E-2</v>
      </c>
    </row>
    <row r="109" spans="1:6">
      <c r="A109" s="9" t="s">
        <v>2364</v>
      </c>
      <c r="B109" s="9" t="s">
        <v>888</v>
      </c>
      <c r="C109" s="118">
        <v>9.7799999999999998E-2</v>
      </c>
      <c r="D109" s="118">
        <v>0.10920000000000001</v>
      </c>
      <c r="E109" s="118">
        <f t="shared" si="3"/>
        <v>0.10920000000000001</v>
      </c>
      <c r="F109" s="118">
        <f t="shared" si="4"/>
        <v>1.1400000000000007E-2</v>
      </c>
    </row>
    <row r="110" spans="1:6">
      <c r="A110" s="9" t="s">
        <v>2365</v>
      </c>
      <c r="B110" s="9" t="s">
        <v>939</v>
      </c>
      <c r="C110" s="118">
        <v>0.52290000000000003</v>
      </c>
      <c r="D110" s="118">
        <v>0.503</v>
      </c>
      <c r="E110" s="118">
        <f t="shared" si="3"/>
        <v>0.52290000000000003</v>
      </c>
      <c r="F110" s="118">
        <f t="shared" si="4"/>
        <v>0</v>
      </c>
    </row>
    <row r="111" spans="1:6">
      <c r="A111" s="9" t="s">
        <v>2366</v>
      </c>
      <c r="B111" s="9" t="s">
        <v>979</v>
      </c>
      <c r="C111" s="118">
        <v>0.14480000000000001</v>
      </c>
      <c r="D111" s="118">
        <v>0.13550000000000001</v>
      </c>
      <c r="E111" s="118">
        <f t="shared" si="3"/>
        <v>0.14480000000000001</v>
      </c>
      <c r="F111" s="118">
        <f t="shared" si="4"/>
        <v>0</v>
      </c>
    </row>
    <row r="112" spans="1:6">
      <c r="A112" s="9" t="s">
        <v>2368</v>
      </c>
      <c r="B112" s="9" t="s">
        <v>1012</v>
      </c>
      <c r="C112" s="118">
        <v>0.82310000000000005</v>
      </c>
      <c r="D112" s="118">
        <v>0.62780000000000002</v>
      </c>
      <c r="E112" s="118">
        <f t="shared" si="3"/>
        <v>0.82310000000000005</v>
      </c>
      <c r="F112" s="118">
        <f t="shared" si="4"/>
        <v>0</v>
      </c>
    </row>
    <row r="113" spans="1:6">
      <c r="A113" s="9" t="s">
        <v>2371</v>
      </c>
      <c r="B113" s="9" t="s">
        <v>1017</v>
      </c>
      <c r="C113" s="118">
        <v>0.64629999999999999</v>
      </c>
      <c r="D113" s="118">
        <v>0.62960000000000005</v>
      </c>
      <c r="E113" s="118">
        <f t="shared" si="3"/>
        <v>0.64629999999999999</v>
      </c>
      <c r="F113" s="118">
        <f t="shared" si="4"/>
        <v>0</v>
      </c>
    </row>
    <row r="114" spans="1:6">
      <c r="A114" s="9" t="s">
        <v>2372</v>
      </c>
      <c r="B114" s="9" t="s">
        <v>1028</v>
      </c>
      <c r="C114" s="118">
        <v>6.9800000000000001E-2</v>
      </c>
      <c r="D114" s="118">
        <v>6.3E-2</v>
      </c>
      <c r="E114" s="118">
        <f t="shared" si="3"/>
        <v>6.9800000000000001E-2</v>
      </c>
      <c r="F114" s="118">
        <f t="shared" si="4"/>
        <v>0</v>
      </c>
    </row>
    <row r="115" spans="1:6">
      <c r="A115" s="9" t="s">
        <v>2373</v>
      </c>
      <c r="B115" s="9" t="s">
        <v>1039</v>
      </c>
      <c r="C115" s="118">
        <v>0.3241</v>
      </c>
      <c r="D115" s="118">
        <v>0.33160000000000001</v>
      </c>
      <c r="E115" s="118">
        <f t="shared" si="3"/>
        <v>0.33160000000000001</v>
      </c>
      <c r="F115" s="118">
        <f t="shared" si="4"/>
        <v>7.5000000000000067E-3</v>
      </c>
    </row>
    <row r="116" spans="1:6">
      <c r="A116" s="9" t="s">
        <v>2374</v>
      </c>
      <c r="B116" s="9" t="s">
        <v>1050</v>
      </c>
      <c r="C116" s="118">
        <v>0.3654</v>
      </c>
      <c r="D116" s="118">
        <v>0.38040000000000002</v>
      </c>
      <c r="E116" s="118">
        <f t="shared" si="3"/>
        <v>0.38040000000000002</v>
      </c>
      <c r="F116" s="118">
        <f t="shared" si="4"/>
        <v>1.5000000000000013E-2</v>
      </c>
    </row>
    <row r="117" spans="1:6">
      <c r="A117" s="9" t="s">
        <v>2375</v>
      </c>
      <c r="B117" s="9" t="s">
        <v>1068</v>
      </c>
      <c r="C117" s="118">
        <v>0.32950000000000002</v>
      </c>
      <c r="D117" s="118">
        <v>0.37280000000000002</v>
      </c>
      <c r="E117" s="118">
        <f t="shared" si="3"/>
        <v>0.37280000000000002</v>
      </c>
      <c r="F117" s="118">
        <f t="shared" si="4"/>
        <v>4.3300000000000005E-2</v>
      </c>
    </row>
    <row r="118" spans="1:6">
      <c r="A118" s="9" t="s">
        <v>2376</v>
      </c>
      <c r="B118" s="9" t="s">
        <v>1081</v>
      </c>
      <c r="C118" s="118">
        <v>0.63529999999999998</v>
      </c>
      <c r="D118" s="118">
        <v>0.57689999999999997</v>
      </c>
      <c r="E118" s="118">
        <f t="shared" si="3"/>
        <v>0.63529999999999998</v>
      </c>
      <c r="F118" s="118">
        <f t="shared" si="4"/>
        <v>0</v>
      </c>
    </row>
    <row r="119" spans="1:6">
      <c r="A119" s="9" t="s">
        <v>2377</v>
      </c>
      <c r="B119" s="9" t="s">
        <v>1083</v>
      </c>
      <c r="C119" s="118">
        <v>0</v>
      </c>
      <c r="D119" s="118">
        <v>0</v>
      </c>
      <c r="E119" s="118">
        <f t="shared" si="3"/>
        <v>0</v>
      </c>
      <c r="F119" s="118">
        <f t="shared" si="4"/>
        <v>0</v>
      </c>
    </row>
    <row r="120" spans="1:6">
      <c r="A120" s="9" t="s">
        <v>2378</v>
      </c>
      <c r="B120" s="9" t="s">
        <v>1085</v>
      </c>
      <c r="C120" s="118">
        <v>0.74419999999999997</v>
      </c>
      <c r="D120" s="118">
        <v>0.56730000000000003</v>
      </c>
      <c r="E120" s="118">
        <f t="shared" si="3"/>
        <v>0.74419999999999997</v>
      </c>
      <c r="F120" s="118">
        <f t="shared" si="4"/>
        <v>0</v>
      </c>
    </row>
    <row r="121" spans="1:6">
      <c r="A121" s="9" t="s">
        <v>2379</v>
      </c>
      <c r="B121" s="9" t="s">
        <v>1087</v>
      </c>
      <c r="C121" s="118">
        <v>0.38769999999999999</v>
      </c>
      <c r="D121" s="118">
        <v>0.47689999999999999</v>
      </c>
      <c r="E121" s="118">
        <f t="shared" si="3"/>
        <v>0.47689999999999999</v>
      </c>
      <c r="F121" s="118">
        <f t="shared" si="4"/>
        <v>8.9200000000000002E-2</v>
      </c>
    </row>
    <row r="122" spans="1:6">
      <c r="A122" s="9" t="s">
        <v>2380</v>
      </c>
      <c r="B122" s="9" t="s">
        <v>1089</v>
      </c>
      <c r="C122" s="118">
        <v>0.40739999999999998</v>
      </c>
      <c r="D122" s="118">
        <v>0.40550000000000003</v>
      </c>
      <c r="E122" s="118">
        <f t="shared" si="3"/>
        <v>0.40739999999999998</v>
      </c>
      <c r="F122" s="118">
        <f t="shared" si="4"/>
        <v>0</v>
      </c>
    </row>
    <row r="123" spans="1:6">
      <c r="A123" s="9" t="s">
        <v>2381</v>
      </c>
      <c r="B123" s="9" t="s">
        <v>1095</v>
      </c>
      <c r="C123" s="118">
        <v>0.47520000000000001</v>
      </c>
      <c r="D123" s="118">
        <v>0.43909999999999999</v>
      </c>
      <c r="E123" s="118">
        <f t="shared" si="3"/>
        <v>0.47520000000000001</v>
      </c>
      <c r="F123" s="118">
        <f t="shared" si="4"/>
        <v>0</v>
      </c>
    </row>
    <row r="124" spans="1:6">
      <c r="A124" s="9" t="s">
        <v>2382</v>
      </c>
      <c r="B124" s="9" t="s">
        <v>1099</v>
      </c>
      <c r="C124" s="118">
        <v>0.3548</v>
      </c>
      <c r="D124" s="118">
        <v>0.40670000000000001</v>
      </c>
      <c r="E124" s="118">
        <f t="shared" si="3"/>
        <v>0.40670000000000001</v>
      </c>
      <c r="F124" s="118">
        <f t="shared" si="4"/>
        <v>5.1900000000000002E-2</v>
      </c>
    </row>
    <row r="125" spans="1:6">
      <c r="A125" s="9" t="s">
        <v>2383</v>
      </c>
      <c r="B125" s="9" t="s">
        <v>1104</v>
      </c>
      <c r="C125" s="118">
        <v>0.91379999999999995</v>
      </c>
      <c r="D125" s="118">
        <v>0.77139999999999997</v>
      </c>
      <c r="E125" s="118">
        <f t="shared" si="3"/>
        <v>0.91379999999999995</v>
      </c>
      <c r="F125" s="118">
        <f t="shared" si="4"/>
        <v>0</v>
      </c>
    </row>
    <row r="126" spans="1:6">
      <c r="A126" s="9" t="s">
        <v>2384</v>
      </c>
      <c r="B126" s="9" t="s">
        <v>1106</v>
      </c>
      <c r="C126" s="118">
        <v>0.47370000000000001</v>
      </c>
      <c r="D126" s="118">
        <v>0.4425</v>
      </c>
      <c r="E126" s="118">
        <f t="shared" si="3"/>
        <v>0.47370000000000001</v>
      </c>
      <c r="F126" s="118">
        <f t="shared" si="4"/>
        <v>0</v>
      </c>
    </row>
    <row r="127" spans="1:6">
      <c r="A127" s="9" t="s">
        <v>2385</v>
      </c>
      <c r="B127" s="9" t="s">
        <v>1108</v>
      </c>
      <c r="C127" s="118">
        <v>0.31030000000000002</v>
      </c>
      <c r="D127" s="118">
        <v>0.33329999999999999</v>
      </c>
      <c r="E127" s="118">
        <f t="shared" si="3"/>
        <v>0.33329999999999999</v>
      </c>
      <c r="F127" s="118">
        <f t="shared" si="4"/>
        <v>2.2999999999999965E-2</v>
      </c>
    </row>
    <row r="128" spans="1:6">
      <c r="A128" s="9" t="s">
        <v>2386</v>
      </c>
      <c r="B128" s="9" t="s">
        <v>1110</v>
      </c>
      <c r="C128" s="118">
        <v>0</v>
      </c>
      <c r="D128" s="118">
        <v>0</v>
      </c>
      <c r="E128" s="118">
        <f t="shared" si="3"/>
        <v>0</v>
      </c>
      <c r="F128" s="118">
        <f t="shared" si="4"/>
        <v>0</v>
      </c>
    </row>
    <row r="129" spans="1:6">
      <c r="A129" s="9" t="s">
        <v>2387</v>
      </c>
      <c r="B129" s="9" t="s">
        <v>1113</v>
      </c>
      <c r="C129" s="118">
        <v>0.56599999999999995</v>
      </c>
      <c r="D129" s="118">
        <v>0.5625</v>
      </c>
      <c r="E129" s="118">
        <f t="shared" si="3"/>
        <v>0.56599999999999995</v>
      </c>
      <c r="F129" s="118">
        <f t="shared" si="4"/>
        <v>0</v>
      </c>
    </row>
    <row r="130" spans="1:6">
      <c r="A130" s="9" t="s">
        <v>2388</v>
      </c>
      <c r="B130" s="9" t="s">
        <v>1116</v>
      </c>
      <c r="C130" s="118">
        <v>0.5</v>
      </c>
      <c r="D130" s="118">
        <v>0.51759999999999995</v>
      </c>
      <c r="E130" s="118">
        <f t="shared" si="3"/>
        <v>0.51759999999999995</v>
      </c>
      <c r="F130" s="118">
        <f t="shared" si="4"/>
        <v>1.7599999999999949E-2</v>
      </c>
    </row>
    <row r="131" spans="1:6">
      <c r="A131" s="9" t="s">
        <v>2389</v>
      </c>
      <c r="B131" s="9" t="s">
        <v>1118</v>
      </c>
      <c r="C131" s="118">
        <v>0</v>
      </c>
      <c r="D131" s="118">
        <v>0</v>
      </c>
      <c r="E131" s="118">
        <f t="shared" si="3"/>
        <v>0</v>
      </c>
      <c r="F131" s="118">
        <f t="shared" si="4"/>
        <v>0</v>
      </c>
    </row>
    <row r="132" spans="1:6">
      <c r="A132" s="9" t="s">
        <v>2390</v>
      </c>
      <c r="B132" s="9" t="s">
        <v>1119</v>
      </c>
      <c r="C132" s="118">
        <v>0.46629999999999999</v>
      </c>
      <c r="D132" s="118">
        <v>0.59160000000000001</v>
      </c>
      <c r="E132" s="118">
        <f t="shared" ref="E132:E195" si="5">MAX(D132,C132)</f>
        <v>0.59160000000000001</v>
      </c>
      <c r="F132" s="118">
        <f t="shared" ref="F132:F195" si="6">E132-C132</f>
        <v>0.12530000000000002</v>
      </c>
    </row>
    <row r="133" spans="1:6">
      <c r="A133" s="9" t="s">
        <v>2391</v>
      </c>
      <c r="B133" s="9" t="s">
        <v>1123</v>
      </c>
      <c r="C133" s="118">
        <v>0.43130000000000002</v>
      </c>
      <c r="D133" s="118">
        <v>0.42949999999999999</v>
      </c>
      <c r="E133" s="118">
        <f t="shared" si="5"/>
        <v>0.43130000000000002</v>
      </c>
      <c r="F133" s="118">
        <f t="shared" si="6"/>
        <v>0</v>
      </c>
    </row>
    <row r="134" spans="1:6">
      <c r="A134" s="9" t="s">
        <v>2392</v>
      </c>
      <c r="B134" s="9" t="s">
        <v>1129</v>
      </c>
      <c r="C134" s="118">
        <v>0.88739999999999997</v>
      </c>
      <c r="D134" s="118">
        <v>0.66669999999999996</v>
      </c>
      <c r="E134" s="118">
        <f t="shared" si="5"/>
        <v>0.88739999999999997</v>
      </c>
      <c r="F134" s="118">
        <f t="shared" si="6"/>
        <v>0</v>
      </c>
    </row>
    <row r="135" spans="1:6">
      <c r="A135" s="9" t="s">
        <v>2393</v>
      </c>
      <c r="B135" s="9" t="s">
        <v>1133</v>
      </c>
      <c r="C135" s="118">
        <v>0.41959999999999997</v>
      </c>
      <c r="D135" s="118">
        <v>0.46410000000000001</v>
      </c>
      <c r="E135" s="118">
        <f t="shared" si="5"/>
        <v>0.46410000000000001</v>
      </c>
      <c r="F135" s="118">
        <f t="shared" si="6"/>
        <v>4.450000000000004E-2</v>
      </c>
    </row>
    <row r="136" spans="1:6">
      <c r="A136" s="9" t="s">
        <v>2394</v>
      </c>
      <c r="B136" s="9" t="s">
        <v>1136</v>
      </c>
      <c r="C136" s="118">
        <v>0.59570000000000001</v>
      </c>
      <c r="D136" s="118">
        <v>0.6038</v>
      </c>
      <c r="E136" s="118">
        <f t="shared" si="5"/>
        <v>0.6038</v>
      </c>
      <c r="F136" s="118">
        <f t="shared" si="6"/>
        <v>8.0999999999999961E-3</v>
      </c>
    </row>
    <row r="137" spans="1:6">
      <c r="A137" s="9" t="s">
        <v>2395</v>
      </c>
      <c r="B137" s="9" t="s">
        <v>1138</v>
      </c>
      <c r="C137" s="118">
        <v>0.5575</v>
      </c>
      <c r="D137" s="118">
        <v>0.65010000000000001</v>
      </c>
      <c r="E137" s="118">
        <f t="shared" si="5"/>
        <v>0.65010000000000001</v>
      </c>
      <c r="F137" s="118">
        <f t="shared" si="6"/>
        <v>9.2600000000000016E-2</v>
      </c>
    </row>
    <row r="138" spans="1:6">
      <c r="A138" s="9" t="s">
        <v>2396</v>
      </c>
      <c r="B138" s="9" t="s">
        <v>1142</v>
      </c>
      <c r="C138" s="118">
        <v>0.54379999999999995</v>
      </c>
      <c r="D138" s="118">
        <v>0.59050000000000002</v>
      </c>
      <c r="E138" s="118">
        <f t="shared" si="5"/>
        <v>0.59050000000000002</v>
      </c>
      <c r="F138" s="118">
        <f t="shared" si="6"/>
        <v>4.6700000000000075E-2</v>
      </c>
    </row>
    <row r="139" spans="1:6">
      <c r="A139" s="9" t="s">
        <v>2397</v>
      </c>
      <c r="B139" s="9" t="s">
        <v>1145</v>
      </c>
      <c r="C139" s="118">
        <v>0.25719999999999998</v>
      </c>
      <c r="D139" s="118">
        <v>0.2676</v>
      </c>
      <c r="E139" s="118">
        <f t="shared" si="5"/>
        <v>0.2676</v>
      </c>
      <c r="F139" s="118">
        <f t="shared" si="6"/>
        <v>1.040000000000002E-2</v>
      </c>
    </row>
    <row r="140" spans="1:6">
      <c r="A140" s="9" t="s">
        <v>2398</v>
      </c>
      <c r="B140" s="9" t="s">
        <v>1148</v>
      </c>
      <c r="C140" s="118">
        <v>0.77039999999999997</v>
      </c>
      <c r="D140" s="118">
        <v>0.91100000000000003</v>
      </c>
      <c r="E140" s="118">
        <f t="shared" si="5"/>
        <v>0.91100000000000003</v>
      </c>
      <c r="F140" s="118">
        <f t="shared" si="6"/>
        <v>0.14060000000000006</v>
      </c>
    </row>
    <row r="141" spans="1:6">
      <c r="A141" s="9" t="s">
        <v>2399</v>
      </c>
      <c r="B141" s="9" t="s">
        <v>1153</v>
      </c>
      <c r="C141" s="118">
        <v>0.48859999999999998</v>
      </c>
      <c r="D141" s="118">
        <v>0.52580000000000005</v>
      </c>
      <c r="E141" s="118">
        <f t="shared" si="5"/>
        <v>0.52580000000000005</v>
      </c>
      <c r="F141" s="118">
        <f t="shared" si="6"/>
        <v>3.7200000000000066E-2</v>
      </c>
    </row>
    <row r="142" spans="1:6">
      <c r="A142" s="9" t="s">
        <v>2400</v>
      </c>
      <c r="B142" s="9" t="s">
        <v>1155</v>
      </c>
      <c r="C142" s="118">
        <v>0.45619999999999999</v>
      </c>
      <c r="D142" s="118">
        <v>0.52</v>
      </c>
      <c r="E142" s="118">
        <f t="shared" si="5"/>
        <v>0.52</v>
      </c>
      <c r="F142" s="118">
        <f t="shared" si="6"/>
        <v>6.3800000000000023E-2</v>
      </c>
    </row>
    <row r="143" spans="1:6">
      <c r="A143" s="9" t="s">
        <v>2401</v>
      </c>
      <c r="B143" s="9" t="s">
        <v>1160</v>
      </c>
      <c r="C143" s="118">
        <v>0.56179999999999997</v>
      </c>
      <c r="D143" s="118">
        <v>0.57830000000000004</v>
      </c>
      <c r="E143" s="118">
        <f t="shared" si="5"/>
        <v>0.57830000000000004</v>
      </c>
      <c r="F143" s="118">
        <f t="shared" si="6"/>
        <v>1.650000000000007E-2</v>
      </c>
    </row>
    <row r="144" spans="1:6">
      <c r="A144" s="9" t="s">
        <v>2402</v>
      </c>
      <c r="B144" s="9" t="s">
        <v>1164</v>
      </c>
      <c r="C144" s="118">
        <v>0.59130000000000005</v>
      </c>
      <c r="D144" s="118">
        <v>0.50939999999999996</v>
      </c>
      <c r="E144" s="118">
        <f t="shared" si="5"/>
        <v>0.59130000000000005</v>
      </c>
      <c r="F144" s="118">
        <f t="shared" si="6"/>
        <v>0</v>
      </c>
    </row>
    <row r="145" spans="1:6">
      <c r="A145" s="9" t="s">
        <v>2403</v>
      </c>
      <c r="B145" s="9" t="s">
        <v>1166</v>
      </c>
      <c r="C145" s="118">
        <v>0.45810000000000001</v>
      </c>
      <c r="D145" s="118">
        <v>0.46789999999999998</v>
      </c>
      <c r="E145" s="118">
        <f t="shared" si="5"/>
        <v>0.46789999999999998</v>
      </c>
      <c r="F145" s="118">
        <f t="shared" si="6"/>
        <v>9.7999999999999754E-3</v>
      </c>
    </row>
    <row r="146" spans="1:6">
      <c r="A146" s="9" t="s">
        <v>2404</v>
      </c>
      <c r="B146" s="9" t="s">
        <v>1170</v>
      </c>
      <c r="C146" s="118">
        <v>0.69669999999999999</v>
      </c>
      <c r="D146" s="118">
        <v>0.68930000000000002</v>
      </c>
      <c r="E146" s="118">
        <f t="shared" si="5"/>
        <v>0.69669999999999999</v>
      </c>
      <c r="F146" s="118">
        <f t="shared" si="6"/>
        <v>0</v>
      </c>
    </row>
    <row r="147" spans="1:6">
      <c r="A147" s="9" t="s">
        <v>2405</v>
      </c>
      <c r="B147" s="9" t="s">
        <v>1173</v>
      </c>
      <c r="C147" s="118">
        <v>0.80730000000000002</v>
      </c>
      <c r="D147" s="118">
        <v>0.72140000000000004</v>
      </c>
      <c r="E147" s="118">
        <f t="shared" si="5"/>
        <v>0.80730000000000002</v>
      </c>
      <c r="F147" s="118">
        <f t="shared" si="6"/>
        <v>0</v>
      </c>
    </row>
    <row r="148" spans="1:6">
      <c r="A148" s="9" t="s">
        <v>2406</v>
      </c>
      <c r="B148" s="9" t="s">
        <v>1181</v>
      </c>
      <c r="C148" s="118">
        <v>0.54169999999999996</v>
      </c>
      <c r="D148" s="118">
        <v>0.56410000000000005</v>
      </c>
      <c r="E148" s="118">
        <f t="shared" si="5"/>
        <v>0.56410000000000005</v>
      </c>
      <c r="F148" s="118">
        <f t="shared" si="6"/>
        <v>2.2400000000000087E-2</v>
      </c>
    </row>
    <row r="149" spans="1:6">
      <c r="A149" s="9" t="s">
        <v>2407</v>
      </c>
      <c r="B149" s="9" t="s">
        <v>1184</v>
      </c>
      <c r="C149" s="118">
        <v>0.46189999999999998</v>
      </c>
      <c r="D149" s="118">
        <v>0.34839999999999999</v>
      </c>
      <c r="E149" s="118">
        <f t="shared" si="5"/>
        <v>0.46189999999999998</v>
      </c>
      <c r="F149" s="118">
        <f t="shared" si="6"/>
        <v>0</v>
      </c>
    </row>
    <row r="150" spans="1:6">
      <c r="A150" s="9" t="s">
        <v>2408</v>
      </c>
      <c r="B150" s="9" t="s">
        <v>1187</v>
      </c>
      <c r="C150" s="118">
        <v>0.30830000000000002</v>
      </c>
      <c r="D150" s="118">
        <v>0.37959999999999999</v>
      </c>
      <c r="E150" s="118">
        <f t="shared" si="5"/>
        <v>0.37959999999999999</v>
      </c>
      <c r="F150" s="118">
        <f t="shared" si="6"/>
        <v>7.1299999999999975E-2</v>
      </c>
    </row>
    <row r="151" spans="1:6">
      <c r="A151" s="9" t="s">
        <v>2409</v>
      </c>
      <c r="B151" s="9" t="s">
        <v>1189</v>
      </c>
      <c r="C151" s="118">
        <v>0.4884</v>
      </c>
      <c r="D151" s="118">
        <v>0.31519999999999998</v>
      </c>
      <c r="E151" s="118">
        <f t="shared" si="5"/>
        <v>0.4884</v>
      </c>
      <c r="F151" s="118">
        <f t="shared" si="6"/>
        <v>0</v>
      </c>
    </row>
    <row r="152" spans="1:6">
      <c r="A152" s="9" t="s">
        <v>2410</v>
      </c>
      <c r="B152" s="9" t="s">
        <v>1192</v>
      </c>
      <c r="C152" s="118">
        <v>0.41199999999999998</v>
      </c>
      <c r="D152" s="118">
        <v>0.53200000000000003</v>
      </c>
      <c r="E152" s="118">
        <f t="shared" si="5"/>
        <v>0.53200000000000003</v>
      </c>
      <c r="F152" s="118">
        <f t="shared" si="6"/>
        <v>0.12000000000000005</v>
      </c>
    </row>
    <row r="153" spans="1:6">
      <c r="A153" s="9" t="s">
        <v>2411</v>
      </c>
      <c r="B153" s="9" t="s">
        <v>1195</v>
      </c>
      <c r="C153" s="118">
        <v>0.33639999999999998</v>
      </c>
      <c r="D153" s="118">
        <v>0.44269999999999998</v>
      </c>
      <c r="E153" s="118">
        <f t="shared" si="5"/>
        <v>0.44269999999999998</v>
      </c>
      <c r="F153" s="118">
        <f t="shared" si="6"/>
        <v>0.10630000000000001</v>
      </c>
    </row>
    <row r="154" spans="1:6">
      <c r="A154" s="9" t="s">
        <v>2412</v>
      </c>
      <c r="B154" s="9" t="s">
        <v>1198</v>
      </c>
      <c r="C154" s="118">
        <v>0.52</v>
      </c>
      <c r="D154" s="118">
        <v>0.24809999999999999</v>
      </c>
      <c r="E154" s="118">
        <f t="shared" si="5"/>
        <v>0.52</v>
      </c>
      <c r="F154" s="118">
        <f t="shared" si="6"/>
        <v>0</v>
      </c>
    </row>
    <row r="155" spans="1:6">
      <c r="A155" s="9" t="s">
        <v>2413</v>
      </c>
      <c r="B155" s="9" t="s">
        <v>1201</v>
      </c>
      <c r="C155" s="118">
        <v>0.48949999999999999</v>
      </c>
      <c r="D155" s="118">
        <v>0.55049999999999999</v>
      </c>
      <c r="E155" s="118">
        <f t="shared" si="5"/>
        <v>0.55049999999999999</v>
      </c>
      <c r="F155" s="118">
        <f t="shared" si="6"/>
        <v>6.0999999999999999E-2</v>
      </c>
    </row>
    <row r="156" spans="1:6">
      <c r="A156" s="9" t="s">
        <v>2414</v>
      </c>
      <c r="B156" s="9" t="s">
        <v>1204</v>
      </c>
      <c r="C156" s="118">
        <v>0.4279</v>
      </c>
      <c r="D156" s="118">
        <v>0.44290000000000002</v>
      </c>
      <c r="E156" s="118">
        <f t="shared" si="5"/>
        <v>0.44290000000000002</v>
      </c>
      <c r="F156" s="118">
        <f t="shared" si="6"/>
        <v>1.5000000000000013E-2</v>
      </c>
    </row>
    <row r="157" spans="1:6">
      <c r="A157" s="9" t="s">
        <v>2415</v>
      </c>
      <c r="B157" s="9" t="s">
        <v>1206</v>
      </c>
      <c r="C157" s="118">
        <v>0.39439999999999997</v>
      </c>
      <c r="D157" s="118">
        <v>0.45540000000000003</v>
      </c>
      <c r="E157" s="118">
        <f t="shared" si="5"/>
        <v>0.45540000000000003</v>
      </c>
      <c r="F157" s="118">
        <f t="shared" si="6"/>
        <v>6.1000000000000054E-2</v>
      </c>
    </row>
    <row r="158" spans="1:6">
      <c r="A158" s="9" t="s">
        <v>2416</v>
      </c>
      <c r="B158" s="9" t="s">
        <v>1208</v>
      </c>
      <c r="C158" s="118">
        <v>0.66949999999999998</v>
      </c>
      <c r="D158" s="118">
        <v>0.6734</v>
      </c>
      <c r="E158" s="118">
        <f t="shared" si="5"/>
        <v>0.6734</v>
      </c>
      <c r="F158" s="118">
        <f t="shared" si="6"/>
        <v>3.9000000000000146E-3</v>
      </c>
    </row>
    <row r="159" spans="1:6">
      <c r="A159" s="9" t="s">
        <v>2417</v>
      </c>
      <c r="B159" s="9" t="s">
        <v>1213</v>
      </c>
      <c r="C159" s="118">
        <v>0.20680000000000001</v>
      </c>
      <c r="D159" s="118">
        <v>0.18859999999999999</v>
      </c>
      <c r="E159" s="118">
        <f t="shared" si="5"/>
        <v>0.20680000000000001</v>
      </c>
      <c r="F159" s="118">
        <f t="shared" si="6"/>
        <v>0</v>
      </c>
    </row>
    <row r="160" spans="1:6">
      <c r="A160" s="9" t="s">
        <v>2418</v>
      </c>
      <c r="B160" s="9" t="s">
        <v>1216</v>
      </c>
      <c r="C160" s="118">
        <v>0.53710000000000002</v>
      </c>
      <c r="D160" s="118">
        <v>0.65090000000000003</v>
      </c>
      <c r="E160" s="118">
        <f t="shared" si="5"/>
        <v>0.65090000000000003</v>
      </c>
      <c r="F160" s="118">
        <f t="shared" si="6"/>
        <v>0.11380000000000001</v>
      </c>
    </row>
    <row r="161" spans="1:6">
      <c r="A161" s="9" t="s">
        <v>2419</v>
      </c>
      <c r="B161" s="9" t="s">
        <v>1217</v>
      </c>
      <c r="C161" s="118">
        <v>0.56899999999999995</v>
      </c>
      <c r="D161" s="118">
        <v>0.56899999999999995</v>
      </c>
      <c r="E161" s="118">
        <f t="shared" si="5"/>
        <v>0.56899999999999995</v>
      </c>
      <c r="F161" s="118">
        <f t="shared" si="6"/>
        <v>0</v>
      </c>
    </row>
    <row r="162" spans="1:6">
      <c r="A162" s="9" t="s">
        <v>2420</v>
      </c>
      <c r="B162" s="9" t="s">
        <v>1224</v>
      </c>
      <c r="C162" s="118">
        <v>0.80200000000000005</v>
      </c>
      <c r="D162" s="118">
        <v>0.8034</v>
      </c>
      <c r="E162" s="118">
        <f t="shared" si="5"/>
        <v>0.8034</v>
      </c>
      <c r="F162" s="118">
        <f t="shared" si="6"/>
        <v>1.3999999999999568E-3</v>
      </c>
    </row>
    <row r="163" spans="1:6">
      <c r="A163" s="9" t="s">
        <v>2421</v>
      </c>
      <c r="B163" s="9" t="s">
        <v>2765</v>
      </c>
      <c r="C163" s="118">
        <v>1</v>
      </c>
      <c r="D163" s="118">
        <v>1</v>
      </c>
      <c r="E163" s="118">
        <f t="shared" si="5"/>
        <v>1</v>
      </c>
      <c r="F163" s="118">
        <f t="shared" si="6"/>
        <v>0</v>
      </c>
    </row>
    <row r="164" spans="1:6">
      <c r="A164" s="9" t="s">
        <v>2422</v>
      </c>
      <c r="B164" s="9" t="s">
        <v>1226</v>
      </c>
      <c r="C164" s="118">
        <v>0.54259999999999997</v>
      </c>
      <c r="D164" s="118">
        <v>0.4461</v>
      </c>
      <c r="E164" s="118">
        <f t="shared" si="5"/>
        <v>0.54259999999999997</v>
      </c>
      <c r="F164" s="118">
        <f t="shared" si="6"/>
        <v>0</v>
      </c>
    </row>
    <row r="165" spans="1:6">
      <c r="A165" s="9" t="s">
        <v>2423</v>
      </c>
      <c r="B165" s="9" t="s">
        <v>1236</v>
      </c>
      <c r="C165" s="118">
        <v>0.70089999999999997</v>
      </c>
      <c r="D165" s="118">
        <v>0.59189999999999998</v>
      </c>
      <c r="E165" s="118">
        <f t="shared" si="5"/>
        <v>0.70089999999999997</v>
      </c>
      <c r="F165" s="118">
        <f t="shared" si="6"/>
        <v>0</v>
      </c>
    </row>
    <row r="166" spans="1:6">
      <c r="A166" s="9" t="s">
        <v>2424</v>
      </c>
      <c r="B166" s="9" t="s">
        <v>1242</v>
      </c>
      <c r="C166" s="118">
        <v>0.94989999999999997</v>
      </c>
      <c r="D166" s="118">
        <v>0.9073</v>
      </c>
      <c r="E166" s="118">
        <f t="shared" si="5"/>
        <v>0.94989999999999997</v>
      </c>
      <c r="F166" s="118">
        <f t="shared" si="6"/>
        <v>0</v>
      </c>
    </row>
    <row r="167" spans="1:6">
      <c r="A167" s="9" t="s">
        <v>2425</v>
      </c>
      <c r="B167" s="9" t="s">
        <v>1247</v>
      </c>
      <c r="C167" s="118">
        <v>0.72289999999999999</v>
      </c>
      <c r="D167" s="118">
        <v>0.72289999999999999</v>
      </c>
      <c r="E167" s="118">
        <f t="shared" si="5"/>
        <v>0.72289999999999999</v>
      </c>
      <c r="F167" s="118">
        <f t="shared" si="6"/>
        <v>0</v>
      </c>
    </row>
    <row r="168" spans="1:6">
      <c r="A168" s="9" t="s">
        <v>2426</v>
      </c>
      <c r="B168" s="9" t="s">
        <v>1250</v>
      </c>
      <c r="C168" s="118">
        <v>0.30909999999999999</v>
      </c>
      <c r="D168" s="118">
        <v>0.39369999999999999</v>
      </c>
      <c r="E168" s="118">
        <f t="shared" si="5"/>
        <v>0.39369999999999999</v>
      </c>
      <c r="F168" s="118">
        <f t="shared" si="6"/>
        <v>8.4600000000000009E-2</v>
      </c>
    </row>
    <row r="169" spans="1:6">
      <c r="A169" s="9" t="s">
        <v>2427</v>
      </c>
      <c r="B169" s="9" t="s">
        <v>1254</v>
      </c>
      <c r="C169" s="118">
        <v>0.76719999999999999</v>
      </c>
      <c r="D169" s="118">
        <v>0.70389999999999997</v>
      </c>
      <c r="E169" s="118">
        <f t="shared" si="5"/>
        <v>0.76719999999999999</v>
      </c>
      <c r="F169" s="118">
        <f t="shared" si="6"/>
        <v>0</v>
      </c>
    </row>
    <row r="170" spans="1:6">
      <c r="A170" s="9" t="s">
        <v>2428</v>
      </c>
      <c r="B170" s="9" t="s">
        <v>1258</v>
      </c>
      <c r="C170" s="118">
        <v>0.74</v>
      </c>
      <c r="D170" s="118">
        <v>0.73089999999999999</v>
      </c>
      <c r="E170" s="118">
        <f t="shared" si="5"/>
        <v>0.74</v>
      </c>
      <c r="F170" s="118">
        <f t="shared" si="6"/>
        <v>0</v>
      </c>
    </row>
    <row r="171" spans="1:6">
      <c r="A171" s="9" t="s">
        <v>2429</v>
      </c>
      <c r="B171" s="9" t="s">
        <v>1261</v>
      </c>
      <c r="C171" s="118">
        <v>0.63170000000000004</v>
      </c>
      <c r="D171" s="118">
        <v>0.64239999999999997</v>
      </c>
      <c r="E171" s="118">
        <f t="shared" si="5"/>
        <v>0.64239999999999997</v>
      </c>
      <c r="F171" s="118">
        <f t="shared" si="6"/>
        <v>1.0699999999999932E-2</v>
      </c>
    </row>
    <row r="172" spans="1:6">
      <c r="A172" s="9" t="s">
        <v>2430</v>
      </c>
      <c r="B172" s="9" t="s">
        <v>1267</v>
      </c>
      <c r="C172" s="118">
        <v>0.70309999999999995</v>
      </c>
      <c r="D172" s="118">
        <v>0.66849999999999998</v>
      </c>
      <c r="E172" s="118">
        <f t="shared" si="5"/>
        <v>0.70309999999999995</v>
      </c>
      <c r="F172" s="118">
        <f t="shared" si="6"/>
        <v>0</v>
      </c>
    </row>
    <row r="173" spans="1:6">
      <c r="A173" s="9" t="s">
        <v>2431</v>
      </c>
      <c r="B173" s="9" t="s">
        <v>1270</v>
      </c>
      <c r="C173" s="118">
        <v>0.69910000000000005</v>
      </c>
      <c r="D173" s="118">
        <v>0.70199999999999996</v>
      </c>
      <c r="E173" s="118">
        <f t="shared" si="5"/>
        <v>0.70199999999999996</v>
      </c>
      <c r="F173" s="118">
        <f t="shared" si="6"/>
        <v>2.8999999999999027E-3</v>
      </c>
    </row>
    <row r="174" spans="1:6">
      <c r="A174" s="9" t="s">
        <v>2432</v>
      </c>
      <c r="B174" s="9" t="s">
        <v>1272</v>
      </c>
      <c r="C174" s="118">
        <v>0.52969999999999995</v>
      </c>
      <c r="D174" s="118">
        <v>0.45889999999999997</v>
      </c>
      <c r="E174" s="118">
        <f t="shared" si="5"/>
        <v>0.52969999999999995</v>
      </c>
      <c r="F174" s="118">
        <f t="shared" si="6"/>
        <v>0</v>
      </c>
    </row>
    <row r="175" spans="1:6">
      <c r="A175" s="9" t="s">
        <v>2433</v>
      </c>
      <c r="B175" s="9" t="s">
        <v>1275</v>
      </c>
      <c r="C175" s="118">
        <v>0.3831</v>
      </c>
      <c r="D175" s="118">
        <v>0.41570000000000001</v>
      </c>
      <c r="E175" s="118">
        <f t="shared" si="5"/>
        <v>0.41570000000000001</v>
      </c>
      <c r="F175" s="118">
        <f t="shared" si="6"/>
        <v>3.2600000000000018E-2</v>
      </c>
    </row>
    <row r="176" spans="1:6">
      <c r="A176" s="9" t="s">
        <v>2434</v>
      </c>
      <c r="B176" s="9" t="s">
        <v>1278</v>
      </c>
      <c r="C176" s="118">
        <v>0.63639999999999997</v>
      </c>
      <c r="D176" s="118">
        <v>0.70589999999999997</v>
      </c>
      <c r="E176" s="118">
        <f t="shared" si="5"/>
        <v>0.70589999999999997</v>
      </c>
      <c r="F176" s="118">
        <f t="shared" si="6"/>
        <v>6.9500000000000006E-2</v>
      </c>
    </row>
    <row r="177" spans="1:6">
      <c r="A177" s="9" t="s">
        <v>2435</v>
      </c>
      <c r="B177" s="9" t="s">
        <v>1280</v>
      </c>
      <c r="C177" s="118">
        <v>0.5978</v>
      </c>
      <c r="D177" s="118">
        <v>0.60260000000000002</v>
      </c>
      <c r="E177" s="118">
        <f t="shared" si="5"/>
        <v>0.60260000000000002</v>
      </c>
      <c r="F177" s="118">
        <f t="shared" si="6"/>
        <v>4.8000000000000265E-3</v>
      </c>
    </row>
    <row r="178" spans="1:6">
      <c r="A178" s="9" t="s">
        <v>2436</v>
      </c>
      <c r="B178" s="9" t="s">
        <v>1285</v>
      </c>
      <c r="C178" s="118">
        <v>0.69210000000000005</v>
      </c>
      <c r="D178" s="118">
        <v>0.52569999999999995</v>
      </c>
      <c r="E178" s="118">
        <f t="shared" si="5"/>
        <v>0.69210000000000005</v>
      </c>
      <c r="F178" s="118">
        <f t="shared" si="6"/>
        <v>0</v>
      </c>
    </row>
    <row r="179" spans="1:6">
      <c r="A179" s="9" t="s">
        <v>2437</v>
      </c>
      <c r="B179" s="9" t="s">
        <v>1288</v>
      </c>
      <c r="C179" s="118">
        <v>0.58299999999999996</v>
      </c>
      <c r="D179" s="118">
        <v>0.48359999999999997</v>
      </c>
      <c r="E179" s="118">
        <f t="shared" si="5"/>
        <v>0.58299999999999996</v>
      </c>
      <c r="F179" s="118">
        <f t="shared" si="6"/>
        <v>0</v>
      </c>
    </row>
    <row r="180" spans="1:6">
      <c r="A180" s="9" t="s">
        <v>2438</v>
      </c>
      <c r="B180" s="9" t="s">
        <v>1292</v>
      </c>
      <c r="C180" s="118">
        <v>0.23480000000000001</v>
      </c>
      <c r="D180" s="118">
        <v>0.23069999999999999</v>
      </c>
      <c r="E180" s="118">
        <f t="shared" si="5"/>
        <v>0.23480000000000001</v>
      </c>
      <c r="F180" s="118">
        <f t="shared" si="6"/>
        <v>0</v>
      </c>
    </row>
    <row r="181" spans="1:6">
      <c r="A181" s="9" t="s">
        <v>2439</v>
      </c>
      <c r="B181" s="9" t="s">
        <v>1299</v>
      </c>
      <c r="C181" s="118">
        <v>0.39810000000000001</v>
      </c>
      <c r="D181" s="118">
        <v>0.36080000000000001</v>
      </c>
      <c r="E181" s="118">
        <f t="shared" si="5"/>
        <v>0.39810000000000001</v>
      </c>
      <c r="F181" s="118">
        <f t="shared" si="6"/>
        <v>0</v>
      </c>
    </row>
    <row r="182" spans="1:6">
      <c r="A182" s="9" t="s">
        <v>2440</v>
      </c>
      <c r="B182" s="9" t="s">
        <v>1330</v>
      </c>
      <c r="C182" s="118">
        <v>0.57509999999999994</v>
      </c>
      <c r="D182" s="118">
        <v>0.57699999999999996</v>
      </c>
      <c r="E182" s="118">
        <f t="shared" si="5"/>
        <v>0.57699999999999996</v>
      </c>
      <c r="F182" s="118">
        <f t="shared" si="6"/>
        <v>1.9000000000000128E-3</v>
      </c>
    </row>
    <row r="183" spans="1:6">
      <c r="A183" s="9" t="s">
        <v>2441</v>
      </c>
      <c r="B183" s="9" t="s">
        <v>1385</v>
      </c>
      <c r="C183" s="118">
        <v>0.2402</v>
      </c>
      <c r="D183" s="118">
        <v>0.3034</v>
      </c>
      <c r="E183" s="118">
        <f t="shared" si="5"/>
        <v>0.3034</v>
      </c>
      <c r="F183" s="118">
        <f t="shared" si="6"/>
        <v>6.3200000000000006E-2</v>
      </c>
    </row>
    <row r="184" spans="1:6">
      <c r="A184" s="9" t="s">
        <v>2442</v>
      </c>
      <c r="B184" s="9" t="s">
        <v>1387</v>
      </c>
      <c r="C184" s="118">
        <v>0.36459999999999998</v>
      </c>
      <c r="D184" s="118">
        <v>0.35549999999999998</v>
      </c>
      <c r="E184" s="118">
        <f t="shared" si="5"/>
        <v>0.36459999999999998</v>
      </c>
      <c r="F184" s="118">
        <f t="shared" si="6"/>
        <v>0</v>
      </c>
    </row>
    <row r="185" spans="1:6">
      <c r="A185" s="9" t="s">
        <v>2443</v>
      </c>
      <c r="B185" s="9" t="s">
        <v>1396</v>
      </c>
      <c r="C185" s="118">
        <v>0.28820000000000001</v>
      </c>
      <c r="D185" s="118">
        <v>0.29110000000000003</v>
      </c>
      <c r="E185" s="118">
        <f t="shared" si="5"/>
        <v>0.29110000000000003</v>
      </c>
      <c r="F185" s="118">
        <f t="shared" si="6"/>
        <v>2.9000000000000137E-3</v>
      </c>
    </row>
    <row r="186" spans="1:6">
      <c r="A186" s="9" t="s">
        <v>2444</v>
      </c>
      <c r="B186" s="9" t="s">
        <v>1409</v>
      </c>
      <c r="C186" s="118">
        <v>0.1739</v>
      </c>
      <c r="D186" s="118">
        <v>0.1336</v>
      </c>
      <c r="E186" s="118">
        <f t="shared" si="5"/>
        <v>0.1739</v>
      </c>
      <c r="F186" s="118">
        <f t="shared" si="6"/>
        <v>0</v>
      </c>
    </row>
    <row r="187" spans="1:6">
      <c r="A187" s="9" t="s">
        <v>2445</v>
      </c>
      <c r="B187" s="9" t="s">
        <v>1413</v>
      </c>
      <c r="C187" s="118">
        <v>0.28160000000000002</v>
      </c>
      <c r="D187" s="118">
        <v>0.31490000000000001</v>
      </c>
      <c r="E187" s="118">
        <f t="shared" si="5"/>
        <v>0.31490000000000001</v>
      </c>
      <c r="F187" s="118">
        <f t="shared" si="6"/>
        <v>3.3299999999999996E-2</v>
      </c>
    </row>
    <row r="188" spans="1:6">
      <c r="A188" s="9" t="s">
        <v>2446</v>
      </c>
      <c r="B188" s="9" t="s">
        <v>1418</v>
      </c>
      <c r="C188" s="118">
        <v>0.68879999999999997</v>
      </c>
      <c r="D188" s="118">
        <v>0.6351</v>
      </c>
      <c r="E188" s="118">
        <f t="shared" si="5"/>
        <v>0.68879999999999997</v>
      </c>
      <c r="F188" s="118">
        <f t="shared" si="6"/>
        <v>0</v>
      </c>
    </row>
    <row r="189" spans="1:6">
      <c r="A189" s="9" t="s">
        <v>2447</v>
      </c>
      <c r="B189" s="9" t="s">
        <v>1443</v>
      </c>
      <c r="C189" s="118">
        <v>0.1774</v>
      </c>
      <c r="D189" s="118">
        <v>0.2082</v>
      </c>
      <c r="E189" s="118">
        <f t="shared" si="5"/>
        <v>0.2082</v>
      </c>
      <c r="F189" s="118">
        <f t="shared" si="6"/>
        <v>3.0799999999999994E-2</v>
      </c>
    </row>
    <row r="190" spans="1:6">
      <c r="A190" s="9" t="s">
        <v>2448</v>
      </c>
      <c r="B190" s="9" t="s">
        <v>1459</v>
      </c>
      <c r="C190" s="118">
        <v>0.72230000000000005</v>
      </c>
      <c r="D190" s="118">
        <v>0.7823</v>
      </c>
      <c r="E190" s="118">
        <f t="shared" si="5"/>
        <v>0.7823</v>
      </c>
      <c r="F190" s="118">
        <f t="shared" si="6"/>
        <v>5.9999999999999942E-2</v>
      </c>
    </row>
    <row r="191" spans="1:6">
      <c r="A191" s="9" t="s">
        <v>2449</v>
      </c>
      <c r="B191" s="9" t="s">
        <v>1473</v>
      </c>
      <c r="C191" s="118">
        <v>0.45779999999999998</v>
      </c>
      <c r="D191" s="118">
        <v>0.49569999999999997</v>
      </c>
      <c r="E191" s="118">
        <f t="shared" si="5"/>
        <v>0.49569999999999997</v>
      </c>
      <c r="F191" s="118">
        <f t="shared" si="6"/>
        <v>3.7899999999999989E-2</v>
      </c>
    </row>
    <row r="192" spans="1:6">
      <c r="A192" s="9" t="s">
        <v>2450</v>
      </c>
      <c r="B192" s="9" t="s">
        <v>1500</v>
      </c>
      <c r="C192" s="118">
        <v>0.38019999999999998</v>
      </c>
      <c r="D192" s="118">
        <v>0.41880000000000001</v>
      </c>
      <c r="E192" s="118">
        <f t="shared" si="5"/>
        <v>0.41880000000000001</v>
      </c>
      <c r="F192" s="118">
        <f t="shared" si="6"/>
        <v>3.8600000000000023E-2</v>
      </c>
    </row>
    <row r="193" spans="1:6">
      <c r="A193" s="9" t="s">
        <v>2451</v>
      </c>
      <c r="B193" s="9" t="s">
        <v>1508</v>
      </c>
      <c r="C193" s="118">
        <v>0.29320000000000002</v>
      </c>
      <c r="D193" s="118">
        <v>0.29680000000000001</v>
      </c>
      <c r="E193" s="118">
        <f t="shared" si="5"/>
        <v>0.29680000000000001</v>
      </c>
      <c r="F193" s="118">
        <f t="shared" si="6"/>
        <v>3.5999999999999921E-3</v>
      </c>
    </row>
    <row r="194" spans="1:6">
      <c r="A194" s="9" t="s">
        <v>2452</v>
      </c>
      <c r="B194" s="9" t="s">
        <v>1516</v>
      </c>
      <c r="C194" s="118">
        <v>0.4415</v>
      </c>
      <c r="D194" s="118">
        <v>0.45729999999999998</v>
      </c>
      <c r="E194" s="118">
        <f t="shared" si="5"/>
        <v>0.45729999999999998</v>
      </c>
      <c r="F194" s="118">
        <f t="shared" si="6"/>
        <v>1.5799999999999981E-2</v>
      </c>
    </row>
    <row r="195" spans="1:6">
      <c r="A195" s="9" t="s">
        <v>2456</v>
      </c>
      <c r="B195" s="9" t="s">
        <v>1525</v>
      </c>
      <c r="C195" s="118">
        <v>0</v>
      </c>
      <c r="D195" s="118">
        <v>0</v>
      </c>
      <c r="E195" s="118">
        <f t="shared" si="5"/>
        <v>0</v>
      </c>
      <c r="F195" s="118">
        <f t="shared" si="6"/>
        <v>0</v>
      </c>
    </row>
    <row r="196" spans="1:6">
      <c r="A196" s="9" t="s">
        <v>2457</v>
      </c>
      <c r="B196" s="9" t="s">
        <v>1527</v>
      </c>
      <c r="C196" s="118">
        <v>0.2787</v>
      </c>
      <c r="D196" s="118">
        <v>0.30020000000000002</v>
      </c>
      <c r="E196" s="118">
        <f t="shared" ref="E196:E259" si="7">MAX(D196,C196)</f>
        <v>0.30020000000000002</v>
      </c>
      <c r="F196" s="118">
        <f t="shared" ref="F196:F259" si="8">E196-C196</f>
        <v>2.1500000000000019E-2</v>
      </c>
    </row>
    <row r="197" spans="1:6">
      <c r="A197" s="9" t="s">
        <v>2458</v>
      </c>
      <c r="B197" s="9" t="s">
        <v>1533</v>
      </c>
      <c r="C197" s="118">
        <v>0.44</v>
      </c>
      <c r="D197" s="118">
        <v>0.40529999999999999</v>
      </c>
      <c r="E197" s="118">
        <f t="shared" si="7"/>
        <v>0.44</v>
      </c>
      <c r="F197" s="118">
        <f t="shared" si="8"/>
        <v>0</v>
      </c>
    </row>
    <row r="198" spans="1:6">
      <c r="A198" s="9" t="s">
        <v>2459</v>
      </c>
      <c r="B198" s="9" t="s">
        <v>1537</v>
      </c>
      <c r="C198" s="118">
        <v>0.35470000000000002</v>
      </c>
      <c r="D198" s="118">
        <v>0.4</v>
      </c>
      <c r="E198" s="118">
        <f t="shared" si="7"/>
        <v>0.4</v>
      </c>
      <c r="F198" s="118">
        <f t="shared" si="8"/>
        <v>4.5300000000000007E-2</v>
      </c>
    </row>
    <row r="199" spans="1:6">
      <c r="A199" s="9" t="s">
        <v>2460</v>
      </c>
      <c r="B199" s="9" t="s">
        <v>1542</v>
      </c>
      <c r="C199" s="118">
        <v>0.70440000000000003</v>
      </c>
      <c r="D199" s="118">
        <v>0.60440000000000005</v>
      </c>
      <c r="E199" s="118">
        <f t="shared" si="7"/>
        <v>0.70440000000000003</v>
      </c>
      <c r="F199" s="118">
        <f t="shared" si="8"/>
        <v>0</v>
      </c>
    </row>
    <row r="200" spans="1:6">
      <c r="A200" s="9" t="s">
        <v>2461</v>
      </c>
      <c r="B200" s="9" t="s">
        <v>1546</v>
      </c>
      <c r="C200" s="118">
        <v>0.54559999999999997</v>
      </c>
      <c r="D200" s="118">
        <v>0.52059999999999995</v>
      </c>
      <c r="E200" s="118">
        <f t="shared" si="7"/>
        <v>0.54559999999999997</v>
      </c>
      <c r="F200" s="118">
        <f t="shared" si="8"/>
        <v>0</v>
      </c>
    </row>
    <row r="201" spans="1:6">
      <c r="A201" s="9" t="s">
        <v>2462</v>
      </c>
      <c r="B201" s="9" t="s">
        <v>1554</v>
      </c>
      <c r="C201" s="118">
        <v>0.51629999999999998</v>
      </c>
      <c r="D201" s="118">
        <v>0.50880000000000003</v>
      </c>
      <c r="E201" s="118">
        <f t="shared" si="7"/>
        <v>0.51629999999999998</v>
      </c>
      <c r="F201" s="118">
        <f t="shared" si="8"/>
        <v>0</v>
      </c>
    </row>
    <row r="202" spans="1:6">
      <c r="A202" s="9" t="s">
        <v>2463</v>
      </c>
      <c r="B202" s="9" t="s">
        <v>1562</v>
      </c>
      <c r="C202" s="118">
        <v>0.28989999999999999</v>
      </c>
      <c r="D202" s="118">
        <v>0.26500000000000001</v>
      </c>
      <c r="E202" s="118">
        <f t="shared" si="7"/>
        <v>0.28989999999999999</v>
      </c>
      <c r="F202" s="118">
        <f t="shared" si="8"/>
        <v>0</v>
      </c>
    </row>
    <row r="203" spans="1:6">
      <c r="A203" s="9" t="s">
        <v>2464</v>
      </c>
      <c r="B203" s="9" t="s">
        <v>1569</v>
      </c>
      <c r="C203" s="118">
        <v>0.55479999999999996</v>
      </c>
      <c r="D203" s="118">
        <v>0.58089999999999997</v>
      </c>
      <c r="E203" s="118">
        <f t="shared" si="7"/>
        <v>0.58089999999999997</v>
      </c>
      <c r="F203" s="118">
        <f t="shared" si="8"/>
        <v>2.6100000000000012E-2</v>
      </c>
    </row>
    <row r="204" spans="1:6">
      <c r="A204" s="9" t="s">
        <v>2465</v>
      </c>
      <c r="B204" s="9" t="s">
        <v>1573</v>
      </c>
      <c r="C204" s="118">
        <v>0.19209999999999999</v>
      </c>
      <c r="D204" s="118">
        <v>0.1893</v>
      </c>
      <c r="E204" s="118">
        <f t="shared" si="7"/>
        <v>0.19209999999999999</v>
      </c>
      <c r="F204" s="118">
        <f t="shared" si="8"/>
        <v>0</v>
      </c>
    </row>
    <row r="205" spans="1:6">
      <c r="A205" s="9" t="s">
        <v>2466</v>
      </c>
      <c r="B205" s="9" t="s">
        <v>1575</v>
      </c>
      <c r="C205" s="118">
        <v>0.63229999999999997</v>
      </c>
      <c r="D205" s="118">
        <v>0.62180000000000002</v>
      </c>
      <c r="E205" s="118">
        <f t="shared" si="7"/>
        <v>0.63229999999999997</v>
      </c>
      <c r="F205" s="118">
        <f t="shared" si="8"/>
        <v>0</v>
      </c>
    </row>
    <row r="206" spans="1:6">
      <c r="A206" s="9" t="s">
        <v>2468</v>
      </c>
      <c r="B206" s="9" t="s">
        <v>1585</v>
      </c>
      <c r="C206" s="118">
        <v>0.37140000000000001</v>
      </c>
      <c r="D206" s="118">
        <v>0.66269999999999996</v>
      </c>
      <c r="E206" s="118">
        <f t="shared" si="7"/>
        <v>0.66269999999999996</v>
      </c>
      <c r="F206" s="118">
        <f t="shared" si="8"/>
        <v>0.29129999999999995</v>
      </c>
    </row>
    <row r="207" spans="1:6">
      <c r="A207" s="9" t="s">
        <v>2469</v>
      </c>
      <c r="B207" s="9" t="s">
        <v>1587</v>
      </c>
      <c r="C207" s="118">
        <v>0.22409999999999999</v>
      </c>
      <c r="D207" s="118">
        <v>7.8100000000000003E-2</v>
      </c>
      <c r="E207" s="118">
        <f t="shared" si="7"/>
        <v>0.22409999999999999</v>
      </c>
      <c r="F207" s="118">
        <f t="shared" si="8"/>
        <v>0</v>
      </c>
    </row>
    <row r="208" spans="1:6">
      <c r="A208" s="9" t="s">
        <v>2470</v>
      </c>
      <c r="B208" s="9" t="s">
        <v>1589</v>
      </c>
      <c r="C208" s="118">
        <v>0.51160000000000005</v>
      </c>
      <c r="D208" s="118">
        <v>0.51160000000000005</v>
      </c>
      <c r="E208" s="118">
        <f t="shared" si="7"/>
        <v>0.51160000000000005</v>
      </c>
      <c r="F208" s="118">
        <f t="shared" si="8"/>
        <v>0</v>
      </c>
    </row>
    <row r="209" spans="1:6">
      <c r="A209" s="9" t="s">
        <v>2471</v>
      </c>
      <c r="B209" s="9" t="s">
        <v>1591</v>
      </c>
      <c r="C209" s="118">
        <v>0.51949999999999996</v>
      </c>
      <c r="D209" s="118">
        <v>0.51359999999999995</v>
      </c>
      <c r="E209" s="118">
        <f t="shared" si="7"/>
        <v>0.51949999999999996</v>
      </c>
      <c r="F209" s="118">
        <f t="shared" si="8"/>
        <v>0</v>
      </c>
    </row>
    <row r="210" spans="1:6">
      <c r="A210" s="9" t="s">
        <v>2472</v>
      </c>
      <c r="B210" s="9" t="s">
        <v>1594</v>
      </c>
      <c r="C210" s="118">
        <v>0.38479999999999998</v>
      </c>
      <c r="D210" s="118">
        <v>0.38140000000000002</v>
      </c>
      <c r="E210" s="118">
        <f t="shared" si="7"/>
        <v>0.38479999999999998</v>
      </c>
      <c r="F210" s="118">
        <f t="shared" si="8"/>
        <v>0</v>
      </c>
    </row>
    <row r="211" spans="1:6">
      <c r="A211" s="9" t="s">
        <v>2473</v>
      </c>
      <c r="B211" s="9" t="s">
        <v>1618</v>
      </c>
      <c r="C211" s="118">
        <v>0.2374</v>
      </c>
      <c r="D211" s="118">
        <v>0.25</v>
      </c>
      <c r="E211" s="118">
        <f t="shared" si="7"/>
        <v>0.25</v>
      </c>
      <c r="F211" s="118">
        <f t="shared" si="8"/>
        <v>1.26E-2</v>
      </c>
    </row>
    <row r="212" spans="1:6">
      <c r="A212" s="9" t="s">
        <v>2474</v>
      </c>
      <c r="B212" s="9" t="s">
        <v>1627</v>
      </c>
      <c r="C212" s="118">
        <v>0.49730000000000002</v>
      </c>
      <c r="D212" s="118">
        <v>0.48809999999999998</v>
      </c>
      <c r="E212" s="118">
        <f t="shared" si="7"/>
        <v>0.49730000000000002</v>
      </c>
      <c r="F212" s="118">
        <f t="shared" si="8"/>
        <v>0</v>
      </c>
    </row>
    <row r="213" spans="1:6">
      <c r="A213" s="9" t="s">
        <v>2475</v>
      </c>
      <c r="B213" s="9" t="s">
        <v>1645</v>
      </c>
      <c r="C213" s="118">
        <v>0.34379999999999999</v>
      </c>
      <c r="D213" s="118">
        <v>0.36670000000000003</v>
      </c>
      <c r="E213" s="118">
        <f t="shared" si="7"/>
        <v>0.36670000000000003</v>
      </c>
      <c r="F213" s="118">
        <f t="shared" si="8"/>
        <v>2.2900000000000031E-2</v>
      </c>
    </row>
    <row r="214" spans="1:6">
      <c r="A214" s="9" t="s">
        <v>2476</v>
      </c>
      <c r="B214" s="9" t="s">
        <v>1681</v>
      </c>
      <c r="C214" s="118">
        <v>0.32400000000000001</v>
      </c>
      <c r="D214" s="118">
        <v>0.32919999999999999</v>
      </c>
      <c r="E214" s="118">
        <f t="shared" si="7"/>
        <v>0.32919999999999999</v>
      </c>
      <c r="F214" s="118">
        <f t="shared" si="8"/>
        <v>5.1999999999999824E-3</v>
      </c>
    </row>
    <row r="215" spans="1:6">
      <c r="A215" s="9" t="s">
        <v>2477</v>
      </c>
      <c r="B215" s="9" t="s">
        <v>1689</v>
      </c>
      <c r="C215" s="118">
        <v>0.50609999999999999</v>
      </c>
      <c r="D215" s="118">
        <v>0.48349999999999999</v>
      </c>
      <c r="E215" s="118">
        <f t="shared" si="7"/>
        <v>0.50609999999999999</v>
      </c>
      <c r="F215" s="118">
        <f t="shared" si="8"/>
        <v>0</v>
      </c>
    </row>
    <row r="216" spans="1:6">
      <c r="A216" s="9" t="s">
        <v>2478</v>
      </c>
      <c r="B216" s="9" t="s">
        <v>1708</v>
      </c>
      <c r="C216" s="118">
        <v>0.5</v>
      </c>
      <c r="D216" s="118">
        <v>0.43330000000000002</v>
      </c>
      <c r="E216" s="118">
        <f t="shared" si="7"/>
        <v>0.5</v>
      </c>
      <c r="F216" s="118">
        <f t="shared" si="8"/>
        <v>0</v>
      </c>
    </row>
    <row r="217" spans="1:6">
      <c r="A217" s="9" t="s">
        <v>2479</v>
      </c>
      <c r="B217" s="9" t="s">
        <v>1710</v>
      </c>
      <c r="C217" s="118">
        <v>0.31219999999999998</v>
      </c>
      <c r="D217" s="118">
        <v>0.28210000000000002</v>
      </c>
      <c r="E217" s="118">
        <f t="shared" si="7"/>
        <v>0.31219999999999998</v>
      </c>
      <c r="F217" s="118">
        <f t="shared" si="8"/>
        <v>0</v>
      </c>
    </row>
    <row r="218" spans="1:6">
      <c r="A218" s="9" t="s">
        <v>2480</v>
      </c>
      <c r="B218" s="9" t="s">
        <v>1724</v>
      </c>
      <c r="C218" s="118">
        <v>0.19320000000000001</v>
      </c>
      <c r="D218" s="118">
        <v>0.1762</v>
      </c>
      <c r="E218" s="118">
        <f t="shared" si="7"/>
        <v>0.19320000000000001</v>
      </c>
      <c r="F218" s="118">
        <f t="shared" si="8"/>
        <v>0</v>
      </c>
    </row>
    <row r="219" spans="1:6">
      <c r="A219" s="9" t="s">
        <v>2481</v>
      </c>
      <c r="B219" s="9" t="s">
        <v>1740</v>
      </c>
      <c r="C219" s="118">
        <v>0.43070000000000003</v>
      </c>
      <c r="D219" s="118">
        <v>0.3659</v>
      </c>
      <c r="E219" s="118">
        <f t="shared" si="7"/>
        <v>0.43070000000000003</v>
      </c>
      <c r="F219" s="118">
        <f t="shared" si="8"/>
        <v>0</v>
      </c>
    </row>
    <row r="220" spans="1:6">
      <c r="A220" s="9" t="s">
        <v>2482</v>
      </c>
      <c r="B220" s="9" t="s">
        <v>1746</v>
      </c>
      <c r="C220" s="118">
        <v>0.55110000000000003</v>
      </c>
      <c r="D220" s="118">
        <v>0.55559999999999998</v>
      </c>
      <c r="E220" s="118">
        <f t="shared" si="7"/>
        <v>0.55559999999999998</v>
      </c>
      <c r="F220" s="118">
        <f t="shared" si="8"/>
        <v>4.4999999999999485E-3</v>
      </c>
    </row>
    <row r="221" spans="1:6">
      <c r="A221" s="9" t="s">
        <v>2483</v>
      </c>
      <c r="B221" s="9" t="s">
        <v>1752</v>
      </c>
      <c r="C221" s="118">
        <v>0.4501</v>
      </c>
      <c r="D221" s="118">
        <v>0.47520000000000001</v>
      </c>
      <c r="E221" s="118">
        <f t="shared" si="7"/>
        <v>0.47520000000000001</v>
      </c>
      <c r="F221" s="118">
        <f t="shared" si="8"/>
        <v>2.5100000000000011E-2</v>
      </c>
    </row>
    <row r="222" spans="1:6">
      <c r="A222" s="9" t="s">
        <v>2484</v>
      </c>
      <c r="B222" s="9" t="s">
        <v>1754</v>
      </c>
      <c r="C222" s="118">
        <v>0.42399999999999999</v>
      </c>
      <c r="D222" s="118">
        <v>0.46089999999999998</v>
      </c>
      <c r="E222" s="118">
        <f t="shared" si="7"/>
        <v>0.46089999999999998</v>
      </c>
      <c r="F222" s="118">
        <f t="shared" si="8"/>
        <v>3.6899999999999988E-2</v>
      </c>
    </row>
    <row r="223" spans="1:6">
      <c r="A223" s="9" t="s">
        <v>2485</v>
      </c>
      <c r="B223" s="9" t="s">
        <v>1761</v>
      </c>
      <c r="C223" s="118">
        <v>0.29210000000000003</v>
      </c>
      <c r="D223" s="118">
        <v>0.28179999999999999</v>
      </c>
      <c r="E223" s="118">
        <f t="shared" si="7"/>
        <v>0.29210000000000003</v>
      </c>
      <c r="F223" s="118">
        <f t="shared" si="8"/>
        <v>0</v>
      </c>
    </row>
    <row r="224" spans="1:6">
      <c r="A224" s="9" t="s">
        <v>2486</v>
      </c>
      <c r="B224" s="9" t="s">
        <v>1773</v>
      </c>
      <c r="C224" s="118">
        <v>0.59830000000000005</v>
      </c>
      <c r="D224" s="118">
        <v>0.58589999999999998</v>
      </c>
      <c r="E224" s="118">
        <f t="shared" si="7"/>
        <v>0.59830000000000005</v>
      </c>
      <c r="F224" s="118">
        <f t="shared" si="8"/>
        <v>0</v>
      </c>
    </row>
    <row r="225" spans="1:6">
      <c r="A225" s="9" t="s">
        <v>2487</v>
      </c>
      <c r="B225" s="9" t="s">
        <v>1822</v>
      </c>
      <c r="C225" s="118">
        <v>0.1111</v>
      </c>
      <c r="D225" s="118">
        <v>0.15579999999999999</v>
      </c>
      <c r="E225" s="118">
        <f t="shared" si="7"/>
        <v>0.15579999999999999</v>
      </c>
      <c r="F225" s="118">
        <f t="shared" si="8"/>
        <v>4.469999999999999E-2</v>
      </c>
    </row>
    <row r="226" spans="1:6">
      <c r="A226" s="9" t="s">
        <v>2488</v>
      </c>
      <c r="B226" s="9" t="s">
        <v>1824</v>
      </c>
      <c r="C226" s="118">
        <v>0.43330000000000002</v>
      </c>
      <c r="D226" s="118">
        <v>0.24390000000000001</v>
      </c>
      <c r="E226" s="118">
        <f t="shared" si="7"/>
        <v>0.43330000000000002</v>
      </c>
      <c r="F226" s="118">
        <f t="shared" si="8"/>
        <v>0</v>
      </c>
    </row>
    <row r="227" spans="1:6">
      <c r="A227" s="9" t="s">
        <v>2489</v>
      </c>
      <c r="B227" s="9" t="s">
        <v>1826</v>
      </c>
      <c r="C227" s="118">
        <v>0.2263</v>
      </c>
      <c r="D227" s="118">
        <v>0.2505</v>
      </c>
      <c r="E227" s="118">
        <f t="shared" si="7"/>
        <v>0.2505</v>
      </c>
      <c r="F227" s="118">
        <f t="shared" si="8"/>
        <v>2.4199999999999999E-2</v>
      </c>
    </row>
    <row r="228" spans="1:6">
      <c r="A228" s="9" t="s">
        <v>2490</v>
      </c>
      <c r="B228" s="9" t="s">
        <v>1832</v>
      </c>
      <c r="C228" s="118">
        <v>0.3533</v>
      </c>
      <c r="D228" s="118">
        <v>0.38279999999999997</v>
      </c>
      <c r="E228" s="118">
        <f t="shared" si="7"/>
        <v>0.38279999999999997</v>
      </c>
      <c r="F228" s="118">
        <f t="shared" si="8"/>
        <v>2.9499999999999971E-2</v>
      </c>
    </row>
    <row r="229" spans="1:6">
      <c r="A229" s="9" t="s">
        <v>2491</v>
      </c>
      <c r="B229" s="9" t="s">
        <v>1837</v>
      </c>
      <c r="C229" s="118">
        <v>0.26700000000000002</v>
      </c>
      <c r="D229" s="118">
        <v>0.29310000000000003</v>
      </c>
      <c r="E229" s="118">
        <f t="shared" si="7"/>
        <v>0.29310000000000003</v>
      </c>
      <c r="F229" s="118">
        <f t="shared" si="8"/>
        <v>2.6100000000000012E-2</v>
      </c>
    </row>
    <row r="230" spans="1:6">
      <c r="A230" s="9" t="s">
        <v>2492</v>
      </c>
      <c r="B230" s="9" t="s">
        <v>1849</v>
      </c>
      <c r="C230" s="118">
        <v>0.35980000000000001</v>
      </c>
      <c r="D230" s="118">
        <v>0.38200000000000001</v>
      </c>
      <c r="E230" s="118">
        <f t="shared" si="7"/>
        <v>0.38200000000000001</v>
      </c>
      <c r="F230" s="118">
        <f t="shared" si="8"/>
        <v>2.2199999999999998E-2</v>
      </c>
    </row>
    <row r="231" spans="1:6">
      <c r="A231" s="9" t="s">
        <v>2493</v>
      </c>
      <c r="B231" s="9" t="s">
        <v>1871</v>
      </c>
      <c r="C231" s="118">
        <v>0.2238</v>
      </c>
      <c r="D231" s="118">
        <v>0.2266</v>
      </c>
      <c r="E231" s="118">
        <f t="shared" si="7"/>
        <v>0.2266</v>
      </c>
      <c r="F231" s="118">
        <f t="shared" si="8"/>
        <v>2.7999999999999969E-3</v>
      </c>
    </row>
    <row r="232" spans="1:6">
      <c r="A232" s="9" t="s">
        <v>2494</v>
      </c>
      <c r="B232" s="9" t="s">
        <v>1875</v>
      </c>
      <c r="C232" s="118">
        <v>0.45519999999999999</v>
      </c>
      <c r="D232" s="118">
        <v>0.49630000000000002</v>
      </c>
      <c r="E232" s="118">
        <f t="shared" si="7"/>
        <v>0.49630000000000002</v>
      </c>
      <c r="F232" s="118">
        <f t="shared" si="8"/>
        <v>4.1100000000000025E-2</v>
      </c>
    </row>
    <row r="233" spans="1:6">
      <c r="A233" s="9" t="s">
        <v>2495</v>
      </c>
      <c r="B233" s="9" t="s">
        <v>1886</v>
      </c>
      <c r="C233" s="118">
        <v>0.54749999999999999</v>
      </c>
      <c r="D233" s="118">
        <v>0.54400000000000004</v>
      </c>
      <c r="E233" s="118">
        <f t="shared" si="7"/>
        <v>0.54749999999999999</v>
      </c>
      <c r="F233" s="118">
        <f t="shared" si="8"/>
        <v>0</v>
      </c>
    </row>
    <row r="234" spans="1:6">
      <c r="A234" s="9" t="s">
        <v>2496</v>
      </c>
      <c r="B234" s="9" t="s">
        <v>1895</v>
      </c>
      <c r="C234" s="118">
        <v>0.30070000000000002</v>
      </c>
      <c r="D234" s="118">
        <v>0.32419999999999999</v>
      </c>
      <c r="E234" s="118">
        <f t="shared" si="7"/>
        <v>0.32419999999999999</v>
      </c>
      <c r="F234" s="118">
        <f t="shared" si="8"/>
        <v>2.3499999999999965E-2</v>
      </c>
    </row>
    <row r="235" spans="1:6">
      <c r="A235" s="9" t="s">
        <v>2497</v>
      </c>
      <c r="B235" s="9" t="s">
        <v>1898</v>
      </c>
      <c r="C235" s="118">
        <v>0.52390000000000003</v>
      </c>
      <c r="D235" s="118">
        <v>0.51639999999999997</v>
      </c>
      <c r="E235" s="118">
        <f t="shared" si="7"/>
        <v>0.52390000000000003</v>
      </c>
      <c r="F235" s="118">
        <f t="shared" si="8"/>
        <v>0</v>
      </c>
    </row>
    <row r="236" spans="1:6">
      <c r="A236" s="9" t="s">
        <v>2498</v>
      </c>
      <c r="B236" s="9" t="s">
        <v>1908</v>
      </c>
      <c r="C236" s="118">
        <v>0.48470000000000002</v>
      </c>
      <c r="D236" s="118">
        <v>0.46929999999999999</v>
      </c>
      <c r="E236" s="118">
        <f t="shared" si="7"/>
        <v>0.48470000000000002</v>
      </c>
      <c r="F236" s="118">
        <f t="shared" si="8"/>
        <v>0</v>
      </c>
    </row>
    <row r="237" spans="1:6">
      <c r="A237" s="9" t="s">
        <v>2499</v>
      </c>
      <c r="B237" s="9" t="s">
        <v>1914</v>
      </c>
      <c r="C237" s="118">
        <v>0.48980000000000001</v>
      </c>
      <c r="D237" s="118">
        <v>0.50660000000000005</v>
      </c>
      <c r="E237" s="118">
        <f t="shared" si="7"/>
        <v>0.50660000000000005</v>
      </c>
      <c r="F237" s="118">
        <f t="shared" si="8"/>
        <v>1.6800000000000037E-2</v>
      </c>
    </row>
    <row r="238" spans="1:6">
      <c r="A238" s="9" t="s">
        <v>2503</v>
      </c>
      <c r="B238" s="9" t="s">
        <v>1923</v>
      </c>
      <c r="C238" s="118">
        <v>0.77080000000000004</v>
      </c>
      <c r="D238" s="118">
        <v>0.75</v>
      </c>
      <c r="E238" s="118">
        <f t="shared" si="7"/>
        <v>0.77080000000000004</v>
      </c>
      <c r="F238" s="118">
        <f t="shared" si="8"/>
        <v>0</v>
      </c>
    </row>
    <row r="239" spans="1:6">
      <c r="A239" s="9" t="s">
        <v>2504</v>
      </c>
      <c r="B239" s="9" t="s">
        <v>1925</v>
      </c>
      <c r="C239" s="118">
        <v>0.58360000000000001</v>
      </c>
      <c r="D239" s="118">
        <v>0.55810000000000004</v>
      </c>
      <c r="E239" s="118">
        <f t="shared" si="7"/>
        <v>0.58360000000000001</v>
      </c>
      <c r="F239" s="118">
        <f t="shared" si="8"/>
        <v>0</v>
      </c>
    </row>
    <row r="240" spans="1:6">
      <c r="A240" s="9" t="s">
        <v>2505</v>
      </c>
      <c r="B240" s="9" t="s">
        <v>1928</v>
      </c>
      <c r="C240" s="118">
        <v>0.8992</v>
      </c>
      <c r="D240" s="118">
        <v>0.77569999999999995</v>
      </c>
      <c r="E240" s="118">
        <f t="shared" si="7"/>
        <v>0.8992</v>
      </c>
      <c r="F240" s="118">
        <f t="shared" si="8"/>
        <v>0</v>
      </c>
    </row>
    <row r="241" spans="1:6">
      <c r="A241" s="9" t="s">
        <v>2506</v>
      </c>
      <c r="B241" s="9" t="s">
        <v>1932</v>
      </c>
      <c r="C241" s="118">
        <v>0.22850000000000001</v>
      </c>
      <c r="D241" s="118">
        <v>0.1852</v>
      </c>
      <c r="E241" s="118">
        <f t="shared" si="7"/>
        <v>0.22850000000000001</v>
      </c>
      <c r="F241" s="118">
        <f t="shared" si="8"/>
        <v>0</v>
      </c>
    </row>
    <row r="242" spans="1:6">
      <c r="A242" s="9" t="s">
        <v>2507</v>
      </c>
      <c r="B242" s="9" t="s">
        <v>1936</v>
      </c>
      <c r="C242" s="118">
        <v>0.53720000000000001</v>
      </c>
      <c r="D242" s="118">
        <v>0.51900000000000002</v>
      </c>
      <c r="E242" s="118">
        <f t="shared" si="7"/>
        <v>0.53720000000000001</v>
      </c>
      <c r="F242" s="118">
        <f t="shared" si="8"/>
        <v>0</v>
      </c>
    </row>
    <row r="243" spans="1:6">
      <c r="A243" s="9" t="s">
        <v>2508</v>
      </c>
      <c r="B243" s="9" t="s">
        <v>1942</v>
      </c>
      <c r="C243" s="118">
        <v>0.56200000000000006</v>
      </c>
      <c r="D243" s="118">
        <v>0.39910000000000001</v>
      </c>
      <c r="E243" s="118">
        <f t="shared" si="7"/>
        <v>0.56200000000000006</v>
      </c>
      <c r="F243" s="118">
        <f t="shared" si="8"/>
        <v>0</v>
      </c>
    </row>
    <row r="244" spans="1:6">
      <c r="A244" s="9" t="s">
        <v>2509</v>
      </c>
      <c r="B244" s="9" t="s">
        <v>1945</v>
      </c>
      <c r="C244" s="118">
        <v>0.84930000000000005</v>
      </c>
      <c r="D244" s="118">
        <v>0.8</v>
      </c>
      <c r="E244" s="118">
        <f t="shared" si="7"/>
        <v>0.84930000000000005</v>
      </c>
      <c r="F244" s="118">
        <f t="shared" si="8"/>
        <v>0</v>
      </c>
    </row>
    <row r="245" spans="1:6">
      <c r="A245" s="9" t="s">
        <v>2510</v>
      </c>
      <c r="B245" s="9" t="s">
        <v>1947</v>
      </c>
      <c r="C245" s="118">
        <v>0.83330000000000004</v>
      </c>
      <c r="D245" s="118">
        <v>0.79410000000000003</v>
      </c>
      <c r="E245" s="118">
        <f t="shared" si="7"/>
        <v>0.83330000000000004</v>
      </c>
      <c r="F245" s="118">
        <f t="shared" si="8"/>
        <v>0</v>
      </c>
    </row>
    <row r="246" spans="1:6">
      <c r="A246" s="9" t="s">
        <v>2511</v>
      </c>
      <c r="B246" s="9" t="s">
        <v>1949</v>
      </c>
      <c r="C246" s="118">
        <v>0.72550000000000003</v>
      </c>
      <c r="D246" s="118">
        <v>0.8</v>
      </c>
      <c r="E246" s="118">
        <f t="shared" si="7"/>
        <v>0.8</v>
      </c>
      <c r="F246" s="118">
        <f t="shared" si="8"/>
        <v>7.4500000000000011E-2</v>
      </c>
    </row>
    <row r="247" spans="1:6">
      <c r="A247" s="9" t="s">
        <v>2512</v>
      </c>
      <c r="B247" s="9" t="s">
        <v>1951</v>
      </c>
      <c r="C247" s="118">
        <v>0.78349999999999997</v>
      </c>
      <c r="D247" s="118">
        <v>0.74470000000000003</v>
      </c>
      <c r="E247" s="118">
        <f t="shared" si="7"/>
        <v>0.78349999999999997</v>
      </c>
      <c r="F247" s="118">
        <f t="shared" si="8"/>
        <v>0</v>
      </c>
    </row>
    <row r="248" spans="1:6">
      <c r="A248" s="9" t="s">
        <v>2513</v>
      </c>
      <c r="B248" s="9" t="s">
        <v>1955</v>
      </c>
      <c r="C248" s="118">
        <v>0.6351</v>
      </c>
      <c r="D248" s="118">
        <v>0.66810000000000003</v>
      </c>
      <c r="E248" s="118">
        <f t="shared" si="7"/>
        <v>0.66810000000000003</v>
      </c>
      <c r="F248" s="118">
        <f t="shared" si="8"/>
        <v>3.3000000000000029E-2</v>
      </c>
    </row>
    <row r="249" spans="1:6">
      <c r="A249" s="9" t="s">
        <v>2514</v>
      </c>
      <c r="B249" s="9" t="s">
        <v>1959</v>
      </c>
      <c r="C249" s="118">
        <v>0.53800000000000003</v>
      </c>
      <c r="D249" s="118">
        <v>0.46750000000000003</v>
      </c>
      <c r="E249" s="118">
        <f t="shared" si="7"/>
        <v>0.53800000000000003</v>
      </c>
      <c r="F249" s="118">
        <f t="shared" si="8"/>
        <v>0</v>
      </c>
    </row>
    <row r="250" spans="1:6">
      <c r="A250" s="9" t="s">
        <v>2515</v>
      </c>
      <c r="B250" s="9" t="s">
        <v>1964</v>
      </c>
      <c r="C250" s="118">
        <v>0.46560000000000001</v>
      </c>
      <c r="D250" s="118">
        <v>0.42499999999999999</v>
      </c>
      <c r="E250" s="118">
        <f t="shared" si="7"/>
        <v>0.46560000000000001</v>
      </c>
      <c r="F250" s="118">
        <f t="shared" si="8"/>
        <v>0</v>
      </c>
    </row>
    <row r="251" spans="1:6">
      <c r="A251" s="9" t="s">
        <v>2516</v>
      </c>
      <c r="B251" s="9" t="s">
        <v>1975</v>
      </c>
      <c r="C251" s="118">
        <v>0.43209999999999998</v>
      </c>
      <c r="D251" s="118">
        <v>0.42859999999999998</v>
      </c>
      <c r="E251" s="118">
        <f t="shared" si="7"/>
        <v>0.43209999999999998</v>
      </c>
      <c r="F251" s="118">
        <f t="shared" si="8"/>
        <v>0</v>
      </c>
    </row>
    <row r="252" spans="1:6">
      <c r="A252" s="9" t="s">
        <v>2517</v>
      </c>
      <c r="B252" s="9" t="s">
        <v>1995</v>
      </c>
      <c r="C252" s="118">
        <v>0.3085</v>
      </c>
      <c r="D252" s="118">
        <v>0.30680000000000002</v>
      </c>
      <c r="E252" s="118">
        <f t="shared" si="7"/>
        <v>0.3085</v>
      </c>
      <c r="F252" s="118">
        <f t="shared" si="8"/>
        <v>0</v>
      </c>
    </row>
    <row r="253" spans="1:6">
      <c r="A253" s="9" t="s">
        <v>2518</v>
      </c>
      <c r="B253" s="9" t="s">
        <v>2007</v>
      </c>
      <c r="C253" s="118">
        <v>0.29320000000000002</v>
      </c>
      <c r="D253" s="118">
        <v>0.30070000000000002</v>
      </c>
      <c r="E253" s="118">
        <f t="shared" si="7"/>
        <v>0.30070000000000002</v>
      </c>
      <c r="F253" s="118">
        <f t="shared" si="8"/>
        <v>7.5000000000000067E-3</v>
      </c>
    </row>
    <row r="254" spans="1:6">
      <c r="A254" s="9" t="s">
        <v>2519</v>
      </c>
      <c r="B254" s="9" t="s">
        <v>2021</v>
      </c>
      <c r="C254" s="118">
        <v>0.40910000000000002</v>
      </c>
      <c r="D254" s="118">
        <v>0.4415</v>
      </c>
      <c r="E254" s="118">
        <f t="shared" si="7"/>
        <v>0.4415</v>
      </c>
      <c r="F254" s="118">
        <f t="shared" si="8"/>
        <v>3.2399999999999984E-2</v>
      </c>
    </row>
    <row r="255" spans="1:6">
      <c r="A255" s="9" t="s">
        <v>2520</v>
      </c>
      <c r="B255" s="9" t="s">
        <v>2023</v>
      </c>
      <c r="C255" s="118">
        <v>0.17130000000000001</v>
      </c>
      <c r="D255" s="118">
        <v>0.1706</v>
      </c>
      <c r="E255" s="118">
        <f t="shared" si="7"/>
        <v>0.17130000000000001</v>
      </c>
      <c r="F255" s="118">
        <f t="shared" si="8"/>
        <v>0</v>
      </c>
    </row>
    <row r="256" spans="1:6">
      <c r="A256" s="9" t="s">
        <v>2521</v>
      </c>
      <c r="B256" s="9" t="s">
        <v>2025</v>
      </c>
      <c r="C256" s="118">
        <v>0.48509999999999998</v>
      </c>
      <c r="D256" s="118">
        <v>0.51419999999999999</v>
      </c>
      <c r="E256" s="118">
        <f t="shared" si="7"/>
        <v>0.51419999999999999</v>
      </c>
      <c r="F256" s="118">
        <f t="shared" si="8"/>
        <v>2.9100000000000015E-2</v>
      </c>
    </row>
    <row r="257" spans="1:6">
      <c r="A257" s="9" t="s">
        <v>2522</v>
      </c>
      <c r="B257" s="9" t="s">
        <v>2031</v>
      </c>
      <c r="C257" s="118">
        <v>0.4728</v>
      </c>
      <c r="D257" s="118">
        <v>0.47820000000000001</v>
      </c>
      <c r="E257" s="118">
        <f t="shared" si="7"/>
        <v>0.47820000000000001</v>
      </c>
      <c r="F257" s="118">
        <f t="shared" si="8"/>
        <v>5.4000000000000159E-3</v>
      </c>
    </row>
    <row r="258" spans="1:6">
      <c r="A258" s="9" t="s">
        <v>2710</v>
      </c>
      <c r="B258" s="9" t="s">
        <v>2820</v>
      </c>
      <c r="C258" s="118">
        <v>0.9919</v>
      </c>
      <c r="D258" s="118">
        <v>0.81399999999999995</v>
      </c>
      <c r="E258" s="118">
        <f t="shared" si="7"/>
        <v>0.9919</v>
      </c>
      <c r="F258" s="118">
        <f t="shared" si="8"/>
        <v>0</v>
      </c>
    </row>
    <row r="259" spans="1:6">
      <c r="A259" s="9" t="s">
        <v>2524</v>
      </c>
      <c r="B259" s="9" t="s">
        <v>2036</v>
      </c>
      <c r="C259" s="118">
        <v>0.57789999999999997</v>
      </c>
      <c r="D259" s="118">
        <v>0.64859999999999995</v>
      </c>
      <c r="E259" s="118">
        <f t="shared" si="7"/>
        <v>0.64859999999999995</v>
      </c>
      <c r="F259" s="118">
        <f t="shared" si="8"/>
        <v>7.0699999999999985E-2</v>
      </c>
    </row>
    <row r="260" spans="1:6">
      <c r="A260" s="9" t="s">
        <v>2525</v>
      </c>
      <c r="B260" s="9" t="s">
        <v>2039</v>
      </c>
      <c r="C260" s="118">
        <v>1</v>
      </c>
      <c r="D260" s="118">
        <v>1</v>
      </c>
      <c r="E260" s="118">
        <f t="shared" ref="E260:E320" si="9">MAX(D260,C260)</f>
        <v>1</v>
      </c>
      <c r="F260" s="118">
        <f t="shared" ref="F260:F320" si="10">E260-C260</f>
        <v>0</v>
      </c>
    </row>
    <row r="261" spans="1:6">
      <c r="A261" s="9" t="s">
        <v>2526</v>
      </c>
      <c r="B261" s="9" t="s">
        <v>2041</v>
      </c>
      <c r="C261" s="118">
        <v>0.55130000000000001</v>
      </c>
      <c r="D261" s="118">
        <v>0.55479999999999996</v>
      </c>
      <c r="E261" s="118">
        <f t="shared" si="9"/>
        <v>0.55479999999999996</v>
      </c>
      <c r="F261" s="118">
        <f t="shared" si="10"/>
        <v>3.4999999999999476E-3</v>
      </c>
    </row>
    <row r="262" spans="1:6">
      <c r="A262" s="9" t="s">
        <v>2527</v>
      </c>
      <c r="B262" s="9" t="s">
        <v>2049</v>
      </c>
      <c r="C262" s="118">
        <v>0.54490000000000005</v>
      </c>
      <c r="D262" s="118">
        <v>0.56679999999999997</v>
      </c>
      <c r="E262" s="118">
        <f t="shared" si="9"/>
        <v>0.56679999999999997</v>
      </c>
      <c r="F262" s="118">
        <f t="shared" si="10"/>
        <v>2.189999999999992E-2</v>
      </c>
    </row>
    <row r="263" spans="1:6">
      <c r="A263" s="9" t="s">
        <v>2528</v>
      </c>
      <c r="B263" s="9" t="s">
        <v>2053</v>
      </c>
      <c r="C263" s="118">
        <v>0.49759999999999999</v>
      </c>
      <c r="D263" s="118">
        <v>0.55400000000000005</v>
      </c>
      <c r="E263" s="118">
        <f t="shared" si="9"/>
        <v>0.55400000000000005</v>
      </c>
      <c r="F263" s="118">
        <f t="shared" si="10"/>
        <v>5.6400000000000061E-2</v>
      </c>
    </row>
    <row r="264" spans="1:6">
      <c r="A264" s="9" t="s">
        <v>2529</v>
      </c>
      <c r="B264" s="9" t="s">
        <v>2055</v>
      </c>
      <c r="C264" s="118">
        <v>0.56020000000000003</v>
      </c>
      <c r="D264" s="118">
        <v>0.54339999999999999</v>
      </c>
      <c r="E264" s="118">
        <f t="shared" si="9"/>
        <v>0.56020000000000003</v>
      </c>
      <c r="F264" s="118">
        <f t="shared" si="10"/>
        <v>0</v>
      </c>
    </row>
    <row r="265" spans="1:6">
      <c r="A265" s="9" t="s">
        <v>2530</v>
      </c>
      <c r="B265" s="9" t="s">
        <v>2057</v>
      </c>
      <c r="C265" s="118">
        <v>0.56779999999999997</v>
      </c>
      <c r="D265" s="118">
        <v>0.51759999999999995</v>
      </c>
      <c r="E265" s="118">
        <f t="shared" si="9"/>
        <v>0.56779999999999997</v>
      </c>
      <c r="F265" s="118">
        <f t="shared" si="10"/>
        <v>0</v>
      </c>
    </row>
    <row r="266" spans="1:6">
      <c r="A266" s="9" t="s">
        <v>2531</v>
      </c>
      <c r="B266" s="9" t="s">
        <v>2061</v>
      </c>
      <c r="C266" s="118">
        <v>0.83189999999999997</v>
      </c>
      <c r="D266" s="118">
        <v>0.93959999999999999</v>
      </c>
      <c r="E266" s="118">
        <f t="shared" si="9"/>
        <v>0.93959999999999999</v>
      </c>
      <c r="F266" s="118">
        <f t="shared" si="10"/>
        <v>0.10770000000000002</v>
      </c>
    </row>
    <row r="267" spans="1:6">
      <c r="A267" s="9" t="s">
        <v>2532</v>
      </c>
      <c r="B267" s="9" t="s">
        <v>2064</v>
      </c>
      <c r="C267" s="118">
        <v>0.38069999999999998</v>
      </c>
      <c r="D267" s="118">
        <v>0.34</v>
      </c>
      <c r="E267" s="118">
        <f t="shared" si="9"/>
        <v>0.38069999999999998</v>
      </c>
      <c r="F267" s="118">
        <f t="shared" si="10"/>
        <v>0</v>
      </c>
    </row>
    <row r="268" spans="1:6">
      <c r="A268" s="9" t="s">
        <v>2533</v>
      </c>
      <c r="B268" s="9" t="s">
        <v>2088</v>
      </c>
      <c r="C268" s="118">
        <v>0.48709999999999998</v>
      </c>
      <c r="D268" s="118">
        <v>0.48010000000000003</v>
      </c>
      <c r="E268" s="118">
        <f t="shared" si="9"/>
        <v>0.48709999999999998</v>
      </c>
      <c r="F268" s="118">
        <f t="shared" si="10"/>
        <v>0</v>
      </c>
    </row>
    <row r="269" spans="1:6">
      <c r="A269" s="9" t="s">
        <v>2534</v>
      </c>
      <c r="B269" s="9" t="s">
        <v>2096</v>
      </c>
      <c r="C269" s="118">
        <v>0.45669999999999999</v>
      </c>
      <c r="D269" s="118">
        <v>0.46639999999999998</v>
      </c>
      <c r="E269" s="118">
        <f t="shared" si="9"/>
        <v>0.46639999999999998</v>
      </c>
      <c r="F269" s="118">
        <f t="shared" si="10"/>
        <v>9.6999999999999864E-3</v>
      </c>
    </row>
    <row r="270" spans="1:6">
      <c r="A270" s="9" t="s">
        <v>2535</v>
      </c>
      <c r="B270" s="9" t="s">
        <v>2103</v>
      </c>
      <c r="C270" s="118">
        <v>0.2417</v>
      </c>
      <c r="D270" s="118">
        <v>0.32329999999999998</v>
      </c>
      <c r="E270" s="118">
        <f t="shared" si="9"/>
        <v>0.32329999999999998</v>
      </c>
      <c r="F270" s="118">
        <f t="shared" si="10"/>
        <v>8.1599999999999978E-2</v>
      </c>
    </row>
    <row r="271" spans="1:6">
      <c r="A271" s="9" t="s">
        <v>2536</v>
      </c>
      <c r="B271" s="9" t="s">
        <v>2110</v>
      </c>
      <c r="C271" s="118">
        <v>0.2457</v>
      </c>
      <c r="D271" s="118">
        <v>0.37790000000000001</v>
      </c>
      <c r="E271" s="118">
        <f t="shared" si="9"/>
        <v>0.37790000000000001</v>
      </c>
      <c r="F271" s="118">
        <f t="shared" si="10"/>
        <v>0.13220000000000001</v>
      </c>
    </row>
    <row r="272" spans="1:6">
      <c r="A272" s="9" t="s">
        <v>2537</v>
      </c>
      <c r="B272" s="9" t="s">
        <v>2115</v>
      </c>
      <c r="C272" s="118">
        <v>0.50629999999999997</v>
      </c>
      <c r="D272" s="118">
        <v>0.5454</v>
      </c>
      <c r="E272" s="118">
        <f t="shared" si="9"/>
        <v>0.5454</v>
      </c>
      <c r="F272" s="118">
        <f t="shared" si="10"/>
        <v>3.9100000000000024E-2</v>
      </c>
    </row>
    <row r="273" spans="1:6">
      <c r="A273" s="9" t="s">
        <v>2538</v>
      </c>
      <c r="B273" s="9" t="s">
        <v>2121</v>
      </c>
      <c r="C273" s="118">
        <v>0.55310000000000004</v>
      </c>
      <c r="D273" s="118">
        <v>0.53180000000000005</v>
      </c>
      <c r="E273" s="118">
        <f t="shared" si="9"/>
        <v>0.55310000000000004</v>
      </c>
      <c r="F273" s="118">
        <f t="shared" si="10"/>
        <v>0</v>
      </c>
    </row>
    <row r="274" spans="1:6">
      <c r="A274" s="9" t="s">
        <v>2539</v>
      </c>
      <c r="B274" s="9" t="s">
        <v>2128</v>
      </c>
      <c r="C274" s="118">
        <v>0.92859999999999998</v>
      </c>
      <c r="D274" s="118">
        <v>0.9375</v>
      </c>
      <c r="E274" s="118">
        <f t="shared" si="9"/>
        <v>0.9375</v>
      </c>
      <c r="F274" s="118">
        <f t="shared" si="10"/>
        <v>8.900000000000019E-3</v>
      </c>
    </row>
    <row r="275" spans="1:6">
      <c r="A275" s="9" t="s">
        <v>2540</v>
      </c>
      <c r="B275" s="9" t="s">
        <v>2130</v>
      </c>
      <c r="C275" s="118">
        <v>0.42470000000000002</v>
      </c>
      <c r="D275" s="118">
        <v>0.34379999999999999</v>
      </c>
      <c r="E275" s="118">
        <f t="shared" si="9"/>
        <v>0.42470000000000002</v>
      </c>
      <c r="F275" s="118">
        <f t="shared" si="10"/>
        <v>0</v>
      </c>
    </row>
    <row r="276" spans="1:6">
      <c r="A276" s="9" t="s">
        <v>2541</v>
      </c>
      <c r="B276" s="9" t="s">
        <v>2133</v>
      </c>
      <c r="C276" s="118">
        <v>0.59460000000000002</v>
      </c>
      <c r="D276" s="118">
        <v>0.73529999999999995</v>
      </c>
      <c r="E276" s="118">
        <f t="shared" si="9"/>
        <v>0.73529999999999995</v>
      </c>
      <c r="F276" s="118">
        <f t="shared" si="10"/>
        <v>0.14069999999999994</v>
      </c>
    </row>
    <row r="277" spans="1:6">
      <c r="A277" s="9" t="s">
        <v>2542</v>
      </c>
      <c r="B277" s="9" t="s">
        <v>2135</v>
      </c>
      <c r="C277" s="118">
        <v>0.65629999999999999</v>
      </c>
      <c r="D277" s="118">
        <v>0.5897</v>
      </c>
      <c r="E277" s="118">
        <f t="shared" si="9"/>
        <v>0.65629999999999999</v>
      </c>
      <c r="F277" s="118">
        <f t="shared" si="10"/>
        <v>0</v>
      </c>
    </row>
    <row r="278" spans="1:6">
      <c r="A278" s="9" t="s">
        <v>2543</v>
      </c>
      <c r="B278" s="9" t="s">
        <v>2138</v>
      </c>
      <c r="C278" s="118">
        <v>0.31159999999999999</v>
      </c>
      <c r="D278" s="118">
        <v>0.3155</v>
      </c>
      <c r="E278" s="118">
        <f t="shared" si="9"/>
        <v>0.3155</v>
      </c>
      <c r="F278" s="118">
        <f t="shared" si="10"/>
        <v>3.9000000000000146E-3</v>
      </c>
    </row>
    <row r="279" spans="1:6">
      <c r="A279" s="9" t="s">
        <v>2544</v>
      </c>
      <c r="B279" s="9" t="s">
        <v>2140</v>
      </c>
      <c r="C279" s="118">
        <v>0.32319999999999999</v>
      </c>
      <c r="D279" s="118">
        <v>0.30769999999999997</v>
      </c>
      <c r="E279" s="118">
        <f t="shared" si="9"/>
        <v>0.32319999999999999</v>
      </c>
      <c r="F279" s="118">
        <f t="shared" si="10"/>
        <v>0</v>
      </c>
    </row>
    <row r="280" spans="1:6">
      <c r="A280" s="9" t="s">
        <v>2545</v>
      </c>
      <c r="B280" s="9" t="s">
        <v>2143</v>
      </c>
      <c r="C280" s="118">
        <v>0.36420000000000002</v>
      </c>
      <c r="D280" s="118">
        <v>0.31719999999999998</v>
      </c>
      <c r="E280" s="118">
        <f t="shared" si="9"/>
        <v>0.36420000000000002</v>
      </c>
      <c r="F280" s="118">
        <f t="shared" si="10"/>
        <v>0</v>
      </c>
    </row>
    <row r="281" spans="1:6">
      <c r="A281" s="9" t="s">
        <v>2546</v>
      </c>
      <c r="B281" s="9" t="s">
        <v>2147</v>
      </c>
      <c r="C281" s="118">
        <v>0.52249999999999996</v>
      </c>
      <c r="D281" s="118">
        <v>0.48</v>
      </c>
      <c r="E281" s="118">
        <f t="shared" si="9"/>
        <v>0.52249999999999996</v>
      </c>
      <c r="F281" s="118">
        <f t="shared" si="10"/>
        <v>0</v>
      </c>
    </row>
    <row r="282" spans="1:6">
      <c r="A282" s="9" t="s">
        <v>2547</v>
      </c>
      <c r="B282" s="9" t="s">
        <v>2150</v>
      </c>
      <c r="C282" s="118">
        <v>0</v>
      </c>
      <c r="D282" s="118">
        <v>0</v>
      </c>
      <c r="E282" s="118">
        <f t="shared" si="9"/>
        <v>0</v>
      </c>
      <c r="F282" s="118">
        <f t="shared" si="10"/>
        <v>0</v>
      </c>
    </row>
    <row r="283" spans="1:6">
      <c r="A283" s="9" t="s">
        <v>2548</v>
      </c>
      <c r="B283" s="9" t="s">
        <v>2152</v>
      </c>
      <c r="C283" s="118">
        <v>0.31009999999999999</v>
      </c>
      <c r="D283" s="118">
        <v>0.23760000000000001</v>
      </c>
      <c r="E283" s="118">
        <f t="shared" si="9"/>
        <v>0.31009999999999999</v>
      </c>
      <c r="F283" s="118">
        <f t="shared" si="10"/>
        <v>0</v>
      </c>
    </row>
    <row r="284" spans="1:6">
      <c r="A284" s="9" t="s">
        <v>2549</v>
      </c>
      <c r="B284" s="9" t="s">
        <v>2154</v>
      </c>
      <c r="C284" s="118">
        <v>0.5625</v>
      </c>
      <c r="D284" s="118">
        <v>0.59379999999999999</v>
      </c>
      <c r="E284" s="118">
        <f t="shared" si="9"/>
        <v>0.59379999999999999</v>
      </c>
      <c r="F284" s="118">
        <f t="shared" si="10"/>
        <v>3.1299999999999994E-2</v>
      </c>
    </row>
    <row r="285" spans="1:6">
      <c r="A285" s="9" t="s">
        <v>2550</v>
      </c>
      <c r="B285" s="9" t="s">
        <v>2156</v>
      </c>
      <c r="C285" s="118">
        <v>0.63690000000000002</v>
      </c>
      <c r="D285" s="118">
        <v>0.61619999999999997</v>
      </c>
      <c r="E285" s="118">
        <f t="shared" si="9"/>
        <v>0.63690000000000002</v>
      </c>
      <c r="F285" s="118">
        <f t="shared" si="10"/>
        <v>0</v>
      </c>
    </row>
    <row r="286" spans="1:6">
      <c r="A286" s="9" t="s">
        <v>2551</v>
      </c>
      <c r="B286" s="9" t="s">
        <v>2158</v>
      </c>
      <c r="C286" s="118">
        <v>0.4919</v>
      </c>
      <c r="D286" s="118">
        <v>0.36499999999999999</v>
      </c>
      <c r="E286" s="118">
        <f t="shared" si="9"/>
        <v>0.4919</v>
      </c>
      <c r="F286" s="118">
        <f t="shared" si="10"/>
        <v>0</v>
      </c>
    </row>
    <row r="287" spans="1:6">
      <c r="A287" s="9" t="s">
        <v>2552</v>
      </c>
      <c r="B287" s="9" t="s">
        <v>2161</v>
      </c>
      <c r="C287" s="118">
        <v>0.3987</v>
      </c>
      <c r="D287" s="118">
        <v>0.3659</v>
      </c>
      <c r="E287" s="118">
        <f t="shared" si="9"/>
        <v>0.3987</v>
      </c>
      <c r="F287" s="118">
        <f t="shared" si="10"/>
        <v>0</v>
      </c>
    </row>
    <row r="288" spans="1:6">
      <c r="A288" s="9" t="s">
        <v>2553</v>
      </c>
      <c r="B288" s="9" t="s">
        <v>2164</v>
      </c>
      <c r="C288" s="118">
        <v>0.92410000000000003</v>
      </c>
      <c r="D288" s="118">
        <v>0.93140000000000001</v>
      </c>
      <c r="E288" s="118">
        <f t="shared" si="9"/>
        <v>0.93140000000000001</v>
      </c>
      <c r="F288" s="118">
        <f t="shared" si="10"/>
        <v>7.2999999999999732E-3</v>
      </c>
    </row>
    <row r="289" spans="1:6">
      <c r="A289" s="9" t="s">
        <v>2554</v>
      </c>
      <c r="B289" s="9" t="s">
        <v>2166</v>
      </c>
      <c r="C289" s="118">
        <v>0.52549999999999997</v>
      </c>
      <c r="D289" s="118">
        <v>0.49680000000000002</v>
      </c>
      <c r="E289" s="118">
        <f t="shared" si="9"/>
        <v>0.52549999999999997</v>
      </c>
      <c r="F289" s="118">
        <f t="shared" si="10"/>
        <v>0</v>
      </c>
    </row>
    <row r="290" spans="1:6">
      <c r="A290" s="9" t="s">
        <v>2555</v>
      </c>
      <c r="B290" s="9" t="s">
        <v>2170</v>
      </c>
      <c r="C290" s="118">
        <v>0.8538</v>
      </c>
      <c r="D290" s="118">
        <v>0.76900000000000002</v>
      </c>
      <c r="E290" s="118">
        <f t="shared" si="9"/>
        <v>0.8538</v>
      </c>
      <c r="F290" s="118">
        <f t="shared" si="10"/>
        <v>0</v>
      </c>
    </row>
    <row r="291" spans="1:6">
      <c r="A291" s="9" t="s">
        <v>2556</v>
      </c>
      <c r="B291" s="9" t="s">
        <v>2190</v>
      </c>
      <c r="C291" s="118">
        <v>0.58460000000000001</v>
      </c>
      <c r="D291" s="118">
        <v>0.56830000000000003</v>
      </c>
      <c r="E291" s="118">
        <f t="shared" si="9"/>
        <v>0.58460000000000001</v>
      </c>
      <c r="F291" s="118">
        <f t="shared" si="10"/>
        <v>0</v>
      </c>
    </row>
    <row r="292" spans="1:6">
      <c r="A292" s="9" t="s">
        <v>2557</v>
      </c>
      <c r="B292" s="9" t="s">
        <v>2195</v>
      </c>
      <c r="C292" s="118">
        <v>0.55589999999999995</v>
      </c>
      <c r="D292" s="118">
        <v>0.50160000000000005</v>
      </c>
      <c r="E292" s="118">
        <f t="shared" si="9"/>
        <v>0.55589999999999995</v>
      </c>
      <c r="F292" s="118">
        <f t="shared" si="10"/>
        <v>0</v>
      </c>
    </row>
    <row r="293" spans="1:6">
      <c r="A293" s="9" t="s">
        <v>2558</v>
      </c>
      <c r="B293" s="9" t="s">
        <v>2201</v>
      </c>
      <c r="C293" s="118">
        <v>0.99119999999999997</v>
      </c>
      <c r="D293" s="118">
        <v>0.92049999999999998</v>
      </c>
      <c r="E293" s="118">
        <f t="shared" si="9"/>
        <v>0.99119999999999997</v>
      </c>
      <c r="F293" s="118">
        <f t="shared" si="10"/>
        <v>0</v>
      </c>
    </row>
    <row r="294" spans="1:6">
      <c r="A294" s="9" t="s">
        <v>2559</v>
      </c>
      <c r="B294" s="9" t="s">
        <v>2204</v>
      </c>
      <c r="C294" s="118">
        <v>0.84809999999999997</v>
      </c>
      <c r="D294" s="118">
        <v>0.85250000000000004</v>
      </c>
      <c r="E294" s="118">
        <f t="shared" si="9"/>
        <v>0.85250000000000004</v>
      </c>
      <c r="F294" s="118">
        <f t="shared" si="10"/>
        <v>4.4000000000000705E-3</v>
      </c>
    </row>
    <row r="295" spans="1:6">
      <c r="A295" s="9" t="s">
        <v>2560</v>
      </c>
      <c r="B295" s="9" t="s">
        <v>2212</v>
      </c>
      <c r="C295" s="118">
        <v>0.93879999999999997</v>
      </c>
      <c r="D295" s="118">
        <v>0.84809999999999997</v>
      </c>
      <c r="E295" s="118">
        <f t="shared" si="9"/>
        <v>0.93879999999999997</v>
      </c>
      <c r="F295" s="118">
        <f t="shared" si="10"/>
        <v>0</v>
      </c>
    </row>
    <row r="296" spans="1:6">
      <c r="A296" s="9" t="s">
        <v>2561</v>
      </c>
      <c r="B296" s="9" t="s">
        <v>2220</v>
      </c>
      <c r="C296" s="118">
        <v>0.93710000000000004</v>
      </c>
      <c r="D296" s="118">
        <v>0.87760000000000005</v>
      </c>
      <c r="E296" s="118">
        <f t="shared" si="9"/>
        <v>0.93710000000000004</v>
      </c>
      <c r="F296" s="118">
        <f t="shared" si="10"/>
        <v>0</v>
      </c>
    </row>
    <row r="297" spans="1:6">
      <c r="A297" s="9" t="s">
        <v>2562</v>
      </c>
      <c r="B297" s="9" t="s">
        <v>2227</v>
      </c>
      <c r="C297" s="118">
        <v>0.80530000000000002</v>
      </c>
      <c r="D297" s="118">
        <v>0.82350000000000001</v>
      </c>
      <c r="E297" s="118">
        <f t="shared" si="9"/>
        <v>0.82350000000000001</v>
      </c>
      <c r="F297" s="118">
        <f t="shared" si="10"/>
        <v>1.8199999999999994E-2</v>
      </c>
    </row>
    <row r="298" spans="1:6">
      <c r="A298" s="9" t="s">
        <v>2563</v>
      </c>
      <c r="B298" s="9" t="s">
        <v>2232</v>
      </c>
      <c r="C298" s="118">
        <v>0.90959999999999996</v>
      </c>
      <c r="D298" s="118">
        <v>0.89190000000000003</v>
      </c>
      <c r="E298" s="118">
        <f t="shared" si="9"/>
        <v>0.90959999999999996</v>
      </c>
      <c r="F298" s="118">
        <f t="shared" si="10"/>
        <v>0</v>
      </c>
    </row>
    <row r="299" spans="1:6">
      <c r="A299" s="9" t="s">
        <v>2564</v>
      </c>
      <c r="B299" s="9" t="s">
        <v>2235</v>
      </c>
      <c r="C299" s="118">
        <v>0.5786</v>
      </c>
      <c r="D299" s="118">
        <v>0.58030000000000004</v>
      </c>
      <c r="E299" s="118">
        <f t="shared" si="9"/>
        <v>0.58030000000000004</v>
      </c>
      <c r="F299" s="118">
        <f t="shared" si="10"/>
        <v>1.7000000000000348E-3</v>
      </c>
    </row>
    <row r="300" spans="1:6">
      <c r="A300" s="9" t="s">
        <v>2565</v>
      </c>
      <c r="B300" s="9" t="s">
        <v>2240</v>
      </c>
      <c r="C300" s="118">
        <v>0.90939999999999999</v>
      </c>
      <c r="D300" s="118">
        <v>0.86250000000000004</v>
      </c>
      <c r="E300" s="118">
        <f t="shared" si="9"/>
        <v>0.90939999999999999</v>
      </c>
      <c r="F300" s="118">
        <f t="shared" si="10"/>
        <v>0</v>
      </c>
    </row>
    <row r="301" spans="1:6">
      <c r="A301" s="9" t="s">
        <v>2566</v>
      </c>
      <c r="B301" s="9" t="s">
        <v>2246</v>
      </c>
      <c r="C301" s="118">
        <v>0.46389999999999998</v>
      </c>
      <c r="D301" s="118">
        <v>0.44269999999999998</v>
      </c>
      <c r="E301" s="118">
        <f t="shared" si="9"/>
        <v>0.46389999999999998</v>
      </c>
      <c r="F301" s="118">
        <f t="shared" si="10"/>
        <v>0</v>
      </c>
    </row>
    <row r="302" spans="1:6">
      <c r="A302" s="9" t="s">
        <v>2567</v>
      </c>
      <c r="B302" s="9" t="s">
        <v>2253</v>
      </c>
      <c r="C302" s="118">
        <v>0.996</v>
      </c>
      <c r="D302" s="118">
        <v>0.96330000000000005</v>
      </c>
      <c r="E302" s="118">
        <f t="shared" si="9"/>
        <v>0.996</v>
      </c>
      <c r="F302" s="118">
        <f t="shared" si="10"/>
        <v>0</v>
      </c>
    </row>
    <row r="303" spans="1:6">
      <c r="A303" t="s">
        <v>2954</v>
      </c>
      <c r="B303" t="s">
        <v>2955</v>
      </c>
      <c r="C303" s="118">
        <v>0.43359999999999999</v>
      </c>
      <c r="D303" s="118">
        <v>0</v>
      </c>
      <c r="E303" s="118">
        <f t="shared" si="9"/>
        <v>0.43359999999999999</v>
      </c>
      <c r="F303" s="118">
        <f t="shared" si="10"/>
        <v>0</v>
      </c>
    </row>
    <row r="304" spans="1:6">
      <c r="A304" s="9" t="s">
        <v>2367</v>
      </c>
      <c r="B304" s="9" t="s">
        <v>1011</v>
      </c>
      <c r="C304" s="118">
        <v>0.316</v>
      </c>
      <c r="D304" s="118">
        <v>0.37430000000000002</v>
      </c>
      <c r="E304" s="118">
        <f t="shared" si="9"/>
        <v>0.37430000000000002</v>
      </c>
      <c r="F304" s="118">
        <f t="shared" si="10"/>
        <v>5.8300000000000018E-2</v>
      </c>
    </row>
    <row r="305" spans="1:6">
      <c r="A305" s="9" t="s">
        <v>2586</v>
      </c>
      <c r="B305" s="9" t="s">
        <v>2709</v>
      </c>
      <c r="C305" s="118">
        <v>0.37930000000000003</v>
      </c>
      <c r="D305" s="118">
        <v>0.52980000000000005</v>
      </c>
      <c r="E305" s="118">
        <f t="shared" si="9"/>
        <v>0.52980000000000005</v>
      </c>
      <c r="F305" s="118">
        <f t="shared" si="10"/>
        <v>0.15050000000000002</v>
      </c>
    </row>
    <row r="306" spans="1:6">
      <c r="A306" s="9" t="s">
        <v>2369</v>
      </c>
      <c r="B306" s="9" t="s">
        <v>1014</v>
      </c>
      <c r="C306" s="118">
        <v>0.76190000000000002</v>
      </c>
      <c r="D306" s="118">
        <v>0.6804</v>
      </c>
      <c r="E306" s="118">
        <f t="shared" si="9"/>
        <v>0.76190000000000002</v>
      </c>
      <c r="F306" s="118">
        <f t="shared" si="10"/>
        <v>0</v>
      </c>
    </row>
    <row r="307" spans="1:6">
      <c r="A307" s="9" t="s">
        <v>2587</v>
      </c>
      <c r="B307" s="56" t="s">
        <v>2959</v>
      </c>
      <c r="C307" s="118">
        <v>0.76880000000000004</v>
      </c>
      <c r="D307" s="118">
        <v>0.74309999999999998</v>
      </c>
      <c r="E307" s="118">
        <f t="shared" si="9"/>
        <v>0.76880000000000004</v>
      </c>
      <c r="F307" s="118">
        <f t="shared" si="10"/>
        <v>0</v>
      </c>
    </row>
    <row r="308" spans="1:6">
      <c r="A308" s="90" t="s">
        <v>2708</v>
      </c>
      <c r="B308" s="56" t="s">
        <v>2885</v>
      </c>
      <c r="C308" s="118">
        <v>0.59970000000000001</v>
      </c>
      <c r="D308" s="118">
        <v>0.65</v>
      </c>
      <c r="E308" s="118">
        <f t="shared" si="9"/>
        <v>0.65</v>
      </c>
      <c r="F308" s="118">
        <f t="shared" si="10"/>
        <v>5.0300000000000011E-2</v>
      </c>
    </row>
    <row r="309" spans="1:6">
      <c r="A309" s="9" t="s">
        <v>2853</v>
      </c>
      <c r="B309" s="9" t="s">
        <v>2886</v>
      </c>
      <c r="C309" s="118">
        <v>0.59</v>
      </c>
      <c r="D309" s="118">
        <v>0</v>
      </c>
      <c r="E309" s="118">
        <f t="shared" si="9"/>
        <v>0.59</v>
      </c>
      <c r="F309" s="118">
        <f t="shared" si="10"/>
        <v>0</v>
      </c>
    </row>
    <row r="310" spans="1:6">
      <c r="A310" s="9" t="s">
        <v>2855</v>
      </c>
      <c r="B310" s="116" t="s">
        <v>2960</v>
      </c>
      <c r="C310" s="118">
        <v>0.68630000000000002</v>
      </c>
      <c r="D310" s="118">
        <v>0</v>
      </c>
      <c r="E310" s="118">
        <f t="shared" si="9"/>
        <v>0.68630000000000002</v>
      </c>
      <c r="F310" s="118">
        <f t="shared" si="10"/>
        <v>0</v>
      </c>
    </row>
    <row r="311" spans="1:6">
      <c r="A311" s="9" t="s">
        <v>2856</v>
      </c>
      <c r="B311" s="56" t="s">
        <v>2869</v>
      </c>
      <c r="C311" s="118">
        <v>0.51339999999999997</v>
      </c>
      <c r="D311" s="118">
        <v>0</v>
      </c>
      <c r="E311" s="118">
        <f t="shared" si="9"/>
        <v>0.51339999999999997</v>
      </c>
      <c r="F311" s="118">
        <f t="shared" si="10"/>
        <v>0</v>
      </c>
    </row>
    <row r="312" spans="1:6">
      <c r="A312" s="90" t="s">
        <v>2762</v>
      </c>
      <c r="B312" s="106" t="s">
        <v>2964</v>
      </c>
      <c r="C312" s="118">
        <v>0.52859999999999996</v>
      </c>
      <c r="D312" s="118">
        <v>0</v>
      </c>
      <c r="E312" s="118">
        <f t="shared" si="9"/>
        <v>0.52859999999999996</v>
      </c>
      <c r="F312" s="118">
        <f t="shared" si="10"/>
        <v>0</v>
      </c>
    </row>
    <row r="313" spans="1:6">
      <c r="A313" t="s">
        <v>2953</v>
      </c>
      <c r="B313" t="s">
        <v>2987</v>
      </c>
      <c r="C313" s="118">
        <v>0.54679999999999995</v>
      </c>
      <c r="D313" s="118">
        <v>0</v>
      </c>
      <c r="E313" s="118">
        <f t="shared" si="9"/>
        <v>0.54679999999999995</v>
      </c>
      <c r="F313" s="118">
        <f t="shared" si="10"/>
        <v>0</v>
      </c>
    </row>
    <row r="314" spans="1:6">
      <c r="A314" s="9" t="s">
        <v>2453</v>
      </c>
      <c r="B314" s="9" t="s">
        <v>1522</v>
      </c>
      <c r="C314" s="118">
        <v>0.59119999999999995</v>
      </c>
      <c r="D314" s="118">
        <v>0.66490000000000005</v>
      </c>
      <c r="E314" s="118">
        <f t="shared" si="9"/>
        <v>0.66490000000000005</v>
      </c>
      <c r="F314" s="118">
        <f t="shared" si="10"/>
        <v>7.3700000000000099E-2</v>
      </c>
    </row>
    <row r="315" spans="1:6">
      <c r="A315" s="9" t="s">
        <v>2501</v>
      </c>
      <c r="B315" s="9" t="s">
        <v>1921</v>
      </c>
      <c r="C315" s="118">
        <v>0.50660000000000005</v>
      </c>
      <c r="D315" s="118">
        <v>0.38890000000000002</v>
      </c>
      <c r="E315" s="118">
        <f t="shared" si="9"/>
        <v>0.50660000000000005</v>
      </c>
      <c r="F315" s="118">
        <f t="shared" si="10"/>
        <v>0</v>
      </c>
    </row>
    <row r="316" spans="1:6">
      <c r="A316" s="9" t="s">
        <v>2857</v>
      </c>
      <c r="B316" s="56" t="s">
        <v>2965</v>
      </c>
      <c r="C316" s="118">
        <v>0.87180000000000002</v>
      </c>
      <c r="D316" s="118">
        <v>0</v>
      </c>
      <c r="E316" s="118">
        <f t="shared" si="9"/>
        <v>0.87180000000000002</v>
      </c>
      <c r="F316" s="118">
        <f t="shared" si="10"/>
        <v>0</v>
      </c>
    </row>
    <row r="317" spans="1:6">
      <c r="A317" s="9" t="s">
        <v>2502</v>
      </c>
      <c r="B317" s="9" t="s">
        <v>1922</v>
      </c>
      <c r="C317" s="118">
        <v>0.58220000000000005</v>
      </c>
      <c r="D317" s="118">
        <v>0.4274</v>
      </c>
      <c r="E317" s="118">
        <f t="shared" si="9"/>
        <v>0.58220000000000005</v>
      </c>
      <c r="F317" s="118">
        <f t="shared" si="10"/>
        <v>0</v>
      </c>
    </row>
    <row r="318" spans="1:6">
      <c r="A318" s="9" t="s">
        <v>2858</v>
      </c>
      <c r="B318" s="9" t="s">
        <v>2968</v>
      </c>
      <c r="C318" s="118">
        <v>0.60419999999999996</v>
      </c>
      <c r="D318" s="118">
        <v>0</v>
      </c>
      <c r="E318" s="118">
        <f t="shared" si="9"/>
        <v>0.60419999999999996</v>
      </c>
      <c r="F318" s="118">
        <f t="shared" si="10"/>
        <v>0</v>
      </c>
    </row>
    <row r="319" spans="1:6">
      <c r="A319" t="s">
        <v>2951</v>
      </c>
      <c r="B319" t="s">
        <v>2952</v>
      </c>
      <c r="C319" s="118">
        <v>0.2278</v>
      </c>
      <c r="D319" s="118">
        <v>0</v>
      </c>
      <c r="E319" s="118">
        <f t="shared" si="9"/>
        <v>0.2278</v>
      </c>
      <c r="F319" s="118">
        <f t="shared" si="10"/>
        <v>0</v>
      </c>
    </row>
    <row r="320" spans="1:6">
      <c r="A320" s="96" t="s">
        <v>2763</v>
      </c>
      <c r="B320" s="96" t="s">
        <v>2766</v>
      </c>
      <c r="C320" s="118">
        <v>0</v>
      </c>
      <c r="D320" s="118">
        <v>0</v>
      </c>
      <c r="E320" s="118">
        <f t="shared" si="9"/>
        <v>0</v>
      </c>
      <c r="F320" s="118">
        <f t="shared" si="10"/>
        <v>0</v>
      </c>
    </row>
  </sheetData>
  <autoFilter ref="A2:F2" xr:uid="{00000000-0009-0000-0000-000007000000}"/>
  <sortState xmlns:xlrd2="http://schemas.microsoft.com/office/spreadsheetml/2017/richdata2" ref="I3:J320">
    <sortCondition ref="J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1:H381"/>
  <sheetViews>
    <sheetView zoomScale="80" zoomScaleNormal="80" workbookViewId="0">
      <pane ySplit="2" topLeftCell="A3" activePane="bottomLeft" state="frozen"/>
      <selection activeCell="C8" sqref="C8"/>
      <selection pane="bottomLeft" activeCell="B2" sqref="B2"/>
    </sheetView>
  </sheetViews>
  <sheetFormatPr defaultRowHeight="14.4"/>
  <cols>
    <col min="1" max="1" width="9.109375" style="60"/>
    <col min="2" max="2" width="53.33203125" bestFit="1" customWidth="1"/>
    <col min="3" max="3" width="10.5546875" bestFit="1" customWidth="1"/>
    <col min="5" max="5" width="10.6640625" customWidth="1"/>
    <col min="7" max="7" width="34.88671875" style="56" bestFit="1" customWidth="1"/>
    <col min="8" max="8" width="12.33203125" style="56" bestFit="1" customWidth="1"/>
  </cols>
  <sheetData>
    <row r="1" spans="1:8">
      <c r="A1" s="3" t="s">
        <v>2988</v>
      </c>
    </row>
    <row r="2" spans="1:8" ht="57.6">
      <c r="A2" s="157" t="s">
        <v>2686</v>
      </c>
      <c r="B2" s="31" t="s">
        <v>2687</v>
      </c>
      <c r="C2" s="33" t="s">
        <v>2688</v>
      </c>
      <c r="D2" s="33"/>
      <c r="E2" s="35" t="s">
        <v>2694</v>
      </c>
      <c r="G2"/>
    </row>
    <row r="3" spans="1:8">
      <c r="A3" s="60" t="s">
        <v>2257</v>
      </c>
      <c r="B3" s="96" t="s">
        <v>0</v>
      </c>
      <c r="C3" s="56">
        <v>79.62</v>
      </c>
      <c r="D3" s="32"/>
      <c r="E3" t="str">
        <f t="shared" ref="E3:E66" si="0">A3</f>
        <v>01109</v>
      </c>
      <c r="G3"/>
      <c r="H3" s="145"/>
    </row>
    <row r="4" spans="1:8">
      <c r="A4" s="60" t="s">
        <v>2258</v>
      </c>
      <c r="B4" s="96" t="s">
        <v>2</v>
      </c>
      <c r="C4" s="56">
        <v>11.57</v>
      </c>
      <c r="D4" s="32"/>
      <c r="E4" s="56" t="str">
        <f t="shared" si="0"/>
        <v>01122</v>
      </c>
      <c r="G4"/>
      <c r="H4" s="145"/>
    </row>
    <row r="5" spans="1:8">
      <c r="A5" s="60" t="s">
        <v>2259</v>
      </c>
      <c r="B5" s="96" t="s">
        <v>4</v>
      </c>
      <c r="C5" s="56">
        <v>4455.46</v>
      </c>
      <c r="D5" s="32"/>
      <c r="E5" s="56" t="str">
        <f t="shared" si="0"/>
        <v>01147</v>
      </c>
      <c r="G5"/>
      <c r="H5" s="145"/>
    </row>
    <row r="6" spans="1:8">
      <c r="A6" s="60" t="s">
        <v>2260</v>
      </c>
      <c r="B6" s="96" t="s">
        <v>12</v>
      </c>
      <c r="C6" s="56">
        <v>189.86</v>
      </c>
      <c r="D6" s="32"/>
      <c r="E6" s="56" t="str">
        <f t="shared" si="0"/>
        <v>01158</v>
      </c>
      <c r="G6"/>
      <c r="H6" s="145"/>
    </row>
    <row r="7" spans="1:8">
      <c r="A7" s="60" t="s">
        <v>2261</v>
      </c>
      <c r="B7" s="96" t="s">
        <v>16</v>
      </c>
      <c r="C7" s="56">
        <v>350.45</v>
      </c>
      <c r="D7" s="32"/>
      <c r="E7" s="56" t="str">
        <f t="shared" si="0"/>
        <v>01160</v>
      </c>
      <c r="G7"/>
      <c r="H7" s="145"/>
    </row>
    <row r="8" spans="1:8">
      <c r="A8" s="60" t="s">
        <v>2262</v>
      </c>
      <c r="B8" s="96" t="s">
        <v>20</v>
      </c>
      <c r="C8" s="56">
        <v>2431.79</v>
      </c>
      <c r="D8" s="32"/>
      <c r="E8" s="56" t="str">
        <f t="shared" si="0"/>
        <v>02250</v>
      </c>
      <c r="G8"/>
      <c r="H8" s="145"/>
    </row>
    <row r="9" spans="1:8">
      <c r="A9" s="60" t="s">
        <v>2263</v>
      </c>
      <c r="B9" s="96" t="s">
        <v>30</v>
      </c>
      <c r="C9" s="56">
        <v>607.87</v>
      </c>
      <c r="D9" s="32"/>
      <c r="E9" s="56" t="str">
        <f t="shared" si="0"/>
        <v>02420</v>
      </c>
      <c r="G9"/>
      <c r="H9" s="145"/>
    </row>
    <row r="10" spans="1:8">
      <c r="A10" s="60" t="s">
        <v>2264</v>
      </c>
      <c r="B10" s="96" t="s">
        <v>33</v>
      </c>
      <c r="C10" s="56">
        <v>18301.560000000001</v>
      </c>
      <c r="D10" s="32"/>
      <c r="E10" s="56" t="str">
        <f t="shared" si="0"/>
        <v>03017</v>
      </c>
      <c r="G10"/>
      <c r="H10" s="145"/>
    </row>
    <row r="11" spans="1:8">
      <c r="A11" s="60" t="s">
        <v>2265</v>
      </c>
      <c r="B11" s="96" t="s">
        <v>60</v>
      </c>
      <c r="C11" s="56">
        <v>141.01</v>
      </c>
      <c r="D11" s="32"/>
      <c r="E11" s="56" t="str">
        <f t="shared" si="0"/>
        <v>03050</v>
      </c>
      <c r="G11"/>
      <c r="H11" s="145"/>
    </row>
    <row r="12" spans="1:8">
      <c r="A12" s="60" t="s">
        <v>2266</v>
      </c>
      <c r="B12" s="96" t="s">
        <v>62</v>
      </c>
      <c r="C12" s="56">
        <v>1395.47</v>
      </c>
      <c r="D12" s="32"/>
      <c r="E12" s="56" t="str">
        <f t="shared" si="0"/>
        <v>03052</v>
      </c>
      <c r="G12"/>
      <c r="H12" s="145"/>
    </row>
    <row r="13" spans="1:8">
      <c r="A13" s="60" t="s">
        <v>2267</v>
      </c>
      <c r="B13" s="96" t="s">
        <v>67</v>
      </c>
      <c r="C13" s="56">
        <v>843.67</v>
      </c>
      <c r="D13" s="32"/>
      <c r="E13" s="56" t="str">
        <f t="shared" si="0"/>
        <v>03053</v>
      </c>
      <c r="G13"/>
      <c r="H13" s="145"/>
    </row>
    <row r="14" spans="1:8">
      <c r="A14" s="60" t="s">
        <v>2268</v>
      </c>
      <c r="B14" s="96" t="s">
        <v>71</v>
      </c>
      <c r="C14" s="56">
        <v>2451.6799999999998</v>
      </c>
      <c r="D14" s="32"/>
      <c r="E14" s="56" t="str">
        <f t="shared" si="0"/>
        <v>03116</v>
      </c>
      <c r="G14"/>
      <c r="H14" s="145"/>
    </row>
    <row r="15" spans="1:8">
      <c r="A15" s="60" t="s">
        <v>2269</v>
      </c>
      <c r="B15" s="96" t="s">
        <v>77</v>
      </c>
      <c r="C15" s="56">
        <v>13409.18</v>
      </c>
      <c r="D15" s="32"/>
      <c r="E15" s="56" t="str">
        <f t="shared" si="0"/>
        <v>03400</v>
      </c>
      <c r="G15"/>
      <c r="H15" s="145"/>
    </row>
    <row r="16" spans="1:8">
      <c r="A16" s="60" t="s">
        <v>2270</v>
      </c>
      <c r="B16" s="96" t="s">
        <v>96</v>
      </c>
      <c r="C16" s="56">
        <v>597.22</v>
      </c>
      <c r="D16" s="32"/>
      <c r="E16" s="56" t="str">
        <f t="shared" si="0"/>
        <v>04019</v>
      </c>
      <c r="G16"/>
      <c r="H16" s="145"/>
    </row>
    <row r="17" spans="1:8">
      <c r="A17" s="60" t="s">
        <v>2271</v>
      </c>
      <c r="B17" s="96" t="s">
        <v>100</v>
      </c>
      <c r="C17" s="56">
        <v>11</v>
      </c>
      <c r="D17" s="32"/>
      <c r="E17" s="56" t="str">
        <f t="shared" si="0"/>
        <v>04069</v>
      </c>
      <c r="G17"/>
      <c r="H17" s="145"/>
    </row>
    <row r="18" spans="1:8">
      <c r="A18" s="60" t="s">
        <v>2272</v>
      </c>
      <c r="B18" s="96" t="s">
        <v>102</v>
      </c>
      <c r="C18" s="56">
        <v>311.72000000000003</v>
      </c>
      <c r="D18" s="32"/>
      <c r="E18" s="56" t="str">
        <f t="shared" si="0"/>
        <v>04127</v>
      </c>
      <c r="G18"/>
      <c r="H18" s="145"/>
    </row>
    <row r="19" spans="1:8">
      <c r="A19" s="60" t="s">
        <v>2273</v>
      </c>
      <c r="B19" s="96" t="s">
        <v>105</v>
      </c>
      <c r="C19" s="56">
        <v>1255.3</v>
      </c>
      <c r="D19" s="32"/>
      <c r="E19" s="56" t="str">
        <f t="shared" si="0"/>
        <v>04129</v>
      </c>
      <c r="G19"/>
      <c r="H19" s="145"/>
    </row>
    <row r="20" spans="1:8">
      <c r="A20" s="60" t="s">
        <v>2274</v>
      </c>
      <c r="B20" s="96" t="s">
        <v>111</v>
      </c>
      <c r="C20" s="56">
        <v>1563.24</v>
      </c>
      <c r="D20" s="32"/>
      <c r="E20" s="56" t="str">
        <f t="shared" si="0"/>
        <v>04222</v>
      </c>
      <c r="G20"/>
      <c r="H20" s="145"/>
    </row>
    <row r="21" spans="1:8">
      <c r="A21" s="60" t="s">
        <v>2275</v>
      </c>
      <c r="B21" s="96" t="s">
        <v>115</v>
      </c>
      <c r="C21" s="56">
        <v>1233.19</v>
      </c>
      <c r="D21" s="32"/>
      <c r="E21" s="56" t="str">
        <f t="shared" si="0"/>
        <v>04228</v>
      </c>
      <c r="G21"/>
      <c r="H21" s="145"/>
    </row>
    <row r="22" spans="1:8">
      <c r="A22" s="60" t="s">
        <v>2276</v>
      </c>
      <c r="B22" s="96" t="s">
        <v>121</v>
      </c>
      <c r="C22" s="56">
        <v>7287.31</v>
      </c>
      <c r="D22" s="32"/>
      <c r="E22" s="56" t="str">
        <f t="shared" si="0"/>
        <v>04246</v>
      </c>
      <c r="G22"/>
      <c r="H22" s="145"/>
    </row>
    <row r="23" spans="1:8">
      <c r="A23" s="60" t="s">
        <v>2594</v>
      </c>
      <c r="B23" s="96" t="s">
        <v>2595</v>
      </c>
      <c r="C23" s="56">
        <v>0</v>
      </c>
      <c r="D23" s="32"/>
      <c r="E23" s="56" t="str">
        <f t="shared" si="0"/>
        <v>04801</v>
      </c>
      <c r="G23"/>
      <c r="H23" s="145"/>
    </row>
    <row r="24" spans="1:8">
      <c r="A24" s="60" t="s">
        <v>2954</v>
      </c>
      <c r="B24" s="56" t="s">
        <v>2955</v>
      </c>
      <c r="C24" s="56">
        <v>111.34</v>
      </c>
      <c r="D24" s="56"/>
      <c r="E24" s="56" t="str">
        <f t="shared" si="0"/>
        <v>04901</v>
      </c>
      <c r="G24"/>
      <c r="H24" s="145"/>
    </row>
    <row r="25" spans="1:8">
      <c r="A25" s="60" t="s">
        <v>2596</v>
      </c>
      <c r="B25" s="96" t="s">
        <v>2597</v>
      </c>
      <c r="C25" s="56">
        <v>0</v>
      </c>
      <c r="D25" s="32"/>
      <c r="E25" s="56" t="str">
        <f t="shared" si="0"/>
        <v>04951</v>
      </c>
      <c r="G25"/>
      <c r="H25" s="145"/>
    </row>
    <row r="26" spans="1:8">
      <c r="A26" s="60" t="s">
        <v>2277</v>
      </c>
      <c r="B26" s="96" t="s">
        <v>136</v>
      </c>
      <c r="C26" s="56">
        <v>3490.19</v>
      </c>
      <c r="D26" s="32"/>
      <c r="E26" s="56" t="str">
        <f t="shared" si="0"/>
        <v>05121</v>
      </c>
      <c r="G26"/>
      <c r="H26" s="145"/>
    </row>
    <row r="27" spans="1:8">
      <c r="A27" s="60" t="s">
        <v>2278</v>
      </c>
      <c r="B27" s="96" t="s">
        <v>145</v>
      </c>
      <c r="C27" s="56">
        <v>307.98</v>
      </c>
      <c r="D27" s="32"/>
      <c r="E27" s="56" t="str">
        <f t="shared" si="0"/>
        <v>05313</v>
      </c>
      <c r="G27"/>
      <c r="H27" s="145"/>
    </row>
    <row r="28" spans="1:8">
      <c r="A28" s="60" t="s">
        <v>2279</v>
      </c>
      <c r="B28" s="96" t="s">
        <v>148</v>
      </c>
      <c r="C28" s="56">
        <v>2537.46</v>
      </c>
      <c r="D28" s="32"/>
      <c r="E28" s="56" t="str">
        <f t="shared" si="0"/>
        <v>05323</v>
      </c>
      <c r="G28"/>
      <c r="H28" s="145"/>
    </row>
    <row r="29" spans="1:8">
      <c r="A29" s="60" t="s">
        <v>2280</v>
      </c>
      <c r="B29" s="96" t="s">
        <v>153</v>
      </c>
      <c r="C29" s="56">
        <v>480.79</v>
      </c>
      <c r="D29" s="32"/>
      <c r="E29" s="56" t="str">
        <f t="shared" si="0"/>
        <v>05401</v>
      </c>
      <c r="G29"/>
      <c r="H29" s="145"/>
    </row>
    <row r="30" spans="1:8">
      <c r="A30" s="60" t="s">
        <v>2281</v>
      </c>
      <c r="B30" s="96" t="s">
        <v>157</v>
      </c>
      <c r="C30" s="56">
        <v>3417.72</v>
      </c>
      <c r="D30" s="32"/>
      <c r="E30" s="56" t="str">
        <f t="shared" si="0"/>
        <v>05402</v>
      </c>
      <c r="G30"/>
      <c r="H30" s="145"/>
    </row>
    <row r="31" spans="1:8">
      <c r="A31" s="60" t="s">
        <v>2282</v>
      </c>
      <c r="B31" s="96" t="s">
        <v>162</v>
      </c>
      <c r="C31" s="56">
        <v>115.57</v>
      </c>
      <c r="D31" s="32"/>
      <c r="E31" s="56" t="str">
        <f t="shared" si="0"/>
        <v>05903</v>
      </c>
      <c r="G31"/>
      <c r="H31" s="145"/>
    </row>
    <row r="32" spans="1:8">
      <c r="A32" s="60" t="s">
        <v>2598</v>
      </c>
      <c r="B32" s="96" t="s">
        <v>2599</v>
      </c>
      <c r="C32" s="56">
        <v>0</v>
      </c>
      <c r="D32" s="32"/>
      <c r="E32" s="56" t="str">
        <f t="shared" si="0"/>
        <v>05940</v>
      </c>
      <c r="G32"/>
      <c r="H32" s="145"/>
    </row>
    <row r="33" spans="1:8">
      <c r="A33" s="60" t="s">
        <v>2283</v>
      </c>
      <c r="B33" s="96" t="s">
        <v>164</v>
      </c>
      <c r="C33" s="56">
        <v>21433.95</v>
      </c>
      <c r="D33" s="32"/>
      <c r="E33" s="56" t="str">
        <f t="shared" si="0"/>
        <v>06037</v>
      </c>
      <c r="G33"/>
      <c r="H33" s="145"/>
    </row>
    <row r="34" spans="1:8">
      <c r="A34" s="60" t="s">
        <v>2284</v>
      </c>
      <c r="B34" s="96" t="s">
        <v>202</v>
      </c>
      <c r="C34" s="56">
        <v>1917</v>
      </c>
      <c r="D34" s="32"/>
      <c r="E34" s="56" t="str">
        <f t="shared" si="0"/>
        <v>06098</v>
      </c>
      <c r="G34"/>
      <c r="H34" s="145"/>
    </row>
    <row r="35" spans="1:8">
      <c r="A35" s="60" t="s">
        <v>2285</v>
      </c>
      <c r="B35" s="96" t="s">
        <v>206</v>
      </c>
      <c r="C35" s="56">
        <v>1672.64</v>
      </c>
      <c r="D35" s="32"/>
      <c r="E35" s="56" t="str">
        <f t="shared" si="0"/>
        <v>06101</v>
      </c>
      <c r="G35"/>
      <c r="H35" s="145"/>
    </row>
    <row r="36" spans="1:8">
      <c r="A36" s="60" t="s">
        <v>2286</v>
      </c>
      <c r="B36" s="96" t="s">
        <v>211</v>
      </c>
      <c r="C36" s="56">
        <v>153.29</v>
      </c>
      <c r="D36" s="32"/>
      <c r="E36" s="56" t="str">
        <f t="shared" si="0"/>
        <v>06103</v>
      </c>
      <c r="G36"/>
      <c r="H36" s="145"/>
    </row>
    <row r="37" spans="1:8">
      <c r="A37" s="60" t="s">
        <v>2287</v>
      </c>
      <c r="B37" s="96" t="s">
        <v>213</v>
      </c>
      <c r="C37" s="56">
        <v>2900.48</v>
      </c>
      <c r="D37" s="32"/>
      <c r="E37" s="56" t="str">
        <f t="shared" si="0"/>
        <v>06112</v>
      </c>
      <c r="G37"/>
      <c r="H37" s="145"/>
    </row>
    <row r="38" spans="1:8">
      <c r="A38" s="60" t="s">
        <v>2288</v>
      </c>
      <c r="B38" s="96" t="s">
        <v>220</v>
      </c>
      <c r="C38" s="56">
        <v>22960.48</v>
      </c>
      <c r="D38" s="32"/>
      <c r="E38" s="56" t="str">
        <f t="shared" si="0"/>
        <v>06114</v>
      </c>
      <c r="G38"/>
      <c r="H38" s="145"/>
    </row>
    <row r="39" spans="1:8">
      <c r="A39" s="60" t="s">
        <v>2289</v>
      </c>
      <c r="B39" s="96" t="s">
        <v>255</v>
      </c>
      <c r="C39" s="56">
        <v>7046.78</v>
      </c>
      <c r="D39" s="32"/>
      <c r="E39" s="56" t="str">
        <f t="shared" si="0"/>
        <v>06117</v>
      </c>
      <c r="G39"/>
      <c r="H39" s="145"/>
    </row>
    <row r="40" spans="1:8">
      <c r="A40" s="60" t="s">
        <v>2290</v>
      </c>
      <c r="B40" s="96" t="s">
        <v>265</v>
      </c>
      <c r="C40" s="56">
        <v>11718.48</v>
      </c>
      <c r="D40" s="32"/>
      <c r="E40" s="56" t="str">
        <f t="shared" si="0"/>
        <v>06119</v>
      </c>
      <c r="G40"/>
      <c r="H40" s="145"/>
    </row>
    <row r="41" spans="1:8">
      <c r="A41" s="60" t="s">
        <v>2291</v>
      </c>
      <c r="B41" s="96" t="s">
        <v>284</v>
      </c>
      <c r="C41" s="56">
        <v>3724.03</v>
      </c>
      <c r="D41" s="32"/>
      <c r="E41" s="56" t="str">
        <f t="shared" si="0"/>
        <v>06122</v>
      </c>
      <c r="G41"/>
      <c r="H41" s="145"/>
    </row>
    <row r="42" spans="1:8">
      <c r="A42" s="60" t="s">
        <v>2754</v>
      </c>
      <c r="B42" s="96" t="s">
        <v>2755</v>
      </c>
      <c r="C42" s="56">
        <v>0</v>
      </c>
      <c r="D42" s="32"/>
      <c r="E42" s="56" t="str">
        <f t="shared" si="0"/>
        <v>06701</v>
      </c>
      <c r="G42"/>
      <c r="H42" s="145"/>
    </row>
    <row r="43" spans="1:8">
      <c r="A43" s="60" t="s">
        <v>2292</v>
      </c>
      <c r="B43" s="96" t="s">
        <v>289</v>
      </c>
      <c r="C43" s="56">
        <v>0</v>
      </c>
      <c r="D43" s="32"/>
      <c r="E43" s="56" t="str">
        <f t="shared" si="0"/>
        <v>06801</v>
      </c>
      <c r="G43"/>
      <c r="H43" s="145"/>
    </row>
    <row r="44" spans="1:8">
      <c r="A44" s="60" t="s">
        <v>2600</v>
      </c>
      <c r="B44" s="96" t="s">
        <v>2601</v>
      </c>
      <c r="C44" s="56">
        <v>0</v>
      </c>
      <c r="D44" s="32"/>
      <c r="E44" s="56" t="str">
        <f t="shared" si="0"/>
        <v>06927</v>
      </c>
      <c r="G44"/>
      <c r="H44" s="145"/>
    </row>
    <row r="45" spans="1:8">
      <c r="A45" s="60" t="s">
        <v>2293</v>
      </c>
      <c r="B45" s="96" t="s">
        <v>290</v>
      </c>
      <c r="C45" s="56">
        <v>353.55</v>
      </c>
      <c r="D45" s="32"/>
      <c r="E45" s="56" t="str">
        <f t="shared" si="0"/>
        <v>07002</v>
      </c>
      <c r="G45"/>
      <c r="H45" s="145"/>
    </row>
    <row r="46" spans="1:8">
      <c r="A46" s="60" t="s">
        <v>2294</v>
      </c>
      <c r="B46" s="96" t="s">
        <v>294</v>
      </c>
      <c r="C46" s="56">
        <v>303.87</v>
      </c>
      <c r="D46" s="32"/>
      <c r="E46" s="56" t="str">
        <f t="shared" si="0"/>
        <v>07035</v>
      </c>
      <c r="G46"/>
      <c r="H46" s="145"/>
    </row>
    <row r="47" spans="1:8">
      <c r="A47" s="60" t="s">
        <v>2295</v>
      </c>
      <c r="B47" s="96" t="s">
        <v>296</v>
      </c>
      <c r="C47" s="56">
        <v>6159.1</v>
      </c>
      <c r="D47" s="32"/>
      <c r="E47" s="56" t="str">
        <f t="shared" si="0"/>
        <v>08122</v>
      </c>
      <c r="G47"/>
      <c r="H47" s="145"/>
    </row>
    <row r="48" spans="1:8">
      <c r="A48" s="60" t="s">
        <v>2296</v>
      </c>
      <c r="B48" s="96" t="s">
        <v>311</v>
      </c>
      <c r="C48" s="56">
        <v>693.93</v>
      </c>
      <c r="D48" s="32"/>
      <c r="E48" s="56" t="str">
        <f t="shared" si="0"/>
        <v>08130</v>
      </c>
      <c r="G48"/>
      <c r="H48" s="145"/>
    </row>
    <row r="49" spans="1:8">
      <c r="A49" s="60" t="s">
        <v>2297</v>
      </c>
      <c r="B49" s="96" t="s">
        <v>314</v>
      </c>
      <c r="C49" s="56">
        <v>1402.43</v>
      </c>
      <c r="D49" s="32"/>
      <c r="E49" s="56" t="str">
        <f t="shared" si="0"/>
        <v>08401</v>
      </c>
      <c r="G49"/>
      <c r="H49" s="145"/>
    </row>
    <row r="50" spans="1:8">
      <c r="A50" s="60" t="s">
        <v>2298</v>
      </c>
      <c r="B50" s="96" t="s">
        <v>318</v>
      </c>
      <c r="C50" s="56">
        <v>1043.6099999999999</v>
      </c>
      <c r="D50" s="32"/>
      <c r="E50" s="56" t="str">
        <f t="shared" si="0"/>
        <v>08402</v>
      </c>
      <c r="G50"/>
      <c r="H50" s="145"/>
    </row>
    <row r="51" spans="1:8">
      <c r="A51" s="60" t="s">
        <v>2299</v>
      </c>
      <c r="B51" s="96" t="s">
        <v>320</v>
      </c>
      <c r="C51" s="56">
        <v>2344.1</v>
      </c>
      <c r="D51" s="32"/>
      <c r="E51" s="56" t="str">
        <f t="shared" si="0"/>
        <v>08404</v>
      </c>
      <c r="G51"/>
      <c r="H51" s="145"/>
    </row>
    <row r="52" spans="1:8">
      <c r="A52" s="60" t="s">
        <v>2300</v>
      </c>
      <c r="B52" s="96" t="s">
        <v>326</v>
      </c>
      <c r="C52" s="56">
        <v>4809.55</v>
      </c>
      <c r="D52" s="32"/>
      <c r="E52" s="56" t="str">
        <f t="shared" si="0"/>
        <v>08458</v>
      </c>
      <c r="G52"/>
      <c r="H52" s="145"/>
    </row>
    <row r="53" spans="1:8">
      <c r="A53" s="60" t="s">
        <v>2756</v>
      </c>
      <c r="B53" s="96" t="s">
        <v>2757</v>
      </c>
      <c r="C53" s="56">
        <v>0</v>
      </c>
      <c r="D53" s="32"/>
      <c r="E53" s="56" t="str">
        <f t="shared" si="0"/>
        <v>08937</v>
      </c>
      <c r="G53"/>
      <c r="H53" s="145"/>
    </row>
    <row r="54" spans="1:8">
      <c r="A54" s="60" t="s">
        <v>2301</v>
      </c>
      <c r="B54" s="96" t="s">
        <v>337</v>
      </c>
      <c r="C54" s="56">
        <v>137.77000000000001</v>
      </c>
      <c r="D54" s="32"/>
      <c r="E54" s="56" t="str">
        <f t="shared" si="0"/>
        <v>09013</v>
      </c>
      <c r="G54"/>
      <c r="H54" s="145"/>
    </row>
    <row r="55" spans="1:8">
      <c r="A55" s="60" t="s">
        <v>2302</v>
      </c>
      <c r="B55" s="96" t="s">
        <v>339</v>
      </c>
      <c r="C55" s="56">
        <v>741.18</v>
      </c>
      <c r="D55" s="32"/>
      <c r="E55" s="56" t="str">
        <f t="shared" si="0"/>
        <v>09075</v>
      </c>
      <c r="G55"/>
      <c r="H55" s="145"/>
    </row>
    <row r="56" spans="1:8">
      <c r="A56" s="60" t="s">
        <v>2303</v>
      </c>
      <c r="B56" s="96" t="s">
        <v>344</v>
      </c>
      <c r="C56" s="56">
        <v>22</v>
      </c>
      <c r="D56" s="32"/>
      <c r="E56" s="56" t="str">
        <f t="shared" si="0"/>
        <v>09102</v>
      </c>
      <c r="G56"/>
      <c r="H56" s="145"/>
    </row>
    <row r="57" spans="1:8">
      <c r="A57" s="60" t="s">
        <v>2304</v>
      </c>
      <c r="B57" s="96" t="s">
        <v>346</v>
      </c>
      <c r="C57" s="56">
        <v>5809.48</v>
      </c>
      <c r="D57" s="32"/>
      <c r="E57" s="56" t="str">
        <f t="shared" si="0"/>
        <v>09206</v>
      </c>
      <c r="G57"/>
      <c r="H57" s="145"/>
    </row>
    <row r="58" spans="1:8">
      <c r="A58" s="60" t="s">
        <v>2305</v>
      </c>
      <c r="B58" s="96" t="s">
        <v>353</v>
      </c>
      <c r="C58" s="56">
        <v>89.98</v>
      </c>
      <c r="D58" s="32"/>
      <c r="E58" s="56" t="str">
        <f t="shared" si="0"/>
        <v>09207</v>
      </c>
      <c r="G58"/>
      <c r="H58" s="145"/>
    </row>
    <row r="59" spans="1:8">
      <c r="A59" s="60" t="s">
        <v>2306</v>
      </c>
      <c r="B59" s="96" t="s">
        <v>355</v>
      </c>
      <c r="C59" s="56">
        <v>258.33</v>
      </c>
      <c r="D59" s="32"/>
      <c r="E59" s="56" t="str">
        <f t="shared" si="0"/>
        <v>09209</v>
      </c>
      <c r="G59"/>
      <c r="H59" s="145"/>
    </row>
    <row r="60" spans="1:8">
      <c r="A60" s="60" t="s">
        <v>2307</v>
      </c>
      <c r="B60" s="96" t="s">
        <v>358</v>
      </c>
      <c r="C60" s="56">
        <v>33.72</v>
      </c>
      <c r="D60" s="32"/>
      <c r="E60" s="56" t="str">
        <f t="shared" si="0"/>
        <v>10003</v>
      </c>
      <c r="G60"/>
      <c r="H60" s="145"/>
    </row>
    <row r="61" spans="1:8">
      <c r="A61" s="60" t="s">
        <v>2308</v>
      </c>
      <c r="B61" s="96" t="s">
        <v>360</v>
      </c>
      <c r="C61" s="56">
        <v>248.33</v>
      </c>
      <c r="D61" s="32"/>
      <c r="E61" s="56" t="str">
        <f t="shared" si="0"/>
        <v>10050</v>
      </c>
      <c r="G61"/>
      <c r="H61" s="145"/>
    </row>
    <row r="62" spans="1:8">
      <c r="A62" s="60" t="s">
        <v>2309</v>
      </c>
      <c r="B62" s="96" t="s">
        <v>362</v>
      </c>
      <c r="C62" s="56">
        <v>33.57</v>
      </c>
      <c r="D62" s="32"/>
      <c r="E62" s="56" t="str">
        <f t="shared" si="0"/>
        <v>10065</v>
      </c>
      <c r="G62"/>
      <c r="H62" s="145"/>
    </row>
    <row r="63" spans="1:8">
      <c r="A63" s="60" t="s">
        <v>2310</v>
      </c>
      <c r="B63" s="96" t="s">
        <v>363</v>
      </c>
      <c r="C63" s="56">
        <v>223.64</v>
      </c>
      <c r="D63" s="32"/>
      <c r="E63" s="56" t="str">
        <f t="shared" si="0"/>
        <v>10070</v>
      </c>
      <c r="G63"/>
      <c r="H63" s="145"/>
    </row>
    <row r="64" spans="1:8">
      <c r="A64" s="60" t="s">
        <v>2311</v>
      </c>
      <c r="B64" s="96" t="s">
        <v>367</v>
      </c>
      <c r="C64" s="56">
        <v>362.73</v>
      </c>
      <c r="D64" s="32"/>
      <c r="E64" s="56" t="str">
        <f t="shared" si="0"/>
        <v>10309</v>
      </c>
      <c r="G64"/>
      <c r="H64" s="145"/>
    </row>
    <row r="65" spans="1:8">
      <c r="A65" s="60" t="s">
        <v>2312</v>
      </c>
      <c r="B65" s="96" t="s">
        <v>372</v>
      </c>
      <c r="C65" s="56">
        <v>18054.64</v>
      </c>
      <c r="D65" s="32"/>
      <c r="E65" s="56" t="str">
        <f t="shared" si="0"/>
        <v>11001</v>
      </c>
      <c r="G65"/>
      <c r="H65" s="145"/>
    </row>
    <row r="66" spans="1:8">
      <c r="A66" s="60" t="s">
        <v>2313</v>
      </c>
      <c r="B66" s="96" t="s">
        <v>393</v>
      </c>
      <c r="C66" s="56">
        <v>2036.29</v>
      </c>
      <c r="D66" s="32"/>
      <c r="E66" s="56" t="str">
        <f t="shared" si="0"/>
        <v>11051</v>
      </c>
      <c r="G66"/>
      <c r="H66" s="145"/>
    </row>
    <row r="67" spans="1:8">
      <c r="A67" s="60" t="s">
        <v>2314</v>
      </c>
      <c r="B67" s="96" t="s">
        <v>401</v>
      </c>
      <c r="C67" s="56">
        <v>12.43</v>
      </c>
      <c r="D67" s="32"/>
      <c r="E67" s="56" t="str">
        <f t="shared" ref="E67:E130" si="1">A67</f>
        <v>11054</v>
      </c>
      <c r="G67"/>
      <c r="H67" s="145"/>
    </row>
    <row r="68" spans="1:8">
      <c r="A68" s="60" t="s">
        <v>2315</v>
      </c>
      <c r="B68" s="96" t="s">
        <v>403</v>
      </c>
      <c r="C68" s="56">
        <v>38.549999999999997</v>
      </c>
      <c r="D68" s="32"/>
      <c r="E68" s="56" t="str">
        <f t="shared" si="1"/>
        <v>11056</v>
      </c>
      <c r="G68"/>
      <c r="H68" s="145"/>
    </row>
    <row r="69" spans="1:8">
      <c r="A69" s="60" t="s">
        <v>2602</v>
      </c>
      <c r="B69" s="96" t="s">
        <v>2603</v>
      </c>
      <c r="C69" s="56">
        <v>0</v>
      </c>
      <c r="D69" s="32"/>
      <c r="E69" s="56" t="str">
        <f t="shared" si="1"/>
        <v>11801</v>
      </c>
      <c r="G69"/>
      <c r="H69" s="145"/>
    </row>
    <row r="70" spans="1:8">
      <c r="A70" s="60" t="s">
        <v>2604</v>
      </c>
      <c r="B70" s="96" t="s">
        <v>2605</v>
      </c>
      <c r="C70" s="56">
        <v>0</v>
      </c>
      <c r="D70" s="32"/>
      <c r="E70" s="56" t="str">
        <f t="shared" si="1"/>
        <v>11928</v>
      </c>
      <c r="G70"/>
      <c r="H70" s="145"/>
    </row>
    <row r="71" spans="1:8">
      <c r="A71" s="60" t="s">
        <v>2316</v>
      </c>
      <c r="B71" s="96" t="s">
        <v>405</v>
      </c>
      <c r="C71" s="56">
        <v>352.37</v>
      </c>
      <c r="D71" s="32"/>
      <c r="E71" s="56" t="str">
        <f t="shared" si="1"/>
        <v>12110</v>
      </c>
      <c r="G71"/>
      <c r="H71" s="145"/>
    </row>
    <row r="72" spans="1:8">
      <c r="A72" s="60" t="s">
        <v>2317</v>
      </c>
      <c r="B72" s="96" t="s">
        <v>408</v>
      </c>
      <c r="C72" s="56">
        <v>2394.15</v>
      </c>
      <c r="D72" s="32"/>
      <c r="E72" s="56" t="str">
        <f t="shared" si="1"/>
        <v>13073</v>
      </c>
      <c r="G72"/>
      <c r="H72" s="145"/>
    </row>
    <row r="73" spans="1:8">
      <c r="A73" s="60" t="s">
        <v>2318</v>
      </c>
      <c r="B73" s="96" t="s">
        <v>415</v>
      </c>
      <c r="C73" s="56">
        <v>3147.02</v>
      </c>
      <c r="D73" s="32"/>
      <c r="E73" s="56" t="str">
        <f t="shared" si="1"/>
        <v>13144</v>
      </c>
      <c r="G73"/>
      <c r="H73" s="145"/>
    </row>
    <row r="74" spans="1:8">
      <c r="A74" s="60" t="s">
        <v>2319</v>
      </c>
      <c r="B74" s="96" t="s">
        <v>421</v>
      </c>
      <c r="C74" s="56">
        <v>883.85</v>
      </c>
      <c r="D74" s="32"/>
      <c r="E74" s="56" t="str">
        <f t="shared" si="1"/>
        <v>13146</v>
      </c>
      <c r="G74"/>
      <c r="H74" s="145"/>
    </row>
    <row r="75" spans="1:8">
      <c r="A75" s="60" t="s">
        <v>2320</v>
      </c>
      <c r="B75" s="96" t="s">
        <v>425</v>
      </c>
      <c r="C75" s="56">
        <v>214.85</v>
      </c>
      <c r="D75" s="32"/>
      <c r="E75" s="56" t="str">
        <f t="shared" si="1"/>
        <v>13151</v>
      </c>
      <c r="G75"/>
      <c r="H75" s="145"/>
    </row>
    <row r="76" spans="1:8">
      <c r="A76" s="60" t="s">
        <v>2321</v>
      </c>
      <c r="B76" s="96" t="s">
        <v>428</v>
      </c>
      <c r="C76" s="56">
        <v>554.25</v>
      </c>
      <c r="D76" s="32"/>
      <c r="E76" s="56" t="str">
        <f t="shared" si="1"/>
        <v>13156</v>
      </c>
      <c r="G76"/>
      <c r="H76" s="145"/>
    </row>
    <row r="77" spans="1:8">
      <c r="A77" s="60" t="s">
        <v>2322</v>
      </c>
      <c r="B77" s="96" t="s">
        <v>431</v>
      </c>
      <c r="C77" s="56">
        <v>1753.41</v>
      </c>
      <c r="D77" s="32"/>
      <c r="E77" s="56" t="str">
        <f t="shared" si="1"/>
        <v>13160</v>
      </c>
      <c r="G77"/>
      <c r="H77" s="145"/>
    </row>
    <row r="78" spans="1:8">
      <c r="A78" s="60" t="s">
        <v>2323</v>
      </c>
      <c r="B78" s="96" t="s">
        <v>436</v>
      </c>
      <c r="C78" s="56">
        <v>8352.58</v>
      </c>
      <c r="D78" s="32"/>
      <c r="E78" s="56" t="str">
        <f t="shared" si="1"/>
        <v>13161</v>
      </c>
      <c r="G78"/>
      <c r="H78" s="145"/>
    </row>
    <row r="79" spans="1:8">
      <c r="A79" s="60" t="s">
        <v>2324</v>
      </c>
      <c r="B79" s="96" t="s">
        <v>452</v>
      </c>
      <c r="C79" s="56">
        <v>2578.62</v>
      </c>
      <c r="D79" s="32"/>
      <c r="E79" s="56" t="str">
        <f t="shared" si="1"/>
        <v>13165</v>
      </c>
      <c r="G79"/>
      <c r="H79" s="145"/>
    </row>
    <row r="80" spans="1:8">
      <c r="A80" s="60" t="s">
        <v>2325</v>
      </c>
      <c r="B80" s="96" t="s">
        <v>459</v>
      </c>
      <c r="C80" s="56">
        <v>112.96</v>
      </c>
      <c r="D80" s="32"/>
      <c r="E80" s="56" t="str">
        <f t="shared" si="1"/>
        <v>13167</v>
      </c>
      <c r="G80"/>
      <c r="H80" s="145"/>
    </row>
    <row r="81" spans="1:8">
      <c r="A81" s="60" t="s">
        <v>2326</v>
      </c>
      <c r="B81" s="96" t="s">
        <v>462</v>
      </c>
      <c r="C81" s="56">
        <v>717.81</v>
      </c>
      <c r="D81" s="32"/>
      <c r="E81" s="56" t="str">
        <f t="shared" si="1"/>
        <v>13301</v>
      </c>
      <c r="G81"/>
      <c r="H81" s="145"/>
    </row>
    <row r="82" spans="1:8">
      <c r="A82" s="60" t="s">
        <v>2606</v>
      </c>
      <c r="B82" s="96" t="s">
        <v>2607</v>
      </c>
      <c r="C82" s="56">
        <v>0</v>
      </c>
      <c r="D82" s="32"/>
      <c r="E82" s="56" t="str">
        <f t="shared" si="1"/>
        <v>13925</v>
      </c>
      <c r="G82"/>
      <c r="H82" s="145"/>
    </row>
    <row r="83" spans="1:8">
      <c r="A83" s="60" t="s">
        <v>2327</v>
      </c>
      <c r="B83" s="96" t="s">
        <v>465</v>
      </c>
      <c r="C83" s="56">
        <v>3111.81</v>
      </c>
      <c r="D83" s="32"/>
      <c r="E83" s="56" t="str">
        <f t="shared" si="1"/>
        <v>14005</v>
      </c>
      <c r="G83"/>
      <c r="H83" s="145"/>
    </row>
    <row r="84" spans="1:8">
      <c r="A84" s="60" t="s">
        <v>2328</v>
      </c>
      <c r="B84" s="96" t="s">
        <v>474</v>
      </c>
      <c r="C84" s="56">
        <v>1567</v>
      </c>
      <c r="D84" s="32"/>
      <c r="E84" s="56" t="str">
        <f t="shared" si="1"/>
        <v>14028</v>
      </c>
      <c r="G84"/>
      <c r="H84" s="145"/>
    </row>
    <row r="85" spans="1:8">
      <c r="A85" s="60" t="s">
        <v>2329</v>
      </c>
      <c r="B85" s="96" t="s">
        <v>480</v>
      </c>
      <c r="C85" s="56">
        <v>718.6</v>
      </c>
      <c r="D85" s="32"/>
      <c r="E85" s="56" t="str">
        <f t="shared" si="1"/>
        <v>14064</v>
      </c>
      <c r="G85"/>
      <c r="H85" s="145"/>
    </row>
    <row r="86" spans="1:8">
      <c r="A86" s="60" t="s">
        <v>2330</v>
      </c>
      <c r="B86" s="96" t="s">
        <v>485</v>
      </c>
      <c r="C86" s="56">
        <v>290.92</v>
      </c>
      <c r="D86" s="32"/>
      <c r="E86" s="56" t="str">
        <f t="shared" si="1"/>
        <v>14065</v>
      </c>
      <c r="G86"/>
      <c r="H86" s="145"/>
    </row>
    <row r="87" spans="1:8">
      <c r="A87" s="60" t="s">
        <v>2331</v>
      </c>
      <c r="B87" s="96" t="s">
        <v>487</v>
      </c>
      <c r="C87" s="56">
        <v>1350.77</v>
      </c>
      <c r="D87" s="32"/>
      <c r="E87" s="56" t="str">
        <f t="shared" si="1"/>
        <v>14066</v>
      </c>
      <c r="G87"/>
      <c r="H87" s="145"/>
    </row>
    <row r="88" spans="1:8">
      <c r="A88" s="60" t="s">
        <v>2332</v>
      </c>
      <c r="B88" s="96" t="s">
        <v>491</v>
      </c>
      <c r="C88" s="56">
        <v>1565.07</v>
      </c>
      <c r="D88" s="32"/>
      <c r="E88" s="56" t="str">
        <f t="shared" si="1"/>
        <v>14068</v>
      </c>
      <c r="G88"/>
      <c r="H88" s="145"/>
    </row>
    <row r="89" spans="1:8">
      <c r="A89" s="60" t="s">
        <v>2333</v>
      </c>
      <c r="B89" s="96" t="s">
        <v>497</v>
      </c>
      <c r="C89" s="56">
        <v>157.58000000000001</v>
      </c>
      <c r="D89" s="32"/>
      <c r="E89" s="56" t="str">
        <f t="shared" si="1"/>
        <v>14077</v>
      </c>
      <c r="G89"/>
      <c r="H89" s="145"/>
    </row>
    <row r="90" spans="1:8">
      <c r="A90" s="60" t="s">
        <v>2334</v>
      </c>
      <c r="B90" s="96" t="s">
        <v>500</v>
      </c>
      <c r="C90" s="56">
        <v>176.7</v>
      </c>
      <c r="D90" s="32"/>
      <c r="E90" s="56" t="str">
        <f t="shared" si="1"/>
        <v>14097</v>
      </c>
      <c r="G90"/>
      <c r="H90" s="145"/>
    </row>
    <row r="91" spans="1:8">
      <c r="A91" s="60" t="s">
        <v>2335</v>
      </c>
      <c r="B91" s="96" t="s">
        <v>501</v>
      </c>
      <c r="C91" s="56">
        <v>164.64</v>
      </c>
      <c r="D91" s="32"/>
      <c r="E91" s="56" t="str">
        <f t="shared" si="1"/>
        <v>14099</v>
      </c>
      <c r="G91"/>
      <c r="H91" s="145"/>
    </row>
    <row r="92" spans="1:8">
      <c r="A92" s="60" t="s">
        <v>2336</v>
      </c>
      <c r="B92" s="96" t="s">
        <v>503</v>
      </c>
      <c r="C92" s="56">
        <v>54.29</v>
      </c>
      <c r="D92" s="32"/>
      <c r="E92" s="56" t="str">
        <f t="shared" si="1"/>
        <v>14104</v>
      </c>
      <c r="G92"/>
      <c r="H92" s="145"/>
    </row>
    <row r="93" spans="1:8">
      <c r="A93" s="60" t="s">
        <v>2337</v>
      </c>
      <c r="B93" s="96" t="s">
        <v>505</v>
      </c>
      <c r="C93" s="56">
        <v>156.93</v>
      </c>
      <c r="D93" s="32"/>
      <c r="E93" s="56" t="str">
        <f t="shared" si="1"/>
        <v>14117</v>
      </c>
      <c r="G93"/>
      <c r="H93" s="145"/>
    </row>
    <row r="94" spans="1:8">
      <c r="A94" s="60" t="s">
        <v>2338</v>
      </c>
      <c r="B94" s="96" t="s">
        <v>507</v>
      </c>
      <c r="C94" s="56">
        <v>564.12</v>
      </c>
      <c r="D94" s="32"/>
      <c r="E94" s="56" t="str">
        <f t="shared" si="1"/>
        <v>14172</v>
      </c>
      <c r="G94"/>
      <c r="H94" s="145"/>
    </row>
    <row r="95" spans="1:8">
      <c r="A95" s="60" t="s">
        <v>2339</v>
      </c>
      <c r="B95" s="96" t="s">
        <v>510</v>
      </c>
      <c r="C95" s="56">
        <v>328.29</v>
      </c>
      <c r="D95" s="32"/>
      <c r="E95" s="56" t="str">
        <f t="shared" si="1"/>
        <v>14400</v>
      </c>
      <c r="G95"/>
      <c r="H95" s="145"/>
    </row>
    <row r="96" spans="1:8">
      <c r="A96" s="60" t="s">
        <v>2608</v>
      </c>
      <c r="B96" s="96" t="s">
        <v>2609</v>
      </c>
      <c r="C96" s="56">
        <v>0</v>
      </c>
      <c r="D96" s="32"/>
      <c r="E96" s="56" t="str">
        <f t="shared" si="1"/>
        <v>14934</v>
      </c>
      <c r="G96"/>
      <c r="H96" s="145"/>
    </row>
    <row r="97" spans="1:8">
      <c r="A97" s="60" t="s">
        <v>2340</v>
      </c>
      <c r="B97" s="96" t="s">
        <v>513</v>
      </c>
      <c r="C97" s="56">
        <v>5492.22</v>
      </c>
      <c r="D97" s="32"/>
      <c r="E97" s="56" t="str">
        <f t="shared" si="1"/>
        <v>15201</v>
      </c>
      <c r="G97"/>
      <c r="H97" s="145"/>
    </row>
    <row r="98" spans="1:8">
      <c r="A98" s="60" t="s">
        <v>2341</v>
      </c>
      <c r="B98" s="96" t="s">
        <v>522</v>
      </c>
      <c r="C98" s="56">
        <v>966.05</v>
      </c>
      <c r="D98" s="32"/>
      <c r="E98" s="56" t="str">
        <f t="shared" si="1"/>
        <v>15204</v>
      </c>
      <c r="G98"/>
      <c r="H98" s="145"/>
    </row>
    <row r="99" spans="1:8">
      <c r="A99" s="60" t="s">
        <v>2342</v>
      </c>
      <c r="B99" s="96" t="s">
        <v>527</v>
      </c>
      <c r="C99" s="56">
        <v>1188.1099999999999</v>
      </c>
      <c r="D99" s="32"/>
      <c r="E99" s="56" t="str">
        <f t="shared" si="1"/>
        <v>15206</v>
      </c>
      <c r="G99"/>
      <c r="H99" s="145"/>
    </row>
    <row r="100" spans="1:8">
      <c r="A100" s="60" t="s">
        <v>2343</v>
      </c>
      <c r="B100" s="96" t="s">
        <v>532</v>
      </c>
      <c r="C100" s="56">
        <v>50.84</v>
      </c>
      <c r="D100" s="32"/>
      <c r="E100" s="56" t="str">
        <f t="shared" si="1"/>
        <v>16020</v>
      </c>
      <c r="G100"/>
      <c r="H100" s="145"/>
    </row>
    <row r="101" spans="1:8">
      <c r="A101" s="60" t="s">
        <v>2344</v>
      </c>
      <c r="B101" s="96" t="s">
        <v>534</v>
      </c>
      <c r="C101" s="56">
        <v>72.239999999999995</v>
      </c>
      <c r="D101" s="32"/>
      <c r="E101" s="56" t="str">
        <f t="shared" si="1"/>
        <v>16046</v>
      </c>
      <c r="G101"/>
      <c r="H101" s="145"/>
    </row>
    <row r="102" spans="1:8">
      <c r="A102" s="60" t="s">
        <v>2345</v>
      </c>
      <c r="B102" s="96" t="s">
        <v>536</v>
      </c>
      <c r="C102" s="56">
        <v>646.15</v>
      </c>
      <c r="D102" s="32"/>
      <c r="E102" s="56" t="str">
        <f t="shared" si="1"/>
        <v>16048</v>
      </c>
      <c r="G102"/>
      <c r="H102" s="145"/>
    </row>
    <row r="103" spans="1:8">
      <c r="A103" s="60" t="s">
        <v>2346</v>
      </c>
      <c r="B103" s="96" t="s">
        <v>539</v>
      </c>
      <c r="C103" s="56">
        <v>673.68</v>
      </c>
      <c r="D103" s="32"/>
      <c r="E103" s="56" t="str">
        <f t="shared" si="1"/>
        <v>16049</v>
      </c>
      <c r="G103"/>
      <c r="H103" s="145"/>
    </row>
    <row r="104" spans="1:8">
      <c r="A104" s="60" t="s">
        <v>2347</v>
      </c>
      <c r="B104" s="96" t="s">
        <v>543</v>
      </c>
      <c r="C104" s="56">
        <v>1174.0999999999999</v>
      </c>
      <c r="D104" s="32"/>
      <c r="E104" s="56" t="str">
        <f t="shared" si="1"/>
        <v>16050</v>
      </c>
      <c r="G104"/>
      <c r="H104" s="145"/>
    </row>
    <row r="105" spans="1:8">
      <c r="A105" s="60" t="s">
        <v>2348</v>
      </c>
      <c r="B105" s="96" t="s">
        <v>547</v>
      </c>
      <c r="C105" s="56">
        <v>50543.58</v>
      </c>
      <c r="D105" s="32"/>
      <c r="E105" s="56" t="str">
        <f t="shared" si="1"/>
        <v>17001</v>
      </c>
      <c r="G105"/>
      <c r="H105" s="145"/>
    </row>
    <row r="106" spans="1:8">
      <c r="A106" s="60" t="s">
        <v>2349</v>
      </c>
      <c r="B106" s="96" t="s">
        <v>645</v>
      </c>
      <c r="C106" s="56">
        <v>20443.560000000001</v>
      </c>
      <c r="D106" s="32"/>
      <c r="E106" s="56" t="str">
        <f t="shared" si="1"/>
        <v>17210</v>
      </c>
      <c r="G106"/>
      <c r="H106" s="145"/>
    </row>
    <row r="107" spans="1:8">
      <c r="A107" s="60" t="s">
        <v>2350</v>
      </c>
      <c r="B107" s="96" t="s">
        <v>685</v>
      </c>
      <c r="C107" s="56">
        <v>4086.68</v>
      </c>
      <c r="D107" s="32"/>
      <c r="E107" s="56" t="str">
        <f t="shared" si="1"/>
        <v>17216</v>
      </c>
      <c r="G107"/>
      <c r="H107" s="145"/>
    </row>
    <row r="108" spans="1:8">
      <c r="A108" s="60" t="s">
        <v>2351</v>
      </c>
      <c r="B108" s="96" t="s">
        <v>695</v>
      </c>
      <c r="C108" s="56">
        <v>3995.14</v>
      </c>
      <c r="D108" s="32"/>
      <c r="E108" s="56" t="str">
        <f t="shared" si="1"/>
        <v>17400</v>
      </c>
      <c r="G108"/>
      <c r="H108" s="145"/>
    </row>
    <row r="109" spans="1:8">
      <c r="A109" s="60" t="s">
        <v>2352</v>
      </c>
      <c r="B109" s="96" t="s">
        <v>702</v>
      </c>
      <c r="C109" s="56">
        <v>17725.89</v>
      </c>
      <c r="D109" s="32"/>
      <c r="E109" s="56" t="str">
        <f t="shared" si="1"/>
        <v>17401</v>
      </c>
      <c r="G109"/>
      <c r="H109" s="145"/>
    </row>
    <row r="110" spans="1:8">
      <c r="A110" s="60" t="s">
        <v>2353</v>
      </c>
      <c r="B110" s="96" t="s">
        <v>730</v>
      </c>
      <c r="C110" s="56">
        <v>1479.32</v>
      </c>
      <c r="D110" s="32"/>
      <c r="E110" s="56" t="str">
        <f t="shared" si="1"/>
        <v>17402</v>
      </c>
      <c r="G110"/>
      <c r="H110" s="145"/>
    </row>
    <row r="111" spans="1:8">
      <c r="A111" s="60" t="s">
        <v>2354</v>
      </c>
      <c r="B111" s="96" t="s">
        <v>736</v>
      </c>
      <c r="C111" s="56">
        <v>14713.81</v>
      </c>
      <c r="D111" s="32"/>
      <c r="E111" s="56" t="str">
        <f t="shared" si="1"/>
        <v>17403</v>
      </c>
      <c r="G111"/>
      <c r="H111" s="145"/>
    </row>
    <row r="112" spans="1:8">
      <c r="A112" s="60" t="s">
        <v>2355</v>
      </c>
      <c r="B112" s="96" t="s">
        <v>760</v>
      </c>
      <c r="C112" s="56">
        <v>34.909999999999997</v>
      </c>
      <c r="D112" s="32"/>
      <c r="E112" s="56" t="str">
        <f t="shared" si="1"/>
        <v>17404</v>
      </c>
      <c r="G112"/>
      <c r="H112" s="145"/>
    </row>
    <row r="113" spans="1:8">
      <c r="A113" s="60" t="s">
        <v>2356</v>
      </c>
      <c r="B113" s="96" t="s">
        <v>763</v>
      </c>
      <c r="C113" s="56">
        <v>18936.25</v>
      </c>
      <c r="D113" s="32"/>
      <c r="E113" s="56" t="str">
        <f t="shared" si="1"/>
        <v>17405</v>
      </c>
      <c r="G113"/>
      <c r="H113" s="145"/>
    </row>
    <row r="114" spans="1:8">
      <c r="A114" s="60" t="s">
        <v>2357</v>
      </c>
      <c r="B114" s="96" t="s">
        <v>792</v>
      </c>
      <c r="C114" s="56">
        <v>2521.63</v>
      </c>
      <c r="D114" s="32"/>
      <c r="E114" s="56" t="str">
        <f t="shared" si="1"/>
        <v>17406</v>
      </c>
      <c r="G114"/>
      <c r="H114" s="145"/>
    </row>
    <row r="115" spans="1:8">
      <c r="A115" s="60" t="s">
        <v>2358</v>
      </c>
      <c r="B115" s="96" t="s">
        <v>798</v>
      </c>
      <c r="C115" s="56">
        <v>3033.11</v>
      </c>
      <c r="D115" s="32"/>
      <c r="E115" s="56" t="str">
        <f t="shared" si="1"/>
        <v>17407</v>
      </c>
      <c r="G115"/>
      <c r="H115" s="145"/>
    </row>
    <row r="116" spans="1:8">
      <c r="A116" s="60" t="s">
        <v>2359</v>
      </c>
      <c r="B116" s="96" t="s">
        <v>808</v>
      </c>
      <c r="C116" s="56">
        <v>16795.96</v>
      </c>
      <c r="D116" s="32"/>
      <c r="E116" s="56" t="str">
        <f t="shared" si="1"/>
        <v>17408</v>
      </c>
      <c r="G116"/>
      <c r="H116" s="145"/>
    </row>
    <row r="117" spans="1:8">
      <c r="A117" s="60" t="s">
        <v>2360</v>
      </c>
      <c r="B117" s="96" t="s">
        <v>826</v>
      </c>
      <c r="C117" s="56">
        <v>8671.42</v>
      </c>
      <c r="D117" s="32"/>
      <c r="E117" s="56" t="str">
        <f t="shared" si="1"/>
        <v>17409</v>
      </c>
      <c r="G117"/>
      <c r="H117" s="145"/>
    </row>
    <row r="118" spans="1:8">
      <c r="A118" s="60" t="s">
        <v>2361</v>
      </c>
      <c r="B118" s="96" t="s">
        <v>832</v>
      </c>
      <c r="C118" s="56">
        <v>7071.62</v>
      </c>
      <c r="D118" s="32"/>
      <c r="E118" s="56" t="str">
        <f t="shared" si="1"/>
        <v>17410</v>
      </c>
      <c r="G118"/>
      <c r="H118" s="145"/>
    </row>
    <row r="119" spans="1:8">
      <c r="A119" s="60" t="s">
        <v>2362</v>
      </c>
      <c r="B119" s="96" t="s">
        <v>846</v>
      </c>
      <c r="C119" s="56">
        <v>19248.759999999998</v>
      </c>
      <c r="D119" s="32"/>
      <c r="E119" s="56" t="str">
        <f t="shared" si="1"/>
        <v>17411</v>
      </c>
      <c r="G119"/>
      <c r="H119" s="145"/>
    </row>
    <row r="120" spans="1:8">
      <c r="A120" s="60" t="s">
        <v>2363</v>
      </c>
      <c r="B120" s="96" t="s">
        <v>871</v>
      </c>
      <c r="C120" s="56">
        <v>9090.84</v>
      </c>
      <c r="D120" s="32"/>
      <c r="E120" s="56" t="str">
        <f t="shared" si="1"/>
        <v>17412</v>
      </c>
      <c r="G120"/>
      <c r="H120" s="145"/>
    </row>
    <row r="121" spans="1:8">
      <c r="A121" s="60" t="s">
        <v>2364</v>
      </c>
      <c r="B121" s="96" t="s">
        <v>888</v>
      </c>
      <c r="C121" s="56">
        <v>30579.47</v>
      </c>
      <c r="D121" s="32"/>
      <c r="E121" s="56" t="str">
        <f t="shared" si="1"/>
        <v>17414</v>
      </c>
      <c r="G121"/>
      <c r="H121" s="145"/>
    </row>
    <row r="122" spans="1:8">
      <c r="A122" s="60" t="s">
        <v>2365</v>
      </c>
      <c r="B122" s="96" t="s">
        <v>939</v>
      </c>
      <c r="C122" s="56">
        <v>24681.21</v>
      </c>
      <c r="D122" s="32"/>
      <c r="E122" s="56" t="str">
        <f t="shared" si="1"/>
        <v>17415</v>
      </c>
      <c r="G122"/>
      <c r="H122" s="145"/>
    </row>
    <row r="123" spans="1:8">
      <c r="A123" s="60" t="s">
        <v>2366</v>
      </c>
      <c r="B123" s="96" t="s">
        <v>979</v>
      </c>
      <c r="C123" s="56">
        <v>22447.67</v>
      </c>
      <c r="D123" s="32"/>
      <c r="E123" s="56" t="str">
        <f t="shared" si="1"/>
        <v>17417</v>
      </c>
      <c r="G123"/>
      <c r="H123" s="145"/>
    </row>
    <row r="124" spans="1:8">
      <c r="A124" s="60" t="s">
        <v>2610</v>
      </c>
      <c r="B124" s="96" t="s">
        <v>2611</v>
      </c>
      <c r="C124" s="56">
        <v>0</v>
      </c>
      <c r="D124" s="32"/>
      <c r="E124" s="56" t="str">
        <f t="shared" si="1"/>
        <v>17801</v>
      </c>
      <c r="G124"/>
      <c r="H124" s="145"/>
    </row>
    <row r="125" spans="1:8">
      <c r="A125" s="60" t="s">
        <v>2367</v>
      </c>
      <c r="B125" s="96" t="s">
        <v>1011</v>
      </c>
      <c r="C125" s="56">
        <v>304.95</v>
      </c>
      <c r="D125" s="32"/>
      <c r="E125" s="56" t="str">
        <f t="shared" si="1"/>
        <v>17902</v>
      </c>
      <c r="G125"/>
      <c r="H125" s="145"/>
    </row>
    <row r="126" spans="1:8">
      <c r="A126" s="60" t="s">
        <v>2368</v>
      </c>
      <c r="B126" s="96" t="s">
        <v>1012</v>
      </c>
      <c r="C126" s="56">
        <v>530.78</v>
      </c>
      <c r="D126" s="32"/>
      <c r="E126" s="56" t="str">
        <f t="shared" si="1"/>
        <v>17903</v>
      </c>
      <c r="G126"/>
      <c r="H126" s="145"/>
    </row>
    <row r="127" spans="1:8">
      <c r="A127" s="60" t="s">
        <v>2612</v>
      </c>
      <c r="B127" s="96" t="s">
        <v>2613</v>
      </c>
      <c r="C127" s="56">
        <v>0</v>
      </c>
      <c r="D127" s="32"/>
      <c r="E127" s="56" t="str">
        <f t="shared" si="1"/>
        <v>17904</v>
      </c>
      <c r="G127"/>
      <c r="H127" s="145"/>
    </row>
    <row r="128" spans="1:8">
      <c r="A128" s="60" t="s">
        <v>2586</v>
      </c>
      <c r="B128" s="96" t="s">
        <v>2709</v>
      </c>
      <c r="C128" s="56">
        <v>460.91</v>
      </c>
      <c r="D128" s="32"/>
      <c r="E128" s="56" t="str">
        <f t="shared" si="1"/>
        <v>17905</v>
      </c>
      <c r="G128"/>
      <c r="H128" s="145"/>
    </row>
    <row r="129" spans="1:8">
      <c r="A129" s="60" t="s">
        <v>2369</v>
      </c>
      <c r="B129" s="96" t="s">
        <v>1014</v>
      </c>
      <c r="C129" s="56">
        <v>328.86</v>
      </c>
      <c r="D129" s="32"/>
      <c r="E129" s="56" t="str">
        <f t="shared" si="1"/>
        <v>17908</v>
      </c>
      <c r="G129"/>
      <c r="H129" s="145"/>
    </row>
    <row r="130" spans="1:8">
      <c r="A130" s="60" t="s">
        <v>2587</v>
      </c>
      <c r="B130" s="96" t="s">
        <v>2959</v>
      </c>
      <c r="C130" s="56">
        <v>159</v>
      </c>
      <c r="D130" s="32"/>
      <c r="E130" s="56" t="str">
        <f t="shared" si="1"/>
        <v>17910</v>
      </c>
      <c r="F130" s="56"/>
      <c r="G130"/>
      <c r="H130" s="145"/>
    </row>
    <row r="131" spans="1:8" s="56" customFormat="1">
      <c r="A131" s="60" t="s">
        <v>2708</v>
      </c>
      <c r="B131" s="96" t="s">
        <v>2885</v>
      </c>
      <c r="C131" s="56">
        <v>591.14</v>
      </c>
      <c r="D131" s="32"/>
      <c r="E131" s="56" t="str">
        <f t="shared" ref="E131:E194" si="2">A131</f>
        <v>17911</v>
      </c>
      <c r="F131"/>
      <c r="G131"/>
      <c r="H131" s="145"/>
    </row>
    <row r="132" spans="1:8" s="56" customFormat="1">
      <c r="A132" s="60" t="s">
        <v>2853</v>
      </c>
      <c r="B132" s="96" t="s">
        <v>2886</v>
      </c>
      <c r="C132" s="56">
        <v>284.86</v>
      </c>
      <c r="D132" s="32"/>
      <c r="E132" s="56" t="str">
        <f t="shared" si="2"/>
        <v>17916</v>
      </c>
      <c r="F132"/>
      <c r="G132"/>
      <c r="H132" s="145"/>
    </row>
    <row r="133" spans="1:8">
      <c r="A133" s="60" t="s">
        <v>2855</v>
      </c>
      <c r="B133" s="96" t="s">
        <v>2960</v>
      </c>
      <c r="C133" s="56">
        <v>102.33</v>
      </c>
      <c r="D133" s="32"/>
      <c r="E133" s="56" t="str">
        <f t="shared" si="2"/>
        <v>17917</v>
      </c>
      <c r="G133"/>
      <c r="H133" s="145"/>
    </row>
    <row r="134" spans="1:8">
      <c r="A134" s="60" t="s">
        <v>2855</v>
      </c>
      <c r="B134" s="56" t="s">
        <v>2950</v>
      </c>
      <c r="C134" s="56">
        <v>102.33</v>
      </c>
      <c r="D134" s="56"/>
      <c r="E134" s="56" t="str">
        <f t="shared" si="2"/>
        <v>17917</v>
      </c>
      <c r="G134"/>
      <c r="H134" s="145"/>
    </row>
    <row r="135" spans="1:8">
      <c r="A135" s="60" t="s">
        <v>2956</v>
      </c>
      <c r="B135" s="96" t="s">
        <v>2961</v>
      </c>
      <c r="C135" s="56">
        <v>0</v>
      </c>
      <c r="D135" s="32"/>
      <c r="E135" s="56" t="str">
        <f t="shared" si="2"/>
        <v>17918</v>
      </c>
      <c r="G135"/>
      <c r="H135" s="145"/>
    </row>
    <row r="136" spans="1:8">
      <c r="A136" s="60" t="s">
        <v>2614</v>
      </c>
      <c r="B136" s="96" t="s">
        <v>2615</v>
      </c>
      <c r="C136" s="56">
        <v>0</v>
      </c>
      <c r="D136" s="32"/>
      <c r="E136" s="56" t="str">
        <f t="shared" si="2"/>
        <v>17924</v>
      </c>
      <c r="G136"/>
      <c r="H136" s="145"/>
    </row>
    <row r="137" spans="1:8">
      <c r="A137" s="60" t="s">
        <v>2616</v>
      </c>
      <c r="B137" s="96" t="s">
        <v>2962</v>
      </c>
      <c r="C137" s="56">
        <v>0</v>
      </c>
      <c r="D137" s="32"/>
      <c r="E137" s="56" t="str">
        <f t="shared" si="2"/>
        <v>17935</v>
      </c>
      <c r="G137"/>
      <c r="H137" s="145"/>
    </row>
    <row r="138" spans="1:8">
      <c r="A138" s="60" t="s">
        <v>2617</v>
      </c>
      <c r="B138" s="96" t="s">
        <v>2758</v>
      </c>
      <c r="C138" s="56">
        <v>0</v>
      </c>
      <c r="D138" s="32"/>
      <c r="E138" s="56" t="str">
        <f t="shared" si="2"/>
        <v>17936</v>
      </c>
      <c r="G138"/>
      <c r="H138" s="145"/>
    </row>
    <row r="139" spans="1:8">
      <c r="A139" s="60" t="s">
        <v>2370</v>
      </c>
      <c r="B139" s="96" t="s">
        <v>1016</v>
      </c>
      <c r="C139" s="56">
        <v>0</v>
      </c>
      <c r="D139" s="32"/>
      <c r="E139" s="56" t="str">
        <f t="shared" si="2"/>
        <v>17937</v>
      </c>
      <c r="G139"/>
      <c r="H139" s="145"/>
    </row>
    <row r="140" spans="1:8">
      <c r="A140" s="60" t="s">
        <v>2618</v>
      </c>
      <c r="B140" s="96" t="s">
        <v>2619</v>
      </c>
      <c r="C140" s="56">
        <v>0</v>
      </c>
      <c r="D140" s="32"/>
      <c r="E140" s="56" t="str">
        <f t="shared" si="2"/>
        <v>17938</v>
      </c>
      <c r="G140"/>
      <c r="H140" s="145"/>
    </row>
    <row r="141" spans="1:8">
      <c r="A141" s="60" t="s">
        <v>2620</v>
      </c>
      <c r="B141" s="96" t="s">
        <v>2621</v>
      </c>
      <c r="C141" s="56">
        <v>0</v>
      </c>
      <c r="D141" s="32"/>
      <c r="E141" s="56" t="str">
        <f t="shared" si="2"/>
        <v>17941</v>
      </c>
      <c r="G141"/>
      <c r="H141" s="145"/>
    </row>
    <row r="142" spans="1:8">
      <c r="A142" s="60" t="s">
        <v>2622</v>
      </c>
      <c r="B142" s="96" t="s">
        <v>2623</v>
      </c>
      <c r="C142" s="56">
        <v>0</v>
      </c>
      <c r="D142" s="32"/>
      <c r="E142" s="56" t="str">
        <f t="shared" si="2"/>
        <v>17942</v>
      </c>
      <c r="G142"/>
      <c r="H142" s="145"/>
    </row>
    <row r="143" spans="1:8">
      <c r="A143" s="60" t="s">
        <v>2624</v>
      </c>
      <c r="B143" s="96" t="s">
        <v>2625</v>
      </c>
      <c r="C143" s="56">
        <v>0</v>
      </c>
      <c r="D143" s="32"/>
      <c r="E143" s="56" t="str">
        <f t="shared" si="2"/>
        <v>17943</v>
      </c>
      <c r="G143"/>
      <c r="H143" s="145"/>
    </row>
    <row r="144" spans="1:8">
      <c r="A144" s="60" t="s">
        <v>2626</v>
      </c>
      <c r="B144" s="96" t="s">
        <v>2627</v>
      </c>
      <c r="C144" s="56">
        <v>0</v>
      </c>
      <c r="D144" s="32"/>
      <c r="E144" s="56" t="str">
        <f t="shared" si="2"/>
        <v>17946</v>
      </c>
      <c r="G144"/>
      <c r="H144" s="145"/>
    </row>
    <row r="145" spans="1:8">
      <c r="A145" s="60" t="s">
        <v>2371</v>
      </c>
      <c r="B145" s="96" t="s">
        <v>1017</v>
      </c>
      <c r="C145" s="56">
        <v>4557.6400000000003</v>
      </c>
      <c r="D145" s="32"/>
      <c r="E145" s="56" t="str">
        <f t="shared" si="2"/>
        <v>18100</v>
      </c>
      <c r="G145"/>
      <c r="H145" s="145"/>
    </row>
    <row r="146" spans="1:8">
      <c r="A146" s="60" t="s">
        <v>2372</v>
      </c>
      <c r="B146" s="96" t="s">
        <v>1028</v>
      </c>
      <c r="C146" s="56">
        <v>3587.84</v>
      </c>
      <c r="D146" s="32"/>
      <c r="E146" s="56" t="str">
        <f t="shared" si="2"/>
        <v>18303</v>
      </c>
      <c r="G146"/>
      <c r="H146" s="145"/>
    </row>
    <row r="147" spans="1:8">
      <c r="A147" s="60" t="s">
        <v>2373</v>
      </c>
      <c r="B147" s="96" t="s">
        <v>1039</v>
      </c>
      <c r="C147" s="56">
        <v>5418.17</v>
      </c>
      <c r="D147" s="32"/>
      <c r="E147" s="56" t="str">
        <f t="shared" si="2"/>
        <v>18400</v>
      </c>
      <c r="G147"/>
      <c r="H147" s="145"/>
    </row>
    <row r="148" spans="1:8">
      <c r="A148" s="60" t="s">
        <v>2374</v>
      </c>
      <c r="B148" s="96" t="s">
        <v>1050</v>
      </c>
      <c r="C148" s="56">
        <v>11131.92</v>
      </c>
      <c r="D148" s="32"/>
      <c r="E148" s="56" t="str">
        <f t="shared" si="2"/>
        <v>18401</v>
      </c>
      <c r="G148"/>
      <c r="H148" s="145"/>
    </row>
    <row r="149" spans="1:8">
      <c r="A149" s="60" t="s">
        <v>2375</v>
      </c>
      <c r="B149" s="96" t="s">
        <v>1068</v>
      </c>
      <c r="C149" s="56">
        <v>9640.25</v>
      </c>
      <c r="D149" s="56"/>
      <c r="E149" s="56" t="str">
        <f t="shared" si="2"/>
        <v>18402</v>
      </c>
      <c r="G149"/>
      <c r="H149" s="145"/>
    </row>
    <row r="150" spans="1:8">
      <c r="A150" s="60" t="s">
        <v>2628</v>
      </c>
      <c r="B150" s="96" t="s">
        <v>2629</v>
      </c>
      <c r="C150" s="56">
        <v>0</v>
      </c>
      <c r="D150" s="32"/>
      <c r="E150" s="56" t="str">
        <f t="shared" si="2"/>
        <v>18801</v>
      </c>
      <c r="G150"/>
      <c r="H150" s="145"/>
    </row>
    <row r="151" spans="1:8">
      <c r="A151" s="60" t="s">
        <v>2856</v>
      </c>
      <c r="B151" s="96" t="s">
        <v>2869</v>
      </c>
      <c r="C151" s="56">
        <v>301.14</v>
      </c>
      <c r="D151" s="32"/>
      <c r="E151" s="56" t="str">
        <f t="shared" si="2"/>
        <v>18901</v>
      </c>
      <c r="G151"/>
      <c r="H151" s="145"/>
    </row>
    <row r="152" spans="1:8">
      <c r="A152" s="60" t="s">
        <v>2376</v>
      </c>
      <c r="B152" s="96" t="s">
        <v>1081</v>
      </c>
      <c r="C152" s="56">
        <v>85.99</v>
      </c>
      <c r="D152" s="32"/>
      <c r="E152" s="56" t="str">
        <f t="shared" si="2"/>
        <v>18902</v>
      </c>
      <c r="G152"/>
      <c r="H152" s="145"/>
    </row>
    <row r="153" spans="1:8">
      <c r="A153" s="60" t="s">
        <v>2630</v>
      </c>
      <c r="B153" s="96" t="s">
        <v>2631</v>
      </c>
      <c r="C153" s="56">
        <v>0</v>
      </c>
      <c r="D153" s="32"/>
      <c r="E153" s="56" t="str">
        <f t="shared" si="2"/>
        <v>18939</v>
      </c>
      <c r="G153"/>
      <c r="H153" s="145"/>
    </row>
    <row r="154" spans="1:8">
      <c r="A154" s="60" t="s">
        <v>2377</v>
      </c>
      <c r="B154" s="96" t="s">
        <v>1083</v>
      </c>
      <c r="C154" s="56">
        <v>41.01</v>
      </c>
      <c r="D154" s="32"/>
      <c r="E154" s="56" t="str">
        <f t="shared" si="2"/>
        <v>19007</v>
      </c>
      <c r="G154"/>
      <c r="H154" s="145"/>
    </row>
    <row r="155" spans="1:8">
      <c r="A155" s="60" t="s">
        <v>2378</v>
      </c>
      <c r="B155" s="96" t="s">
        <v>1085</v>
      </c>
      <c r="C155" s="56">
        <v>84.66</v>
      </c>
      <c r="D155" s="32"/>
      <c r="E155" s="56" t="str">
        <f t="shared" si="2"/>
        <v>19028</v>
      </c>
      <c r="G155"/>
      <c r="H155" s="145"/>
    </row>
    <row r="156" spans="1:8">
      <c r="A156" s="60" t="s">
        <v>2379</v>
      </c>
      <c r="B156" s="96" t="s">
        <v>1087</v>
      </c>
      <c r="C156" s="56">
        <v>221.03</v>
      </c>
      <c r="D156" s="32"/>
      <c r="E156" s="56" t="str">
        <f t="shared" si="2"/>
        <v>19400</v>
      </c>
      <c r="G156"/>
      <c r="H156" s="145"/>
    </row>
    <row r="157" spans="1:8">
      <c r="A157" s="60" t="s">
        <v>2380</v>
      </c>
      <c r="B157" s="96" t="s">
        <v>1089</v>
      </c>
      <c r="C157" s="56">
        <v>3231.49</v>
      </c>
      <c r="D157" s="32"/>
      <c r="E157" s="56" t="str">
        <f t="shared" si="2"/>
        <v>19401</v>
      </c>
      <c r="G157"/>
      <c r="H157" s="145"/>
    </row>
    <row r="158" spans="1:8">
      <c r="A158" s="60" t="s">
        <v>2381</v>
      </c>
      <c r="B158" s="96" t="s">
        <v>1095</v>
      </c>
      <c r="C158" s="56">
        <v>579.14</v>
      </c>
      <c r="D158" s="32"/>
      <c r="E158" s="56" t="str">
        <f t="shared" si="2"/>
        <v>19403</v>
      </c>
      <c r="G158"/>
      <c r="H158" s="145"/>
    </row>
    <row r="159" spans="1:8">
      <c r="A159" s="60" t="s">
        <v>2382</v>
      </c>
      <c r="B159" s="96" t="s">
        <v>1099</v>
      </c>
      <c r="C159" s="56">
        <v>881.17</v>
      </c>
      <c r="D159" s="32"/>
      <c r="E159" s="56" t="str">
        <f t="shared" si="2"/>
        <v>19404</v>
      </c>
      <c r="G159"/>
      <c r="H159" s="145"/>
    </row>
    <row r="160" spans="1:8">
      <c r="A160" s="60" t="s">
        <v>2632</v>
      </c>
      <c r="B160" s="96" t="s">
        <v>2633</v>
      </c>
      <c r="C160" s="56">
        <v>0</v>
      </c>
      <c r="D160" s="32"/>
      <c r="E160" s="56" t="str">
        <f t="shared" si="2"/>
        <v>19901</v>
      </c>
      <c r="G160"/>
      <c r="H160" s="145"/>
    </row>
    <row r="161" spans="1:8">
      <c r="A161" s="60" t="s">
        <v>2383</v>
      </c>
      <c r="B161" s="96" t="s">
        <v>1104</v>
      </c>
      <c r="C161" s="56">
        <v>60.12</v>
      </c>
      <c r="D161" s="32"/>
      <c r="E161" s="56" t="str">
        <f t="shared" si="2"/>
        <v>20094</v>
      </c>
      <c r="G161"/>
      <c r="H161" s="145"/>
    </row>
    <row r="162" spans="1:8">
      <c r="A162" s="60" t="s">
        <v>2384</v>
      </c>
      <c r="B162" s="96" t="s">
        <v>1106</v>
      </c>
      <c r="C162" s="56">
        <v>113.01</v>
      </c>
      <c r="D162" s="32"/>
      <c r="E162" s="56" t="str">
        <f t="shared" si="2"/>
        <v>20203</v>
      </c>
      <c r="G162"/>
      <c r="H162" s="145"/>
    </row>
    <row r="163" spans="1:8">
      <c r="A163" s="60" t="s">
        <v>2385</v>
      </c>
      <c r="B163" s="96" t="s">
        <v>1108</v>
      </c>
      <c r="C163" s="56">
        <v>86</v>
      </c>
      <c r="D163" s="32"/>
      <c r="E163" s="56" t="str">
        <f t="shared" si="2"/>
        <v>20215</v>
      </c>
      <c r="G163"/>
      <c r="H163" s="145"/>
    </row>
    <row r="164" spans="1:8">
      <c r="A164" s="60" t="s">
        <v>2386</v>
      </c>
      <c r="B164" s="96" t="s">
        <v>1110</v>
      </c>
      <c r="C164" s="56">
        <v>189.16</v>
      </c>
      <c r="D164" s="32"/>
      <c r="E164" s="56" t="str">
        <f t="shared" si="2"/>
        <v>20400</v>
      </c>
      <c r="G164"/>
      <c r="H164" s="145"/>
    </row>
    <row r="165" spans="1:8">
      <c r="A165" s="60" t="s">
        <v>2387</v>
      </c>
      <c r="B165" s="96" t="s">
        <v>1113</v>
      </c>
      <c r="C165" s="56">
        <v>52.27</v>
      </c>
      <c r="D165" s="32"/>
      <c r="E165" s="56" t="str">
        <f t="shared" si="2"/>
        <v>20401</v>
      </c>
      <c r="G165"/>
      <c r="H165" s="145"/>
    </row>
    <row r="166" spans="1:8">
      <c r="A166" s="60" t="s">
        <v>2388</v>
      </c>
      <c r="B166" s="96" t="s">
        <v>1116</v>
      </c>
      <c r="C166" s="56">
        <v>93.6</v>
      </c>
      <c r="D166" s="32"/>
      <c r="E166" s="56" t="str">
        <f t="shared" si="2"/>
        <v>20402</v>
      </c>
      <c r="G166"/>
      <c r="H166" s="145"/>
    </row>
    <row r="167" spans="1:8">
      <c r="A167" s="60" t="s">
        <v>2389</v>
      </c>
      <c r="B167" s="96" t="s">
        <v>1118</v>
      </c>
      <c r="C167" s="56">
        <v>34.57</v>
      </c>
      <c r="D167" s="32"/>
      <c r="E167" s="56" t="str">
        <f t="shared" si="2"/>
        <v>20403</v>
      </c>
      <c r="G167"/>
      <c r="H167" s="145"/>
    </row>
    <row r="168" spans="1:8">
      <c r="A168" s="60" t="s">
        <v>2390</v>
      </c>
      <c r="B168" s="96" t="s">
        <v>1119</v>
      </c>
      <c r="C168" s="56">
        <v>2271.36</v>
      </c>
      <c r="D168" s="32"/>
      <c r="E168" s="56" t="str">
        <f t="shared" si="2"/>
        <v>20404</v>
      </c>
      <c r="G168"/>
      <c r="H168" s="145"/>
    </row>
    <row r="169" spans="1:8">
      <c r="A169" s="60" t="s">
        <v>2391</v>
      </c>
      <c r="B169" s="96" t="s">
        <v>1123</v>
      </c>
      <c r="C169" s="56">
        <v>1104.93</v>
      </c>
      <c r="D169" s="32"/>
      <c r="E169" s="56" t="str">
        <f t="shared" si="2"/>
        <v>20405</v>
      </c>
      <c r="G169"/>
      <c r="H169" s="145"/>
    </row>
    <row r="170" spans="1:8">
      <c r="A170" s="60" t="s">
        <v>2392</v>
      </c>
      <c r="B170" s="96" t="s">
        <v>1129</v>
      </c>
      <c r="C170" s="56">
        <v>210.02</v>
      </c>
      <c r="D170" s="32"/>
      <c r="E170" s="56" t="str">
        <f t="shared" si="2"/>
        <v>20406</v>
      </c>
      <c r="F170" s="56"/>
      <c r="G170"/>
      <c r="H170" s="145"/>
    </row>
    <row r="171" spans="1:8">
      <c r="A171" s="60" t="s">
        <v>2393</v>
      </c>
      <c r="B171" s="96" t="s">
        <v>1133</v>
      </c>
      <c r="C171" s="56">
        <v>769.52</v>
      </c>
      <c r="D171" s="32"/>
      <c r="E171" s="56" t="str">
        <f t="shared" si="2"/>
        <v>21014</v>
      </c>
      <c r="F171" s="56"/>
      <c r="G171"/>
      <c r="H171" s="145"/>
    </row>
    <row r="172" spans="1:8" s="56" customFormat="1">
      <c r="A172" s="60" t="s">
        <v>2957</v>
      </c>
      <c r="B172" s="96" t="s">
        <v>2963</v>
      </c>
      <c r="C172" s="56">
        <v>0</v>
      </c>
      <c r="D172" s="32"/>
      <c r="E172" s="56" t="str">
        <f t="shared" si="2"/>
        <v>21018</v>
      </c>
      <c r="G172"/>
      <c r="H172" s="145"/>
    </row>
    <row r="173" spans="1:8" s="56" customFormat="1">
      <c r="A173" s="60" t="s">
        <v>2394</v>
      </c>
      <c r="B173" s="96" t="s">
        <v>1136</v>
      </c>
      <c r="C173" s="56">
        <v>45.43</v>
      </c>
      <c r="D173" s="32"/>
      <c r="E173" s="56" t="str">
        <f t="shared" si="2"/>
        <v>21036</v>
      </c>
      <c r="G173"/>
      <c r="H173" s="145"/>
    </row>
    <row r="174" spans="1:8" s="56" customFormat="1">
      <c r="A174" s="60" t="s">
        <v>2395</v>
      </c>
      <c r="B174" s="96" t="s">
        <v>1138</v>
      </c>
      <c r="C174" s="56">
        <v>576.45000000000005</v>
      </c>
      <c r="D174" s="32"/>
      <c r="E174" s="56" t="str">
        <f t="shared" si="2"/>
        <v>21206</v>
      </c>
      <c r="F174"/>
      <c r="G174"/>
      <c r="H174" s="145"/>
    </row>
    <row r="175" spans="1:8" s="56" customFormat="1">
      <c r="A175" s="60" t="s">
        <v>2396</v>
      </c>
      <c r="B175" s="96" t="s">
        <v>1142</v>
      </c>
      <c r="C175" s="56">
        <v>386.1</v>
      </c>
      <c r="D175" s="32"/>
      <c r="E175" s="56" t="str">
        <f t="shared" si="2"/>
        <v>21214</v>
      </c>
      <c r="F175"/>
      <c r="G175"/>
      <c r="H175" s="145"/>
    </row>
    <row r="176" spans="1:8">
      <c r="A176" s="60" t="s">
        <v>2397</v>
      </c>
      <c r="B176" s="96" t="s">
        <v>1145</v>
      </c>
      <c r="C176" s="56">
        <v>616.02</v>
      </c>
      <c r="D176" s="32"/>
      <c r="E176" s="56" t="str">
        <f t="shared" si="2"/>
        <v>21226</v>
      </c>
      <c r="G176"/>
      <c r="H176" s="145"/>
    </row>
    <row r="177" spans="1:8">
      <c r="A177" s="60" t="s">
        <v>2398</v>
      </c>
      <c r="B177" s="96" t="s">
        <v>1148</v>
      </c>
      <c r="C177" s="56">
        <v>732.54</v>
      </c>
      <c r="D177" s="32"/>
      <c r="E177" s="56" t="str">
        <f t="shared" si="2"/>
        <v>21232</v>
      </c>
      <c r="G177"/>
      <c r="H177" s="145"/>
    </row>
    <row r="178" spans="1:8">
      <c r="A178" s="60" t="s">
        <v>2399</v>
      </c>
      <c r="B178" s="96" t="s">
        <v>1153</v>
      </c>
      <c r="C178" s="56">
        <v>85.66</v>
      </c>
      <c r="D178" s="32"/>
      <c r="E178" s="56" t="str">
        <f t="shared" si="2"/>
        <v>21234</v>
      </c>
      <c r="G178"/>
      <c r="H178" s="145"/>
    </row>
    <row r="179" spans="1:8">
      <c r="A179" s="60" t="s">
        <v>2400</v>
      </c>
      <c r="B179" s="96" t="s">
        <v>1155</v>
      </c>
      <c r="C179" s="56">
        <v>799.67</v>
      </c>
      <c r="D179" s="32"/>
      <c r="E179" s="56" t="str">
        <f t="shared" si="2"/>
        <v>21237</v>
      </c>
      <c r="G179"/>
      <c r="H179" s="145"/>
    </row>
    <row r="180" spans="1:8">
      <c r="A180" s="60" t="s">
        <v>2401</v>
      </c>
      <c r="B180" s="96" t="s">
        <v>1160</v>
      </c>
      <c r="C180" s="56">
        <v>790.86</v>
      </c>
      <c r="D180" s="32"/>
      <c r="E180" s="56" t="str">
        <f t="shared" si="2"/>
        <v>21300</v>
      </c>
      <c r="G180"/>
      <c r="H180" s="145"/>
    </row>
    <row r="181" spans="1:8">
      <c r="A181" s="60" t="s">
        <v>2402</v>
      </c>
      <c r="B181" s="96" t="s">
        <v>1164</v>
      </c>
      <c r="C181" s="56">
        <v>246.78</v>
      </c>
      <c r="D181" s="32"/>
      <c r="E181" s="56" t="str">
        <f t="shared" si="2"/>
        <v>21301</v>
      </c>
      <c r="G181"/>
      <c r="H181" s="145"/>
    </row>
    <row r="182" spans="1:8">
      <c r="A182" s="60" t="s">
        <v>2403</v>
      </c>
      <c r="B182" s="96" t="s">
        <v>1166</v>
      </c>
      <c r="C182" s="56">
        <v>2839.71</v>
      </c>
      <c r="D182" s="32"/>
      <c r="E182" s="56" t="str">
        <f t="shared" si="2"/>
        <v>21302</v>
      </c>
      <c r="G182"/>
      <c r="H182" s="145"/>
    </row>
    <row r="183" spans="1:8">
      <c r="A183" s="60" t="s">
        <v>2404</v>
      </c>
      <c r="B183" s="96" t="s">
        <v>1170</v>
      </c>
      <c r="C183" s="56">
        <v>322.83</v>
      </c>
      <c r="D183" s="32"/>
      <c r="E183" s="56" t="str">
        <f t="shared" si="2"/>
        <v>21303</v>
      </c>
      <c r="G183"/>
      <c r="H183" s="145"/>
    </row>
    <row r="184" spans="1:8">
      <c r="A184" s="60" t="s">
        <v>2405</v>
      </c>
      <c r="B184" s="96" t="s">
        <v>1173</v>
      </c>
      <c r="C184" s="56">
        <v>3365.81</v>
      </c>
      <c r="D184" s="56"/>
      <c r="E184" s="56" t="str">
        <f t="shared" si="2"/>
        <v>21401</v>
      </c>
      <c r="G184"/>
      <c r="H184" s="145"/>
    </row>
    <row r="185" spans="1:8">
      <c r="A185" s="60" t="s">
        <v>2634</v>
      </c>
      <c r="B185" s="96" t="s">
        <v>2635</v>
      </c>
      <c r="C185" s="56">
        <v>0</v>
      </c>
      <c r="D185" s="32"/>
      <c r="E185" s="56" t="str">
        <f t="shared" si="2"/>
        <v>21926</v>
      </c>
      <c r="G185"/>
      <c r="H185" s="145"/>
    </row>
    <row r="186" spans="1:8">
      <c r="A186" s="60" t="s">
        <v>2406</v>
      </c>
      <c r="B186" s="96" t="s">
        <v>1181</v>
      </c>
      <c r="C186" s="56">
        <v>71.42</v>
      </c>
      <c r="D186" s="32"/>
      <c r="E186" s="56" t="str">
        <f t="shared" si="2"/>
        <v>22008</v>
      </c>
      <c r="G186"/>
      <c r="H186" s="145"/>
    </row>
    <row r="187" spans="1:8">
      <c r="A187" s="60" t="s">
        <v>2407</v>
      </c>
      <c r="B187" s="96" t="s">
        <v>1184</v>
      </c>
      <c r="C187" s="56">
        <v>722.92</v>
      </c>
      <c r="D187" s="32"/>
      <c r="E187" s="56" t="str">
        <f t="shared" si="2"/>
        <v>22009</v>
      </c>
      <c r="G187"/>
      <c r="H187" s="145"/>
    </row>
    <row r="188" spans="1:8">
      <c r="A188" s="60" t="s">
        <v>2408</v>
      </c>
      <c r="B188" s="96" t="s">
        <v>1187</v>
      </c>
      <c r="C188" s="56">
        <v>96.41</v>
      </c>
      <c r="D188" s="32"/>
      <c r="E188" s="56" t="str">
        <f t="shared" si="2"/>
        <v>22017</v>
      </c>
      <c r="G188"/>
      <c r="H188" s="145"/>
    </row>
    <row r="189" spans="1:8">
      <c r="A189" s="60" t="s">
        <v>2409</v>
      </c>
      <c r="B189" s="96" t="s">
        <v>1189</v>
      </c>
      <c r="C189" s="56">
        <v>87.01</v>
      </c>
      <c r="D189" s="32"/>
      <c r="E189" s="56" t="str">
        <f t="shared" si="2"/>
        <v>22073</v>
      </c>
      <c r="G189"/>
      <c r="H189" s="145"/>
    </row>
    <row r="190" spans="1:8">
      <c r="A190" s="60" t="s">
        <v>2410</v>
      </c>
      <c r="B190" s="96" t="s">
        <v>1192</v>
      </c>
      <c r="C190" s="56">
        <v>217.6</v>
      </c>
      <c r="D190" s="32"/>
      <c r="E190" s="56" t="str">
        <f t="shared" si="2"/>
        <v>22105</v>
      </c>
      <c r="G190"/>
      <c r="H190" s="145"/>
    </row>
    <row r="191" spans="1:8">
      <c r="A191" s="60" t="s">
        <v>2411</v>
      </c>
      <c r="B191" s="96" t="s">
        <v>1195</v>
      </c>
      <c r="C191" s="56">
        <v>220.36</v>
      </c>
      <c r="D191" s="32"/>
      <c r="E191" s="56" t="str">
        <f t="shared" si="2"/>
        <v>22200</v>
      </c>
      <c r="G191"/>
      <c r="H191" s="145"/>
    </row>
    <row r="192" spans="1:8">
      <c r="A192" s="60" t="s">
        <v>2412</v>
      </c>
      <c r="B192" s="96" t="s">
        <v>1198</v>
      </c>
      <c r="C192" s="56">
        <v>111.84</v>
      </c>
      <c r="D192" s="32"/>
      <c r="E192" s="56" t="str">
        <f t="shared" si="2"/>
        <v>22204</v>
      </c>
      <c r="G192"/>
      <c r="H192" s="145"/>
    </row>
    <row r="193" spans="1:8">
      <c r="A193" s="60" t="s">
        <v>2413</v>
      </c>
      <c r="B193" s="96" t="s">
        <v>1201</v>
      </c>
      <c r="C193" s="56">
        <v>570.62</v>
      </c>
      <c r="D193" s="32"/>
      <c r="E193" s="56" t="str">
        <f t="shared" si="2"/>
        <v>22207</v>
      </c>
      <c r="G193"/>
      <c r="H193" s="145"/>
    </row>
    <row r="194" spans="1:8">
      <c r="A194" s="60" t="s">
        <v>2414</v>
      </c>
      <c r="B194" s="96" t="s">
        <v>1204</v>
      </c>
      <c r="C194" s="56">
        <v>199.28</v>
      </c>
      <c r="D194" s="32"/>
      <c r="E194" s="56" t="str">
        <f t="shared" si="2"/>
        <v>23042</v>
      </c>
      <c r="G194"/>
      <c r="H194" s="145"/>
    </row>
    <row r="195" spans="1:8">
      <c r="A195" s="60" t="s">
        <v>2415</v>
      </c>
      <c r="B195" s="96" t="s">
        <v>1206</v>
      </c>
      <c r="C195" s="56">
        <v>214.28</v>
      </c>
      <c r="D195" s="32"/>
      <c r="E195" s="56" t="str">
        <f t="shared" ref="E195:E258" si="3">A195</f>
        <v>23054</v>
      </c>
      <c r="G195"/>
      <c r="H195" s="145"/>
    </row>
    <row r="196" spans="1:8">
      <c r="A196" s="60" t="s">
        <v>2416</v>
      </c>
      <c r="B196" s="96" t="s">
        <v>1208</v>
      </c>
      <c r="C196" s="56">
        <v>4261.09</v>
      </c>
      <c r="D196" s="32"/>
      <c r="E196" s="56" t="str">
        <f t="shared" si="3"/>
        <v>23309</v>
      </c>
      <c r="G196"/>
      <c r="H196" s="145"/>
    </row>
    <row r="197" spans="1:8">
      <c r="A197" s="60" t="s">
        <v>2417</v>
      </c>
      <c r="B197" s="96" t="s">
        <v>1213</v>
      </c>
      <c r="C197" s="56">
        <v>1434.69</v>
      </c>
      <c r="D197" s="32"/>
      <c r="E197" s="56" t="str">
        <f t="shared" si="3"/>
        <v>23311</v>
      </c>
      <c r="G197"/>
      <c r="H197" s="145"/>
    </row>
    <row r="198" spans="1:8">
      <c r="A198" s="60" t="s">
        <v>2418</v>
      </c>
      <c r="B198" s="96" t="s">
        <v>1216</v>
      </c>
      <c r="C198" s="56">
        <v>691.18</v>
      </c>
      <c r="D198" s="32"/>
      <c r="E198" s="56" t="str">
        <f t="shared" si="3"/>
        <v>23402</v>
      </c>
      <c r="G198"/>
      <c r="H198" s="145"/>
    </row>
    <row r="199" spans="1:8">
      <c r="A199" s="60" t="s">
        <v>2419</v>
      </c>
      <c r="B199" s="96" t="s">
        <v>1217</v>
      </c>
      <c r="C199" s="56">
        <v>2258.29</v>
      </c>
      <c r="D199" s="32"/>
      <c r="E199" s="56" t="str">
        <f t="shared" si="3"/>
        <v>23403</v>
      </c>
      <c r="G199"/>
      <c r="H199" s="145"/>
    </row>
    <row r="200" spans="1:8">
      <c r="A200" s="60" t="s">
        <v>2420</v>
      </c>
      <c r="B200" s="96" t="s">
        <v>1224</v>
      </c>
      <c r="C200" s="56">
        <v>304.72000000000003</v>
      </c>
      <c r="D200" s="32"/>
      <c r="E200" s="56" t="str">
        <f t="shared" si="3"/>
        <v>23404</v>
      </c>
      <c r="G200"/>
      <c r="H200" s="145"/>
    </row>
    <row r="201" spans="1:8">
      <c r="A201" s="60" t="s">
        <v>2421</v>
      </c>
      <c r="B201" s="96" t="s">
        <v>2765</v>
      </c>
      <c r="C201" s="56">
        <v>128.28</v>
      </c>
      <c r="D201" s="32"/>
      <c r="E201" s="56" t="str">
        <f t="shared" si="3"/>
        <v>24014</v>
      </c>
      <c r="G201"/>
      <c r="H201" s="145"/>
    </row>
    <row r="202" spans="1:8">
      <c r="A202" s="60" t="s">
        <v>2422</v>
      </c>
      <c r="B202" s="96" t="s">
        <v>1226</v>
      </c>
      <c r="C202" s="56">
        <v>6635.97</v>
      </c>
      <c r="D202" s="32"/>
      <c r="E202" s="56" t="str">
        <f t="shared" si="3"/>
        <v>24019</v>
      </c>
      <c r="G202"/>
      <c r="H202" s="145"/>
    </row>
    <row r="203" spans="1:8">
      <c r="A203" s="60" t="s">
        <v>2423</v>
      </c>
      <c r="B203" s="96" t="s">
        <v>1236</v>
      </c>
      <c r="C203" s="56">
        <v>1039.9100000000001</v>
      </c>
      <c r="D203" s="32"/>
      <c r="E203" s="56" t="str">
        <f t="shared" si="3"/>
        <v>24105</v>
      </c>
      <c r="G203"/>
      <c r="H203" s="145"/>
    </row>
    <row r="204" spans="1:8">
      <c r="A204" s="60" t="s">
        <v>2424</v>
      </c>
      <c r="B204" s="96" t="s">
        <v>1242</v>
      </c>
      <c r="C204" s="56">
        <v>953</v>
      </c>
      <c r="D204" s="32"/>
      <c r="E204" s="56" t="str">
        <f t="shared" si="3"/>
        <v>24111</v>
      </c>
      <c r="G204"/>
      <c r="H204" s="145"/>
    </row>
    <row r="205" spans="1:8">
      <c r="A205" s="60" t="s">
        <v>2425</v>
      </c>
      <c r="B205" s="96" t="s">
        <v>1247</v>
      </c>
      <c r="C205" s="56">
        <v>295.66000000000003</v>
      </c>
      <c r="D205" s="32"/>
      <c r="E205" s="56" t="str">
        <f t="shared" si="3"/>
        <v>24122</v>
      </c>
      <c r="G205"/>
      <c r="H205" s="145"/>
    </row>
    <row r="206" spans="1:8">
      <c r="A206" s="60" t="s">
        <v>2426</v>
      </c>
      <c r="B206" s="96" t="s">
        <v>1250</v>
      </c>
      <c r="C206" s="56">
        <v>717.87</v>
      </c>
      <c r="D206" s="32"/>
      <c r="E206" s="56" t="str">
        <f t="shared" si="3"/>
        <v>24350</v>
      </c>
      <c r="G206"/>
      <c r="H206" s="145"/>
    </row>
    <row r="207" spans="1:8">
      <c r="A207" s="60" t="s">
        <v>2427</v>
      </c>
      <c r="B207" s="96" t="s">
        <v>1254</v>
      </c>
      <c r="C207" s="56">
        <v>1135.78</v>
      </c>
      <c r="D207" s="32"/>
      <c r="E207" s="56" t="str">
        <f t="shared" si="3"/>
        <v>24404</v>
      </c>
      <c r="G207"/>
      <c r="H207" s="145"/>
    </row>
    <row r="208" spans="1:8">
      <c r="A208" s="60" t="s">
        <v>2428</v>
      </c>
      <c r="B208" s="96" t="s">
        <v>1258</v>
      </c>
      <c r="C208" s="56">
        <v>511.74</v>
      </c>
      <c r="D208" s="32"/>
      <c r="E208" s="56" t="str">
        <f t="shared" si="3"/>
        <v>24410</v>
      </c>
      <c r="G208"/>
      <c r="H208" s="145"/>
    </row>
    <row r="209" spans="1:8">
      <c r="A209" s="60" t="s">
        <v>2429</v>
      </c>
      <c r="B209" s="96" t="s">
        <v>1261</v>
      </c>
      <c r="C209" s="56">
        <v>1022.68</v>
      </c>
      <c r="D209" s="32"/>
      <c r="E209" s="56" t="str">
        <f t="shared" si="3"/>
        <v>25101</v>
      </c>
      <c r="G209"/>
      <c r="H209" s="145"/>
    </row>
    <row r="210" spans="1:8">
      <c r="A210" s="60" t="s">
        <v>2430</v>
      </c>
      <c r="B210" s="96" t="s">
        <v>1267</v>
      </c>
      <c r="C210" s="56">
        <v>520.94000000000005</v>
      </c>
      <c r="D210" s="32"/>
      <c r="E210" s="56" t="str">
        <f t="shared" si="3"/>
        <v>25116</v>
      </c>
      <c r="G210"/>
      <c r="H210" s="145"/>
    </row>
    <row r="211" spans="1:8">
      <c r="A211" s="60" t="s">
        <v>2431</v>
      </c>
      <c r="B211" s="96" t="s">
        <v>1270</v>
      </c>
      <c r="C211" s="56">
        <v>551.75</v>
      </c>
      <c r="D211" s="32"/>
      <c r="E211" s="56" t="str">
        <f t="shared" si="3"/>
        <v>25118</v>
      </c>
      <c r="G211"/>
      <c r="H211" s="145"/>
    </row>
    <row r="212" spans="1:8">
      <c r="A212" s="60" t="s">
        <v>2432</v>
      </c>
      <c r="B212" s="96" t="s">
        <v>1272</v>
      </c>
      <c r="C212" s="56">
        <v>311.31</v>
      </c>
      <c r="D212" s="32"/>
      <c r="E212" s="56" t="str">
        <f t="shared" si="3"/>
        <v>25155</v>
      </c>
      <c r="G212"/>
      <c r="H212" s="145"/>
    </row>
    <row r="213" spans="1:8">
      <c r="A213" s="60" t="s">
        <v>2433</v>
      </c>
      <c r="B213" s="96" t="s">
        <v>1275</v>
      </c>
      <c r="C213" s="56">
        <v>359.33</v>
      </c>
      <c r="D213" s="32"/>
      <c r="E213" s="56" t="str">
        <f t="shared" si="3"/>
        <v>25160</v>
      </c>
      <c r="G213"/>
      <c r="H213" s="145"/>
    </row>
    <row r="214" spans="1:8">
      <c r="A214" s="60" t="s">
        <v>2434</v>
      </c>
      <c r="B214" s="96" t="s">
        <v>1278</v>
      </c>
      <c r="C214" s="56">
        <v>85.16</v>
      </c>
      <c r="D214" s="32"/>
      <c r="E214" s="56" t="str">
        <f t="shared" si="3"/>
        <v>25200</v>
      </c>
      <c r="G214"/>
      <c r="H214" s="145"/>
    </row>
    <row r="215" spans="1:8">
      <c r="A215" s="60" t="s">
        <v>2435</v>
      </c>
      <c r="B215" s="96" t="s">
        <v>1280</v>
      </c>
      <c r="C215" s="56">
        <v>1027.5999999999999</v>
      </c>
      <c r="D215" s="32"/>
      <c r="E215" s="56" t="str">
        <f t="shared" si="3"/>
        <v>26056</v>
      </c>
      <c r="G215"/>
      <c r="H215" s="145"/>
    </row>
    <row r="216" spans="1:8">
      <c r="A216" s="60" t="s">
        <v>2436</v>
      </c>
      <c r="B216" s="96" t="s">
        <v>1285</v>
      </c>
      <c r="C216" s="56">
        <v>322.45999999999998</v>
      </c>
      <c r="D216" s="32"/>
      <c r="E216" s="56" t="str">
        <f t="shared" si="3"/>
        <v>26059</v>
      </c>
      <c r="G216"/>
      <c r="H216" s="145"/>
    </row>
    <row r="217" spans="1:8">
      <c r="A217" s="60" t="s">
        <v>2437</v>
      </c>
      <c r="B217" s="96" t="s">
        <v>1288</v>
      </c>
      <c r="C217" s="56">
        <v>235.19</v>
      </c>
      <c r="D217" s="32"/>
      <c r="E217" s="56" t="str">
        <f t="shared" si="3"/>
        <v>26070</v>
      </c>
      <c r="G217"/>
      <c r="H217" s="145"/>
    </row>
    <row r="218" spans="1:8">
      <c r="A218" s="60" t="s">
        <v>2438</v>
      </c>
      <c r="B218" s="96" t="s">
        <v>1292</v>
      </c>
      <c r="C218" s="56">
        <v>3124.52</v>
      </c>
      <c r="D218" s="32"/>
      <c r="E218" s="56" t="str">
        <f t="shared" si="3"/>
        <v>27001</v>
      </c>
      <c r="G218"/>
      <c r="H218" s="145"/>
    </row>
    <row r="219" spans="1:8">
      <c r="A219" s="60" t="s">
        <v>2439</v>
      </c>
      <c r="B219" s="96" t="s">
        <v>1299</v>
      </c>
      <c r="C219" s="56">
        <v>22405.7</v>
      </c>
      <c r="D219" s="32"/>
      <c r="E219" s="56" t="str">
        <f t="shared" si="3"/>
        <v>27003</v>
      </c>
      <c r="G219"/>
      <c r="H219" s="145"/>
    </row>
    <row r="220" spans="1:8">
      <c r="A220" s="60" t="s">
        <v>2440</v>
      </c>
      <c r="B220" s="96" t="s">
        <v>1330</v>
      </c>
      <c r="C220" s="56">
        <v>27226.67</v>
      </c>
      <c r="D220" s="32"/>
      <c r="E220" s="56" t="str">
        <f t="shared" si="3"/>
        <v>27010</v>
      </c>
      <c r="G220"/>
      <c r="H220" s="145"/>
    </row>
    <row r="221" spans="1:8">
      <c r="A221" s="60" t="s">
        <v>2441</v>
      </c>
      <c r="B221" s="96" t="s">
        <v>1385</v>
      </c>
      <c r="C221" s="56">
        <v>177.35</v>
      </c>
      <c r="D221" s="32"/>
      <c r="E221" s="56" t="str">
        <f t="shared" si="3"/>
        <v>27019</v>
      </c>
      <c r="G221"/>
      <c r="H221" s="145"/>
    </row>
    <row r="222" spans="1:8">
      <c r="A222" s="60" t="s">
        <v>2442</v>
      </c>
      <c r="B222" s="96" t="s">
        <v>1387</v>
      </c>
      <c r="C222" s="56">
        <v>5547.57</v>
      </c>
      <c r="D222" s="32"/>
      <c r="E222" s="56" t="str">
        <f t="shared" si="3"/>
        <v>27083</v>
      </c>
      <c r="G222"/>
      <c r="H222" s="145"/>
    </row>
    <row r="223" spans="1:8">
      <c r="A223" s="60" t="s">
        <v>2443</v>
      </c>
      <c r="B223" s="96" t="s">
        <v>1396</v>
      </c>
      <c r="C223" s="56">
        <v>9874.57</v>
      </c>
      <c r="D223" s="32"/>
      <c r="E223" s="56" t="str">
        <f t="shared" si="3"/>
        <v>27320</v>
      </c>
      <c r="G223"/>
      <c r="H223" s="145"/>
    </row>
    <row r="224" spans="1:8">
      <c r="A224" s="60" t="s">
        <v>2444</v>
      </c>
      <c r="B224" s="96" t="s">
        <v>1409</v>
      </c>
      <c r="C224" s="56">
        <v>1367.91</v>
      </c>
      <c r="D224" s="32"/>
      <c r="E224" s="56" t="str">
        <f t="shared" si="3"/>
        <v>27343</v>
      </c>
      <c r="G224"/>
      <c r="H224" s="145"/>
    </row>
    <row r="225" spans="1:8">
      <c r="A225" s="60" t="s">
        <v>2445</v>
      </c>
      <c r="B225" s="96" t="s">
        <v>1413</v>
      </c>
      <c r="C225" s="56">
        <v>2596.65</v>
      </c>
      <c r="D225" s="32"/>
      <c r="E225" s="56" t="str">
        <f t="shared" si="3"/>
        <v>27344</v>
      </c>
      <c r="G225"/>
      <c r="H225" s="145"/>
    </row>
    <row r="226" spans="1:8">
      <c r="A226" s="60" t="s">
        <v>2446</v>
      </c>
      <c r="B226" s="96" t="s">
        <v>1418</v>
      </c>
      <c r="C226" s="56">
        <v>11989.59</v>
      </c>
      <c r="D226" s="32"/>
      <c r="E226" s="56" t="str">
        <f t="shared" si="3"/>
        <v>27400</v>
      </c>
      <c r="G226"/>
      <c r="H226" s="145"/>
    </row>
    <row r="227" spans="1:8">
      <c r="A227" s="60" t="s">
        <v>2447</v>
      </c>
      <c r="B227" s="96" t="s">
        <v>1443</v>
      </c>
      <c r="C227" s="56">
        <v>8600.41</v>
      </c>
      <c r="D227" s="32"/>
      <c r="E227" s="56" t="str">
        <f t="shared" si="3"/>
        <v>27401</v>
      </c>
      <c r="F227" s="56"/>
      <c r="G227"/>
      <c r="H227" s="145"/>
    </row>
    <row r="228" spans="1:8">
      <c r="A228" s="60" t="s">
        <v>2448</v>
      </c>
      <c r="B228" s="96" t="s">
        <v>1459</v>
      </c>
      <c r="C228" s="56">
        <v>7281.76</v>
      </c>
      <c r="D228" s="32"/>
      <c r="E228" s="56" t="str">
        <f t="shared" si="3"/>
        <v>27402</v>
      </c>
      <c r="G228"/>
      <c r="H228" s="145"/>
    </row>
    <row r="229" spans="1:8" s="56" customFormat="1">
      <c r="A229" s="60" t="s">
        <v>2449</v>
      </c>
      <c r="B229" s="96" t="s">
        <v>1473</v>
      </c>
      <c r="C229" s="56">
        <v>20148.52</v>
      </c>
      <c r="D229" s="32"/>
      <c r="E229" s="56" t="str">
        <f t="shared" si="3"/>
        <v>27403</v>
      </c>
      <c r="F229"/>
      <c r="G229"/>
      <c r="H229" s="145"/>
    </row>
    <row r="230" spans="1:8">
      <c r="A230" s="60" t="s">
        <v>2450</v>
      </c>
      <c r="B230" s="96" t="s">
        <v>1500</v>
      </c>
      <c r="C230" s="56">
        <v>1899.41</v>
      </c>
      <c r="D230" s="32"/>
      <c r="E230" s="56" t="str">
        <f t="shared" si="3"/>
        <v>27404</v>
      </c>
      <c r="G230"/>
      <c r="H230" s="145"/>
    </row>
    <row r="231" spans="1:8">
      <c r="A231" s="60" t="s">
        <v>2451</v>
      </c>
      <c r="B231" s="96" t="s">
        <v>1508</v>
      </c>
      <c r="C231" s="56">
        <v>4131.5600000000004</v>
      </c>
      <c r="D231" s="32"/>
      <c r="E231" s="56" t="str">
        <f t="shared" si="3"/>
        <v>27416</v>
      </c>
      <c r="G231"/>
      <c r="H231" s="145"/>
    </row>
    <row r="232" spans="1:8">
      <c r="A232" s="60" t="s">
        <v>2452</v>
      </c>
      <c r="B232" s="96" t="s">
        <v>1516</v>
      </c>
      <c r="C232" s="56">
        <v>3706.35</v>
      </c>
      <c r="D232" s="32"/>
      <c r="E232" s="56" t="str">
        <f t="shared" si="3"/>
        <v>27417</v>
      </c>
      <c r="G232"/>
      <c r="H232" s="145"/>
    </row>
    <row r="233" spans="1:8">
      <c r="A233" s="60" t="s">
        <v>2762</v>
      </c>
      <c r="B233" s="96" t="s">
        <v>2964</v>
      </c>
      <c r="C233" s="56">
        <v>580.71</v>
      </c>
      <c r="D233" s="32"/>
      <c r="E233" s="56" t="str">
        <f t="shared" si="3"/>
        <v>27901</v>
      </c>
      <c r="G233"/>
      <c r="H233" s="145"/>
    </row>
    <row r="234" spans="1:8">
      <c r="A234" s="60" t="s">
        <v>2953</v>
      </c>
      <c r="B234" s="56" t="s">
        <v>2987</v>
      </c>
      <c r="C234" s="56">
        <v>263</v>
      </c>
      <c r="D234" s="56"/>
      <c r="E234" s="56" t="str">
        <f t="shared" si="3"/>
        <v>27902</v>
      </c>
      <c r="G234"/>
      <c r="H234" s="145"/>
    </row>
    <row r="235" spans="1:8">
      <c r="A235" s="60" t="s">
        <v>2453</v>
      </c>
      <c r="B235" s="96" t="s">
        <v>1522</v>
      </c>
      <c r="C235" s="56">
        <v>177.43</v>
      </c>
      <c r="D235" s="32"/>
      <c r="E235" s="56" t="str">
        <f t="shared" si="3"/>
        <v>27905</v>
      </c>
      <c r="G235"/>
      <c r="H235" s="145"/>
    </row>
    <row r="236" spans="1:8">
      <c r="A236" s="60" t="s">
        <v>2454</v>
      </c>
      <c r="B236" s="96" t="s">
        <v>1523</v>
      </c>
      <c r="C236" s="56">
        <v>0</v>
      </c>
      <c r="D236" s="32"/>
      <c r="E236" s="56" t="str">
        <f t="shared" si="3"/>
        <v>27931</v>
      </c>
      <c r="G236"/>
      <c r="H236" s="145"/>
    </row>
    <row r="237" spans="1:8">
      <c r="A237" s="60" t="s">
        <v>2455</v>
      </c>
      <c r="B237" s="96" t="s">
        <v>1524</v>
      </c>
      <c r="C237" s="56">
        <v>0</v>
      </c>
      <c r="D237" s="32"/>
      <c r="E237" s="56" t="str">
        <f t="shared" si="3"/>
        <v>27932</v>
      </c>
      <c r="G237"/>
      <c r="H237" s="145"/>
    </row>
    <row r="238" spans="1:8">
      <c r="A238" s="60" t="s">
        <v>2636</v>
      </c>
      <c r="B238" s="96" t="s">
        <v>2637</v>
      </c>
      <c r="C238" s="56">
        <v>0</v>
      </c>
      <c r="D238" s="32"/>
      <c r="E238" s="56" t="str">
        <f t="shared" si="3"/>
        <v>27941</v>
      </c>
      <c r="G238"/>
      <c r="H238" s="145"/>
    </row>
    <row r="239" spans="1:8">
      <c r="A239" s="60" t="s">
        <v>2638</v>
      </c>
      <c r="B239" s="96" t="s">
        <v>2639</v>
      </c>
      <c r="C239" s="56">
        <v>0</v>
      </c>
      <c r="D239" s="32"/>
      <c r="E239" s="56" t="str">
        <f t="shared" si="3"/>
        <v>27949</v>
      </c>
      <c r="G239"/>
      <c r="H239" s="145"/>
    </row>
    <row r="240" spans="1:8">
      <c r="A240" s="60" t="s">
        <v>2456</v>
      </c>
      <c r="B240" s="96" t="s">
        <v>1525</v>
      </c>
      <c r="C240" s="56">
        <v>9.57</v>
      </c>
      <c r="D240" s="32"/>
      <c r="E240" s="56" t="str">
        <f t="shared" si="3"/>
        <v>28010</v>
      </c>
      <c r="G240"/>
      <c r="H240" s="145"/>
    </row>
    <row r="241" spans="1:8">
      <c r="A241" s="60" t="s">
        <v>2457</v>
      </c>
      <c r="B241" s="96" t="s">
        <v>1527</v>
      </c>
      <c r="C241" s="56">
        <v>724.55</v>
      </c>
      <c r="D241" s="32"/>
      <c r="E241" s="56" t="str">
        <f t="shared" si="3"/>
        <v>28137</v>
      </c>
      <c r="G241"/>
      <c r="H241" s="145"/>
    </row>
    <row r="242" spans="1:8">
      <c r="A242" s="60" t="s">
        <v>2458</v>
      </c>
      <c r="B242" s="96" t="s">
        <v>1533</v>
      </c>
      <c r="C242" s="56">
        <v>242.05</v>
      </c>
      <c r="D242" s="32"/>
      <c r="E242" s="56" t="str">
        <f t="shared" si="3"/>
        <v>28144</v>
      </c>
      <c r="G242"/>
      <c r="H242" s="145"/>
    </row>
    <row r="243" spans="1:8">
      <c r="A243" s="60" t="s">
        <v>2459</v>
      </c>
      <c r="B243" s="96" t="s">
        <v>1537</v>
      </c>
      <c r="C243" s="56">
        <v>776.57</v>
      </c>
      <c r="D243" s="32"/>
      <c r="E243" s="56" t="str">
        <f t="shared" si="3"/>
        <v>28149</v>
      </c>
      <c r="G243"/>
      <c r="H243" s="145"/>
    </row>
    <row r="244" spans="1:8">
      <c r="A244" s="60" t="s">
        <v>2460</v>
      </c>
      <c r="B244" s="96" t="s">
        <v>1542</v>
      </c>
      <c r="C244" s="56">
        <v>486.61</v>
      </c>
      <c r="D244" s="32"/>
      <c r="E244" s="56" t="str">
        <f t="shared" si="3"/>
        <v>29011</v>
      </c>
      <c r="G244"/>
      <c r="H244" s="145"/>
    </row>
    <row r="245" spans="1:8">
      <c r="A245" s="60" t="s">
        <v>2461</v>
      </c>
      <c r="B245" s="96" t="s">
        <v>1546</v>
      </c>
      <c r="C245" s="56">
        <v>3269.27</v>
      </c>
      <c r="D245" s="32"/>
      <c r="E245" s="56" t="str">
        <f t="shared" si="3"/>
        <v>29100</v>
      </c>
      <c r="G245"/>
      <c r="H245" s="145"/>
    </row>
    <row r="246" spans="1:8">
      <c r="A246" s="60" t="s">
        <v>2462</v>
      </c>
      <c r="B246" s="96" t="s">
        <v>1554</v>
      </c>
      <c r="C246" s="56">
        <v>4296.6899999999996</v>
      </c>
      <c r="D246" s="32"/>
      <c r="E246" s="56" t="str">
        <f t="shared" si="3"/>
        <v>29101</v>
      </c>
      <c r="G246"/>
      <c r="H246" s="145"/>
    </row>
    <row r="247" spans="1:8">
      <c r="A247" s="60" t="s">
        <v>2463</v>
      </c>
      <c r="B247" s="96" t="s">
        <v>1562</v>
      </c>
      <c r="C247" s="56">
        <v>2501.83</v>
      </c>
      <c r="D247" s="32"/>
      <c r="E247" s="56" t="str">
        <f t="shared" si="3"/>
        <v>29103</v>
      </c>
      <c r="G247"/>
      <c r="H247" s="145"/>
    </row>
    <row r="248" spans="1:8">
      <c r="A248" s="60" t="s">
        <v>2464</v>
      </c>
      <c r="B248" s="96" t="s">
        <v>1569</v>
      </c>
      <c r="C248" s="56">
        <v>572.16</v>
      </c>
      <c r="D248" s="32"/>
      <c r="E248" s="56" t="str">
        <f t="shared" si="3"/>
        <v>29311</v>
      </c>
      <c r="G248"/>
      <c r="H248" s="145"/>
    </row>
    <row r="249" spans="1:8">
      <c r="A249" s="60" t="s">
        <v>2465</v>
      </c>
      <c r="B249" s="96" t="s">
        <v>1573</v>
      </c>
      <c r="C249" s="56">
        <v>450.34</v>
      </c>
      <c r="D249" s="32"/>
      <c r="E249" s="56" t="str">
        <f t="shared" si="3"/>
        <v>29317</v>
      </c>
      <c r="G249"/>
      <c r="H249" s="145"/>
    </row>
    <row r="250" spans="1:8">
      <c r="A250" s="60" t="s">
        <v>2466</v>
      </c>
      <c r="B250" s="96" t="s">
        <v>1575</v>
      </c>
      <c r="C250" s="56">
        <v>6587.32</v>
      </c>
      <c r="D250" s="32"/>
      <c r="E250" s="56" t="str">
        <f t="shared" si="3"/>
        <v>29320</v>
      </c>
      <c r="G250"/>
      <c r="H250" s="145"/>
    </row>
    <row r="251" spans="1:8">
      <c r="A251" s="60" t="s">
        <v>2467</v>
      </c>
      <c r="B251" s="96" t="s">
        <v>1584</v>
      </c>
      <c r="C251" s="56">
        <v>0</v>
      </c>
      <c r="D251" s="32"/>
      <c r="E251" s="56" t="str">
        <f t="shared" si="3"/>
        <v>29801</v>
      </c>
      <c r="G251"/>
      <c r="H251" s="145"/>
    </row>
    <row r="252" spans="1:8">
      <c r="A252" s="60" t="s">
        <v>2640</v>
      </c>
      <c r="B252" s="96" t="s">
        <v>2641</v>
      </c>
      <c r="C252" s="56">
        <v>0</v>
      </c>
      <c r="D252" s="32"/>
      <c r="E252" s="56" t="str">
        <f t="shared" si="3"/>
        <v>29944</v>
      </c>
      <c r="G252"/>
      <c r="H252" s="145"/>
    </row>
    <row r="253" spans="1:8">
      <c r="A253" s="60" t="s">
        <v>2468</v>
      </c>
      <c r="B253" s="96" t="s">
        <v>1585</v>
      </c>
      <c r="C253" s="56">
        <v>63.86</v>
      </c>
      <c r="D253" s="32"/>
      <c r="E253" s="56" t="str">
        <f t="shared" si="3"/>
        <v>30002</v>
      </c>
      <c r="G253"/>
      <c r="H253" s="145"/>
    </row>
    <row r="254" spans="1:8">
      <c r="A254" s="60" t="s">
        <v>2469</v>
      </c>
      <c r="B254" s="96" t="s">
        <v>1587</v>
      </c>
      <c r="C254" s="56">
        <v>59.58</v>
      </c>
      <c r="D254" s="32"/>
      <c r="E254" s="56" t="str">
        <f t="shared" si="3"/>
        <v>30029</v>
      </c>
      <c r="G254"/>
      <c r="H254" s="145"/>
    </row>
    <row r="255" spans="1:8">
      <c r="A255" s="60" t="s">
        <v>2470</v>
      </c>
      <c r="B255" s="96" t="s">
        <v>1589</v>
      </c>
      <c r="C255" s="56">
        <v>25.84</v>
      </c>
      <c r="D255" s="32"/>
      <c r="E255" s="56" t="str">
        <f t="shared" si="3"/>
        <v>30031</v>
      </c>
      <c r="G255"/>
      <c r="H255" s="145"/>
    </row>
    <row r="256" spans="1:8">
      <c r="A256" s="60" t="s">
        <v>2471</v>
      </c>
      <c r="B256" s="96" t="s">
        <v>1591</v>
      </c>
      <c r="C256" s="56">
        <v>781.44</v>
      </c>
      <c r="D256" s="32"/>
      <c r="E256" s="56" t="str">
        <f t="shared" si="3"/>
        <v>30303</v>
      </c>
      <c r="G256"/>
      <c r="H256" s="145"/>
    </row>
    <row r="257" spans="1:8">
      <c r="A257" s="60" t="s">
        <v>2472</v>
      </c>
      <c r="B257" s="96" t="s">
        <v>1594</v>
      </c>
      <c r="C257" s="56">
        <v>19761.12</v>
      </c>
      <c r="D257" s="32"/>
      <c r="E257" s="56" t="str">
        <f t="shared" si="3"/>
        <v>31002</v>
      </c>
      <c r="G257"/>
      <c r="H257" s="145"/>
    </row>
    <row r="258" spans="1:8">
      <c r="A258" s="60" t="s">
        <v>2473</v>
      </c>
      <c r="B258" s="96" t="s">
        <v>1618</v>
      </c>
      <c r="C258" s="56">
        <v>9281.94</v>
      </c>
      <c r="D258" s="32"/>
      <c r="E258" s="56" t="str">
        <f t="shared" si="3"/>
        <v>31004</v>
      </c>
      <c r="G258"/>
      <c r="H258" s="145"/>
    </row>
    <row r="259" spans="1:8">
      <c r="A259" s="60" t="s">
        <v>2474</v>
      </c>
      <c r="B259" s="96" t="s">
        <v>1627</v>
      </c>
      <c r="C259" s="56">
        <v>15033.65</v>
      </c>
      <c r="D259" s="32"/>
      <c r="E259" s="56" t="str">
        <f t="shared" ref="E259:E322" si="4">A259</f>
        <v>31006</v>
      </c>
      <c r="G259"/>
      <c r="H259" s="145"/>
    </row>
    <row r="260" spans="1:8">
      <c r="A260" s="60" t="s">
        <v>2475</v>
      </c>
      <c r="B260" s="96" t="s">
        <v>1645</v>
      </c>
      <c r="C260" s="56">
        <v>20050.11</v>
      </c>
      <c r="D260" s="32"/>
      <c r="E260" s="56" t="str">
        <f t="shared" si="4"/>
        <v>31015</v>
      </c>
      <c r="G260"/>
      <c r="H260" s="145"/>
    </row>
    <row r="261" spans="1:8">
      <c r="A261" s="60" t="s">
        <v>2476</v>
      </c>
      <c r="B261" s="96" t="s">
        <v>1681</v>
      </c>
      <c r="C261" s="56">
        <v>5343.29</v>
      </c>
      <c r="D261" s="32"/>
      <c r="E261" s="56" t="str">
        <f t="shared" si="4"/>
        <v>31016</v>
      </c>
      <c r="G261"/>
      <c r="H261" s="145"/>
    </row>
    <row r="262" spans="1:8">
      <c r="A262" s="60" t="s">
        <v>2477</v>
      </c>
      <c r="B262" s="96" t="s">
        <v>1689</v>
      </c>
      <c r="C262" s="56">
        <v>9893.4599999999991</v>
      </c>
      <c r="D262" s="32"/>
      <c r="E262" s="56" t="str">
        <f t="shared" si="4"/>
        <v>31025</v>
      </c>
      <c r="G262"/>
      <c r="H262" s="145"/>
    </row>
    <row r="263" spans="1:8">
      <c r="A263" s="60" t="s">
        <v>2478</v>
      </c>
      <c r="B263" s="96" t="s">
        <v>1708</v>
      </c>
      <c r="C263" s="56">
        <v>24.23</v>
      </c>
      <c r="D263" s="32"/>
      <c r="E263" s="56" t="str">
        <f t="shared" si="4"/>
        <v>31063</v>
      </c>
      <c r="G263"/>
      <c r="H263" s="145"/>
    </row>
    <row r="264" spans="1:8">
      <c r="A264" s="60" t="s">
        <v>2479</v>
      </c>
      <c r="B264" s="96" t="s">
        <v>1710</v>
      </c>
      <c r="C264" s="56">
        <v>5796.21</v>
      </c>
      <c r="D264" s="32"/>
      <c r="E264" s="56" t="str">
        <f t="shared" si="4"/>
        <v>31103</v>
      </c>
      <c r="G264"/>
      <c r="H264" s="145"/>
    </row>
    <row r="265" spans="1:8">
      <c r="A265" s="60" t="s">
        <v>2480</v>
      </c>
      <c r="B265" s="96" t="s">
        <v>1724</v>
      </c>
      <c r="C265" s="56">
        <v>9239.76</v>
      </c>
      <c r="D265" s="32"/>
      <c r="E265" s="56" t="str">
        <f t="shared" si="4"/>
        <v>31201</v>
      </c>
      <c r="G265"/>
      <c r="H265" s="145"/>
    </row>
    <row r="266" spans="1:8">
      <c r="A266" s="60" t="s">
        <v>2481</v>
      </c>
      <c r="B266" s="96" t="s">
        <v>1740</v>
      </c>
      <c r="C266" s="56">
        <v>2535.91</v>
      </c>
      <c r="D266" s="32"/>
      <c r="E266" s="56" t="str">
        <f t="shared" si="4"/>
        <v>31306</v>
      </c>
      <c r="G266"/>
      <c r="H266" s="145"/>
    </row>
    <row r="267" spans="1:8">
      <c r="A267" s="60" t="s">
        <v>2482</v>
      </c>
      <c r="B267" s="96" t="s">
        <v>1746</v>
      </c>
      <c r="C267" s="56">
        <v>1936.74</v>
      </c>
      <c r="D267" s="32"/>
      <c r="E267" s="56" t="str">
        <f t="shared" si="4"/>
        <v>31311</v>
      </c>
      <c r="G267"/>
      <c r="H267" s="145"/>
    </row>
    <row r="268" spans="1:8">
      <c r="A268" s="60" t="s">
        <v>2483</v>
      </c>
      <c r="B268" s="96" t="s">
        <v>1752</v>
      </c>
      <c r="C268" s="56">
        <v>406.59</v>
      </c>
      <c r="D268" s="32"/>
      <c r="E268" s="56" t="str">
        <f t="shared" si="4"/>
        <v>31330</v>
      </c>
      <c r="G268"/>
      <c r="H268" s="145"/>
    </row>
    <row r="269" spans="1:8">
      <c r="A269" s="60" t="s">
        <v>2484</v>
      </c>
      <c r="B269" s="96" t="s">
        <v>1754</v>
      </c>
      <c r="C269" s="56">
        <v>2176.44</v>
      </c>
      <c r="D269" s="32"/>
      <c r="E269" s="56" t="str">
        <f t="shared" si="4"/>
        <v>31332</v>
      </c>
      <c r="G269"/>
      <c r="H269" s="145"/>
    </row>
    <row r="270" spans="1:8">
      <c r="A270" s="60" t="s">
        <v>2485</v>
      </c>
      <c r="B270" s="96" t="s">
        <v>1761</v>
      </c>
      <c r="C270" s="56">
        <v>4575.5</v>
      </c>
      <c r="D270" s="32"/>
      <c r="E270" s="56" t="str">
        <f t="shared" si="4"/>
        <v>31401</v>
      </c>
      <c r="G270"/>
      <c r="H270" s="145"/>
    </row>
    <row r="271" spans="1:8">
      <c r="A271" s="60" t="s">
        <v>2642</v>
      </c>
      <c r="B271" s="96" t="s">
        <v>2643</v>
      </c>
      <c r="C271" s="56">
        <v>0</v>
      </c>
      <c r="D271" s="32"/>
      <c r="E271" s="56" t="str">
        <f t="shared" si="4"/>
        <v>31932</v>
      </c>
      <c r="G271"/>
      <c r="H271" s="145"/>
    </row>
    <row r="272" spans="1:8">
      <c r="A272" s="60" t="s">
        <v>2644</v>
      </c>
      <c r="B272" s="96" t="s">
        <v>2645</v>
      </c>
      <c r="C272" s="56">
        <v>0</v>
      </c>
      <c r="D272" s="32"/>
      <c r="E272" s="56" t="str">
        <f t="shared" si="4"/>
        <v>31933</v>
      </c>
      <c r="G272"/>
      <c r="H272" s="145"/>
    </row>
    <row r="273" spans="1:8">
      <c r="A273" s="60" t="s">
        <v>2486</v>
      </c>
      <c r="B273" s="96" t="s">
        <v>1773</v>
      </c>
      <c r="C273" s="56">
        <v>28349.08</v>
      </c>
      <c r="D273" s="32"/>
      <c r="E273" s="56" t="str">
        <f t="shared" si="4"/>
        <v>32081</v>
      </c>
      <c r="G273"/>
      <c r="H273" s="145"/>
    </row>
    <row r="274" spans="1:8">
      <c r="A274" s="60" t="s">
        <v>2487</v>
      </c>
      <c r="B274" s="96" t="s">
        <v>1822</v>
      </c>
      <c r="C274" s="56">
        <v>67.7</v>
      </c>
      <c r="D274" s="32"/>
      <c r="E274" s="56" t="str">
        <f t="shared" si="4"/>
        <v>32123</v>
      </c>
      <c r="G274"/>
      <c r="H274" s="145"/>
    </row>
    <row r="275" spans="1:8">
      <c r="A275" s="60" t="s">
        <v>2488</v>
      </c>
      <c r="B275" s="96" t="s">
        <v>1824</v>
      </c>
      <c r="C275" s="56">
        <v>28.14</v>
      </c>
      <c r="D275" s="32"/>
      <c r="E275" s="56" t="str">
        <f t="shared" si="4"/>
        <v>32312</v>
      </c>
      <c r="G275"/>
      <c r="H275" s="145"/>
    </row>
    <row r="276" spans="1:8">
      <c r="A276" s="60" t="s">
        <v>2489</v>
      </c>
      <c r="B276" s="96" t="s">
        <v>1826</v>
      </c>
      <c r="C276" s="56">
        <v>1387.24</v>
      </c>
      <c r="D276" s="32"/>
      <c r="E276" s="56" t="str">
        <f t="shared" si="4"/>
        <v>32325</v>
      </c>
      <c r="G276"/>
      <c r="H276" s="145"/>
    </row>
    <row r="277" spans="1:8">
      <c r="A277" s="60" t="s">
        <v>2490</v>
      </c>
      <c r="B277" s="96" t="s">
        <v>1832</v>
      </c>
      <c r="C277" s="56">
        <v>1753.79</v>
      </c>
      <c r="D277" s="32"/>
      <c r="E277" s="56" t="str">
        <f t="shared" si="4"/>
        <v>32326</v>
      </c>
      <c r="G277"/>
      <c r="H277" s="145"/>
    </row>
    <row r="278" spans="1:8">
      <c r="A278" s="60" t="s">
        <v>2491</v>
      </c>
      <c r="B278" s="96" t="s">
        <v>1837</v>
      </c>
      <c r="C278" s="56">
        <v>10197.75</v>
      </c>
      <c r="D278" s="32"/>
      <c r="E278" s="56" t="str">
        <f t="shared" si="4"/>
        <v>32354</v>
      </c>
      <c r="G278"/>
      <c r="H278" s="145"/>
    </row>
    <row r="279" spans="1:8">
      <c r="A279" s="60" t="s">
        <v>2492</v>
      </c>
      <c r="B279" s="96" t="s">
        <v>1849</v>
      </c>
      <c r="C279" s="56">
        <v>14060.24</v>
      </c>
      <c r="D279" s="32"/>
      <c r="E279" s="56" t="str">
        <f t="shared" si="4"/>
        <v>32356</v>
      </c>
      <c r="G279"/>
      <c r="H279" s="145"/>
    </row>
    <row r="280" spans="1:8">
      <c r="A280" s="60" t="s">
        <v>2493</v>
      </c>
      <c r="B280" s="96" t="s">
        <v>1871</v>
      </c>
      <c r="C280" s="56">
        <v>860.02</v>
      </c>
      <c r="D280" s="32"/>
      <c r="E280" s="56" t="str">
        <f t="shared" si="4"/>
        <v>32358</v>
      </c>
      <c r="G280"/>
      <c r="H280" s="145"/>
    </row>
    <row r="281" spans="1:8">
      <c r="A281" s="60" t="s">
        <v>2494</v>
      </c>
      <c r="B281" s="96" t="s">
        <v>1875</v>
      </c>
      <c r="C281" s="56">
        <v>5161.33</v>
      </c>
      <c r="D281" s="32"/>
      <c r="E281" s="56" t="str">
        <f t="shared" si="4"/>
        <v>32360</v>
      </c>
      <c r="G281"/>
      <c r="H281" s="145"/>
    </row>
    <row r="282" spans="1:8">
      <c r="A282" s="60" t="s">
        <v>2495</v>
      </c>
      <c r="B282" s="96" t="s">
        <v>1886</v>
      </c>
      <c r="C282" s="56">
        <v>3494.42</v>
      </c>
      <c r="D282" s="32"/>
      <c r="E282" s="56" t="str">
        <f t="shared" si="4"/>
        <v>32361</v>
      </c>
      <c r="G282"/>
      <c r="H282" s="145"/>
    </row>
    <row r="283" spans="1:8">
      <c r="A283" s="60" t="s">
        <v>2496</v>
      </c>
      <c r="B283" s="96" t="s">
        <v>1895</v>
      </c>
      <c r="C283" s="56">
        <v>566.72</v>
      </c>
      <c r="D283" s="32"/>
      <c r="E283" s="56" t="str">
        <f t="shared" si="4"/>
        <v>32362</v>
      </c>
      <c r="G283"/>
      <c r="H283" s="145"/>
    </row>
    <row r="284" spans="1:8">
      <c r="A284" s="60" t="s">
        <v>2497</v>
      </c>
      <c r="B284" s="96" t="s">
        <v>1898</v>
      </c>
      <c r="C284" s="56">
        <v>3406.39</v>
      </c>
      <c r="D284" s="32"/>
      <c r="E284" s="56" t="str">
        <f t="shared" si="4"/>
        <v>32363</v>
      </c>
      <c r="G284"/>
      <c r="H284" s="145"/>
    </row>
    <row r="285" spans="1:8">
      <c r="A285" s="60" t="s">
        <v>2498</v>
      </c>
      <c r="B285" s="96" t="s">
        <v>1908</v>
      </c>
      <c r="C285" s="56">
        <v>2504.4699999999998</v>
      </c>
      <c r="D285" s="56"/>
      <c r="E285" s="56" t="str">
        <f t="shared" si="4"/>
        <v>32414</v>
      </c>
      <c r="G285"/>
      <c r="H285" s="145"/>
    </row>
    <row r="286" spans="1:8">
      <c r="A286" s="60" t="s">
        <v>2499</v>
      </c>
      <c r="B286" s="96" t="s">
        <v>1914</v>
      </c>
      <c r="C286" s="56">
        <v>1434.33</v>
      </c>
      <c r="D286" s="32"/>
      <c r="E286" s="56" t="str">
        <f t="shared" si="4"/>
        <v>32416</v>
      </c>
      <c r="G286"/>
      <c r="H286" s="145"/>
    </row>
    <row r="287" spans="1:8">
      <c r="A287" s="60" t="s">
        <v>2500</v>
      </c>
      <c r="B287" s="96" t="s">
        <v>1920</v>
      </c>
      <c r="C287" s="56">
        <v>0</v>
      </c>
      <c r="D287" s="32"/>
      <c r="E287" s="56" t="str">
        <f t="shared" si="4"/>
        <v>32801</v>
      </c>
      <c r="G287"/>
      <c r="H287" s="145"/>
    </row>
    <row r="288" spans="1:8">
      <c r="A288" s="60" t="s">
        <v>2501</v>
      </c>
      <c r="B288" s="96" t="s">
        <v>1921</v>
      </c>
      <c r="C288" s="56">
        <v>677.85</v>
      </c>
      <c r="D288" s="32"/>
      <c r="E288" s="56" t="str">
        <f t="shared" si="4"/>
        <v>32901</v>
      </c>
      <c r="G288"/>
      <c r="H288" s="145"/>
    </row>
    <row r="289" spans="1:8">
      <c r="A289" s="60" t="s">
        <v>2646</v>
      </c>
      <c r="B289" s="96" t="s">
        <v>2647</v>
      </c>
      <c r="C289" s="56">
        <v>0</v>
      </c>
      <c r="D289" s="32"/>
      <c r="E289" s="56" t="str">
        <f t="shared" si="4"/>
        <v>32902</v>
      </c>
      <c r="G289"/>
      <c r="H289" s="145"/>
    </row>
    <row r="290" spans="1:8">
      <c r="A290" s="60" t="s">
        <v>2857</v>
      </c>
      <c r="B290" s="96" t="s">
        <v>2965</v>
      </c>
      <c r="C290" s="56">
        <v>35.71</v>
      </c>
      <c r="D290" s="32"/>
      <c r="E290" s="56" t="str">
        <f t="shared" si="4"/>
        <v>32903</v>
      </c>
      <c r="G290"/>
      <c r="H290" s="145"/>
    </row>
    <row r="291" spans="1:8">
      <c r="A291" s="60" t="s">
        <v>2502</v>
      </c>
      <c r="B291" s="96" t="s">
        <v>1922</v>
      </c>
      <c r="C291" s="56">
        <v>632.5</v>
      </c>
      <c r="D291" s="32"/>
      <c r="E291" s="56" t="str">
        <f t="shared" si="4"/>
        <v>32907</v>
      </c>
      <c r="G291"/>
      <c r="H291" s="145"/>
    </row>
    <row r="292" spans="1:8">
      <c r="A292" s="60" t="s">
        <v>2648</v>
      </c>
      <c r="B292" s="96" t="s">
        <v>2649</v>
      </c>
      <c r="C292" s="56">
        <v>0</v>
      </c>
      <c r="D292" s="32"/>
      <c r="E292" s="56" t="str">
        <f t="shared" si="4"/>
        <v>32911</v>
      </c>
      <c r="G292"/>
      <c r="H292" s="145"/>
    </row>
    <row r="293" spans="1:8">
      <c r="A293" s="60" t="s">
        <v>2650</v>
      </c>
      <c r="B293" s="96" t="s">
        <v>2651</v>
      </c>
      <c r="C293" s="56">
        <v>0</v>
      </c>
      <c r="D293" s="32"/>
      <c r="E293" s="56" t="str">
        <f t="shared" si="4"/>
        <v>32931</v>
      </c>
      <c r="G293"/>
      <c r="H293" s="145"/>
    </row>
    <row r="294" spans="1:8">
      <c r="A294" s="60" t="s">
        <v>2652</v>
      </c>
      <c r="B294" s="96" t="s">
        <v>2653</v>
      </c>
      <c r="C294" s="56">
        <v>0</v>
      </c>
      <c r="D294" s="32"/>
      <c r="E294" s="56" t="str">
        <f t="shared" si="4"/>
        <v>32948</v>
      </c>
      <c r="G294"/>
      <c r="H294" s="145"/>
    </row>
    <row r="295" spans="1:8">
      <c r="A295" s="60" t="s">
        <v>2503</v>
      </c>
      <c r="B295" s="96" t="s">
        <v>1923</v>
      </c>
      <c r="C295" s="56">
        <v>48.43</v>
      </c>
      <c r="D295" s="32"/>
      <c r="E295" s="56" t="str">
        <f t="shared" si="4"/>
        <v>33030</v>
      </c>
      <c r="G295"/>
      <c r="H295" s="145"/>
    </row>
    <row r="296" spans="1:8">
      <c r="A296" s="60" t="s">
        <v>2504</v>
      </c>
      <c r="B296" s="96" t="s">
        <v>1925</v>
      </c>
      <c r="C296" s="56">
        <v>767.63</v>
      </c>
      <c r="D296" s="32"/>
      <c r="E296" s="56" t="str">
        <f t="shared" si="4"/>
        <v>33036</v>
      </c>
      <c r="G296"/>
      <c r="H296" s="145"/>
    </row>
    <row r="297" spans="1:8">
      <c r="A297" s="60" t="s">
        <v>2505</v>
      </c>
      <c r="B297" s="96" t="s">
        <v>1928</v>
      </c>
      <c r="C297" s="56">
        <v>387.37</v>
      </c>
      <c r="D297" s="32"/>
      <c r="E297" s="56" t="str">
        <f t="shared" si="4"/>
        <v>33049</v>
      </c>
      <c r="G297"/>
      <c r="H297" s="145"/>
    </row>
    <row r="298" spans="1:8">
      <c r="A298" s="60" t="s">
        <v>2506</v>
      </c>
      <c r="B298" s="96" t="s">
        <v>1932</v>
      </c>
      <c r="C298" s="56">
        <v>1127.56</v>
      </c>
      <c r="D298" s="32"/>
      <c r="E298" s="56" t="str">
        <f t="shared" si="4"/>
        <v>33070</v>
      </c>
      <c r="G298"/>
      <c r="H298" s="145"/>
    </row>
    <row r="299" spans="1:8">
      <c r="A299" s="60" t="s">
        <v>2507</v>
      </c>
      <c r="B299" s="96" t="s">
        <v>1936</v>
      </c>
      <c r="C299" s="56">
        <v>1630.3</v>
      </c>
      <c r="D299" s="32"/>
      <c r="E299" s="56" t="str">
        <f t="shared" si="4"/>
        <v>33115</v>
      </c>
      <c r="G299"/>
      <c r="H299" s="145"/>
    </row>
    <row r="300" spans="1:8">
      <c r="A300" s="60" t="s">
        <v>2508</v>
      </c>
      <c r="B300" s="96" t="s">
        <v>1942</v>
      </c>
      <c r="C300" s="56">
        <v>232.56</v>
      </c>
      <c r="D300" s="32"/>
      <c r="E300" s="56" t="str">
        <f t="shared" si="4"/>
        <v>33183</v>
      </c>
      <c r="G300"/>
      <c r="H300" s="145"/>
    </row>
    <row r="301" spans="1:8">
      <c r="A301" s="60" t="s">
        <v>2509</v>
      </c>
      <c r="B301" s="96" t="s">
        <v>1945</v>
      </c>
      <c r="C301" s="56">
        <v>71</v>
      </c>
      <c r="D301" s="32"/>
      <c r="E301" s="56" t="str">
        <f t="shared" si="4"/>
        <v>33202</v>
      </c>
      <c r="G301"/>
      <c r="H301" s="145"/>
    </row>
    <row r="302" spans="1:8">
      <c r="A302" s="60" t="s">
        <v>2510</v>
      </c>
      <c r="B302" s="96" t="s">
        <v>1947</v>
      </c>
      <c r="C302" s="56">
        <v>26.43</v>
      </c>
      <c r="D302" s="32"/>
      <c r="E302" s="56" t="str">
        <f t="shared" si="4"/>
        <v>33205</v>
      </c>
      <c r="G302"/>
      <c r="H302" s="145"/>
    </row>
    <row r="303" spans="1:8">
      <c r="A303" s="60" t="s">
        <v>2511</v>
      </c>
      <c r="B303" s="96" t="s">
        <v>1949</v>
      </c>
      <c r="C303" s="56">
        <v>106.41</v>
      </c>
      <c r="D303" s="32"/>
      <c r="E303" s="56" t="str">
        <f t="shared" si="4"/>
        <v>33206</v>
      </c>
      <c r="G303"/>
      <c r="H303" s="145"/>
    </row>
    <row r="304" spans="1:8">
      <c r="A304" s="60" t="s">
        <v>2512</v>
      </c>
      <c r="B304" s="96" t="s">
        <v>1951</v>
      </c>
      <c r="C304" s="56">
        <v>454.99</v>
      </c>
      <c r="D304" s="32"/>
      <c r="E304" s="56" t="str">
        <f t="shared" si="4"/>
        <v>33207</v>
      </c>
      <c r="G304"/>
      <c r="H304" s="145"/>
    </row>
    <row r="305" spans="1:8">
      <c r="A305" s="60" t="s">
        <v>2513</v>
      </c>
      <c r="B305" s="96" t="s">
        <v>1955</v>
      </c>
      <c r="C305" s="56">
        <v>251.71</v>
      </c>
      <c r="D305" s="32"/>
      <c r="E305" s="56" t="str">
        <f t="shared" si="4"/>
        <v>33211</v>
      </c>
      <c r="G305"/>
      <c r="H305" s="145"/>
    </row>
    <row r="306" spans="1:8">
      <c r="A306" s="60" t="s">
        <v>2514</v>
      </c>
      <c r="B306" s="96" t="s">
        <v>1959</v>
      </c>
      <c r="C306" s="56">
        <v>1045.68</v>
      </c>
      <c r="D306" s="32"/>
      <c r="E306" s="56" t="str">
        <f t="shared" si="4"/>
        <v>33212</v>
      </c>
      <c r="G306"/>
      <c r="H306" s="145"/>
    </row>
    <row r="307" spans="1:8">
      <c r="A307" s="60" t="s">
        <v>2515</v>
      </c>
      <c r="B307" s="96" t="s">
        <v>1964</v>
      </c>
      <c r="C307" s="56">
        <v>5360.49</v>
      </c>
      <c r="D307" s="32"/>
      <c r="E307" s="56" t="str">
        <f t="shared" si="4"/>
        <v>34002</v>
      </c>
      <c r="G307"/>
      <c r="H307" s="145"/>
    </row>
    <row r="308" spans="1:8">
      <c r="A308" s="60" t="s">
        <v>2516</v>
      </c>
      <c r="B308" s="96" t="s">
        <v>1975</v>
      </c>
      <c r="C308" s="56">
        <v>14807.74</v>
      </c>
      <c r="D308" s="32"/>
      <c r="E308" s="56" t="str">
        <f t="shared" si="4"/>
        <v>34003</v>
      </c>
      <c r="G308"/>
      <c r="H308" s="145"/>
    </row>
    <row r="309" spans="1:8">
      <c r="A309" s="60" t="s">
        <v>2517</v>
      </c>
      <c r="B309" s="96" t="s">
        <v>1995</v>
      </c>
      <c r="C309" s="56">
        <v>6641.36</v>
      </c>
      <c r="D309" s="32"/>
      <c r="E309" s="56" t="str">
        <f t="shared" si="4"/>
        <v>34033</v>
      </c>
      <c r="G309"/>
      <c r="H309" s="145"/>
    </row>
    <row r="310" spans="1:8">
      <c r="A310" s="60" t="s">
        <v>2518</v>
      </c>
      <c r="B310" s="96" t="s">
        <v>2007</v>
      </c>
      <c r="C310" s="56">
        <v>9610.15</v>
      </c>
      <c r="D310" s="32"/>
      <c r="E310" s="56" t="str">
        <f t="shared" si="4"/>
        <v>34111</v>
      </c>
      <c r="G310"/>
      <c r="H310" s="145"/>
    </row>
    <row r="311" spans="1:8">
      <c r="A311" s="60" t="s">
        <v>2519</v>
      </c>
      <c r="B311" s="96" t="s">
        <v>2021</v>
      </c>
      <c r="C311" s="56">
        <v>881.61</v>
      </c>
      <c r="D311" s="32"/>
      <c r="E311" s="56" t="str">
        <f t="shared" si="4"/>
        <v>34307</v>
      </c>
      <c r="G311"/>
      <c r="H311" s="145"/>
    </row>
    <row r="312" spans="1:8">
      <c r="A312" s="60" t="s">
        <v>2520</v>
      </c>
      <c r="B312" s="96" t="s">
        <v>2023</v>
      </c>
      <c r="C312" s="56">
        <v>603</v>
      </c>
      <c r="D312" s="32"/>
      <c r="E312" s="56" t="str">
        <f t="shared" si="4"/>
        <v>34324</v>
      </c>
      <c r="G312"/>
      <c r="H312" s="145"/>
    </row>
    <row r="313" spans="1:8">
      <c r="A313" s="60" t="s">
        <v>2521</v>
      </c>
      <c r="B313" s="96" t="s">
        <v>2025</v>
      </c>
      <c r="C313" s="56">
        <v>2082.7600000000002</v>
      </c>
      <c r="D313" s="32"/>
      <c r="E313" s="56" t="str">
        <f t="shared" si="4"/>
        <v>34401</v>
      </c>
      <c r="G313"/>
      <c r="H313" s="145"/>
    </row>
    <row r="314" spans="1:8">
      <c r="A314" s="60" t="s">
        <v>2522</v>
      </c>
      <c r="B314" s="96" t="s">
        <v>2031</v>
      </c>
      <c r="C314" s="56">
        <v>1226.24</v>
      </c>
      <c r="D314" s="32"/>
      <c r="E314" s="56" t="str">
        <f t="shared" si="4"/>
        <v>34402</v>
      </c>
      <c r="G314"/>
      <c r="H314" s="145"/>
    </row>
    <row r="315" spans="1:8">
      <c r="A315" s="60" t="s">
        <v>2523</v>
      </c>
      <c r="B315" s="96" t="s">
        <v>2035</v>
      </c>
      <c r="C315" s="56">
        <v>0</v>
      </c>
      <c r="D315" s="32"/>
      <c r="E315" s="56" t="str">
        <f t="shared" si="4"/>
        <v>34801</v>
      </c>
      <c r="G315"/>
      <c r="H315" s="145"/>
    </row>
    <row r="316" spans="1:8">
      <c r="A316" s="60" t="s">
        <v>2710</v>
      </c>
      <c r="B316" s="96" t="s">
        <v>2711</v>
      </c>
      <c r="C316" s="56">
        <v>124.73</v>
      </c>
      <c r="D316" s="32"/>
      <c r="E316" s="56" t="str">
        <f t="shared" si="4"/>
        <v>34901</v>
      </c>
      <c r="G316"/>
      <c r="H316" s="145"/>
    </row>
    <row r="317" spans="1:8">
      <c r="A317" s="60" t="s">
        <v>2654</v>
      </c>
      <c r="B317" s="96" t="s">
        <v>2655</v>
      </c>
      <c r="C317" s="56">
        <v>0</v>
      </c>
      <c r="D317" s="32"/>
      <c r="E317" s="56" t="str">
        <f t="shared" si="4"/>
        <v>34903</v>
      </c>
      <c r="G317"/>
      <c r="H317" s="145"/>
    </row>
    <row r="318" spans="1:8">
      <c r="A318" s="60" t="s">
        <v>2656</v>
      </c>
      <c r="B318" s="96" t="s">
        <v>2657</v>
      </c>
      <c r="C318" s="56">
        <v>0</v>
      </c>
      <c r="D318" s="32"/>
      <c r="E318" s="56" t="str">
        <f t="shared" si="4"/>
        <v>34945</v>
      </c>
      <c r="G318"/>
      <c r="H318" s="145"/>
    </row>
    <row r="319" spans="1:8">
      <c r="A319" s="60" t="s">
        <v>2658</v>
      </c>
      <c r="B319" s="96" t="s">
        <v>2659</v>
      </c>
      <c r="C319" s="56">
        <v>0</v>
      </c>
      <c r="D319" s="32"/>
      <c r="E319" s="56" t="str">
        <f t="shared" si="4"/>
        <v>34950</v>
      </c>
      <c r="G319"/>
      <c r="H319" s="145"/>
    </row>
    <row r="320" spans="1:8">
      <c r="A320" s="60" t="s">
        <v>2660</v>
      </c>
      <c r="B320" s="96" t="s">
        <v>2661</v>
      </c>
      <c r="C320" s="56">
        <v>0</v>
      </c>
      <c r="D320" s="32"/>
      <c r="E320" s="56" t="str">
        <f t="shared" si="4"/>
        <v>34970</v>
      </c>
      <c r="G320"/>
      <c r="H320" s="145"/>
    </row>
    <row r="321" spans="1:8">
      <c r="A321" s="60" t="s">
        <v>2662</v>
      </c>
      <c r="B321" s="96" t="s">
        <v>2663</v>
      </c>
      <c r="C321" s="56">
        <v>0</v>
      </c>
      <c r="D321" s="32"/>
      <c r="E321" s="56" t="str">
        <f t="shared" si="4"/>
        <v>34973</v>
      </c>
      <c r="G321"/>
      <c r="H321" s="145"/>
    </row>
    <row r="322" spans="1:8">
      <c r="A322" s="60" t="s">
        <v>2664</v>
      </c>
      <c r="B322" s="96" t="s">
        <v>2665</v>
      </c>
      <c r="C322" s="56">
        <v>0</v>
      </c>
      <c r="D322" s="32"/>
      <c r="E322" s="56" t="str">
        <f t="shared" si="4"/>
        <v>34974</v>
      </c>
      <c r="G322"/>
      <c r="H322" s="145"/>
    </row>
    <row r="323" spans="1:8">
      <c r="A323" s="60" t="s">
        <v>2666</v>
      </c>
      <c r="B323" s="96" t="s">
        <v>2966</v>
      </c>
      <c r="C323" s="56">
        <v>0</v>
      </c>
      <c r="D323" s="32"/>
      <c r="E323" s="56" t="str">
        <f t="shared" ref="E323:E381" si="5">A323</f>
        <v>34975</v>
      </c>
      <c r="G323"/>
      <c r="H323"/>
    </row>
    <row r="324" spans="1:8">
      <c r="A324" s="60" t="s">
        <v>2667</v>
      </c>
      <c r="B324" s="96" t="s">
        <v>2668</v>
      </c>
      <c r="C324" s="56">
        <v>0</v>
      </c>
      <c r="D324" s="32"/>
      <c r="E324" s="56" t="str">
        <f t="shared" si="5"/>
        <v>34977</v>
      </c>
    </row>
    <row r="325" spans="1:8">
      <c r="A325" s="60" t="s">
        <v>2958</v>
      </c>
      <c r="B325" s="96" t="s">
        <v>2967</v>
      </c>
      <c r="C325" s="56">
        <v>0</v>
      </c>
      <c r="D325" s="32"/>
      <c r="E325" s="56" t="str">
        <f t="shared" si="5"/>
        <v>34978</v>
      </c>
    </row>
    <row r="326" spans="1:8">
      <c r="A326" s="60" t="s">
        <v>2669</v>
      </c>
      <c r="B326" s="96" t="s">
        <v>2670</v>
      </c>
      <c r="C326" s="56">
        <v>0</v>
      </c>
      <c r="D326" s="32"/>
      <c r="E326" s="56" t="str">
        <f t="shared" si="5"/>
        <v>34979</v>
      </c>
    </row>
    <row r="327" spans="1:8">
      <c r="A327" s="60" t="s">
        <v>2524</v>
      </c>
      <c r="B327" s="96" t="s">
        <v>2036</v>
      </c>
      <c r="C327" s="56">
        <v>449.89</v>
      </c>
      <c r="D327" s="32"/>
      <c r="E327" s="56" t="str">
        <f t="shared" si="5"/>
        <v>35200</v>
      </c>
    </row>
    <row r="328" spans="1:8">
      <c r="A328" s="60" t="s">
        <v>2525</v>
      </c>
      <c r="B328" s="96" t="s">
        <v>2039</v>
      </c>
      <c r="C328" s="56">
        <v>17.43</v>
      </c>
      <c r="D328" s="32"/>
      <c r="E328" s="56" t="str">
        <f t="shared" si="5"/>
        <v>36101</v>
      </c>
    </row>
    <row r="329" spans="1:8">
      <c r="A329" s="60" t="s">
        <v>2526</v>
      </c>
      <c r="B329" s="96" t="s">
        <v>2041</v>
      </c>
      <c r="C329" s="56">
        <v>5481.82</v>
      </c>
      <c r="D329" s="32"/>
      <c r="E329" s="56" t="str">
        <f t="shared" si="5"/>
        <v>36140</v>
      </c>
    </row>
    <row r="330" spans="1:8">
      <c r="A330" s="60" t="s">
        <v>2527</v>
      </c>
      <c r="B330" s="96" t="s">
        <v>2049</v>
      </c>
      <c r="C330" s="56">
        <v>1522.54</v>
      </c>
      <c r="D330" s="32"/>
      <c r="E330" s="56" t="str">
        <f t="shared" si="5"/>
        <v>36250</v>
      </c>
    </row>
    <row r="331" spans="1:8">
      <c r="A331" s="60" t="s">
        <v>2528</v>
      </c>
      <c r="B331" s="96" t="s">
        <v>2053</v>
      </c>
      <c r="C331" s="56">
        <v>202.21</v>
      </c>
      <c r="D331" s="32"/>
      <c r="E331" s="56" t="str">
        <f t="shared" si="5"/>
        <v>36300</v>
      </c>
    </row>
    <row r="332" spans="1:8">
      <c r="A332" s="60" t="s">
        <v>2529</v>
      </c>
      <c r="B332" s="96" t="s">
        <v>2055</v>
      </c>
      <c r="C332" s="56">
        <v>714.36</v>
      </c>
      <c r="D332" s="32"/>
      <c r="E332" s="56" t="str">
        <f t="shared" si="5"/>
        <v>36400</v>
      </c>
    </row>
    <row r="333" spans="1:8">
      <c r="A333" s="60" t="s">
        <v>2530</v>
      </c>
      <c r="B333" s="96" t="s">
        <v>2057</v>
      </c>
      <c r="C333" s="56">
        <v>260.75</v>
      </c>
      <c r="D333" s="32"/>
      <c r="E333" s="56" t="str">
        <f t="shared" si="5"/>
        <v>36401</v>
      </c>
    </row>
    <row r="334" spans="1:8">
      <c r="A334" s="60" t="s">
        <v>2531</v>
      </c>
      <c r="B334" s="96" t="s">
        <v>2061</v>
      </c>
      <c r="C334" s="56">
        <v>250.01</v>
      </c>
      <c r="D334" s="32"/>
      <c r="E334" s="56" t="str">
        <f t="shared" si="5"/>
        <v>36402</v>
      </c>
    </row>
    <row r="335" spans="1:8">
      <c r="A335" s="60" t="s">
        <v>2671</v>
      </c>
      <c r="B335" s="96" t="s">
        <v>2672</v>
      </c>
      <c r="C335" s="56">
        <v>0</v>
      </c>
      <c r="D335" s="32"/>
      <c r="E335" s="56" t="str">
        <f t="shared" si="5"/>
        <v>36950</v>
      </c>
    </row>
    <row r="336" spans="1:8">
      <c r="A336" s="60" t="s">
        <v>2532</v>
      </c>
      <c r="B336" s="96" t="s">
        <v>2064</v>
      </c>
      <c r="C336" s="56">
        <v>11263.21</v>
      </c>
      <c r="D336" s="32"/>
      <c r="E336" s="56" t="str">
        <f t="shared" si="5"/>
        <v>37501</v>
      </c>
    </row>
    <row r="337" spans="1:5">
      <c r="A337" s="60" t="s">
        <v>2533</v>
      </c>
      <c r="B337" s="96" t="s">
        <v>2088</v>
      </c>
      <c r="C337" s="56">
        <v>4373.3999999999996</v>
      </c>
      <c r="D337" s="32"/>
      <c r="E337" s="56" t="str">
        <f t="shared" si="5"/>
        <v>37502</v>
      </c>
    </row>
    <row r="338" spans="1:5">
      <c r="A338" s="60" t="s">
        <v>2534</v>
      </c>
      <c r="B338" s="96" t="s">
        <v>2096</v>
      </c>
      <c r="C338" s="56">
        <v>2102.3200000000002</v>
      </c>
      <c r="D338" s="56"/>
      <c r="E338" s="56" t="str">
        <f t="shared" si="5"/>
        <v>37503</v>
      </c>
    </row>
    <row r="339" spans="1:5">
      <c r="A339" s="60" t="s">
        <v>2535</v>
      </c>
      <c r="B339" s="96" t="s">
        <v>2103</v>
      </c>
      <c r="C339" s="56">
        <v>3317.95</v>
      </c>
      <c r="D339" s="32"/>
      <c r="E339" s="56" t="str">
        <f t="shared" si="5"/>
        <v>37504</v>
      </c>
    </row>
    <row r="340" spans="1:5">
      <c r="A340" s="60" t="s">
        <v>2536</v>
      </c>
      <c r="B340" s="96" t="s">
        <v>2110</v>
      </c>
      <c r="C340" s="56">
        <v>1738.27</v>
      </c>
      <c r="D340" s="32"/>
      <c r="E340" s="56" t="str">
        <f t="shared" si="5"/>
        <v>37505</v>
      </c>
    </row>
    <row r="341" spans="1:5">
      <c r="A341" s="60" t="s">
        <v>2537</v>
      </c>
      <c r="B341" s="96" t="s">
        <v>2115</v>
      </c>
      <c r="C341" s="56">
        <v>1798.69</v>
      </c>
      <c r="D341" s="32"/>
      <c r="E341" s="56" t="str">
        <f t="shared" si="5"/>
        <v>37506</v>
      </c>
    </row>
    <row r="342" spans="1:5">
      <c r="A342" s="60" t="s">
        <v>2538</v>
      </c>
      <c r="B342" s="96" t="s">
        <v>2121</v>
      </c>
      <c r="C342" s="56">
        <v>1640.48</v>
      </c>
      <c r="D342" s="32"/>
      <c r="E342" s="56" t="str">
        <f t="shared" si="5"/>
        <v>37507</v>
      </c>
    </row>
    <row r="343" spans="1:5">
      <c r="A343" s="60" t="s">
        <v>2673</v>
      </c>
      <c r="B343" s="96" t="s">
        <v>2674</v>
      </c>
      <c r="C343" s="56">
        <v>0</v>
      </c>
      <c r="D343" s="32"/>
      <c r="E343" s="56" t="str">
        <f t="shared" si="5"/>
        <v>37901</v>
      </c>
    </row>
    <row r="344" spans="1:5">
      <c r="A344" s="60" t="s">
        <v>2858</v>
      </c>
      <c r="B344" s="96" t="s">
        <v>2968</v>
      </c>
      <c r="C344" s="56">
        <v>49.03</v>
      </c>
      <c r="D344" s="32"/>
      <c r="E344" s="56" t="str">
        <f t="shared" si="5"/>
        <v>37902</v>
      </c>
    </row>
    <row r="345" spans="1:5">
      <c r="A345" s="60" t="s">
        <v>2858</v>
      </c>
      <c r="B345" s="56" t="s">
        <v>2859</v>
      </c>
      <c r="C345" s="56">
        <v>49.03</v>
      </c>
      <c r="D345" s="56"/>
      <c r="E345" s="56" t="str">
        <f t="shared" si="5"/>
        <v>37902</v>
      </c>
    </row>
    <row r="346" spans="1:5">
      <c r="A346" s="60" t="s">
        <v>2539</v>
      </c>
      <c r="B346" s="96" t="s">
        <v>2128</v>
      </c>
      <c r="C346" s="56">
        <v>397.29</v>
      </c>
      <c r="D346" s="32"/>
      <c r="E346" s="56" t="str">
        <f t="shared" si="5"/>
        <v>37903</v>
      </c>
    </row>
    <row r="347" spans="1:5">
      <c r="A347" s="60" t="s">
        <v>2675</v>
      </c>
      <c r="B347" s="96" t="s">
        <v>2676</v>
      </c>
      <c r="C347" s="56">
        <v>0</v>
      </c>
      <c r="D347" s="32"/>
      <c r="E347" s="56" t="str">
        <f t="shared" si="5"/>
        <v>37906</v>
      </c>
    </row>
    <row r="348" spans="1:5">
      <c r="A348" s="60" t="s">
        <v>2677</v>
      </c>
      <c r="B348" s="96" t="s">
        <v>2678</v>
      </c>
      <c r="C348" s="56">
        <v>0</v>
      </c>
      <c r="D348" s="32"/>
      <c r="E348" s="56" t="str">
        <f t="shared" si="5"/>
        <v>37952</v>
      </c>
    </row>
    <row r="349" spans="1:5">
      <c r="A349" s="60" t="s">
        <v>2540</v>
      </c>
      <c r="B349" s="96" t="s">
        <v>2130</v>
      </c>
      <c r="C349" s="56">
        <v>80.28</v>
      </c>
      <c r="D349" s="32"/>
      <c r="E349" s="56" t="str">
        <f t="shared" si="5"/>
        <v>38126</v>
      </c>
    </row>
    <row r="350" spans="1:5">
      <c r="A350" s="60" t="s">
        <v>2541</v>
      </c>
      <c r="B350" s="96" t="s">
        <v>2133</v>
      </c>
      <c r="C350" s="56">
        <v>36.29</v>
      </c>
      <c r="D350" s="32"/>
      <c r="E350" s="56" t="str">
        <f t="shared" si="5"/>
        <v>38264</v>
      </c>
    </row>
    <row r="351" spans="1:5">
      <c r="A351" s="60" t="s">
        <v>2542</v>
      </c>
      <c r="B351" s="96" t="s">
        <v>2135</v>
      </c>
      <c r="C351" s="56">
        <v>191.08</v>
      </c>
      <c r="D351" s="32"/>
      <c r="E351" s="56" t="str">
        <f t="shared" si="5"/>
        <v>38265</v>
      </c>
    </row>
    <row r="352" spans="1:5">
      <c r="A352" s="60" t="s">
        <v>2543</v>
      </c>
      <c r="B352" s="96" t="s">
        <v>2138</v>
      </c>
      <c r="C352" s="56">
        <v>2608.5</v>
      </c>
      <c r="D352" s="32"/>
      <c r="E352" s="56" t="str">
        <f t="shared" si="5"/>
        <v>38267</v>
      </c>
    </row>
    <row r="353" spans="1:5">
      <c r="A353" s="60" t="s">
        <v>2544</v>
      </c>
      <c r="B353" s="96" t="s">
        <v>2140</v>
      </c>
      <c r="C353" s="56">
        <v>515.82000000000005</v>
      </c>
      <c r="D353" s="32"/>
      <c r="E353" s="56" t="str">
        <f t="shared" si="5"/>
        <v>38300</v>
      </c>
    </row>
    <row r="354" spans="1:5">
      <c r="A354" s="60" t="s">
        <v>2545</v>
      </c>
      <c r="B354" s="96" t="s">
        <v>2143</v>
      </c>
      <c r="C354" s="56">
        <v>154.13</v>
      </c>
      <c r="D354" s="32"/>
      <c r="E354" s="56" t="str">
        <f t="shared" si="5"/>
        <v>38301</v>
      </c>
    </row>
    <row r="355" spans="1:5">
      <c r="A355" s="60" t="s">
        <v>2546</v>
      </c>
      <c r="B355" s="96" t="s">
        <v>2147</v>
      </c>
      <c r="C355" s="56">
        <v>105.52</v>
      </c>
      <c r="D355" s="32"/>
      <c r="E355" s="56" t="str">
        <f t="shared" si="5"/>
        <v>38302</v>
      </c>
    </row>
    <row r="356" spans="1:5">
      <c r="A356" s="60" t="s">
        <v>2547</v>
      </c>
      <c r="B356" s="96" t="s">
        <v>2150</v>
      </c>
      <c r="C356" s="56">
        <v>38.71</v>
      </c>
      <c r="D356" s="32"/>
      <c r="E356" s="56" t="str">
        <f t="shared" si="5"/>
        <v>38304</v>
      </c>
    </row>
    <row r="357" spans="1:5">
      <c r="A357" s="60" t="s">
        <v>2548</v>
      </c>
      <c r="B357" s="96" t="s">
        <v>2152</v>
      </c>
      <c r="C357" s="56">
        <v>157.51</v>
      </c>
      <c r="D357" s="32"/>
      <c r="E357" s="56" t="str">
        <f t="shared" si="5"/>
        <v>38306</v>
      </c>
    </row>
    <row r="358" spans="1:5">
      <c r="A358" s="60" t="s">
        <v>2549</v>
      </c>
      <c r="B358" s="96" t="s">
        <v>2154</v>
      </c>
      <c r="C358" s="56">
        <v>74.8</v>
      </c>
      <c r="D358" s="32"/>
      <c r="E358" s="56" t="str">
        <f t="shared" si="5"/>
        <v>38308</v>
      </c>
    </row>
    <row r="359" spans="1:5">
      <c r="A359" s="60" t="s">
        <v>2550</v>
      </c>
      <c r="B359" s="96" t="s">
        <v>2156</v>
      </c>
      <c r="C359" s="56">
        <v>152.57</v>
      </c>
      <c r="D359" s="32"/>
      <c r="E359" s="56" t="str">
        <f t="shared" si="5"/>
        <v>38320</v>
      </c>
    </row>
    <row r="360" spans="1:5">
      <c r="A360" s="60" t="s">
        <v>2551</v>
      </c>
      <c r="B360" s="96" t="s">
        <v>2158</v>
      </c>
      <c r="C360" s="56">
        <v>125.01</v>
      </c>
      <c r="D360" s="32"/>
      <c r="E360" s="56" t="str">
        <f t="shared" si="5"/>
        <v>38322</v>
      </c>
    </row>
    <row r="361" spans="1:5">
      <c r="A361" s="60" t="s">
        <v>2552</v>
      </c>
      <c r="B361" s="96" t="s">
        <v>2161</v>
      </c>
      <c r="C361" s="56">
        <v>146.16999999999999</v>
      </c>
      <c r="D361" s="32"/>
      <c r="E361" s="56" t="str">
        <f t="shared" si="5"/>
        <v>38324</v>
      </c>
    </row>
    <row r="362" spans="1:5">
      <c r="A362" s="60" t="s">
        <v>2951</v>
      </c>
      <c r="B362" s="56" t="s">
        <v>2952</v>
      </c>
      <c r="C362" s="56">
        <v>77</v>
      </c>
      <c r="D362" s="56"/>
      <c r="E362" s="56" t="str">
        <f t="shared" si="5"/>
        <v>38901</v>
      </c>
    </row>
    <row r="363" spans="1:5">
      <c r="A363" s="60" t="s">
        <v>2679</v>
      </c>
      <c r="B363" s="96" t="s">
        <v>2680</v>
      </c>
      <c r="C363" s="56">
        <v>0</v>
      </c>
      <c r="D363" s="32"/>
      <c r="E363" s="56" t="str">
        <f t="shared" si="5"/>
        <v>38905</v>
      </c>
    </row>
    <row r="364" spans="1:5">
      <c r="A364" s="60" t="s">
        <v>2553</v>
      </c>
      <c r="B364" s="96" t="s">
        <v>2164</v>
      </c>
      <c r="C364" s="56">
        <v>571.30999999999995</v>
      </c>
      <c r="D364" s="32"/>
      <c r="E364" s="56" t="str">
        <f t="shared" si="5"/>
        <v>39002</v>
      </c>
    </row>
    <row r="365" spans="1:5">
      <c r="A365" s="60" t="s">
        <v>2554</v>
      </c>
      <c r="B365" s="96" t="s">
        <v>2166</v>
      </c>
      <c r="C365" s="56">
        <v>1227.42</v>
      </c>
      <c r="D365" s="32"/>
      <c r="E365" s="56" t="str">
        <f t="shared" si="5"/>
        <v>39003</v>
      </c>
    </row>
    <row r="366" spans="1:5">
      <c r="A366" s="60" t="s">
        <v>2555</v>
      </c>
      <c r="B366" s="96" t="s">
        <v>2170</v>
      </c>
      <c r="C366" s="56">
        <v>15582.22</v>
      </c>
      <c r="D366" s="32"/>
      <c r="E366" s="56" t="str">
        <f t="shared" si="5"/>
        <v>39007</v>
      </c>
    </row>
    <row r="367" spans="1:5">
      <c r="A367" s="60" t="s">
        <v>2556</v>
      </c>
      <c r="B367" s="96" t="s">
        <v>2190</v>
      </c>
      <c r="C367" s="56">
        <v>3265.46</v>
      </c>
      <c r="D367" s="32"/>
      <c r="E367" s="56" t="str">
        <f t="shared" si="5"/>
        <v>39090</v>
      </c>
    </row>
    <row r="368" spans="1:5">
      <c r="A368" s="60" t="s">
        <v>2557</v>
      </c>
      <c r="B368" s="96" t="s">
        <v>2195</v>
      </c>
      <c r="C368" s="56">
        <v>3620.58</v>
      </c>
      <c r="D368" s="32"/>
      <c r="E368" s="56" t="str">
        <f t="shared" si="5"/>
        <v>39119</v>
      </c>
    </row>
    <row r="369" spans="1:5">
      <c r="A369" s="60" t="s">
        <v>2558</v>
      </c>
      <c r="B369" s="96" t="s">
        <v>2201</v>
      </c>
      <c r="C369" s="56">
        <v>807.38</v>
      </c>
      <c r="D369" s="32"/>
      <c r="E369" s="56" t="str">
        <f t="shared" si="5"/>
        <v>39120</v>
      </c>
    </row>
    <row r="370" spans="1:5">
      <c r="A370" s="60" t="s">
        <v>2559</v>
      </c>
      <c r="B370" s="96" t="s">
        <v>2204</v>
      </c>
      <c r="C370" s="56">
        <v>3493.38</v>
      </c>
      <c r="D370" s="32"/>
      <c r="E370" s="56" t="str">
        <f t="shared" si="5"/>
        <v>39200</v>
      </c>
    </row>
    <row r="371" spans="1:5">
      <c r="A371" s="60" t="s">
        <v>2560</v>
      </c>
      <c r="B371" s="96" t="s">
        <v>2212</v>
      </c>
      <c r="C371" s="56">
        <v>6442.5</v>
      </c>
      <c r="D371" s="32"/>
      <c r="E371" s="56" t="str">
        <f t="shared" si="5"/>
        <v>39201</v>
      </c>
    </row>
    <row r="372" spans="1:5">
      <c r="A372" s="60" t="s">
        <v>2561</v>
      </c>
      <c r="B372" s="96" t="s">
        <v>2220</v>
      </c>
      <c r="C372" s="56">
        <v>4284.12</v>
      </c>
      <c r="D372" s="32"/>
      <c r="E372" s="56" t="str">
        <f t="shared" si="5"/>
        <v>39202</v>
      </c>
    </row>
    <row r="373" spans="1:5">
      <c r="A373" s="60" t="s">
        <v>2562</v>
      </c>
      <c r="B373" s="96" t="s">
        <v>2227</v>
      </c>
      <c r="C373" s="56">
        <v>1032.1300000000001</v>
      </c>
      <c r="D373" s="32"/>
      <c r="E373" s="56" t="str">
        <f t="shared" si="5"/>
        <v>39203</v>
      </c>
    </row>
    <row r="374" spans="1:5">
      <c r="A374" s="60" t="s">
        <v>2563</v>
      </c>
      <c r="B374" s="96" t="s">
        <v>2232</v>
      </c>
      <c r="C374" s="56">
        <v>1452.77</v>
      </c>
      <c r="D374" s="32"/>
      <c r="E374" s="56" t="str">
        <f t="shared" si="5"/>
        <v>39204</v>
      </c>
    </row>
    <row r="375" spans="1:5">
      <c r="A375" s="60" t="s">
        <v>2564</v>
      </c>
      <c r="B375" s="96" t="s">
        <v>2235</v>
      </c>
      <c r="C375" s="56">
        <v>1260.6400000000001</v>
      </c>
      <c r="D375" s="32"/>
      <c r="E375" s="56" t="str">
        <f t="shared" si="5"/>
        <v>39205</v>
      </c>
    </row>
    <row r="376" spans="1:5">
      <c r="A376" s="60" t="s">
        <v>2565</v>
      </c>
      <c r="B376" s="96" t="s">
        <v>2240</v>
      </c>
      <c r="C376" s="56">
        <v>3068.07</v>
      </c>
      <c r="E376" s="56" t="str">
        <f t="shared" si="5"/>
        <v>39207</v>
      </c>
    </row>
    <row r="377" spans="1:5">
      <c r="A377" s="60" t="s">
        <v>2566</v>
      </c>
      <c r="B377" s="96" t="s">
        <v>2246</v>
      </c>
      <c r="C377" s="56">
        <v>5225.99</v>
      </c>
      <c r="E377" s="56" t="str">
        <f t="shared" si="5"/>
        <v>39208</v>
      </c>
    </row>
    <row r="378" spans="1:5">
      <c r="A378" s="60" t="s">
        <v>2567</v>
      </c>
      <c r="B378" s="96" t="s">
        <v>2253</v>
      </c>
      <c r="C378" s="56">
        <v>833.87</v>
      </c>
      <c r="E378" s="56" t="str">
        <f t="shared" si="5"/>
        <v>39209</v>
      </c>
    </row>
    <row r="379" spans="1:5">
      <c r="A379" s="60" t="s">
        <v>2681</v>
      </c>
      <c r="B379" s="96" t="s">
        <v>2682</v>
      </c>
      <c r="C379" s="56">
        <v>0</v>
      </c>
      <c r="E379" s="56" t="str">
        <f t="shared" si="5"/>
        <v>39801</v>
      </c>
    </row>
    <row r="380" spans="1:5">
      <c r="A380" s="60" t="s">
        <v>2763</v>
      </c>
      <c r="B380" s="96" t="s">
        <v>2766</v>
      </c>
      <c r="C380" s="56">
        <v>129.86000000000001</v>
      </c>
      <c r="E380" s="56" t="str">
        <f t="shared" si="5"/>
        <v>39901</v>
      </c>
    </row>
    <row r="381" spans="1:5">
      <c r="A381" s="60" t="s">
        <v>2683</v>
      </c>
      <c r="B381" s="96" t="s">
        <v>2684</v>
      </c>
      <c r="C381" s="56">
        <v>0</v>
      </c>
      <c r="E381" s="56" t="str">
        <f t="shared" si="5"/>
        <v>39953</v>
      </c>
    </row>
  </sheetData>
  <autoFilter ref="A2:E369" xr:uid="{00000000-0009-0000-0000-000008000000}">
    <sortState xmlns:xlrd2="http://schemas.microsoft.com/office/spreadsheetml/2017/richdata2" ref="A3:E381">
      <sortCondition ref="A2:A369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Instructions and about the data</vt:lpstr>
      <vt:lpstr>Summary</vt:lpstr>
      <vt:lpstr>HP Schools Calculation</vt:lpstr>
      <vt:lpstr>District LAP Calculation</vt:lpstr>
      <vt:lpstr>District LAP HH Calculation</vt:lpstr>
      <vt:lpstr>2021-22 School Level AAFTE</vt:lpstr>
      <vt:lpstr>CEDARS School FRPL</vt:lpstr>
      <vt:lpstr>CEDARS District FRPL</vt:lpstr>
      <vt:lpstr>AAFTE</vt:lpstr>
      <vt:lpstr>2022-23 Salary &amp; Benefits</vt:lpstr>
      <vt:lpstr>Districts</vt:lpstr>
      <vt:lpstr>Districts_HH</vt:lpstr>
      <vt:lpstr>Summary!Print_Area</vt:lpstr>
      <vt:lpstr>Schools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LAP Calculator for 2022-23</dc:title>
  <dc:creator>mstricklett@gmail.com</dc:creator>
  <cp:lastModifiedBy>Melissa Jarmon</cp:lastModifiedBy>
  <cp:lastPrinted>2018-05-03T18:40:05Z</cp:lastPrinted>
  <dcterms:created xsi:type="dcterms:W3CDTF">2017-07-06T14:10:59Z</dcterms:created>
  <dcterms:modified xsi:type="dcterms:W3CDTF">2022-04-21T16:53:48Z</dcterms:modified>
</cp:coreProperties>
</file>